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roviders" sheetId="2" state="visible" r:id="rId2"/>
    <sheet xmlns:r="http://schemas.openxmlformats.org/officeDocument/2006/relationships" name="Matrix" sheetId="3" state="visible" r:id="rId3"/>
    <sheet xmlns:r="http://schemas.openxmlformats.org/officeDocument/2006/relationships" name="Dashboard" sheetId="4" state="visible" r:id="rId4"/>
    <sheet xmlns:r="http://schemas.openxmlformats.org/officeDocument/2006/relationships" name="Import to ExpiryEdge" sheetId="5" state="visible" r:id="rId5"/>
    <sheet xmlns:r="http://schemas.openxmlformats.org/officeDocument/2006/relationships" name="Lists" sheetId="6" state="visible" r:id="rId6"/>
    <sheet xmlns:r="http://schemas.openxmlformats.org/officeDocument/2006/relationships" name="_calc" sheetId="7" state="hidden" r:id="rId7"/>
    <sheet xmlns:r="http://schemas.openxmlformats.org/officeDocument/2006/relationships" name="_imp" sheetId="8" state="hidden" r:id="rId8"/>
  </sheets>
  <definedNames>
    <definedName name="_xlnm.Print_Area" localSheetId="0">'Start here'!$A$1:$C$79</definedName>
    <definedName name="_xlnm.Print_Area" localSheetId="1">OFFSET('Providers'!$A$1,0,0,MAX(4,COUNTA('Providers'!$A$1:$A$503)),37)</definedName>
    <definedName name="_xlnm.Print_Titles" localSheetId="1">'Providers'!$3:$3</definedName>
    <definedName name="_xlnm.Print_Area" localSheetId="2">OFFSET('Matrix'!$A$1,0,0,MAX(5,COUNTIF('Matrix'!$A$5:$A$504,"?*")+4),14)</definedName>
    <definedName name="_xlnm.Print_Titles" localSheetId="2">'Matrix'!$4:$4</definedName>
    <definedName name="_xlnm.Print_Area" localSheetId="3">'Dashboard'!$A$1:$H$41</definedName>
    <definedName name="_xlnm.Print_Area" localSheetId="4">OFFSET('Import to ExpiryEdge'!$A$1,0,0,MAX(2,COUNTIF('Import to ExpiryEdge'!$A$1:$A$4501,"?*")),11)</definedName>
    <definedName name="_xlnm.Print_Titles" localSheetId="4">'Import to ExpiryEdge'!$1:$1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21">
    <font>
      <name val="Calibri"/>
      <family val="2"/>
      <color theme="1"/>
      <sz val="11"/>
      <scheme val="minor"/>
    </font>
    <font>
      <name val="Arial"/>
      <b val="1"/>
      <color rgb="00FFFFFF"/>
      <sz val="10"/>
    </font>
    <font>
      <name val="Arial"/>
      <color rgb="001F2A24"/>
      <sz val="10"/>
    </font>
    <font>
      <name val="Arial"/>
      <b val="1"/>
      <color rgb="001F2A24"/>
      <sz val="10"/>
    </font>
    <font>
      <name val="Arial"/>
      <color rgb="005F675C"/>
      <sz val="9"/>
    </font>
    <font>
      <name val="Arial"/>
      <b val="1"/>
      <color rgb="001F2A24"/>
      <sz val="15"/>
    </font>
    <font>
      <name val="Arial"/>
      <b val="1"/>
      <color rgb="00FFFFFF"/>
      <sz val="9"/>
    </font>
    <font>
      <name val="Arial"/>
      <color rgb="001F2A24"/>
      <sz val="9"/>
    </font>
    <font>
      <name val="Arial"/>
      <b val="1"/>
      <color rgb="001F2A24"/>
      <sz val="16"/>
    </font>
    <font>
      <name val="Arial"/>
      <b val="1"/>
      <color rgb="001F2A24"/>
      <sz val="12"/>
    </font>
    <font>
      <name val="Arial"/>
      <b val="1"/>
      <color rgb="00B03A21"/>
      <sz val="10"/>
    </font>
    <font>
      <name val="Arial"/>
      <b val="1"/>
      <color rgb="001F2A24"/>
      <sz val="11"/>
    </font>
    <font>
      <name val="Arial"/>
      <b val="1"/>
      <color rgb="008A5A13"/>
      <sz val="10"/>
    </font>
    <font>
      <name val="Arial"/>
      <b val="1"/>
      <color rgb="0017693A"/>
      <sz val="10"/>
    </font>
    <font>
      <name val="Arial"/>
      <color rgb="005F675C"/>
      <sz val="10"/>
    </font>
    <font>
      <name val="Arial"/>
      <b val="1"/>
      <color rgb="001F2A24"/>
      <sz val="20"/>
    </font>
    <font>
      <name val="Arial"/>
      <color rgb="00434B45"/>
      <sz val="11"/>
    </font>
    <font>
      <name val="Arial"/>
      <b val="1"/>
      <color rgb="001F2A24"/>
      <sz val="13"/>
    </font>
    <font>
      <name val="Arial"/>
      <color rgb="00434B45"/>
      <sz val="10"/>
    </font>
    <font>
      <name val="Arial"/>
      <color rgb="000E6B4F"/>
      <sz val="9"/>
      <u val="single"/>
    </font>
    <font>
      <name val="Arial"/>
      <b val="1"/>
      <color rgb="000E6B4F"/>
      <sz val="10"/>
      <u val="single"/>
    </font>
  </fonts>
  <fills count="9">
    <fill>
      <patternFill/>
    </fill>
    <fill>
      <patternFill patternType="gray125"/>
    </fill>
    <fill>
      <patternFill patternType="solid">
        <fgColor rgb="000E6B4F"/>
        <bgColor rgb="000E6B4F"/>
      </patternFill>
    </fill>
    <fill>
      <patternFill patternType="solid">
        <fgColor rgb="0035584B"/>
        <bgColor rgb="0035584B"/>
      </patternFill>
    </fill>
    <fill>
      <patternFill patternType="solid">
        <fgColor rgb="00F1F4EF"/>
        <bgColor rgb="00F1F4EF"/>
      </patternFill>
    </fill>
    <fill>
      <patternFill patternType="solid">
        <fgColor rgb="00F8DFD8"/>
        <bgColor rgb="00F8DFD8"/>
      </patternFill>
    </fill>
    <fill>
      <patternFill patternType="solid">
        <fgColor rgb="00FCEFD4"/>
        <bgColor rgb="00FCEFD4"/>
      </patternFill>
    </fill>
    <fill>
      <patternFill patternType="solid">
        <fgColor rgb="00FEF7E7"/>
        <bgColor rgb="00FEF7E7"/>
      </patternFill>
    </fill>
    <fill>
      <patternFill patternType="solid">
        <fgColor rgb="00D8F0DC"/>
        <bgColor rgb="00D8F0DC"/>
      </patternFill>
    </fill>
  </fills>
  <borders count="5">
    <border>
      <left/>
      <right/>
      <top/>
      <bottom/>
      <diagonal/>
    </border>
    <border>
      <left style="thin">
        <color rgb="00E0E2DA"/>
      </left>
      <right style="thin">
        <color rgb="00E0E2DA"/>
      </right>
      <top style="thin">
        <color rgb="00E0E2DA"/>
      </top>
      <bottom style="thin">
        <color rgb="00E0E2DA"/>
      </bottom>
    </border>
    <border>
      <bottom style="hair">
        <color rgb="00E0E2DA"/>
      </bottom>
    </border>
    <border>
      <right style="hair">
        <color rgb="00E0E2DA"/>
      </right>
      <bottom style="hair">
        <color rgb="00E0E2DA"/>
      </bottom>
    </border>
    <border>
      <bottom style="thin">
        <color rgb="00E0E2DA"/>
      </bottom>
    </border>
  </borders>
  <cellStyleXfs count="1">
    <xf numFmtId="0" fontId="0" fillId="0" borderId="0"/>
  </cellStyleXfs>
  <cellXfs count="57">
    <xf numFmtId="0" fontId="0" fillId="0" borderId="0" pivotButton="0" quotePrefix="0" xfId="0"/>
    <xf numFmtId="0" fontId="15" fillId="0" borderId="0" pivotButton="0" quotePrefix="0" xfId="0"/>
    <xf numFmtId="0" fontId="16" fillId="0" borderId="0" pivotButton="0" quotePrefix="0" xfId="0"/>
    <xf numFmtId="0" fontId="4" fillId="0" borderId="0" pivotButton="0" quotePrefix="0" xfId="0"/>
    <xf numFmtId="0" fontId="17" fillId="0" borderId="0" pivotButton="0" quotePrefix="0" xfId="0"/>
    <xf numFmtId="0" fontId="3" fillId="0" borderId="0" applyAlignment="1" pivotButton="0" quotePrefix="0" xfId="0">
      <alignment vertical="top" wrapText="1"/>
    </xf>
    <xf numFmtId="0" fontId="18" fillId="0" borderId="0" applyAlignment="1" pivotButton="0" quotePrefix="0" xfId="0">
      <alignment vertical="top" wrapText="1"/>
    </xf>
    <xf numFmtId="0" fontId="10" fillId="5" borderId="0" pivotButton="0" quotePrefix="0" xfId="0"/>
    <xf numFmtId="0" fontId="18" fillId="0" borderId="0" pivotButton="0" quotePrefix="0" xfId="0"/>
    <xf numFmtId="0" fontId="12" fillId="6" borderId="0" pivotButton="0" quotePrefix="0" xfId="0"/>
    <xf numFmtId="0" fontId="12" fillId="7" borderId="0" pivotButton="0" quotePrefix="0" xfId="0"/>
    <xf numFmtId="0" fontId="13" fillId="8" borderId="0" pivotButton="0" quotePrefix="0" xfId="0"/>
    <xf numFmtId="0" fontId="1" fillId="3" borderId="0" pivotButton="0" quotePrefix="0" xfId="0"/>
    <xf numFmtId="0" fontId="1" fillId="2" borderId="0" pivotButton="0" quotePrefix="0" xfId="0"/>
    <xf numFmtId="0" fontId="3" fillId="0" borderId="4" applyAlignment="1" pivotButton="0" quotePrefix="0" xfId="0">
      <alignment vertical="top" wrapText="1"/>
    </xf>
    <xf numFmtId="0" fontId="18" fillId="0" borderId="4" applyAlignment="1" pivotButton="0" quotePrefix="0" xfId="0">
      <alignment vertical="top" wrapText="1"/>
    </xf>
    <xf numFmtId="0" fontId="3" fillId="4" borderId="4" applyAlignment="1" pivotButton="0" quotePrefix="0" xfId="0">
      <alignment vertical="top" wrapText="1"/>
    </xf>
    <xf numFmtId="0" fontId="20" fillId="0" borderId="0" applyAlignment="1" pivotButton="0" quotePrefix="0" xfId="0">
      <alignment vertical="top" wrapText="1"/>
    </xf>
    <xf numFmtId="0" fontId="19" fillId="0" borderId="0" pivotButton="0" quotePrefix="0" xfId="0"/>
    <xf numFmtId="0" fontId="5" fillId="0" borderId="0" pivotButton="0" quotePrefix="0" xfId="0"/>
    <xf numFmtId="0" fontId="1" fillId="2" borderId="1" applyAlignment="1" pivotButton="0" quotePrefix="0" xfId="0">
      <alignment vertical="center" wrapText="1"/>
    </xf>
    <xf numFmtId="0" fontId="1" fillId="3" borderId="1" applyAlignment="1" pivotButton="0" quotePrefix="0" xfId="0">
      <alignment vertical="center" wrapText="1"/>
    </xf>
    <xf numFmtId="0" fontId="2" fillId="0" borderId="2" pivotButton="0" quotePrefix="0" xfId="0"/>
    <xf numFmtId="165" fontId="2" fillId="0" borderId="2" applyAlignment="1" pivotButton="0" quotePrefix="0" xfId="0">
      <alignment horizontal="left"/>
    </xf>
    <xf numFmtId="1" fontId="2" fillId="0" borderId="2" applyAlignment="1" pivotButton="0" quotePrefix="0" xfId="0">
      <alignment horizontal="right"/>
    </xf>
    <xf numFmtId="165" fontId="2" fillId="4" borderId="2" applyAlignment="1" pivotButton="0" quotePrefix="0" xfId="0">
      <alignment horizontal="left"/>
    </xf>
    <xf numFmtId="0" fontId="2" fillId="4" borderId="2" pivotButton="0" quotePrefix="0" xfId="0"/>
    <xf numFmtId="1" fontId="2" fillId="4" borderId="2" applyAlignment="1" pivotButton="0" quotePrefix="0" xfId="0">
      <alignment horizontal="right"/>
    </xf>
    <xf numFmtId="0" fontId="3" fillId="4" borderId="2" pivotButton="0" quotePrefix="0" xfId="0"/>
    <xf numFmtId="0" fontId="1" fillId="2" borderId="0" applyAlignment="1" pivotButton="0" quotePrefix="0" xfId="0">
      <alignment horizontal="left" vertical="center" wrapText="1"/>
    </xf>
    <xf numFmtId="0" fontId="6" fillId="2" borderId="0" applyAlignment="1" pivotButton="0" quotePrefix="0" xfId="0">
      <alignment horizontal="center" vertical="center" wrapText="1"/>
    </xf>
    <xf numFmtId="0" fontId="1" fillId="3" borderId="0" applyAlignment="1" pivotButton="0" quotePrefix="0" xfId="0">
      <alignment horizontal="center" vertical="center" wrapText="1"/>
    </xf>
    <xf numFmtId="0" fontId="3" fillId="0" borderId="3" pivotButton="0" quotePrefix="0" xfId="0"/>
    <xf numFmtId="0" fontId="2" fillId="0" borderId="3" pivotButton="0" quotePrefix="0" xfId="0"/>
    <xf numFmtId="165" fontId="7" fillId="0" borderId="3" applyAlignment="1" pivotButton="0" quotePrefix="0" xfId="0">
      <alignment horizontal="center"/>
    </xf>
    <xf numFmtId="0" fontId="3" fillId="0" borderId="3" applyAlignment="1" pivotButton="0" quotePrefix="0" xfId="0">
      <alignment horizontal="center"/>
    </xf>
    <xf numFmtId="0" fontId="8" fillId="0" borderId="0" pivotButton="0" quotePrefix="0" xfId="0"/>
    <xf numFmtId="165" fontId="4" fillId="0" borderId="0" applyAlignment="1" pivotButton="0" quotePrefix="0" xfId="0">
      <alignment horizontal="left"/>
    </xf>
    <xf numFmtId="0" fontId="9" fillId="0" borderId="0" pivotButton="0" quotePrefix="0" xfId="0"/>
    <xf numFmtId="0" fontId="0" fillId="2" borderId="0" pivotButton="0" quotePrefix="0" xfId="0"/>
    <xf numFmtId="0" fontId="1" fillId="2" borderId="0" applyAlignment="1" pivotButton="0" quotePrefix="0" xfId="0">
      <alignment horizontal="left"/>
    </xf>
    <xf numFmtId="0" fontId="1" fillId="2" borderId="0" applyAlignment="1" pivotButton="0" quotePrefix="0" xfId="0">
      <alignment horizontal="right"/>
    </xf>
    <xf numFmtId="0" fontId="10" fillId="5" borderId="4" pivotButton="0" quotePrefix="0" xfId="0"/>
    <xf numFmtId="1" fontId="11" fillId="0" borderId="4" pivotButton="0" quotePrefix="0" xfId="0"/>
    <xf numFmtId="0" fontId="12" fillId="6" borderId="4" pivotButton="0" quotePrefix="0" xfId="0"/>
    <xf numFmtId="0" fontId="12" fillId="7" borderId="4" pivotButton="0" quotePrefix="0" xfId="0"/>
    <xf numFmtId="0" fontId="13" fillId="8" borderId="4" pivotButton="0" quotePrefix="0" xfId="0"/>
    <xf numFmtId="0" fontId="3" fillId="0" borderId="4" pivotButton="0" quotePrefix="0" xfId="0"/>
    <xf numFmtId="0" fontId="14" fillId="0" borderId="4" applyAlignment="1" pivotButton="0" quotePrefix="0" xfId="0">
      <alignment horizontal="center"/>
    </xf>
    <xf numFmtId="0" fontId="2" fillId="0" borderId="4" pivotButton="0" quotePrefix="0" xfId="0"/>
    <xf numFmtId="165" fontId="2" fillId="0" borderId="4" applyAlignment="1" pivotButton="0" quotePrefix="0" xfId="0">
      <alignment horizontal="left"/>
    </xf>
    <xf numFmtId="1" fontId="2" fillId="0" borderId="4" pivotButton="0" quotePrefix="0" xfId="0"/>
    <xf numFmtId="0" fontId="1" fillId="2" borderId="0" applyAlignment="1" pivotButton="0" quotePrefix="0" xfId="0">
      <alignment horizontal="left" wrapText="1"/>
    </xf>
    <xf numFmtId="0" fontId="1" fillId="2" borderId="0" applyAlignment="1" pivotButton="0" quotePrefix="0" xfId="0">
      <alignment horizontal="right" wrapText="1"/>
    </xf>
    <xf numFmtId="0" fontId="2" fillId="0" borderId="0" pivotButton="0" quotePrefix="0" xfId="0"/>
    <xf numFmtId="0" fontId="3" fillId="0" borderId="0" pivotButton="0" quotePrefix="0" xfId="0"/>
    <xf numFmtId="0" fontId="4" fillId="0" borderId="0" applyAlignment="1" pivotButton="0" quotePrefix="0" xfId="0">
      <alignment vertical="top" wrapText="1"/>
    </xf>
  </cellXfs>
  <cellStyles count="1">
    <cellStyle name="Normal" xfId="0" builtinId="0" hidden="0"/>
  </cellStyles>
  <dxfs count="8">
    <dxf>
      <font>
        <b val="1"/>
        <color rgb="00B03A21"/>
      </font>
      <fill>
        <patternFill patternType="solid">
          <fgColor rgb="00F8DFD8"/>
          <bgColor rgb="00F8DFD8"/>
        </patternFill>
      </fill>
    </dxf>
    <dxf>
      <font>
        <b val="1"/>
        <color rgb="008A5A13"/>
      </font>
      <fill>
        <patternFill patternType="solid">
          <fgColor rgb="00FCEFD4"/>
          <bgColor rgb="00FCEFD4"/>
        </patternFill>
      </fill>
    </dxf>
    <dxf>
      <font>
        <color rgb="008A5A13"/>
      </font>
      <fill>
        <patternFill patternType="solid">
          <fgColor rgb="00FEF7E7"/>
          <bgColor rgb="00FEF7E7"/>
        </patternFill>
      </fill>
    </dxf>
    <dxf>
      <font>
        <color rgb="0017693A"/>
      </font>
      <fill>
        <patternFill patternType="solid">
          <fgColor rgb="00D8F0DC"/>
          <bgColor rgb="00D8F0DC"/>
        </patternFill>
      </fill>
    </dxf>
    <dxf>
      <font>
        <i val="1"/>
        <color rgb="007A8178"/>
      </font>
    </dxf>
    <dxf>
      <fill>
        <patternFill patternType="solid">
          <fgColor rgb="00F7F8F4"/>
          <bgColor rgb="00F7F8F4"/>
        </patternFill>
      </fill>
    </dxf>
    <dxf>
      <font>
        <b val="1"/>
        <color rgb="008A5A13"/>
      </font>
      <fill>
        <patternFill patternType="solid">
          <fgColor rgb="00FEF7E7"/>
          <bgColor rgb="00FEF7E7"/>
        </patternFill>
      </fill>
    </dxf>
    <dxf>
      <font>
        <b val="1"/>
        <color rgb="0017693A"/>
      </font>
      <fill>
        <patternFill patternType="solid">
          <fgColor rgb="00D8F0DC"/>
          <bgColor rgb="00D8F0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ExpiryEdge</author>
  </authors>
  <commentList>
    <comment ref="A3" authorId="0" shapeId="0">
      <text>
        <t>Full name, spelled the same way on every row. Practicing in two states? Add a second row for the second state. (Required for import.)</t>
      </text>
    </comment>
    <comment ref="B3" authorId="0" shapeId="0">
      <text>
        <t>MD, DO, NP, PA and so on. Edit the list on the Lists sheet.</t>
      </text>
    </comment>
    <comment ref="C3" authorId="0" shapeId="0">
      <text>
        <t>National Provider Identifier (10 digits). Type it as text so leading zeros stay.</t>
      </text>
    </comment>
    <comment ref="D3" authorId="0" shapeId="0">
      <text>
        <t>Main specialty.</t>
      </text>
    </comment>
    <comment ref="E3" authorId="0" shapeId="0">
      <text>
        <t>State of the license on this row. The DEA and CSR columns on the same row should be for the same state.</t>
      </text>
    </comment>
    <comment ref="F3" authorId="0" shapeId="0">
      <text>
        <t>As shown on the state board lookup.</t>
      </text>
    </comment>
    <comment ref="G3" authorId="0" shapeId="0">
      <text>
        <t>Expiry date from the state board lookup (verify at the primary source, not from a copy).</t>
      </text>
    </comment>
    <comment ref="H3" authorId="0" shapeId="0">
      <text>
        <t>DEA registration number for this state. DEA requires a separate registration in each state where the practitioner prescribes.</t>
      </text>
    </comment>
    <comment ref="I3" authorId="0" shapeId="0">
      <text>
        <t>Expiration date on the DEA registration certificate. Leave blank if the provider does not hold one.</t>
      </text>
    </comment>
    <comment ref="J3" authorId="0" shapeId="0">
      <text>
        <t>State controlled substance registration, if the state issues one.</t>
      </text>
    </comment>
    <comment ref="K3" authorId="0" shapeId="0">
      <text>
        <t>Leave blank if it does not apply.</t>
      </text>
    </comment>
    <comment ref="L3" authorId="0" shapeId="0">
      <text>
        <t>Certifying board and specialty, as the board lists it.</t>
      </text>
    </comment>
    <comment ref="M3" authorId="0" shapeId="0">
      <text>
        <t>Certificate end date, or the next continuing-certification deadline the board shows. Leave blank for lifetime certificates.</t>
      </text>
    </comment>
    <comment ref="N3" authorId="0" shapeId="0">
      <text>
        <t>Insurer named on the certificate of insurance or face sheet.</t>
      </text>
    </comment>
    <comment ref="O3" authorId="0" shapeId="0">
      <text>
        <t>As printed on the certificate.</t>
      </text>
    </comment>
    <comment ref="P3" authorId="0" shapeId="0">
      <text>
        <t>Claims-made or occurrence, as stated on the policy. Matters when a provider leaves: ask your broker about tail cover for claims-made policies.</t>
      </text>
    </comment>
    <comment ref="Q3" authorId="0" shapeId="0">
      <text>
        <t>Policy expiration date.</t>
      </text>
    </comment>
    <comment ref="R3" authorId="0" shapeId="0">
      <text>
        <t>BLS, ACLS, PALS and so on: the card your facility or payer requires.</t>
      </text>
    </comment>
    <comment ref="S3" authorId="0" shapeId="0">
      <text>
        <t>Expiry on the card. If the provider holds two (BLS and ACLS), use the earlier date or add the second in Notes.</t>
      </text>
    </comment>
    <comment ref="T3" authorId="0" shapeId="0">
      <text>
        <t>CAQH Provider ID from the DataSpring (formerly CAQH) Provider Data Portal.</t>
      </text>
    </comment>
    <comment ref="U3" authorId="0" shapeId="0">
      <text>
        <t>Date the profile was last attested.</t>
      </text>
    </comment>
    <comment ref="V3" authorId="0" shapeId="0">
      <text>
        <t>Blank = 120, the attestation cycle DataSpring (formerly CAQH) states for its Provider Data Portal. Change it if the portal shows a different due date.</t>
      </text>
    </comment>
    <comment ref="W3" authorId="0" shapeId="0">
      <text>
        <t>Calculated. Last attested + the cycle (120 days unless you change it).</t>
      </text>
    </comment>
    <comment ref="X3" authorId="0" shapeId="0">
      <text>
        <t>Where the provider holds privileges.</t>
      </text>
    </comment>
    <comment ref="Y3" authorId="0" shapeId="0">
      <text>
        <t>Reappointment date from the medical staff office letter. One row per facility if there are several, or use the earliest.</t>
      </text>
    </comment>
    <comment ref="Z3" authorId="0" shapeId="0">
      <text>
        <t>Payer whose recredentialing date is in the next column.</t>
      </text>
    </comment>
    <comment ref="AA3" authorId="0" shapeId="0">
      <text>
        <t>Date from the payer’s recredentialing notice or portal. Several payers? Use the earliest and list the rest in Notes.</t>
      </text>
    </comment>
    <comment ref="AB3" authorId="0" shapeId="0">
      <text>
        <t>How many days before the date you want to start acting. Leave blank for 30.</t>
      </text>
    </comment>
    <comment ref="AC3" authorId="0" shapeId="0">
      <text>
        <t>Calculated. Which credential has the earliest date on this row.</t>
      </text>
    </comment>
    <comment ref="AD3" authorId="0" shapeId="0">
      <text>
        <t>Calculated. The earliest of the nine credential dates. Blank dates are ignored; "Check date" means a date was typed as text.</t>
      </text>
    </comment>
    <comment ref="AE3" authorId="0" shapeId="0">
      <text>
        <t>Calculated. Next due date minus the lead time.</t>
      </text>
    </comment>
    <comment ref="AF3" authorId="0" shapeId="0">
      <text>
        <t>Calculated. Days until the next due date; negative once it has passed.</t>
      </text>
    </comment>
    <comment ref="AG3" authorId="0" shapeId="0">
      <text>
        <t>Calculated. The provider’s worst status: Expired, Due ≤30 days, Due ≤90 days or OK, from the earliest date.</t>
      </text>
    </comment>
    <comment ref="AH3" authorId="0" shapeId="0">
      <text>
        <t>Who chases this provider’s renewals.</t>
      </text>
    </comment>
    <comment ref="AI3" authorId="0" shapeId="0">
      <text>
        <t>Who should be reminded. Becomes notification_email on import.</t>
      </text>
    </comment>
    <comment ref="AJ3" authorId="0" shapeId="0">
      <text>
        <t>Link to the provider’s credential file or folder.</t>
      </text>
    </comment>
    <comment ref="AK3" authorId="0" shapeId="0">
      <text>
        <t>Anything the next person needs to know.</t>
      </text>
    </comment>
  </commentList>
</comments>
</file>

<file path=xl/comments/comment2.xml><?xml version="1.0" encoding="utf-8"?>
<comments xmlns="http://schemas.openxmlformats.org/spreadsheetml/2006/main">
  <authors>
    <author>ExpiryEdge</author>
  </authors>
  <commentList>
    <comment ref="A1" authorId="0" shapeId="0">
      <text>
        <t>This sheet fills itself from the tracker, one row per dated item (so one person can appear several times). Only items with a name and a date appear. In ExpiryEdge, go to Bulk Import and upload this .xlsx (choose this sheet), or save this sheet as CSV first. Required columns: name, expiry_date, type.</t>
      </text>
    </comment>
  </commentList>
</comments>
</file>

<file path=xl/tables/table1.xml><?xml version="1.0" encoding="utf-8"?>
<table xmlns="http://schemas.openxmlformats.org/spreadsheetml/2006/main" id="1" name="tblProviders" displayName="tblProviders" ref="A3:AK503" headerRowCount="1">
  <autoFilter ref="A3:AK503"/>
  <tableColumns count="37">
    <tableColumn id="1" name="Provider"/>
    <tableColumn id="2" name="Provider type"/>
    <tableColumn id="3" name="NPI"/>
    <tableColumn id="4" name="Specialty"/>
    <tableColumn id="5" name="License state"/>
    <tableColumn id="6" name="License no."/>
    <tableColumn id="7" name="License expiry"/>
    <tableColumn id="8" name="DEA no."/>
    <tableColumn id="9" name="DEA expiry"/>
    <tableColumn id="10" name="State CSR no."/>
    <tableColumn id="11" name="CSR expiry"/>
    <tableColumn id="12" name="Board / specialty"/>
    <tableColumn id="13" name="Board cert. expiry"/>
    <tableColumn id="14" name="Malpractice carrier"/>
    <tableColumn id="15" name="Policy no."/>
    <tableColumn id="16" name="Coverage form"/>
    <tableColumn id="17" name="Malpractice expiry"/>
    <tableColumn id="18" name="Life support"/>
    <tableColumn id="19" name="Life support expiry"/>
    <tableColumn id="20" name="CAQH ID"/>
    <tableColumn id="21" name="CAQH last attested"/>
    <tableColumn id="22" name="Attest cycle (days)"/>
    <tableColumn id="23" name="CAQH re-attest due"/>
    <tableColumn id="24" name="Hospital / facility"/>
    <tableColumn id="25" name="Privileges reappointment due"/>
    <tableColumn id="26" name="Payer(s)"/>
    <tableColumn id="27" name="Payer recredentialing due"/>
    <tableColumn id="28" name="Lead time (days)"/>
    <tableColumn id="29" name="Next item due"/>
    <tableColumn id="30" name="Next due date"/>
    <tableColumn id="31" name="Act-by date"/>
    <tableColumn id="32" name="Days left"/>
    <tableColumn id="33" name="Overall status"/>
    <tableColumn id="34" name="Credentialing contact"/>
    <tableColumn id="35" name="Owner email"/>
    <tableColumn id="36" name="Credential file link"/>
    <tableColumn id="3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dataspring.com/clinicians" TargetMode="External" Id="rId1"/><Relationship Type="http://schemas.openxmlformats.org/officeDocument/2006/relationships/hyperlink" Target="https://www.deadiversion.usdoj.gov/faq/registration-faq.html" TargetMode="External" Id="rId2"/><Relationship Type="http://schemas.openxmlformats.org/officeDocument/2006/relationships/hyperlink" Target="https://www.ecfr.gov/current/title-21/chapter-II/part-1301/subpart-A/section-1301.13" TargetMode="External" Id="rId3"/><Relationship Type="http://schemas.openxmlformats.org/officeDocument/2006/relationships/hyperlink" Target="https://npiregistry.cms.hhs.gov/" TargetMode="External" Id="rId4"/><Relationship Type="http://schemas.openxmlformats.org/officeDocument/2006/relationships/hyperlink" Target="https://expiryedge.com/templates/provider-credential-matrix/" TargetMode="External" Id="rId5"/></Relationships>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0E6B4F"/>
    <outlinePr summaryBelow="1" summaryRight="1"/>
    <pageSetUpPr fitToPage="1"/>
  </sheetPr>
  <dimension ref="B2:C79"/>
  <sheetViews>
    <sheetView showGridLines="0" tabSelected="1" workbookViewId="0">
      <selection activeCell="A1" sqref="A1"/>
    </sheetView>
  </sheetViews>
  <sheetFormatPr baseColWidth="8" defaultRowHeight="15"/>
  <cols>
    <col width="3" customWidth="1" min="1" max="1"/>
    <col width="30" customWidth="1" min="2" max="2"/>
    <col width="96" customWidth="1" min="3" max="3"/>
  </cols>
  <sheetData>
    <row r="2">
      <c r="B2" s="1" t="inlineStr">
        <is>
          <t>Provider credential matrix</t>
        </is>
      </c>
    </row>
    <row r="3">
      <c r="B3" s="2" t="inlineStr">
        <is>
          <t>License, DEA, CSR, board, malpractice, life support, CAQH, privileges and payer dates for every clinician, each color-coded, with a worst status per provider.</t>
        </is>
      </c>
    </row>
    <row r="4">
      <c r="B4" s="3" t="inlineStr">
        <is>
          <t>Free template · October 2026 edition · works in Excel, Google Sheets and LibreOffice</t>
        </is>
      </c>
    </row>
    <row r="6">
      <c r="B6" s="4" t="inlineStr">
        <is>
          <t>How to use it</t>
        </is>
      </c>
    </row>
    <row r="7" ht="33" customHeight="1">
      <c r="B7" s="5" t="inlineStr">
        <is>
          <t>1. Clear the examples</t>
        </is>
      </c>
      <c r="C7" s="6" t="inlineStr">
        <is>
          <t>Rows on the "Providers" sheet that start with "Example –" are samples. Delete them, or type over them.</t>
        </is>
      </c>
    </row>
    <row r="8" ht="33" customHeight="1">
      <c r="B8" s="5" t="inlineStr">
        <is>
          <t>2. Add your own rows</t>
        </is>
      </c>
      <c r="C8" s="6" t="inlineStr">
        <is>
          <t>Type in the white columns. The date is the one that matters: copy it from the document itself. Shaded columns calculate the days left, the status and the date to act by.</t>
        </is>
      </c>
    </row>
    <row r="9" ht="33" customHeight="1">
      <c r="B9" s="5" t="inlineStr">
        <is>
          <t>3. Check it weekly</t>
        </is>
      </c>
      <c r="C9" s="6" t="inlineStr">
        <is>
          <t>Open the Dashboard sheet: it counts what has expired or is due soon and lists the next 10 dates. Filter the status column to see only what needs action.</t>
        </is>
      </c>
    </row>
    <row r="11">
      <c r="B11" s="4" t="inlineStr">
        <is>
          <t>Colour key</t>
        </is>
      </c>
    </row>
    <row r="12">
      <c r="B12" s="7" t="inlineStr">
        <is>
          <t>Expired</t>
        </is>
      </c>
      <c r="C12" s="8" t="inlineStr">
        <is>
          <t>The date has passed.</t>
        </is>
      </c>
    </row>
    <row r="13">
      <c r="B13" s="9" t="inlineStr">
        <is>
          <t>Due ≤30 days</t>
        </is>
      </c>
      <c r="C13" s="8" t="inlineStr">
        <is>
          <t>Due within 30 days. Act now.</t>
        </is>
      </c>
    </row>
    <row r="14">
      <c r="B14" s="10" t="inlineStr">
        <is>
          <t>Due ≤90 days</t>
        </is>
      </c>
      <c r="C14" s="8" t="inlineStr">
        <is>
          <t>Due within 90 days. Plan it.</t>
        </is>
      </c>
    </row>
    <row r="15">
      <c r="B15" s="11" t="inlineStr">
        <is>
          <t>OK</t>
        </is>
      </c>
      <c r="C15" s="8" t="inlineStr">
        <is>
          <t>More than 90 days away.</t>
        </is>
      </c>
    </row>
    <row r="16">
      <c r="B16" s="12" t="inlineStr">
        <is>
          <t>Calculated column</t>
        </is>
      </c>
      <c r="C16" s="8" t="inlineStr">
        <is>
          <t>Dark header and shaded cells: filled in by formula, no need to type.</t>
        </is>
      </c>
    </row>
    <row r="17">
      <c r="B17" s="13" t="inlineStr">
        <is>
          <t>Your input</t>
        </is>
      </c>
      <c r="C17" s="8" t="inlineStr">
        <is>
          <t>Green header: type here. Hover a header to see what it expects.</t>
        </is>
      </c>
    </row>
    <row r="19">
      <c r="B19" s="4" t="inlineStr">
        <is>
          <t>Columns on "Providers"</t>
        </is>
      </c>
    </row>
    <row r="20">
      <c r="B20" s="13" t="inlineStr">
        <is>
          <t>Column</t>
        </is>
      </c>
      <c r="C20" s="13" t="inlineStr">
        <is>
          <t>What to enter</t>
        </is>
      </c>
    </row>
    <row r="21" ht="33" customHeight="1">
      <c r="B21" s="14" t="inlineStr">
        <is>
          <t>Provider *</t>
        </is>
      </c>
      <c r="C21" s="15" t="inlineStr">
        <is>
          <t>Full name, spelled the same way on every row. Practicing in two states? Add a second row for the second state.</t>
        </is>
      </c>
    </row>
    <row r="22" ht="18" customHeight="1">
      <c r="B22" s="14" t="inlineStr">
        <is>
          <t>Provider type</t>
        </is>
      </c>
      <c r="C22" s="15" t="inlineStr">
        <is>
          <t>MD, DO, NP, PA and so on. Edit the list on the Lists sheet.</t>
        </is>
      </c>
    </row>
    <row r="23" ht="18" customHeight="1">
      <c r="B23" s="14" t="inlineStr">
        <is>
          <t>NPI</t>
        </is>
      </c>
      <c r="C23" s="15" t="inlineStr">
        <is>
          <t>National Provider Identifier (10 digits). Type it as text so leading zeros stay.</t>
        </is>
      </c>
    </row>
    <row r="24" ht="18" customHeight="1">
      <c r="B24" s="14" t="inlineStr">
        <is>
          <t>Specialty</t>
        </is>
      </c>
      <c r="C24" s="15" t="inlineStr">
        <is>
          <t>Main specialty.</t>
        </is>
      </c>
    </row>
    <row r="25" ht="33" customHeight="1">
      <c r="B25" s="14" t="inlineStr">
        <is>
          <t>License state</t>
        </is>
      </c>
      <c r="C25" s="15" t="inlineStr">
        <is>
          <t>State of the license on this row. The DEA and CSR columns on the same row should be for the same state.</t>
        </is>
      </c>
    </row>
    <row r="26" ht="18" customHeight="1">
      <c r="B26" s="14" t="inlineStr">
        <is>
          <t>License no.</t>
        </is>
      </c>
      <c r="C26" s="15" t="inlineStr">
        <is>
          <t>As shown on the state board lookup.</t>
        </is>
      </c>
    </row>
    <row r="27" ht="18" customHeight="1">
      <c r="B27" s="14" t="inlineStr">
        <is>
          <t>License expiry</t>
        </is>
      </c>
      <c r="C27" s="15" t="inlineStr">
        <is>
          <t>Expiry date from the state board lookup (verify at the primary source, not from a copy).</t>
        </is>
      </c>
    </row>
    <row r="28" ht="33" customHeight="1">
      <c r="B28" s="14" t="inlineStr">
        <is>
          <t>DEA no.</t>
        </is>
      </c>
      <c r="C28" s="15" t="inlineStr">
        <is>
          <t>DEA registration number for this state. DEA requires a separate registration in each state where the practitioner prescribes.</t>
        </is>
      </c>
    </row>
    <row r="29" ht="18" customHeight="1">
      <c r="B29" s="14" t="inlineStr">
        <is>
          <t>DEA expiry</t>
        </is>
      </c>
      <c r="C29" s="15" t="inlineStr">
        <is>
          <t>Expiration date on the DEA registration certificate. Leave blank if the provider does not hold one.</t>
        </is>
      </c>
    </row>
    <row r="30" ht="18" customHeight="1">
      <c r="B30" s="14" t="inlineStr">
        <is>
          <t>State CSR no.</t>
        </is>
      </c>
      <c r="C30" s="15" t="inlineStr">
        <is>
          <t>State controlled substance registration, if the state issues one.</t>
        </is>
      </c>
    </row>
    <row r="31" ht="18" customHeight="1">
      <c r="B31" s="14" t="inlineStr">
        <is>
          <t>CSR expiry</t>
        </is>
      </c>
      <c r="C31" s="15" t="inlineStr">
        <is>
          <t>Leave blank if it does not apply.</t>
        </is>
      </c>
    </row>
    <row r="32" ht="18" customHeight="1">
      <c r="B32" s="14" t="inlineStr">
        <is>
          <t>Board / specialty</t>
        </is>
      </c>
      <c r="C32" s="15" t="inlineStr">
        <is>
          <t>Certifying board and specialty, as the board lists it.</t>
        </is>
      </c>
    </row>
    <row r="33" ht="33" customHeight="1">
      <c r="B33" s="14" t="inlineStr">
        <is>
          <t>Board cert. expiry</t>
        </is>
      </c>
      <c r="C33" s="15" t="inlineStr">
        <is>
          <t>Certificate end date, or the next continuing-certification deadline the board shows. Leave blank for lifetime certificates.</t>
        </is>
      </c>
    </row>
    <row r="34" ht="18" customHeight="1">
      <c r="B34" s="14" t="inlineStr">
        <is>
          <t>Malpractice carrier</t>
        </is>
      </c>
      <c r="C34" s="15" t="inlineStr">
        <is>
          <t>Insurer named on the certificate of insurance or face sheet.</t>
        </is>
      </c>
    </row>
    <row r="35" ht="18" customHeight="1">
      <c r="B35" s="14" t="inlineStr">
        <is>
          <t>Policy no.</t>
        </is>
      </c>
      <c r="C35" s="15" t="inlineStr">
        <is>
          <t>As printed on the certificate.</t>
        </is>
      </c>
    </row>
    <row r="36" ht="33" customHeight="1">
      <c r="B36" s="14" t="inlineStr">
        <is>
          <t>Coverage form</t>
        </is>
      </c>
      <c r="C36" s="15" t="inlineStr">
        <is>
          <t>Claims-made or occurrence, as stated on the policy. Matters when a provider leaves: ask your broker about tail cover for claims-made policies.</t>
        </is>
      </c>
    </row>
    <row r="37" ht="18" customHeight="1">
      <c r="B37" s="14" t="inlineStr">
        <is>
          <t>Malpractice expiry</t>
        </is>
      </c>
      <c r="C37" s="15" t="inlineStr">
        <is>
          <t>Policy expiration date.</t>
        </is>
      </c>
    </row>
    <row r="38" ht="18" customHeight="1">
      <c r="B38" s="14" t="inlineStr">
        <is>
          <t>Life support</t>
        </is>
      </c>
      <c r="C38" s="15" t="inlineStr">
        <is>
          <t>BLS, ACLS, PALS and so on: the card your facility or payer requires.</t>
        </is>
      </c>
    </row>
    <row r="39" ht="33" customHeight="1">
      <c r="B39" s="14" t="inlineStr">
        <is>
          <t>Life support expiry</t>
        </is>
      </c>
      <c r="C39" s="15" t="inlineStr">
        <is>
          <t>Expiry on the card. If the provider holds two (BLS and ACLS), use the earlier date or add the second in Notes.</t>
        </is>
      </c>
    </row>
    <row r="40" ht="18" customHeight="1">
      <c r="B40" s="14" t="inlineStr">
        <is>
          <t>CAQH ID</t>
        </is>
      </c>
      <c r="C40" s="15" t="inlineStr">
        <is>
          <t>CAQH Provider ID from the DataSpring (formerly CAQH) Provider Data Portal.</t>
        </is>
      </c>
    </row>
    <row r="41" ht="18" customHeight="1">
      <c r="B41" s="14" t="inlineStr">
        <is>
          <t>CAQH last attested</t>
        </is>
      </c>
      <c r="C41" s="15" t="inlineStr">
        <is>
          <t>Date the profile was last attested.</t>
        </is>
      </c>
    </row>
    <row r="42" ht="33" customHeight="1">
      <c r="B42" s="14" t="inlineStr">
        <is>
          <t>Attest cycle (days)</t>
        </is>
      </c>
      <c r="C42" s="15" t="inlineStr">
        <is>
          <t>Blank = 120, the attestation cycle DataSpring (formerly CAQH) states for its Provider Data Portal. Change it if the portal shows a different due date.</t>
        </is>
      </c>
    </row>
    <row r="43" ht="18" customHeight="1">
      <c r="B43" s="16" t="inlineStr">
        <is>
          <t>CAQH re-attest due</t>
        </is>
      </c>
      <c r="C43" s="15" t="inlineStr">
        <is>
          <t>Calculated. Last attested + the cycle (120 days unless you change it).</t>
        </is>
      </c>
    </row>
    <row r="44" ht="18" customHeight="1">
      <c r="B44" s="14" t="inlineStr">
        <is>
          <t>Hospital / facility</t>
        </is>
      </c>
      <c r="C44" s="15" t="inlineStr">
        <is>
          <t>Where the provider holds privileges.</t>
        </is>
      </c>
    </row>
    <row r="45" ht="33" customHeight="1">
      <c r="B45" s="14" t="inlineStr">
        <is>
          <t>Privileges reappointment due</t>
        </is>
      </c>
      <c r="C45" s="15" t="inlineStr">
        <is>
          <t>Reappointment date from the medical staff office letter. One row per facility if there are several, or use the earliest.</t>
        </is>
      </c>
    </row>
    <row r="46" ht="18" customHeight="1">
      <c r="B46" s="14" t="inlineStr">
        <is>
          <t>Payer(s)</t>
        </is>
      </c>
      <c r="C46" s="15" t="inlineStr">
        <is>
          <t>Payer whose recredentialing date is in the next column.</t>
        </is>
      </c>
    </row>
    <row r="47" ht="33" customHeight="1">
      <c r="B47" s="14" t="inlineStr">
        <is>
          <t>Payer recredentialing due</t>
        </is>
      </c>
      <c r="C47" s="15" t="inlineStr">
        <is>
          <t>Date from the payer’s recredentialing notice or portal. Several payers? Use the earliest and list the rest in Notes.</t>
        </is>
      </c>
    </row>
    <row r="48" ht="18" customHeight="1">
      <c r="B48" s="14" t="inlineStr">
        <is>
          <t>Lead time (days)</t>
        </is>
      </c>
      <c r="C48" s="15" t="inlineStr">
        <is>
          <t>How many days before the date you want to start acting. Leave blank for 30.</t>
        </is>
      </c>
    </row>
    <row r="49" ht="18" customHeight="1">
      <c r="B49" s="16" t="inlineStr">
        <is>
          <t>Next item due</t>
        </is>
      </c>
      <c r="C49" s="15" t="inlineStr">
        <is>
          <t>Calculated. Which credential has the earliest date on this row.</t>
        </is>
      </c>
    </row>
    <row r="50" ht="33" customHeight="1">
      <c r="B50" s="16" t="inlineStr">
        <is>
          <t>Next due date</t>
        </is>
      </c>
      <c r="C50" s="15" t="inlineStr">
        <is>
          <t>Calculated. The earliest of the nine credential dates. Blank dates are ignored; "Check date" means a date was typed as text.</t>
        </is>
      </c>
    </row>
    <row r="51" ht="18" customHeight="1">
      <c r="B51" s="16" t="inlineStr">
        <is>
          <t>Act-by date</t>
        </is>
      </c>
      <c r="C51" s="15" t="inlineStr">
        <is>
          <t>Calculated. Next due date minus the lead time.</t>
        </is>
      </c>
    </row>
    <row r="52" ht="18" customHeight="1">
      <c r="B52" s="16" t="inlineStr">
        <is>
          <t>Days left</t>
        </is>
      </c>
      <c r="C52" s="15" t="inlineStr">
        <is>
          <t>Calculated. Days until the next due date; negative once it has passed.</t>
        </is>
      </c>
    </row>
    <row r="53" ht="33" customHeight="1">
      <c r="B53" s="16" t="inlineStr">
        <is>
          <t>Overall status</t>
        </is>
      </c>
      <c r="C53" s="15" t="inlineStr">
        <is>
          <t>Calculated. The provider’s worst status: Expired, Due ≤30 days, Due ≤90 days or OK, from the earliest date.</t>
        </is>
      </c>
    </row>
    <row r="54" ht="18" customHeight="1">
      <c r="B54" s="14" t="inlineStr">
        <is>
          <t>Credentialing contact</t>
        </is>
      </c>
      <c r="C54" s="15" t="inlineStr">
        <is>
          <t>Who chases this provider’s renewals.</t>
        </is>
      </c>
    </row>
    <row r="55" ht="18" customHeight="1">
      <c r="B55" s="14" t="inlineStr">
        <is>
          <t>Owner email</t>
        </is>
      </c>
      <c r="C55" s="15" t="inlineStr">
        <is>
          <t>Who should be reminded. Becomes notification_email on import.</t>
        </is>
      </c>
    </row>
    <row r="56" ht="18" customHeight="1">
      <c r="B56" s="14" t="inlineStr">
        <is>
          <t>Credential file link</t>
        </is>
      </c>
      <c r="C56" s="15" t="inlineStr">
        <is>
          <t>Link to the provider’s credential file or folder.</t>
        </is>
      </c>
    </row>
    <row r="57" ht="18" customHeight="1">
      <c r="B57" s="14" t="inlineStr">
        <is>
          <t>Notes</t>
        </is>
      </c>
      <c r="C57" s="15" t="inlineStr">
        <is>
          <t>Anything the next person needs to know.</t>
        </is>
      </c>
    </row>
    <row r="58">
      <c r="B58" s="3" t="inlineStr">
        <is>
          <t>* needed for the import sheet.</t>
        </is>
      </c>
    </row>
    <row r="60">
      <c r="B60" s="4" t="inlineStr">
        <is>
          <t>Other sheets</t>
        </is>
      </c>
    </row>
    <row r="61" ht="48" customHeight="1">
      <c r="B61" s="5" t="inlineStr">
        <is>
          <t>Matrix</t>
        </is>
      </c>
      <c r="C61" s="6" t="inlineStr">
        <is>
          <t>One line per row of the Providers sheet. Each cell is that credential’s date, colored by how close it is. Blank means no date recorded, which may be fine (not every provider needs every credential) or may be a gap. This sheet fills itself: edit the Providers sheet instead.</t>
        </is>
      </c>
    </row>
    <row r="62" ht="18" customHeight="1">
      <c r="B62" s="5" t="inlineStr">
        <is>
          <t>Dashboard</t>
        </is>
      </c>
      <c r="C62" s="6" t="inlineStr">
        <is>
          <t>Counts by status and the next 10 dates, always as of today.</t>
        </is>
      </c>
    </row>
    <row r="63" ht="48" customHeight="1">
      <c r="B63" s="5" t="inlineStr">
        <is>
          <t>Import to ExpiryEdge</t>
        </is>
      </c>
      <c r="C63" s="6" t="inlineStr">
        <is>
          <t>The same rows laid out in the ExpiryEdge bulk-import columns (name, expiry_date, type, ...). If you ever move this list into ExpiryEdge, upload this file in Bulk Import and pick this sheet, or save the sheet as CSV. It fills itself; you never need to edit it.</t>
        </is>
      </c>
    </row>
    <row r="64" ht="18" customHeight="1">
      <c r="B64" s="5" t="inlineStr">
        <is>
          <t>Lists</t>
        </is>
      </c>
      <c r="C64" s="6" t="inlineStr">
        <is>
          <t>The options behind the dropdowns. Add your own there.</t>
        </is>
      </c>
    </row>
    <row r="66">
      <c r="B66" s="4" t="inlineStr">
        <is>
          <t>Good to know</t>
        </is>
      </c>
    </row>
    <row r="67">
      <c r="B67" s="8" t="inlineStr">
        <is>
          <t>·  Formulas are filled down for 500 rows. Need more? Copy the last row down.</t>
        </is>
      </c>
    </row>
    <row r="68">
      <c r="B68" s="8" t="inlineStr">
        <is>
          <t>·  Dates must be real dates, not text. If a status says "Check date", retype that date.</t>
        </is>
      </c>
    </row>
    <row r="69">
      <c r="B69" s="8" t="inlineStr">
        <is>
          <t>·  The file only changes when someone opens it. It cannot send reminders on its own.</t>
        </is>
      </c>
    </row>
    <row r="70">
      <c r="B70" s="8" t="inlineStr">
        <is>
          <t>·  This is a free template, not legal advice. Check dates and requirements against the official source for your situation.</t>
        </is>
      </c>
    </row>
    <row r="72">
      <c r="B72" s="4" t="inlineStr">
        <is>
          <t>Official sources</t>
        </is>
      </c>
    </row>
    <row r="73">
      <c r="B73" s="3" t="inlineStr">
        <is>
          <t>Rules differ by state and by setting. Check the official page before relying on a date.</t>
        </is>
      </c>
    </row>
    <row r="74" ht="33" customHeight="1">
      <c r="B74" s="17" t="inlineStr">
        <is>
          <t>DataSpring (formerly CAQH): clinicians</t>
        </is>
      </c>
      <c r="C74" s="6" t="inlineStr">
        <is>
          <t>The CAQH Provider Data Portal (formerly ProView). Profiles are maintained on a 120-day attestation cycle.</t>
        </is>
      </c>
    </row>
    <row r="75" ht="18" customHeight="1">
      <c r="B75" s="17" t="inlineStr">
        <is>
          <t>DEA Diversion Control: registration FAQ</t>
        </is>
      </c>
      <c r="C75" s="6" t="inlineStr">
        <is>
          <t>Including when a separate DEA registration is needed for each state.</t>
        </is>
      </c>
    </row>
    <row r="76" ht="18" customHeight="1">
      <c r="B76" s="17" t="inlineStr">
        <is>
          <t>21 CFR 1301.13: DEA registration periods</t>
        </is>
      </c>
      <c r="C76" s="6" t="inlineStr">
        <is>
          <t>Registration periods by activity, including practitioners.</t>
        </is>
      </c>
    </row>
    <row r="77" ht="33" customHeight="1">
      <c r="B77" s="17" t="inlineStr">
        <is>
          <t>NPPES NPI Registry (CMS)</t>
        </is>
      </c>
      <c r="C77" s="6" t="inlineStr">
        <is>
          <t>Look up a provider’s NPI and the details on file. Check license status and expiry at each state board’s own lookup.</t>
        </is>
      </c>
    </row>
    <row r="79">
      <c r="B79" s="18" t="inlineStr">
        <is>
          <t>Made by ExpiryEdge · expiryedge.com</t>
        </is>
      </c>
    </row>
  </sheetData>
  <hyperlinks>
    <hyperlink xmlns:r="http://schemas.openxmlformats.org/officeDocument/2006/relationships" ref="B74" r:id="rId1"/>
    <hyperlink xmlns:r="http://schemas.openxmlformats.org/officeDocument/2006/relationships" ref="B75" r:id="rId2"/>
    <hyperlink xmlns:r="http://schemas.openxmlformats.org/officeDocument/2006/relationships" ref="B76" r:id="rId3"/>
    <hyperlink xmlns:r="http://schemas.openxmlformats.org/officeDocument/2006/relationships" ref="B77" r:id="rId4"/>
    <hyperlink xmlns:r="http://schemas.openxmlformats.org/officeDocument/2006/relationships" ref="B79" r:id="rId5"/>
  </hyperlinks>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2.xml><?xml version="1.0" encoding="utf-8"?>
<worksheet xmlns="http://schemas.openxmlformats.org/spreadsheetml/2006/main">
  <sheetPr>
    <tabColor rgb="007CD9AE"/>
    <outlinePr summaryBelow="1" summaryRight="1"/>
    <pageSetUpPr fitToPage="1"/>
  </sheetPr>
  <dimension ref="A1:AK503"/>
  <sheetViews>
    <sheetView showGridLines="0" tabSelected="0" zoomScale="10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12" customWidth="1" min="3" max="3"/>
    <col width="16" customWidth="1" min="4" max="4"/>
    <col width="9" customWidth="1" min="5" max="5"/>
    <col width="13" customWidth="1" min="6" max="6"/>
    <col width="13" customWidth="1" min="7" max="7"/>
    <col width="12" customWidth="1" min="8" max="8"/>
    <col width="13" customWidth="1" min="9" max="9"/>
    <col width="12" customWidth="1" min="10" max="10"/>
    <col width="13" customWidth="1" min="11" max="11"/>
    <col width="26" customWidth="1" min="12" max="12"/>
    <col width="13" customWidth="1" min="13" max="13"/>
    <col width="18" customWidth="1" min="14" max="14"/>
    <col width="13" customWidth="1" min="15" max="15"/>
    <col width="12" customWidth="1" min="16" max="16"/>
    <col width="13" customWidth="1" min="17" max="17"/>
    <col width="11" customWidth="1" min="18" max="18"/>
    <col width="13" customWidth="1" min="19" max="19"/>
    <col width="11" customWidth="1" min="20" max="20"/>
    <col width="13" customWidth="1" min="21" max="21"/>
    <col width="10" customWidth="1" min="22" max="22"/>
    <col width="13" customWidth="1" min="23" max="23"/>
    <col width="24" customWidth="1" min="24" max="24"/>
    <col width="13" customWidth="1" min="25" max="25"/>
    <col width="22" customWidth="1" min="26" max="26"/>
    <col width="13" customWidth="1" min="27" max="27"/>
    <col width="11" customWidth="1" min="28" max="28"/>
    <col width="20" customWidth="1" min="29" max="29"/>
    <col width="13" customWidth="1" min="30" max="30"/>
    <col width="13" customWidth="1" min="31" max="31"/>
    <col width="9" customWidth="1" min="32" max="32"/>
    <col width="14" customWidth="1" min="33" max="33"/>
    <col width="18" customWidth="1" min="34" max="34"/>
    <col width="26" customWidth="1" min="35" max="35"/>
    <col width="26" customWidth="1" min="36" max="36"/>
    <col width="36" customWidth="1" min="37" max="37"/>
  </cols>
  <sheetData>
    <row r="1" ht="24" customHeight="1">
      <c r="A1" s="19" t="inlineStr">
        <is>
          <t>Provider credential matrix (one row per provider per state)</t>
        </is>
      </c>
    </row>
    <row r="2" ht="16" customHeight="1">
      <c r="A2" s="3" t="inlineStr">
        <is>
          <t>Type in the white columns. Shaded columns are calculated, so leave them alone. Rows starting "Example –" are samples: delete them (or type over them) when you add your own.</t>
        </is>
      </c>
    </row>
    <row r="3" ht="32" customHeight="1">
      <c r="A3" s="20" t="inlineStr">
        <is>
          <t>Provider</t>
        </is>
      </c>
      <c r="B3" s="20" t="inlineStr">
        <is>
          <t>Provider type</t>
        </is>
      </c>
      <c r="C3" s="20" t="inlineStr">
        <is>
          <t>NPI</t>
        </is>
      </c>
      <c r="D3" s="20" t="inlineStr">
        <is>
          <t>Specialty</t>
        </is>
      </c>
      <c r="E3" s="20" t="inlineStr">
        <is>
          <t>License state</t>
        </is>
      </c>
      <c r="F3" s="20" t="inlineStr">
        <is>
          <t>License no.</t>
        </is>
      </c>
      <c r="G3" s="20" t="inlineStr">
        <is>
          <t>License expiry</t>
        </is>
      </c>
      <c r="H3" s="20" t="inlineStr">
        <is>
          <t>DEA no.</t>
        </is>
      </c>
      <c r="I3" s="20" t="inlineStr">
        <is>
          <t>DEA expiry</t>
        </is>
      </c>
      <c r="J3" s="20" t="inlineStr">
        <is>
          <t>State CSR no.</t>
        </is>
      </c>
      <c r="K3" s="20" t="inlineStr">
        <is>
          <t>CSR expiry</t>
        </is>
      </c>
      <c r="L3" s="20" t="inlineStr">
        <is>
          <t>Board / specialty</t>
        </is>
      </c>
      <c r="M3" s="20" t="inlineStr">
        <is>
          <t>Board cert. expiry</t>
        </is>
      </c>
      <c r="N3" s="20" t="inlineStr">
        <is>
          <t>Malpractice carrier</t>
        </is>
      </c>
      <c r="O3" s="20" t="inlineStr">
        <is>
          <t>Policy no.</t>
        </is>
      </c>
      <c r="P3" s="20" t="inlineStr">
        <is>
          <t>Coverage form</t>
        </is>
      </c>
      <c r="Q3" s="20" t="inlineStr">
        <is>
          <t>Malpractice expiry</t>
        </is>
      </c>
      <c r="R3" s="20" t="inlineStr">
        <is>
          <t>Life support</t>
        </is>
      </c>
      <c r="S3" s="20" t="inlineStr">
        <is>
          <t>Life support expiry</t>
        </is>
      </c>
      <c r="T3" s="20" t="inlineStr">
        <is>
          <t>CAQH ID</t>
        </is>
      </c>
      <c r="U3" s="20" t="inlineStr">
        <is>
          <t>CAQH last attested</t>
        </is>
      </c>
      <c r="V3" s="20" t="inlineStr">
        <is>
          <t>Attest cycle (days)</t>
        </is>
      </c>
      <c r="W3" s="21" t="inlineStr">
        <is>
          <t>CAQH re-attest due</t>
        </is>
      </c>
      <c r="X3" s="20" t="inlineStr">
        <is>
          <t>Hospital / facility</t>
        </is>
      </c>
      <c r="Y3" s="20" t="inlineStr">
        <is>
          <t>Privileges reappointment due</t>
        </is>
      </c>
      <c r="Z3" s="20" t="inlineStr">
        <is>
          <t>Payer(s)</t>
        </is>
      </c>
      <c r="AA3" s="20" t="inlineStr">
        <is>
          <t>Payer recredentialing due</t>
        </is>
      </c>
      <c r="AB3" s="20" t="inlineStr">
        <is>
          <t>Lead time (days)</t>
        </is>
      </c>
      <c r="AC3" s="21" t="inlineStr">
        <is>
          <t>Next item due</t>
        </is>
      </c>
      <c r="AD3" s="21" t="inlineStr">
        <is>
          <t>Next due date</t>
        </is>
      </c>
      <c r="AE3" s="21" t="inlineStr">
        <is>
          <t>Act-by date</t>
        </is>
      </c>
      <c r="AF3" s="21" t="inlineStr">
        <is>
          <t>Days left</t>
        </is>
      </c>
      <c r="AG3" s="21" t="inlineStr">
        <is>
          <t>Overall status</t>
        </is>
      </c>
      <c r="AH3" s="20" t="inlineStr">
        <is>
          <t>Credentialing contact</t>
        </is>
      </c>
      <c r="AI3" s="20" t="inlineStr">
        <is>
          <t>Owner email</t>
        </is>
      </c>
      <c r="AJ3" s="20" t="inlineStr">
        <is>
          <t>Credential file link</t>
        </is>
      </c>
      <c r="AK3" s="20" t="inlineStr">
        <is>
          <t>Notes</t>
        </is>
      </c>
    </row>
    <row r="4">
      <c r="A4" s="22" t="inlineStr">
        <is>
          <t>Example – Alex Sample</t>
        </is>
      </c>
      <c r="B4" s="22" t="inlineStr">
        <is>
          <t>MD</t>
        </is>
      </c>
      <c r="C4" s="22" t="inlineStr">
        <is>
          <t>0000000001</t>
        </is>
      </c>
      <c r="D4" s="22" t="inlineStr">
        <is>
          <t>Internal medicine</t>
        </is>
      </c>
      <c r="E4" s="22" t="inlineStr">
        <is>
          <t>IL</t>
        </is>
      </c>
      <c r="F4" s="22" t="inlineStr">
        <is>
          <t>EX-036-0001</t>
        </is>
      </c>
      <c r="G4" s="23" t="n">
        <v>46599</v>
      </c>
      <c r="H4" s="22" t="inlineStr">
        <is>
          <t>EX0000001</t>
        </is>
      </c>
      <c r="I4" s="23" t="n">
        <v>46843</v>
      </c>
      <c r="J4" s="22" t="inlineStr">
        <is>
          <t>EX-336-0001</t>
        </is>
      </c>
      <c r="K4" s="23" t="n">
        <v>46599</v>
      </c>
      <c r="L4" s="22" t="inlineStr">
        <is>
          <t>Example board · Internal medicine</t>
        </is>
      </c>
      <c r="M4" s="23" t="n">
        <v>47848</v>
      </c>
      <c r="N4" s="22" t="inlineStr">
        <is>
          <t>Example Mutual</t>
        </is>
      </c>
      <c r="O4" s="22" t="inlineStr">
        <is>
          <t>EX-PL-0001</t>
        </is>
      </c>
      <c r="P4" s="22" t="inlineStr">
        <is>
          <t>Claims-made</t>
        </is>
      </c>
      <c r="Q4" s="23" t="n">
        <v>46388</v>
      </c>
      <c r="R4" s="22" t="inlineStr">
        <is>
          <t>BLS + ACLS</t>
        </is>
      </c>
      <c r="S4" s="23" t="n">
        <v>46507</v>
      </c>
      <c r="T4" s="22" t="inlineStr">
        <is>
          <t>EX10001</t>
        </is>
      </c>
      <c r="U4" s="23" t="n">
        <v>46204</v>
      </c>
      <c r="V4" s="24" t="n"/>
      <c r="W4" s="25">
        <f>IF(ISNUMBER(U4),U4+IF(ISNUMBER(V4),V4,120),"")</f>
        <v/>
      </c>
      <c r="X4" s="22" t="inlineStr">
        <is>
          <t>Example General Hospital</t>
        </is>
      </c>
      <c r="Y4" s="23" t="n">
        <v>46660</v>
      </c>
      <c r="Z4" s="22" t="inlineStr">
        <is>
          <t>Example Health Plan</t>
        </is>
      </c>
      <c r="AA4" s="23" t="n">
        <v>46798</v>
      </c>
      <c r="AB4" s="24" t="n">
        <v>45</v>
      </c>
      <c r="AC4" s="26">
        <f>IF(ISNUMBER(AD4)=FALSE,"",IF(G4=AD4,"State license",IF(I4=AD4,"DEA registration",IF(K4=AD4,"State CSR",IF(M4=AD4,"Board certification",IF(Q4=AD4,"Malpractice",IF(S4=AD4,"Life support",IF(W4=AD4,"CAQH re-attestation",IF(Y4=AD4,"Privileges reappointment","Payer recredentialing")))))))))</f>
        <v/>
      </c>
      <c r="AD4" s="25">
        <f>IF(OR(AND(LEN(G4)&gt;0,ISNUMBER(G4)=FALSE),AND(LEN(I4)&gt;0,ISNUMBER(I4)=FALSE),AND(LEN(K4)&gt;0,ISNUMBER(K4)=FALSE),AND(LEN(M4)&gt;0,ISNUMBER(M4)=FALSE),AND(LEN(Q4)&gt;0,ISNUMBER(Q4)=FALSE),AND(LEN(S4)&gt;0,ISNUMBER(S4)=FALSE),AND(LEN(Y4)&gt;0,ISNUMBER(Y4)=FALSE),AND(LEN(AA4)&gt;0,ISNUMBER(AA4)=FALSE),AND(LEN(U4)&gt;0,ISNUMBER(U4)=FALSE)),"Check date",IF(COUNT(G4,I4,K4,M4,Q4,S4,W4,Y4,AA4)=0,"",MIN(G4,I4,K4,M4,Q4,S4,W4,Y4,AA4)))</f>
        <v/>
      </c>
      <c r="AE4" s="25">
        <f>IF(ISNUMBER(AD4),AD4-IF(ISNUMBER(AB4),AB4,30),"")</f>
        <v/>
      </c>
      <c r="AF4" s="27">
        <f>IF(AD4="","",IF(ISNUMBER(AD4),AD4-TODAY(),"Check date"))</f>
        <v/>
      </c>
      <c r="AG4" s="28">
        <f>IF(AF4="","",IF(ISNUMBER(AF4),IF(AF4&lt;0,"Expired",IF(AF4&lt;=30,"Due ≤30 days",IF(AF4&lt;=90,"Due ≤90 days","OK"))),"Check date"))</f>
        <v/>
      </c>
      <c r="AH4" s="22" t="inlineStr">
        <is>
          <t>Credentialing team</t>
        </is>
      </c>
      <c r="AI4" s="22" t="inlineStr">
        <is>
          <t>cred@example.com</t>
        </is>
      </c>
      <c r="AJ4" s="22" t="n"/>
      <c r="AK4" s="22" t="n"/>
    </row>
    <row r="5">
      <c r="A5" s="22" t="inlineStr">
        <is>
          <t>Example – Alex Sample</t>
        </is>
      </c>
      <c r="B5" s="22" t="inlineStr">
        <is>
          <t>MD</t>
        </is>
      </c>
      <c r="C5" s="22" t="inlineStr">
        <is>
          <t>0000000001</t>
        </is>
      </c>
      <c r="D5" s="22" t="inlineStr">
        <is>
          <t>Internal medicine</t>
        </is>
      </c>
      <c r="E5" s="22" t="inlineStr">
        <is>
          <t>MO</t>
        </is>
      </c>
      <c r="F5" s="22" t="inlineStr">
        <is>
          <t>EX-2027-0002</t>
        </is>
      </c>
      <c r="G5" s="23" t="n">
        <v>46783</v>
      </c>
      <c r="H5" s="22" t="inlineStr">
        <is>
          <t>EX0000002</t>
        </is>
      </c>
      <c r="I5" s="23" t="n">
        <v>46843</v>
      </c>
      <c r="J5" s="22" t="inlineStr">
        <is>
          <t>EX-BN-0002</t>
        </is>
      </c>
      <c r="K5" s="23" t="n">
        <v>46783</v>
      </c>
      <c r="L5" s="22" t="n"/>
      <c r="M5" s="23" t="n"/>
      <c r="N5" s="22" t="n"/>
      <c r="O5" s="22" t="n"/>
      <c r="P5" s="22" t="n"/>
      <c r="Q5" s="23" t="n"/>
      <c r="R5" s="22" t="n"/>
      <c r="S5" s="23" t="n"/>
      <c r="T5" s="22" t="n"/>
      <c r="U5" s="23" t="n"/>
      <c r="V5" s="24" t="n"/>
      <c r="W5" s="25">
        <f>IF(ISNUMBER(U5),U5+IF(ISNUMBER(V5),V5,120),"")</f>
        <v/>
      </c>
      <c r="X5" s="22" t="n"/>
      <c r="Y5" s="23" t="n"/>
      <c r="Z5" s="22" t="n"/>
      <c r="AA5" s="23" t="n"/>
      <c r="AB5" s="24" t="n">
        <v>45</v>
      </c>
      <c r="AC5" s="26">
        <f>IF(ISNUMBER(AD5)=FALSE,"",IF(G5=AD5,"State license",IF(I5=AD5,"DEA registration",IF(K5=AD5,"State CSR",IF(M5=AD5,"Board certification",IF(Q5=AD5,"Malpractice",IF(S5=AD5,"Life support",IF(W5=AD5,"CAQH re-attestation",IF(Y5=AD5,"Privileges reappointment","Payer recredentialing")))))))))</f>
        <v/>
      </c>
      <c r="AD5" s="25">
        <f>IF(OR(AND(LEN(G5)&gt;0,ISNUMBER(G5)=FALSE),AND(LEN(I5)&gt;0,ISNUMBER(I5)=FALSE),AND(LEN(K5)&gt;0,ISNUMBER(K5)=FALSE),AND(LEN(M5)&gt;0,ISNUMBER(M5)=FALSE),AND(LEN(Q5)&gt;0,ISNUMBER(Q5)=FALSE),AND(LEN(S5)&gt;0,ISNUMBER(S5)=FALSE),AND(LEN(Y5)&gt;0,ISNUMBER(Y5)=FALSE),AND(LEN(AA5)&gt;0,ISNUMBER(AA5)=FALSE),AND(LEN(U5)&gt;0,ISNUMBER(U5)=FALSE)),"Check date",IF(COUNT(G5,I5,K5,M5,Q5,S5,W5,Y5,AA5)=0,"",MIN(G5,I5,K5,M5,Q5,S5,W5,Y5,AA5)))</f>
        <v/>
      </c>
      <c r="AE5" s="25">
        <f>IF(ISNUMBER(AD5),AD5-IF(ISNUMBER(AB5),AB5,30),"")</f>
        <v/>
      </c>
      <c r="AF5" s="27">
        <f>IF(AD5="","",IF(ISNUMBER(AD5),AD5-TODAY(),"Check date"))</f>
        <v/>
      </c>
      <c r="AG5" s="28">
        <f>IF(AF5="","",IF(ISNUMBER(AF5),IF(AF5&lt;0,"Expired",IF(AF5&lt;=30,"Due ≤30 days",IF(AF5&lt;=90,"Due ≤90 days","OK"))),"Check date"))</f>
        <v/>
      </c>
      <c r="AH5" s="22" t="inlineStr">
        <is>
          <t>Credentialing team</t>
        </is>
      </c>
      <c r="AI5" s="22" t="inlineStr">
        <is>
          <t>cred@example.com</t>
        </is>
      </c>
      <c r="AJ5" s="22" t="n"/>
      <c r="AK5" s="22" t="n"/>
    </row>
    <row r="6">
      <c r="A6" s="22" t="inlineStr">
        <is>
          <t>Example – Jo Placeholder</t>
        </is>
      </c>
      <c r="B6" s="22" t="inlineStr">
        <is>
          <t>NP</t>
        </is>
      </c>
      <c r="C6" s="22" t="inlineStr">
        <is>
          <t>0000000002</t>
        </is>
      </c>
      <c r="D6" s="22" t="inlineStr">
        <is>
          <t>Family practice</t>
        </is>
      </c>
      <c r="E6" s="22" t="inlineStr">
        <is>
          <t>MO</t>
        </is>
      </c>
      <c r="F6" s="22" t="inlineStr">
        <is>
          <t>EX-2027-0003</t>
        </is>
      </c>
      <c r="G6" s="23" t="n">
        <v>46507</v>
      </c>
      <c r="H6" s="22" t="inlineStr">
        <is>
          <t>EX0000003</t>
        </is>
      </c>
      <c r="I6" s="23" t="n">
        <v>46356</v>
      </c>
      <c r="J6" s="22" t="inlineStr">
        <is>
          <t>EX-BN-0003</t>
        </is>
      </c>
      <c r="K6" s="23" t="n">
        <v>46418</v>
      </c>
      <c r="L6" s="22" t="inlineStr">
        <is>
          <t>Example certifying body · FNP</t>
        </is>
      </c>
      <c r="M6" s="23" t="n">
        <v>47299</v>
      </c>
      <c r="N6" s="22" t="inlineStr">
        <is>
          <t>Example Specialty</t>
        </is>
      </c>
      <c r="O6" s="22" t="inlineStr">
        <is>
          <t>EX-PL-0002</t>
        </is>
      </c>
      <c r="P6" s="22" t="inlineStr">
        <is>
          <t>Occurrence</t>
        </is>
      </c>
      <c r="Q6" s="23" t="n">
        <v>46295</v>
      </c>
      <c r="R6" s="22" t="inlineStr">
        <is>
          <t>BLS</t>
        </is>
      </c>
      <c r="S6" s="23" t="n">
        <v>46568</v>
      </c>
      <c r="T6" s="22" t="inlineStr">
        <is>
          <t>EX10002</t>
        </is>
      </c>
      <c r="U6" s="23" t="n">
        <v>46275</v>
      </c>
      <c r="V6" s="24" t="n"/>
      <c r="W6" s="25">
        <f>IF(ISNUMBER(U6),U6+IF(ISNUMBER(V6),V6,120),"")</f>
        <v/>
      </c>
      <c r="X6" s="22" t="inlineStr">
        <is>
          <t>Example Community Hospital</t>
        </is>
      </c>
      <c r="Y6" s="23" t="n">
        <v>46873</v>
      </c>
      <c r="Z6" s="22" t="inlineStr">
        <is>
          <t>Example Health Plan</t>
        </is>
      </c>
      <c r="AA6" s="23" t="n">
        <v>46447</v>
      </c>
      <c r="AB6" s="24" t="n">
        <v>60</v>
      </c>
      <c r="AC6" s="26">
        <f>IF(ISNUMBER(AD6)=FALSE,"",IF(G6=AD6,"State license",IF(I6=AD6,"DEA registration",IF(K6=AD6,"State CSR",IF(M6=AD6,"Board certification",IF(Q6=AD6,"Malpractice",IF(S6=AD6,"Life support",IF(W6=AD6,"CAQH re-attestation",IF(Y6=AD6,"Privileges reappointment","Payer recredentialing")))))))))</f>
        <v/>
      </c>
      <c r="AD6" s="25">
        <f>IF(OR(AND(LEN(G6)&gt;0,ISNUMBER(G6)=FALSE),AND(LEN(I6)&gt;0,ISNUMBER(I6)=FALSE),AND(LEN(K6)&gt;0,ISNUMBER(K6)=FALSE),AND(LEN(M6)&gt;0,ISNUMBER(M6)=FALSE),AND(LEN(Q6)&gt;0,ISNUMBER(Q6)=FALSE),AND(LEN(S6)&gt;0,ISNUMBER(S6)=FALSE),AND(LEN(Y6)&gt;0,ISNUMBER(Y6)=FALSE),AND(LEN(AA6)&gt;0,ISNUMBER(AA6)=FALSE),AND(LEN(U6)&gt;0,ISNUMBER(U6)=FALSE)),"Check date",IF(COUNT(G6,I6,K6,M6,Q6,S6,W6,Y6,AA6)=0,"",MIN(G6,I6,K6,M6,Q6,S6,W6,Y6,AA6)))</f>
        <v/>
      </c>
      <c r="AE6" s="25">
        <f>IF(ISNUMBER(AD6),AD6-IF(ISNUMBER(AB6),AB6,30),"")</f>
        <v/>
      </c>
      <c r="AF6" s="27">
        <f>IF(AD6="","",IF(ISNUMBER(AD6),AD6-TODAY(),"Check date"))</f>
        <v/>
      </c>
      <c r="AG6" s="28">
        <f>IF(AF6="","",IF(ISNUMBER(AF6),IF(AF6&lt;0,"Expired",IF(AF6&lt;=30,"Due ≤30 days",IF(AF6&lt;=90,"Due ≤90 days","OK"))),"Check date"))</f>
        <v/>
      </c>
      <c r="AH6" s="22" t="inlineStr">
        <is>
          <t>Credentialing team</t>
        </is>
      </c>
      <c r="AI6" s="22" t="inlineStr">
        <is>
          <t>cred@example.com</t>
        </is>
      </c>
      <c r="AJ6" s="22" t="n"/>
      <c r="AK6" s="22" t="n"/>
    </row>
    <row r="7">
      <c r="A7" s="22" t="inlineStr">
        <is>
          <t>Example – Chris Demo</t>
        </is>
      </c>
      <c r="B7" s="22" t="inlineStr">
        <is>
          <t>PA</t>
        </is>
      </c>
      <c r="C7" s="22" t="inlineStr">
        <is>
          <t>0000000003</t>
        </is>
      </c>
      <c r="D7" s="22" t="inlineStr">
        <is>
          <t>Emergency medicine</t>
        </is>
      </c>
      <c r="E7" s="22" t="inlineStr">
        <is>
          <t>IL</t>
        </is>
      </c>
      <c r="F7" s="22" t="inlineStr">
        <is>
          <t>EX-085-0004</t>
        </is>
      </c>
      <c r="G7" s="23" t="n">
        <v>46783</v>
      </c>
      <c r="H7" s="22" t="inlineStr">
        <is>
          <t>EX0000004</t>
        </is>
      </c>
      <c r="I7" s="23" t="n">
        <v>46934</v>
      </c>
      <c r="J7" s="22" t="inlineStr">
        <is>
          <t>EX-336-0004</t>
        </is>
      </c>
      <c r="K7" s="23" t="n">
        <v>46783</v>
      </c>
      <c r="L7" s="22" t="inlineStr">
        <is>
          <t>Example certifying body · PA</t>
        </is>
      </c>
      <c r="M7" s="23" t="n">
        <v>47118</v>
      </c>
      <c r="N7" s="22" t="inlineStr">
        <is>
          <t>Example Mutual</t>
        </is>
      </c>
      <c r="O7" s="22" t="inlineStr">
        <is>
          <t>EX-PL-0003</t>
        </is>
      </c>
      <c r="P7" s="22" t="inlineStr">
        <is>
          <t>Claims-made</t>
        </is>
      </c>
      <c r="Q7" s="23" t="n">
        <v>46568</v>
      </c>
      <c r="R7" s="22" t="inlineStr">
        <is>
          <t>ACLS</t>
        </is>
      </c>
      <c r="S7" s="23" t="n">
        <v>46446</v>
      </c>
      <c r="T7" s="22" t="inlineStr">
        <is>
          <t>EX10003</t>
        </is>
      </c>
      <c r="U7" s="23" t="n">
        <v>46254</v>
      </c>
      <c r="V7" s="24" t="n"/>
      <c r="W7" s="25">
        <f>IF(ISNUMBER(U7),U7+IF(ISNUMBER(V7),V7,120),"")</f>
        <v/>
      </c>
      <c r="X7" s="22" t="inlineStr">
        <is>
          <t>Example General Hospital</t>
        </is>
      </c>
      <c r="Y7" s="23" t="n">
        <v>46477</v>
      </c>
      <c r="Z7" s="22" t="inlineStr">
        <is>
          <t>Example Medicaid plan</t>
        </is>
      </c>
      <c r="AA7" s="23" t="n">
        <v>46692</v>
      </c>
      <c r="AB7" s="24" t="n">
        <v>60</v>
      </c>
      <c r="AC7" s="26">
        <f>IF(ISNUMBER(AD7)=FALSE,"",IF(G7=AD7,"State license",IF(I7=AD7,"DEA registration",IF(K7=AD7,"State CSR",IF(M7=AD7,"Board certification",IF(Q7=AD7,"Malpractice",IF(S7=AD7,"Life support",IF(W7=AD7,"CAQH re-attestation",IF(Y7=AD7,"Privileges reappointment","Payer recredentialing")))))))))</f>
        <v/>
      </c>
      <c r="AD7" s="25">
        <f>IF(OR(AND(LEN(G7)&gt;0,ISNUMBER(G7)=FALSE),AND(LEN(I7)&gt;0,ISNUMBER(I7)=FALSE),AND(LEN(K7)&gt;0,ISNUMBER(K7)=FALSE),AND(LEN(M7)&gt;0,ISNUMBER(M7)=FALSE),AND(LEN(Q7)&gt;0,ISNUMBER(Q7)=FALSE),AND(LEN(S7)&gt;0,ISNUMBER(S7)=FALSE),AND(LEN(Y7)&gt;0,ISNUMBER(Y7)=FALSE),AND(LEN(AA7)&gt;0,ISNUMBER(AA7)=FALSE),AND(LEN(U7)&gt;0,ISNUMBER(U7)=FALSE)),"Check date",IF(COUNT(G7,I7,K7,M7,Q7,S7,W7,Y7,AA7)=0,"",MIN(G7,I7,K7,M7,Q7,S7,W7,Y7,AA7)))</f>
        <v/>
      </c>
      <c r="AE7" s="25">
        <f>IF(ISNUMBER(AD7),AD7-IF(ISNUMBER(AB7),AB7,30),"")</f>
        <v/>
      </c>
      <c r="AF7" s="27">
        <f>IF(AD7="","",IF(ISNUMBER(AD7),AD7-TODAY(),"Check date"))</f>
        <v/>
      </c>
      <c r="AG7" s="28">
        <f>IF(AF7="","",IF(ISNUMBER(AF7),IF(AF7&lt;0,"Expired",IF(AF7&lt;=30,"Due ≤30 days",IF(AF7&lt;=90,"Due ≤90 days","OK"))),"Check date"))</f>
        <v/>
      </c>
      <c r="AH7" s="22" t="inlineStr">
        <is>
          <t>Credentialing team</t>
        </is>
      </c>
      <c r="AI7" s="22" t="inlineStr">
        <is>
          <t>cred@example.com</t>
        </is>
      </c>
      <c r="AJ7" s="22" t="n"/>
      <c r="AK7" s="22" t="n"/>
    </row>
    <row r="8">
      <c r="A8" s="22" t="inlineStr">
        <is>
          <t>Example – Sam Example</t>
        </is>
      </c>
      <c r="B8" s="22" t="inlineStr">
        <is>
          <t>DO</t>
        </is>
      </c>
      <c r="C8" s="22" t="inlineStr">
        <is>
          <t>0000000004</t>
        </is>
      </c>
      <c r="D8" s="22" t="inlineStr">
        <is>
          <t>Family medicine</t>
        </is>
      </c>
      <c r="E8" s="22" t="inlineStr">
        <is>
          <t>IL</t>
        </is>
      </c>
      <c r="F8" s="22" t="inlineStr">
        <is>
          <t>EX-036-0005</t>
        </is>
      </c>
      <c r="G8" s="23" t="n">
        <v>47330</v>
      </c>
      <c r="H8" s="22" t="inlineStr">
        <is>
          <t>EX0000005</t>
        </is>
      </c>
      <c r="I8" s="23" t="n">
        <v>47269</v>
      </c>
      <c r="J8" s="22" t="inlineStr">
        <is>
          <t>EX-336-0005</t>
        </is>
      </c>
      <c r="K8" s="23" t="n">
        <v>47330</v>
      </c>
      <c r="L8" s="22" t="inlineStr">
        <is>
          <t>Example board · Family medicine</t>
        </is>
      </c>
      <c r="M8" s="23" t="n">
        <v>48213</v>
      </c>
      <c r="N8" s="22" t="inlineStr">
        <is>
          <t>Example Mutual</t>
        </is>
      </c>
      <c r="O8" s="22" t="inlineStr">
        <is>
          <t>EX-PL-0004</t>
        </is>
      </c>
      <c r="P8" s="22" t="inlineStr">
        <is>
          <t>Claims-made</t>
        </is>
      </c>
      <c r="Q8" s="23" t="n">
        <v>46631</v>
      </c>
      <c r="R8" s="22" t="inlineStr">
        <is>
          <t>BLS</t>
        </is>
      </c>
      <c r="S8" s="23" t="n">
        <v>46783</v>
      </c>
      <c r="T8" s="22" t="inlineStr">
        <is>
          <t>EX10004</t>
        </is>
      </c>
      <c r="U8" s="23" t="n">
        <v>46296</v>
      </c>
      <c r="V8" s="24" t="n"/>
      <c r="W8" s="25">
        <f>IF(ISNUMBER(U8),U8+IF(ISNUMBER(V8),V8,120),"")</f>
        <v/>
      </c>
      <c r="X8" s="22" t="inlineStr">
        <is>
          <t>Example General Hospital</t>
        </is>
      </c>
      <c r="Y8" s="23" t="n">
        <v>46934</v>
      </c>
      <c r="Z8" s="22" t="inlineStr">
        <is>
          <t>Example Health Plan</t>
        </is>
      </c>
      <c r="AA8" s="23" t="n">
        <v>46980</v>
      </c>
      <c r="AB8" s="24" t="n">
        <v>60</v>
      </c>
      <c r="AC8" s="26">
        <f>IF(ISNUMBER(AD8)=FALSE,"",IF(G8=AD8,"State license",IF(I8=AD8,"DEA registration",IF(K8=AD8,"State CSR",IF(M8=AD8,"Board certification",IF(Q8=AD8,"Malpractice",IF(S8=AD8,"Life support",IF(W8=AD8,"CAQH re-attestation",IF(Y8=AD8,"Privileges reappointment","Payer recredentialing")))))))))</f>
        <v/>
      </c>
      <c r="AD8" s="25">
        <f>IF(OR(AND(LEN(G8)&gt;0,ISNUMBER(G8)=FALSE),AND(LEN(I8)&gt;0,ISNUMBER(I8)=FALSE),AND(LEN(K8)&gt;0,ISNUMBER(K8)=FALSE),AND(LEN(M8)&gt;0,ISNUMBER(M8)=FALSE),AND(LEN(Q8)&gt;0,ISNUMBER(Q8)=FALSE),AND(LEN(S8)&gt;0,ISNUMBER(S8)=FALSE),AND(LEN(Y8)&gt;0,ISNUMBER(Y8)=FALSE),AND(LEN(AA8)&gt;0,ISNUMBER(AA8)=FALSE),AND(LEN(U8)&gt;0,ISNUMBER(U8)=FALSE)),"Check date",IF(COUNT(G8,I8,K8,M8,Q8,S8,W8,Y8,AA8)=0,"",MIN(G8,I8,K8,M8,Q8,S8,W8,Y8,AA8)))</f>
        <v/>
      </c>
      <c r="AE8" s="25">
        <f>IF(ISNUMBER(AD8),AD8-IF(ISNUMBER(AB8),AB8,30),"")</f>
        <v/>
      </c>
      <c r="AF8" s="27">
        <f>IF(AD8="","",IF(ISNUMBER(AD8),AD8-TODAY(),"Check date"))</f>
        <v/>
      </c>
      <c r="AG8" s="28">
        <f>IF(AF8="","",IF(ISNUMBER(AF8),IF(AF8&lt;0,"Expired",IF(AF8&lt;=30,"Due ≤30 days",IF(AF8&lt;=90,"Due ≤90 days","OK"))),"Check date"))</f>
        <v/>
      </c>
      <c r="AH8" s="22" t="inlineStr">
        <is>
          <t>Credentialing team</t>
        </is>
      </c>
      <c r="AI8" s="22" t="inlineStr">
        <is>
          <t>cred@example.com</t>
        </is>
      </c>
      <c r="AJ8" s="22" t="n"/>
      <c r="AK8" s="22" t="n"/>
    </row>
    <row r="9">
      <c r="A9" s="22" t="n"/>
      <c r="B9" s="22" t="n"/>
      <c r="C9" s="22" t="n"/>
      <c r="D9" s="22" t="n"/>
      <c r="E9" s="22" t="n"/>
      <c r="F9" s="22" t="n"/>
      <c r="G9" s="23" t="n"/>
      <c r="H9" s="22" t="n"/>
      <c r="I9" s="23" t="n"/>
      <c r="J9" s="22" t="n"/>
      <c r="K9" s="23" t="n"/>
      <c r="L9" s="22" t="n"/>
      <c r="M9" s="23" t="n"/>
      <c r="N9" s="22" t="n"/>
      <c r="O9" s="22" t="n"/>
      <c r="P9" s="22" t="n"/>
      <c r="Q9" s="23" t="n"/>
      <c r="R9" s="22" t="n"/>
      <c r="S9" s="23" t="n"/>
      <c r="T9" s="22" t="n"/>
      <c r="U9" s="23" t="n"/>
      <c r="V9" s="24" t="n"/>
      <c r="W9" s="25">
        <f>IF(ISNUMBER(U9),U9+IF(ISNUMBER(V9),V9,120),"")</f>
        <v/>
      </c>
      <c r="X9" s="22" t="n"/>
      <c r="Y9" s="23" t="n"/>
      <c r="Z9" s="22" t="n"/>
      <c r="AA9" s="23" t="n"/>
      <c r="AB9" s="24" t="n"/>
      <c r="AC9" s="26">
        <f>IF(ISNUMBER(AD9)=FALSE,"",IF(G9=AD9,"State license",IF(I9=AD9,"DEA registration",IF(K9=AD9,"State CSR",IF(M9=AD9,"Board certification",IF(Q9=AD9,"Malpractice",IF(S9=AD9,"Life support",IF(W9=AD9,"CAQH re-attestation",IF(Y9=AD9,"Privileges reappointment","Payer recredentialing")))))))))</f>
        <v/>
      </c>
      <c r="AD9" s="25">
        <f>IF(OR(AND(LEN(G9)&gt;0,ISNUMBER(G9)=FALSE),AND(LEN(I9)&gt;0,ISNUMBER(I9)=FALSE),AND(LEN(K9)&gt;0,ISNUMBER(K9)=FALSE),AND(LEN(M9)&gt;0,ISNUMBER(M9)=FALSE),AND(LEN(Q9)&gt;0,ISNUMBER(Q9)=FALSE),AND(LEN(S9)&gt;0,ISNUMBER(S9)=FALSE),AND(LEN(Y9)&gt;0,ISNUMBER(Y9)=FALSE),AND(LEN(AA9)&gt;0,ISNUMBER(AA9)=FALSE),AND(LEN(U9)&gt;0,ISNUMBER(U9)=FALSE)),"Check date",IF(COUNT(G9,I9,K9,M9,Q9,S9,W9,Y9,AA9)=0,"",MIN(G9,I9,K9,M9,Q9,S9,W9,Y9,AA9)))</f>
        <v/>
      </c>
      <c r="AE9" s="25">
        <f>IF(ISNUMBER(AD9),AD9-IF(ISNUMBER(AB9),AB9,30),"")</f>
        <v/>
      </c>
      <c r="AF9" s="27">
        <f>IF(AD9="","",IF(ISNUMBER(AD9),AD9-TODAY(),"Check date"))</f>
        <v/>
      </c>
      <c r="AG9" s="28">
        <f>IF(AF9="","",IF(ISNUMBER(AF9),IF(AF9&lt;0,"Expired",IF(AF9&lt;=30,"Due ≤30 days",IF(AF9&lt;=90,"Due ≤90 days","OK"))),"Check date"))</f>
        <v/>
      </c>
      <c r="AH9" s="22" t="n"/>
      <c r="AI9" s="22" t="n"/>
      <c r="AJ9" s="22" t="n"/>
      <c r="AK9" s="22" t="n"/>
    </row>
    <row r="10">
      <c r="A10" s="22" t="n"/>
      <c r="B10" s="22" t="n"/>
      <c r="C10" s="22" t="n"/>
      <c r="D10" s="22" t="n"/>
      <c r="E10" s="22" t="n"/>
      <c r="F10" s="22" t="n"/>
      <c r="G10" s="23" t="n"/>
      <c r="H10" s="22" t="n"/>
      <c r="I10" s="23" t="n"/>
      <c r="J10" s="22" t="n"/>
      <c r="K10" s="23" t="n"/>
      <c r="L10" s="22" t="n"/>
      <c r="M10" s="23" t="n"/>
      <c r="N10" s="22" t="n"/>
      <c r="O10" s="22" t="n"/>
      <c r="P10" s="22" t="n"/>
      <c r="Q10" s="23" t="n"/>
      <c r="R10" s="22" t="n"/>
      <c r="S10" s="23" t="n"/>
      <c r="T10" s="22" t="n"/>
      <c r="U10" s="23" t="n"/>
      <c r="V10" s="24" t="n"/>
      <c r="W10" s="25">
        <f>IF(ISNUMBER(U10),U10+IF(ISNUMBER(V10),V10,120),"")</f>
        <v/>
      </c>
      <c r="X10" s="22" t="n"/>
      <c r="Y10" s="23" t="n"/>
      <c r="Z10" s="22" t="n"/>
      <c r="AA10" s="23" t="n"/>
      <c r="AB10" s="24" t="n"/>
      <c r="AC10" s="26">
        <f>IF(ISNUMBER(AD10)=FALSE,"",IF(G10=AD10,"State license",IF(I10=AD10,"DEA registration",IF(K10=AD10,"State CSR",IF(M10=AD10,"Board certification",IF(Q10=AD10,"Malpractice",IF(S10=AD10,"Life support",IF(W10=AD10,"CAQH re-attestation",IF(Y10=AD10,"Privileges reappointment","Payer recredentialing")))))))))</f>
        <v/>
      </c>
      <c r="AD10" s="25">
        <f>IF(OR(AND(LEN(G10)&gt;0,ISNUMBER(G10)=FALSE),AND(LEN(I10)&gt;0,ISNUMBER(I10)=FALSE),AND(LEN(K10)&gt;0,ISNUMBER(K10)=FALSE),AND(LEN(M10)&gt;0,ISNUMBER(M10)=FALSE),AND(LEN(Q10)&gt;0,ISNUMBER(Q10)=FALSE),AND(LEN(S10)&gt;0,ISNUMBER(S10)=FALSE),AND(LEN(Y10)&gt;0,ISNUMBER(Y10)=FALSE),AND(LEN(AA10)&gt;0,ISNUMBER(AA10)=FALSE),AND(LEN(U10)&gt;0,ISNUMBER(U10)=FALSE)),"Check date",IF(COUNT(G10,I10,K10,M10,Q10,S10,W10,Y10,AA10)=0,"",MIN(G10,I10,K10,M10,Q10,S10,W10,Y10,AA10)))</f>
        <v/>
      </c>
      <c r="AE10" s="25">
        <f>IF(ISNUMBER(AD10),AD10-IF(ISNUMBER(AB10),AB10,30),"")</f>
        <v/>
      </c>
      <c r="AF10" s="27">
        <f>IF(AD10="","",IF(ISNUMBER(AD10),AD10-TODAY(),"Check date"))</f>
        <v/>
      </c>
      <c r="AG10" s="28">
        <f>IF(AF10="","",IF(ISNUMBER(AF10),IF(AF10&lt;0,"Expired",IF(AF10&lt;=30,"Due ≤30 days",IF(AF10&lt;=90,"Due ≤90 days","OK"))),"Check date"))</f>
        <v/>
      </c>
      <c r="AH10" s="22" t="n"/>
      <c r="AI10" s="22" t="n"/>
      <c r="AJ10" s="22" t="n"/>
      <c r="AK10" s="22" t="n"/>
    </row>
    <row r="11">
      <c r="A11" s="22" t="n"/>
      <c r="B11" s="22" t="n"/>
      <c r="C11" s="22" t="n"/>
      <c r="D11" s="22" t="n"/>
      <c r="E11" s="22" t="n"/>
      <c r="F11" s="22" t="n"/>
      <c r="G11" s="23" t="n"/>
      <c r="H11" s="22" t="n"/>
      <c r="I11" s="23" t="n"/>
      <c r="J11" s="22" t="n"/>
      <c r="K11" s="23" t="n"/>
      <c r="L11" s="22" t="n"/>
      <c r="M11" s="23" t="n"/>
      <c r="N11" s="22" t="n"/>
      <c r="O11" s="22" t="n"/>
      <c r="P11" s="22" t="n"/>
      <c r="Q11" s="23" t="n"/>
      <c r="R11" s="22" t="n"/>
      <c r="S11" s="23" t="n"/>
      <c r="T11" s="22" t="n"/>
      <c r="U11" s="23" t="n"/>
      <c r="V11" s="24" t="n"/>
      <c r="W11" s="25">
        <f>IF(ISNUMBER(U11),U11+IF(ISNUMBER(V11),V11,120),"")</f>
        <v/>
      </c>
      <c r="X11" s="22" t="n"/>
      <c r="Y11" s="23" t="n"/>
      <c r="Z11" s="22" t="n"/>
      <c r="AA11" s="23" t="n"/>
      <c r="AB11" s="24" t="n"/>
      <c r="AC11" s="26">
        <f>IF(ISNUMBER(AD11)=FALSE,"",IF(G11=AD11,"State license",IF(I11=AD11,"DEA registration",IF(K11=AD11,"State CSR",IF(M11=AD11,"Board certification",IF(Q11=AD11,"Malpractice",IF(S11=AD11,"Life support",IF(W11=AD11,"CAQH re-attestation",IF(Y11=AD11,"Privileges reappointment","Payer recredentialing")))))))))</f>
        <v/>
      </c>
      <c r="AD11" s="25">
        <f>IF(OR(AND(LEN(G11)&gt;0,ISNUMBER(G11)=FALSE),AND(LEN(I11)&gt;0,ISNUMBER(I11)=FALSE),AND(LEN(K11)&gt;0,ISNUMBER(K11)=FALSE),AND(LEN(M11)&gt;0,ISNUMBER(M11)=FALSE),AND(LEN(Q11)&gt;0,ISNUMBER(Q11)=FALSE),AND(LEN(S11)&gt;0,ISNUMBER(S11)=FALSE),AND(LEN(Y11)&gt;0,ISNUMBER(Y11)=FALSE),AND(LEN(AA11)&gt;0,ISNUMBER(AA11)=FALSE),AND(LEN(U11)&gt;0,ISNUMBER(U11)=FALSE)),"Check date",IF(COUNT(G11,I11,K11,M11,Q11,S11,W11,Y11,AA11)=0,"",MIN(G11,I11,K11,M11,Q11,S11,W11,Y11,AA11)))</f>
        <v/>
      </c>
      <c r="AE11" s="25">
        <f>IF(ISNUMBER(AD11),AD11-IF(ISNUMBER(AB11),AB11,30),"")</f>
        <v/>
      </c>
      <c r="AF11" s="27">
        <f>IF(AD11="","",IF(ISNUMBER(AD11),AD11-TODAY(),"Check date"))</f>
        <v/>
      </c>
      <c r="AG11" s="28">
        <f>IF(AF11="","",IF(ISNUMBER(AF11),IF(AF11&lt;0,"Expired",IF(AF11&lt;=30,"Due ≤30 days",IF(AF11&lt;=90,"Due ≤90 days","OK"))),"Check date"))</f>
        <v/>
      </c>
      <c r="AH11" s="22" t="n"/>
      <c r="AI11" s="22" t="n"/>
      <c r="AJ11" s="22" t="n"/>
      <c r="AK11" s="22" t="n"/>
    </row>
    <row r="12">
      <c r="A12" s="22" t="n"/>
      <c r="B12" s="22" t="n"/>
      <c r="C12" s="22" t="n"/>
      <c r="D12" s="22" t="n"/>
      <c r="E12" s="22" t="n"/>
      <c r="F12" s="22" t="n"/>
      <c r="G12" s="23" t="n"/>
      <c r="H12" s="22" t="n"/>
      <c r="I12" s="23" t="n"/>
      <c r="J12" s="22" t="n"/>
      <c r="K12" s="23" t="n"/>
      <c r="L12" s="22" t="n"/>
      <c r="M12" s="23" t="n"/>
      <c r="N12" s="22" t="n"/>
      <c r="O12" s="22" t="n"/>
      <c r="P12" s="22" t="n"/>
      <c r="Q12" s="23" t="n"/>
      <c r="R12" s="22" t="n"/>
      <c r="S12" s="23" t="n"/>
      <c r="T12" s="22" t="n"/>
      <c r="U12" s="23" t="n"/>
      <c r="V12" s="24" t="n"/>
      <c r="W12" s="25">
        <f>IF(ISNUMBER(U12),U12+IF(ISNUMBER(V12),V12,120),"")</f>
        <v/>
      </c>
      <c r="X12" s="22" t="n"/>
      <c r="Y12" s="23" t="n"/>
      <c r="Z12" s="22" t="n"/>
      <c r="AA12" s="23" t="n"/>
      <c r="AB12" s="24" t="n"/>
      <c r="AC12" s="26">
        <f>IF(ISNUMBER(AD12)=FALSE,"",IF(G12=AD12,"State license",IF(I12=AD12,"DEA registration",IF(K12=AD12,"State CSR",IF(M12=AD12,"Board certification",IF(Q12=AD12,"Malpractice",IF(S12=AD12,"Life support",IF(W12=AD12,"CAQH re-attestation",IF(Y12=AD12,"Privileges reappointment","Payer recredentialing")))))))))</f>
        <v/>
      </c>
      <c r="AD12" s="25">
        <f>IF(OR(AND(LEN(G12)&gt;0,ISNUMBER(G12)=FALSE),AND(LEN(I12)&gt;0,ISNUMBER(I12)=FALSE),AND(LEN(K12)&gt;0,ISNUMBER(K12)=FALSE),AND(LEN(M12)&gt;0,ISNUMBER(M12)=FALSE),AND(LEN(Q12)&gt;0,ISNUMBER(Q12)=FALSE),AND(LEN(S12)&gt;0,ISNUMBER(S12)=FALSE),AND(LEN(Y12)&gt;0,ISNUMBER(Y12)=FALSE),AND(LEN(AA12)&gt;0,ISNUMBER(AA12)=FALSE),AND(LEN(U12)&gt;0,ISNUMBER(U12)=FALSE)),"Check date",IF(COUNT(G12,I12,K12,M12,Q12,S12,W12,Y12,AA12)=0,"",MIN(G12,I12,K12,M12,Q12,S12,W12,Y12,AA12)))</f>
        <v/>
      </c>
      <c r="AE12" s="25">
        <f>IF(ISNUMBER(AD12),AD12-IF(ISNUMBER(AB12),AB12,30),"")</f>
        <v/>
      </c>
      <c r="AF12" s="27">
        <f>IF(AD12="","",IF(ISNUMBER(AD12),AD12-TODAY(),"Check date"))</f>
        <v/>
      </c>
      <c r="AG12" s="28">
        <f>IF(AF12="","",IF(ISNUMBER(AF12),IF(AF12&lt;0,"Expired",IF(AF12&lt;=30,"Due ≤30 days",IF(AF12&lt;=90,"Due ≤90 days","OK"))),"Check date"))</f>
        <v/>
      </c>
      <c r="AH12" s="22" t="n"/>
      <c r="AI12" s="22" t="n"/>
      <c r="AJ12" s="22" t="n"/>
      <c r="AK12" s="22" t="n"/>
    </row>
    <row r="13">
      <c r="A13" s="22" t="n"/>
      <c r="B13" s="22" t="n"/>
      <c r="C13" s="22" t="n"/>
      <c r="D13" s="22" t="n"/>
      <c r="E13" s="22" t="n"/>
      <c r="F13" s="22" t="n"/>
      <c r="G13" s="23" t="n"/>
      <c r="H13" s="22" t="n"/>
      <c r="I13" s="23" t="n"/>
      <c r="J13" s="22" t="n"/>
      <c r="K13" s="23" t="n"/>
      <c r="L13" s="22" t="n"/>
      <c r="M13" s="23" t="n"/>
      <c r="N13" s="22" t="n"/>
      <c r="O13" s="22" t="n"/>
      <c r="P13" s="22" t="n"/>
      <c r="Q13" s="23" t="n"/>
      <c r="R13" s="22" t="n"/>
      <c r="S13" s="23" t="n"/>
      <c r="T13" s="22" t="n"/>
      <c r="U13" s="23" t="n"/>
      <c r="V13" s="24" t="n"/>
      <c r="W13" s="25">
        <f>IF(ISNUMBER(U13),U13+IF(ISNUMBER(V13),V13,120),"")</f>
        <v/>
      </c>
      <c r="X13" s="22" t="n"/>
      <c r="Y13" s="23" t="n"/>
      <c r="Z13" s="22" t="n"/>
      <c r="AA13" s="23" t="n"/>
      <c r="AB13" s="24" t="n"/>
      <c r="AC13" s="26">
        <f>IF(ISNUMBER(AD13)=FALSE,"",IF(G13=AD13,"State license",IF(I13=AD13,"DEA registration",IF(K13=AD13,"State CSR",IF(M13=AD13,"Board certification",IF(Q13=AD13,"Malpractice",IF(S13=AD13,"Life support",IF(W13=AD13,"CAQH re-attestation",IF(Y13=AD13,"Privileges reappointment","Payer recredentialing")))))))))</f>
        <v/>
      </c>
      <c r="AD13" s="25">
        <f>IF(OR(AND(LEN(G13)&gt;0,ISNUMBER(G13)=FALSE),AND(LEN(I13)&gt;0,ISNUMBER(I13)=FALSE),AND(LEN(K13)&gt;0,ISNUMBER(K13)=FALSE),AND(LEN(M13)&gt;0,ISNUMBER(M13)=FALSE),AND(LEN(Q13)&gt;0,ISNUMBER(Q13)=FALSE),AND(LEN(S13)&gt;0,ISNUMBER(S13)=FALSE),AND(LEN(Y13)&gt;0,ISNUMBER(Y13)=FALSE),AND(LEN(AA13)&gt;0,ISNUMBER(AA13)=FALSE),AND(LEN(U13)&gt;0,ISNUMBER(U13)=FALSE)),"Check date",IF(COUNT(G13,I13,K13,M13,Q13,S13,W13,Y13,AA13)=0,"",MIN(G13,I13,K13,M13,Q13,S13,W13,Y13,AA13)))</f>
        <v/>
      </c>
      <c r="AE13" s="25">
        <f>IF(ISNUMBER(AD13),AD13-IF(ISNUMBER(AB13),AB13,30),"")</f>
        <v/>
      </c>
      <c r="AF13" s="27">
        <f>IF(AD13="","",IF(ISNUMBER(AD13),AD13-TODAY(),"Check date"))</f>
        <v/>
      </c>
      <c r="AG13" s="28">
        <f>IF(AF13="","",IF(ISNUMBER(AF13),IF(AF13&lt;0,"Expired",IF(AF13&lt;=30,"Due ≤30 days",IF(AF13&lt;=90,"Due ≤90 days","OK"))),"Check date"))</f>
        <v/>
      </c>
      <c r="AH13" s="22" t="n"/>
      <c r="AI13" s="22" t="n"/>
      <c r="AJ13" s="22" t="n"/>
      <c r="AK13" s="22" t="n"/>
    </row>
    <row r="14">
      <c r="A14" s="22" t="n"/>
      <c r="B14" s="22" t="n"/>
      <c r="C14" s="22" t="n"/>
      <c r="D14" s="22" t="n"/>
      <c r="E14" s="22" t="n"/>
      <c r="F14" s="22" t="n"/>
      <c r="G14" s="23" t="n"/>
      <c r="H14" s="22" t="n"/>
      <c r="I14" s="23" t="n"/>
      <c r="J14" s="22" t="n"/>
      <c r="K14" s="23" t="n"/>
      <c r="L14" s="22" t="n"/>
      <c r="M14" s="23" t="n"/>
      <c r="N14" s="22" t="n"/>
      <c r="O14" s="22" t="n"/>
      <c r="P14" s="22" t="n"/>
      <c r="Q14" s="23" t="n"/>
      <c r="R14" s="22" t="n"/>
      <c r="S14" s="23" t="n"/>
      <c r="T14" s="22" t="n"/>
      <c r="U14" s="23" t="n"/>
      <c r="V14" s="24" t="n"/>
      <c r="W14" s="25">
        <f>IF(ISNUMBER(U14),U14+IF(ISNUMBER(V14),V14,120),"")</f>
        <v/>
      </c>
      <c r="X14" s="22" t="n"/>
      <c r="Y14" s="23" t="n"/>
      <c r="Z14" s="22" t="n"/>
      <c r="AA14" s="23" t="n"/>
      <c r="AB14" s="24" t="n"/>
      <c r="AC14" s="26">
        <f>IF(ISNUMBER(AD14)=FALSE,"",IF(G14=AD14,"State license",IF(I14=AD14,"DEA registration",IF(K14=AD14,"State CSR",IF(M14=AD14,"Board certification",IF(Q14=AD14,"Malpractice",IF(S14=AD14,"Life support",IF(W14=AD14,"CAQH re-attestation",IF(Y14=AD14,"Privileges reappointment","Payer recredentialing")))))))))</f>
        <v/>
      </c>
      <c r="AD14" s="25">
        <f>IF(OR(AND(LEN(G14)&gt;0,ISNUMBER(G14)=FALSE),AND(LEN(I14)&gt;0,ISNUMBER(I14)=FALSE),AND(LEN(K14)&gt;0,ISNUMBER(K14)=FALSE),AND(LEN(M14)&gt;0,ISNUMBER(M14)=FALSE),AND(LEN(Q14)&gt;0,ISNUMBER(Q14)=FALSE),AND(LEN(S14)&gt;0,ISNUMBER(S14)=FALSE),AND(LEN(Y14)&gt;0,ISNUMBER(Y14)=FALSE),AND(LEN(AA14)&gt;0,ISNUMBER(AA14)=FALSE),AND(LEN(U14)&gt;0,ISNUMBER(U14)=FALSE)),"Check date",IF(COUNT(G14,I14,K14,M14,Q14,S14,W14,Y14,AA14)=0,"",MIN(G14,I14,K14,M14,Q14,S14,W14,Y14,AA14)))</f>
        <v/>
      </c>
      <c r="AE14" s="25">
        <f>IF(ISNUMBER(AD14),AD14-IF(ISNUMBER(AB14),AB14,30),"")</f>
        <v/>
      </c>
      <c r="AF14" s="27">
        <f>IF(AD14="","",IF(ISNUMBER(AD14),AD14-TODAY(),"Check date"))</f>
        <v/>
      </c>
      <c r="AG14" s="28">
        <f>IF(AF14="","",IF(ISNUMBER(AF14),IF(AF14&lt;0,"Expired",IF(AF14&lt;=30,"Due ≤30 days",IF(AF14&lt;=90,"Due ≤90 days","OK"))),"Check date"))</f>
        <v/>
      </c>
      <c r="AH14" s="22" t="n"/>
      <c r="AI14" s="22" t="n"/>
      <c r="AJ14" s="22" t="n"/>
      <c r="AK14" s="22" t="n"/>
    </row>
    <row r="15">
      <c r="A15" s="22" t="n"/>
      <c r="B15" s="22" t="n"/>
      <c r="C15" s="22" t="n"/>
      <c r="D15" s="22" t="n"/>
      <c r="E15" s="22" t="n"/>
      <c r="F15" s="22" t="n"/>
      <c r="G15" s="23" t="n"/>
      <c r="H15" s="22" t="n"/>
      <c r="I15" s="23" t="n"/>
      <c r="J15" s="22" t="n"/>
      <c r="K15" s="23" t="n"/>
      <c r="L15" s="22" t="n"/>
      <c r="M15" s="23" t="n"/>
      <c r="N15" s="22" t="n"/>
      <c r="O15" s="22" t="n"/>
      <c r="P15" s="22" t="n"/>
      <c r="Q15" s="23" t="n"/>
      <c r="R15" s="22" t="n"/>
      <c r="S15" s="23" t="n"/>
      <c r="T15" s="22" t="n"/>
      <c r="U15" s="23" t="n"/>
      <c r="V15" s="24" t="n"/>
      <c r="W15" s="25">
        <f>IF(ISNUMBER(U15),U15+IF(ISNUMBER(V15),V15,120),"")</f>
        <v/>
      </c>
      <c r="X15" s="22" t="n"/>
      <c r="Y15" s="23" t="n"/>
      <c r="Z15" s="22" t="n"/>
      <c r="AA15" s="23" t="n"/>
      <c r="AB15" s="24" t="n"/>
      <c r="AC15" s="26">
        <f>IF(ISNUMBER(AD15)=FALSE,"",IF(G15=AD15,"State license",IF(I15=AD15,"DEA registration",IF(K15=AD15,"State CSR",IF(M15=AD15,"Board certification",IF(Q15=AD15,"Malpractice",IF(S15=AD15,"Life support",IF(W15=AD15,"CAQH re-attestation",IF(Y15=AD15,"Privileges reappointment","Payer recredentialing")))))))))</f>
        <v/>
      </c>
      <c r="AD15" s="25">
        <f>IF(OR(AND(LEN(G15)&gt;0,ISNUMBER(G15)=FALSE),AND(LEN(I15)&gt;0,ISNUMBER(I15)=FALSE),AND(LEN(K15)&gt;0,ISNUMBER(K15)=FALSE),AND(LEN(M15)&gt;0,ISNUMBER(M15)=FALSE),AND(LEN(Q15)&gt;0,ISNUMBER(Q15)=FALSE),AND(LEN(S15)&gt;0,ISNUMBER(S15)=FALSE),AND(LEN(Y15)&gt;0,ISNUMBER(Y15)=FALSE),AND(LEN(AA15)&gt;0,ISNUMBER(AA15)=FALSE),AND(LEN(U15)&gt;0,ISNUMBER(U15)=FALSE)),"Check date",IF(COUNT(G15,I15,K15,M15,Q15,S15,W15,Y15,AA15)=0,"",MIN(G15,I15,K15,M15,Q15,S15,W15,Y15,AA15)))</f>
        <v/>
      </c>
      <c r="AE15" s="25">
        <f>IF(ISNUMBER(AD15),AD15-IF(ISNUMBER(AB15),AB15,30),"")</f>
        <v/>
      </c>
      <c r="AF15" s="27">
        <f>IF(AD15="","",IF(ISNUMBER(AD15),AD15-TODAY(),"Check date"))</f>
        <v/>
      </c>
      <c r="AG15" s="28">
        <f>IF(AF15="","",IF(ISNUMBER(AF15),IF(AF15&lt;0,"Expired",IF(AF15&lt;=30,"Due ≤30 days",IF(AF15&lt;=90,"Due ≤90 days","OK"))),"Check date"))</f>
        <v/>
      </c>
      <c r="AH15" s="22" t="n"/>
      <c r="AI15" s="22" t="n"/>
      <c r="AJ15" s="22" t="n"/>
      <c r="AK15" s="22" t="n"/>
    </row>
    <row r="16">
      <c r="A16" s="22" t="n"/>
      <c r="B16" s="22" t="n"/>
      <c r="C16" s="22" t="n"/>
      <c r="D16" s="22" t="n"/>
      <c r="E16" s="22" t="n"/>
      <c r="F16" s="22" t="n"/>
      <c r="G16" s="23" t="n"/>
      <c r="H16" s="22" t="n"/>
      <c r="I16" s="23" t="n"/>
      <c r="J16" s="22" t="n"/>
      <c r="K16" s="23" t="n"/>
      <c r="L16" s="22" t="n"/>
      <c r="M16" s="23" t="n"/>
      <c r="N16" s="22" t="n"/>
      <c r="O16" s="22" t="n"/>
      <c r="P16" s="22" t="n"/>
      <c r="Q16" s="23" t="n"/>
      <c r="R16" s="22" t="n"/>
      <c r="S16" s="23" t="n"/>
      <c r="T16" s="22" t="n"/>
      <c r="U16" s="23" t="n"/>
      <c r="V16" s="24" t="n"/>
      <c r="W16" s="25">
        <f>IF(ISNUMBER(U16),U16+IF(ISNUMBER(V16),V16,120),"")</f>
        <v/>
      </c>
      <c r="X16" s="22" t="n"/>
      <c r="Y16" s="23" t="n"/>
      <c r="Z16" s="22" t="n"/>
      <c r="AA16" s="23" t="n"/>
      <c r="AB16" s="24" t="n"/>
      <c r="AC16" s="26">
        <f>IF(ISNUMBER(AD16)=FALSE,"",IF(G16=AD16,"State license",IF(I16=AD16,"DEA registration",IF(K16=AD16,"State CSR",IF(M16=AD16,"Board certification",IF(Q16=AD16,"Malpractice",IF(S16=AD16,"Life support",IF(W16=AD16,"CAQH re-attestation",IF(Y16=AD16,"Privileges reappointment","Payer recredentialing")))))))))</f>
        <v/>
      </c>
      <c r="AD16" s="25">
        <f>IF(OR(AND(LEN(G16)&gt;0,ISNUMBER(G16)=FALSE),AND(LEN(I16)&gt;0,ISNUMBER(I16)=FALSE),AND(LEN(K16)&gt;0,ISNUMBER(K16)=FALSE),AND(LEN(M16)&gt;0,ISNUMBER(M16)=FALSE),AND(LEN(Q16)&gt;0,ISNUMBER(Q16)=FALSE),AND(LEN(S16)&gt;0,ISNUMBER(S16)=FALSE),AND(LEN(Y16)&gt;0,ISNUMBER(Y16)=FALSE),AND(LEN(AA16)&gt;0,ISNUMBER(AA16)=FALSE),AND(LEN(U16)&gt;0,ISNUMBER(U16)=FALSE)),"Check date",IF(COUNT(G16,I16,K16,M16,Q16,S16,W16,Y16,AA16)=0,"",MIN(G16,I16,K16,M16,Q16,S16,W16,Y16,AA16)))</f>
        <v/>
      </c>
      <c r="AE16" s="25">
        <f>IF(ISNUMBER(AD16),AD16-IF(ISNUMBER(AB16),AB16,30),"")</f>
        <v/>
      </c>
      <c r="AF16" s="27">
        <f>IF(AD16="","",IF(ISNUMBER(AD16),AD16-TODAY(),"Check date"))</f>
        <v/>
      </c>
      <c r="AG16" s="28">
        <f>IF(AF16="","",IF(ISNUMBER(AF16),IF(AF16&lt;0,"Expired",IF(AF16&lt;=30,"Due ≤30 days",IF(AF16&lt;=90,"Due ≤90 days","OK"))),"Check date"))</f>
        <v/>
      </c>
      <c r="AH16" s="22" t="n"/>
      <c r="AI16" s="22" t="n"/>
      <c r="AJ16" s="22" t="n"/>
      <c r="AK16" s="22" t="n"/>
    </row>
    <row r="17">
      <c r="A17" s="22" t="n"/>
      <c r="B17" s="22" t="n"/>
      <c r="C17" s="22" t="n"/>
      <c r="D17" s="22" t="n"/>
      <c r="E17" s="22" t="n"/>
      <c r="F17" s="22" t="n"/>
      <c r="G17" s="23" t="n"/>
      <c r="H17" s="22" t="n"/>
      <c r="I17" s="23" t="n"/>
      <c r="J17" s="22" t="n"/>
      <c r="K17" s="23" t="n"/>
      <c r="L17" s="22" t="n"/>
      <c r="M17" s="23" t="n"/>
      <c r="N17" s="22" t="n"/>
      <c r="O17" s="22" t="n"/>
      <c r="P17" s="22" t="n"/>
      <c r="Q17" s="23" t="n"/>
      <c r="R17" s="22" t="n"/>
      <c r="S17" s="23" t="n"/>
      <c r="T17" s="22" t="n"/>
      <c r="U17" s="23" t="n"/>
      <c r="V17" s="24" t="n"/>
      <c r="W17" s="25">
        <f>IF(ISNUMBER(U17),U17+IF(ISNUMBER(V17),V17,120),"")</f>
        <v/>
      </c>
      <c r="X17" s="22" t="n"/>
      <c r="Y17" s="23" t="n"/>
      <c r="Z17" s="22" t="n"/>
      <c r="AA17" s="23" t="n"/>
      <c r="AB17" s="24" t="n"/>
      <c r="AC17" s="26">
        <f>IF(ISNUMBER(AD17)=FALSE,"",IF(G17=AD17,"State license",IF(I17=AD17,"DEA registration",IF(K17=AD17,"State CSR",IF(M17=AD17,"Board certification",IF(Q17=AD17,"Malpractice",IF(S17=AD17,"Life support",IF(W17=AD17,"CAQH re-attestation",IF(Y17=AD17,"Privileges reappointment","Payer recredentialing")))))))))</f>
        <v/>
      </c>
      <c r="AD17" s="25">
        <f>IF(OR(AND(LEN(G17)&gt;0,ISNUMBER(G17)=FALSE),AND(LEN(I17)&gt;0,ISNUMBER(I17)=FALSE),AND(LEN(K17)&gt;0,ISNUMBER(K17)=FALSE),AND(LEN(M17)&gt;0,ISNUMBER(M17)=FALSE),AND(LEN(Q17)&gt;0,ISNUMBER(Q17)=FALSE),AND(LEN(S17)&gt;0,ISNUMBER(S17)=FALSE),AND(LEN(Y17)&gt;0,ISNUMBER(Y17)=FALSE),AND(LEN(AA17)&gt;0,ISNUMBER(AA17)=FALSE),AND(LEN(U17)&gt;0,ISNUMBER(U17)=FALSE)),"Check date",IF(COUNT(G17,I17,K17,M17,Q17,S17,W17,Y17,AA17)=0,"",MIN(G17,I17,K17,M17,Q17,S17,W17,Y17,AA17)))</f>
        <v/>
      </c>
      <c r="AE17" s="25">
        <f>IF(ISNUMBER(AD17),AD17-IF(ISNUMBER(AB17),AB17,30),"")</f>
        <v/>
      </c>
      <c r="AF17" s="27">
        <f>IF(AD17="","",IF(ISNUMBER(AD17),AD17-TODAY(),"Check date"))</f>
        <v/>
      </c>
      <c r="AG17" s="28">
        <f>IF(AF17="","",IF(ISNUMBER(AF17),IF(AF17&lt;0,"Expired",IF(AF17&lt;=30,"Due ≤30 days",IF(AF17&lt;=90,"Due ≤90 days","OK"))),"Check date"))</f>
        <v/>
      </c>
      <c r="AH17" s="22" t="n"/>
      <c r="AI17" s="22" t="n"/>
      <c r="AJ17" s="22" t="n"/>
      <c r="AK17" s="22" t="n"/>
    </row>
    <row r="18">
      <c r="A18" s="22" t="n"/>
      <c r="B18" s="22" t="n"/>
      <c r="C18" s="22" t="n"/>
      <c r="D18" s="22" t="n"/>
      <c r="E18" s="22" t="n"/>
      <c r="F18" s="22" t="n"/>
      <c r="G18" s="23" t="n"/>
      <c r="H18" s="22" t="n"/>
      <c r="I18" s="23" t="n"/>
      <c r="J18" s="22" t="n"/>
      <c r="K18" s="23" t="n"/>
      <c r="L18" s="22" t="n"/>
      <c r="M18" s="23" t="n"/>
      <c r="N18" s="22" t="n"/>
      <c r="O18" s="22" t="n"/>
      <c r="P18" s="22" t="n"/>
      <c r="Q18" s="23" t="n"/>
      <c r="R18" s="22" t="n"/>
      <c r="S18" s="23" t="n"/>
      <c r="T18" s="22" t="n"/>
      <c r="U18" s="23" t="n"/>
      <c r="V18" s="24" t="n"/>
      <c r="W18" s="25">
        <f>IF(ISNUMBER(U18),U18+IF(ISNUMBER(V18),V18,120),"")</f>
        <v/>
      </c>
      <c r="X18" s="22" t="n"/>
      <c r="Y18" s="23" t="n"/>
      <c r="Z18" s="22" t="n"/>
      <c r="AA18" s="23" t="n"/>
      <c r="AB18" s="24" t="n"/>
      <c r="AC18" s="26">
        <f>IF(ISNUMBER(AD18)=FALSE,"",IF(G18=AD18,"State license",IF(I18=AD18,"DEA registration",IF(K18=AD18,"State CSR",IF(M18=AD18,"Board certification",IF(Q18=AD18,"Malpractice",IF(S18=AD18,"Life support",IF(W18=AD18,"CAQH re-attestation",IF(Y18=AD18,"Privileges reappointment","Payer recredentialing")))))))))</f>
        <v/>
      </c>
      <c r="AD18" s="25">
        <f>IF(OR(AND(LEN(G18)&gt;0,ISNUMBER(G18)=FALSE),AND(LEN(I18)&gt;0,ISNUMBER(I18)=FALSE),AND(LEN(K18)&gt;0,ISNUMBER(K18)=FALSE),AND(LEN(M18)&gt;0,ISNUMBER(M18)=FALSE),AND(LEN(Q18)&gt;0,ISNUMBER(Q18)=FALSE),AND(LEN(S18)&gt;0,ISNUMBER(S18)=FALSE),AND(LEN(Y18)&gt;0,ISNUMBER(Y18)=FALSE),AND(LEN(AA18)&gt;0,ISNUMBER(AA18)=FALSE),AND(LEN(U18)&gt;0,ISNUMBER(U18)=FALSE)),"Check date",IF(COUNT(G18,I18,K18,M18,Q18,S18,W18,Y18,AA18)=0,"",MIN(G18,I18,K18,M18,Q18,S18,W18,Y18,AA18)))</f>
        <v/>
      </c>
      <c r="AE18" s="25">
        <f>IF(ISNUMBER(AD18),AD18-IF(ISNUMBER(AB18),AB18,30),"")</f>
        <v/>
      </c>
      <c r="AF18" s="27">
        <f>IF(AD18="","",IF(ISNUMBER(AD18),AD18-TODAY(),"Check date"))</f>
        <v/>
      </c>
      <c r="AG18" s="28">
        <f>IF(AF18="","",IF(ISNUMBER(AF18),IF(AF18&lt;0,"Expired",IF(AF18&lt;=30,"Due ≤30 days",IF(AF18&lt;=90,"Due ≤90 days","OK"))),"Check date"))</f>
        <v/>
      </c>
      <c r="AH18" s="22" t="n"/>
      <c r="AI18" s="22" t="n"/>
      <c r="AJ18" s="22" t="n"/>
      <c r="AK18" s="22" t="n"/>
    </row>
    <row r="19">
      <c r="A19" s="22" t="n"/>
      <c r="B19" s="22" t="n"/>
      <c r="C19" s="22" t="n"/>
      <c r="D19" s="22" t="n"/>
      <c r="E19" s="22" t="n"/>
      <c r="F19" s="22" t="n"/>
      <c r="G19" s="23" t="n"/>
      <c r="H19" s="22" t="n"/>
      <c r="I19" s="23" t="n"/>
      <c r="J19" s="22" t="n"/>
      <c r="K19" s="23" t="n"/>
      <c r="L19" s="22" t="n"/>
      <c r="M19" s="23" t="n"/>
      <c r="N19" s="22" t="n"/>
      <c r="O19" s="22" t="n"/>
      <c r="P19" s="22" t="n"/>
      <c r="Q19" s="23" t="n"/>
      <c r="R19" s="22" t="n"/>
      <c r="S19" s="23" t="n"/>
      <c r="T19" s="22" t="n"/>
      <c r="U19" s="23" t="n"/>
      <c r="V19" s="24" t="n"/>
      <c r="W19" s="25">
        <f>IF(ISNUMBER(U19),U19+IF(ISNUMBER(V19),V19,120),"")</f>
        <v/>
      </c>
      <c r="X19" s="22" t="n"/>
      <c r="Y19" s="23" t="n"/>
      <c r="Z19" s="22" t="n"/>
      <c r="AA19" s="23" t="n"/>
      <c r="AB19" s="24" t="n"/>
      <c r="AC19" s="26">
        <f>IF(ISNUMBER(AD19)=FALSE,"",IF(G19=AD19,"State license",IF(I19=AD19,"DEA registration",IF(K19=AD19,"State CSR",IF(M19=AD19,"Board certification",IF(Q19=AD19,"Malpractice",IF(S19=AD19,"Life support",IF(W19=AD19,"CAQH re-attestation",IF(Y19=AD19,"Privileges reappointment","Payer recredentialing")))))))))</f>
        <v/>
      </c>
      <c r="AD19" s="25">
        <f>IF(OR(AND(LEN(G19)&gt;0,ISNUMBER(G19)=FALSE),AND(LEN(I19)&gt;0,ISNUMBER(I19)=FALSE),AND(LEN(K19)&gt;0,ISNUMBER(K19)=FALSE),AND(LEN(M19)&gt;0,ISNUMBER(M19)=FALSE),AND(LEN(Q19)&gt;0,ISNUMBER(Q19)=FALSE),AND(LEN(S19)&gt;0,ISNUMBER(S19)=FALSE),AND(LEN(Y19)&gt;0,ISNUMBER(Y19)=FALSE),AND(LEN(AA19)&gt;0,ISNUMBER(AA19)=FALSE),AND(LEN(U19)&gt;0,ISNUMBER(U19)=FALSE)),"Check date",IF(COUNT(G19,I19,K19,M19,Q19,S19,W19,Y19,AA19)=0,"",MIN(G19,I19,K19,M19,Q19,S19,W19,Y19,AA19)))</f>
        <v/>
      </c>
      <c r="AE19" s="25">
        <f>IF(ISNUMBER(AD19),AD19-IF(ISNUMBER(AB19),AB19,30),"")</f>
        <v/>
      </c>
      <c r="AF19" s="27">
        <f>IF(AD19="","",IF(ISNUMBER(AD19),AD19-TODAY(),"Check date"))</f>
        <v/>
      </c>
      <c r="AG19" s="28">
        <f>IF(AF19="","",IF(ISNUMBER(AF19),IF(AF19&lt;0,"Expired",IF(AF19&lt;=30,"Due ≤30 days",IF(AF19&lt;=90,"Due ≤90 days","OK"))),"Check date"))</f>
        <v/>
      </c>
      <c r="AH19" s="22" t="n"/>
      <c r="AI19" s="22" t="n"/>
      <c r="AJ19" s="22" t="n"/>
      <c r="AK19" s="22" t="n"/>
    </row>
    <row r="20">
      <c r="A20" s="22" t="n"/>
      <c r="B20" s="22" t="n"/>
      <c r="C20" s="22" t="n"/>
      <c r="D20" s="22" t="n"/>
      <c r="E20" s="22" t="n"/>
      <c r="F20" s="22" t="n"/>
      <c r="G20" s="23" t="n"/>
      <c r="H20" s="22" t="n"/>
      <c r="I20" s="23" t="n"/>
      <c r="J20" s="22" t="n"/>
      <c r="K20" s="23" t="n"/>
      <c r="L20" s="22" t="n"/>
      <c r="M20" s="23" t="n"/>
      <c r="N20" s="22" t="n"/>
      <c r="O20" s="22" t="n"/>
      <c r="P20" s="22" t="n"/>
      <c r="Q20" s="23" t="n"/>
      <c r="R20" s="22" t="n"/>
      <c r="S20" s="23" t="n"/>
      <c r="T20" s="22" t="n"/>
      <c r="U20" s="23" t="n"/>
      <c r="V20" s="24" t="n"/>
      <c r="W20" s="25">
        <f>IF(ISNUMBER(U20),U20+IF(ISNUMBER(V20),V20,120),"")</f>
        <v/>
      </c>
      <c r="X20" s="22" t="n"/>
      <c r="Y20" s="23" t="n"/>
      <c r="Z20" s="22" t="n"/>
      <c r="AA20" s="23" t="n"/>
      <c r="AB20" s="24" t="n"/>
      <c r="AC20" s="26">
        <f>IF(ISNUMBER(AD20)=FALSE,"",IF(G20=AD20,"State license",IF(I20=AD20,"DEA registration",IF(K20=AD20,"State CSR",IF(M20=AD20,"Board certification",IF(Q20=AD20,"Malpractice",IF(S20=AD20,"Life support",IF(W20=AD20,"CAQH re-attestation",IF(Y20=AD20,"Privileges reappointment","Payer recredentialing")))))))))</f>
        <v/>
      </c>
      <c r="AD20" s="25">
        <f>IF(OR(AND(LEN(G20)&gt;0,ISNUMBER(G20)=FALSE),AND(LEN(I20)&gt;0,ISNUMBER(I20)=FALSE),AND(LEN(K20)&gt;0,ISNUMBER(K20)=FALSE),AND(LEN(M20)&gt;0,ISNUMBER(M20)=FALSE),AND(LEN(Q20)&gt;0,ISNUMBER(Q20)=FALSE),AND(LEN(S20)&gt;0,ISNUMBER(S20)=FALSE),AND(LEN(Y20)&gt;0,ISNUMBER(Y20)=FALSE),AND(LEN(AA20)&gt;0,ISNUMBER(AA20)=FALSE),AND(LEN(U20)&gt;0,ISNUMBER(U20)=FALSE)),"Check date",IF(COUNT(G20,I20,K20,M20,Q20,S20,W20,Y20,AA20)=0,"",MIN(G20,I20,K20,M20,Q20,S20,W20,Y20,AA20)))</f>
        <v/>
      </c>
      <c r="AE20" s="25">
        <f>IF(ISNUMBER(AD20),AD20-IF(ISNUMBER(AB20),AB20,30),"")</f>
        <v/>
      </c>
      <c r="AF20" s="27">
        <f>IF(AD20="","",IF(ISNUMBER(AD20),AD20-TODAY(),"Check date"))</f>
        <v/>
      </c>
      <c r="AG20" s="28">
        <f>IF(AF20="","",IF(ISNUMBER(AF20),IF(AF20&lt;0,"Expired",IF(AF20&lt;=30,"Due ≤30 days",IF(AF20&lt;=90,"Due ≤90 days","OK"))),"Check date"))</f>
        <v/>
      </c>
      <c r="AH20" s="22" t="n"/>
      <c r="AI20" s="22" t="n"/>
      <c r="AJ20" s="22" t="n"/>
      <c r="AK20" s="22" t="n"/>
    </row>
    <row r="21">
      <c r="A21" s="22" t="n"/>
      <c r="B21" s="22" t="n"/>
      <c r="C21" s="22" t="n"/>
      <c r="D21" s="22" t="n"/>
      <c r="E21" s="22" t="n"/>
      <c r="F21" s="22" t="n"/>
      <c r="G21" s="23" t="n"/>
      <c r="H21" s="22" t="n"/>
      <c r="I21" s="23" t="n"/>
      <c r="J21" s="22" t="n"/>
      <c r="K21" s="23" t="n"/>
      <c r="L21" s="22" t="n"/>
      <c r="M21" s="23" t="n"/>
      <c r="N21" s="22" t="n"/>
      <c r="O21" s="22" t="n"/>
      <c r="P21" s="22" t="n"/>
      <c r="Q21" s="23" t="n"/>
      <c r="R21" s="22" t="n"/>
      <c r="S21" s="23" t="n"/>
      <c r="T21" s="22" t="n"/>
      <c r="U21" s="23" t="n"/>
      <c r="V21" s="24" t="n"/>
      <c r="W21" s="25">
        <f>IF(ISNUMBER(U21),U21+IF(ISNUMBER(V21),V21,120),"")</f>
        <v/>
      </c>
      <c r="X21" s="22" t="n"/>
      <c r="Y21" s="23" t="n"/>
      <c r="Z21" s="22" t="n"/>
      <c r="AA21" s="23" t="n"/>
      <c r="AB21" s="24" t="n"/>
      <c r="AC21" s="26">
        <f>IF(ISNUMBER(AD21)=FALSE,"",IF(G21=AD21,"State license",IF(I21=AD21,"DEA registration",IF(K21=AD21,"State CSR",IF(M21=AD21,"Board certification",IF(Q21=AD21,"Malpractice",IF(S21=AD21,"Life support",IF(W21=AD21,"CAQH re-attestation",IF(Y21=AD21,"Privileges reappointment","Payer recredentialing")))))))))</f>
        <v/>
      </c>
      <c r="AD21" s="25">
        <f>IF(OR(AND(LEN(G21)&gt;0,ISNUMBER(G21)=FALSE),AND(LEN(I21)&gt;0,ISNUMBER(I21)=FALSE),AND(LEN(K21)&gt;0,ISNUMBER(K21)=FALSE),AND(LEN(M21)&gt;0,ISNUMBER(M21)=FALSE),AND(LEN(Q21)&gt;0,ISNUMBER(Q21)=FALSE),AND(LEN(S21)&gt;0,ISNUMBER(S21)=FALSE),AND(LEN(Y21)&gt;0,ISNUMBER(Y21)=FALSE),AND(LEN(AA21)&gt;0,ISNUMBER(AA21)=FALSE),AND(LEN(U21)&gt;0,ISNUMBER(U21)=FALSE)),"Check date",IF(COUNT(G21,I21,K21,M21,Q21,S21,W21,Y21,AA21)=0,"",MIN(G21,I21,K21,M21,Q21,S21,W21,Y21,AA21)))</f>
        <v/>
      </c>
      <c r="AE21" s="25">
        <f>IF(ISNUMBER(AD21),AD21-IF(ISNUMBER(AB21),AB21,30),"")</f>
        <v/>
      </c>
      <c r="AF21" s="27">
        <f>IF(AD21="","",IF(ISNUMBER(AD21),AD21-TODAY(),"Check date"))</f>
        <v/>
      </c>
      <c r="AG21" s="28">
        <f>IF(AF21="","",IF(ISNUMBER(AF21),IF(AF21&lt;0,"Expired",IF(AF21&lt;=30,"Due ≤30 days",IF(AF21&lt;=90,"Due ≤90 days","OK"))),"Check date"))</f>
        <v/>
      </c>
      <c r="AH21" s="22" t="n"/>
      <c r="AI21" s="22" t="n"/>
      <c r="AJ21" s="22" t="n"/>
      <c r="AK21" s="22" t="n"/>
    </row>
    <row r="22">
      <c r="A22" s="22" t="n"/>
      <c r="B22" s="22" t="n"/>
      <c r="C22" s="22" t="n"/>
      <c r="D22" s="22" t="n"/>
      <c r="E22" s="22" t="n"/>
      <c r="F22" s="22" t="n"/>
      <c r="G22" s="23" t="n"/>
      <c r="H22" s="22" t="n"/>
      <c r="I22" s="23" t="n"/>
      <c r="J22" s="22" t="n"/>
      <c r="K22" s="23" t="n"/>
      <c r="L22" s="22" t="n"/>
      <c r="M22" s="23" t="n"/>
      <c r="N22" s="22" t="n"/>
      <c r="O22" s="22" t="n"/>
      <c r="P22" s="22" t="n"/>
      <c r="Q22" s="23" t="n"/>
      <c r="R22" s="22" t="n"/>
      <c r="S22" s="23" t="n"/>
      <c r="T22" s="22" t="n"/>
      <c r="U22" s="23" t="n"/>
      <c r="V22" s="24" t="n"/>
      <c r="W22" s="25">
        <f>IF(ISNUMBER(U22),U22+IF(ISNUMBER(V22),V22,120),"")</f>
        <v/>
      </c>
      <c r="X22" s="22" t="n"/>
      <c r="Y22" s="23" t="n"/>
      <c r="Z22" s="22" t="n"/>
      <c r="AA22" s="23" t="n"/>
      <c r="AB22" s="24" t="n"/>
      <c r="AC22" s="26">
        <f>IF(ISNUMBER(AD22)=FALSE,"",IF(G22=AD22,"State license",IF(I22=AD22,"DEA registration",IF(K22=AD22,"State CSR",IF(M22=AD22,"Board certification",IF(Q22=AD22,"Malpractice",IF(S22=AD22,"Life support",IF(W22=AD22,"CAQH re-attestation",IF(Y22=AD22,"Privileges reappointment","Payer recredentialing")))))))))</f>
        <v/>
      </c>
      <c r="AD22" s="25">
        <f>IF(OR(AND(LEN(G22)&gt;0,ISNUMBER(G22)=FALSE),AND(LEN(I22)&gt;0,ISNUMBER(I22)=FALSE),AND(LEN(K22)&gt;0,ISNUMBER(K22)=FALSE),AND(LEN(M22)&gt;0,ISNUMBER(M22)=FALSE),AND(LEN(Q22)&gt;0,ISNUMBER(Q22)=FALSE),AND(LEN(S22)&gt;0,ISNUMBER(S22)=FALSE),AND(LEN(Y22)&gt;0,ISNUMBER(Y22)=FALSE),AND(LEN(AA22)&gt;0,ISNUMBER(AA22)=FALSE),AND(LEN(U22)&gt;0,ISNUMBER(U22)=FALSE)),"Check date",IF(COUNT(G22,I22,K22,M22,Q22,S22,W22,Y22,AA22)=0,"",MIN(G22,I22,K22,M22,Q22,S22,W22,Y22,AA22)))</f>
        <v/>
      </c>
      <c r="AE22" s="25">
        <f>IF(ISNUMBER(AD22),AD22-IF(ISNUMBER(AB22),AB22,30),"")</f>
        <v/>
      </c>
      <c r="AF22" s="27">
        <f>IF(AD22="","",IF(ISNUMBER(AD22),AD22-TODAY(),"Check date"))</f>
        <v/>
      </c>
      <c r="AG22" s="28">
        <f>IF(AF22="","",IF(ISNUMBER(AF22),IF(AF22&lt;0,"Expired",IF(AF22&lt;=30,"Due ≤30 days",IF(AF22&lt;=90,"Due ≤90 days","OK"))),"Check date"))</f>
        <v/>
      </c>
      <c r="AH22" s="22" t="n"/>
      <c r="AI22" s="22" t="n"/>
      <c r="AJ22" s="22" t="n"/>
      <c r="AK22" s="22" t="n"/>
    </row>
    <row r="23">
      <c r="A23" s="22" t="n"/>
      <c r="B23" s="22" t="n"/>
      <c r="C23" s="22" t="n"/>
      <c r="D23" s="22" t="n"/>
      <c r="E23" s="22" t="n"/>
      <c r="F23" s="22" t="n"/>
      <c r="G23" s="23" t="n"/>
      <c r="H23" s="22" t="n"/>
      <c r="I23" s="23" t="n"/>
      <c r="J23" s="22" t="n"/>
      <c r="K23" s="23" t="n"/>
      <c r="L23" s="22" t="n"/>
      <c r="M23" s="23" t="n"/>
      <c r="N23" s="22" t="n"/>
      <c r="O23" s="22" t="n"/>
      <c r="P23" s="22" t="n"/>
      <c r="Q23" s="23" t="n"/>
      <c r="R23" s="22" t="n"/>
      <c r="S23" s="23" t="n"/>
      <c r="T23" s="22" t="n"/>
      <c r="U23" s="23" t="n"/>
      <c r="V23" s="24" t="n"/>
      <c r="W23" s="25">
        <f>IF(ISNUMBER(U23),U23+IF(ISNUMBER(V23),V23,120),"")</f>
        <v/>
      </c>
      <c r="X23" s="22" t="n"/>
      <c r="Y23" s="23" t="n"/>
      <c r="Z23" s="22" t="n"/>
      <c r="AA23" s="23" t="n"/>
      <c r="AB23" s="24" t="n"/>
      <c r="AC23" s="26">
        <f>IF(ISNUMBER(AD23)=FALSE,"",IF(G23=AD23,"State license",IF(I23=AD23,"DEA registration",IF(K23=AD23,"State CSR",IF(M23=AD23,"Board certification",IF(Q23=AD23,"Malpractice",IF(S23=AD23,"Life support",IF(W23=AD23,"CAQH re-attestation",IF(Y23=AD23,"Privileges reappointment","Payer recredentialing")))))))))</f>
        <v/>
      </c>
      <c r="AD23" s="25">
        <f>IF(OR(AND(LEN(G23)&gt;0,ISNUMBER(G23)=FALSE),AND(LEN(I23)&gt;0,ISNUMBER(I23)=FALSE),AND(LEN(K23)&gt;0,ISNUMBER(K23)=FALSE),AND(LEN(M23)&gt;0,ISNUMBER(M23)=FALSE),AND(LEN(Q23)&gt;0,ISNUMBER(Q23)=FALSE),AND(LEN(S23)&gt;0,ISNUMBER(S23)=FALSE),AND(LEN(Y23)&gt;0,ISNUMBER(Y23)=FALSE),AND(LEN(AA23)&gt;0,ISNUMBER(AA23)=FALSE),AND(LEN(U23)&gt;0,ISNUMBER(U23)=FALSE)),"Check date",IF(COUNT(G23,I23,K23,M23,Q23,S23,W23,Y23,AA23)=0,"",MIN(G23,I23,K23,M23,Q23,S23,W23,Y23,AA23)))</f>
        <v/>
      </c>
      <c r="AE23" s="25">
        <f>IF(ISNUMBER(AD23),AD23-IF(ISNUMBER(AB23),AB23,30),"")</f>
        <v/>
      </c>
      <c r="AF23" s="27">
        <f>IF(AD23="","",IF(ISNUMBER(AD23),AD23-TODAY(),"Check date"))</f>
        <v/>
      </c>
      <c r="AG23" s="28">
        <f>IF(AF23="","",IF(ISNUMBER(AF23),IF(AF23&lt;0,"Expired",IF(AF23&lt;=30,"Due ≤30 days",IF(AF23&lt;=90,"Due ≤90 days","OK"))),"Check date"))</f>
        <v/>
      </c>
      <c r="AH23" s="22" t="n"/>
      <c r="AI23" s="22" t="n"/>
      <c r="AJ23" s="22" t="n"/>
      <c r="AK23" s="22" t="n"/>
    </row>
    <row r="24">
      <c r="A24" s="22" t="n"/>
      <c r="B24" s="22" t="n"/>
      <c r="C24" s="22" t="n"/>
      <c r="D24" s="22" t="n"/>
      <c r="E24" s="22" t="n"/>
      <c r="F24" s="22" t="n"/>
      <c r="G24" s="23" t="n"/>
      <c r="H24" s="22" t="n"/>
      <c r="I24" s="23" t="n"/>
      <c r="J24" s="22" t="n"/>
      <c r="K24" s="23" t="n"/>
      <c r="L24" s="22" t="n"/>
      <c r="M24" s="23" t="n"/>
      <c r="N24" s="22" t="n"/>
      <c r="O24" s="22" t="n"/>
      <c r="P24" s="22" t="n"/>
      <c r="Q24" s="23" t="n"/>
      <c r="R24" s="22" t="n"/>
      <c r="S24" s="23" t="n"/>
      <c r="T24" s="22" t="n"/>
      <c r="U24" s="23" t="n"/>
      <c r="V24" s="24" t="n"/>
      <c r="W24" s="25">
        <f>IF(ISNUMBER(U24),U24+IF(ISNUMBER(V24),V24,120),"")</f>
        <v/>
      </c>
      <c r="X24" s="22" t="n"/>
      <c r="Y24" s="23" t="n"/>
      <c r="Z24" s="22" t="n"/>
      <c r="AA24" s="23" t="n"/>
      <c r="AB24" s="24" t="n"/>
      <c r="AC24" s="26">
        <f>IF(ISNUMBER(AD24)=FALSE,"",IF(G24=AD24,"State license",IF(I24=AD24,"DEA registration",IF(K24=AD24,"State CSR",IF(M24=AD24,"Board certification",IF(Q24=AD24,"Malpractice",IF(S24=AD24,"Life support",IF(W24=AD24,"CAQH re-attestation",IF(Y24=AD24,"Privileges reappointment","Payer recredentialing")))))))))</f>
        <v/>
      </c>
      <c r="AD24" s="25">
        <f>IF(OR(AND(LEN(G24)&gt;0,ISNUMBER(G24)=FALSE),AND(LEN(I24)&gt;0,ISNUMBER(I24)=FALSE),AND(LEN(K24)&gt;0,ISNUMBER(K24)=FALSE),AND(LEN(M24)&gt;0,ISNUMBER(M24)=FALSE),AND(LEN(Q24)&gt;0,ISNUMBER(Q24)=FALSE),AND(LEN(S24)&gt;0,ISNUMBER(S24)=FALSE),AND(LEN(Y24)&gt;0,ISNUMBER(Y24)=FALSE),AND(LEN(AA24)&gt;0,ISNUMBER(AA24)=FALSE),AND(LEN(U24)&gt;0,ISNUMBER(U24)=FALSE)),"Check date",IF(COUNT(G24,I24,K24,M24,Q24,S24,W24,Y24,AA24)=0,"",MIN(G24,I24,K24,M24,Q24,S24,W24,Y24,AA24)))</f>
        <v/>
      </c>
      <c r="AE24" s="25">
        <f>IF(ISNUMBER(AD24),AD24-IF(ISNUMBER(AB24),AB24,30),"")</f>
        <v/>
      </c>
      <c r="AF24" s="27">
        <f>IF(AD24="","",IF(ISNUMBER(AD24),AD24-TODAY(),"Check date"))</f>
        <v/>
      </c>
      <c r="AG24" s="28">
        <f>IF(AF24="","",IF(ISNUMBER(AF24),IF(AF24&lt;0,"Expired",IF(AF24&lt;=30,"Due ≤30 days",IF(AF24&lt;=90,"Due ≤90 days","OK"))),"Check date"))</f>
        <v/>
      </c>
      <c r="AH24" s="22" t="n"/>
      <c r="AI24" s="22" t="n"/>
      <c r="AJ24" s="22" t="n"/>
      <c r="AK24" s="22" t="n"/>
    </row>
    <row r="25">
      <c r="A25" s="22" t="n"/>
      <c r="B25" s="22" t="n"/>
      <c r="C25" s="22" t="n"/>
      <c r="D25" s="22" t="n"/>
      <c r="E25" s="22" t="n"/>
      <c r="F25" s="22" t="n"/>
      <c r="G25" s="23" t="n"/>
      <c r="H25" s="22" t="n"/>
      <c r="I25" s="23" t="n"/>
      <c r="J25" s="22" t="n"/>
      <c r="K25" s="23" t="n"/>
      <c r="L25" s="22" t="n"/>
      <c r="M25" s="23" t="n"/>
      <c r="N25" s="22" t="n"/>
      <c r="O25" s="22" t="n"/>
      <c r="P25" s="22" t="n"/>
      <c r="Q25" s="23" t="n"/>
      <c r="R25" s="22" t="n"/>
      <c r="S25" s="23" t="n"/>
      <c r="T25" s="22" t="n"/>
      <c r="U25" s="23" t="n"/>
      <c r="V25" s="24" t="n"/>
      <c r="W25" s="25">
        <f>IF(ISNUMBER(U25),U25+IF(ISNUMBER(V25),V25,120),"")</f>
        <v/>
      </c>
      <c r="X25" s="22" t="n"/>
      <c r="Y25" s="23" t="n"/>
      <c r="Z25" s="22" t="n"/>
      <c r="AA25" s="23" t="n"/>
      <c r="AB25" s="24" t="n"/>
      <c r="AC25" s="26">
        <f>IF(ISNUMBER(AD25)=FALSE,"",IF(G25=AD25,"State license",IF(I25=AD25,"DEA registration",IF(K25=AD25,"State CSR",IF(M25=AD25,"Board certification",IF(Q25=AD25,"Malpractice",IF(S25=AD25,"Life support",IF(W25=AD25,"CAQH re-attestation",IF(Y25=AD25,"Privileges reappointment","Payer recredentialing")))))))))</f>
        <v/>
      </c>
      <c r="AD25" s="25">
        <f>IF(OR(AND(LEN(G25)&gt;0,ISNUMBER(G25)=FALSE),AND(LEN(I25)&gt;0,ISNUMBER(I25)=FALSE),AND(LEN(K25)&gt;0,ISNUMBER(K25)=FALSE),AND(LEN(M25)&gt;0,ISNUMBER(M25)=FALSE),AND(LEN(Q25)&gt;0,ISNUMBER(Q25)=FALSE),AND(LEN(S25)&gt;0,ISNUMBER(S25)=FALSE),AND(LEN(Y25)&gt;0,ISNUMBER(Y25)=FALSE),AND(LEN(AA25)&gt;0,ISNUMBER(AA25)=FALSE),AND(LEN(U25)&gt;0,ISNUMBER(U25)=FALSE)),"Check date",IF(COUNT(G25,I25,K25,M25,Q25,S25,W25,Y25,AA25)=0,"",MIN(G25,I25,K25,M25,Q25,S25,W25,Y25,AA25)))</f>
        <v/>
      </c>
      <c r="AE25" s="25">
        <f>IF(ISNUMBER(AD25),AD25-IF(ISNUMBER(AB25),AB25,30),"")</f>
        <v/>
      </c>
      <c r="AF25" s="27">
        <f>IF(AD25="","",IF(ISNUMBER(AD25),AD25-TODAY(),"Check date"))</f>
        <v/>
      </c>
      <c r="AG25" s="28">
        <f>IF(AF25="","",IF(ISNUMBER(AF25),IF(AF25&lt;0,"Expired",IF(AF25&lt;=30,"Due ≤30 days",IF(AF25&lt;=90,"Due ≤90 days","OK"))),"Check date"))</f>
        <v/>
      </c>
      <c r="AH25" s="22" t="n"/>
      <c r="AI25" s="22" t="n"/>
      <c r="AJ25" s="22" t="n"/>
      <c r="AK25" s="22" t="n"/>
    </row>
    <row r="26">
      <c r="A26" s="22" t="n"/>
      <c r="B26" s="22" t="n"/>
      <c r="C26" s="22" t="n"/>
      <c r="D26" s="22" t="n"/>
      <c r="E26" s="22" t="n"/>
      <c r="F26" s="22" t="n"/>
      <c r="G26" s="23" t="n"/>
      <c r="H26" s="22" t="n"/>
      <c r="I26" s="23" t="n"/>
      <c r="J26" s="22" t="n"/>
      <c r="K26" s="23" t="n"/>
      <c r="L26" s="22" t="n"/>
      <c r="M26" s="23" t="n"/>
      <c r="N26" s="22" t="n"/>
      <c r="O26" s="22" t="n"/>
      <c r="P26" s="22" t="n"/>
      <c r="Q26" s="23" t="n"/>
      <c r="R26" s="22" t="n"/>
      <c r="S26" s="23" t="n"/>
      <c r="T26" s="22" t="n"/>
      <c r="U26" s="23" t="n"/>
      <c r="V26" s="24" t="n"/>
      <c r="W26" s="25">
        <f>IF(ISNUMBER(U26),U26+IF(ISNUMBER(V26),V26,120),"")</f>
        <v/>
      </c>
      <c r="X26" s="22" t="n"/>
      <c r="Y26" s="23" t="n"/>
      <c r="Z26" s="22" t="n"/>
      <c r="AA26" s="23" t="n"/>
      <c r="AB26" s="24" t="n"/>
      <c r="AC26" s="26">
        <f>IF(ISNUMBER(AD26)=FALSE,"",IF(G26=AD26,"State license",IF(I26=AD26,"DEA registration",IF(K26=AD26,"State CSR",IF(M26=AD26,"Board certification",IF(Q26=AD26,"Malpractice",IF(S26=AD26,"Life support",IF(W26=AD26,"CAQH re-attestation",IF(Y26=AD26,"Privileges reappointment","Payer recredentialing")))))))))</f>
        <v/>
      </c>
      <c r="AD26" s="25">
        <f>IF(OR(AND(LEN(G26)&gt;0,ISNUMBER(G26)=FALSE),AND(LEN(I26)&gt;0,ISNUMBER(I26)=FALSE),AND(LEN(K26)&gt;0,ISNUMBER(K26)=FALSE),AND(LEN(M26)&gt;0,ISNUMBER(M26)=FALSE),AND(LEN(Q26)&gt;0,ISNUMBER(Q26)=FALSE),AND(LEN(S26)&gt;0,ISNUMBER(S26)=FALSE),AND(LEN(Y26)&gt;0,ISNUMBER(Y26)=FALSE),AND(LEN(AA26)&gt;0,ISNUMBER(AA26)=FALSE),AND(LEN(U26)&gt;0,ISNUMBER(U26)=FALSE)),"Check date",IF(COUNT(G26,I26,K26,M26,Q26,S26,W26,Y26,AA26)=0,"",MIN(G26,I26,K26,M26,Q26,S26,W26,Y26,AA26)))</f>
        <v/>
      </c>
      <c r="AE26" s="25">
        <f>IF(ISNUMBER(AD26),AD26-IF(ISNUMBER(AB26),AB26,30),"")</f>
        <v/>
      </c>
      <c r="AF26" s="27">
        <f>IF(AD26="","",IF(ISNUMBER(AD26),AD26-TODAY(),"Check date"))</f>
        <v/>
      </c>
      <c r="AG26" s="28">
        <f>IF(AF26="","",IF(ISNUMBER(AF26),IF(AF26&lt;0,"Expired",IF(AF26&lt;=30,"Due ≤30 days",IF(AF26&lt;=90,"Due ≤90 days","OK"))),"Check date"))</f>
        <v/>
      </c>
      <c r="AH26" s="22" t="n"/>
      <c r="AI26" s="22" t="n"/>
      <c r="AJ26" s="22" t="n"/>
      <c r="AK26" s="22" t="n"/>
    </row>
    <row r="27">
      <c r="A27" s="22" t="n"/>
      <c r="B27" s="22" t="n"/>
      <c r="C27" s="22" t="n"/>
      <c r="D27" s="22" t="n"/>
      <c r="E27" s="22" t="n"/>
      <c r="F27" s="22" t="n"/>
      <c r="G27" s="23" t="n"/>
      <c r="H27" s="22" t="n"/>
      <c r="I27" s="23" t="n"/>
      <c r="J27" s="22" t="n"/>
      <c r="K27" s="23" t="n"/>
      <c r="L27" s="22" t="n"/>
      <c r="M27" s="23" t="n"/>
      <c r="N27" s="22" t="n"/>
      <c r="O27" s="22" t="n"/>
      <c r="P27" s="22" t="n"/>
      <c r="Q27" s="23" t="n"/>
      <c r="R27" s="22" t="n"/>
      <c r="S27" s="23" t="n"/>
      <c r="T27" s="22" t="n"/>
      <c r="U27" s="23" t="n"/>
      <c r="V27" s="24" t="n"/>
      <c r="W27" s="25">
        <f>IF(ISNUMBER(U27),U27+IF(ISNUMBER(V27),V27,120),"")</f>
        <v/>
      </c>
      <c r="X27" s="22" t="n"/>
      <c r="Y27" s="23" t="n"/>
      <c r="Z27" s="22" t="n"/>
      <c r="AA27" s="23" t="n"/>
      <c r="AB27" s="24" t="n"/>
      <c r="AC27" s="26">
        <f>IF(ISNUMBER(AD27)=FALSE,"",IF(G27=AD27,"State license",IF(I27=AD27,"DEA registration",IF(K27=AD27,"State CSR",IF(M27=AD27,"Board certification",IF(Q27=AD27,"Malpractice",IF(S27=AD27,"Life support",IF(W27=AD27,"CAQH re-attestation",IF(Y27=AD27,"Privileges reappointment","Payer recredentialing")))))))))</f>
        <v/>
      </c>
      <c r="AD27" s="25">
        <f>IF(OR(AND(LEN(G27)&gt;0,ISNUMBER(G27)=FALSE),AND(LEN(I27)&gt;0,ISNUMBER(I27)=FALSE),AND(LEN(K27)&gt;0,ISNUMBER(K27)=FALSE),AND(LEN(M27)&gt;0,ISNUMBER(M27)=FALSE),AND(LEN(Q27)&gt;0,ISNUMBER(Q27)=FALSE),AND(LEN(S27)&gt;0,ISNUMBER(S27)=FALSE),AND(LEN(Y27)&gt;0,ISNUMBER(Y27)=FALSE),AND(LEN(AA27)&gt;0,ISNUMBER(AA27)=FALSE),AND(LEN(U27)&gt;0,ISNUMBER(U27)=FALSE)),"Check date",IF(COUNT(G27,I27,K27,M27,Q27,S27,W27,Y27,AA27)=0,"",MIN(G27,I27,K27,M27,Q27,S27,W27,Y27,AA27)))</f>
        <v/>
      </c>
      <c r="AE27" s="25">
        <f>IF(ISNUMBER(AD27),AD27-IF(ISNUMBER(AB27),AB27,30),"")</f>
        <v/>
      </c>
      <c r="AF27" s="27">
        <f>IF(AD27="","",IF(ISNUMBER(AD27),AD27-TODAY(),"Check date"))</f>
        <v/>
      </c>
      <c r="AG27" s="28">
        <f>IF(AF27="","",IF(ISNUMBER(AF27),IF(AF27&lt;0,"Expired",IF(AF27&lt;=30,"Due ≤30 days",IF(AF27&lt;=90,"Due ≤90 days","OK"))),"Check date"))</f>
        <v/>
      </c>
      <c r="AH27" s="22" t="n"/>
      <c r="AI27" s="22" t="n"/>
      <c r="AJ27" s="22" t="n"/>
      <c r="AK27" s="22" t="n"/>
    </row>
    <row r="28">
      <c r="A28" s="22" t="n"/>
      <c r="B28" s="22" t="n"/>
      <c r="C28" s="22" t="n"/>
      <c r="D28" s="22" t="n"/>
      <c r="E28" s="22" t="n"/>
      <c r="F28" s="22" t="n"/>
      <c r="G28" s="23" t="n"/>
      <c r="H28" s="22" t="n"/>
      <c r="I28" s="23" t="n"/>
      <c r="J28" s="22" t="n"/>
      <c r="K28" s="23" t="n"/>
      <c r="L28" s="22" t="n"/>
      <c r="M28" s="23" t="n"/>
      <c r="N28" s="22" t="n"/>
      <c r="O28" s="22" t="n"/>
      <c r="P28" s="22" t="n"/>
      <c r="Q28" s="23" t="n"/>
      <c r="R28" s="22" t="n"/>
      <c r="S28" s="23" t="n"/>
      <c r="T28" s="22" t="n"/>
      <c r="U28" s="23" t="n"/>
      <c r="V28" s="24" t="n"/>
      <c r="W28" s="25">
        <f>IF(ISNUMBER(U28),U28+IF(ISNUMBER(V28),V28,120),"")</f>
        <v/>
      </c>
      <c r="X28" s="22" t="n"/>
      <c r="Y28" s="23" t="n"/>
      <c r="Z28" s="22" t="n"/>
      <c r="AA28" s="23" t="n"/>
      <c r="AB28" s="24" t="n"/>
      <c r="AC28" s="26">
        <f>IF(ISNUMBER(AD28)=FALSE,"",IF(G28=AD28,"State license",IF(I28=AD28,"DEA registration",IF(K28=AD28,"State CSR",IF(M28=AD28,"Board certification",IF(Q28=AD28,"Malpractice",IF(S28=AD28,"Life support",IF(W28=AD28,"CAQH re-attestation",IF(Y28=AD28,"Privileges reappointment","Payer recredentialing")))))))))</f>
        <v/>
      </c>
      <c r="AD28" s="25">
        <f>IF(OR(AND(LEN(G28)&gt;0,ISNUMBER(G28)=FALSE),AND(LEN(I28)&gt;0,ISNUMBER(I28)=FALSE),AND(LEN(K28)&gt;0,ISNUMBER(K28)=FALSE),AND(LEN(M28)&gt;0,ISNUMBER(M28)=FALSE),AND(LEN(Q28)&gt;0,ISNUMBER(Q28)=FALSE),AND(LEN(S28)&gt;0,ISNUMBER(S28)=FALSE),AND(LEN(Y28)&gt;0,ISNUMBER(Y28)=FALSE),AND(LEN(AA28)&gt;0,ISNUMBER(AA28)=FALSE),AND(LEN(U28)&gt;0,ISNUMBER(U28)=FALSE)),"Check date",IF(COUNT(G28,I28,K28,M28,Q28,S28,W28,Y28,AA28)=0,"",MIN(G28,I28,K28,M28,Q28,S28,W28,Y28,AA28)))</f>
        <v/>
      </c>
      <c r="AE28" s="25">
        <f>IF(ISNUMBER(AD28),AD28-IF(ISNUMBER(AB28),AB28,30),"")</f>
        <v/>
      </c>
      <c r="AF28" s="27">
        <f>IF(AD28="","",IF(ISNUMBER(AD28),AD28-TODAY(),"Check date"))</f>
        <v/>
      </c>
      <c r="AG28" s="28">
        <f>IF(AF28="","",IF(ISNUMBER(AF28),IF(AF28&lt;0,"Expired",IF(AF28&lt;=30,"Due ≤30 days",IF(AF28&lt;=90,"Due ≤90 days","OK"))),"Check date"))</f>
        <v/>
      </c>
      <c r="AH28" s="22" t="n"/>
      <c r="AI28" s="22" t="n"/>
      <c r="AJ28" s="22" t="n"/>
      <c r="AK28" s="22" t="n"/>
    </row>
    <row r="29">
      <c r="A29" s="22" t="n"/>
      <c r="B29" s="22" t="n"/>
      <c r="C29" s="22" t="n"/>
      <c r="D29" s="22" t="n"/>
      <c r="E29" s="22" t="n"/>
      <c r="F29" s="22" t="n"/>
      <c r="G29" s="23" t="n"/>
      <c r="H29" s="22" t="n"/>
      <c r="I29" s="23" t="n"/>
      <c r="J29" s="22" t="n"/>
      <c r="K29" s="23" t="n"/>
      <c r="L29" s="22" t="n"/>
      <c r="M29" s="23" t="n"/>
      <c r="N29" s="22" t="n"/>
      <c r="O29" s="22" t="n"/>
      <c r="P29" s="22" t="n"/>
      <c r="Q29" s="23" t="n"/>
      <c r="R29" s="22" t="n"/>
      <c r="S29" s="23" t="n"/>
      <c r="T29" s="22" t="n"/>
      <c r="U29" s="23" t="n"/>
      <c r="V29" s="24" t="n"/>
      <c r="W29" s="25">
        <f>IF(ISNUMBER(U29),U29+IF(ISNUMBER(V29),V29,120),"")</f>
        <v/>
      </c>
      <c r="X29" s="22" t="n"/>
      <c r="Y29" s="23" t="n"/>
      <c r="Z29" s="22" t="n"/>
      <c r="AA29" s="23" t="n"/>
      <c r="AB29" s="24" t="n"/>
      <c r="AC29" s="26">
        <f>IF(ISNUMBER(AD29)=FALSE,"",IF(G29=AD29,"State license",IF(I29=AD29,"DEA registration",IF(K29=AD29,"State CSR",IF(M29=AD29,"Board certification",IF(Q29=AD29,"Malpractice",IF(S29=AD29,"Life support",IF(W29=AD29,"CAQH re-attestation",IF(Y29=AD29,"Privileges reappointment","Payer recredentialing")))))))))</f>
        <v/>
      </c>
      <c r="AD29" s="25">
        <f>IF(OR(AND(LEN(G29)&gt;0,ISNUMBER(G29)=FALSE),AND(LEN(I29)&gt;0,ISNUMBER(I29)=FALSE),AND(LEN(K29)&gt;0,ISNUMBER(K29)=FALSE),AND(LEN(M29)&gt;0,ISNUMBER(M29)=FALSE),AND(LEN(Q29)&gt;0,ISNUMBER(Q29)=FALSE),AND(LEN(S29)&gt;0,ISNUMBER(S29)=FALSE),AND(LEN(Y29)&gt;0,ISNUMBER(Y29)=FALSE),AND(LEN(AA29)&gt;0,ISNUMBER(AA29)=FALSE),AND(LEN(U29)&gt;0,ISNUMBER(U29)=FALSE)),"Check date",IF(COUNT(G29,I29,K29,M29,Q29,S29,W29,Y29,AA29)=0,"",MIN(G29,I29,K29,M29,Q29,S29,W29,Y29,AA29)))</f>
        <v/>
      </c>
      <c r="AE29" s="25">
        <f>IF(ISNUMBER(AD29),AD29-IF(ISNUMBER(AB29),AB29,30),"")</f>
        <v/>
      </c>
      <c r="AF29" s="27">
        <f>IF(AD29="","",IF(ISNUMBER(AD29),AD29-TODAY(),"Check date"))</f>
        <v/>
      </c>
      <c r="AG29" s="28">
        <f>IF(AF29="","",IF(ISNUMBER(AF29),IF(AF29&lt;0,"Expired",IF(AF29&lt;=30,"Due ≤30 days",IF(AF29&lt;=90,"Due ≤90 days","OK"))),"Check date"))</f>
        <v/>
      </c>
      <c r="AH29" s="22" t="n"/>
      <c r="AI29" s="22" t="n"/>
      <c r="AJ29" s="22" t="n"/>
      <c r="AK29" s="22" t="n"/>
    </row>
    <row r="30">
      <c r="A30" s="22" t="n"/>
      <c r="B30" s="22" t="n"/>
      <c r="C30" s="22" t="n"/>
      <c r="D30" s="22" t="n"/>
      <c r="E30" s="22" t="n"/>
      <c r="F30" s="22" t="n"/>
      <c r="G30" s="23" t="n"/>
      <c r="H30" s="22" t="n"/>
      <c r="I30" s="23" t="n"/>
      <c r="J30" s="22" t="n"/>
      <c r="K30" s="23" t="n"/>
      <c r="L30" s="22" t="n"/>
      <c r="M30" s="23" t="n"/>
      <c r="N30" s="22" t="n"/>
      <c r="O30" s="22" t="n"/>
      <c r="P30" s="22" t="n"/>
      <c r="Q30" s="23" t="n"/>
      <c r="R30" s="22" t="n"/>
      <c r="S30" s="23" t="n"/>
      <c r="T30" s="22" t="n"/>
      <c r="U30" s="23" t="n"/>
      <c r="V30" s="24" t="n"/>
      <c r="W30" s="25">
        <f>IF(ISNUMBER(U30),U30+IF(ISNUMBER(V30),V30,120),"")</f>
        <v/>
      </c>
      <c r="X30" s="22" t="n"/>
      <c r="Y30" s="23" t="n"/>
      <c r="Z30" s="22" t="n"/>
      <c r="AA30" s="23" t="n"/>
      <c r="AB30" s="24" t="n"/>
      <c r="AC30" s="26">
        <f>IF(ISNUMBER(AD30)=FALSE,"",IF(G30=AD30,"State license",IF(I30=AD30,"DEA registration",IF(K30=AD30,"State CSR",IF(M30=AD30,"Board certification",IF(Q30=AD30,"Malpractice",IF(S30=AD30,"Life support",IF(W30=AD30,"CAQH re-attestation",IF(Y30=AD30,"Privileges reappointment","Payer recredentialing")))))))))</f>
        <v/>
      </c>
      <c r="AD30" s="25">
        <f>IF(OR(AND(LEN(G30)&gt;0,ISNUMBER(G30)=FALSE),AND(LEN(I30)&gt;0,ISNUMBER(I30)=FALSE),AND(LEN(K30)&gt;0,ISNUMBER(K30)=FALSE),AND(LEN(M30)&gt;0,ISNUMBER(M30)=FALSE),AND(LEN(Q30)&gt;0,ISNUMBER(Q30)=FALSE),AND(LEN(S30)&gt;0,ISNUMBER(S30)=FALSE),AND(LEN(Y30)&gt;0,ISNUMBER(Y30)=FALSE),AND(LEN(AA30)&gt;0,ISNUMBER(AA30)=FALSE),AND(LEN(U30)&gt;0,ISNUMBER(U30)=FALSE)),"Check date",IF(COUNT(G30,I30,K30,M30,Q30,S30,W30,Y30,AA30)=0,"",MIN(G30,I30,K30,M30,Q30,S30,W30,Y30,AA30)))</f>
        <v/>
      </c>
      <c r="AE30" s="25">
        <f>IF(ISNUMBER(AD30),AD30-IF(ISNUMBER(AB30),AB30,30),"")</f>
        <v/>
      </c>
      <c r="AF30" s="27">
        <f>IF(AD30="","",IF(ISNUMBER(AD30),AD30-TODAY(),"Check date"))</f>
        <v/>
      </c>
      <c r="AG30" s="28">
        <f>IF(AF30="","",IF(ISNUMBER(AF30),IF(AF30&lt;0,"Expired",IF(AF30&lt;=30,"Due ≤30 days",IF(AF30&lt;=90,"Due ≤90 days","OK"))),"Check date"))</f>
        <v/>
      </c>
      <c r="AH30" s="22" t="n"/>
      <c r="AI30" s="22" t="n"/>
      <c r="AJ30" s="22" t="n"/>
      <c r="AK30" s="22" t="n"/>
    </row>
    <row r="31">
      <c r="A31" s="22" t="n"/>
      <c r="B31" s="22" t="n"/>
      <c r="C31" s="22" t="n"/>
      <c r="D31" s="22" t="n"/>
      <c r="E31" s="22" t="n"/>
      <c r="F31" s="22" t="n"/>
      <c r="G31" s="23" t="n"/>
      <c r="H31" s="22" t="n"/>
      <c r="I31" s="23" t="n"/>
      <c r="J31" s="22" t="n"/>
      <c r="K31" s="23" t="n"/>
      <c r="L31" s="22" t="n"/>
      <c r="M31" s="23" t="n"/>
      <c r="N31" s="22" t="n"/>
      <c r="O31" s="22" t="n"/>
      <c r="P31" s="22" t="n"/>
      <c r="Q31" s="23" t="n"/>
      <c r="R31" s="22" t="n"/>
      <c r="S31" s="23" t="n"/>
      <c r="T31" s="22" t="n"/>
      <c r="U31" s="23" t="n"/>
      <c r="V31" s="24" t="n"/>
      <c r="W31" s="25">
        <f>IF(ISNUMBER(U31),U31+IF(ISNUMBER(V31),V31,120),"")</f>
        <v/>
      </c>
      <c r="X31" s="22" t="n"/>
      <c r="Y31" s="23" t="n"/>
      <c r="Z31" s="22" t="n"/>
      <c r="AA31" s="23" t="n"/>
      <c r="AB31" s="24" t="n"/>
      <c r="AC31" s="26">
        <f>IF(ISNUMBER(AD31)=FALSE,"",IF(G31=AD31,"State license",IF(I31=AD31,"DEA registration",IF(K31=AD31,"State CSR",IF(M31=AD31,"Board certification",IF(Q31=AD31,"Malpractice",IF(S31=AD31,"Life support",IF(W31=AD31,"CAQH re-attestation",IF(Y31=AD31,"Privileges reappointment","Payer recredentialing")))))))))</f>
        <v/>
      </c>
      <c r="AD31" s="25">
        <f>IF(OR(AND(LEN(G31)&gt;0,ISNUMBER(G31)=FALSE),AND(LEN(I31)&gt;0,ISNUMBER(I31)=FALSE),AND(LEN(K31)&gt;0,ISNUMBER(K31)=FALSE),AND(LEN(M31)&gt;0,ISNUMBER(M31)=FALSE),AND(LEN(Q31)&gt;0,ISNUMBER(Q31)=FALSE),AND(LEN(S31)&gt;0,ISNUMBER(S31)=FALSE),AND(LEN(Y31)&gt;0,ISNUMBER(Y31)=FALSE),AND(LEN(AA31)&gt;0,ISNUMBER(AA31)=FALSE),AND(LEN(U31)&gt;0,ISNUMBER(U31)=FALSE)),"Check date",IF(COUNT(G31,I31,K31,M31,Q31,S31,W31,Y31,AA31)=0,"",MIN(G31,I31,K31,M31,Q31,S31,W31,Y31,AA31)))</f>
        <v/>
      </c>
      <c r="AE31" s="25">
        <f>IF(ISNUMBER(AD31),AD31-IF(ISNUMBER(AB31),AB31,30),"")</f>
        <v/>
      </c>
      <c r="AF31" s="27">
        <f>IF(AD31="","",IF(ISNUMBER(AD31),AD31-TODAY(),"Check date"))</f>
        <v/>
      </c>
      <c r="AG31" s="28">
        <f>IF(AF31="","",IF(ISNUMBER(AF31),IF(AF31&lt;0,"Expired",IF(AF31&lt;=30,"Due ≤30 days",IF(AF31&lt;=90,"Due ≤90 days","OK"))),"Check date"))</f>
        <v/>
      </c>
      <c r="AH31" s="22" t="n"/>
      <c r="AI31" s="22" t="n"/>
      <c r="AJ31" s="22" t="n"/>
      <c r="AK31" s="22" t="n"/>
    </row>
    <row r="32">
      <c r="A32" s="22" t="n"/>
      <c r="B32" s="22" t="n"/>
      <c r="C32" s="22" t="n"/>
      <c r="D32" s="22" t="n"/>
      <c r="E32" s="22" t="n"/>
      <c r="F32" s="22" t="n"/>
      <c r="G32" s="23" t="n"/>
      <c r="H32" s="22" t="n"/>
      <c r="I32" s="23" t="n"/>
      <c r="J32" s="22" t="n"/>
      <c r="K32" s="23" t="n"/>
      <c r="L32" s="22" t="n"/>
      <c r="M32" s="23" t="n"/>
      <c r="N32" s="22" t="n"/>
      <c r="O32" s="22" t="n"/>
      <c r="P32" s="22" t="n"/>
      <c r="Q32" s="23" t="n"/>
      <c r="R32" s="22" t="n"/>
      <c r="S32" s="23" t="n"/>
      <c r="T32" s="22" t="n"/>
      <c r="U32" s="23" t="n"/>
      <c r="V32" s="24" t="n"/>
      <c r="W32" s="25">
        <f>IF(ISNUMBER(U32),U32+IF(ISNUMBER(V32),V32,120),"")</f>
        <v/>
      </c>
      <c r="X32" s="22" t="n"/>
      <c r="Y32" s="23" t="n"/>
      <c r="Z32" s="22" t="n"/>
      <c r="AA32" s="23" t="n"/>
      <c r="AB32" s="24" t="n"/>
      <c r="AC32" s="26">
        <f>IF(ISNUMBER(AD32)=FALSE,"",IF(G32=AD32,"State license",IF(I32=AD32,"DEA registration",IF(K32=AD32,"State CSR",IF(M32=AD32,"Board certification",IF(Q32=AD32,"Malpractice",IF(S32=AD32,"Life support",IF(W32=AD32,"CAQH re-attestation",IF(Y32=AD32,"Privileges reappointment","Payer recredentialing")))))))))</f>
        <v/>
      </c>
      <c r="AD32" s="25">
        <f>IF(OR(AND(LEN(G32)&gt;0,ISNUMBER(G32)=FALSE),AND(LEN(I32)&gt;0,ISNUMBER(I32)=FALSE),AND(LEN(K32)&gt;0,ISNUMBER(K32)=FALSE),AND(LEN(M32)&gt;0,ISNUMBER(M32)=FALSE),AND(LEN(Q32)&gt;0,ISNUMBER(Q32)=FALSE),AND(LEN(S32)&gt;0,ISNUMBER(S32)=FALSE),AND(LEN(Y32)&gt;0,ISNUMBER(Y32)=FALSE),AND(LEN(AA32)&gt;0,ISNUMBER(AA32)=FALSE),AND(LEN(U32)&gt;0,ISNUMBER(U32)=FALSE)),"Check date",IF(COUNT(G32,I32,K32,M32,Q32,S32,W32,Y32,AA32)=0,"",MIN(G32,I32,K32,M32,Q32,S32,W32,Y32,AA32)))</f>
        <v/>
      </c>
      <c r="AE32" s="25">
        <f>IF(ISNUMBER(AD32),AD32-IF(ISNUMBER(AB32),AB32,30),"")</f>
        <v/>
      </c>
      <c r="AF32" s="27">
        <f>IF(AD32="","",IF(ISNUMBER(AD32),AD32-TODAY(),"Check date"))</f>
        <v/>
      </c>
      <c r="AG32" s="28">
        <f>IF(AF32="","",IF(ISNUMBER(AF32),IF(AF32&lt;0,"Expired",IF(AF32&lt;=30,"Due ≤30 days",IF(AF32&lt;=90,"Due ≤90 days","OK"))),"Check date"))</f>
        <v/>
      </c>
      <c r="AH32" s="22" t="n"/>
      <c r="AI32" s="22" t="n"/>
      <c r="AJ32" s="22" t="n"/>
      <c r="AK32" s="22" t="n"/>
    </row>
    <row r="33">
      <c r="A33" s="22" t="n"/>
      <c r="B33" s="22" t="n"/>
      <c r="C33" s="22" t="n"/>
      <c r="D33" s="22" t="n"/>
      <c r="E33" s="22" t="n"/>
      <c r="F33" s="22" t="n"/>
      <c r="G33" s="23" t="n"/>
      <c r="H33" s="22" t="n"/>
      <c r="I33" s="23" t="n"/>
      <c r="J33" s="22" t="n"/>
      <c r="K33" s="23" t="n"/>
      <c r="L33" s="22" t="n"/>
      <c r="M33" s="23" t="n"/>
      <c r="N33" s="22" t="n"/>
      <c r="O33" s="22" t="n"/>
      <c r="P33" s="22" t="n"/>
      <c r="Q33" s="23" t="n"/>
      <c r="R33" s="22" t="n"/>
      <c r="S33" s="23" t="n"/>
      <c r="T33" s="22" t="n"/>
      <c r="U33" s="23" t="n"/>
      <c r="V33" s="24" t="n"/>
      <c r="W33" s="25">
        <f>IF(ISNUMBER(U33),U33+IF(ISNUMBER(V33),V33,120),"")</f>
        <v/>
      </c>
      <c r="X33" s="22" t="n"/>
      <c r="Y33" s="23" t="n"/>
      <c r="Z33" s="22" t="n"/>
      <c r="AA33" s="23" t="n"/>
      <c r="AB33" s="24" t="n"/>
      <c r="AC33" s="26">
        <f>IF(ISNUMBER(AD33)=FALSE,"",IF(G33=AD33,"State license",IF(I33=AD33,"DEA registration",IF(K33=AD33,"State CSR",IF(M33=AD33,"Board certification",IF(Q33=AD33,"Malpractice",IF(S33=AD33,"Life support",IF(W33=AD33,"CAQH re-attestation",IF(Y33=AD33,"Privileges reappointment","Payer recredentialing")))))))))</f>
        <v/>
      </c>
      <c r="AD33" s="25">
        <f>IF(OR(AND(LEN(G33)&gt;0,ISNUMBER(G33)=FALSE),AND(LEN(I33)&gt;0,ISNUMBER(I33)=FALSE),AND(LEN(K33)&gt;0,ISNUMBER(K33)=FALSE),AND(LEN(M33)&gt;0,ISNUMBER(M33)=FALSE),AND(LEN(Q33)&gt;0,ISNUMBER(Q33)=FALSE),AND(LEN(S33)&gt;0,ISNUMBER(S33)=FALSE),AND(LEN(Y33)&gt;0,ISNUMBER(Y33)=FALSE),AND(LEN(AA33)&gt;0,ISNUMBER(AA33)=FALSE),AND(LEN(U33)&gt;0,ISNUMBER(U33)=FALSE)),"Check date",IF(COUNT(G33,I33,K33,M33,Q33,S33,W33,Y33,AA33)=0,"",MIN(G33,I33,K33,M33,Q33,S33,W33,Y33,AA33)))</f>
        <v/>
      </c>
      <c r="AE33" s="25">
        <f>IF(ISNUMBER(AD33),AD33-IF(ISNUMBER(AB33),AB33,30),"")</f>
        <v/>
      </c>
      <c r="AF33" s="27">
        <f>IF(AD33="","",IF(ISNUMBER(AD33),AD33-TODAY(),"Check date"))</f>
        <v/>
      </c>
      <c r="AG33" s="28">
        <f>IF(AF33="","",IF(ISNUMBER(AF33),IF(AF33&lt;0,"Expired",IF(AF33&lt;=30,"Due ≤30 days",IF(AF33&lt;=90,"Due ≤90 days","OK"))),"Check date"))</f>
        <v/>
      </c>
      <c r="AH33" s="22" t="n"/>
      <c r="AI33" s="22" t="n"/>
      <c r="AJ33" s="22" t="n"/>
      <c r="AK33" s="22" t="n"/>
    </row>
    <row r="34">
      <c r="A34" s="22" t="n"/>
      <c r="B34" s="22" t="n"/>
      <c r="C34" s="22" t="n"/>
      <c r="D34" s="22" t="n"/>
      <c r="E34" s="22" t="n"/>
      <c r="F34" s="22" t="n"/>
      <c r="G34" s="23" t="n"/>
      <c r="H34" s="22" t="n"/>
      <c r="I34" s="23" t="n"/>
      <c r="J34" s="22" t="n"/>
      <c r="K34" s="23" t="n"/>
      <c r="L34" s="22" t="n"/>
      <c r="M34" s="23" t="n"/>
      <c r="N34" s="22" t="n"/>
      <c r="O34" s="22" t="n"/>
      <c r="P34" s="22" t="n"/>
      <c r="Q34" s="23" t="n"/>
      <c r="R34" s="22" t="n"/>
      <c r="S34" s="23" t="n"/>
      <c r="T34" s="22" t="n"/>
      <c r="U34" s="23" t="n"/>
      <c r="V34" s="24" t="n"/>
      <c r="W34" s="25">
        <f>IF(ISNUMBER(U34),U34+IF(ISNUMBER(V34),V34,120),"")</f>
        <v/>
      </c>
      <c r="X34" s="22" t="n"/>
      <c r="Y34" s="23" t="n"/>
      <c r="Z34" s="22" t="n"/>
      <c r="AA34" s="23" t="n"/>
      <c r="AB34" s="24" t="n"/>
      <c r="AC34" s="26">
        <f>IF(ISNUMBER(AD34)=FALSE,"",IF(G34=AD34,"State license",IF(I34=AD34,"DEA registration",IF(K34=AD34,"State CSR",IF(M34=AD34,"Board certification",IF(Q34=AD34,"Malpractice",IF(S34=AD34,"Life support",IF(W34=AD34,"CAQH re-attestation",IF(Y34=AD34,"Privileges reappointment","Payer recredentialing")))))))))</f>
        <v/>
      </c>
      <c r="AD34" s="25">
        <f>IF(OR(AND(LEN(G34)&gt;0,ISNUMBER(G34)=FALSE),AND(LEN(I34)&gt;0,ISNUMBER(I34)=FALSE),AND(LEN(K34)&gt;0,ISNUMBER(K34)=FALSE),AND(LEN(M34)&gt;0,ISNUMBER(M34)=FALSE),AND(LEN(Q34)&gt;0,ISNUMBER(Q34)=FALSE),AND(LEN(S34)&gt;0,ISNUMBER(S34)=FALSE),AND(LEN(Y34)&gt;0,ISNUMBER(Y34)=FALSE),AND(LEN(AA34)&gt;0,ISNUMBER(AA34)=FALSE),AND(LEN(U34)&gt;0,ISNUMBER(U34)=FALSE)),"Check date",IF(COUNT(G34,I34,K34,M34,Q34,S34,W34,Y34,AA34)=0,"",MIN(G34,I34,K34,M34,Q34,S34,W34,Y34,AA34)))</f>
        <v/>
      </c>
      <c r="AE34" s="25">
        <f>IF(ISNUMBER(AD34),AD34-IF(ISNUMBER(AB34),AB34,30),"")</f>
        <v/>
      </c>
      <c r="AF34" s="27">
        <f>IF(AD34="","",IF(ISNUMBER(AD34),AD34-TODAY(),"Check date"))</f>
        <v/>
      </c>
      <c r="AG34" s="28">
        <f>IF(AF34="","",IF(ISNUMBER(AF34),IF(AF34&lt;0,"Expired",IF(AF34&lt;=30,"Due ≤30 days",IF(AF34&lt;=90,"Due ≤90 days","OK"))),"Check date"))</f>
        <v/>
      </c>
      <c r="AH34" s="22" t="n"/>
      <c r="AI34" s="22" t="n"/>
      <c r="AJ34" s="22" t="n"/>
      <c r="AK34" s="22" t="n"/>
    </row>
    <row r="35">
      <c r="A35" s="22" t="n"/>
      <c r="B35" s="22" t="n"/>
      <c r="C35" s="22" t="n"/>
      <c r="D35" s="22" t="n"/>
      <c r="E35" s="22" t="n"/>
      <c r="F35" s="22" t="n"/>
      <c r="G35" s="23" t="n"/>
      <c r="H35" s="22" t="n"/>
      <c r="I35" s="23" t="n"/>
      <c r="J35" s="22" t="n"/>
      <c r="K35" s="23" t="n"/>
      <c r="L35" s="22" t="n"/>
      <c r="M35" s="23" t="n"/>
      <c r="N35" s="22" t="n"/>
      <c r="O35" s="22" t="n"/>
      <c r="P35" s="22" t="n"/>
      <c r="Q35" s="23" t="n"/>
      <c r="R35" s="22" t="n"/>
      <c r="S35" s="23" t="n"/>
      <c r="T35" s="22" t="n"/>
      <c r="U35" s="23" t="n"/>
      <c r="V35" s="24" t="n"/>
      <c r="W35" s="25">
        <f>IF(ISNUMBER(U35),U35+IF(ISNUMBER(V35),V35,120),"")</f>
        <v/>
      </c>
      <c r="X35" s="22" t="n"/>
      <c r="Y35" s="23" t="n"/>
      <c r="Z35" s="22" t="n"/>
      <c r="AA35" s="23" t="n"/>
      <c r="AB35" s="24" t="n"/>
      <c r="AC35" s="26">
        <f>IF(ISNUMBER(AD35)=FALSE,"",IF(G35=AD35,"State license",IF(I35=AD35,"DEA registration",IF(K35=AD35,"State CSR",IF(M35=AD35,"Board certification",IF(Q35=AD35,"Malpractice",IF(S35=AD35,"Life support",IF(W35=AD35,"CAQH re-attestation",IF(Y35=AD35,"Privileges reappointment","Payer recredentialing")))))))))</f>
        <v/>
      </c>
      <c r="AD35" s="25">
        <f>IF(OR(AND(LEN(G35)&gt;0,ISNUMBER(G35)=FALSE),AND(LEN(I35)&gt;0,ISNUMBER(I35)=FALSE),AND(LEN(K35)&gt;0,ISNUMBER(K35)=FALSE),AND(LEN(M35)&gt;0,ISNUMBER(M35)=FALSE),AND(LEN(Q35)&gt;0,ISNUMBER(Q35)=FALSE),AND(LEN(S35)&gt;0,ISNUMBER(S35)=FALSE),AND(LEN(Y35)&gt;0,ISNUMBER(Y35)=FALSE),AND(LEN(AA35)&gt;0,ISNUMBER(AA35)=FALSE),AND(LEN(U35)&gt;0,ISNUMBER(U35)=FALSE)),"Check date",IF(COUNT(G35,I35,K35,M35,Q35,S35,W35,Y35,AA35)=0,"",MIN(G35,I35,K35,M35,Q35,S35,W35,Y35,AA35)))</f>
        <v/>
      </c>
      <c r="AE35" s="25">
        <f>IF(ISNUMBER(AD35),AD35-IF(ISNUMBER(AB35),AB35,30),"")</f>
        <v/>
      </c>
      <c r="AF35" s="27">
        <f>IF(AD35="","",IF(ISNUMBER(AD35),AD35-TODAY(),"Check date"))</f>
        <v/>
      </c>
      <c r="AG35" s="28">
        <f>IF(AF35="","",IF(ISNUMBER(AF35),IF(AF35&lt;0,"Expired",IF(AF35&lt;=30,"Due ≤30 days",IF(AF35&lt;=90,"Due ≤90 days","OK"))),"Check date"))</f>
        <v/>
      </c>
      <c r="AH35" s="22" t="n"/>
      <c r="AI35" s="22" t="n"/>
      <c r="AJ35" s="22" t="n"/>
      <c r="AK35" s="22" t="n"/>
    </row>
    <row r="36">
      <c r="A36" s="22" t="n"/>
      <c r="B36" s="22" t="n"/>
      <c r="C36" s="22" t="n"/>
      <c r="D36" s="22" t="n"/>
      <c r="E36" s="22" t="n"/>
      <c r="F36" s="22" t="n"/>
      <c r="G36" s="23" t="n"/>
      <c r="H36" s="22" t="n"/>
      <c r="I36" s="23" t="n"/>
      <c r="J36" s="22" t="n"/>
      <c r="K36" s="23" t="n"/>
      <c r="L36" s="22" t="n"/>
      <c r="M36" s="23" t="n"/>
      <c r="N36" s="22" t="n"/>
      <c r="O36" s="22" t="n"/>
      <c r="P36" s="22" t="n"/>
      <c r="Q36" s="23" t="n"/>
      <c r="R36" s="22" t="n"/>
      <c r="S36" s="23" t="n"/>
      <c r="T36" s="22" t="n"/>
      <c r="U36" s="23" t="n"/>
      <c r="V36" s="24" t="n"/>
      <c r="W36" s="25">
        <f>IF(ISNUMBER(U36),U36+IF(ISNUMBER(V36),V36,120),"")</f>
        <v/>
      </c>
      <c r="X36" s="22" t="n"/>
      <c r="Y36" s="23" t="n"/>
      <c r="Z36" s="22" t="n"/>
      <c r="AA36" s="23" t="n"/>
      <c r="AB36" s="24" t="n"/>
      <c r="AC36" s="26">
        <f>IF(ISNUMBER(AD36)=FALSE,"",IF(G36=AD36,"State license",IF(I36=AD36,"DEA registration",IF(K36=AD36,"State CSR",IF(M36=AD36,"Board certification",IF(Q36=AD36,"Malpractice",IF(S36=AD36,"Life support",IF(W36=AD36,"CAQH re-attestation",IF(Y36=AD36,"Privileges reappointment","Payer recredentialing")))))))))</f>
        <v/>
      </c>
      <c r="AD36" s="25">
        <f>IF(OR(AND(LEN(G36)&gt;0,ISNUMBER(G36)=FALSE),AND(LEN(I36)&gt;0,ISNUMBER(I36)=FALSE),AND(LEN(K36)&gt;0,ISNUMBER(K36)=FALSE),AND(LEN(M36)&gt;0,ISNUMBER(M36)=FALSE),AND(LEN(Q36)&gt;0,ISNUMBER(Q36)=FALSE),AND(LEN(S36)&gt;0,ISNUMBER(S36)=FALSE),AND(LEN(Y36)&gt;0,ISNUMBER(Y36)=FALSE),AND(LEN(AA36)&gt;0,ISNUMBER(AA36)=FALSE),AND(LEN(U36)&gt;0,ISNUMBER(U36)=FALSE)),"Check date",IF(COUNT(G36,I36,K36,M36,Q36,S36,W36,Y36,AA36)=0,"",MIN(G36,I36,K36,M36,Q36,S36,W36,Y36,AA36)))</f>
        <v/>
      </c>
      <c r="AE36" s="25">
        <f>IF(ISNUMBER(AD36),AD36-IF(ISNUMBER(AB36),AB36,30),"")</f>
        <v/>
      </c>
      <c r="AF36" s="27">
        <f>IF(AD36="","",IF(ISNUMBER(AD36),AD36-TODAY(),"Check date"))</f>
        <v/>
      </c>
      <c r="AG36" s="28">
        <f>IF(AF36="","",IF(ISNUMBER(AF36),IF(AF36&lt;0,"Expired",IF(AF36&lt;=30,"Due ≤30 days",IF(AF36&lt;=90,"Due ≤90 days","OK"))),"Check date"))</f>
        <v/>
      </c>
      <c r="AH36" s="22" t="n"/>
      <c r="AI36" s="22" t="n"/>
      <c r="AJ36" s="22" t="n"/>
      <c r="AK36" s="22" t="n"/>
    </row>
    <row r="37">
      <c r="A37" s="22" t="n"/>
      <c r="B37" s="22" t="n"/>
      <c r="C37" s="22" t="n"/>
      <c r="D37" s="22" t="n"/>
      <c r="E37" s="22" t="n"/>
      <c r="F37" s="22" t="n"/>
      <c r="G37" s="23" t="n"/>
      <c r="H37" s="22" t="n"/>
      <c r="I37" s="23" t="n"/>
      <c r="J37" s="22" t="n"/>
      <c r="K37" s="23" t="n"/>
      <c r="L37" s="22" t="n"/>
      <c r="M37" s="23" t="n"/>
      <c r="N37" s="22" t="n"/>
      <c r="O37" s="22" t="n"/>
      <c r="P37" s="22" t="n"/>
      <c r="Q37" s="23" t="n"/>
      <c r="R37" s="22" t="n"/>
      <c r="S37" s="23" t="n"/>
      <c r="T37" s="22" t="n"/>
      <c r="U37" s="23" t="n"/>
      <c r="V37" s="24" t="n"/>
      <c r="W37" s="25">
        <f>IF(ISNUMBER(U37),U37+IF(ISNUMBER(V37),V37,120),"")</f>
        <v/>
      </c>
      <c r="X37" s="22" t="n"/>
      <c r="Y37" s="23" t="n"/>
      <c r="Z37" s="22" t="n"/>
      <c r="AA37" s="23" t="n"/>
      <c r="AB37" s="24" t="n"/>
      <c r="AC37" s="26">
        <f>IF(ISNUMBER(AD37)=FALSE,"",IF(G37=AD37,"State license",IF(I37=AD37,"DEA registration",IF(K37=AD37,"State CSR",IF(M37=AD37,"Board certification",IF(Q37=AD37,"Malpractice",IF(S37=AD37,"Life support",IF(W37=AD37,"CAQH re-attestation",IF(Y37=AD37,"Privileges reappointment","Payer recredentialing")))))))))</f>
        <v/>
      </c>
      <c r="AD37" s="25">
        <f>IF(OR(AND(LEN(G37)&gt;0,ISNUMBER(G37)=FALSE),AND(LEN(I37)&gt;0,ISNUMBER(I37)=FALSE),AND(LEN(K37)&gt;0,ISNUMBER(K37)=FALSE),AND(LEN(M37)&gt;0,ISNUMBER(M37)=FALSE),AND(LEN(Q37)&gt;0,ISNUMBER(Q37)=FALSE),AND(LEN(S37)&gt;0,ISNUMBER(S37)=FALSE),AND(LEN(Y37)&gt;0,ISNUMBER(Y37)=FALSE),AND(LEN(AA37)&gt;0,ISNUMBER(AA37)=FALSE),AND(LEN(U37)&gt;0,ISNUMBER(U37)=FALSE)),"Check date",IF(COUNT(G37,I37,K37,M37,Q37,S37,W37,Y37,AA37)=0,"",MIN(G37,I37,K37,M37,Q37,S37,W37,Y37,AA37)))</f>
        <v/>
      </c>
      <c r="AE37" s="25">
        <f>IF(ISNUMBER(AD37),AD37-IF(ISNUMBER(AB37),AB37,30),"")</f>
        <v/>
      </c>
      <c r="AF37" s="27">
        <f>IF(AD37="","",IF(ISNUMBER(AD37),AD37-TODAY(),"Check date"))</f>
        <v/>
      </c>
      <c r="AG37" s="28">
        <f>IF(AF37="","",IF(ISNUMBER(AF37),IF(AF37&lt;0,"Expired",IF(AF37&lt;=30,"Due ≤30 days",IF(AF37&lt;=90,"Due ≤90 days","OK"))),"Check date"))</f>
        <v/>
      </c>
      <c r="AH37" s="22" t="n"/>
      <c r="AI37" s="22" t="n"/>
      <c r="AJ37" s="22" t="n"/>
      <c r="AK37" s="22" t="n"/>
    </row>
    <row r="38">
      <c r="A38" s="22" t="n"/>
      <c r="B38" s="22" t="n"/>
      <c r="C38" s="22" t="n"/>
      <c r="D38" s="22" t="n"/>
      <c r="E38" s="22" t="n"/>
      <c r="F38" s="22" t="n"/>
      <c r="G38" s="23" t="n"/>
      <c r="H38" s="22" t="n"/>
      <c r="I38" s="23" t="n"/>
      <c r="J38" s="22" t="n"/>
      <c r="K38" s="23" t="n"/>
      <c r="L38" s="22" t="n"/>
      <c r="M38" s="23" t="n"/>
      <c r="N38" s="22" t="n"/>
      <c r="O38" s="22" t="n"/>
      <c r="P38" s="22" t="n"/>
      <c r="Q38" s="23" t="n"/>
      <c r="R38" s="22" t="n"/>
      <c r="S38" s="23" t="n"/>
      <c r="T38" s="22" t="n"/>
      <c r="U38" s="23" t="n"/>
      <c r="V38" s="24" t="n"/>
      <c r="W38" s="25">
        <f>IF(ISNUMBER(U38),U38+IF(ISNUMBER(V38),V38,120),"")</f>
        <v/>
      </c>
      <c r="X38" s="22" t="n"/>
      <c r="Y38" s="23" t="n"/>
      <c r="Z38" s="22" t="n"/>
      <c r="AA38" s="23" t="n"/>
      <c r="AB38" s="24" t="n"/>
      <c r="AC38" s="26">
        <f>IF(ISNUMBER(AD38)=FALSE,"",IF(G38=AD38,"State license",IF(I38=AD38,"DEA registration",IF(K38=AD38,"State CSR",IF(M38=AD38,"Board certification",IF(Q38=AD38,"Malpractice",IF(S38=AD38,"Life support",IF(W38=AD38,"CAQH re-attestation",IF(Y38=AD38,"Privileges reappointment","Payer recredentialing")))))))))</f>
        <v/>
      </c>
      <c r="AD38" s="25">
        <f>IF(OR(AND(LEN(G38)&gt;0,ISNUMBER(G38)=FALSE),AND(LEN(I38)&gt;0,ISNUMBER(I38)=FALSE),AND(LEN(K38)&gt;0,ISNUMBER(K38)=FALSE),AND(LEN(M38)&gt;0,ISNUMBER(M38)=FALSE),AND(LEN(Q38)&gt;0,ISNUMBER(Q38)=FALSE),AND(LEN(S38)&gt;0,ISNUMBER(S38)=FALSE),AND(LEN(Y38)&gt;0,ISNUMBER(Y38)=FALSE),AND(LEN(AA38)&gt;0,ISNUMBER(AA38)=FALSE),AND(LEN(U38)&gt;0,ISNUMBER(U38)=FALSE)),"Check date",IF(COUNT(G38,I38,K38,M38,Q38,S38,W38,Y38,AA38)=0,"",MIN(G38,I38,K38,M38,Q38,S38,W38,Y38,AA38)))</f>
        <v/>
      </c>
      <c r="AE38" s="25">
        <f>IF(ISNUMBER(AD38),AD38-IF(ISNUMBER(AB38),AB38,30),"")</f>
        <v/>
      </c>
      <c r="AF38" s="27">
        <f>IF(AD38="","",IF(ISNUMBER(AD38),AD38-TODAY(),"Check date"))</f>
        <v/>
      </c>
      <c r="AG38" s="28">
        <f>IF(AF38="","",IF(ISNUMBER(AF38),IF(AF38&lt;0,"Expired",IF(AF38&lt;=30,"Due ≤30 days",IF(AF38&lt;=90,"Due ≤90 days","OK"))),"Check date"))</f>
        <v/>
      </c>
      <c r="AH38" s="22" t="n"/>
      <c r="AI38" s="22" t="n"/>
      <c r="AJ38" s="22" t="n"/>
      <c r="AK38" s="22" t="n"/>
    </row>
    <row r="39">
      <c r="A39" s="22" t="n"/>
      <c r="B39" s="22" t="n"/>
      <c r="C39" s="22" t="n"/>
      <c r="D39" s="22" t="n"/>
      <c r="E39" s="22" t="n"/>
      <c r="F39" s="22" t="n"/>
      <c r="G39" s="23" t="n"/>
      <c r="H39" s="22" t="n"/>
      <c r="I39" s="23" t="n"/>
      <c r="J39" s="22" t="n"/>
      <c r="K39" s="23" t="n"/>
      <c r="L39" s="22" t="n"/>
      <c r="M39" s="23" t="n"/>
      <c r="N39" s="22" t="n"/>
      <c r="O39" s="22" t="n"/>
      <c r="P39" s="22" t="n"/>
      <c r="Q39" s="23" t="n"/>
      <c r="R39" s="22" t="n"/>
      <c r="S39" s="23" t="n"/>
      <c r="T39" s="22" t="n"/>
      <c r="U39" s="23" t="n"/>
      <c r="V39" s="24" t="n"/>
      <c r="W39" s="25">
        <f>IF(ISNUMBER(U39),U39+IF(ISNUMBER(V39),V39,120),"")</f>
        <v/>
      </c>
      <c r="X39" s="22" t="n"/>
      <c r="Y39" s="23" t="n"/>
      <c r="Z39" s="22" t="n"/>
      <c r="AA39" s="23" t="n"/>
      <c r="AB39" s="24" t="n"/>
      <c r="AC39" s="26">
        <f>IF(ISNUMBER(AD39)=FALSE,"",IF(G39=AD39,"State license",IF(I39=AD39,"DEA registration",IF(K39=AD39,"State CSR",IF(M39=AD39,"Board certification",IF(Q39=AD39,"Malpractice",IF(S39=AD39,"Life support",IF(W39=AD39,"CAQH re-attestation",IF(Y39=AD39,"Privileges reappointment","Payer recredentialing")))))))))</f>
        <v/>
      </c>
      <c r="AD39" s="25">
        <f>IF(OR(AND(LEN(G39)&gt;0,ISNUMBER(G39)=FALSE),AND(LEN(I39)&gt;0,ISNUMBER(I39)=FALSE),AND(LEN(K39)&gt;0,ISNUMBER(K39)=FALSE),AND(LEN(M39)&gt;0,ISNUMBER(M39)=FALSE),AND(LEN(Q39)&gt;0,ISNUMBER(Q39)=FALSE),AND(LEN(S39)&gt;0,ISNUMBER(S39)=FALSE),AND(LEN(Y39)&gt;0,ISNUMBER(Y39)=FALSE),AND(LEN(AA39)&gt;0,ISNUMBER(AA39)=FALSE),AND(LEN(U39)&gt;0,ISNUMBER(U39)=FALSE)),"Check date",IF(COUNT(G39,I39,K39,M39,Q39,S39,W39,Y39,AA39)=0,"",MIN(G39,I39,K39,M39,Q39,S39,W39,Y39,AA39)))</f>
        <v/>
      </c>
      <c r="AE39" s="25">
        <f>IF(ISNUMBER(AD39),AD39-IF(ISNUMBER(AB39),AB39,30),"")</f>
        <v/>
      </c>
      <c r="AF39" s="27">
        <f>IF(AD39="","",IF(ISNUMBER(AD39),AD39-TODAY(),"Check date"))</f>
        <v/>
      </c>
      <c r="AG39" s="28">
        <f>IF(AF39="","",IF(ISNUMBER(AF39),IF(AF39&lt;0,"Expired",IF(AF39&lt;=30,"Due ≤30 days",IF(AF39&lt;=90,"Due ≤90 days","OK"))),"Check date"))</f>
        <v/>
      </c>
      <c r="AH39" s="22" t="n"/>
      <c r="AI39" s="22" t="n"/>
      <c r="AJ39" s="22" t="n"/>
      <c r="AK39" s="22" t="n"/>
    </row>
    <row r="40">
      <c r="A40" s="22" t="n"/>
      <c r="B40" s="22" t="n"/>
      <c r="C40" s="22" t="n"/>
      <c r="D40" s="22" t="n"/>
      <c r="E40" s="22" t="n"/>
      <c r="F40" s="22" t="n"/>
      <c r="G40" s="23" t="n"/>
      <c r="H40" s="22" t="n"/>
      <c r="I40" s="23" t="n"/>
      <c r="J40" s="22" t="n"/>
      <c r="K40" s="23" t="n"/>
      <c r="L40" s="22" t="n"/>
      <c r="M40" s="23" t="n"/>
      <c r="N40" s="22" t="n"/>
      <c r="O40" s="22" t="n"/>
      <c r="P40" s="22" t="n"/>
      <c r="Q40" s="23" t="n"/>
      <c r="R40" s="22" t="n"/>
      <c r="S40" s="23" t="n"/>
      <c r="T40" s="22" t="n"/>
      <c r="U40" s="23" t="n"/>
      <c r="V40" s="24" t="n"/>
      <c r="W40" s="25">
        <f>IF(ISNUMBER(U40),U40+IF(ISNUMBER(V40),V40,120),"")</f>
        <v/>
      </c>
      <c r="X40" s="22" t="n"/>
      <c r="Y40" s="23" t="n"/>
      <c r="Z40" s="22" t="n"/>
      <c r="AA40" s="23" t="n"/>
      <c r="AB40" s="24" t="n"/>
      <c r="AC40" s="26">
        <f>IF(ISNUMBER(AD40)=FALSE,"",IF(G40=AD40,"State license",IF(I40=AD40,"DEA registration",IF(K40=AD40,"State CSR",IF(M40=AD40,"Board certification",IF(Q40=AD40,"Malpractice",IF(S40=AD40,"Life support",IF(W40=AD40,"CAQH re-attestation",IF(Y40=AD40,"Privileges reappointment","Payer recredentialing")))))))))</f>
        <v/>
      </c>
      <c r="AD40" s="25">
        <f>IF(OR(AND(LEN(G40)&gt;0,ISNUMBER(G40)=FALSE),AND(LEN(I40)&gt;0,ISNUMBER(I40)=FALSE),AND(LEN(K40)&gt;0,ISNUMBER(K40)=FALSE),AND(LEN(M40)&gt;0,ISNUMBER(M40)=FALSE),AND(LEN(Q40)&gt;0,ISNUMBER(Q40)=FALSE),AND(LEN(S40)&gt;0,ISNUMBER(S40)=FALSE),AND(LEN(Y40)&gt;0,ISNUMBER(Y40)=FALSE),AND(LEN(AA40)&gt;0,ISNUMBER(AA40)=FALSE),AND(LEN(U40)&gt;0,ISNUMBER(U40)=FALSE)),"Check date",IF(COUNT(G40,I40,K40,M40,Q40,S40,W40,Y40,AA40)=0,"",MIN(G40,I40,K40,M40,Q40,S40,W40,Y40,AA40)))</f>
        <v/>
      </c>
      <c r="AE40" s="25">
        <f>IF(ISNUMBER(AD40),AD40-IF(ISNUMBER(AB40),AB40,30),"")</f>
        <v/>
      </c>
      <c r="AF40" s="27">
        <f>IF(AD40="","",IF(ISNUMBER(AD40),AD40-TODAY(),"Check date"))</f>
        <v/>
      </c>
      <c r="AG40" s="28">
        <f>IF(AF40="","",IF(ISNUMBER(AF40),IF(AF40&lt;0,"Expired",IF(AF40&lt;=30,"Due ≤30 days",IF(AF40&lt;=90,"Due ≤90 days","OK"))),"Check date"))</f>
        <v/>
      </c>
      <c r="AH40" s="22" t="n"/>
      <c r="AI40" s="22" t="n"/>
      <c r="AJ40" s="22" t="n"/>
      <c r="AK40" s="22" t="n"/>
    </row>
    <row r="41">
      <c r="A41" s="22" t="n"/>
      <c r="B41" s="22" t="n"/>
      <c r="C41" s="22" t="n"/>
      <c r="D41" s="22" t="n"/>
      <c r="E41" s="22" t="n"/>
      <c r="F41" s="22" t="n"/>
      <c r="G41" s="23" t="n"/>
      <c r="H41" s="22" t="n"/>
      <c r="I41" s="23" t="n"/>
      <c r="J41" s="22" t="n"/>
      <c r="K41" s="23" t="n"/>
      <c r="L41" s="22" t="n"/>
      <c r="M41" s="23" t="n"/>
      <c r="N41" s="22" t="n"/>
      <c r="O41" s="22" t="n"/>
      <c r="P41" s="22" t="n"/>
      <c r="Q41" s="23" t="n"/>
      <c r="R41" s="22" t="n"/>
      <c r="S41" s="23" t="n"/>
      <c r="T41" s="22" t="n"/>
      <c r="U41" s="23" t="n"/>
      <c r="V41" s="24" t="n"/>
      <c r="W41" s="25">
        <f>IF(ISNUMBER(U41),U41+IF(ISNUMBER(V41),V41,120),"")</f>
        <v/>
      </c>
      <c r="X41" s="22" t="n"/>
      <c r="Y41" s="23" t="n"/>
      <c r="Z41" s="22" t="n"/>
      <c r="AA41" s="23" t="n"/>
      <c r="AB41" s="24" t="n"/>
      <c r="AC41" s="26">
        <f>IF(ISNUMBER(AD41)=FALSE,"",IF(G41=AD41,"State license",IF(I41=AD41,"DEA registration",IF(K41=AD41,"State CSR",IF(M41=AD41,"Board certification",IF(Q41=AD41,"Malpractice",IF(S41=AD41,"Life support",IF(W41=AD41,"CAQH re-attestation",IF(Y41=AD41,"Privileges reappointment","Payer recredentialing")))))))))</f>
        <v/>
      </c>
      <c r="AD41" s="25">
        <f>IF(OR(AND(LEN(G41)&gt;0,ISNUMBER(G41)=FALSE),AND(LEN(I41)&gt;0,ISNUMBER(I41)=FALSE),AND(LEN(K41)&gt;0,ISNUMBER(K41)=FALSE),AND(LEN(M41)&gt;0,ISNUMBER(M41)=FALSE),AND(LEN(Q41)&gt;0,ISNUMBER(Q41)=FALSE),AND(LEN(S41)&gt;0,ISNUMBER(S41)=FALSE),AND(LEN(Y41)&gt;0,ISNUMBER(Y41)=FALSE),AND(LEN(AA41)&gt;0,ISNUMBER(AA41)=FALSE),AND(LEN(U41)&gt;0,ISNUMBER(U41)=FALSE)),"Check date",IF(COUNT(G41,I41,K41,M41,Q41,S41,W41,Y41,AA41)=0,"",MIN(G41,I41,K41,M41,Q41,S41,W41,Y41,AA41)))</f>
        <v/>
      </c>
      <c r="AE41" s="25">
        <f>IF(ISNUMBER(AD41),AD41-IF(ISNUMBER(AB41),AB41,30),"")</f>
        <v/>
      </c>
      <c r="AF41" s="27">
        <f>IF(AD41="","",IF(ISNUMBER(AD41),AD41-TODAY(),"Check date"))</f>
        <v/>
      </c>
      <c r="AG41" s="28">
        <f>IF(AF41="","",IF(ISNUMBER(AF41),IF(AF41&lt;0,"Expired",IF(AF41&lt;=30,"Due ≤30 days",IF(AF41&lt;=90,"Due ≤90 days","OK"))),"Check date"))</f>
        <v/>
      </c>
      <c r="AH41" s="22" t="n"/>
      <c r="AI41" s="22" t="n"/>
      <c r="AJ41" s="22" t="n"/>
      <c r="AK41" s="22" t="n"/>
    </row>
    <row r="42">
      <c r="A42" s="22" t="n"/>
      <c r="B42" s="22" t="n"/>
      <c r="C42" s="22" t="n"/>
      <c r="D42" s="22" t="n"/>
      <c r="E42" s="22" t="n"/>
      <c r="F42" s="22" t="n"/>
      <c r="G42" s="23" t="n"/>
      <c r="H42" s="22" t="n"/>
      <c r="I42" s="23" t="n"/>
      <c r="J42" s="22" t="n"/>
      <c r="K42" s="23" t="n"/>
      <c r="L42" s="22" t="n"/>
      <c r="M42" s="23" t="n"/>
      <c r="N42" s="22" t="n"/>
      <c r="O42" s="22" t="n"/>
      <c r="P42" s="22" t="n"/>
      <c r="Q42" s="23" t="n"/>
      <c r="R42" s="22" t="n"/>
      <c r="S42" s="23" t="n"/>
      <c r="T42" s="22" t="n"/>
      <c r="U42" s="23" t="n"/>
      <c r="V42" s="24" t="n"/>
      <c r="W42" s="25">
        <f>IF(ISNUMBER(U42),U42+IF(ISNUMBER(V42),V42,120),"")</f>
        <v/>
      </c>
      <c r="X42" s="22" t="n"/>
      <c r="Y42" s="23" t="n"/>
      <c r="Z42" s="22" t="n"/>
      <c r="AA42" s="23" t="n"/>
      <c r="AB42" s="24" t="n"/>
      <c r="AC42" s="26">
        <f>IF(ISNUMBER(AD42)=FALSE,"",IF(G42=AD42,"State license",IF(I42=AD42,"DEA registration",IF(K42=AD42,"State CSR",IF(M42=AD42,"Board certification",IF(Q42=AD42,"Malpractice",IF(S42=AD42,"Life support",IF(W42=AD42,"CAQH re-attestation",IF(Y42=AD42,"Privileges reappointment","Payer recredentialing")))))))))</f>
        <v/>
      </c>
      <c r="AD42" s="25">
        <f>IF(OR(AND(LEN(G42)&gt;0,ISNUMBER(G42)=FALSE),AND(LEN(I42)&gt;0,ISNUMBER(I42)=FALSE),AND(LEN(K42)&gt;0,ISNUMBER(K42)=FALSE),AND(LEN(M42)&gt;0,ISNUMBER(M42)=FALSE),AND(LEN(Q42)&gt;0,ISNUMBER(Q42)=FALSE),AND(LEN(S42)&gt;0,ISNUMBER(S42)=FALSE),AND(LEN(Y42)&gt;0,ISNUMBER(Y42)=FALSE),AND(LEN(AA42)&gt;0,ISNUMBER(AA42)=FALSE),AND(LEN(U42)&gt;0,ISNUMBER(U42)=FALSE)),"Check date",IF(COUNT(G42,I42,K42,M42,Q42,S42,W42,Y42,AA42)=0,"",MIN(G42,I42,K42,M42,Q42,S42,W42,Y42,AA42)))</f>
        <v/>
      </c>
      <c r="AE42" s="25">
        <f>IF(ISNUMBER(AD42),AD42-IF(ISNUMBER(AB42),AB42,30),"")</f>
        <v/>
      </c>
      <c r="AF42" s="27">
        <f>IF(AD42="","",IF(ISNUMBER(AD42),AD42-TODAY(),"Check date"))</f>
        <v/>
      </c>
      <c r="AG42" s="28">
        <f>IF(AF42="","",IF(ISNUMBER(AF42),IF(AF42&lt;0,"Expired",IF(AF42&lt;=30,"Due ≤30 days",IF(AF42&lt;=90,"Due ≤90 days","OK"))),"Check date"))</f>
        <v/>
      </c>
      <c r="AH42" s="22" t="n"/>
      <c r="AI42" s="22" t="n"/>
      <c r="AJ42" s="22" t="n"/>
      <c r="AK42" s="22" t="n"/>
    </row>
    <row r="43">
      <c r="A43" s="22" t="n"/>
      <c r="B43" s="22" t="n"/>
      <c r="C43" s="22" t="n"/>
      <c r="D43" s="22" t="n"/>
      <c r="E43" s="22" t="n"/>
      <c r="F43" s="22" t="n"/>
      <c r="G43" s="23" t="n"/>
      <c r="H43" s="22" t="n"/>
      <c r="I43" s="23" t="n"/>
      <c r="J43" s="22" t="n"/>
      <c r="K43" s="23" t="n"/>
      <c r="L43" s="22" t="n"/>
      <c r="M43" s="23" t="n"/>
      <c r="N43" s="22" t="n"/>
      <c r="O43" s="22" t="n"/>
      <c r="P43" s="22" t="n"/>
      <c r="Q43" s="23" t="n"/>
      <c r="R43" s="22" t="n"/>
      <c r="S43" s="23" t="n"/>
      <c r="T43" s="22" t="n"/>
      <c r="U43" s="23" t="n"/>
      <c r="V43" s="24" t="n"/>
      <c r="W43" s="25">
        <f>IF(ISNUMBER(U43),U43+IF(ISNUMBER(V43),V43,120),"")</f>
        <v/>
      </c>
      <c r="X43" s="22" t="n"/>
      <c r="Y43" s="23" t="n"/>
      <c r="Z43" s="22" t="n"/>
      <c r="AA43" s="23" t="n"/>
      <c r="AB43" s="24" t="n"/>
      <c r="AC43" s="26">
        <f>IF(ISNUMBER(AD43)=FALSE,"",IF(G43=AD43,"State license",IF(I43=AD43,"DEA registration",IF(K43=AD43,"State CSR",IF(M43=AD43,"Board certification",IF(Q43=AD43,"Malpractice",IF(S43=AD43,"Life support",IF(W43=AD43,"CAQH re-attestation",IF(Y43=AD43,"Privileges reappointment","Payer recredentialing")))))))))</f>
        <v/>
      </c>
      <c r="AD43" s="25">
        <f>IF(OR(AND(LEN(G43)&gt;0,ISNUMBER(G43)=FALSE),AND(LEN(I43)&gt;0,ISNUMBER(I43)=FALSE),AND(LEN(K43)&gt;0,ISNUMBER(K43)=FALSE),AND(LEN(M43)&gt;0,ISNUMBER(M43)=FALSE),AND(LEN(Q43)&gt;0,ISNUMBER(Q43)=FALSE),AND(LEN(S43)&gt;0,ISNUMBER(S43)=FALSE),AND(LEN(Y43)&gt;0,ISNUMBER(Y43)=FALSE),AND(LEN(AA43)&gt;0,ISNUMBER(AA43)=FALSE),AND(LEN(U43)&gt;0,ISNUMBER(U43)=FALSE)),"Check date",IF(COUNT(G43,I43,K43,M43,Q43,S43,W43,Y43,AA43)=0,"",MIN(G43,I43,K43,M43,Q43,S43,W43,Y43,AA43)))</f>
        <v/>
      </c>
      <c r="AE43" s="25">
        <f>IF(ISNUMBER(AD43),AD43-IF(ISNUMBER(AB43),AB43,30),"")</f>
        <v/>
      </c>
      <c r="AF43" s="27">
        <f>IF(AD43="","",IF(ISNUMBER(AD43),AD43-TODAY(),"Check date"))</f>
        <v/>
      </c>
      <c r="AG43" s="28">
        <f>IF(AF43="","",IF(ISNUMBER(AF43),IF(AF43&lt;0,"Expired",IF(AF43&lt;=30,"Due ≤30 days",IF(AF43&lt;=90,"Due ≤90 days","OK"))),"Check date"))</f>
        <v/>
      </c>
      <c r="AH43" s="22" t="n"/>
      <c r="AI43" s="22" t="n"/>
      <c r="AJ43" s="22" t="n"/>
      <c r="AK43" s="22" t="n"/>
    </row>
    <row r="44">
      <c r="A44" s="22" t="n"/>
      <c r="B44" s="22" t="n"/>
      <c r="C44" s="22" t="n"/>
      <c r="D44" s="22" t="n"/>
      <c r="E44" s="22" t="n"/>
      <c r="F44" s="22" t="n"/>
      <c r="G44" s="23" t="n"/>
      <c r="H44" s="22" t="n"/>
      <c r="I44" s="23" t="n"/>
      <c r="J44" s="22" t="n"/>
      <c r="K44" s="23" t="n"/>
      <c r="L44" s="22" t="n"/>
      <c r="M44" s="23" t="n"/>
      <c r="N44" s="22" t="n"/>
      <c r="O44" s="22" t="n"/>
      <c r="P44" s="22" t="n"/>
      <c r="Q44" s="23" t="n"/>
      <c r="R44" s="22" t="n"/>
      <c r="S44" s="23" t="n"/>
      <c r="T44" s="22" t="n"/>
      <c r="U44" s="23" t="n"/>
      <c r="V44" s="24" t="n"/>
      <c r="W44" s="25">
        <f>IF(ISNUMBER(U44),U44+IF(ISNUMBER(V44),V44,120),"")</f>
        <v/>
      </c>
      <c r="X44" s="22" t="n"/>
      <c r="Y44" s="23" t="n"/>
      <c r="Z44" s="22" t="n"/>
      <c r="AA44" s="23" t="n"/>
      <c r="AB44" s="24" t="n"/>
      <c r="AC44" s="26">
        <f>IF(ISNUMBER(AD44)=FALSE,"",IF(G44=AD44,"State license",IF(I44=AD44,"DEA registration",IF(K44=AD44,"State CSR",IF(M44=AD44,"Board certification",IF(Q44=AD44,"Malpractice",IF(S44=AD44,"Life support",IF(W44=AD44,"CAQH re-attestation",IF(Y44=AD44,"Privileges reappointment","Payer recredentialing")))))))))</f>
        <v/>
      </c>
      <c r="AD44" s="25">
        <f>IF(OR(AND(LEN(G44)&gt;0,ISNUMBER(G44)=FALSE),AND(LEN(I44)&gt;0,ISNUMBER(I44)=FALSE),AND(LEN(K44)&gt;0,ISNUMBER(K44)=FALSE),AND(LEN(M44)&gt;0,ISNUMBER(M44)=FALSE),AND(LEN(Q44)&gt;0,ISNUMBER(Q44)=FALSE),AND(LEN(S44)&gt;0,ISNUMBER(S44)=FALSE),AND(LEN(Y44)&gt;0,ISNUMBER(Y44)=FALSE),AND(LEN(AA44)&gt;0,ISNUMBER(AA44)=FALSE),AND(LEN(U44)&gt;0,ISNUMBER(U44)=FALSE)),"Check date",IF(COUNT(G44,I44,K44,M44,Q44,S44,W44,Y44,AA44)=0,"",MIN(G44,I44,K44,M44,Q44,S44,W44,Y44,AA44)))</f>
        <v/>
      </c>
      <c r="AE44" s="25">
        <f>IF(ISNUMBER(AD44),AD44-IF(ISNUMBER(AB44),AB44,30),"")</f>
        <v/>
      </c>
      <c r="AF44" s="27">
        <f>IF(AD44="","",IF(ISNUMBER(AD44),AD44-TODAY(),"Check date"))</f>
        <v/>
      </c>
      <c r="AG44" s="28">
        <f>IF(AF44="","",IF(ISNUMBER(AF44),IF(AF44&lt;0,"Expired",IF(AF44&lt;=30,"Due ≤30 days",IF(AF44&lt;=90,"Due ≤90 days","OK"))),"Check date"))</f>
        <v/>
      </c>
      <c r="AH44" s="22" t="n"/>
      <c r="AI44" s="22" t="n"/>
      <c r="AJ44" s="22" t="n"/>
      <c r="AK44" s="22" t="n"/>
    </row>
    <row r="45">
      <c r="A45" s="22" t="n"/>
      <c r="B45" s="22" t="n"/>
      <c r="C45" s="22" t="n"/>
      <c r="D45" s="22" t="n"/>
      <c r="E45" s="22" t="n"/>
      <c r="F45" s="22" t="n"/>
      <c r="G45" s="23" t="n"/>
      <c r="H45" s="22" t="n"/>
      <c r="I45" s="23" t="n"/>
      <c r="J45" s="22" t="n"/>
      <c r="K45" s="23" t="n"/>
      <c r="L45" s="22" t="n"/>
      <c r="M45" s="23" t="n"/>
      <c r="N45" s="22" t="n"/>
      <c r="O45" s="22" t="n"/>
      <c r="P45" s="22" t="n"/>
      <c r="Q45" s="23" t="n"/>
      <c r="R45" s="22" t="n"/>
      <c r="S45" s="23" t="n"/>
      <c r="T45" s="22" t="n"/>
      <c r="U45" s="23" t="n"/>
      <c r="V45" s="24" t="n"/>
      <c r="W45" s="25">
        <f>IF(ISNUMBER(U45),U45+IF(ISNUMBER(V45),V45,120),"")</f>
        <v/>
      </c>
      <c r="X45" s="22" t="n"/>
      <c r="Y45" s="23" t="n"/>
      <c r="Z45" s="22" t="n"/>
      <c r="AA45" s="23" t="n"/>
      <c r="AB45" s="24" t="n"/>
      <c r="AC45" s="26">
        <f>IF(ISNUMBER(AD45)=FALSE,"",IF(G45=AD45,"State license",IF(I45=AD45,"DEA registration",IF(K45=AD45,"State CSR",IF(M45=AD45,"Board certification",IF(Q45=AD45,"Malpractice",IF(S45=AD45,"Life support",IF(W45=AD45,"CAQH re-attestation",IF(Y45=AD45,"Privileges reappointment","Payer recredentialing")))))))))</f>
        <v/>
      </c>
      <c r="AD45" s="25">
        <f>IF(OR(AND(LEN(G45)&gt;0,ISNUMBER(G45)=FALSE),AND(LEN(I45)&gt;0,ISNUMBER(I45)=FALSE),AND(LEN(K45)&gt;0,ISNUMBER(K45)=FALSE),AND(LEN(M45)&gt;0,ISNUMBER(M45)=FALSE),AND(LEN(Q45)&gt;0,ISNUMBER(Q45)=FALSE),AND(LEN(S45)&gt;0,ISNUMBER(S45)=FALSE),AND(LEN(Y45)&gt;0,ISNUMBER(Y45)=FALSE),AND(LEN(AA45)&gt;0,ISNUMBER(AA45)=FALSE),AND(LEN(U45)&gt;0,ISNUMBER(U45)=FALSE)),"Check date",IF(COUNT(G45,I45,K45,M45,Q45,S45,W45,Y45,AA45)=0,"",MIN(G45,I45,K45,M45,Q45,S45,W45,Y45,AA45)))</f>
        <v/>
      </c>
      <c r="AE45" s="25">
        <f>IF(ISNUMBER(AD45),AD45-IF(ISNUMBER(AB45),AB45,30),"")</f>
        <v/>
      </c>
      <c r="AF45" s="27">
        <f>IF(AD45="","",IF(ISNUMBER(AD45),AD45-TODAY(),"Check date"))</f>
        <v/>
      </c>
      <c r="AG45" s="28">
        <f>IF(AF45="","",IF(ISNUMBER(AF45),IF(AF45&lt;0,"Expired",IF(AF45&lt;=30,"Due ≤30 days",IF(AF45&lt;=90,"Due ≤90 days","OK"))),"Check date"))</f>
        <v/>
      </c>
      <c r="AH45" s="22" t="n"/>
      <c r="AI45" s="22" t="n"/>
      <c r="AJ45" s="22" t="n"/>
      <c r="AK45" s="22" t="n"/>
    </row>
    <row r="46">
      <c r="A46" s="22" t="n"/>
      <c r="B46" s="22" t="n"/>
      <c r="C46" s="22" t="n"/>
      <c r="D46" s="22" t="n"/>
      <c r="E46" s="22" t="n"/>
      <c r="F46" s="22" t="n"/>
      <c r="G46" s="23" t="n"/>
      <c r="H46" s="22" t="n"/>
      <c r="I46" s="23" t="n"/>
      <c r="J46" s="22" t="n"/>
      <c r="K46" s="23" t="n"/>
      <c r="L46" s="22" t="n"/>
      <c r="M46" s="23" t="n"/>
      <c r="N46" s="22" t="n"/>
      <c r="O46" s="22" t="n"/>
      <c r="P46" s="22" t="n"/>
      <c r="Q46" s="23" t="n"/>
      <c r="R46" s="22" t="n"/>
      <c r="S46" s="23" t="n"/>
      <c r="T46" s="22" t="n"/>
      <c r="U46" s="23" t="n"/>
      <c r="V46" s="24" t="n"/>
      <c r="W46" s="25">
        <f>IF(ISNUMBER(U46),U46+IF(ISNUMBER(V46),V46,120),"")</f>
        <v/>
      </c>
      <c r="X46" s="22" t="n"/>
      <c r="Y46" s="23" t="n"/>
      <c r="Z46" s="22" t="n"/>
      <c r="AA46" s="23" t="n"/>
      <c r="AB46" s="24" t="n"/>
      <c r="AC46" s="26">
        <f>IF(ISNUMBER(AD46)=FALSE,"",IF(G46=AD46,"State license",IF(I46=AD46,"DEA registration",IF(K46=AD46,"State CSR",IF(M46=AD46,"Board certification",IF(Q46=AD46,"Malpractice",IF(S46=AD46,"Life support",IF(W46=AD46,"CAQH re-attestation",IF(Y46=AD46,"Privileges reappointment","Payer recredentialing")))))))))</f>
        <v/>
      </c>
      <c r="AD46" s="25">
        <f>IF(OR(AND(LEN(G46)&gt;0,ISNUMBER(G46)=FALSE),AND(LEN(I46)&gt;0,ISNUMBER(I46)=FALSE),AND(LEN(K46)&gt;0,ISNUMBER(K46)=FALSE),AND(LEN(M46)&gt;0,ISNUMBER(M46)=FALSE),AND(LEN(Q46)&gt;0,ISNUMBER(Q46)=FALSE),AND(LEN(S46)&gt;0,ISNUMBER(S46)=FALSE),AND(LEN(Y46)&gt;0,ISNUMBER(Y46)=FALSE),AND(LEN(AA46)&gt;0,ISNUMBER(AA46)=FALSE),AND(LEN(U46)&gt;0,ISNUMBER(U46)=FALSE)),"Check date",IF(COUNT(G46,I46,K46,M46,Q46,S46,W46,Y46,AA46)=0,"",MIN(G46,I46,K46,M46,Q46,S46,W46,Y46,AA46)))</f>
        <v/>
      </c>
      <c r="AE46" s="25">
        <f>IF(ISNUMBER(AD46),AD46-IF(ISNUMBER(AB46),AB46,30),"")</f>
        <v/>
      </c>
      <c r="AF46" s="27">
        <f>IF(AD46="","",IF(ISNUMBER(AD46),AD46-TODAY(),"Check date"))</f>
        <v/>
      </c>
      <c r="AG46" s="28">
        <f>IF(AF46="","",IF(ISNUMBER(AF46),IF(AF46&lt;0,"Expired",IF(AF46&lt;=30,"Due ≤30 days",IF(AF46&lt;=90,"Due ≤90 days","OK"))),"Check date"))</f>
        <v/>
      </c>
      <c r="AH46" s="22" t="n"/>
      <c r="AI46" s="22" t="n"/>
      <c r="AJ46" s="22" t="n"/>
      <c r="AK46" s="22" t="n"/>
    </row>
    <row r="47">
      <c r="A47" s="22" t="n"/>
      <c r="B47" s="22" t="n"/>
      <c r="C47" s="22" t="n"/>
      <c r="D47" s="22" t="n"/>
      <c r="E47" s="22" t="n"/>
      <c r="F47" s="22" t="n"/>
      <c r="G47" s="23" t="n"/>
      <c r="H47" s="22" t="n"/>
      <c r="I47" s="23" t="n"/>
      <c r="J47" s="22" t="n"/>
      <c r="K47" s="23" t="n"/>
      <c r="L47" s="22" t="n"/>
      <c r="M47" s="23" t="n"/>
      <c r="N47" s="22" t="n"/>
      <c r="O47" s="22" t="n"/>
      <c r="P47" s="22" t="n"/>
      <c r="Q47" s="23" t="n"/>
      <c r="R47" s="22" t="n"/>
      <c r="S47" s="23" t="n"/>
      <c r="T47" s="22" t="n"/>
      <c r="U47" s="23" t="n"/>
      <c r="V47" s="24" t="n"/>
      <c r="W47" s="25">
        <f>IF(ISNUMBER(U47),U47+IF(ISNUMBER(V47),V47,120),"")</f>
        <v/>
      </c>
      <c r="X47" s="22" t="n"/>
      <c r="Y47" s="23" t="n"/>
      <c r="Z47" s="22" t="n"/>
      <c r="AA47" s="23" t="n"/>
      <c r="AB47" s="24" t="n"/>
      <c r="AC47" s="26">
        <f>IF(ISNUMBER(AD47)=FALSE,"",IF(G47=AD47,"State license",IF(I47=AD47,"DEA registration",IF(K47=AD47,"State CSR",IF(M47=AD47,"Board certification",IF(Q47=AD47,"Malpractice",IF(S47=AD47,"Life support",IF(W47=AD47,"CAQH re-attestation",IF(Y47=AD47,"Privileges reappointment","Payer recredentialing")))))))))</f>
        <v/>
      </c>
      <c r="AD47" s="25">
        <f>IF(OR(AND(LEN(G47)&gt;0,ISNUMBER(G47)=FALSE),AND(LEN(I47)&gt;0,ISNUMBER(I47)=FALSE),AND(LEN(K47)&gt;0,ISNUMBER(K47)=FALSE),AND(LEN(M47)&gt;0,ISNUMBER(M47)=FALSE),AND(LEN(Q47)&gt;0,ISNUMBER(Q47)=FALSE),AND(LEN(S47)&gt;0,ISNUMBER(S47)=FALSE),AND(LEN(Y47)&gt;0,ISNUMBER(Y47)=FALSE),AND(LEN(AA47)&gt;0,ISNUMBER(AA47)=FALSE),AND(LEN(U47)&gt;0,ISNUMBER(U47)=FALSE)),"Check date",IF(COUNT(G47,I47,K47,M47,Q47,S47,W47,Y47,AA47)=0,"",MIN(G47,I47,K47,M47,Q47,S47,W47,Y47,AA47)))</f>
        <v/>
      </c>
      <c r="AE47" s="25">
        <f>IF(ISNUMBER(AD47),AD47-IF(ISNUMBER(AB47),AB47,30),"")</f>
        <v/>
      </c>
      <c r="AF47" s="27">
        <f>IF(AD47="","",IF(ISNUMBER(AD47),AD47-TODAY(),"Check date"))</f>
        <v/>
      </c>
      <c r="AG47" s="28">
        <f>IF(AF47="","",IF(ISNUMBER(AF47),IF(AF47&lt;0,"Expired",IF(AF47&lt;=30,"Due ≤30 days",IF(AF47&lt;=90,"Due ≤90 days","OK"))),"Check date"))</f>
        <v/>
      </c>
      <c r="AH47" s="22" t="n"/>
      <c r="AI47" s="22" t="n"/>
      <c r="AJ47" s="22" t="n"/>
      <c r="AK47" s="22" t="n"/>
    </row>
    <row r="48">
      <c r="A48" s="22" t="n"/>
      <c r="B48" s="22" t="n"/>
      <c r="C48" s="22" t="n"/>
      <c r="D48" s="22" t="n"/>
      <c r="E48" s="22" t="n"/>
      <c r="F48" s="22" t="n"/>
      <c r="G48" s="23" t="n"/>
      <c r="H48" s="22" t="n"/>
      <c r="I48" s="23" t="n"/>
      <c r="J48" s="22" t="n"/>
      <c r="K48" s="23" t="n"/>
      <c r="L48" s="22" t="n"/>
      <c r="M48" s="23" t="n"/>
      <c r="N48" s="22" t="n"/>
      <c r="O48" s="22" t="n"/>
      <c r="P48" s="22" t="n"/>
      <c r="Q48" s="23" t="n"/>
      <c r="R48" s="22" t="n"/>
      <c r="S48" s="23" t="n"/>
      <c r="T48" s="22" t="n"/>
      <c r="U48" s="23" t="n"/>
      <c r="V48" s="24" t="n"/>
      <c r="W48" s="25">
        <f>IF(ISNUMBER(U48),U48+IF(ISNUMBER(V48),V48,120),"")</f>
        <v/>
      </c>
      <c r="X48" s="22" t="n"/>
      <c r="Y48" s="23" t="n"/>
      <c r="Z48" s="22" t="n"/>
      <c r="AA48" s="23" t="n"/>
      <c r="AB48" s="24" t="n"/>
      <c r="AC48" s="26">
        <f>IF(ISNUMBER(AD48)=FALSE,"",IF(G48=AD48,"State license",IF(I48=AD48,"DEA registration",IF(K48=AD48,"State CSR",IF(M48=AD48,"Board certification",IF(Q48=AD48,"Malpractice",IF(S48=AD48,"Life support",IF(W48=AD48,"CAQH re-attestation",IF(Y48=AD48,"Privileges reappointment","Payer recredentialing")))))))))</f>
        <v/>
      </c>
      <c r="AD48" s="25">
        <f>IF(OR(AND(LEN(G48)&gt;0,ISNUMBER(G48)=FALSE),AND(LEN(I48)&gt;0,ISNUMBER(I48)=FALSE),AND(LEN(K48)&gt;0,ISNUMBER(K48)=FALSE),AND(LEN(M48)&gt;0,ISNUMBER(M48)=FALSE),AND(LEN(Q48)&gt;0,ISNUMBER(Q48)=FALSE),AND(LEN(S48)&gt;0,ISNUMBER(S48)=FALSE),AND(LEN(Y48)&gt;0,ISNUMBER(Y48)=FALSE),AND(LEN(AA48)&gt;0,ISNUMBER(AA48)=FALSE),AND(LEN(U48)&gt;0,ISNUMBER(U48)=FALSE)),"Check date",IF(COUNT(G48,I48,K48,M48,Q48,S48,W48,Y48,AA48)=0,"",MIN(G48,I48,K48,M48,Q48,S48,W48,Y48,AA48)))</f>
        <v/>
      </c>
      <c r="AE48" s="25">
        <f>IF(ISNUMBER(AD48),AD48-IF(ISNUMBER(AB48),AB48,30),"")</f>
        <v/>
      </c>
      <c r="AF48" s="27">
        <f>IF(AD48="","",IF(ISNUMBER(AD48),AD48-TODAY(),"Check date"))</f>
        <v/>
      </c>
      <c r="AG48" s="28">
        <f>IF(AF48="","",IF(ISNUMBER(AF48),IF(AF48&lt;0,"Expired",IF(AF48&lt;=30,"Due ≤30 days",IF(AF48&lt;=90,"Due ≤90 days","OK"))),"Check date"))</f>
        <v/>
      </c>
      <c r="AH48" s="22" t="n"/>
      <c r="AI48" s="22" t="n"/>
      <c r="AJ48" s="22" t="n"/>
      <c r="AK48" s="22" t="n"/>
    </row>
    <row r="49">
      <c r="A49" s="22" t="n"/>
      <c r="B49" s="22" t="n"/>
      <c r="C49" s="22" t="n"/>
      <c r="D49" s="22" t="n"/>
      <c r="E49" s="22" t="n"/>
      <c r="F49" s="22" t="n"/>
      <c r="G49" s="23" t="n"/>
      <c r="H49" s="22" t="n"/>
      <c r="I49" s="23" t="n"/>
      <c r="J49" s="22" t="n"/>
      <c r="K49" s="23" t="n"/>
      <c r="L49" s="22" t="n"/>
      <c r="M49" s="23" t="n"/>
      <c r="N49" s="22" t="n"/>
      <c r="O49" s="22" t="n"/>
      <c r="P49" s="22" t="n"/>
      <c r="Q49" s="23" t="n"/>
      <c r="R49" s="22" t="n"/>
      <c r="S49" s="23" t="n"/>
      <c r="T49" s="22" t="n"/>
      <c r="U49" s="23" t="n"/>
      <c r="V49" s="24" t="n"/>
      <c r="W49" s="25">
        <f>IF(ISNUMBER(U49),U49+IF(ISNUMBER(V49),V49,120),"")</f>
        <v/>
      </c>
      <c r="X49" s="22" t="n"/>
      <c r="Y49" s="23" t="n"/>
      <c r="Z49" s="22" t="n"/>
      <c r="AA49" s="23" t="n"/>
      <c r="AB49" s="24" t="n"/>
      <c r="AC49" s="26">
        <f>IF(ISNUMBER(AD49)=FALSE,"",IF(G49=AD49,"State license",IF(I49=AD49,"DEA registration",IF(K49=AD49,"State CSR",IF(M49=AD49,"Board certification",IF(Q49=AD49,"Malpractice",IF(S49=AD49,"Life support",IF(W49=AD49,"CAQH re-attestation",IF(Y49=AD49,"Privileges reappointment","Payer recredentialing")))))))))</f>
        <v/>
      </c>
      <c r="AD49" s="25">
        <f>IF(OR(AND(LEN(G49)&gt;0,ISNUMBER(G49)=FALSE),AND(LEN(I49)&gt;0,ISNUMBER(I49)=FALSE),AND(LEN(K49)&gt;0,ISNUMBER(K49)=FALSE),AND(LEN(M49)&gt;0,ISNUMBER(M49)=FALSE),AND(LEN(Q49)&gt;0,ISNUMBER(Q49)=FALSE),AND(LEN(S49)&gt;0,ISNUMBER(S49)=FALSE),AND(LEN(Y49)&gt;0,ISNUMBER(Y49)=FALSE),AND(LEN(AA49)&gt;0,ISNUMBER(AA49)=FALSE),AND(LEN(U49)&gt;0,ISNUMBER(U49)=FALSE)),"Check date",IF(COUNT(G49,I49,K49,M49,Q49,S49,W49,Y49,AA49)=0,"",MIN(G49,I49,K49,M49,Q49,S49,W49,Y49,AA49)))</f>
        <v/>
      </c>
      <c r="AE49" s="25">
        <f>IF(ISNUMBER(AD49),AD49-IF(ISNUMBER(AB49),AB49,30),"")</f>
        <v/>
      </c>
      <c r="AF49" s="27">
        <f>IF(AD49="","",IF(ISNUMBER(AD49),AD49-TODAY(),"Check date"))</f>
        <v/>
      </c>
      <c r="AG49" s="28">
        <f>IF(AF49="","",IF(ISNUMBER(AF49),IF(AF49&lt;0,"Expired",IF(AF49&lt;=30,"Due ≤30 days",IF(AF49&lt;=90,"Due ≤90 days","OK"))),"Check date"))</f>
        <v/>
      </c>
      <c r="AH49" s="22" t="n"/>
      <c r="AI49" s="22" t="n"/>
      <c r="AJ49" s="22" t="n"/>
      <c r="AK49" s="22" t="n"/>
    </row>
    <row r="50">
      <c r="A50" s="22" t="n"/>
      <c r="B50" s="22" t="n"/>
      <c r="C50" s="22" t="n"/>
      <c r="D50" s="22" t="n"/>
      <c r="E50" s="22" t="n"/>
      <c r="F50" s="22" t="n"/>
      <c r="G50" s="23" t="n"/>
      <c r="H50" s="22" t="n"/>
      <c r="I50" s="23" t="n"/>
      <c r="J50" s="22" t="n"/>
      <c r="K50" s="23" t="n"/>
      <c r="L50" s="22" t="n"/>
      <c r="M50" s="23" t="n"/>
      <c r="N50" s="22" t="n"/>
      <c r="O50" s="22" t="n"/>
      <c r="P50" s="22" t="n"/>
      <c r="Q50" s="23" t="n"/>
      <c r="R50" s="22" t="n"/>
      <c r="S50" s="23" t="n"/>
      <c r="T50" s="22" t="n"/>
      <c r="U50" s="23" t="n"/>
      <c r="V50" s="24" t="n"/>
      <c r="W50" s="25">
        <f>IF(ISNUMBER(U50),U50+IF(ISNUMBER(V50),V50,120),"")</f>
        <v/>
      </c>
      <c r="X50" s="22" t="n"/>
      <c r="Y50" s="23" t="n"/>
      <c r="Z50" s="22" t="n"/>
      <c r="AA50" s="23" t="n"/>
      <c r="AB50" s="24" t="n"/>
      <c r="AC50" s="26">
        <f>IF(ISNUMBER(AD50)=FALSE,"",IF(G50=AD50,"State license",IF(I50=AD50,"DEA registration",IF(K50=AD50,"State CSR",IF(M50=AD50,"Board certification",IF(Q50=AD50,"Malpractice",IF(S50=AD50,"Life support",IF(W50=AD50,"CAQH re-attestation",IF(Y50=AD50,"Privileges reappointment","Payer recredentialing")))))))))</f>
        <v/>
      </c>
      <c r="AD50" s="25">
        <f>IF(OR(AND(LEN(G50)&gt;0,ISNUMBER(G50)=FALSE),AND(LEN(I50)&gt;0,ISNUMBER(I50)=FALSE),AND(LEN(K50)&gt;0,ISNUMBER(K50)=FALSE),AND(LEN(M50)&gt;0,ISNUMBER(M50)=FALSE),AND(LEN(Q50)&gt;0,ISNUMBER(Q50)=FALSE),AND(LEN(S50)&gt;0,ISNUMBER(S50)=FALSE),AND(LEN(Y50)&gt;0,ISNUMBER(Y50)=FALSE),AND(LEN(AA50)&gt;0,ISNUMBER(AA50)=FALSE),AND(LEN(U50)&gt;0,ISNUMBER(U50)=FALSE)),"Check date",IF(COUNT(G50,I50,K50,M50,Q50,S50,W50,Y50,AA50)=0,"",MIN(G50,I50,K50,M50,Q50,S50,W50,Y50,AA50)))</f>
        <v/>
      </c>
      <c r="AE50" s="25">
        <f>IF(ISNUMBER(AD50),AD50-IF(ISNUMBER(AB50),AB50,30),"")</f>
        <v/>
      </c>
      <c r="AF50" s="27">
        <f>IF(AD50="","",IF(ISNUMBER(AD50),AD50-TODAY(),"Check date"))</f>
        <v/>
      </c>
      <c r="AG50" s="28">
        <f>IF(AF50="","",IF(ISNUMBER(AF50),IF(AF50&lt;0,"Expired",IF(AF50&lt;=30,"Due ≤30 days",IF(AF50&lt;=90,"Due ≤90 days","OK"))),"Check date"))</f>
        <v/>
      </c>
      <c r="AH50" s="22" t="n"/>
      <c r="AI50" s="22" t="n"/>
      <c r="AJ50" s="22" t="n"/>
      <c r="AK50" s="22" t="n"/>
    </row>
    <row r="51">
      <c r="A51" s="22" t="n"/>
      <c r="B51" s="22" t="n"/>
      <c r="C51" s="22" t="n"/>
      <c r="D51" s="22" t="n"/>
      <c r="E51" s="22" t="n"/>
      <c r="F51" s="22" t="n"/>
      <c r="G51" s="23" t="n"/>
      <c r="H51" s="22" t="n"/>
      <c r="I51" s="23" t="n"/>
      <c r="J51" s="22" t="n"/>
      <c r="K51" s="23" t="n"/>
      <c r="L51" s="22" t="n"/>
      <c r="M51" s="23" t="n"/>
      <c r="N51" s="22" t="n"/>
      <c r="O51" s="22" t="n"/>
      <c r="P51" s="22" t="n"/>
      <c r="Q51" s="23" t="n"/>
      <c r="R51" s="22" t="n"/>
      <c r="S51" s="23" t="n"/>
      <c r="T51" s="22" t="n"/>
      <c r="U51" s="23" t="n"/>
      <c r="V51" s="24" t="n"/>
      <c r="W51" s="25">
        <f>IF(ISNUMBER(U51),U51+IF(ISNUMBER(V51),V51,120),"")</f>
        <v/>
      </c>
      <c r="X51" s="22" t="n"/>
      <c r="Y51" s="23" t="n"/>
      <c r="Z51" s="22" t="n"/>
      <c r="AA51" s="23" t="n"/>
      <c r="AB51" s="24" t="n"/>
      <c r="AC51" s="26">
        <f>IF(ISNUMBER(AD51)=FALSE,"",IF(G51=AD51,"State license",IF(I51=AD51,"DEA registration",IF(K51=AD51,"State CSR",IF(M51=AD51,"Board certification",IF(Q51=AD51,"Malpractice",IF(S51=AD51,"Life support",IF(W51=AD51,"CAQH re-attestation",IF(Y51=AD51,"Privileges reappointment","Payer recredentialing")))))))))</f>
        <v/>
      </c>
      <c r="AD51" s="25">
        <f>IF(OR(AND(LEN(G51)&gt;0,ISNUMBER(G51)=FALSE),AND(LEN(I51)&gt;0,ISNUMBER(I51)=FALSE),AND(LEN(K51)&gt;0,ISNUMBER(K51)=FALSE),AND(LEN(M51)&gt;0,ISNUMBER(M51)=FALSE),AND(LEN(Q51)&gt;0,ISNUMBER(Q51)=FALSE),AND(LEN(S51)&gt;0,ISNUMBER(S51)=FALSE),AND(LEN(Y51)&gt;0,ISNUMBER(Y51)=FALSE),AND(LEN(AA51)&gt;0,ISNUMBER(AA51)=FALSE),AND(LEN(U51)&gt;0,ISNUMBER(U51)=FALSE)),"Check date",IF(COUNT(G51,I51,K51,M51,Q51,S51,W51,Y51,AA51)=0,"",MIN(G51,I51,K51,M51,Q51,S51,W51,Y51,AA51)))</f>
        <v/>
      </c>
      <c r="AE51" s="25">
        <f>IF(ISNUMBER(AD51),AD51-IF(ISNUMBER(AB51),AB51,30),"")</f>
        <v/>
      </c>
      <c r="AF51" s="27">
        <f>IF(AD51="","",IF(ISNUMBER(AD51),AD51-TODAY(),"Check date"))</f>
        <v/>
      </c>
      <c r="AG51" s="28">
        <f>IF(AF51="","",IF(ISNUMBER(AF51),IF(AF51&lt;0,"Expired",IF(AF51&lt;=30,"Due ≤30 days",IF(AF51&lt;=90,"Due ≤90 days","OK"))),"Check date"))</f>
        <v/>
      </c>
      <c r="AH51" s="22" t="n"/>
      <c r="AI51" s="22" t="n"/>
      <c r="AJ51" s="22" t="n"/>
      <c r="AK51" s="22" t="n"/>
    </row>
    <row r="52">
      <c r="A52" s="22" t="n"/>
      <c r="B52" s="22" t="n"/>
      <c r="C52" s="22" t="n"/>
      <c r="D52" s="22" t="n"/>
      <c r="E52" s="22" t="n"/>
      <c r="F52" s="22" t="n"/>
      <c r="G52" s="23" t="n"/>
      <c r="H52" s="22" t="n"/>
      <c r="I52" s="23" t="n"/>
      <c r="J52" s="22" t="n"/>
      <c r="K52" s="23" t="n"/>
      <c r="L52" s="22" t="n"/>
      <c r="M52" s="23" t="n"/>
      <c r="N52" s="22" t="n"/>
      <c r="O52" s="22" t="n"/>
      <c r="P52" s="22" t="n"/>
      <c r="Q52" s="23" t="n"/>
      <c r="R52" s="22" t="n"/>
      <c r="S52" s="23" t="n"/>
      <c r="T52" s="22" t="n"/>
      <c r="U52" s="23" t="n"/>
      <c r="V52" s="24" t="n"/>
      <c r="W52" s="25">
        <f>IF(ISNUMBER(U52),U52+IF(ISNUMBER(V52),V52,120),"")</f>
        <v/>
      </c>
      <c r="X52" s="22" t="n"/>
      <c r="Y52" s="23" t="n"/>
      <c r="Z52" s="22" t="n"/>
      <c r="AA52" s="23" t="n"/>
      <c r="AB52" s="24" t="n"/>
      <c r="AC52" s="26">
        <f>IF(ISNUMBER(AD52)=FALSE,"",IF(G52=AD52,"State license",IF(I52=AD52,"DEA registration",IF(K52=AD52,"State CSR",IF(M52=AD52,"Board certification",IF(Q52=AD52,"Malpractice",IF(S52=AD52,"Life support",IF(W52=AD52,"CAQH re-attestation",IF(Y52=AD52,"Privileges reappointment","Payer recredentialing")))))))))</f>
        <v/>
      </c>
      <c r="AD52" s="25">
        <f>IF(OR(AND(LEN(G52)&gt;0,ISNUMBER(G52)=FALSE),AND(LEN(I52)&gt;0,ISNUMBER(I52)=FALSE),AND(LEN(K52)&gt;0,ISNUMBER(K52)=FALSE),AND(LEN(M52)&gt;0,ISNUMBER(M52)=FALSE),AND(LEN(Q52)&gt;0,ISNUMBER(Q52)=FALSE),AND(LEN(S52)&gt;0,ISNUMBER(S52)=FALSE),AND(LEN(Y52)&gt;0,ISNUMBER(Y52)=FALSE),AND(LEN(AA52)&gt;0,ISNUMBER(AA52)=FALSE),AND(LEN(U52)&gt;0,ISNUMBER(U52)=FALSE)),"Check date",IF(COUNT(G52,I52,K52,M52,Q52,S52,W52,Y52,AA52)=0,"",MIN(G52,I52,K52,M52,Q52,S52,W52,Y52,AA52)))</f>
        <v/>
      </c>
      <c r="AE52" s="25">
        <f>IF(ISNUMBER(AD52),AD52-IF(ISNUMBER(AB52),AB52,30),"")</f>
        <v/>
      </c>
      <c r="AF52" s="27">
        <f>IF(AD52="","",IF(ISNUMBER(AD52),AD52-TODAY(),"Check date"))</f>
        <v/>
      </c>
      <c r="AG52" s="28">
        <f>IF(AF52="","",IF(ISNUMBER(AF52),IF(AF52&lt;0,"Expired",IF(AF52&lt;=30,"Due ≤30 days",IF(AF52&lt;=90,"Due ≤90 days","OK"))),"Check date"))</f>
        <v/>
      </c>
      <c r="AH52" s="22" t="n"/>
      <c r="AI52" s="22" t="n"/>
      <c r="AJ52" s="22" t="n"/>
      <c r="AK52" s="22" t="n"/>
    </row>
    <row r="53">
      <c r="A53" s="22" t="n"/>
      <c r="B53" s="22" t="n"/>
      <c r="C53" s="22" t="n"/>
      <c r="D53" s="22" t="n"/>
      <c r="E53" s="22" t="n"/>
      <c r="F53" s="22" t="n"/>
      <c r="G53" s="23" t="n"/>
      <c r="H53" s="22" t="n"/>
      <c r="I53" s="23" t="n"/>
      <c r="J53" s="22" t="n"/>
      <c r="K53" s="23" t="n"/>
      <c r="L53" s="22" t="n"/>
      <c r="M53" s="23" t="n"/>
      <c r="N53" s="22" t="n"/>
      <c r="O53" s="22" t="n"/>
      <c r="P53" s="22" t="n"/>
      <c r="Q53" s="23" t="n"/>
      <c r="R53" s="22" t="n"/>
      <c r="S53" s="23" t="n"/>
      <c r="T53" s="22" t="n"/>
      <c r="U53" s="23" t="n"/>
      <c r="V53" s="24" t="n"/>
      <c r="W53" s="25">
        <f>IF(ISNUMBER(U53),U53+IF(ISNUMBER(V53),V53,120),"")</f>
        <v/>
      </c>
      <c r="X53" s="22" t="n"/>
      <c r="Y53" s="23" t="n"/>
      <c r="Z53" s="22" t="n"/>
      <c r="AA53" s="23" t="n"/>
      <c r="AB53" s="24" t="n"/>
      <c r="AC53" s="26">
        <f>IF(ISNUMBER(AD53)=FALSE,"",IF(G53=AD53,"State license",IF(I53=AD53,"DEA registration",IF(K53=AD53,"State CSR",IF(M53=AD53,"Board certification",IF(Q53=AD53,"Malpractice",IF(S53=AD53,"Life support",IF(W53=AD53,"CAQH re-attestation",IF(Y53=AD53,"Privileges reappointment","Payer recredentialing")))))))))</f>
        <v/>
      </c>
      <c r="AD53" s="25">
        <f>IF(OR(AND(LEN(G53)&gt;0,ISNUMBER(G53)=FALSE),AND(LEN(I53)&gt;0,ISNUMBER(I53)=FALSE),AND(LEN(K53)&gt;0,ISNUMBER(K53)=FALSE),AND(LEN(M53)&gt;0,ISNUMBER(M53)=FALSE),AND(LEN(Q53)&gt;0,ISNUMBER(Q53)=FALSE),AND(LEN(S53)&gt;0,ISNUMBER(S53)=FALSE),AND(LEN(Y53)&gt;0,ISNUMBER(Y53)=FALSE),AND(LEN(AA53)&gt;0,ISNUMBER(AA53)=FALSE),AND(LEN(U53)&gt;0,ISNUMBER(U53)=FALSE)),"Check date",IF(COUNT(G53,I53,K53,M53,Q53,S53,W53,Y53,AA53)=0,"",MIN(G53,I53,K53,M53,Q53,S53,W53,Y53,AA53)))</f>
        <v/>
      </c>
      <c r="AE53" s="25">
        <f>IF(ISNUMBER(AD53),AD53-IF(ISNUMBER(AB53),AB53,30),"")</f>
        <v/>
      </c>
      <c r="AF53" s="27">
        <f>IF(AD53="","",IF(ISNUMBER(AD53),AD53-TODAY(),"Check date"))</f>
        <v/>
      </c>
      <c r="AG53" s="28">
        <f>IF(AF53="","",IF(ISNUMBER(AF53),IF(AF53&lt;0,"Expired",IF(AF53&lt;=30,"Due ≤30 days",IF(AF53&lt;=90,"Due ≤90 days","OK"))),"Check date"))</f>
        <v/>
      </c>
      <c r="AH53" s="22" t="n"/>
      <c r="AI53" s="22" t="n"/>
      <c r="AJ53" s="22" t="n"/>
      <c r="AK53" s="22" t="n"/>
    </row>
    <row r="54">
      <c r="A54" s="22" t="n"/>
      <c r="B54" s="22" t="n"/>
      <c r="C54" s="22" t="n"/>
      <c r="D54" s="22" t="n"/>
      <c r="E54" s="22" t="n"/>
      <c r="F54" s="22" t="n"/>
      <c r="G54" s="23" t="n"/>
      <c r="H54" s="22" t="n"/>
      <c r="I54" s="23" t="n"/>
      <c r="J54" s="22" t="n"/>
      <c r="K54" s="23" t="n"/>
      <c r="L54" s="22" t="n"/>
      <c r="M54" s="23" t="n"/>
      <c r="N54" s="22" t="n"/>
      <c r="O54" s="22" t="n"/>
      <c r="P54" s="22" t="n"/>
      <c r="Q54" s="23" t="n"/>
      <c r="R54" s="22" t="n"/>
      <c r="S54" s="23" t="n"/>
      <c r="T54" s="22" t="n"/>
      <c r="U54" s="23" t="n"/>
      <c r="V54" s="24" t="n"/>
      <c r="W54" s="25">
        <f>IF(ISNUMBER(U54),U54+IF(ISNUMBER(V54),V54,120),"")</f>
        <v/>
      </c>
      <c r="X54" s="22" t="n"/>
      <c r="Y54" s="23" t="n"/>
      <c r="Z54" s="22" t="n"/>
      <c r="AA54" s="23" t="n"/>
      <c r="AB54" s="24" t="n"/>
      <c r="AC54" s="26">
        <f>IF(ISNUMBER(AD54)=FALSE,"",IF(G54=AD54,"State license",IF(I54=AD54,"DEA registration",IF(K54=AD54,"State CSR",IF(M54=AD54,"Board certification",IF(Q54=AD54,"Malpractice",IF(S54=AD54,"Life support",IF(W54=AD54,"CAQH re-attestation",IF(Y54=AD54,"Privileges reappointment","Payer recredentialing")))))))))</f>
        <v/>
      </c>
      <c r="AD54" s="25">
        <f>IF(OR(AND(LEN(G54)&gt;0,ISNUMBER(G54)=FALSE),AND(LEN(I54)&gt;0,ISNUMBER(I54)=FALSE),AND(LEN(K54)&gt;0,ISNUMBER(K54)=FALSE),AND(LEN(M54)&gt;0,ISNUMBER(M54)=FALSE),AND(LEN(Q54)&gt;0,ISNUMBER(Q54)=FALSE),AND(LEN(S54)&gt;0,ISNUMBER(S54)=FALSE),AND(LEN(Y54)&gt;0,ISNUMBER(Y54)=FALSE),AND(LEN(AA54)&gt;0,ISNUMBER(AA54)=FALSE),AND(LEN(U54)&gt;0,ISNUMBER(U54)=FALSE)),"Check date",IF(COUNT(G54,I54,K54,M54,Q54,S54,W54,Y54,AA54)=0,"",MIN(G54,I54,K54,M54,Q54,S54,W54,Y54,AA54)))</f>
        <v/>
      </c>
      <c r="AE54" s="25">
        <f>IF(ISNUMBER(AD54),AD54-IF(ISNUMBER(AB54),AB54,30),"")</f>
        <v/>
      </c>
      <c r="AF54" s="27">
        <f>IF(AD54="","",IF(ISNUMBER(AD54),AD54-TODAY(),"Check date"))</f>
        <v/>
      </c>
      <c r="AG54" s="28">
        <f>IF(AF54="","",IF(ISNUMBER(AF54),IF(AF54&lt;0,"Expired",IF(AF54&lt;=30,"Due ≤30 days",IF(AF54&lt;=90,"Due ≤90 days","OK"))),"Check date"))</f>
        <v/>
      </c>
      <c r="AH54" s="22" t="n"/>
      <c r="AI54" s="22" t="n"/>
      <c r="AJ54" s="22" t="n"/>
      <c r="AK54" s="22" t="n"/>
    </row>
    <row r="55">
      <c r="A55" s="22" t="n"/>
      <c r="B55" s="22" t="n"/>
      <c r="C55" s="22" t="n"/>
      <c r="D55" s="22" t="n"/>
      <c r="E55" s="22" t="n"/>
      <c r="F55" s="22" t="n"/>
      <c r="G55" s="23" t="n"/>
      <c r="H55" s="22" t="n"/>
      <c r="I55" s="23" t="n"/>
      <c r="J55" s="22" t="n"/>
      <c r="K55" s="23" t="n"/>
      <c r="L55" s="22" t="n"/>
      <c r="M55" s="23" t="n"/>
      <c r="N55" s="22" t="n"/>
      <c r="O55" s="22" t="n"/>
      <c r="P55" s="22" t="n"/>
      <c r="Q55" s="23" t="n"/>
      <c r="R55" s="22" t="n"/>
      <c r="S55" s="23" t="n"/>
      <c r="T55" s="22" t="n"/>
      <c r="U55" s="23" t="n"/>
      <c r="V55" s="24" t="n"/>
      <c r="W55" s="25">
        <f>IF(ISNUMBER(U55),U55+IF(ISNUMBER(V55),V55,120),"")</f>
        <v/>
      </c>
      <c r="X55" s="22" t="n"/>
      <c r="Y55" s="23" t="n"/>
      <c r="Z55" s="22" t="n"/>
      <c r="AA55" s="23" t="n"/>
      <c r="AB55" s="24" t="n"/>
      <c r="AC55" s="26">
        <f>IF(ISNUMBER(AD55)=FALSE,"",IF(G55=AD55,"State license",IF(I55=AD55,"DEA registration",IF(K55=AD55,"State CSR",IF(M55=AD55,"Board certification",IF(Q55=AD55,"Malpractice",IF(S55=AD55,"Life support",IF(W55=AD55,"CAQH re-attestation",IF(Y55=AD55,"Privileges reappointment","Payer recredentialing")))))))))</f>
        <v/>
      </c>
      <c r="AD55" s="25">
        <f>IF(OR(AND(LEN(G55)&gt;0,ISNUMBER(G55)=FALSE),AND(LEN(I55)&gt;0,ISNUMBER(I55)=FALSE),AND(LEN(K55)&gt;0,ISNUMBER(K55)=FALSE),AND(LEN(M55)&gt;0,ISNUMBER(M55)=FALSE),AND(LEN(Q55)&gt;0,ISNUMBER(Q55)=FALSE),AND(LEN(S55)&gt;0,ISNUMBER(S55)=FALSE),AND(LEN(Y55)&gt;0,ISNUMBER(Y55)=FALSE),AND(LEN(AA55)&gt;0,ISNUMBER(AA55)=FALSE),AND(LEN(U55)&gt;0,ISNUMBER(U55)=FALSE)),"Check date",IF(COUNT(G55,I55,K55,M55,Q55,S55,W55,Y55,AA55)=0,"",MIN(G55,I55,K55,M55,Q55,S55,W55,Y55,AA55)))</f>
        <v/>
      </c>
      <c r="AE55" s="25">
        <f>IF(ISNUMBER(AD55),AD55-IF(ISNUMBER(AB55),AB55,30),"")</f>
        <v/>
      </c>
      <c r="AF55" s="27">
        <f>IF(AD55="","",IF(ISNUMBER(AD55),AD55-TODAY(),"Check date"))</f>
        <v/>
      </c>
      <c r="AG55" s="28">
        <f>IF(AF55="","",IF(ISNUMBER(AF55),IF(AF55&lt;0,"Expired",IF(AF55&lt;=30,"Due ≤30 days",IF(AF55&lt;=90,"Due ≤90 days","OK"))),"Check date"))</f>
        <v/>
      </c>
      <c r="AH55" s="22" t="n"/>
      <c r="AI55" s="22" t="n"/>
      <c r="AJ55" s="22" t="n"/>
      <c r="AK55" s="22" t="n"/>
    </row>
    <row r="56">
      <c r="A56" s="22" t="n"/>
      <c r="B56" s="22" t="n"/>
      <c r="C56" s="22" t="n"/>
      <c r="D56" s="22" t="n"/>
      <c r="E56" s="22" t="n"/>
      <c r="F56" s="22" t="n"/>
      <c r="G56" s="23" t="n"/>
      <c r="H56" s="22" t="n"/>
      <c r="I56" s="23" t="n"/>
      <c r="J56" s="22" t="n"/>
      <c r="K56" s="23" t="n"/>
      <c r="L56" s="22" t="n"/>
      <c r="M56" s="23" t="n"/>
      <c r="N56" s="22" t="n"/>
      <c r="O56" s="22" t="n"/>
      <c r="P56" s="22" t="n"/>
      <c r="Q56" s="23" t="n"/>
      <c r="R56" s="22" t="n"/>
      <c r="S56" s="23" t="n"/>
      <c r="T56" s="22" t="n"/>
      <c r="U56" s="23" t="n"/>
      <c r="V56" s="24" t="n"/>
      <c r="W56" s="25">
        <f>IF(ISNUMBER(U56),U56+IF(ISNUMBER(V56),V56,120),"")</f>
        <v/>
      </c>
      <c r="X56" s="22" t="n"/>
      <c r="Y56" s="23" t="n"/>
      <c r="Z56" s="22" t="n"/>
      <c r="AA56" s="23" t="n"/>
      <c r="AB56" s="24" t="n"/>
      <c r="AC56" s="26">
        <f>IF(ISNUMBER(AD56)=FALSE,"",IF(G56=AD56,"State license",IF(I56=AD56,"DEA registration",IF(K56=AD56,"State CSR",IF(M56=AD56,"Board certification",IF(Q56=AD56,"Malpractice",IF(S56=AD56,"Life support",IF(W56=AD56,"CAQH re-attestation",IF(Y56=AD56,"Privileges reappointment","Payer recredentialing")))))))))</f>
        <v/>
      </c>
      <c r="AD56" s="25">
        <f>IF(OR(AND(LEN(G56)&gt;0,ISNUMBER(G56)=FALSE),AND(LEN(I56)&gt;0,ISNUMBER(I56)=FALSE),AND(LEN(K56)&gt;0,ISNUMBER(K56)=FALSE),AND(LEN(M56)&gt;0,ISNUMBER(M56)=FALSE),AND(LEN(Q56)&gt;0,ISNUMBER(Q56)=FALSE),AND(LEN(S56)&gt;0,ISNUMBER(S56)=FALSE),AND(LEN(Y56)&gt;0,ISNUMBER(Y56)=FALSE),AND(LEN(AA56)&gt;0,ISNUMBER(AA56)=FALSE),AND(LEN(U56)&gt;0,ISNUMBER(U56)=FALSE)),"Check date",IF(COUNT(G56,I56,K56,M56,Q56,S56,W56,Y56,AA56)=0,"",MIN(G56,I56,K56,M56,Q56,S56,W56,Y56,AA56)))</f>
        <v/>
      </c>
      <c r="AE56" s="25">
        <f>IF(ISNUMBER(AD56),AD56-IF(ISNUMBER(AB56),AB56,30),"")</f>
        <v/>
      </c>
      <c r="AF56" s="27">
        <f>IF(AD56="","",IF(ISNUMBER(AD56),AD56-TODAY(),"Check date"))</f>
        <v/>
      </c>
      <c r="AG56" s="28">
        <f>IF(AF56="","",IF(ISNUMBER(AF56),IF(AF56&lt;0,"Expired",IF(AF56&lt;=30,"Due ≤30 days",IF(AF56&lt;=90,"Due ≤90 days","OK"))),"Check date"))</f>
        <v/>
      </c>
      <c r="AH56" s="22" t="n"/>
      <c r="AI56" s="22" t="n"/>
      <c r="AJ56" s="22" t="n"/>
      <c r="AK56" s="22" t="n"/>
    </row>
    <row r="57">
      <c r="A57" s="22" t="n"/>
      <c r="B57" s="22" t="n"/>
      <c r="C57" s="22" t="n"/>
      <c r="D57" s="22" t="n"/>
      <c r="E57" s="22" t="n"/>
      <c r="F57" s="22" t="n"/>
      <c r="G57" s="23" t="n"/>
      <c r="H57" s="22" t="n"/>
      <c r="I57" s="23" t="n"/>
      <c r="J57" s="22" t="n"/>
      <c r="K57" s="23" t="n"/>
      <c r="L57" s="22" t="n"/>
      <c r="M57" s="23" t="n"/>
      <c r="N57" s="22" t="n"/>
      <c r="O57" s="22" t="n"/>
      <c r="P57" s="22" t="n"/>
      <c r="Q57" s="23" t="n"/>
      <c r="R57" s="22" t="n"/>
      <c r="S57" s="23" t="n"/>
      <c r="T57" s="22" t="n"/>
      <c r="U57" s="23" t="n"/>
      <c r="V57" s="24" t="n"/>
      <c r="W57" s="25">
        <f>IF(ISNUMBER(U57),U57+IF(ISNUMBER(V57),V57,120),"")</f>
        <v/>
      </c>
      <c r="X57" s="22" t="n"/>
      <c r="Y57" s="23" t="n"/>
      <c r="Z57" s="22" t="n"/>
      <c r="AA57" s="23" t="n"/>
      <c r="AB57" s="24" t="n"/>
      <c r="AC57" s="26">
        <f>IF(ISNUMBER(AD57)=FALSE,"",IF(G57=AD57,"State license",IF(I57=AD57,"DEA registration",IF(K57=AD57,"State CSR",IF(M57=AD57,"Board certification",IF(Q57=AD57,"Malpractice",IF(S57=AD57,"Life support",IF(W57=AD57,"CAQH re-attestation",IF(Y57=AD57,"Privileges reappointment","Payer recredentialing")))))))))</f>
        <v/>
      </c>
      <c r="AD57" s="25">
        <f>IF(OR(AND(LEN(G57)&gt;0,ISNUMBER(G57)=FALSE),AND(LEN(I57)&gt;0,ISNUMBER(I57)=FALSE),AND(LEN(K57)&gt;0,ISNUMBER(K57)=FALSE),AND(LEN(M57)&gt;0,ISNUMBER(M57)=FALSE),AND(LEN(Q57)&gt;0,ISNUMBER(Q57)=FALSE),AND(LEN(S57)&gt;0,ISNUMBER(S57)=FALSE),AND(LEN(Y57)&gt;0,ISNUMBER(Y57)=FALSE),AND(LEN(AA57)&gt;0,ISNUMBER(AA57)=FALSE),AND(LEN(U57)&gt;0,ISNUMBER(U57)=FALSE)),"Check date",IF(COUNT(G57,I57,K57,M57,Q57,S57,W57,Y57,AA57)=0,"",MIN(G57,I57,K57,M57,Q57,S57,W57,Y57,AA57)))</f>
        <v/>
      </c>
      <c r="AE57" s="25">
        <f>IF(ISNUMBER(AD57),AD57-IF(ISNUMBER(AB57),AB57,30),"")</f>
        <v/>
      </c>
      <c r="AF57" s="27">
        <f>IF(AD57="","",IF(ISNUMBER(AD57),AD57-TODAY(),"Check date"))</f>
        <v/>
      </c>
      <c r="AG57" s="28">
        <f>IF(AF57="","",IF(ISNUMBER(AF57),IF(AF57&lt;0,"Expired",IF(AF57&lt;=30,"Due ≤30 days",IF(AF57&lt;=90,"Due ≤90 days","OK"))),"Check date"))</f>
        <v/>
      </c>
      <c r="AH57" s="22" t="n"/>
      <c r="AI57" s="22" t="n"/>
      <c r="AJ57" s="22" t="n"/>
      <c r="AK57" s="22" t="n"/>
    </row>
    <row r="58">
      <c r="A58" s="22" t="n"/>
      <c r="B58" s="22" t="n"/>
      <c r="C58" s="22" t="n"/>
      <c r="D58" s="22" t="n"/>
      <c r="E58" s="22" t="n"/>
      <c r="F58" s="22" t="n"/>
      <c r="G58" s="23" t="n"/>
      <c r="H58" s="22" t="n"/>
      <c r="I58" s="23" t="n"/>
      <c r="J58" s="22" t="n"/>
      <c r="K58" s="23" t="n"/>
      <c r="L58" s="22" t="n"/>
      <c r="M58" s="23" t="n"/>
      <c r="N58" s="22" t="n"/>
      <c r="O58" s="22" t="n"/>
      <c r="P58" s="22" t="n"/>
      <c r="Q58" s="23" t="n"/>
      <c r="R58" s="22" t="n"/>
      <c r="S58" s="23" t="n"/>
      <c r="T58" s="22" t="n"/>
      <c r="U58" s="23" t="n"/>
      <c r="V58" s="24" t="n"/>
      <c r="W58" s="25">
        <f>IF(ISNUMBER(U58),U58+IF(ISNUMBER(V58),V58,120),"")</f>
        <v/>
      </c>
      <c r="X58" s="22" t="n"/>
      <c r="Y58" s="23" t="n"/>
      <c r="Z58" s="22" t="n"/>
      <c r="AA58" s="23" t="n"/>
      <c r="AB58" s="24" t="n"/>
      <c r="AC58" s="26">
        <f>IF(ISNUMBER(AD58)=FALSE,"",IF(G58=AD58,"State license",IF(I58=AD58,"DEA registration",IF(K58=AD58,"State CSR",IF(M58=AD58,"Board certification",IF(Q58=AD58,"Malpractice",IF(S58=AD58,"Life support",IF(W58=AD58,"CAQH re-attestation",IF(Y58=AD58,"Privileges reappointment","Payer recredentialing")))))))))</f>
        <v/>
      </c>
      <c r="AD58" s="25">
        <f>IF(OR(AND(LEN(G58)&gt;0,ISNUMBER(G58)=FALSE),AND(LEN(I58)&gt;0,ISNUMBER(I58)=FALSE),AND(LEN(K58)&gt;0,ISNUMBER(K58)=FALSE),AND(LEN(M58)&gt;0,ISNUMBER(M58)=FALSE),AND(LEN(Q58)&gt;0,ISNUMBER(Q58)=FALSE),AND(LEN(S58)&gt;0,ISNUMBER(S58)=FALSE),AND(LEN(Y58)&gt;0,ISNUMBER(Y58)=FALSE),AND(LEN(AA58)&gt;0,ISNUMBER(AA58)=FALSE),AND(LEN(U58)&gt;0,ISNUMBER(U58)=FALSE)),"Check date",IF(COUNT(G58,I58,K58,M58,Q58,S58,W58,Y58,AA58)=0,"",MIN(G58,I58,K58,M58,Q58,S58,W58,Y58,AA58)))</f>
        <v/>
      </c>
      <c r="AE58" s="25">
        <f>IF(ISNUMBER(AD58),AD58-IF(ISNUMBER(AB58),AB58,30),"")</f>
        <v/>
      </c>
      <c r="AF58" s="27">
        <f>IF(AD58="","",IF(ISNUMBER(AD58),AD58-TODAY(),"Check date"))</f>
        <v/>
      </c>
      <c r="AG58" s="28">
        <f>IF(AF58="","",IF(ISNUMBER(AF58),IF(AF58&lt;0,"Expired",IF(AF58&lt;=30,"Due ≤30 days",IF(AF58&lt;=90,"Due ≤90 days","OK"))),"Check date"))</f>
        <v/>
      </c>
      <c r="AH58" s="22" t="n"/>
      <c r="AI58" s="22" t="n"/>
      <c r="AJ58" s="22" t="n"/>
      <c r="AK58" s="22" t="n"/>
    </row>
    <row r="59">
      <c r="A59" s="22" t="n"/>
      <c r="B59" s="22" t="n"/>
      <c r="C59" s="22" t="n"/>
      <c r="D59" s="22" t="n"/>
      <c r="E59" s="22" t="n"/>
      <c r="F59" s="22" t="n"/>
      <c r="G59" s="23" t="n"/>
      <c r="H59" s="22" t="n"/>
      <c r="I59" s="23" t="n"/>
      <c r="J59" s="22" t="n"/>
      <c r="K59" s="23" t="n"/>
      <c r="L59" s="22" t="n"/>
      <c r="M59" s="23" t="n"/>
      <c r="N59" s="22" t="n"/>
      <c r="O59" s="22" t="n"/>
      <c r="P59" s="22" t="n"/>
      <c r="Q59" s="23" t="n"/>
      <c r="R59" s="22" t="n"/>
      <c r="S59" s="23" t="n"/>
      <c r="T59" s="22" t="n"/>
      <c r="U59" s="23" t="n"/>
      <c r="V59" s="24" t="n"/>
      <c r="W59" s="25">
        <f>IF(ISNUMBER(U59),U59+IF(ISNUMBER(V59),V59,120),"")</f>
        <v/>
      </c>
      <c r="X59" s="22" t="n"/>
      <c r="Y59" s="23" t="n"/>
      <c r="Z59" s="22" t="n"/>
      <c r="AA59" s="23" t="n"/>
      <c r="AB59" s="24" t="n"/>
      <c r="AC59" s="26">
        <f>IF(ISNUMBER(AD59)=FALSE,"",IF(G59=AD59,"State license",IF(I59=AD59,"DEA registration",IF(K59=AD59,"State CSR",IF(M59=AD59,"Board certification",IF(Q59=AD59,"Malpractice",IF(S59=AD59,"Life support",IF(W59=AD59,"CAQH re-attestation",IF(Y59=AD59,"Privileges reappointment","Payer recredentialing")))))))))</f>
        <v/>
      </c>
      <c r="AD59" s="25">
        <f>IF(OR(AND(LEN(G59)&gt;0,ISNUMBER(G59)=FALSE),AND(LEN(I59)&gt;0,ISNUMBER(I59)=FALSE),AND(LEN(K59)&gt;0,ISNUMBER(K59)=FALSE),AND(LEN(M59)&gt;0,ISNUMBER(M59)=FALSE),AND(LEN(Q59)&gt;0,ISNUMBER(Q59)=FALSE),AND(LEN(S59)&gt;0,ISNUMBER(S59)=FALSE),AND(LEN(Y59)&gt;0,ISNUMBER(Y59)=FALSE),AND(LEN(AA59)&gt;0,ISNUMBER(AA59)=FALSE),AND(LEN(U59)&gt;0,ISNUMBER(U59)=FALSE)),"Check date",IF(COUNT(G59,I59,K59,M59,Q59,S59,W59,Y59,AA59)=0,"",MIN(G59,I59,K59,M59,Q59,S59,W59,Y59,AA59)))</f>
        <v/>
      </c>
      <c r="AE59" s="25">
        <f>IF(ISNUMBER(AD59),AD59-IF(ISNUMBER(AB59),AB59,30),"")</f>
        <v/>
      </c>
      <c r="AF59" s="27">
        <f>IF(AD59="","",IF(ISNUMBER(AD59),AD59-TODAY(),"Check date"))</f>
        <v/>
      </c>
      <c r="AG59" s="28">
        <f>IF(AF59="","",IF(ISNUMBER(AF59),IF(AF59&lt;0,"Expired",IF(AF59&lt;=30,"Due ≤30 days",IF(AF59&lt;=90,"Due ≤90 days","OK"))),"Check date"))</f>
        <v/>
      </c>
      <c r="AH59" s="22" t="n"/>
      <c r="AI59" s="22" t="n"/>
      <c r="AJ59" s="22" t="n"/>
      <c r="AK59" s="22" t="n"/>
    </row>
    <row r="60">
      <c r="A60" s="22" t="n"/>
      <c r="B60" s="22" t="n"/>
      <c r="C60" s="22" t="n"/>
      <c r="D60" s="22" t="n"/>
      <c r="E60" s="22" t="n"/>
      <c r="F60" s="22" t="n"/>
      <c r="G60" s="23" t="n"/>
      <c r="H60" s="22" t="n"/>
      <c r="I60" s="23" t="n"/>
      <c r="J60" s="22" t="n"/>
      <c r="K60" s="23" t="n"/>
      <c r="L60" s="22" t="n"/>
      <c r="M60" s="23" t="n"/>
      <c r="N60" s="22" t="n"/>
      <c r="O60" s="22" t="n"/>
      <c r="P60" s="22" t="n"/>
      <c r="Q60" s="23" t="n"/>
      <c r="R60" s="22" t="n"/>
      <c r="S60" s="23" t="n"/>
      <c r="T60" s="22" t="n"/>
      <c r="U60" s="23" t="n"/>
      <c r="V60" s="24" t="n"/>
      <c r="W60" s="25">
        <f>IF(ISNUMBER(U60),U60+IF(ISNUMBER(V60),V60,120),"")</f>
        <v/>
      </c>
      <c r="X60" s="22" t="n"/>
      <c r="Y60" s="23" t="n"/>
      <c r="Z60" s="22" t="n"/>
      <c r="AA60" s="23" t="n"/>
      <c r="AB60" s="24" t="n"/>
      <c r="AC60" s="26">
        <f>IF(ISNUMBER(AD60)=FALSE,"",IF(G60=AD60,"State license",IF(I60=AD60,"DEA registration",IF(K60=AD60,"State CSR",IF(M60=AD60,"Board certification",IF(Q60=AD60,"Malpractice",IF(S60=AD60,"Life support",IF(W60=AD60,"CAQH re-attestation",IF(Y60=AD60,"Privileges reappointment","Payer recredentialing")))))))))</f>
        <v/>
      </c>
      <c r="AD60" s="25">
        <f>IF(OR(AND(LEN(G60)&gt;0,ISNUMBER(G60)=FALSE),AND(LEN(I60)&gt;0,ISNUMBER(I60)=FALSE),AND(LEN(K60)&gt;0,ISNUMBER(K60)=FALSE),AND(LEN(M60)&gt;0,ISNUMBER(M60)=FALSE),AND(LEN(Q60)&gt;0,ISNUMBER(Q60)=FALSE),AND(LEN(S60)&gt;0,ISNUMBER(S60)=FALSE),AND(LEN(Y60)&gt;0,ISNUMBER(Y60)=FALSE),AND(LEN(AA60)&gt;0,ISNUMBER(AA60)=FALSE),AND(LEN(U60)&gt;0,ISNUMBER(U60)=FALSE)),"Check date",IF(COUNT(G60,I60,K60,M60,Q60,S60,W60,Y60,AA60)=0,"",MIN(G60,I60,K60,M60,Q60,S60,W60,Y60,AA60)))</f>
        <v/>
      </c>
      <c r="AE60" s="25">
        <f>IF(ISNUMBER(AD60),AD60-IF(ISNUMBER(AB60),AB60,30),"")</f>
        <v/>
      </c>
      <c r="AF60" s="27">
        <f>IF(AD60="","",IF(ISNUMBER(AD60),AD60-TODAY(),"Check date"))</f>
        <v/>
      </c>
      <c r="AG60" s="28">
        <f>IF(AF60="","",IF(ISNUMBER(AF60),IF(AF60&lt;0,"Expired",IF(AF60&lt;=30,"Due ≤30 days",IF(AF60&lt;=90,"Due ≤90 days","OK"))),"Check date"))</f>
        <v/>
      </c>
      <c r="AH60" s="22" t="n"/>
      <c r="AI60" s="22" t="n"/>
      <c r="AJ60" s="22" t="n"/>
      <c r="AK60" s="22" t="n"/>
    </row>
    <row r="61">
      <c r="A61" s="22" t="n"/>
      <c r="B61" s="22" t="n"/>
      <c r="C61" s="22" t="n"/>
      <c r="D61" s="22" t="n"/>
      <c r="E61" s="22" t="n"/>
      <c r="F61" s="22" t="n"/>
      <c r="G61" s="23" t="n"/>
      <c r="H61" s="22" t="n"/>
      <c r="I61" s="23" t="n"/>
      <c r="J61" s="22" t="n"/>
      <c r="K61" s="23" t="n"/>
      <c r="L61" s="22" t="n"/>
      <c r="M61" s="23" t="n"/>
      <c r="N61" s="22" t="n"/>
      <c r="O61" s="22" t="n"/>
      <c r="P61" s="22" t="n"/>
      <c r="Q61" s="23" t="n"/>
      <c r="R61" s="22" t="n"/>
      <c r="S61" s="23" t="n"/>
      <c r="T61" s="22" t="n"/>
      <c r="U61" s="23" t="n"/>
      <c r="V61" s="24" t="n"/>
      <c r="W61" s="25">
        <f>IF(ISNUMBER(U61),U61+IF(ISNUMBER(V61),V61,120),"")</f>
        <v/>
      </c>
      <c r="X61" s="22" t="n"/>
      <c r="Y61" s="23" t="n"/>
      <c r="Z61" s="22" t="n"/>
      <c r="AA61" s="23" t="n"/>
      <c r="AB61" s="24" t="n"/>
      <c r="AC61" s="26">
        <f>IF(ISNUMBER(AD61)=FALSE,"",IF(G61=AD61,"State license",IF(I61=AD61,"DEA registration",IF(K61=AD61,"State CSR",IF(M61=AD61,"Board certification",IF(Q61=AD61,"Malpractice",IF(S61=AD61,"Life support",IF(W61=AD61,"CAQH re-attestation",IF(Y61=AD61,"Privileges reappointment","Payer recredentialing")))))))))</f>
        <v/>
      </c>
      <c r="AD61" s="25">
        <f>IF(OR(AND(LEN(G61)&gt;0,ISNUMBER(G61)=FALSE),AND(LEN(I61)&gt;0,ISNUMBER(I61)=FALSE),AND(LEN(K61)&gt;0,ISNUMBER(K61)=FALSE),AND(LEN(M61)&gt;0,ISNUMBER(M61)=FALSE),AND(LEN(Q61)&gt;0,ISNUMBER(Q61)=FALSE),AND(LEN(S61)&gt;0,ISNUMBER(S61)=FALSE),AND(LEN(Y61)&gt;0,ISNUMBER(Y61)=FALSE),AND(LEN(AA61)&gt;0,ISNUMBER(AA61)=FALSE),AND(LEN(U61)&gt;0,ISNUMBER(U61)=FALSE)),"Check date",IF(COUNT(G61,I61,K61,M61,Q61,S61,W61,Y61,AA61)=0,"",MIN(G61,I61,K61,M61,Q61,S61,W61,Y61,AA61)))</f>
        <v/>
      </c>
      <c r="AE61" s="25">
        <f>IF(ISNUMBER(AD61),AD61-IF(ISNUMBER(AB61),AB61,30),"")</f>
        <v/>
      </c>
      <c r="AF61" s="27">
        <f>IF(AD61="","",IF(ISNUMBER(AD61),AD61-TODAY(),"Check date"))</f>
        <v/>
      </c>
      <c r="AG61" s="28">
        <f>IF(AF61="","",IF(ISNUMBER(AF61),IF(AF61&lt;0,"Expired",IF(AF61&lt;=30,"Due ≤30 days",IF(AF61&lt;=90,"Due ≤90 days","OK"))),"Check date"))</f>
        <v/>
      </c>
      <c r="AH61" s="22" t="n"/>
      <c r="AI61" s="22" t="n"/>
      <c r="AJ61" s="22" t="n"/>
      <c r="AK61" s="22" t="n"/>
    </row>
    <row r="62">
      <c r="A62" s="22" t="n"/>
      <c r="B62" s="22" t="n"/>
      <c r="C62" s="22" t="n"/>
      <c r="D62" s="22" t="n"/>
      <c r="E62" s="22" t="n"/>
      <c r="F62" s="22" t="n"/>
      <c r="G62" s="23" t="n"/>
      <c r="H62" s="22" t="n"/>
      <c r="I62" s="23" t="n"/>
      <c r="J62" s="22" t="n"/>
      <c r="K62" s="23" t="n"/>
      <c r="L62" s="22" t="n"/>
      <c r="M62" s="23" t="n"/>
      <c r="N62" s="22" t="n"/>
      <c r="O62" s="22" t="n"/>
      <c r="P62" s="22" t="n"/>
      <c r="Q62" s="23" t="n"/>
      <c r="R62" s="22" t="n"/>
      <c r="S62" s="23" t="n"/>
      <c r="T62" s="22" t="n"/>
      <c r="U62" s="23" t="n"/>
      <c r="V62" s="24" t="n"/>
      <c r="W62" s="25">
        <f>IF(ISNUMBER(U62),U62+IF(ISNUMBER(V62),V62,120),"")</f>
        <v/>
      </c>
      <c r="X62" s="22" t="n"/>
      <c r="Y62" s="23" t="n"/>
      <c r="Z62" s="22" t="n"/>
      <c r="AA62" s="23" t="n"/>
      <c r="AB62" s="24" t="n"/>
      <c r="AC62" s="26">
        <f>IF(ISNUMBER(AD62)=FALSE,"",IF(G62=AD62,"State license",IF(I62=AD62,"DEA registration",IF(K62=AD62,"State CSR",IF(M62=AD62,"Board certification",IF(Q62=AD62,"Malpractice",IF(S62=AD62,"Life support",IF(W62=AD62,"CAQH re-attestation",IF(Y62=AD62,"Privileges reappointment","Payer recredentialing")))))))))</f>
        <v/>
      </c>
      <c r="AD62" s="25">
        <f>IF(OR(AND(LEN(G62)&gt;0,ISNUMBER(G62)=FALSE),AND(LEN(I62)&gt;0,ISNUMBER(I62)=FALSE),AND(LEN(K62)&gt;0,ISNUMBER(K62)=FALSE),AND(LEN(M62)&gt;0,ISNUMBER(M62)=FALSE),AND(LEN(Q62)&gt;0,ISNUMBER(Q62)=FALSE),AND(LEN(S62)&gt;0,ISNUMBER(S62)=FALSE),AND(LEN(Y62)&gt;0,ISNUMBER(Y62)=FALSE),AND(LEN(AA62)&gt;0,ISNUMBER(AA62)=FALSE),AND(LEN(U62)&gt;0,ISNUMBER(U62)=FALSE)),"Check date",IF(COUNT(G62,I62,K62,M62,Q62,S62,W62,Y62,AA62)=0,"",MIN(G62,I62,K62,M62,Q62,S62,W62,Y62,AA62)))</f>
        <v/>
      </c>
      <c r="AE62" s="25">
        <f>IF(ISNUMBER(AD62),AD62-IF(ISNUMBER(AB62),AB62,30),"")</f>
        <v/>
      </c>
      <c r="AF62" s="27">
        <f>IF(AD62="","",IF(ISNUMBER(AD62),AD62-TODAY(),"Check date"))</f>
        <v/>
      </c>
      <c r="AG62" s="28">
        <f>IF(AF62="","",IF(ISNUMBER(AF62),IF(AF62&lt;0,"Expired",IF(AF62&lt;=30,"Due ≤30 days",IF(AF62&lt;=90,"Due ≤90 days","OK"))),"Check date"))</f>
        <v/>
      </c>
      <c r="AH62" s="22" t="n"/>
      <c r="AI62" s="22" t="n"/>
      <c r="AJ62" s="22" t="n"/>
      <c r="AK62" s="22" t="n"/>
    </row>
    <row r="63">
      <c r="A63" s="22" t="n"/>
      <c r="B63" s="22" t="n"/>
      <c r="C63" s="22" t="n"/>
      <c r="D63" s="22" t="n"/>
      <c r="E63" s="22" t="n"/>
      <c r="F63" s="22" t="n"/>
      <c r="G63" s="23" t="n"/>
      <c r="H63" s="22" t="n"/>
      <c r="I63" s="23" t="n"/>
      <c r="J63" s="22" t="n"/>
      <c r="K63" s="23" t="n"/>
      <c r="L63" s="22" t="n"/>
      <c r="M63" s="23" t="n"/>
      <c r="N63" s="22" t="n"/>
      <c r="O63" s="22" t="n"/>
      <c r="P63" s="22" t="n"/>
      <c r="Q63" s="23" t="n"/>
      <c r="R63" s="22" t="n"/>
      <c r="S63" s="23" t="n"/>
      <c r="T63" s="22" t="n"/>
      <c r="U63" s="23" t="n"/>
      <c r="V63" s="24" t="n"/>
      <c r="W63" s="25">
        <f>IF(ISNUMBER(U63),U63+IF(ISNUMBER(V63),V63,120),"")</f>
        <v/>
      </c>
      <c r="X63" s="22" t="n"/>
      <c r="Y63" s="23" t="n"/>
      <c r="Z63" s="22" t="n"/>
      <c r="AA63" s="23" t="n"/>
      <c r="AB63" s="24" t="n"/>
      <c r="AC63" s="26">
        <f>IF(ISNUMBER(AD63)=FALSE,"",IF(G63=AD63,"State license",IF(I63=AD63,"DEA registration",IF(K63=AD63,"State CSR",IF(M63=AD63,"Board certification",IF(Q63=AD63,"Malpractice",IF(S63=AD63,"Life support",IF(W63=AD63,"CAQH re-attestation",IF(Y63=AD63,"Privileges reappointment","Payer recredentialing")))))))))</f>
        <v/>
      </c>
      <c r="AD63" s="25">
        <f>IF(OR(AND(LEN(G63)&gt;0,ISNUMBER(G63)=FALSE),AND(LEN(I63)&gt;0,ISNUMBER(I63)=FALSE),AND(LEN(K63)&gt;0,ISNUMBER(K63)=FALSE),AND(LEN(M63)&gt;0,ISNUMBER(M63)=FALSE),AND(LEN(Q63)&gt;0,ISNUMBER(Q63)=FALSE),AND(LEN(S63)&gt;0,ISNUMBER(S63)=FALSE),AND(LEN(Y63)&gt;0,ISNUMBER(Y63)=FALSE),AND(LEN(AA63)&gt;0,ISNUMBER(AA63)=FALSE),AND(LEN(U63)&gt;0,ISNUMBER(U63)=FALSE)),"Check date",IF(COUNT(G63,I63,K63,M63,Q63,S63,W63,Y63,AA63)=0,"",MIN(G63,I63,K63,M63,Q63,S63,W63,Y63,AA63)))</f>
        <v/>
      </c>
      <c r="AE63" s="25">
        <f>IF(ISNUMBER(AD63),AD63-IF(ISNUMBER(AB63),AB63,30),"")</f>
        <v/>
      </c>
      <c r="AF63" s="27">
        <f>IF(AD63="","",IF(ISNUMBER(AD63),AD63-TODAY(),"Check date"))</f>
        <v/>
      </c>
      <c r="AG63" s="28">
        <f>IF(AF63="","",IF(ISNUMBER(AF63),IF(AF63&lt;0,"Expired",IF(AF63&lt;=30,"Due ≤30 days",IF(AF63&lt;=90,"Due ≤90 days","OK"))),"Check date"))</f>
        <v/>
      </c>
      <c r="AH63" s="22" t="n"/>
      <c r="AI63" s="22" t="n"/>
      <c r="AJ63" s="22" t="n"/>
      <c r="AK63" s="22" t="n"/>
    </row>
    <row r="64">
      <c r="A64" s="22" t="n"/>
      <c r="B64" s="22" t="n"/>
      <c r="C64" s="22" t="n"/>
      <c r="D64" s="22" t="n"/>
      <c r="E64" s="22" t="n"/>
      <c r="F64" s="22" t="n"/>
      <c r="G64" s="23" t="n"/>
      <c r="H64" s="22" t="n"/>
      <c r="I64" s="23" t="n"/>
      <c r="J64" s="22" t="n"/>
      <c r="K64" s="23" t="n"/>
      <c r="L64" s="22" t="n"/>
      <c r="M64" s="23" t="n"/>
      <c r="N64" s="22" t="n"/>
      <c r="O64" s="22" t="n"/>
      <c r="P64" s="22" t="n"/>
      <c r="Q64" s="23" t="n"/>
      <c r="R64" s="22" t="n"/>
      <c r="S64" s="23" t="n"/>
      <c r="T64" s="22" t="n"/>
      <c r="U64" s="23" t="n"/>
      <c r="V64" s="24" t="n"/>
      <c r="W64" s="25">
        <f>IF(ISNUMBER(U64),U64+IF(ISNUMBER(V64),V64,120),"")</f>
        <v/>
      </c>
      <c r="X64" s="22" t="n"/>
      <c r="Y64" s="23" t="n"/>
      <c r="Z64" s="22" t="n"/>
      <c r="AA64" s="23" t="n"/>
      <c r="AB64" s="24" t="n"/>
      <c r="AC64" s="26">
        <f>IF(ISNUMBER(AD64)=FALSE,"",IF(G64=AD64,"State license",IF(I64=AD64,"DEA registration",IF(K64=AD64,"State CSR",IF(M64=AD64,"Board certification",IF(Q64=AD64,"Malpractice",IF(S64=AD64,"Life support",IF(W64=AD64,"CAQH re-attestation",IF(Y64=AD64,"Privileges reappointment","Payer recredentialing")))))))))</f>
        <v/>
      </c>
      <c r="AD64" s="25">
        <f>IF(OR(AND(LEN(G64)&gt;0,ISNUMBER(G64)=FALSE),AND(LEN(I64)&gt;0,ISNUMBER(I64)=FALSE),AND(LEN(K64)&gt;0,ISNUMBER(K64)=FALSE),AND(LEN(M64)&gt;0,ISNUMBER(M64)=FALSE),AND(LEN(Q64)&gt;0,ISNUMBER(Q64)=FALSE),AND(LEN(S64)&gt;0,ISNUMBER(S64)=FALSE),AND(LEN(Y64)&gt;0,ISNUMBER(Y64)=FALSE),AND(LEN(AA64)&gt;0,ISNUMBER(AA64)=FALSE),AND(LEN(U64)&gt;0,ISNUMBER(U64)=FALSE)),"Check date",IF(COUNT(G64,I64,K64,M64,Q64,S64,W64,Y64,AA64)=0,"",MIN(G64,I64,K64,M64,Q64,S64,W64,Y64,AA64)))</f>
        <v/>
      </c>
      <c r="AE64" s="25">
        <f>IF(ISNUMBER(AD64),AD64-IF(ISNUMBER(AB64),AB64,30),"")</f>
        <v/>
      </c>
      <c r="AF64" s="27">
        <f>IF(AD64="","",IF(ISNUMBER(AD64),AD64-TODAY(),"Check date"))</f>
        <v/>
      </c>
      <c r="AG64" s="28">
        <f>IF(AF64="","",IF(ISNUMBER(AF64),IF(AF64&lt;0,"Expired",IF(AF64&lt;=30,"Due ≤30 days",IF(AF64&lt;=90,"Due ≤90 days","OK"))),"Check date"))</f>
        <v/>
      </c>
      <c r="AH64" s="22" t="n"/>
      <c r="AI64" s="22" t="n"/>
      <c r="AJ64" s="22" t="n"/>
      <c r="AK64" s="22" t="n"/>
    </row>
    <row r="65">
      <c r="A65" s="22" t="n"/>
      <c r="B65" s="22" t="n"/>
      <c r="C65" s="22" t="n"/>
      <c r="D65" s="22" t="n"/>
      <c r="E65" s="22" t="n"/>
      <c r="F65" s="22" t="n"/>
      <c r="G65" s="23" t="n"/>
      <c r="H65" s="22" t="n"/>
      <c r="I65" s="23" t="n"/>
      <c r="J65" s="22" t="n"/>
      <c r="K65" s="23" t="n"/>
      <c r="L65" s="22" t="n"/>
      <c r="M65" s="23" t="n"/>
      <c r="N65" s="22" t="n"/>
      <c r="O65" s="22" t="n"/>
      <c r="P65" s="22" t="n"/>
      <c r="Q65" s="23" t="n"/>
      <c r="R65" s="22" t="n"/>
      <c r="S65" s="23" t="n"/>
      <c r="T65" s="22" t="n"/>
      <c r="U65" s="23" t="n"/>
      <c r="V65" s="24" t="n"/>
      <c r="W65" s="25">
        <f>IF(ISNUMBER(U65),U65+IF(ISNUMBER(V65),V65,120),"")</f>
        <v/>
      </c>
      <c r="X65" s="22" t="n"/>
      <c r="Y65" s="23" t="n"/>
      <c r="Z65" s="22" t="n"/>
      <c r="AA65" s="23" t="n"/>
      <c r="AB65" s="24" t="n"/>
      <c r="AC65" s="26">
        <f>IF(ISNUMBER(AD65)=FALSE,"",IF(G65=AD65,"State license",IF(I65=AD65,"DEA registration",IF(K65=AD65,"State CSR",IF(M65=AD65,"Board certification",IF(Q65=AD65,"Malpractice",IF(S65=AD65,"Life support",IF(W65=AD65,"CAQH re-attestation",IF(Y65=AD65,"Privileges reappointment","Payer recredentialing")))))))))</f>
        <v/>
      </c>
      <c r="AD65" s="25">
        <f>IF(OR(AND(LEN(G65)&gt;0,ISNUMBER(G65)=FALSE),AND(LEN(I65)&gt;0,ISNUMBER(I65)=FALSE),AND(LEN(K65)&gt;0,ISNUMBER(K65)=FALSE),AND(LEN(M65)&gt;0,ISNUMBER(M65)=FALSE),AND(LEN(Q65)&gt;0,ISNUMBER(Q65)=FALSE),AND(LEN(S65)&gt;0,ISNUMBER(S65)=FALSE),AND(LEN(Y65)&gt;0,ISNUMBER(Y65)=FALSE),AND(LEN(AA65)&gt;0,ISNUMBER(AA65)=FALSE),AND(LEN(U65)&gt;0,ISNUMBER(U65)=FALSE)),"Check date",IF(COUNT(G65,I65,K65,M65,Q65,S65,W65,Y65,AA65)=0,"",MIN(G65,I65,K65,M65,Q65,S65,W65,Y65,AA65)))</f>
        <v/>
      </c>
      <c r="AE65" s="25">
        <f>IF(ISNUMBER(AD65),AD65-IF(ISNUMBER(AB65),AB65,30),"")</f>
        <v/>
      </c>
      <c r="AF65" s="27">
        <f>IF(AD65="","",IF(ISNUMBER(AD65),AD65-TODAY(),"Check date"))</f>
        <v/>
      </c>
      <c r="AG65" s="28">
        <f>IF(AF65="","",IF(ISNUMBER(AF65),IF(AF65&lt;0,"Expired",IF(AF65&lt;=30,"Due ≤30 days",IF(AF65&lt;=90,"Due ≤90 days","OK"))),"Check date"))</f>
        <v/>
      </c>
      <c r="AH65" s="22" t="n"/>
      <c r="AI65" s="22" t="n"/>
      <c r="AJ65" s="22" t="n"/>
      <c r="AK65" s="22" t="n"/>
    </row>
    <row r="66">
      <c r="A66" s="22" t="n"/>
      <c r="B66" s="22" t="n"/>
      <c r="C66" s="22" t="n"/>
      <c r="D66" s="22" t="n"/>
      <c r="E66" s="22" t="n"/>
      <c r="F66" s="22" t="n"/>
      <c r="G66" s="23" t="n"/>
      <c r="H66" s="22" t="n"/>
      <c r="I66" s="23" t="n"/>
      <c r="J66" s="22" t="n"/>
      <c r="K66" s="23" t="n"/>
      <c r="L66" s="22" t="n"/>
      <c r="M66" s="23" t="n"/>
      <c r="N66" s="22" t="n"/>
      <c r="O66" s="22" t="n"/>
      <c r="P66" s="22" t="n"/>
      <c r="Q66" s="23" t="n"/>
      <c r="R66" s="22" t="n"/>
      <c r="S66" s="23" t="n"/>
      <c r="T66" s="22" t="n"/>
      <c r="U66" s="23" t="n"/>
      <c r="V66" s="24" t="n"/>
      <c r="W66" s="25">
        <f>IF(ISNUMBER(U66),U66+IF(ISNUMBER(V66),V66,120),"")</f>
        <v/>
      </c>
      <c r="X66" s="22" t="n"/>
      <c r="Y66" s="23" t="n"/>
      <c r="Z66" s="22" t="n"/>
      <c r="AA66" s="23" t="n"/>
      <c r="AB66" s="24" t="n"/>
      <c r="AC66" s="26">
        <f>IF(ISNUMBER(AD66)=FALSE,"",IF(G66=AD66,"State license",IF(I66=AD66,"DEA registration",IF(K66=AD66,"State CSR",IF(M66=AD66,"Board certification",IF(Q66=AD66,"Malpractice",IF(S66=AD66,"Life support",IF(W66=AD66,"CAQH re-attestation",IF(Y66=AD66,"Privileges reappointment","Payer recredentialing")))))))))</f>
        <v/>
      </c>
      <c r="AD66" s="25">
        <f>IF(OR(AND(LEN(G66)&gt;0,ISNUMBER(G66)=FALSE),AND(LEN(I66)&gt;0,ISNUMBER(I66)=FALSE),AND(LEN(K66)&gt;0,ISNUMBER(K66)=FALSE),AND(LEN(M66)&gt;0,ISNUMBER(M66)=FALSE),AND(LEN(Q66)&gt;0,ISNUMBER(Q66)=FALSE),AND(LEN(S66)&gt;0,ISNUMBER(S66)=FALSE),AND(LEN(Y66)&gt;0,ISNUMBER(Y66)=FALSE),AND(LEN(AA66)&gt;0,ISNUMBER(AA66)=FALSE),AND(LEN(U66)&gt;0,ISNUMBER(U66)=FALSE)),"Check date",IF(COUNT(G66,I66,K66,M66,Q66,S66,W66,Y66,AA66)=0,"",MIN(G66,I66,K66,M66,Q66,S66,W66,Y66,AA66)))</f>
        <v/>
      </c>
      <c r="AE66" s="25">
        <f>IF(ISNUMBER(AD66),AD66-IF(ISNUMBER(AB66),AB66,30),"")</f>
        <v/>
      </c>
      <c r="AF66" s="27">
        <f>IF(AD66="","",IF(ISNUMBER(AD66),AD66-TODAY(),"Check date"))</f>
        <v/>
      </c>
      <c r="AG66" s="28">
        <f>IF(AF66="","",IF(ISNUMBER(AF66),IF(AF66&lt;0,"Expired",IF(AF66&lt;=30,"Due ≤30 days",IF(AF66&lt;=90,"Due ≤90 days","OK"))),"Check date"))</f>
        <v/>
      </c>
      <c r="AH66" s="22" t="n"/>
      <c r="AI66" s="22" t="n"/>
      <c r="AJ66" s="22" t="n"/>
      <c r="AK66" s="22" t="n"/>
    </row>
    <row r="67">
      <c r="A67" s="22" t="n"/>
      <c r="B67" s="22" t="n"/>
      <c r="C67" s="22" t="n"/>
      <c r="D67" s="22" t="n"/>
      <c r="E67" s="22" t="n"/>
      <c r="F67" s="22" t="n"/>
      <c r="G67" s="23" t="n"/>
      <c r="H67" s="22" t="n"/>
      <c r="I67" s="23" t="n"/>
      <c r="J67" s="22" t="n"/>
      <c r="K67" s="23" t="n"/>
      <c r="L67" s="22" t="n"/>
      <c r="M67" s="23" t="n"/>
      <c r="N67" s="22" t="n"/>
      <c r="O67" s="22" t="n"/>
      <c r="P67" s="22" t="n"/>
      <c r="Q67" s="23" t="n"/>
      <c r="R67" s="22" t="n"/>
      <c r="S67" s="23" t="n"/>
      <c r="T67" s="22" t="n"/>
      <c r="U67" s="23" t="n"/>
      <c r="V67" s="24" t="n"/>
      <c r="W67" s="25">
        <f>IF(ISNUMBER(U67),U67+IF(ISNUMBER(V67),V67,120),"")</f>
        <v/>
      </c>
      <c r="X67" s="22" t="n"/>
      <c r="Y67" s="23" t="n"/>
      <c r="Z67" s="22" t="n"/>
      <c r="AA67" s="23" t="n"/>
      <c r="AB67" s="24" t="n"/>
      <c r="AC67" s="26">
        <f>IF(ISNUMBER(AD67)=FALSE,"",IF(G67=AD67,"State license",IF(I67=AD67,"DEA registration",IF(K67=AD67,"State CSR",IF(M67=AD67,"Board certification",IF(Q67=AD67,"Malpractice",IF(S67=AD67,"Life support",IF(W67=AD67,"CAQH re-attestation",IF(Y67=AD67,"Privileges reappointment","Payer recredentialing")))))))))</f>
        <v/>
      </c>
      <c r="AD67" s="25">
        <f>IF(OR(AND(LEN(G67)&gt;0,ISNUMBER(G67)=FALSE),AND(LEN(I67)&gt;0,ISNUMBER(I67)=FALSE),AND(LEN(K67)&gt;0,ISNUMBER(K67)=FALSE),AND(LEN(M67)&gt;0,ISNUMBER(M67)=FALSE),AND(LEN(Q67)&gt;0,ISNUMBER(Q67)=FALSE),AND(LEN(S67)&gt;0,ISNUMBER(S67)=FALSE),AND(LEN(Y67)&gt;0,ISNUMBER(Y67)=FALSE),AND(LEN(AA67)&gt;0,ISNUMBER(AA67)=FALSE),AND(LEN(U67)&gt;0,ISNUMBER(U67)=FALSE)),"Check date",IF(COUNT(G67,I67,K67,M67,Q67,S67,W67,Y67,AA67)=0,"",MIN(G67,I67,K67,M67,Q67,S67,W67,Y67,AA67)))</f>
        <v/>
      </c>
      <c r="AE67" s="25">
        <f>IF(ISNUMBER(AD67),AD67-IF(ISNUMBER(AB67),AB67,30),"")</f>
        <v/>
      </c>
      <c r="AF67" s="27">
        <f>IF(AD67="","",IF(ISNUMBER(AD67),AD67-TODAY(),"Check date"))</f>
        <v/>
      </c>
      <c r="AG67" s="28">
        <f>IF(AF67="","",IF(ISNUMBER(AF67),IF(AF67&lt;0,"Expired",IF(AF67&lt;=30,"Due ≤30 days",IF(AF67&lt;=90,"Due ≤90 days","OK"))),"Check date"))</f>
        <v/>
      </c>
      <c r="AH67" s="22" t="n"/>
      <c r="AI67" s="22" t="n"/>
      <c r="AJ67" s="22" t="n"/>
      <c r="AK67" s="22" t="n"/>
    </row>
    <row r="68">
      <c r="A68" s="22" t="n"/>
      <c r="B68" s="22" t="n"/>
      <c r="C68" s="22" t="n"/>
      <c r="D68" s="22" t="n"/>
      <c r="E68" s="22" t="n"/>
      <c r="F68" s="22" t="n"/>
      <c r="G68" s="23" t="n"/>
      <c r="H68" s="22" t="n"/>
      <c r="I68" s="23" t="n"/>
      <c r="J68" s="22" t="n"/>
      <c r="K68" s="23" t="n"/>
      <c r="L68" s="22" t="n"/>
      <c r="M68" s="23" t="n"/>
      <c r="N68" s="22" t="n"/>
      <c r="O68" s="22" t="n"/>
      <c r="P68" s="22" t="n"/>
      <c r="Q68" s="23" t="n"/>
      <c r="R68" s="22" t="n"/>
      <c r="S68" s="23" t="n"/>
      <c r="T68" s="22" t="n"/>
      <c r="U68" s="23" t="n"/>
      <c r="V68" s="24" t="n"/>
      <c r="W68" s="25">
        <f>IF(ISNUMBER(U68),U68+IF(ISNUMBER(V68),V68,120),"")</f>
        <v/>
      </c>
      <c r="X68" s="22" t="n"/>
      <c r="Y68" s="23" t="n"/>
      <c r="Z68" s="22" t="n"/>
      <c r="AA68" s="23" t="n"/>
      <c r="AB68" s="24" t="n"/>
      <c r="AC68" s="26">
        <f>IF(ISNUMBER(AD68)=FALSE,"",IF(G68=AD68,"State license",IF(I68=AD68,"DEA registration",IF(K68=AD68,"State CSR",IF(M68=AD68,"Board certification",IF(Q68=AD68,"Malpractice",IF(S68=AD68,"Life support",IF(W68=AD68,"CAQH re-attestation",IF(Y68=AD68,"Privileges reappointment","Payer recredentialing")))))))))</f>
        <v/>
      </c>
      <c r="AD68" s="25">
        <f>IF(OR(AND(LEN(G68)&gt;0,ISNUMBER(G68)=FALSE),AND(LEN(I68)&gt;0,ISNUMBER(I68)=FALSE),AND(LEN(K68)&gt;0,ISNUMBER(K68)=FALSE),AND(LEN(M68)&gt;0,ISNUMBER(M68)=FALSE),AND(LEN(Q68)&gt;0,ISNUMBER(Q68)=FALSE),AND(LEN(S68)&gt;0,ISNUMBER(S68)=FALSE),AND(LEN(Y68)&gt;0,ISNUMBER(Y68)=FALSE),AND(LEN(AA68)&gt;0,ISNUMBER(AA68)=FALSE),AND(LEN(U68)&gt;0,ISNUMBER(U68)=FALSE)),"Check date",IF(COUNT(G68,I68,K68,M68,Q68,S68,W68,Y68,AA68)=0,"",MIN(G68,I68,K68,M68,Q68,S68,W68,Y68,AA68)))</f>
        <v/>
      </c>
      <c r="AE68" s="25">
        <f>IF(ISNUMBER(AD68),AD68-IF(ISNUMBER(AB68),AB68,30),"")</f>
        <v/>
      </c>
      <c r="AF68" s="27">
        <f>IF(AD68="","",IF(ISNUMBER(AD68),AD68-TODAY(),"Check date"))</f>
        <v/>
      </c>
      <c r="AG68" s="28">
        <f>IF(AF68="","",IF(ISNUMBER(AF68),IF(AF68&lt;0,"Expired",IF(AF68&lt;=30,"Due ≤30 days",IF(AF68&lt;=90,"Due ≤90 days","OK"))),"Check date"))</f>
        <v/>
      </c>
      <c r="AH68" s="22" t="n"/>
      <c r="AI68" s="22" t="n"/>
      <c r="AJ68" s="22" t="n"/>
      <c r="AK68" s="22" t="n"/>
    </row>
    <row r="69">
      <c r="A69" s="22" t="n"/>
      <c r="B69" s="22" t="n"/>
      <c r="C69" s="22" t="n"/>
      <c r="D69" s="22" t="n"/>
      <c r="E69" s="22" t="n"/>
      <c r="F69" s="22" t="n"/>
      <c r="G69" s="23" t="n"/>
      <c r="H69" s="22" t="n"/>
      <c r="I69" s="23" t="n"/>
      <c r="J69" s="22" t="n"/>
      <c r="K69" s="23" t="n"/>
      <c r="L69" s="22" t="n"/>
      <c r="M69" s="23" t="n"/>
      <c r="N69" s="22" t="n"/>
      <c r="O69" s="22" t="n"/>
      <c r="P69" s="22" t="n"/>
      <c r="Q69" s="23" t="n"/>
      <c r="R69" s="22" t="n"/>
      <c r="S69" s="23" t="n"/>
      <c r="T69" s="22" t="n"/>
      <c r="U69" s="23" t="n"/>
      <c r="V69" s="24" t="n"/>
      <c r="W69" s="25">
        <f>IF(ISNUMBER(U69),U69+IF(ISNUMBER(V69),V69,120),"")</f>
        <v/>
      </c>
      <c r="X69" s="22" t="n"/>
      <c r="Y69" s="23" t="n"/>
      <c r="Z69" s="22" t="n"/>
      <c r="AA69" s="23" t="n"/>
      <c r="AB69" s="24" t="n"/>
      <c r="AC69" s="26">
        <f>IF(ISNUMBER(AD69)=FALSE,"",IF(G69=AD69,"State license",IF(I69=AD69,"DEA registration",IF(K69=AD69,"State CSR",IF(M69=AD69,"Board certification",IF(Q69=AD69,"Malpractice",IF(S69=AD69,"Life support",IF(W69=AD69,"CAQH re-attestation",IF(Y69=AD69,"Privileges reappointment","Payer recredentialing")))))))))</f>
        <v/>
      </c>
      <c r="AD69" s="25">
        <f>IF(OR(AND(LEN(G69)&gt;0,ISNUMBER(G69)=FALSE),AND(LEN(I69)&gt;0,ISNUMBER(I69)=FALSE),AND(LEN(K69)&gt;0,ISNUMBER(K69)=FALSE),AND(LEN(M69)&gt;0,ISNUMBER(M69)=FALSE),AND(LEN(Q69)&gt;0,ISNUMBER(Q69)=FALSE),AND(LEN(S69)&gt;0,ISNUMBER(S69)=FALSE),AND(LEN(Y69)&gt;0,ISNUMBER(Y69)=FALSE),AND(LEN(AA69)&gt;0,ISNUMBER(AA69)=FALSE),AND(LEN(U69)&gt;0,ISNUMBER(U69)=FALSE)),"Check date",IF(COUNT(G69,I69,K69,M69,Q69,S69,W69,Y69,AA69)=0,"",MIN(G69,I69,K69,M69,Q69,S69,W69,Y69,AA69)))</f>
        <v/>
      </c>
      <c r="AE69" s="25">
        <f>IF(ISNUMBER(AD69),AD69-IF(ISNUMBER(AB69),AB69,30),"")</f>
        <v/>
      </c>
      <c r="AF69" s="27">
        <f>IF(AD69="","",IF(ISNUMBER(AD69),AD69-TODAY(),"Check date"))</f>
        <v/>
      </c>
      <c r="AG69" s="28">
        <f>IF(AF69="","",IF(ISNUMBER(AF69),IF(AF69&lt;0,"Expired",IF(AF69&lt;=30,"Due ≤30 days",IF(AF69&lt;=90,"Due ≤90 days","OK"))),"Check date"))</f>
        <v/>
      </c>
      <c r="AH69" s="22" t="n"/>
      <c r="AI69" s="22" t="n"/>
      <c r="AJ69" s="22" t="n"/>
      <c r="AK69" s="22" t="n"/>
    </row>
    <row r="70">
      <c r="A70" s="22" t="n"/>
      <c r="B70" s="22" t="n"/>
      <c r="C70" s="22" t="n"/>
      <c r="D70" s="22" t="n"/>
      <c r="E70" s="22" t="n"/>
      <c r="F70" s="22" t="n"/>
      <c r="G70" s="23" t="n"/>
      <c r="H70" s="22" t="n"/>
      <c r="I70" s="23" t="n"/>
      <c r="J70" s="22" t="n"/>
      <c r="K70" s="23" t="n"/>
      <c r="L70" s="22" t="n"/>
      <c r="M70" s="23" t="n"/>
      <c r="N70" s="22" t="n"/>
      <c r="O70" s="22" t="n"/>
      <c r="P70" s="22" t="n"/>
      <c r="Q70" s="23" t="n"/>
      <c r="R70" s="22" t="n"/>
      <c r="S70" s="23" t="n"/>
      <c r="T70" s="22" t="n"/>
      <c r="U70" s="23" t="n"/>
      <c r="V70" s="24" t="n"/>
      <c r="W70" s="25">
        <f>IF(ISNUMBER(U70),U70+IF(ISNUMBER(V70),V70,120),"")</f>
        <v/>
      </c>
      <c r="X70" s="22" t="n"/>
      <c r="Y70" s="23" t="n"/>
      <c r="Z70" s="22" t="n"/>
      <c r="AA70" s="23" t="n"/>
      <c r="AB70" s="24" t="n"/>
      <c r="AC70" s="26">
        <f>IF(ISNUMBER(AD70)=FALSE,"",IF(G70=AD70,"State license",IF(I70=AD70,"DEA registration",IF(K70=AD70,"State CSR",IF(M70=AD70,"Board certification",IF(Q70=AD70,"Malpractice",IF(S70=AD70,"Life support",IF(W70=AD70,"CAQH re-attestation",IF(Y70=AD70,"Privileges reappointment","Payer recredentialing")))))))))</f>
        <v/>
      </c>
      <c r="AD70" s="25">
        <f>IF(OR(AND(LEN(G70)&gt;0,ISNUMBER(G70)=FALSE),AND(LEN(I70)&gt;0,ISNUMBER(I70)=FALSE),AND(LEN(K70)&gt;0,ISNUMBER(K70)=FALSE),AND(LEN(M70)&gt;0,ISNUMBER(M70)=FALSE),AND(LEN(Q70)&gt;0,ISNUMBER(Q70)=FALSE),AND(LEN(S70)&gt;0,ISNUMBER(S70)=FALSE),AND(LEN(Y70)&gt;0,ISNUMBER(Y70)=FALSE),AND(LEN(AA70)&gt;0,ISNUMBER(AA70)=FALSE),AND(LEN(U70)&gt;0,ISNUMBER(U70)=FALSE)),"Check date",IF(COUNT(G70,I70,K70,M70,Q70,S70,W70,Y70,AA70)=0,"",MIN(G70,I70,K70,M70,Q70,S70,W70,Y70,AA70)))</f>
        <v/>
      </c>
      <c r="AE70" s="25">
        <f>IF(ISNUMBER(AD70),AD70-IF(ISNUMBER(AB70),AB70,30),"")</f>
        <v/>
      </c>
      <c r="AF70" s="27">
        <f>IF(AD70="","",IF(ISNUMBER(AD70),AD70-TODAY(),"Check date"))</f>
        <v/>
      </c>
      <c r="AG70" s="28">
        <f>IF(AF70="","",IF(ISNUMBER(AF70),IF(AF70&lt;0,"Expired",IF(AF70&lt;=30,"Due ≤30 days",IF(AF70&lt;=90,"Due ≤90 days","OK"))),"Check date"))</f>
        <v/>
      </c>
      <c r="AH70" s="22" t="n"/>
      <c r="AI70" s="22" t="n"/>
      <c r="AJ70" s="22" t="n"/>
      <c r="AK70" s="22" t="n"/>
    </row>
    <row r="71">
      <c r="A71" s="22" t="n"/>
      <c r="B71" s="22" t="n"/>
      <c r="C71" s="22" t="n"/>
      <c r="D71" s="22" t="n"/>
      <c r="E71" s="22" t="n"/>
      <c r="F71" s="22" t="n"/>
      <c r="G71" s="23" t="n"/>
      <c r="H71" s="22" t="n"/>
      <c r="I71" s="23" t="n"/>
      <c r="J71" s="22" t="n"/>
      <c r="K71" s="23" t="n"/>
      <c r="L71" s="22" t="n"/>
      <c r="M71" s="23" t="n"/>
      <c r="N71" s="22" t="n"/>
      <c r="O71" s="22" t="n"/>
      <c r="P71" s="22" t="n"/>
      <c r="Q71" s="23" t="n"/>
      <c r="R71" s="22" t="n"/>
      <c r="S71" s="23" t="n"/>
      <c r="T71" s="22" t="n"/>
      <c r="U71" s="23" t="n"/>
      <c r="V71" s="24" t="n"/>
      <c r="W71" s="25">
        <f>IF(ISNUMBER(U71),U71+IF(ISNUMBER(V71),V71,120),"")</f>
        <v/>
      </c>
      <c r="X71" s="22" t="n"/>
      <c r="Y71" s="23" t="n"/>
      <c r="Z71" s="22" t="n"/>
      <c r="AA71" s="23" t="n"/>
      <c r="AB71" s="24" t="n"/>
      <c r="AC71" s="26">
        <f>IF(ISNUMBER(AD71)=FALSE,"",IF(G71=AD71,"State license",IF(I71=AD71,"DEA registration",IF(K71=AD71,"State CSR",IF(M71=AD71,"Board certification",IF(Q71=AD71,"Malpractice",IF(S71=AD71,"Life support",IF(W71=AD71,"CAQH re-attestation",IF(Y71=AD71,"Privileges reappointment","Payer recredentialing")))))))))</f>
        <v/>
      </c>
      <c r="AD71" s="25">
        <f>IF(OR(AND(LEN(G71)&gt;0,ISNUMBER(G71)=FALSE),AND(LEN(I71)&gt;0,ISNUMBER(I71)=FALSE),AND(LEN(K71)&gt;0,ISNUMBER(K71)=FALSE),AND(LEN(M71)&gt;0,ISNUMBER(M71)=FALSE),AND(LEN(Q71)&gt;0,ISNUMBER(Q71)=FALSE),AND(LEN(S71)&gt;0,ISNUMBER(S71)=FALSE),AND(LEN(Y71)&gt;0,ISNUMBER(Y71)=FALSE),AND(LEN(AA71)&gt;0,ISNUMBER(AA71)=FALSE),AND(LEN(U71)&gt;0,ISNUMBER(U71)=FALSE)),"Check date",IF(COUNT(G71,I71,K71,M71,Q71,S71,W71,Y71,AA71)=0,"",MIN(G71,I71,K71,M71,Q71,S71,W71,Y71,AA71)))</f>
        <v/>
      </c>
      <c r="AE71" s="25">
        <f>IF(ISNUMBER(AD71),AD71-IF(ISNUMBER(AB71),AB71,30),"")</f>
        <v/>
      </c>
      <c r="AF71" s="27">
        <f>IF(AD71="","",IF(ISNUMBER(AD71),AD71-TODAY(),"Check date"))</f>
        <v/>
      </c>
      <c r="AG71" s="28">
        <f>IF(AF71="","",IF(ISNUMBER(AF71),IF(AF71&lt;0,"Expired",IF(AF71&lt;=30,"Due ≤30 days",IF(AF71&lt;=90,"Due ≤90 days","OK"))),"Check date"))</f>
        <v/>
      </c>
      <c r="AH71" s="22" t="n"/>
      <c r="AI71" s="22" t="n"/>
      <c r="AJ71" s="22" t="n"/>
      <c r="AK71" s="22" t="n"/>
    </row>
    <row r="72">
      <c r="A72" s="22" t="n"/>
      <c r="B72" s="22" t="n"/>
      <c r="C72" s="22" t="n"/>
      <c r="D72" s="22" t="n"/>
      <c r="E72" s="22" t="n"/>
      <c r="F72" s="22" t="n"/>
      <c r="G72" s="23" t="n"/>
      <c r="H72" s="22" t="n"/>
      <c r="I72" s="23" t="n"/>
      <c r="J72" s="22" t="n"/>
      <c r="K72" s="23" t="n"/>
      <c r="L72" s="22" t="n"/>
      <c r="M72" s="23" t="n"/>
      <c r="N72" s="22" t="n"/>
      <c r="O72" s="22" t="n"/>
      <c r="P72" s="22" t="n"/>
      <c r="Q72" s="23" t="n"/>
      <c r="R72" s="22" t="n"/>
      <c r="S72" s="23" t="n"/>
      <c r="T72" s="22" t="n"/>
      <c r="U72" s="23" t="n"/>
      <c r="V72" s="24" t="n"/>
      <c r="W72" s="25">
        <f>IF(ISNUMBER(U72),U72+IF(ISNUMBER(V72),V72,120),"")</f>
        <v/>
      </c>
      <c r="X72" s="22" t="n"/>
      <c r="Y72" s="23" t="n"/>
      <c r="Z72" s="22" t="n"/>
      <c r="AA72" s="23" t="n"/>
      <c r="AB72" s="24" t="n"/>
      <c r="AC72" s="26">
        <f>IF(ISNUMBER(AD72)=FALSE,"",IF(G72=AD72,"State license",IF(I72=AD72,"DEA registration",IF(K72=AD72,"State CSR",IF(M72=AD72,"Board certification",IF(Q72=AD72,"Malpractice",IF(S72=AD72,"Life support",IF(W72=AD72,"CAQH re-attestation",IF(Y72=AD72,"Privileges reappointment","Payer recredentialing")))))))))</f>
        <v/>
      </c>
      <c r="AD72" s="25">
        <f>IF(OR(AND(LEN(G72)&gt;0,ISNUMBER(G72)=FALSE),AND(LEN(I72)&gt;0,ISNUMBER(I72)=FALSE),AND(LEN(K72)&gt;0,ISNUMBER(K72)=FALSE),AND(LEN(M72)&gt;0,ISNUMBER(M72)=FALSE),AND(LEN(Q72)&gt;0,ISNUMBER(Q72)=FALSE),AND(LEN(S72)&gt;0,ISNUMBER(S72)=FALSE),AND(LEN(Y72)&gt;0,ISNUMBER(Y72)=FALSE),AND(LEN(AA72)&gt;0,ISNUMBER(AA72)=FALSE),AND(LEN(U72)&gt;0,ISNUMBER(U72)=FALSE)),"Check date",IF(COUNT(G72,I72,K72,M72,Q72,S72,W72,Y72,AA72)=0,"",MIN(G72,I72,K72,M72,Q72,S72,W72,Y72,AA72)))</f>
        <v/>
      </c>
      <c r="AE72" s="25">
        <f>IF(ISNUMBER(AD72),AD72-IF(ISNUMBER(AB72),AB72,30),"")</f>
        <v/>
      </c>
      <c r="AF72" s="27">
        <f>IF(AD72="","",IF(ISNUMBER(AD72),AD72-TODAY(),"Check date"))</f>
        <v/>
      </c>
      <c r="AG72" s="28">
        <f>IF(AF72="","",IF(ISNUMBER(AF72),IF(AF72&lt;0,"Expired",IF(AF72&lt;=30,"Due ≤30 days",IF(AF72&lt;=90,"Due ≤90 days","OK"))),"Check date"))</f>
        <v/>
      </c>
      <c r="AH72" s="22" t="n"/>
      <c r="AI72" s="22" t="n"/>
      <c r="AJ72" s="22" t="n"/>
      <c r="AK72" s="22" t="n"/>
    </row>
    <row r="73">
      <c r="A73" s="22" t="n"/>
      <c r="B73" s="22" t="n"/>
      <c r="C73" s="22" t="n"/>
      <c r="D73" s="22" t="n"/>
      <c r="E73" s="22" t="n"/>
      <c r="F73" s="22" t="n"/>
      <c r="G73" s="23" t="n"/>
      <c r="H73" s="22" t="n"/>
      <c r="I73" s="23" t="n"/>
      <c r="J73" s="22" t="n"/>
      <c r="K73" s="23" t="n"/>
      <c r="L73" s="22" t="n"/>
      <c r="M73" s="23" t="n"/>
      <c r="N73" s="22" t="n"/>
      <c r="O73" s="22" t="n"/>
      <c r="P73" s="22" t="n"/>
      <c r="Q73" s="23" t="n"/>
      <c r="R73" s="22" t="n"/>
      <c r="S73" s="23" t="n"/>
      <c r="T73" s="22" t="n"/>
      <c r="U73" s="23" t="n"/>
      <c r="V73" s="24" t="n"/>
      <c r="W73" s="25">
        <f>IF(ISNUMBER(U73),U73+IF(ISNUMBER(V73),V73,120),"")</f>
        <v/>
      </c>
      <c r="X73" s="22" t="n"/>
      <c r="Y73" s="23" t="n"/>
      <c r="Z73" s="22" t="n"/>
      <c r="AA73" s="23" t="n"/>
      <c r="AB73" s="24" t="n"/>
      <c r="AC73" s="26">
        <f>IF(ISNUMBER(AD73)=FALSE,"",IF(G73=AD73,"State license",IF(I73=AD73,"DEA registration",IF(K73=AD73,"State CSR",IF(M73=AD73,"Board certification",IF(Q73=AD73,"Malpractice",IF(S73=AD73,"Life support",IF(W73=AD73,"CAQH re-attestation",IF(Y73=AD73,"Privileges reappointment","Payer recredentialing")))))))))</f>
        <v/>
      </c>
      <c r="AD73" s="25">
        <f>IF(OR(AND(LEN(G73)&gt;0,ISNUMBER(G73)=FALSE),AND(LEN(I73)&gt;0,ISNUMBER(I73)=FALSE),AND(LEN(K73)&gt;0,ISNUMBER(K73)=FALSE),AND(LEN(M73)&gt;0,ISNUMBER(M73)=FALSE),AND(LEN(Q73)&gt;0,ISNUMBER(Q73)=FALSE),AND(LEN(S73)&gt;0,ISNUMBER(S73)=FALSE),AND(LEN(Y73)&gt;0,ISNUMBER(Y73)=FALSE),AND(LEN(AA73)&gt;0,ISNUMBER(AA73)=FALSE),AND(LEN(U73)&gt;0,ISNUMBER(U73)=FALSE)),"Check date",IF(COUNT(G73,I73,K73,M73,Q73,S73,W73,Y73,AA73)=0,"",MIN(G73,I73,K73,M73,Q73,S73,W73,Y73,AA73)))</f>
        <v/>
      </c>
      <c r="AE73" s="25">
        <f>IF(ISNUMBER(AD73),AD73-IF(ISNUMBER(AB73),AB73,30),"")</f>
        <v/>
      </c>
      <c r="AF73" s="27">
        <f>IF(AD73="","",IF(ISNUMBER(AD73),AD73-TODAY(),"Check date"))</f>
        <v/>
      </c>
      <c r="AG73" s="28">
        <f>IF(AF73="","",IF(ISNUMBER(AF73),IF(AF73&lt;0,"Expired",IF(AF73&lt;=30,"Due ≤30 days",IF(AF73&lt;=90,"Due ≤90 days","OK"))),"Check date"))</f>
        <v/>
      </c>
      <c r="AH73" s="22" t="n"/>
      <c r="AI73" s="22" t="n"/>
      <c r="AJ73" s="22" t="n"/>
      <c r="AK73" s="22" t="n"/>
    </row>
    <row r="74">
      <c r="A74" s="22" t="n"/>
      <c r="B74" s="22" t="n"/>
      <c r="C74" s="22" t="n"/>
      <c r="D74" s="22" t="n"/>
      <c r="E74" s="22" t="n"/>
      <c r="F74" s="22" t="n"/>
      <c r="G74" s="23" t="n"/>
      <c r="H74" s="22" t="n"/>
      <c r="I74" s="23" t="n"/>
      <c r="J74" s="22" t="n"/>
      <c r="K74" s="23" t="n"/>
      <c r="L74" s="22" t="n"/>
      <c r="M74" s="23" t="n"/>
      <c r="N74" s="22" t="n"/>
      <c r="O74" s="22" t="n"/>
      <c r="P74" s="22" t="n"/>
      <c r="Q74" s="23" t="n"/>
      <c r="R74" s="22" t="n"/>
      <c r="S74" s="23" t="n"/>
      <c r="T74" s="22" t="n"/>
      <c r="U74" s="23" t="n"/>
      <c r="V74" s="24" t="n"/>
      <c r="W74" s="25">
        <f>IF(ISNUMBER(U74),U74+IF(ISNUMBER(V74),V74,120),"")</f>
        <v/>
      </c>
      <c r="X74" s="22" t="n"/>
      <c r="Y74" s="23" t="n"/>
      <c r="Z74" s="22" t="n"/>
      <c r="AA74" s="23" t="n"/>
      <c r="AB74" s="24" t="n"/>
      <c r="AC74" s="26">
        <f>IF(ISNUMBER(AD74)=FALSE,"",IF(G74=AD74,"State license",IF(I74=AD74,"DEA registration",IF(K74=AD74,"State CSR",IF(M74=AD74,"Board certification",IF(Q74=AD74,"Malpractice",IF(S74=AD74,"Life support",IF(W74=AD74,"CAQH re-attestation",IF(Y74=AD74,"Privileges reappointment","Payer recredentialing")))))))))</f>
        <v/>
      </c>
      <c r="AD74" s="25">
        <f>IF(OR(AND(LEN(G74)&gt;0,ISNUMBER(G74)=FALSE),AND(LEN(I74)&gt;0,ISNUMBER(I74)=FALSE),AND(LEN(K74)&gt;0,ISNUMBER(K74)=FALSE),AND(LEN(M74)&gt;0,ISNUMBER(M74)=FALSE),AND(LEN(Q74)&gt;0,ISNUMBER(Q74)=FALSE),AND(LEN(S74)&gt;0,ISNUMBER(S74)=FALSE),AND(LEN(Y74)&gt;0,ISNUMBER(Y74)=FALSE),AND(LEN(AA74)&gt;0,ISNUMBER(AA74)=FALSE),AND(LEN(U74)&gt;0,ISNUMBER(U74)=FALSE)),"Check date",IF(COUNT(G74,I74,K74,M74,Q74,S74,W74,Y74,AA74)=0,"",MIN(G74,I74,K74,M74,Q74,S74,W74,Y74,AA74)))</f>
        <v/>
      </c>
      <c r="AE74" s="25">
        <f>IF(ISNUMBER(AD74),AD74-IF(ISNUMBER(AB74),AB74,30),"")</f>
        <v/>
      </c>
      <c r="AF74" s="27">
        <f>IF(AD74="","",IF(ISNUMBER(AD74),AD74-TODAY(),"Check date"))</f>
        <v/>
      </c>
      <c r="AG74" s="28">
        <f>IF(AF74="","",IF(ISNUMBER(AF74),IF(AF74&lt;0,"Expired",IF(AF74&lt;=30,"Due ≤30 days",IF(AF74&lt;=90,"Due ≤90 days","OK"))),"Check date"))</f>
        <v/>
      </c>
      <c r="AH74" s="22" t="n"/>
      <c r="AI74" s="22" t="n"/>
      <c r="AJ74" s="22" t="n"/>
      <c r="AK74" s="22" t="n"/>
    </row>
    <row r="75">
      <c r="A75" s="22" t="n"/>
      <c r="B75" s="22" t="n"/>
      <c r="C75" s="22" t="n"/>
      <c r="D75" s="22" t="n"/>
      <c r="E75" s="22" t="n"/>
      <c r="F75" s="22" t="n"/>
      <c r="G75" s="23" t="n"/>
      <c r="H75" s="22" t="n"/>
      <c r="I75" s="23" t="n"/>
      <c r="J75" s="22" t="n"/>
      <c r="K75" s="23" t="n"/>
      <c r="L75" s="22" t="n"/>
      <c r="M75" s="23" t="n"/>
      <c r="N75" s="22" t="n"/>
      <c r="O75" s="22" t="n"/>
      <c r="P75" s="22" t="n"/>
      <c r="Q75" s="23" t="n"/>
      <c r="R75" s="22" t="n"/>
      <c r="S75" s="23" t="n"/>
      <c r="T75" s="22" t="n"/>
      <c r="U75" s="23" t="n"/>
      <c r="V75" s="24" t="n"/>
      <c r="W75" s="25">
        <f>IF(ISNUMBER(U75),U75+IF(ISNUMBER(V75),V75,120),"")</f>
        <v/>
      </c>
      <c r="X75" s="22" t="n"/>
      <c r="Y75" s="23" t="n"/>
      <c r="Z75" s="22" t="n"/>
      <c r="AA75" s="23" t="n"/>
      <c r="AB75" s="24" t="n"/>
      <c r="AC75" s="26">
        <f>IF(ISNUMBER(AD75)=FALSE,"",IF(G75=AD75,"State license",IF(I75=AD75,"DEA registration",IF(K75=AD75,"State CSR",IF(M75=AD75,"Board certification",IF(Q75=AD75,"Malpractice",IF(S75=AD75,"Life support",IF(W75=AD75,"CAQH re-attestation",IF(Y75=AD75,"Privileges reappointment","Payer recredentialing")))))))))</f>
        <v/>
      </c>
      <c r="AD75" s="25">
        <f>IF(OR(AND(LEN(G75)&gt;0,ISNUMBER(G75)=FALSE),AND(LEN(I75)&gt;0,ISNUMBER(I75)=FALSE),AND(LEN(K75)&gt;0,ISNUMBER(K75)=FALSE),AND(LEN(M75)&gt;0,ISNUMBER(M75)=FALSE),AND(LEN(Q75)&gt;0,ISNUMBER(Q75)=FALSE),AND(LEN(S75)&gt;0,ISNUMBER(S75)=FALSE),AND(LEN(Y75)&gt;0,ISNUMBER(Y75)=FALSE),AND(LEN(AA75)&gt;0,ISNUMBER(AA75)=FALSE),AND(LEN(U75)&gt;0,ISNUMBER(U75)=FALSE)),"Check date",IF(COUNT(G75,I75,K75,M75,Q75,S75,W75,Y75,AA75)=0,"",MIN(G75,I75,K75,M75,Q75,S75,W75,Y75,AA75)))</f>
        <v/>
      </c>
      <c r="AE75" s="25">
        <f>IF(ISNUMBER(AD75),AD75-IF(ISNUMBER(AB75),AB75,30),"")</f>
        <v/>
      </c>
      <c r="AF75" s="27">
        <f>IF(AD75="","",IF(ISNUMBER(AD75),AD75-TODAY(),"Check date"))</f>
        <v/>
      </c>
      <c r="AG75" s="28">
        <f>IF(AF75="","",IF(ISNUMBER(AF75),IF(AF75&lt;0,"Expired",IF(AF75&lt;=30,"Due ≤30 days",IF(AF75&lt;=90,"Due ≤90 days","OK"))),"Check date"))</f>
        <v/>
      </c>
      <c r="AH75" s="22" t="n"/>
      <c r="AI75" s="22" t="n"/>
      <c r="AJ75" s="22" t="n"/>
      <c r="AK75" s="22" t="n"/>
    </row>
    <row r="76">
      <c r="A76" s="22" t="n"/>
      <c r="B76" s="22" t="n"/>
      <c r="C76" s="22" t="n"/>
      <c r="D76" s="22" t="n"/>
      <c r="E76" s="22" t="n"/>
      <c r="F76" s="22" t="n"/>
      <c r="G76" s="23" t="n"/>
      <c r="H76" s="22" t="n"/>
      <c r="I76" s="23" t="n"/>
      <c r="J76" s="22" t="n"/>
      <c r="K76" s="23" t="n"/>
      <c r="L76" s="22" t="n"/>
      <c r="M76" s="23" t="n"/>
      <c r="N76" s="22" t="n"/>
      <c r="O76" s="22" t="n"/>
      <c r="P76" s="22" t="n"/>
      <c r="Q76" s="23" t="n"/>
      <c r="R76" s="22" t="n"/>
      <c r="S76" s="23" t="n"/>
      <c r="T76" s="22" t="n"/>
      <c r="U76" s="23" t="n"/>
      <c r="V76" s="24" t="n"/>
      <c r="W76" s="25">
        <f>IF(ISNUMBER(U76),U76+IF(ISNUMBER(V76),V76,120),"")</f>
        <v/>
      </c>
      <c r="X76" s="22" t="n"/>
      <c r="Y76" s="23" t="n"/>
      <c r="Z76" s="22" t="n"/>
      <c r="AA76" s="23" t="n"/>
      <c r="AB76" s="24" t="n"/>
      <c r="AC76" s="26">
        <f>IF(ISNUMBER(AD76)=FALSE,"",IF(G76=AD76,"State license",IF(I76=AD76,"DEA registration",IF(K76=AD76,"State CSR",IF(M76=AD76,"Board certification",IF(Q76=AD76,"Malpractice",IF(S76=AD76,"Life support",IF(W76=AD76,"CAQH re-attestation",IF(Y76=AD76,"Privileges reappointment","Payer recredentialing")))))))))</f>
        <v/>
      </c>
      <c r="AD76" s="25">
        <f>IF(OR(AND(LEN(G76)&gt;0,ISNUMBER(G76)=FALSE),AND(LEN(I76)&gt;0,ISNUMBER(I76)=FALSE),AND(LEN(K76)&gt;0,ISNUMBER(K76)=FALSE),AND(LEN(M76)&gt;0,ISNUMBER(M76)=FALSE),AND(LEN(Q76)&gt;0,ISNUMBER(Q76)=FALSE),AND(LEN(S76)&gt;0,ISNUMBER(S76)=FALSE),AND(LEN(Y76)&gt;0,ISNUMBER(Y76)=FALSE),AND(LEN(AA76)&gt;0,ISNUMBER(AA76)=FALSE),AND(LEN(U76)&gt;0,ISNUMBER(U76)=FALSE)),"Check date",IF(COUNT(G76,I76,K76,M76,Q76,S76,W76,Y76,AA76)=0,"",MIN(G76,I76,K76,M76,Q76,S76,W76,Y76,AA76)))</f>
        <v/>
      </c>
      <c r="AE76" s="25">
        <f>IF(ISNUMBER(AD76),AD76-IF(ISNUMBER(AB76),AB76,30),"")</f>
        <v/>
      </c>
      <c r="AF76" s="27">
        <f>IF(AD76="","",IF(ISNUMBER(AD76),AD76-TODAY(),"Check date"))</f>
        <v/>
      </c>
      <c r="AG76" s="28">
        <f>IF(AF76="","",IF(ISNUMBER(AF76),IF(AF76&lt;0,"Expired",IF(AF76&lt;=30,"Due ≤30 days",IF(AF76&lt;=90,"Due ≤90 days","OK"))),"Check date"))</f>
        <v/>
      </c>
      <c r="AH76" s="22" t="n"/>
      <c r="AI76" s="22" t="n"/>
      <c r="AJ76" s="22" t="n"/>
      <c r="AK76" s="22" t="n"/>
    </row>
    <row r="77">
      <c r="A77" s="22" t="n"/>
      <c r="B77" s="22" t="n"/>
      <c r="C77" s="22" t="n"/>
      <c r="D77" s="22" t="n"/>
      <c r="E77" s="22" t="n"/>
      <c r="F77" s="22" t="n"/>
      <c r="G77" s="23" t="n"/>
      <c r="H77" s="22" t="n"/>
      <c r="I77" s="23" t="n"/>
      <c r="J77" s="22" t="n"/>
      <c r="K77" s="23" t="n"/>
      <c r="L77" s="22" t="n"/>
      <c r="M77" s="23" t="n"/>
      <c r="N77" s="22" t="n"/>
      <c r="O77" s="22" t="n"/>
      <c r="P77" s="22" t="n"/>
      <c r="Q77" s="23" t="n"/>
      <c r="R77" s="22" t="n"/>
      <c r="S77" s="23" t="n"/>
      <c r="T77" s="22" t="n"/>
      <c r="U77" s="23" t="n"/>
      <c r="V77" s="24" t="n"/>
      <c r="W77" s="25">
        <f>IF(ISNUMBER(U77),U77+IF(ISNUMBER(V77),V77,120),"")</f>
        <v/>
      </c>
      <c r="X77" s="22" t="n"/>
      <c r="Y77" s="23" t="n"/>
      <c r="Z77" s="22" t="n"/>
      <c r="AA77" s="23" t="n"/>
      <c r="AB77" s="24" t="n"/>
      <c r="AC77" s="26">
        <f>IF(ISNUMBER(AD77)=FALSE,"",IF(G77=AD77,"State license",IF(I77=AD77,"DEA registration",IF(K77=AD77,"State CSR",IF(M77=AD77,"Board certification",IF(Q77=AD77,"Malpractice",IF(S77=AD77,"Life support",IF(W77=AD77,"CAQH re-attestation",IF(Y77=AD77,"Privileges reappointment","Payer recredentialing")))))))))</f>
        <v/>
      </c>
      <c r="AD77" s="25">
        <f>IF(OR(AND(LEN(G77)&gt;0,ISNUMBER(G77)=FALSE),AND(LEN(I77)&gt;0,ISNUMBER(I77)=FALSE),AND(LEN(K77)&gt;0,ISNUMBER(K77)=FALSE),AND(LEN(M77)&gt;0,ISNUMBER(M77)=FALSE),AND(LEN(Q77)&gt;0,ISNUMBER(Q77)=FALSE),AND(LEN(S77)&gt;0,ISNUMBER(S77)=FALSE),AND(LEN(Y77)&gt;0,ISNUMBER(Y77)=FALSE),AND(LEN(AA77)&gt;0,ISNUMBER(AA77)=FALSE),AND(LEN(U77)&gt;0,ISNUMBER(U77)=FALSE)),"Check date",IF(COUNT(G77,I77,K77,M77,Q77,S77,W77,Y77,AA77)=0,"",MIN(G77,I77,K77,M77,Q77,S77,W77,Y77,AA77)))</f>
        <v/>
      </c>
      <c r="AE77" s="25">
        <f>IF(ISNUMBER(AD77),AD77-IF(ISNUMBER(AB77),AB77,30),"")</f>
        <v/>
      </c>
      <c r="AF77" s="27">
        <f>IF(AD77="","",IF(ISNUMBER(AD77),AD77-TODAY(),"Check date"))</f>
        <v/>
      </c>
      <c r="AG77" s="28">
        <f>IF(AF77="","",IF(ISNUMBER(AF77),IF(AF77&lt;0,"Expired",IF(AF77&lt;=30,"Due ≤30 days",IF(AF77&lt;=90,"Due ≤90 days","OK"))),"Check date"))</f>
        <v/>
      </c>
      <c r="AH77" s="22" t="n"/>
      <c r="AI77" s="22" t="n"/>
      <c r="AJ77" s="22" t="n"/>
      <c r="AK77" s="22" t="n"/>
    </row>
    <row r="78">
      <c r="A78" s="22" t="n"/>
      <c r="B78" s="22" t="n"/>
      <c r="C78" s="22" t="n"/>
      <c r="D78" s="22" t="n"/>
      <c r="E78" s="22" t="n"/>
      <c r="F78" s="22" t="n"/>
      <c r="G78" s="23" t="n"/>
      <c r="H78" s="22" t="n"/>
      <c r="I78" s="23" t="n"/>
      <c r="J78" s="22" t="n"/>
      <c r="K78" s="23" t="n"/>
      <c r="L78" s="22" t="n"/>
      <c r="M78" s="23" t="n"/>
      <c r="N78" s="22" t="n"/>
      <c r="O78" s="22" t="n"/>
      <c r="P78" s="22" t="n"/>
      <c r="Q78" s="23" t="n"/>
      <c r="R78" s="22" t="n"/>
      <c r="S78" s="23" t="n"/>
      <c r="T78" s="22" t="n"/>
      <c r="U78" s="23" t="n"/>
      <c r="V78" s="24" t="n"/>
      <c r="W78" s="25">
        <f>IF(ISNUMBER(U78),U78+IF(ISNUMBER(V78),V78,120),"")</f>
        <v/>
      </c>
      <c r="X78" s="22" t="n"/>
      <c r="Y78" s="23" t="n"/>
      <c r="Z78" s="22" t="n"/>
      <c r="AA78" s="23" t="n"/>
      <c r="AB78" s="24" t="n"/>
      <c r="AC78" s="26">
        <f>IF(ISNUMBER(AD78)=FALSE,"",IF(G78=AD78,"State license",IF(I78=AD78,"DEA registration",IF(K78=AD78,"State CSR",IF(M78=AD78,"Board certification",IF(Q78=AD78,"Malpractice",IF(S78=AD78,"Life support",IF(W78=AD78,"CAQH re-attestation",IF(Y78=AD78,"Privileges reappointment","Payer recredentialing")))))))))</f>
        <v/>
      </c>
      <c r="AD78" s="25">
        <f>IF(OR(AND(LEN(G78)&gt;0,ISNUMBER(G78)=FALSE),AND(LEN(I78)&gt;0,ISNUMBER(I78)=FALSE),AND(LEN(K78)&gt;0,ISNUMBER(K78)=FALSE),AND(LEN(M78)&gt;0,ISNUMBER(M78)=FALSE),AND(LEN(Q78)&gt;0,ISNUMBER(Q78)=FALSE),AND(LEN(S78)&gt;0,ISNUMBER(S78)=FALSE),AND(LEN(Y78)&gt;0,ISNUMBER(Y78)=FALSE),AND(LEN(AA78)&gt;0,ISNUMBER(AA78)=FALSE),AND(LEN(U78)&gt;0,ISNUMBER(U78)=FALSE)),"Check date",IF(COUNT(G78,I78,K78,M78,Q78,S78,W78,Y78,AA78)=0,"",MIN(G78,I78,K78,M78,Q78,S78,W78,Y78,AA78)))</f>
        <v/>
      </c>
      <c r="AE78" s="25">
        <f>IF(ISNUMBER(AD78),AD78-IF(ISNUMBER(AB78),AB78,30),"")</f>
        <v/>
      </c>
      <c r="AF78" s="27">
        <f>IF(AD78="","",IF(ISNUMBER(AD78),AD78-TODAY(),"Check date"))</f>
        <v/>
      </c>
      <c r="AG78" s="28">
        <f>IF(AF78="","",IF(ISNUMBER(AF78),IF(AF78&lt;0,"Expired",IF(AF78&lt;=30,"Due ≤30 days",IF(AF78&lt;=90,"Due ≤90 days","OK"))),"Check date"))</f>
        <v/>
      </c>
      <c r="AH78" s="22" t="n"/>
      <c r="AI78" s="22" t="n"/>
      <c r="AJ78" s="22" t="n"/>
      <c r="AK78" s="22" t="n"/>
    </row>
    <row r="79">
      <c r="A79" s="22" t="n"/>
      <c r="B79" s="22" t="n"/>
      <c r="C79" s="22" t="n"/>
      <c r="D79" s="22" t="n"/>
      <c r="E79" s="22" t="n"/>
      <c r="F79" s="22" t="n"/>
      <c r="G79" s="23" t="n"/>
      <c r="H79" s="22" t="n"/>
      <c r="I79" s="23" t="n"/>
      <c r="J79" s="22" t="n"/>
      <c r="K79" s="23" t="n"/>
      <c r="L79" s="22" t="n"/>
      <c r="M79" s="23" t="n"/>
      <c r="N79" s="22" t="n"/>
      <c r="O79" s="22" t="n"/>
      <c r="P79" s="22" t="n"/>
      <c r="Q79" s="23" t="n"/>
      <c r="R79" s="22" t="n"/>
      <c r="S79" s="23" t="n"/>
      <c r="T79" s="22" t="n"/>
      <c r="U79" s="23" t="n"/>
      <c r="V79" s="24" t="n"/>
      <c r="W79" s="25">
        <f>IF(ISNUMBER(U79),U79+IF(ISNUMBER(V79),V79,120),"")</f>
        <v/>
      </c>
      <c r="X79" s="22" t="n"/>
      <c r="Y79" s="23" t="n"/>
      <c r="Z79" s="22" t="n"/>
      <c r="AA79" s="23" t="n"/>
      <c r="AB79" s="24" t="n"/>
      <c r="AC79" s="26">
        <f>IF(ISNUMBER(AD79)=FALSE,"",IF(G79=AD79,"State license",IF(I79=AD79,"DEA registration",IF(K79=AD79,"State CSR",IF(M79=AD79,"Board certification",IF(Q79=AD79,"Malpractice",IF(S79=AD79,"Life support",IF(W79=AD79,"CAQH re-attestation",IF(Y79=AD79,"Privileges reappointment","Payer recredentialing")))))))))</f>
        <v/>
      </c>
      <c r="AD79" s="25">
        <f>IF(OR(AND(LEN(G79)&gt;0,ISNUMBER(G79)=FALSE),AND(LEN(I79)&gt;0,ISNUMBER(I79)=FALSE),AND(LEN(K79)&gt;0,ISNUMBER(K79)=FALSE),AND(LEN(M79)&gt;0,ISNUMBER(M79)=FALSE),AND(LEN(Q79)&gt;0,ISNUMBER(Q79)=FALSE),AND(LEN(S79)&gt;0,ISNUMBER(S79)=FALSE),AND(LEN(Y79)&gt;0,ISNUMBER(Y79)=FALSE),AND(LEN(AA79)&gt;0,ISNUMBER(AA79)=FALSE),AND(LEN(U79)&gt;0,ISNUMBER(U79)=FALSE)),"Check date",IF(COUNT(G79,I79,K79,M79,Q79,S79,W79,Y79,AA79)=0,"",MIN(G79,I79,K79,M79,Q79,S79,W79,Y79,AA79)))</f>
        <v/>
      </c>
      <c r="AE79" s="25">
        <f>IF(ISNUMBER(AD79),AD79-IF(ISNUMBER(AB79),AB79,30),"")</f>
        <v/>
      </c>
      <c r="AF79" s="27">
        <f>IF(AD79="","",IF(ISNUMBER(AD79),AD79-TODAY(),"Check date"))</f>
        <v/>
      </c>
      <c r="AG79" s="28">
        <f>IF(AF79="","",IF(ISNUMBER(AF79),IF(AF79&lt;0,"Expired",IF(AF79&lt;=30,"Due ≤30 days",IF(AF79&lt;=90,"Due ≤90 days","OK"))),"Check date"))</f>
        <v/>
      </c>
      <c r="AH79" s="22" t="n"/>
      <c r="AI79" s="22" t="n"/>
      <c r="AJ79" s="22" t="n"/>
      <c r="AK79" s="22" t="n"/>
    </row>
    <row r="80">
      <c r="A80" s="22" t="n"/>
      <c r="B80" s="22" t="n"/>
      <c r="C80" s="22" t="n"/>
      <c r="D80" s="22" t="n"/>
      <c r="E80" s="22" t="n"/>
      <c r="F80" s="22" t="n"/>
      <c r="G80" s="23" t="n"/>
      <c r="H80" s="22" t="n"/>
      <c r="I80" s="23" t="n"/>
      <c r="J80" s="22" t="n"/>
      <c r="K80" s="23" t="n"/>
      <c r="L80" s="22" t="n"/>
      <c r="M80" s="23" t="n"/>
      <c r="N80" s="22" t="n"/>
      <c r="O80" s="22" t="n"/>
      <c r="P80" s="22" t="n"/>
      <c r="Q80" s="23" t="n"/>
      <c r="R80" s="22" t="n"/>
      <c r="S80" s="23" t="n"/>
      <c r="T80" s="22" t="n"/>
      <c r="U80" s="23" t="n"/>
      <c r="V80" s="24" t="n"/>
      <c r="W80" s="25">
        <f>IF(ISNUMBER(U80),U80+IF(ISNUMBER(V80),V80,120),"")</f>
        <v/>
      </c>
      <c r="X80" s="22" t="n"/>
      <c r="Y80" s="23" t="n"/>
      <c r="Z80" s="22" t="n"/>
      <c r="AA80" s="23" t="n"/>
      <c r="AB80" s="24" t="n"/>
      <c r="AC80" s="26">
        <f>IF(ISNUMBER(AD80)=FALSE,"",IF(G80=AD80,"State license",IF(I80=AD80,"DEA registration",IF(K80=AD80,"State CSR",IF(M80=AD80,"Board certification",IF(Q80=AD80,"Malpractice",IF(S80=AD80,"Life support",IF(W80=AD80,"CAQH re-attestation",IF(Y80=AD80,"Privileges reappointment","Payer recredentialing")))))))))</f>
        <v/>
      </c>
      <c r="AD80" s="25">
        <f>IF(OR(AND(LEN(G80)&gt;0,ISNUMBER(G80)=FALSE),AND(LEN(I80)&gt;0,ISNUMBER(I80)=FALSE),AND(LEN(K80)&gt;0,ISNUMBER(K80)=FALSE),AND(LEN(M80)&gt;0,ISNUMBER(M80)=FALSE),AND(LEN(Q80)&gt;0,ISNUMBER(Q80)=FALSE),AND(LEN(S80)&gt;0,ISNUMBER(S80)=FALSE),AND(LEN(Y80)&gt;0,ISNUMBER(Y80)=FALSE),AND(LEN(AA80)&gt;0,ISNUMBER(AA80)=FALSE),AND(LEN(U80)&gt;0,ISNUMBER(U80)=FALSE)),"Check date",IF(COUNT(G80,I80,K80,M80,Q80,S80,W80,Y80,AA80)=0,"",MIN(G80,I80,K80,M80,Q80,S80,W80,Y80,AA80)))</f>
        <v/>
      </c>
      <c r="AE80" s="25">
        <f>IF(ISNUMBER(AD80),AD80-IF(ISNUMBER(AB80),AB80,30),"")</f>
        <v/>
      </c>
      <c r="AF80" s="27">
        <f>IF(AD80="","",IF(ISNUMBER(AD80),AD80-TODAY(),"Check date"))</f>
        <v/>
      </c>
      <c r="AG80" s="28">
        <f>IF(AF80="","",IF(ISNUMBER(AF80),IF(AF80&lt;0,"Expired",IF(AF80&lt;=30,"Due ≤30 days",IF(AF80&lt;=90,"Due ≤90 days","OK"))),"Check date"))</f>
        <v/>
      </c>
      <c r="AH80" s="22" t="n"/>
      <c r="AI80" s="22" t="n"/>
      <c r="AJ80" s="22" t="n"/>
      <c r="AK80" s="22" t="n"/>
    </row>
    <row r="81">
      <c r="A81" s="22" t="n"/>
      <c r="B81" s="22" t="n"/>
      <c r="C81" s="22" t="n"/>
      <c r="D81" s="22" t="n"/>
      <c r="E81" s="22" t="n"/>
      <c r="F81" s="22" t="n"/>
      <c r="G81" s="23" t="n"/>
      <c r="H81" s="22" t="n"/>
      <c r="I81" s="23" t="n"/>
      <c r="J81" s="22" t="n"/>
      <c r="K81" s="23" t="n"/>
      <c r="L81" s="22" t="n"/>
      <c r="M81" s="23" t="n"/>
      <c r="N81" s="22" t="n"/>
      <c r="O81" s="22" t="n"/>
      <c r="P81" s="22" t="n"/>
      <c r="Q81" s="23" t="n"/>
      <c r="R81" s="22" t="n"/>
      <c r="S81" s="23" t="n"/>
      <c r="T81" s="22" t="n"/>
      <c r="U81" s="23" t="n"/>
      <c r="V81" s="24" t="n"/>
      <c r="W81" s="25">
        <f>IF(ISNUMBER(U81),U81+IF(ISNUMBER(V81),V81,120),"")</f>
        <v/>
      </c>
      <c r="X81" s="22" t="n"/>
      <c r="Y81" s="23" t="n"/>
      <c r="Z81" s="22" t="n"/>
      <c r="AA81" s="23" t="n"/>
      <c r="AB81" s="24" t="n"/>
      <c r="AC81" s="26">
        <f>IF(ISNUMBER(AD81)=FALSE,"",IF(G81=AD81,"State license",IF(I81=AD81,"DEA registration",IF(K81=AD81,"State CSR",IF(M81=AD81,"Board certification",IF(Q81=AD81,"Malpractice",IF(S81=AD81,"Life support",IF(W81=AD81,"CAQH re-attestation",IF(Y81=AD81,"Privileges reappointment","Payer recredentialing")))))))))</f>
        <v/>
      </c>
      <c r="AD81" s="25">
        <f>IF(OR(AND(LEN(G81)&gt;0,ISNUMBER(G81)=FALSE),AND(LEN(I81)&gt;0,ISNUMBER(I81)=FALSE),AND(LEN(K81)&gt;0,ISNUMBER(K81)=FALSE),AND(LEN(M81)&gt;0,ISNUMBER(M81)=FALSE),AND(LEN(Q81)&gt;0,ISNUMBER(Q81)=FALSE),AND(LEN(S81)&gt;0,ISNUMBER(S81)=FALSE),AND(LEN(Y81)&gt;0,ISNUMBER(Y81)=FALSE),AND(LEN(AA81)&gt;0,ISNUMBER(AA81)=FALSE),AND(LEN(U81)&gt;0,ISNUMBER(U81)=FALSE)),"Check date",IF(COUNT(G81,I81,K81,M81,Q81,S81,W81,Y81,AA81)=0,"",MIN(G81,I81,K81,M81,Q81,S81,W81,Y81,AA81)))</f>
        <v/>
      </c>
      <c r="AE81" s="25">
        <f>IF(ISNUMBER(AD81),AD81-IF(ISNUMBER(AB81),AB81,30),"")</f>
        <v/>
      </c>
      <c r="AF81" s="27">
        <f>IF(AD81="","",IF(ISNUMBER(AD81),AD81-TODAY(),"Check date"))</f>
        <v/>
      </c>
      <c r="AG81" s="28">
        <f>IF(AF81="","",IF(ISNUMBER(AF81),IF(AF81&lt;0,"Expired",IF(AF81&lt;=30,"Due ≤30 days",IF(AF81&lt;=90,"Due ≤90 days","OK"))),"Check date"))</f>
        <v/>
      </c>
      <c r="AH81" s="22" t="n"/>
      <c r="AI81" s="22" t="n"/>
      <c r="AJ81" s="22" t="n"/>
      <c r="AK81" s="22" t="n"/>
    </row>
    <row r="82">
      <c r="A82" s="22" t="n"/>
      <c r="B82" s="22" t="n"/>
      <c r="C82" s="22" t="n"/>
      <c r="D82" s="22" t="n"/>
      <c r="E82" s="22" t="n"/>
      <c r="F82" s="22" t="n"/>
      <c r="G82" s="23" t="n"/>
      <c r="H82" s="22" t="n"/>
      <c r="I82" s="23" t="n"/>
      <c r="J82" s="22" t="n"/>
      <c r="K82" s="23" t="n"/>
      <c r="L82" s="22" t="n"/>
      <c r="M82" s="23" t="n"/>
      <c r="N82" s="22" t="n"/>
      <c r="O82" s="22" t="n"/>
      <c r="P82" s="22" t="n"/>
      <c r="Q82" s="23" t="n"/>
      <c r="R82" s="22" t="n"/>
      <c r="S82" s="23" t="n"/>
      <c r="T82" s="22" t="n"/>
      <c r="U82" s="23" t="n"/>
      <c r="V82" s="24" t="n"/>
      <c r="W82" s="25">
        <f>IF(ISNUMBER(U82),U82+IF(ISNUMBER(V82),V82,120),"")</f>
        <v/>
      </c>
      <c r="X82" s="22" t="n"/>
      <c r="Y82" s="23" t="n"/>
      <c r="Z82" s="22" t="n"/>
      <c r="AA82" s="23" t="n"/>
      <c r="AB82" s="24" t="n"/>
      <c r="AC82" s="26">
        <f>IF(ISNUMBER(AD82)=FALSE,"",IF(G82=AD82,"State license",IF(I82=AD82,"DEA registration",IF(K82=AD82,"State CSR",IF(M82=AD82,"Board certification",IF(Q82=AD82,"Malpractice",IF(S82=AD82,"Life support",IF(W82=AD82,"CAQH re-attestation",IF(Y82=AD82,"Privileges reappointment","Payer recredentialing")))))))))</f>
        <v/>
      </c>
      <c r="AD82" s="25">
        <f>IF(OR(AND(LEN(G82)&gt;0,ISNUMBER(G82)=FALSE),AND(LEN(I82)&gt;0,ISNUMBER(I82)=FALSE),AND(LEN(K82)&gt;0,ISNUMBER(K82)=FALSE),AND(LEN(M82)&gt;0,ISNUMBER(M82)=FALSE),AND(LEN(Q82)&gt;0,ISNUMBER(Q82)=FALSE),AND(LEN(S82)&gt;0,ISNUMBER(S82)=FALSE),AND(LEN(Y82)&gt;0,ISNUMBER(Y82)=FALSE),AND(LEN(AA82)&gt;0,ISNUMBER(AA82)=FALSE),AND(LEN(U82)&gt;0,ISNUMBER(U82)=FALSE)),"Check date",IF(COUNT(G82,I82,K82,M82,Q82,S82,W82,Y82,AA82)=0,"",MIN(G82,I82,K82,M82,Q82,S82,W82,Y82,AA82)))</f>
        <v/>
      </c>
      <c r="AE82" s="25">
        <f>IF(ISNUMBER(AD82),AD82-IF(ISNUMBER(AB82),AB82,30),"")</f>
        <v/>
      </c>
      <c r="AF82" s="27">
        <f>IF(AD82="","",IF(ISNUMBER(AD82),AD82-TODAY(),"Check date"))</f>
        <v/>
      </c>
      <c r="AG82" s="28">
        <f>IF(AF82="","",IF(ISNUMBER(AF82),IF(AF82&lt;0,"Expired",IF(AF82&lt;=30,"Due ≤30 days",IF(AF82&lt;=90,"Due ≤90 days","OK"))),"Check date"))</f>
        <v/>
      </c>
      <c r="AH82" s="22" t="n"/>
      <c r="AI82" s="22" t="n"/>
      <c r="AJ82" s="22" t="n"/>
      <c r="AK82" s="22" t="n"/>
    </row>
    <row r="83">
      <c r="A83" s="22" t="n"/>
      <c r="B83" s="22" t="n"/>
      <c r="C83" s="22" t="n"/>
      <c r="D83" s="22" t="n"/>
      <c r="E83" s="22" t="n"/>
      <c r="F83" s="22" t="n"/>
      <c r="G83" s="23" t="n"/>
      <c r="H83" s="22" t="n"/>
      <c r="I83" s="23" t="n"/>
      <c r="J83" s="22" t="n"/>
      <c r="K83" s="23" t="n"/>
      <c r="L83" s="22" t="n"/>
      <c r="M83" s="23" t="n"/>
      <c r="N83" s="22" t="n"/>
      <c r="O83" s="22" t="n"/>
      <c r="P83" s="22" t="n"/>
      <c r="Q83" s="23" t="n"/>
      <c r="R83" s="22" t="n"/>
      <c r="S83" s="23" t="n"/>
      <c r="T83" s="22" t="n"/>
      <c r="U83" s="23" t="n"/>
      <c r="V83" s="24" t="n"/>
      <c r="W83" s="25">
        <f>IF(ISNUMBER(U83),U83+IF(ISNUMBER(V83),V83,120),"")</f>
        <v/>
      </c>
      <c r="X83" s="22" t="n"/>
      <c r="Y83" s="23" t="n"/>
      <c r="Z83" s="22" t="n"/>
      <c r="AA83" s="23" t="n"/>
      <c r="AB83" s="24" t="n"/>
      <c r="AC83" s="26">
        <f>IF(ISNUMBER(AD83)=FALSE,"",IF(G83=AD83,"State license",IF(I83=AD83,"DEA registration",IF(K83=AD83,"State CSR",IF(M83=AD83,"Board certification",IF(Q83=AD83,"Malpractice",IF(S83=AD83,"Life support",IF(W83=AD83,"CAQH re-attestation",IF(Y83=AD83,"Privileges reappointment","Payer recredentialing")))))))))</f>
        <v/>
      </c>
      <c r="AD83" s="25">
        <f>IF(OR(AND(LEN(G83)&gt;0,ISNUMBER(G83)=FALSE),AND(LEN(I83)&gt;0,ISNUMBER(I83)=FALSE),AND(LEN(K83)&gt;0,ISNUMBER(K83)=FALSE),AND(LEN(M83)&gt;0,ISNUMBER(M83)=FALSE),AND(LEN(Q83)&gt;0,ISNUMBER(Q83)=FALSE),AND(LEN(S83)&gt;0,ISNUMBER(S83)=FALSE),AND(LEN(Y83)&gt;0,ISNUMBER(Y83)=FALSE),AND(LEN(AA83)&gt;0,ISNUMBER(AA83)=FALSE),AND(LEN(U83)&gt;0,ISNUMBER(U83)=FALSE)),"Check date",IF(COUNT(G83,I83,K83,M83,Q83,S83,W83,Y83,AA83)=0,"",MIN(G83,I83,K83,M83,Q83,S83,W83,Y83,AA83)))</f>
        <v/>
      </c>
      <c r="AE83" s="25">
        <f>IF(ISNUMBER(AD83),AD83-IF(ISNUMBER(AB83),AB83,30),"")</f>
        <v/>
      </c>
      <c r="AF83" s="27">
        <f>IF(AD83="","",IF(ISNUMBER(AD83),AD83-TODAY(),"Check date"))</f>
        <v/>
      </c>
      <c r="AG83" s="28">
        <f>IF(AF83="","",IF(ISNUMBER(AF83),IF(AF83&lt;0,"Expired",IF(AF83&lt;=30,"Due ≤30 days",IF(AF83&lt;=90,"Due ≤90 days","OK"))),"Check date"))</f>
        <v/>
      </c>
      <c r="AH83" s="22" t="n"/>
      <c r="AI83" s="22" t="n"/>
      <c r="AJ83" s="22" t="n"/>
      <c r="AK83" s="22" t="n"/>
    </row>
    <row r="84">
      <c r="A84" s="22" t="n"/>
      <c r="B84" s="22" t="n"/>
      <c r="C84" s="22" t="n"/>
      <c r="D84" s="22" t="n"/>
      <c r="E84" s="22" t="n"/>
      <c r="F84" s="22" t="n"/>
      <c r="G84" s="23" t="n"/>
      <c r="H84" s="22" t="n"/>
      <c r="I84" s="23" t="n"/>
      <c r="J84" s="22" t="n"/>
      <c r="K84" s="23" t="n"/>
      <c r="L84" s="22" t="n"/>
      <c r="M84" s="23" t="n"/>
      <c r="N84" s="22" t="n"/>
      <c r="O84" s="22" t="n"/>
      <c r="P84" s="22" t="n"/>
      <c r="Q84" s="23" t="n"/>
      <c r="R84" s="22" t="n"/>
      <c r="S84" s="23" t="n"/>
      <c r="T84" s="22" t="n"/>
      <c r="U84" s="23" t="n"/>
      <c r="V84" s="24" t="n"/>
      <c r="W84" s="25">
        <f>IF(ISNUMBER(U84),U84+IF(ISNUMBER(V84),V84,120),"")</f>
        <v/>
      </c>
      <c r="X84" s="22" t="n"/>
      <c r="Y84" s="23" t="n"/>
      <c r="Z84" s="22" t="n"/>
      <c r="AA84" s="23" t="n"/>
      <c r="AB84" s="24" t="n"/>
      <c r="AC84" s="26">
        <f>IF(ISNUMBER(AD84)=FALSE,"",IF(G84=AD84,"State license",IF(I84=AD84,"DEA registration",IF(K84=AD84,"State CSR",IF(M84=AD84,"Board certification",IF(Q84=AD84,"Malpractice",IF(S84=AD84,"Life support",IF(W84=AD84,"CAQH re-attestation",IF(Y84=AD84,"Privileges reappointment","Payer recredentialing")))))))))</f>
        <v/>
      </c>
      <c r="AD84" s="25">
        <f>IF(OR(AND(LEN(G84)&gt;0,ISNUMBER(G84)=FALSE),AND(LEN(I84)&gt;0,ISNUMBER(I84)=FALSE),AND(LEN(K84)&gt;0,ISNUMBER(K84)=FALSE),AND(LEN(M84)&gt;0,ISNUMBER(M84)=FALSE),AND(LEN(Q84)&gt;0,ISNUMBER(Q84)=FALSE),AND(LEN(S84)&gt;0,ISNUMBER(S84)=FALSE),AND(LEN(Y84)&gt;0,ISNUMBER(Y84)=FALSE),AND(LEN(AA84)&gt;0,ISNUMBER(AA84)=FALSE),AND(LEN(U84)&gt;0,ISNUMBER(U84)=FALSE)),"Check date",IF(COUNT(G84,I84,K84,M84,Q84,S84,W84,Y84,AA84)=0,"",MIN(G84,I84,K84,M84,Q84,S84,W84,Y84,AA84)))</f>
        <v/>
      </c>
      <c r="AE84" s="25">
        <f>IF(ISNUMBER(AD84),AD84-IF(ISNUMBER(AB84),AB84,30),"")</f>
        <v/>
      </c>
      <c r="AF84" s="27">
        <f>IF(AD84="","",IF(ISNUMBER(AD84),AD84-TODAY(),"Check date"))</f>
        <v/>
      </c>
      <c r="AG84" s="28">
        <f>IF(AF84="","",IF(ISNUMBER(AF84),IF(AF84&lt;0,"Expired",IF(AF84&lt;=30,"Due ≤30 days",IF(AF84&lt;=90,"Due ≤90 days","OK"))),"Check date"))</f>
        <v/>
      </c>
      <c r="AH84" s="22" t="n"/>
      <c r="AI84" s="22" t="n"/>
      <c r="AJ84" s="22" t="n"/>
      <c r="AK84" s="22" t="n"/>
    </row>
    <row r="85">
      <c r="A85" s="22" t="n"/>
      <c r="B85" s="22" t="n"/>
      <c r="C85" s="22" t="n"/>
      <c r="D85" s="22" t="n"/>
      <c r="E85" s="22" t="n"/>
      <c r="F85" s="22" t="n"/>
      <c r="G85" s="23" t="n"/>
      <c r="H85" s="22" t="n"/>
      <c r="I85" s="23" t="n"/>
      <c r="J85" s="22" t="n"/>
      <c r="K85" s="23" t="n"/>
      <c r="L85" s="22" t="n"/>
      <c r="M85" s="23" t="n"/>
      <c r="N85" s="22" t="n"/>
      <c r="O85" s="22" t="n"/>
      <c r="P85" s="22" t="n"/>
      <c r="Q85" s="23" t="n"/>
      <c r="R85" s="22" t="n"/>
      <c r="S85" s="23" t="n"/>
      <c r="T85" s="22" t="n"/>
      <c r="U85" s="23" t="n"/>
      <c r="V85" s="24" t="n"/>
      <c r="W85" s="25">
        <f>IF(ISNUMBER(U85),U85+IF(ISNUMBER(V85),V85,120),"")</f>
        <v/>
      </c>
      <c r="X85" s="22" t="n"/>
      <c r="Y85" s="23" t="n"/>
      <c r="Z85" s="22" t="n"/>
      <c r="AA85" s="23" t="n"/>
      <c r="AB85" s="24" t="n"/>
      <c r="AC85" s="26">
        <f>IF(ISNUMBER(AD85)=FALSE,"",IF(G85=AD85,"State license",IF(I85=AD85,"DEA registration",IF(K85=AD85,"State CSR",IF(M85=AD85,"Board certification",IF(Q85=AD85,"Malpractice",IF(S85=AD85,"Life support",IF(W85=AD85,"CAQH re-attestation",IF(Y85=AD85,"Privileges reappointment","Payer recredentialing")))))))))</f>
        <v/>
      </c>
      <c r="AD85" s="25">
        <f>IF(OR(AND(LEN(G85)&gt;0,ISNUMBER(G85)=FALSE),AND(LEN(I85)&gt;0,ISNUMBER(I85)=FALSE),AND(LEN(K85)&gt;0,ISNUMBER(K85)=FALSE),AND(LEN(M85)&gt;0,ISNUMBER(M85)=FALSE),AND(LEN(Q85)&gt;0,ISNUMBER(Q85)=FALSE),AND(LEN(S85)&gt;0,ISNUMBER(S85)=FALSE),AND(LEN(Y85)&gt;0,ISNUMBER(Y85)=FALSE),AND(LEN(AA85)&gt;0,ISNUMBER(AA85)=FALSE),AND(LEN(U85)&gt;0,ISNUMBER(U85)=FALSE)),"Check date",IF(COUNT(G85,I85,K85,M85,Q85,S85,W85,Y85,AA85)=0,"",MIN(G85,I85,K85,M85,Q85,S85,W85,Y85,AA85)))</f>
        <v/>
      </c>
      <c r="AE85" s="25">
        <f>IF(ISNUMBER(AD85),AD85-IF(ISNUMBER(AB85),AB85,30),"")</f>
        <v/>
      </c>
      <c r="AF85" s="27">
        <f>IF(AD85="","",IF(ISNUMBER(AD85),AD85-TODAY(),"Check date"))</f>
        <v/>
      </c>
      <c r="AG85" s="28">
        <f>IF(AF85="","",IF(ISNUMBER(AF85),IF(AF85&lt;0,"Expired",IF(AF85&lt;=30,"Due ≤30 days",IF(AF85&lt;=90,"Due ≤90 days","OK"))),"Check date"))</f>
        <v/>
      </c>
      <c r="AH85" s="22" t="n"/>
      <c r="AI85" s="22" t="n"/>
      <c r="AJ85" s="22" t="n"/>
      <c r="AK85" s="22" t="n"/>
    </row>
    <row r="86">
      <c r="A86" s="22" t="n"/>
      <c r="B86" s="22" t="n"/>
      <c r="C86" s="22" t="n"/>
      <c r="D86" s="22" t="n"/>
      <c r="E86" s="22" t="n"/>
      <c r="F86" s="22" t="n"/>
      <c r="G86" s="23" t="n"/>
      <c r="H86" s="22" t="n"/>
      <c r="I86" s="23" t="n"/>
      <c r="J86" s="22" t="n"/>
      <c r="K86" s="23" t="n"/>
      <c r="L86" s="22" t="n"/>
      <c r="M86" s="23" t="n"/>
      <c r="N86" s="22" t="n"/>
      <c r="O86" s="22" t="n"/>
      <c r="P86" s="22" t="n"/>
      <c r="Q86" s="23" t="n"/>
      <c r="R86" s="22" t="n"/>
      <c r="S86" s="23" t="n"/>
      <c r="T86" s="22" t="n"/>
      <c r="U86" s="23" t="n"/>
      <c r="V86" s="24" t="n"/>
      <c r="W86" s="25">
        <f>IF(ISNUMBER(U86),U86+IF(ISNUMBER(V86),V86,120),"")</f>
        <v/>
      </c>
      <c r="X86" s="22" t="n"/>
      <c r="Y86" s="23" t="n"/>
      <c r="Z86" s="22" t="n"/>
      <c r="AA86" s="23" t="n"/>
      <c r="AB86" s="24" t="n"/>
      <c r="AC86" s="26">
        <f>IF(ISNUMBER(AD86)=FALSE,"",IF(G86=AD86,"State license",IF(I86=AD86,"DEA registration",IF(K86=AD86,"State CSR",IF(M86=AD86,"Board certification",IF(Q86=AD86,"Malpractice",IF(S86=AD86,"Life support",IF(W86=AD86,"CAQH re-attestation",IF(Y86=AD86,"Privileges reappointment","Payer recredentialing")))))))))</f>
        <v/>
      </c>
      <c r="AD86" s="25">
        <f>IF(OR(AND(LEN(G86)&gt;0,ISNUMBER(G86)=FALSE),AND(LEN(I86)&gt;0,ISNUMBER(I86)=FALSE),AND(LEN(K86)&gt;0,ISNUMBER(K86)=FALSE),AND(LEN(M86)&gt;0,ISNUMBER(M86)=FALSE),AND(LEN(Q86)&gt;0,ISNUMBER(Q86)=FALSE),AND(LEN(S86)&gt;0,ISNUMBER(S86)=FALSE),AND(LEN(Y86)&gt;0,ISNUMBER(Y86)=FALSE),AND(LEN(AA86)&gt;0,ISNUMBER(AA86)=FALSE),AND(LEN(U86)&gt;0,ISNUMBER(U86)=FALSE)),"Check date",IF(COUNT(G86,I86,K86,M86,Q86,S86,W86,Y86,AA86)=0,"",MIN(G86,I86,K86,M86,Q86,S86,W86,Y86,AA86)))</f>
        <v/>
      </c>
      <c r="AE86" s="25">
        <f>IF(ISNUMBER(AD86),AD86-IF(ISNUMBER(AB86),AB86,30),"")</f>
        <v/>
      </c>
      <c r="AF86" s="27">
        <f>IF(AD86="","",IF(ISNUMBER(AD86),AD86-TODAY(),"Check date"))</f>
        <v/>
      </c>
      <c r="AG86" s="28">
        <f>IF(AF86="","",IF(ISNUMBER(AF86),IF(AF86&lt;0,"Expired",IF(AF86&lt;=30,"Due ≤30 days",IF(AF86&lt;=90,"Due ≤90 days","OK"))),"Check date"))</f>
        <v/>
      </c>
      <c r="AH86" s="22" t="n"/>
      <c r="AI86" s="22" t="n"/>
      <c r="AJ86" s="22" t="n"/>
      <c r="AK86" s="22" t="n"/>
    </row>
    <row r="87">
      <c r="A87" s="22" t="n"/>
      <c r="B87" s="22" t="n"/>
      <c r="C87" s="22" t="n"/>
      <c r="D87" s="22" t="n"/>
      <c r="E87" s="22" t="n"/>
      <c r="F87" s="22" t="n"/>
      <c r="G87" s="23" t="n"/>
      <c r="H87" s="22" t="n"/>
      <c r="I87" s="23" t="n"/>
      <c r="J87" s="22" t="n"/>
      <c r="K87" s="23" t="n"/>
      <c r="L87" s="22" t="n"/>
      <c r="M87" s="23" t="n"/>
      <c r="N87" s="22" t="n"/>
      <c r="O87" s="22" t="n"/>
      <c r="P87" s="22" t="n"/>
      <c r="Q87" s="23" t="n"/>
      <c r="R87" s="22" t="n"/>
      <c r="S87" s="23" t="n"/>
      <c r="T87" s="22" t="n"/>
      <c r="U87" s="23" t="n"/>
      <c r="V87" s="24" t="n"/>
      <c r="W87" s="25">
        <f>IF(ISNUMBER(U87),U87+IF(ISNUMBER(V87),V87,120),"")</f>
        <v/>
      </c>
      <c r="X87" s="22" t="n"/>
      <c r="Y87" s="23" t="n"/>
      <c r="Z87" s="22" t="n"/>
      <c r="AA87" s="23" t="n"/>
      <c r="AB87" s="24" t="n"/>
      <c r="AC87" s="26">
        <f>IF(ISNUMBER(AD87)=FALSE,"",IF(G87=AD87,"State license",IF(I87=AD87,"DEA registration",IF(K87=AD87,"State CSR",IF(M87=AD87,"Board certification",IF(Q87=AD87,"Malpractice",IF(S87=AD87,"Life support",IF(W87=AD87,"CAQH re-attestation",IF(Y87=AD87,"Privileges reappointment","Payer recredentialing")))))))))</f>
        <v/>
      </c>
      <c r="AD87" s="25">
        <f>IF(OR(AND(LEN(G87)&gt;0,ISNUMBER(G87)=FALSE),AND(LEN(I87)&gt;0,ISNUMBER(I87)=FALSE),AND(LEN(K87)&gt;0,ISNUMBER(K87)=FALSE),AND(LEN(M87)&gt;0,ISNUMBER(M87)=FALSE),AND(LEN(Q87)&gt;0,ISNUMBER(Q87)=FALSE),AND(LEN(S87)&gt;0,ISNUMBER(S87)=FALSE),AND(LEN(Y87)&gt;0,ISNUMBER(Y87)=FALSE),AND(LEN(AA87)&gt;0,ISNUMBER(AA87)=FALSE),AND(LEN(U87)&gt;0,ISNUMBER(U87)=FALSE)),"Check date",IF(COUNT(G87,I87,K87,M87,Q87,S87,W87,Y87,AA87)=0,"",MIN(G87,I87,K87,M87,Q87,S87,W87,Y87,AA87)))</f>
        <v/>
      </c>
      <c r="AE87" s="25">
        <f>IF(ISNUMBER(AD87),AD87-IF(ISNUMBER(AB87),AB87,30),"")</f>
        <v/>
      </c>
      <c r="AF87" s="27">
        <f>IF(AD87="","",IF(ISNUMBER(AD87),AD87-TODAY(),"Check date"))</f>
        <v/>
      </c>
      <c r="AG87" s="28">
        <f>IF(AF87="","",IF(ISNUMBER(AF87),IF(AF87&lt;0,"Expired",IF(AF87&lt;=30,"Due ≤30 days",IF(AF87&lt;=90,"Due ≤90 days","OK"))),"Check date"))</f>
        <v/>
      </c>
      <c r="AH87" s="22" t="n"/>
      <c r="AI87" s="22" t="n"/>
      <c r="AJ87" s="22" t="n"/>
      <c r="AK87" s="22" t="n"/>
    </row>
    <row r="88">
      <c r="A88" s="22" t="n"/>
      <c r="B88" s="22" t="n"/>
      <c r="C88" s="22" t="n"/>
      <c r="D88" s="22" t="n"/>
      <c r="E88" s="22" t="n"/>
      <c r="F88" s="22" t="n"/>
      <c r="G88" s="23" t="n"/>
      <c r="H88" s="22" t="n"/>
      <c r="I88" s="23" t="n"/>
      <c r="J88" s="22" t="n"/>
      <c r="K88" s="23" t="n"/>
      <c r="L88" s="22" t="n"/>
      <c r="M88" s="23" t="n"/>
      <c r="N88" s="22" t="n"/>
      <c r="O88" s="22" t="n"/>
      <c r="P88" s="22" t="n"/>
      <c r="Q88" s="23" t="n"/>
      <c r="R88" s="22" t="n"/>
      <c r="S88" s="23" t="n"/>
      <c r="T88" s="22" t="n"/>
      <c r="U88" s="23" t="n"/>
      <c r="V88" s="24" t="n"/>
      <c r="W88" s="25">
        <f>IF(ISNUMBER(U88),U88+IF(ISNUMBER(V88),V88,120),"")</f>
        <v/>
      </c>
      <c r="X88" s="22" t="n"/>
      <c r="Y88" s="23" t="n"/>
      <c r="Z88" s="22" t="n"/>
      <c r="AA88" s="23" t="n"/>
      <c r="AB88" s="24" t="n"/>
      <c r="AC88" s="26">
        <f>IF(ISNUMBER(AD88)=FALSE,"",IF(G88=AD88,"State license",IF(I88=AD88,"DEA registration",IF(K88=AD88,"State CSR",IF(M88=AD88,"Board certification",IF(Q88=AD88,"Malpractice",IF(S88=AD88,"Life support",IF(W88=AD88,"CAQH re-attestation",IF(Y88=AD88,"Privileges reappointment","Payer recredentialing")))))))))</f>
        <v/>
      </c>
      <c r="AD88" s="25">
        <f>IF(OR(AND(LEN(G88)&gt;0,ISNUMBER(G88)=FALSE),AND(LEN(I88)&gt;0,ISNUMBER(I88)=FALSE),AND(LEN(K88)&gt;0,ISNUMBER(K88)=FALSE),AND(LEN(M88)&gt;0,ISNUMBER(M88)=FALSE),AND(LEN(Q88)&gt;0,ISNUMBER(Q88)=FALSE),AND(LEN(S88)&gt;0,ISNUMBER(S88)=FALSE),AND(LEN(Y88)&gt;0,ISNUMBER(Y88)=FALSE),AND(LEN(AA88)&gt;0,ISNUMBER(AA88)=FALSE),AND(LEN(U88)&gt;0,ISNUMBER(U88)=FALSE)),"Check date",IF(COUNT(G88,I88,K88,M88,Q88,S88,W88,Y88,AA88)=0,"",MIN(G88,I88,K88,M88,Q88,S88,W88,Y88,AA88)))</f>
        <v/>
      </c>
      <c r="AE88" s="25">
        <f>IF(ISNUMBER(AD88),AD88-IF(ISNUMBER(AB88),AB88,30),"")</f>
        <v/>
      </c>
      <c r="AF88" s="27">
        <f>IF(AD88="","",IF(ISNUMBER(AD88),AD88-TODAY(),"Check date"))</f>
        <v/>
      </c>
      <c r="AG88" s="28">
        <f>IF(AF88="","",IF(ISNUMBER(AF88),IF(AF88&lt;0,"Expired",IF(AF88&lt;=30,"Due ≤30 days",IF(AF88&lt;=90,"Due ≤90 days","OK"))),"Check date"))</f>
        <v/>
      </c>
      <c r="AH88" s="22" t="n"/>
      <c r="AI88" s="22" t="n"/>
      <c r="AJ88" s="22" t="n"/>
      <c r="AK88" s="22" t="n"/>
    </row>
    <row r="89">
      <c r="A89" s="22" t="n"/>
      <c r="B89" s="22" t="n"/>
      <c r="C89" s="22" t="n"/>
      <c r="D89" s="22" t="n"/>
      <c r="E89" s="22" t="n"/>
      <c r="F89" s="22" t="n"/>
      <c r="G89" s="23" t="n"/>
      <c r="H89" s="22" t="n"/>
      <c r="I89" s="23" t="n"/>
      <c r="J89" s="22" t="n"/>
      <c r="K89" s="23" t="n"/>
      <c r="L89" s="22" t="n"/>
      <c r="M89" s="23" t="n"/>
      <c r="N89" s="22" t="n"/>
      <c r="O89" s="22" t="n"/>
      <c r="P89" s="22" t="n"/>
      <c r="Q89" s="23" t="n"/>
      <c r="R89" s="22" t="n"/>
      <c r="S89" s="23" t="n"/>
      <c r="T89" s="22" t="n"/>
      <c r="U89" s="23" t="n"/>
      <c r="V89" s="24" t="n"/>
      <c r="W89" s="25">
        <f>IF(ISNUMBER(U89),U89+IF(ISNUMBER(V89),V89,120),"")</f>
        <v/>
      </c>
      <c r="X89" s="22" t="n"/>
      <c r="Y89" s="23" t="n"/>
      <c r="Z89" s="22" t="n"/>
      <c r="AA89" s="23" t="n"/>
      <c r="AB89" s="24" t="n"/>
      <c r="AC89" s="26">
        <f>IF(ISNUMBER(AD89)=FALSE,"",IF(G89=AD89,"State license",IF(I89=AD89,"DEA registration",IF(K89=AD89,"State CSR",IF(M89=AD89,"Board certification",IF(Q89=AD89,"Malpractice",IF(S89=AD89,"Life support",IF(W89=AD89,"CAQH re-attestation",IF(Y89=AD89,"Privileges reappointment","Payer recredentialing")))))))))</f>
        <v/>
      </c>
      <c r="AD89" s="25">
        <f>IF(OR(AND(LEN(G89)&gt;0,ISNUMBER(G89)=FALSE),AND(LEN(I89)&gt;0,ISNUMBER(I89)=FALSE),AND(LEN(K89)&gt;0,ISNUMBER(K89)=FALSE),AND(LEN(M89)&gt;0,ISNUMBER(M89)=FALSE),AND(LEN(Q89)&gt;0,ISNUMBER(Q89)=FALSE),AND(LEN(S89)&gt;0,ISNUMBER(S89)=FALSE),AND(LEN(Y89)&gt;0,ISNUMBER(Y89)=FALSE),AND(LEN(AA89)&gt;0,ISNUMBER(AA89)=FALSE),AND(LEN(U89)&gt;0,ISNUMBER(U89)=FALSE)),"Check date",IF(COUNT(G89,I89,K89,M89,Q89,S89,W89,Y89,AA89)=0,"",MIN(G89,I89,K89,M89,Q89,S89,W89,Y89,AA89)))</f>
        <v/>
      </c>
      <c r="AE89" s="25">
        <f>IF(ISNUMBER(AD89),AD89-IF(ISNUMBER(AB89),AB89,30),"")</f>
        <v/>
      </c>
      <c r="AF89" s="27">
        <f>IF(AD89="","",IF(ISNUMBER(AD89),AD89-TODAY(),"Check date"))</f>
        <v/>
      </c>
      <c r="AG89" s="28">
        <f>IF(AF89="","",IF(ISNUMBER(AF89),IF(AF89&lt;0,"Expired",IF(AF89&lt;=30,"Due ≤30 days",IF(AF89&lt;=90,"Due ≤90 days","OK"))),"Check date"))</f>
        <v/>
      </c>
      <c r="AH89" s="22" t="n"/>
      <c r="AI89" s="22" t="n"/>
      <c r="AJ89" s="22" t="n"/>
      <c r="AK89" s="22" t="n"/>
    </row>
    <row r="90">
      <c r="A90" s="22" t="n"/>
      <c r="B90" s="22" t="n"/>
      <c r="C90" s="22" t="n"/>
      <c r="D90" s="22" t="n"/>
      <c r="E90" s="22" t="n"/>
      <c r="F90" s="22" t="n"/>
      <c r="G90" s="23" t="n"/>
      <c r="H90" s="22" t="n"/>
      <c r="I90" s="23" t="n"/>
      <c r="J90" s="22" t="n"/>
      <c r="K90" s="23" t="n"/>
      <c r="L90" s="22" t="n"/>
      <c r="M90" s="23" t="n"/>
      <c r="N90" s="22" t="n"/>
      <c r="O90" s="22" t="n"/>
      <c r="P90" s="22" t="n"/>
      <c r="Q90" s="23" t="n"/>
      <c r="R90" s="22" t="n"/>
      <c r="S90" s="23" t="n"/>
      <c r="T90" s="22" t="n"/>
      <c r="U90" s="23" t="n"/>
      <c r="V90" s="24" t="n"/>
      <c r="W90" s="25">
        <f>IF(ISNUMBER(U90),U90+IF(ISNUMBER(V90),V90,120),"")</f>
        <v/>
      </c>
      <c r="X90" s="22" t="n"/>
      <c r="Y90" s="23" t="n"/>
      <c r="Z90" s="22" t="n"/>
      <c r="AA90" s="23" t="n"/>
      <c r="AB90" s="24" t="n"/>
      <c r="AC90" s="26">
        <f>IF(ISNUMBER(AD90)=FALSE,"",IF(G90=AD90,"State license",IF(I90=AD90,"DEA registration",IF(K90=AD90,"State CSR",IF(M90=AD90,"Board certification",IF(Q90=AD90,"Malpractice",IF(S90=AD90,"Life support",IF(W90=AD90,"CAQH re-attestation",IF(Y90=AD90,"Privileges reappointment","Payer recredentialing")))))))))</f>
        <v/>
      </c>
      <c r="AD90" s="25">
        <f>IF(OR(AND(LEN(G90)&gt;0,ISNUMBER(G90)=FALSE),AND(LEN(I90)&gt;0,ISNUMBER(I90)=FALSE),AND(LEN(K90)&gt;0,ISNUMBER(K90)=FALSE),AND(LEN(M90)&gt;0,ISNUMBER(M90)=FALSE),AND(LEN(Q90)&gt;0,ISNUMBER(Q90)=FALSE),AND(LEN(S90)&gt;0,ISNUMBER(S90)=FALSE),AND(LEN(Y90)&gt;0,ISNUMBER(Y90)=FALSE),AND(LEN(AA90)&gt;0,ISNUMBER(AA90)=FALSE),AND(LEN(U90)&gt;0,ISNUMBER(U90)=FALSE)),"Check date",IF(COUNT(G90,I90,K90,M90,Q90,S90,W90,Y90,AA90)=0,"",MIN(G90,I90,K90,M90,Q90,S90,W90,Y90,AA90)))</f>
        <v/>
      </c>
      <c r="AE90" s="25">
        <f>IF(ISNUMBER(AD90),AD90-IF(ISNUMBER(AB90),AB90,30),"")</f>
        <v/>
      </c>
      <c r="AF90" s="27">
        <f>IF(AD90="","",IF(ISNUMBER(AD90),AD90-TODAY(),"Check date"))</f>
        <v/>
      </c>
      <c r="AG90" s="28">
        <f>IF(AF90="","",IF(ISNUMBER(AF90),IF(AF90&lt;0,"Expired",IF(AF90&lt;=30,"Due ≤30 days",IF(AF90&lt;=90,"Due ≤90 days","OK"))),"Check date"))</f>
        <v/>
      </c>
      <c r="AH90" s="22" t="n"/>
      <c r="AI90" s="22" t="n"/>
      <c r="AJ90" s="22" t="n"/>
      <c r="AK90" s="22" t="n"/>
    </row>
    <row r="91">
      <c r="A91" s="22" t="n"/>
      <c r="B91" s="22" t="n"/>
      <c r="C91" s="22" t="n"/>
      <c r="D91" s="22" t="n"/>
      <c r="E91" s="22" t="n"/>
      <c r="F91" s="22" t="n"/>
      <c r="G91" s="23" t="n"/>
      <c r="H91" s="22" t="n"/>
      <c r="I91" s="23" t="n"/>
      <c r="J91" s="22" t="n"/>
      <c r="K91" s="23" t="n"/>
      <c r="L91" s="22" t="n"/>
      <c r="M91" s="23" t="n"/>
      <c r="N91" s="22" t="n"/>
      <c r="O91" s="22" t="n"/>
      <c r="P91" s="22" t="n"/>
      <c r="Q91" s="23" t="n"/>
      <c r="R91" s="22" t="n"/>
      <c r="S91" s="23" t="n"/>
      <c r="T91" s="22" t="n"/>
      <c r="U91" s="23" t="n"/>
      <c r="V91" s="24" t="n"/>
      <c r="W91" s="25">
        <f>IF(ISNUMBER(U91),U91+IF(ISNUMBER(V91),V91,120),"")</f>
        <v/>
      </c>
      <c r="X91" s="22" t="n"/>
      <c r="Y91" s="23" t="n"/>
      <c r="Z91" s="22" t="n"/>
      <c r="AA91" s="23" t="n"/>
      <c r="AB91" s="24" t="n"/>
      <c r="AC91" s="26">
        <f>IF(ISNUMBER(AD91)=FALSE,"",IF(G91=AD91,"State license",IF(I91=AD91,"DEA registration",IF(K91=AD91,"State CSR",IF(M91=AD91,"Board certification",IF(Q91=AD91,"Malpractice",IF(S91=AD91,"Life support",IF(W91=AD91,"CAQH re-attestation",IF(Y91=AD91,"Privileges reappointment","Payer recredentialing")))))))))</f>
        <v/>
      </c>
      <c r="AD91" s="25">
        <f>IF(OR(AND(LEN(G91)&gt;0,ISNUMBER(G91)=FALSE),AND(LEN(I91)&gt;0,ISNUMBER(I91)=FALSE),AND(LEN(K91)&gt;0,ISNUMBER(K91)=FALSE),AND(LEN(M91)&gt;0,ISNUMBER(M91)=FALSE),AND(LEN(Q91)&gt;0,ISNUMBER(Q91)=FALSE),AND(LEN(S91)&gt;0,ISNUMBER(S91)=FALSE),AND(LEN(Y91)&gt;0,ISNUMBER(Y91)=FALSE),AND(LEN(AA91)&gt;0,ISNUMBER(AA91)=FALSE),AND(LEN(U91)&gt;0,ISNUMBER(U91)=FALSE)),"Check date",IF(COUNT(G91,I91,K91,M91,Q91,S91,W91,Y91,AA91)=0,"",MIN(G91,I91,K91,M91,Q91,S91,W91,Y91,AA91)))</f>
        <v/>
      </c>
      <c r="AE91" s="25">
        <f>IF(ISNUMBER(AD91),AD91-IF(ISNUMBER(AB91),AB91,30),"")</f>
        <v/>
      </c>
      <c r="AF91" s="27">
        <f>IF(AD91="","",IF(ISNUMBER(AD91),AD91-TODAY(),"Check date"))</f>
        <v/>
      </c>
      <c r="AG91" s="28">
        <f>IF(AF91="","",IF(ISNUMBER(AF91),IF(AF91&lt;0,"Expired",IF(AF91&lt;=30,"Due ≤30 days",IF(AF91&lt;=90,"Due ≤90 days","OK"))),"Check date"))</f>
        <v/>
      </c>
      <c r="AH91" s="22" t="n"/>
      <c r="AI91" s="22" t="n"/>
      <c r="AJ91" s="22" t="n"/>
      <c r="AK91" s="22" t="n"/>
    </row>
    <row r="92">
      <c r="A92" s="22" t="n"/>
      <c r="B92" s="22" t="n"/>
      <c r="C92" s="22" t="n"/>
      <c r="D92" s="22" t="n"/>
      <c r="E92" s="22" t="n"/>
      <c r="F92" s="22" t="n"/>
      <c r="G92" s="23" t="n"/>
      <c r="H92" s="22" t="n"/>
      <c r="I92" s="23" t="n"/>
      <c r="J92" s="22" t="n"/>
      <c r="K92" s="23" t="n"/>
      <c r="L92" s="22" t="n"/>
      <c r="M92" s="23" t="n"/>
      <c r="N92" s="22" t="n"/>
      <c r="O92" s="22" t="n"/>
      <c r="P92" s="22" t="n"/>
      <c r="Q92" s="23" t="n"/>
      <c r="R92" s="22" t="n"/>
      <c r="S92" s="23" t="n"/>
      <c r="T92" s="22" t="n"/>
      <c r="U92" s="23" t="n"/>
      <c r="V92" s="24" t="n"/>
      <c r="W92" s="25">
        <f>IF(ISNUMBER(U92),U92+IF(ISNUMBER(V92),V92,120),"")</f>
        <v/>
      </c>
      <c r="X92" s="22" t="n"/>
      <c r="Y92" s="23" t="n"/>
      <c r="Z92" s="22" t="n"/>
      <c r="AA92" s="23" t="n"/>
      <c r="AB92" s="24" t="n"/>
      <c r="AC92" s="26">
        <f>IF(ISNUMBER(AD92)=FALSE,"",IF(G92=AD92,"State license",IF(I92=AD92,"DEA registration",IF(K92=AD92,"State CSR",IF(M92=AD92,"Board certification",IF(Q92=AD92,"Malpractice",IF(S92=AD92,"Life support",IF(W92=AD92,"CAQH re-attestation",IF(Y92=AD92,"Privileges reappointment","Payer recredentialing")))))))))</f>
        <v/>
      </c>
      <c r="AD92" s="25">
        <f>IF(OR(AND(LEN(G92)&gt;0,ISNUMBER(G92)=FALSE),AND(LEN(I92)&gt;0,ISNUMBER(I92)=FALSE),AND(LEN(K92)&gt;0,ISNUMBER(K92)=FALSE),AND(LEN(M92)&gt;0,ISNUMBER(M92)=FALSE),AND(LEN(Q92)&gt;0,ISNUMBER(Q92)=FALSE),AND(LEN(S92)&gt;0,ISNUMBER(S92)=FALSE),AND(LEN(Y92)&gt;0,ISNUMBER(Y92)=FALSE),AND(LEN(AA92)&gt;0,ISNUMBER(AA92)=FALSE),AND(LEN(U92)&gt;0,ISNUMBER(U92)=FALSE)),"Check date",IF(COUNT(G92,I92,K92,M92,Q92,S92,W92,Y92,AA92)=0,"",MIN(G92,I92,K92,M92,Q92,S92,W92,Y92,AA92)))</f>
        <v/>
      </c>
      <c r="AE92" s="25">
        <f>IF(ISNUMBER(AD92),AD92-IF(ISNUMBER(AB92),AB92,30),"")</f>
        <v/>
      </c>
      <c r="AF92" s="27">
        <f>IF(AD92="","",IF(ISNUMBER(AD92),AD92-TODAY(),"Check date"))</f>
        <v/>
      </c>
      <c r="AG92" s="28">
        <f>IF(AF92="","",IF(ISNUMBER(AF92),IF(AF92&lt;0,"Expired",IF(AF92&lt;=30,"Due ≤30 days",IF(AF92&lt;=90,"Due ≤90 days","OK"))),"Check date"))</f>
        <v/>
      </c>
      <c r="AH92" s="22" t="n"/>
      <c r="AI92" s="22" t="n"/>
      <c r="AJ92" s="22" t="n"/>
      <c r="AK92" s="22" t="n"/>
    </row>
    <row r="93">
      <c r="A93" s="22" t="n"/>
      <c r="B93" s="22" t="n"/>
      <c r="C93" s="22" t="n"/>
      <c r="D93" s="22" t="n"/>
      <c r="E93" s="22" t="n"/>
      <c r="F93" s="22" t="n"/>
      <c r="G93" s="23" t="n"/>
      <c r="H93" s="22" t="n"/>
      <c r="I93" s="23" t="n"/>
      <c r="J93" s="22" t="n"/>
      <c r="K93" s="23" t="n"/>
      <c r="L93" s="22" t="n"/>
      <c r="M93" s="23" t="n"/>
      <c r="N93" s="22" t="n"/>
      <c r="O93" s="22" t="n"/>
      <c r="P93" s="22" t="n"/>
      <c r="Q93" s="23" t="n"/>
      <c r="R93" s="22" t="n"/>
      <c r="S93" s="23" t="n"/>
      <c r="T93" s="22" t="n"/>
      <c r="U93" s="23" t="n"/>
      <c r="V93" s="24" t="n"/>
      <c r="W93" s="25">
        <f>IF(ISNUMBER(U93),U93+IF(ISNUMBER(V93),V93,120),"")</f>
        <v/>
      </c>
      <c r="X93" s="22" t="n"/>
      <c r="Y93" s="23" t="n"/>
      <c r="Z93" s="22" t="n"/>
      <c r="AA93" s="23" t="n"/>
      <c r="AB93" s="24" t="n"/>
      <c r="AC93" s="26">
        <f>IF(ISNUMBER(AD93)=FALSE,"",IF(G93=AD93,"State license",IF(I93=AD93,"DEA registration",IF(K93=AD93,"State CSR",IF(M93=AD93,"Board certification",IF(Q93=AD93,"Malpractice",IF(S93=AD93,"Life support",IF(W93=AD93,"CAQH re-attestation",IF(Y93=AD93,"Privileges reappointment","Payer recredentialing")))))))))</f>
        <v/>
      </c>
      <c r="AD93" s="25">
        <f>IF(OR(AND(LEN(G93)&gt;0,ISNUMBER(G93)=FALSE),AND(LEN(I93)&gt;0,ISNUMBER(I93)=FALSE),AND(LEN(K93)&gt;0,ISNUMBER(K93)=FALSE),AND(LEN(M93)&gt;0,ISNUMBER(M93)=FALSE),AND(LEN(Q93)&gt;0,ISNUMBER(Q93)=FALSE),AND(LEN(S93)&gt;0,ISNUMBER(S93)=FALSE),AND(LEN(Y93)&gt;0,ISNUMBER(Y93)=FALSE),AND(LEN(AA93)&gt;0,ISNUMBER(AA93)=FALSE),AND(LEN(U93)&gt;0,ISNUMBER(U93)=FALSE)),"Check date",IF(COUNT(G93,I93,K93,M93,Q93,S93,W93,Y93,AA93)=0,"",MIN(G93,I93,K93,M93,Q93,S93,W93,Y93,AA93)))</f>
        <v/>
      </c>
      <c r="AE93" s="25">
        <f>IF(ISNUMBER(AD93),AD93-IF(ISNUMBER(AB93),AB93,30),"")</f>
        <v/>
      </c>
      <c r="AF93" s="27">
        <f>IF(AD93="","",IF(ISNUMBER(AD93),AD93-TODAY(),"Check date"))</f>
        <v/>
      </c>
      <c r="AG93" s="28">
        <f>IF(AF93="","",IF(ISNUMBER(AF93),IF(AF93&lt;0,"Expired",IF(AF93&lt;=30,"Due ≤30 days",IF(AF93&lt;=90,"Due ≤90 days","OK"))),"Check date"))</f>
        <v/>
      </c>
      <c r="AH93" s="22" t="n"/>
      <c r="AI93" s="22" t="n"/>
      <c r="AJ93" s="22" t="n"/>
      <c r="AK93" s="22" t="n"/>
    </row>
    <row r="94">
      <c r="A94" s="22" t="n"/>
      <c r="B94" s="22" t="n"/>
      <c r="C94" s="22" t="n"/>
      <c r="D94" s="22" t="n"/>
      <c r="E94" s="22" t="n"/>
      <c r="F94" s="22" t="n"/>
      <c r="G94" s="23" t="n"/>
      <c r="H94" s="22" t="n"/>
      <c r="I94" s="23" t="n"/>
      <c r="J94" s="22" t="n"/>
      <c r="K94" s="23" t="n"/>
      <c r="L94" s="22" t="n"/>
      <c r="M94" s="23" t="n"/>
      <c r="N94" s="22" t="n"/>
      <c r="O94" s="22" t="n"/>
      <c r="P94" s="22" t="n"/>
      <c r="Q94" s="23" t="n"/>
      <c r="R94" s="22" t="n"/>
      <c r="S94" s="23" t="n"/>
      <c r="T94" s="22" t="n"/>
      <c r="U94" s="23" t="n"/>
      <c r="V94" s="24" t="n"/>
      <c r="W94" s="25">
        <f>IF(ISNUMBER(U94),U94+IF(ISNUMBER(V94),V94,120),"")</f>
        <v/>
      </c>
      <c r="X94" s="22" t="n"/>
      <c r="Y94" s="23" t="n"/>
      <c r="Z94" s="22" t="n"/>
      <c r="AA94" s="23" t="n"/>
      <c r="AB94" s="24" t="n"/>
      <c r="AC94" s="26">
        <f>IF(ISNUMBER(AD94)=FALSE,"",IF(G94=AD94,"State license",IF(I94=AD94,"DEA registration",IF(K94=AD94,"State CSR",IF(M94=AD94,"Board certification",IF(Q94=AD94,"Malpractice",IF(S94=AD94,"Life support",IF(W94=AD94,"CAQH re-attestation",IF(Y94=AD94,"Privileges reappointment","Payer recredentialing")))))))))</f>
        <v/>
      </c>
      <c r="AD94" s="25">
        <f>IF(OR(AND(LEN(G94)&gt;0,ISNUMBER(G94)=FALSE),AND(LEN(I94)&gt;0,ISNUMBER(I94)=FALSE),AND(LEN(K94)&gt;0,ISNUMBER(K94)=FALSE),AND(LEN(M94)&gt;0,ISNUMBER(M94)=FALSE),AND(LEN(Q94)&gt;0,ISNUMBER(Q94)=FALSE),AND(LEN(S94)&gt;0,ISNUMBER(S94)=FALSE),AND(LEN(Y94)&gt;0,ISNUMBER(Y94)=FALSE),AND(LEN(AA94)&gt;0,ISNUMBER(AA94)=FALSE),AND(LEN(U94)&gt;0,ISNUMBER(U94)=FALSE)),"Check date",IF(COUNT(G94,I94,K94,M94,Q94,S94,W94,Y94,AA94)=0,"",MIN(G94,I94,K94,M94,Q94,S94,W94,Y94,AA94)))</f>
        <v/>
      </c>
      <c r="AE94" s="25">
        <f>IF(ISNUMBER(AD94),AD94-IF(ISNUMBER(AB94),AB94,30),"")</f>
        <v/>
      </c>
      <c r="AF94" s="27">
        <f>IF(AD94="","",IF(ISNUMBER(AD94),AD94-TODAY(),"Check date"))</f>
        <v/>
      </c>
      <c r="AG94" s="28">
        <f>IF(AF94="","",IF(ISNUMBER(AF94),IF(AF94&lt;0,"Expired",IF(AF94&lt;=30,"Due ≤30 days",IF(AF94&lt;=90,"Due ≤90 days","OK"))),"Check date"))</f>
        <v/>
      </c>
      <c r="AH94" s="22" t="n"/>
      <c r="AI94" s="22" t="n"/>
      <c r="AJ94" s="22" t="n"/>
      <c r="AK94" s="22" t="n"/>
    </row>
    <row r="95">
      <c r="A95" s="22" t="n"/>
      <c r="B95" s="22" t="n"/>
      <c r="C95" s="22" t="n"/>
      <c r="D95" s="22" t="n"/>
      <c r="E95" s="22" t="n"/>
      <c r="F95" s="22" t="n"/>
      <c r="G95" s="23" t="n"/>
      <c r="H95" s="22" t="n"/>
      <c r="I95" s="23" t="n"/>
      <c r="J95" s="22" t="n"/>
      <c r="K95" s="23" t="n"/>
      <c r="L95" s="22" t="n"/>
      <c r="M95" s="23" t="n"/>
      <c r="N95" s="22" t="n"/>
      <c r="O95" s="22" t="n"/>
      <c r="P95" s="22" t="n"/>
      <c r="Q95" s="23" t="n"/>
      <c r="R95" s="22" t="n"/>
      <c r="S95" s="23" t="n"/>
      <c r="T95" s="22" t="n"/>
      <c r="U95" s="23" t="n"/>
      <c r="V95" s="24" t="n"/>
      <c r="W95" s="25">
        <f>IF(ISNUMBER(U95),U95+IF(ISNUMBER(V95),V95,120),"")</f>
        <v/>
      </c>
      <c r="X95" s="22" t="n"/>
      <c r="Y95" s="23" t="n"/>
      <c r="Z95" s="22" t="n"/>
      <c r="AA95" s="23" t="n"/>
      <c r="AB95" s="24" t="n"/>
      <c r="AC95" s="26">
        <f>IF(ISNUMBER(AD95)=FALSE,"",IF(G95=AD95,"State license",IF(I95=AD95,"DEA registration",IF(K95=AD95,"State CSR",IF(M95=AD95,"Board certification",IF(Q95=AD95,"Malpractice",IF(S95=AD95,"Life support",IF(W95=AD95,"CAQH re-attestation",IF(Y95=AD95,"Privileges reappointment","Payer recredentialing")))))))))</f>
        <v/>
      </c>
      <c r="AD95" s="25">
        <f>IF(OR(AND(LEN(G95)&gt;0,ISNUMBER(G95)=FALSE),AND(LEN(I95)&gt;0,ISNUMBER(I95)=FALSE),AND(LEN(K95)&gt;0,ISNUMBER(K95)=FALSE),AND(LEN(M95)&gt;0,ISNUMBER(M95)=FALSE),AND(LEN(Q95)&gt;0,ISNUMBER(Q95)=FALSE),AND(LEN(S95)&gt;0,ISNUMBER(S95)=FALSE),AND(LEN(Y95)&gt;0,ISNUMBER(Y95)=FALSE),AND(LEN(AA95)&gt;0,ISNUMBER(AA95)=FALSE),AND(LEN(U95)&gt;0,ISNUMBER(U95)=FALSE)),"Check date",IF(COUNT(G95,I95,K95,M95,Q95,S95,W95,Y95,AA95)=0,"",MIN(G95,I95,K95,M95,Q95,S95,W95,Y95,AA95)))</f>
        <v/>
      </c>
      <c r="AE95" s="25">
        <f>IF(ISNUMBER(AD95),AD95-IF(ISNUMBER(AB95),AB95,30),"")</f>
        <v/>
      </c>
      <c r="AF95" s="27">
        <f>IF(AD95="","",IF(ISNUMBER(AD95),AD95-TODAY(),"Check date"))</f>
        <v/>
      </c>
      <c r="AG95" s="28">
        <f>IF(AF95="","",IF(ISNUMBER(AF95),IF(AF95&lt;0,"Expired",IF(AF95&lt;=30,"Due ≤30 days",IF(AF95&lt;=90,"Due ≤90 days","OK"))),"Check date"))</f>
        <v/>
      </c>
      <c r="AH95" s="22" t="n"/>
      <c r="AI95" s="22" t="n"/>
      <c r="AJ95" s="22" t="n"/>
      <c r="AK95" s="22" t="n"/>
    </row>
    <row r="96">
      <c r="A96" s="22" t="n"/>
      <c r="B96" s="22" t="n"/>
      <c r="C96" s="22" t="n"/>
      <c r="D96" s="22" t="n"/>
      <c r="E96" s="22" t="n"/>
      <c r="F96" s="22" t="n"/>
      <c r="G96" s="23" t="n"/>
      <c r="H96" s="22" t="n"/>
      <c r="I96" s="23" t="n"/>
      <c r="J96" s="22" t="n"/>
      <c r="K96" s="23" t="n"/>
      <c r="L96" s="22" t="n"/>
      <c r="M96" s="23" t="n"/>
      <c r="N96" s="22" t="n"/>
      <c r="O96" s="22" t="n"/>
      <c r="P96" s="22" t="n"/>
      <c r="Q96" s="23" t="n"/>
      <c r="R96" s="22" t="n"/>
      <c r="S96" s="23" t="n"/>
      <c r="T96" s="22" t="n"/>
      <c r="U96" s="23" t="n"/>
      <c r="V96" s="24" t="n"/>
      <c r="W96" s="25">
        <f>IF(ISNUMBER(U96),U96+IF(ISNUMBER(V96),V96,120),"")</f>
        <v/>
      </c>
      <c r="X96" s="22" t="n"/>
      <c r="Y96" s="23" t="n"/>
      <c r="Z96" s="22" t="n"/>
      <c r="AA96" s="23" t="n"/>
      <c r="AB96" s="24" t="n"/>
      <c r="AC96" s="26">
        <f>IF(ISNUMBER(AD96)=FALSE,"",IF(G96=AD96,"State license",IF(I96=AD96,"DEA registration",IF(K96=AD96,"State CSR",IF(M96=AD96,"Board certification",IF(Q96=AD96,"Malpractice",IF(S96=AD96,"Life support",IF(W96=AD96,"CAQH re-attestation",IF(Y96=AD96,"Privileges reappointment","Payer recredentialing")))))))))</f>
        <v/>
      </c>
      <c r="AD96" s="25">
        <f>IF(OR(AND(LEN(G96)&gt;0,ISNUMBER(G96)=FALSE),AND(LEN(I96)&gt;0,ISNUMBER(I96)=FALSE),AND(LEN(K96)&gt;0,ISNUMBER(K96)=FALSE),AND(LEN(M96)&gt;0,ISNUMBER(M96)=FALSE),AND(LEN(Q96)&gt;0,ISNUMBER(Q96)=FALSE),AND(LEN(S96)&gt;0,ISNUMBER(S96)=FALSE),AND(LEN(Y96)&gt;0,ISNUMBER(Y96)=FALSE),AND(LEN(AA96)&gt;0,ISNUMBER(AA96)=FALSE),AND(LEN(U96)&gt;0,ISNUMBER(U96)=FALSE)),"Check date",IF(COUNT(G96,I96,K96,M96,Q96,S96,W96,Y96,AA96)=0,"",MIN(G96,I96,K96,M96,Q96,S96,W96,Y96,AA96)))</f>
        <v/>
      </c>
      <c r="AE96" s="25">
        <f>IF(ISNUMBER(AD96),AD96-IF(ISNUMBER(AB96),AB96,30),"")</f>
        <v/>
      </c>
      <c r="AF96" s="27">
        <f>IF(AD96="","",IF(ISNUMBER(AD96),AD96-TODAY(),"Check date"))</f>
        <v/>
      </c>
      <c r="AG96" s="28">
        <f>IF(AF96="","",IF(ISNUMBER(AF96),IF(AF96&lt;0,"Expired",IF(AF96&lt;=30,"Due ≤30 days",IF(AF96&lt;=90,"Due ≤90 days","OK"))),"Check date"))</f>
        <v/>
      </c>
      <c r="AH96" s="22" t="n"/>
      <c r="AI96" s="22" t="n"/>
      <c r="AJ96" s="22" t="n"/>
      <c r="AK96" s="22" t="n"/>
    </row>
    <row r="97">
      <c r="A97" s="22" t="n"/>
      <c r="B97" s="22" t="n"/>
      <c r="C97" s="22" t="n"/>
      <c r="D97" s="22" t="n"/>
      <c r="E97" s="22" t="n"/>
      <c r="F97" s="22" t="n"/>
      <c r="G97" s="23" t="n"/>
      <c r="H97" s="22" t="n"/>
      <c r="I97" s="23" t="n"/>
      <c r="J97" s="22" t="n"/>
      <c r="K97" s="23" t="n"/>
      <c r="L97" s="22" t="n"/>
      <c r="M97" s="23" t="n"/>
      <c r="N97" s="22" t="n"/>
      <c r="O97" s="22" t="n"/>
      <c r="P97" s="22" t="n"/>
      <c r="Q97" s="23" t="n"/>
      <c r="R97" s="22" t="n"/>
      <c r="S97" s="23" t="n"/>
      <c r="T97" s="22" t="n"/>
      <c r="U97" s="23" t="n"/>
      <c r="V97" s="24" t="n"/>
      <c r="W97" s="25">
        <f>IF(ISNUMBER(U97),U97+IF(ISNUMBER(V97),V97,120),"")</f>
        <v/>
      </c>
      <c r="X97" s="22" t="n"/>
      <c r="Y97" s="23" t="n"/>
      <c r="Z97" s="22" t="n"/>
      <c r="AA97" s="23" t="n"/>
      <c r="AB97" s="24" t="n"/>
      <c r="AC97" s="26">
        <f>IF(ISNUMBER(AD97)=FALSE,"",IF(G97=AD97,"State license",IF(I97=AD97,"DEA registration",IF(K97=AD97,"State CSR",IF(M97=AD97,"Board certification",IF(Q97=AD97,"Malpractice",IF(S97=AD97,"Life support",IF(W97=AD97,"CAQH re-attestation",IF(Y97=AD97,"Privileges reappointment","Payer recredentialing")))))))))</f>
        <v/>
      </c>
      <c r="AD97" s="25">
        <f>IF(OR(AND(LEN(G97)&gt;0,ISNUMBER(G97)=FALSE),AND(LEN(I97)&gt;0,ISNUMBER(I97)=FALSE),AND(LEN(K97)&gt;0,ISNUMBER(K97)=FALSE),AND(LEN(M97)&gt;0,ISNUMBER(M97)=FALSE),AND(LEN(Q97)&gt;0,ISNUMBER(Q97)=FALSE),AND(LEN(S97)&gt;0,ISNUMBER(S97)=FALSE),AND(LEN(Y97)&gt;0,ISNUMBER(Y97)=FALSE),AND(LEN(AA97)&gt;0,ISNUMBER(AA97)=FALSE),AND(LEN(U97)&gt;0,ISNUMBER(U97)=FALSE)),"Check date",IF(COUNT(G97,I97,K97,M97,Q97,S97,W97,Y97,AA97)=0,"",MIN(G97,I97,K97,M97,Q97,S97,W97,Y97,AA97)))</f>
        <v/>
      </c>
      <c r="AE97" s="25">
        <f>IF(ISNUMBER(AD97),AD97-IF(ISNUMBER(AB97),AB97,30),"")</f>
        <v/>
      </c>
      <c r="AF97" s="27">
        <f>IF(AD97="","",IF(ISNUMBER(AD97),AD97-TODAY(),"Check date"))</f>
        <v/>
      </c>
      <c r="AG97" s="28">
        <f>IF(AF97="","",IF(ISNUMBER(AF97),IF(AF97&lt;0,"Expired",IF(AF97&lt;=30,"Due ≤30 days",IF(AF97&lt;=90,"Due ≤90 days","OK"))),"Check date"))</f>
        <v/>
      </c>
      <c r="AH97" s="22" t="n"/>
      <c r="AI97" s="22" t="n"/>
      <c r="AJ97" s="22" t="n"/>
      <c r="AK97" s="22" t="n"/>
    </row>
    <row r="98">
      <c r="A98" s="22" t="n"/>
      <c r="B98" s="22" t="n"/>
      <c r="C98" s="22" t="n"/>
      <c r="D98" s="22" t="n"/>
      <c r="E98" s="22" t="n"/>
      <c r="F98" s="22" t="n"/>
      <c r="G98" s="23" t="n"/>
      <c r="H98" s="22" t="n"/>
      <c r="I98" s="23" t="n"/>
      <c r="J98" s="22" t="n"/>
      <c r="K98" s="23" t="n"/>
      <c r="L98" s="22" t="n"/>
      <c r="M98" s="23" t="n"/>
      <c r="N98" s="22" t="n"/>
      <c r="O98" s="22" t="n"/>
      <c r="P98" s="22" t="n"/>
      <c r="Q98" s="23" t="n"/>
      <c r="R98" s="22" t="n"/>
      <c r="S98" s="23" t="n"/>
      <c r="T98" s="22" t="n"/>
      <c r="U98" s="23" t="n"/>
      <c r="V98" s="24" t="n"/>
      <c r="W98" s="25">
        <f>IF(ISNUMBER(U98),U98+IF(ISNUMBER(V98),V98,120),"")</f>
        <v/>
      </c>
      <c r="X98" s="22" t="n"/>
      <c r="Y98" s="23" t="n"/>
      <c r="Z98" s="22" t="n"/>
      <c r="AA98" s="23" t="n"/>
      <c r="AB98" s="24" t="n"/>
      <c r="AC98" s="26">
        <f>IF(ISNUMBER(AD98)=FALSE,"",IF(G98=AD98,"State license",IF(I98=AD98,"DEA registration",IF(K98=AD98,"State CSR",IF(M98=AD98,"Board certification",IF(Q98=AD98,"Malpractice",IF(S98=AD98,"Life support",IF(W98=AD98,"CAQH re-attestation",IF(Y98=AD98,"Privileges reappointment","Payer recredentialing")))))))))</f>
        <v/>
      </c>
      <c r="AD98" s="25">
        <f>IF(OR(AND(LEN(G98)&gt;0,ISNUMBER(G98)=FALSE),AND(LEN(I98)&gt;0,ISNUMBER(I98)=FALSE),AND(LEN(K98)&gt;0,ISNUMBER(K98)=FALSE),AND(LEN(M98)&gt;0,ISNUMBER(M98)=FALSE),AND(LEN(Q98)&gt;0,ISNUMBER(Q98)=FALSE),AND(LEN(S98)&gt;0,ISNUMBER(S98)=FALSE),AND(LEN(Y98)&gt;0,ISNUMBER(Y98)=FALSE),AND(LEN(AA98)&gt;0,ISNUMBER(AA98)=FALSE),AND(LEN(U98)&gt;0,ISNUMBER(U98)=FALSE)),"Check date",IF(COUNT(G98,I98,K98,M98,Q98,S98,W98,Y98,AA98)=0,"",MIN(G98,I98,K98,M98,Q98,S98,W98,Y98,AA98)))</f>
        <v/>
      </c>
      <c r="AE98" s="25">
        <f>IF(ISNUMBER(AD98),AD98-IF(ISNUMBER(AB98),AB98,30),"")</f>
        <v/>
      </c>
      <c r="AF98" s="27">
        <f>IF(AD98="","",IF(ISNUMBER(AD98),AD98-TODAY(),"Check date"))</f>
        <v/>
      </c>
      <c r="AG98" s="28">
        <f>IF(AF98="","",IF(ISNUMBER(AF98),IF(AF98&lt;0,"Expired",IF(AF98&lt;=30,"Due ≤30 days",IF(AF98&lt;=90,"Due ≤90 days","OK"))),"Check date"))</f>
        <v/>
      </c>
      <c r="AH98" s="22" t="n"/>
      <c r="AI98" s="22" t="n"/>
      <c r="AJ98" s="22" t="n"/>
      <c r="AK98" s="22" t="n"/>
    </row>
    <row r="99">
      <c r="A99" s="22" t="n"/>
      <c r="B99" s="22" t="n"/>
      <c r="C99" s="22" t="n"/>
      <c r="D99" s="22" t="n"/>
      <c r="E99" s="22" t="n"/>
      <c r="F99" s="22" t="n"/>
      <c r="G99" s="23" t="n"/>
      <c r="H99" s="22" t="n"/>
      <c r="I99" s="23" t="n"/>
      <c r="J99" s="22" t="n"/>
      <c r="K99" s="23" t="n"/>
      <c r="L99" s="22" t="n"/>
      <c r="M99" s="23" t="n"/>
      <c r="N99" s="22" t="n"/>
      <c r="O99" s="22" t="n"/>
      <c r="P99" s="22" t="n"/>
      <c r="Q99" s="23" t="n"/>
      <c r="R99" s="22" t="n"/>
      <c r="S99" s="23" t="n"/>
      <c r="T99" s="22" t="n"/>
      <c r="U99" s="23" t="n"/>
      <c r="V99" s="24" t="n"/>
      <c r="W99" s="25">
        <f>IF(ISNUMBER(U99),U99+IF(ISNUMBER(V99),V99,120),"")</f>
        <v/>
      </c>
      <c r="X99" s="22" t="n"/>
      <c r="Y99" s="23" t="n"/>
      <c r="Z99" s="22" t="n"/>
      <c r="AA99" s="23" t="n"/>
      <c r="AB99" s="24" t="n"/>
      <c r="AC99" s="26">
        <f>IF(ISNUMBER(AD99)=FALSE,"",IF(G99=AD99,"State license",IF(I99=AD99,"DEA registration",IF(K99=AD99,"State CSR",IF(M99=AD99,"Board certification",IF(Q99=AD99,"Malpractice",IF(S99=AD99,"Life support",IF(W99=AD99,"CAQH re-attestation",IF(Y99=AD99,"Privileges reappointment","Payer recredentialing")))))))))</f>
        <v/>
      </c>
      <c r="AD99" s="25">
        <f>IF(OR(AND(LEN(G99)&gt;0,ISNUMBER(G99)=FALSE),AND(LEN(I99)&gt;0,ISNUMBER(I99)=FALSE),AND(LEN(K99)&gt;0,ISNUMBER(K99)=FALSE),AND(LEN(M99)&gt;0,ISNUMBER(M99)=FALSE),AND(LEN(Q99)&gt;0,ISNUMBER(Q99)=FALSE),AND(LEN(S99)&gt;0,ISNUMBER(S99)=FALSE),AND(LEN(Y99)&gt;0,ISNUMBER(Y99)=FALSE),AND(LEN(AA99)&gt;0,ISNUMBER(AA99)=FALSE),AND(LEN(U99)&gt;0,ISNUMBER(U99)=FALSE)),"Check date",IF(COUNT(G99,I99,K99,M99,Q99,S99,W99,Y99,AA99)=0,"",MIN(G99,I99,K99,M99,Q99,S99,W99,Y99,AA99)))</f>
        <v/>
      </c>
      <c r="AE99" s="25">
        <f>IF(ISNUMBER(AD99),AD99-IF(ISNUMBER(AB99),AB99,30),"")</f>
        <v/>
      </c>
      <c r="AF99" s="27">
        <f>IF(AD99="","",IF(ISNUMBER(AD99),AD99-TODAY(),"Check date"))</f>
        <v/>
      </c>
      <c r="AG99" s="28">
        <f>IF(AF99="","",IF(ISNUMBER(AF99),IF(AF99&lt;0,"Expired",IF(AF99&lt;=30,"Due ≤30 days",IF(AF99&lt;=90,"Due ≤90 days","OK"))),"Check date"))</f>
        <v/>
      </c>
      <c r="AH99" s="22" t="n"/>
      <c r="AI99" s="22" t="n"/>
      <c r="AJ99" s="22" t="n"/>
      <c r="AK99" s="22" t="n"/>
    </row>
    <row r="100">
      <c r="A100" s="22" t="n"/>
      <c r="B100" s="22" t="n"/>
      <c r="C100" s="22" t="n"/>
      <c r="D100" s="22" t="n"/>
      <c r="E100" s="22" t="n"/>
      <c r="F100" s="22" t="n"/>
      <c r="G100" s="23" t="n"/>
      <c r="H100" s="22" t="n"/>
      <c r="I100" s="23" t="n"/>
      <c r="J100" s="22" t="n"/>
      <c r="K100" s="23" t="n"/>
      <c r="L100" s="22" t="n"/>
      <c r="M100" s="23" t="n"/>
      <c r="N100" s="22" t="n"/>
      <c r="O100" s="22" t="n"/>
      <c r="P100" s="22" t="n"/>
      <c r="Q100" s="23" t="n"/>
      <c r="R100" s="22" t="n"/>
      <c r="S100" s="23" t="n"/>
      <c r="T100" s="22" t="n"/>
      <c r="U100" s="23" t="n"/>
      <c r="V100" s="24" t="n"/>
      <c r="W100" s="25">
        <f>IF(ISNUMBER(U100),U100+IF(ISNUMBER(V100),V100,120),"")</f>
        <v/>
      </c>
      <c r="X100" s="22" t="n"/>
      <c r="Y100" s="23" t="n"/>
      <c r="Z100" s="22" t="n"/>
      <c r="AA100" s="23" t="n"/>
      <c r="AB100" s="24" t="n"/>
      <c r="AC100" s="26">
        <f>IF(ISNUMBER(AD100)=FALSE,"",IF(G100=AD100,"State license",IF(I100=AD100,"DEA registration",IF(K100=AD100,"State CSR",IF(M100=AD100,"Board certification",IF(Q100=AD100,"Malpractice",IF(S100=AD100,"Life support",IF(W100=AD100,"CAQH re-attestation",IF(Y100=AD100,"Privileges reappointment","Payer recredentialing")))))))))</f>
        <v/>
      </c>
      <c r="AD100" s="25">
        <f>IF(OR(AND(LEN(G100)&gt;0,ISNUMBER(G100)=FALSE),AND(LEN(I100)&gt;0,ISNUMBER(I100)=FALSE),AND(LEN(K100)&gt;0,ISNUMBER(K100)=FALSE),AND(LEN(M100)&gt;0,ISNUMBER(M100)=FALSE),AND(LEN(Q100)&gt;0,ISNUMBER(Q100)=FALSE),AND(LEN(S100)&gt;0,ISNUMBER(S100)=FALSE),AND(LEN(Y100)&gt;0,ISNUMBER(Y100)=FALSE),AND(LEN(AA100)&gt;0,ISNUMBER(AA100)=FALSE),AND(LEN(U100)&gt;0,ISNUMBER(U100)=FALSE)),"Check date",IF(COUNT(G100,I100,K100,M100,Q100,S100,W100,Y100,AA100)=0,"",MIN(G100,I100,K100,M100,Q100,S100,W100,Y100,AA100)))</f>
        <v/>
      </c>
      <c r="AE100" s="25">
        <f>IF(ISNUMBER(AD100),AD100-IF(ISNUMBER(AB100),AB100,30),"")</f>
        <v/>
      </c>
      <c r="AF100" s="27">
        <f>IF(AD100="","",IF(ISNUMBER(AD100),AD100-TODAY(),"Check date"))</f>
        <v/>
      </c>
      <c r="AG100" s="28">
        <f>IF(AF100="","",IF(ISNUMBER(AF100),IF(AF100&lt;0,"Expired",IF(AF100&lt;=30,"Due ≤30 days",IF(AF100&lt;=90,"Due ≤90 days","OK"))),"Check date"))</f>
        <v/>
      </c>
      <c r="AH100" s="22" t="n"/>
      <c r="AI100" s="22" t="n"/>
      <c r="AJ100" s="22" t="n"/>
      <c r="AK100" s="22" t="n"/>
    </row>
    <row r="101">
      <c r="A101" s="22" t="n"/>
      <c r="B101" s="22" t="n"/>
      <c r="C101" s="22" t="n"/>
      <c r="D101" s="22" t="n"/>
      <c r="E101" s="22" t="n"/>
      <c r="F101" s="22" t="n"/>
      <c r="G101" s="23" t="n"/>
      <c r="H101" s="22" t="n"/>
      <c r="I101" s="23" t="n"/>
      <c r="J101" s="22" t="n"/>
      <c r="K101" s="23" t="n"/>
      <c r="L101" s="22" t="n"/>
      <c r="M101" s="23" t="n"/>
      <c r="N101" s="22" t="n"/>
      <c r="O101" s="22" t="n"/>
      <c r="P101" s="22" t="n"/>
      <c r="Q101" s="23" t="n"/>
      <c r="R101" s="22" t="n"/>
      <c r="S101" s="23" t="n"/>
      <c r="T101" s="22" t="n"/>
      <c r="U101" s="23" t="n"/>
      <c r="V101" s="24" t="n"/>
      <c r="W101" s="25">
        <f>IF(ISNUMBER(U101),U101+IF(ISNUMBER(V101),V101,120),"")</f>
        <v/>
      </c>
      <c r="X101" s="22" t="n"/>
      <c r="Y101" s="23" t="n"/>
      <c r="Z101" s="22" t="n"/>
      <c r="AA101" s="23" t="n"/>
      <c r="AB101" s="24" t="n"/>
      <c r="AC101" s="26">
        <f>IF(ISNUMBER(AD101)=FALSE,"",IF(G101=AD101,"State license",IF(I101=AD101,"DEA registration",IF(K101=AD101,"State CSR",IF(M101=AD101,"Board certification",IF(Q101=AD101,"Malpractice",IF(S101=AD101,"Life support",IF(W101=AD101,"CAQH re-attestation",IF(Y101=AD101,"Privileges reappointment","Payer recredentialing")))))))))</f>
        <v/>
      </c>
      <c r="AD101" s="25">
        <f>IF(OR(AND(LEN(G101)&gt;0,ISNUMBER(G101)=FALSE),AND(LEN(I101)&gt;0,ISNUMBER(I101)=FALSE),AND(LEN(K101)&gt;0,ISNUMBER(K101)=FALSE),AND(LEN(M101)&gt;0,ISNUMBER(M101)=FALSE),AND(LEN(Q101)&gt;0,ISNUMBER(Q101)=FALSE),AND(LEN(S101)&gt;0,ISNUMBER(S101)=FALSE),AND(LEN(Y101)&gt;0,ISNUMBER(Y101)=FALSE),AND(LEN(AA101)&gt;0,ISNUMBER(AA101)=FALSE),AND(LEN(U101)&gt;0,ISNUMBER(U101)=FALSE)),"Check date",IF(COUNT(G101,I101,K101,M101,Q101,S101,W101,Y101,AA101)=0,"",MIN(G101,I101,K101,M101,Q101,S101,W101,Y101,AA101)))</f>
        <v/>
      </c>
      <c r="AE101" s="25">
        <f>IF(ISNUMBER(AD101),AD101-IF(ISNUMBER(AB101),AB101,30),"")</f>
        <v/>
      </c>
      <c r="AF101" s="27">
        <f>IF(AD101="","",IF(ISNUMBER(AD101),AD101-TODAY(),"Check date"))</f>
        <v/>
      </c>
      <c r="AG101" s="28">
        <f>IF(AF101="","",IF(ISNUMBER(AF101),IF(AF101&lt;0,"Expired",IF(AF101&lt;=30,"Due ≤30 days",IF(AF101&lt;=90,"Due ≤90 days","OK"))),"Check date"))</f>
        <v/>
      </c>
      <c r="AH101" s="22" t="n"/>
      <c r="AI101" s="22" t="n"/>
      <c r="AJ101" s="22" t="n"/>
      <c r="AK101" s="22" t="n"/>
    </row>
    <row r="102">
      <c r="A102" s="22" t="n"/>
      <c r="B102" s="22" t="n"/>
      <c r="C102" s="22" t="n"/>
      <c r="D102" s="22" t="n"/>
      <c r="E102" s="22" t="n"/>
      <c r="F102" s="22" t="n"/>
      <c r="G102" s="23" t="n"/>
      <c r="H102" s="22" t="n"/>
      <c r="I102" s="23" t="n"/>
      <c r="J102" s="22" t="n"/>
      <c r="K102" s="23" t="n"/>
      <c r="L102" s="22" t="n"/>
      <c r="M102" s="23" t="n"/>
      <c r="N102" s="22" t="n"/>
      <c r="O102" s="22" t="n"/>
      <c r="P102" s="22" t="n"/>
      <c r="Q102" s="23" t="n"/>
      <c r="R102" s="22" t="n"/>
      <c r="S102" s="23" t="n"/>
      <c r="T102" s="22" t="n"/>
      <c r="U102" s="23" t="n"/>
      <c r="V102" s="24" t="n"/>
      <c r="W102" s="25">
        <f>IF(ISNUMBER(U102),U102+IF(ISNUMBER(V102),V102,120),"")</f>
        <v/>
      </c>
      <c r="X102" s="22" t="n"/>
      <c r="Y102" s="23" t="n"/>
      <c r="Z102" s="22" t="n"/>
      <c r="AA102" s="23" t="n"/>
      <c r="AB102" s="24" t="n"/>
      <c r="AC102" s="26">
        <f>IF(ISNUMBER(AD102)=FALSE,"",IF(G102=AD102,"State license",IF(I102=AD102,"DEA registration",IF(K102=AD102,"State CSR",IF(M102=AD102,"Board certification",IF(Q102=AD102,"Malpractice",IF(S102=AD102,"Life support",IF(W102=AD102,"CAQH re-attestation",IF(Y102=AD102,"Privileges reappointment","Payer recredentialing")))))))))</f>
        <v/>
      </c>
      <c r="AD102" s="25">
        <f>IF(OR(AND(LEN(G102)&gt;0,ISNUMBER(G102)=FALSE),AND(LEN(I102)&gt;0,ISNUMBER(I102)=FALSE),AND(LEN(K102)&gt;0,ISNUMBER(K102)=FALSE),AND(LEN(M102)&gt;0,ISNUMBER(M102)=FALSE),AND(LEN(Q102)&gt;0,ISNUMBER(Q102)=FALSE),AND(LEN(S102)&gt;0,ISNUMBER(S102)=FALSE),AND(LEN(Y102)&gt;0,ISNUMBER(Y102)=FALSE),AND(LEN(AA102)&gt;0,ISNUMBER(AA102)=FALSE),AND(LEN(U102)&gt;0,ISNUMBER(U102)=FALSE)),"Check date",IF(COUNT(G102,I102,K102,M102,Q102,S102,W102,Y102,AA102)=0,"",MIN(G102,I102,K102,M102,Q102,S102,W102,Y102,AA102)))</f>
        <v/>
      </c>
      <c r="AE102" s="25">
        <f>IF(ISNUMBER(AD102),AD102-IF(ISNUMBER(AB102),AB102,30),"")</f>
        <v/>
      </c>
      <c r="AF102" s="27">
        <f>IF(AD102="","",IF(ISNUMBER(AD102),AD102-TODAY(),"Check date"))</f>
        <v/>
      </c>
      <c r="AG102" s="28">
        <f>IF(AF102="","",IF(ISNUMBER(AF102),IF(AF102&lt;0,"Expired",IF(AF102&lt;=30,"Due ≤30 days",IF(AF102&lt;=90,"Due ≤90 days","OK"))),"Check date"))</f>
        <v/>
      </c>
      <c r="AH102" s="22" t="n"/>
      <c r="AI102" s="22" t="n"/>
      <c r="AJ102" s="22" t="n"/>
      <c r="AK102" s="22" t="n"/>
    </row>
    <row r="103">
      <c r="A103" s="22" t="n"/>
      <c r="B103" s="22" t="n"/>
      <c r="C103" s="22" t="n"/>
      <c r="D103" s="22" t="n"/>
      <c r="E103" s="22" t="n"/>
      <c r="F103" s="22" t="n"/>
      <c r="G103" s="23" t="n"/>
      <c r="H103" s="22" t="n"/>
      <c r="I103" s="23" t="n"/>
      <c r="J103" s="22" t="n"/>
      <c r="K103" s="23" t="n"/>
      <c r="L103" s="22" t="n"/>
      <c r="M103" s="23" t="n"/>
      <c r="N103" s="22" t="n"/>
      <c r="O103" s="22" t="n"/>
      <c r="P103" s="22" t="n"/>
      <c r="Q103" s="23" t="n"/>
      <c r="R103" s="22" t="n"/>
      <c r="S103" s="23" t="n"/>
      <c r="T103" s="22" t="n"/>
      <c r="U103" s="23" t="n"/>
      <c r="V103" s="24" t="n"/>
      <c r="W103" s="25">
        <f>IF(ISNUMBER(U103),U103+IF(ISNUMBER(V103),V103,120),"")</f>
        <v/>
      </c>
      <c r="X103" s="22" t="n"/>
      <c r="Y103" s="23" t="n"/>
      <c r="Z103" s="22" t="n"/>
      <c r="AA103" s="23" t="n"/>
      <c r="AB103" s="24" t="n"/>
      <c r="AC103" s="26">
        <f>IF(ISNUMBER(AD103)=FALSE,"",IF(G103=AD103,"State license",IF(I103=AD103,"DEA registration",IF(K103=AD103,"State CSR",IF(M103=AD103,"Board certification",IF(Q103=AD103,"Malpractice",IF(S103=AD103,"Life support",IF(W103=AD103,"CAQH re-attestation",IF(Y103=AD103,"Privileges reappointment","Payer recredentialing")))))))))</f>
        <v/>
      </c>
      <c r="AD103" s="25">
        <f>IF(OR(AND(LEN(G103)&gt;0,ISNUMBER(G103)=FALSE),AND(LEN(I103)&gt;0,ISNUMBER(I103)=FALSE),AND(LEN(K103)&gt;0,ISNUMBER(K103)=FALSE),AND(LEN(M103)&gt;0,ISNUMBER(M103)=FALSE),AND(LEN(Q103)&gt;0,ISNUMBER(Q103)=FALSE),AND(LEN(S103)&gt;0,ISNUMBER(S103)=FALSE),AND(LEN(Y103)&gt;0,ISNUMBER(Y103)=FALSE),AND(LEN(AA103)&gt;0,ISNUMBER(AA103)=FALSE),AND(LEN(U103)&gt;0,ISNUMBER(U103)=FALSE)),"Check date",IF(COUNT(G103,I103,K103,M103,Q103,S103,W103,Y103,AA103)=0,"",MIN(G103,I103,K103,M103,Q103,S103,W103,Y103,AA103)))</f>
        <v/>
      </c>
      <c r="AE103" s="25">
        <f>IF(ISNUMBER(AD103),AD103-IF(ISNUMBER(AB103),AB103,30),"")</f>
        <v/>
      </c>
      <c r="AF103" s="27">
        <f>IF(AD103="","",IF(ISNUMBER(AD103),AD103-TODAY(),"Check date"))</f>
        <v/>
      </c>
      <c r="AG103" s="28">
        <f>IF(AF103="","",IF(ISNUMBER(AF103),IF(AF103&lt;0,"Expired",IF(AF103&lt;=30,"Due ≤30 days",IF(AF103&lt;=90,"Due ≤90 days","OK"))),"Check date"))</f>
        <v/>
      </c>
      <c r="AH103" s="22" t="n"/>
      <c r="AI103" s="22" t="n"/>
      <c r="AJ103" s="22" t="n"/>
      <c r="AK103" s="22" t="n"/>
    </row>
    <row r="104">
      <c r="A104" s="22" t="n"/>
      <c r="B104" s="22" t="n"/>
      <c r="C104" s="22" t="n"/>
      <c r="D104" s="22" t="n"/>
      <c r="E104" s="22" t="n"/>
      <c r="F104" s="22" t="n"/>
      <c r="G104" s="23" t="n"/>
      <c r="H104" s="22" t="n"/>
      <c r="I104" s="23" t="n"/>
      <c r="J104" s="22" t="n"/>
      <c r="K104" s="23" t="n"/>
      <c r="L104" s="22" t="n"/>
      <c r="M104" s="23" t="n"/>
      <c r="N104" s="22" t="n"/>
      <c r="O104" s="22" t="n"/>
      <c r="P104" s="22" t="n"/>
      <c r="Q104" s="23" t="n"/>
      <c r="R104" s="22" t="n"/>
      <c r="S104" s="23" t="n"/>
      <c r="T104" s="22" t="n"/>
      <c r="U104" s="23" t="n"/>
      <c r="V104" s="24" t="n"/>
      <c r="W104" s="25">
        <f>IF(ISNUMBER(U104),U104+IF(ISNUMBER(V104),V104,120),"")</f>
        <v/>
      </c>
      <c r="X104" s="22" t="n"/>
      <c r="Y104" s="23" t="n"/>
      <c r="Z104" s="22" t="n"/>
      <c r="AA104" s="23" t="n"/>
      <c r="AB104" s="24" t="n"/>
      <c r="AC104" s="26">
        <f>IF(ISNUMBER(AD104)=FALSE,"",IF(G104=AD104,"State license",IF(I104=AD104,"DEA registration",IF(K104=AD104,"State CSR",IF(M104=AD104,"Board certification",IF(Q104=AD104,"Malpractice",IF(S104=AD104,"Life support",IF(W104=AD104,"CAQH re-attestation",IF(Y104=AD104,"Privileges reappointment","Payer recredentialing")))))))))</f>
        <v/>
      </c>
      <c r="AD104" s="25">
        <f>IF(OR(AND(LEN(G104)&gt;0,ISNUMBER(G104)=FALSE),AND(LEN(I104)&gt;0,ISNUMBER(I104)=FALSE),AND(LEN(K104)&gt;0,ISNUMBER(K104)=FALSE),AND(LEN(M104)&gt;0,ISNUMBER(M104)=FALSE),AND(LEN(Q104)&gt;0,ISNUMBER(Q104)=FALSE),AND(LEN(S104)&gt;0,ISNUMBER(S104)=FALSE),AND(LEN(Y104)&gt;0,ISNUMBER(Y104)=FALSE),AND(LEN(AA104)&gt;0,ISNUMBER(AA104)=FALSE),AND(LEN(U104)&gt;0,ISNUMBER(U104)=FALSE)),"Check date",IF(COUNT(G104,I104,K104,M104,Q104,S104,W104,Y104,AA104)=0,"",MIN(G104,I104,K104,M104,Q104,S104,W104,Y104,AA104)))</f>
        <v/>
      </c>
      <c r="AE104" s="25">
        <f>IF(ISNUMBER(AD104),AD104-IF(ISNUMBER(AB104),AB104,30),"")</f>
        <v/>
      </c>
      <c r="AF104" s="27">
        <f>IF(AD104="","",IF(ISNUMBER(AD104),AD104-TODAY(),"Check date"))</f>
        <v/>
      </c>
      <c r="AG104" s="28">
        <f>IF(AF104="","",IF(ISNUMBER(AF104),IF(AF104&lt;0,"Expired",IF(AF104&lt;=30,"Due ≤30 days",IF(AF104&lt;=90,"Due ≤90 days","OK"))),"Check date"))</f>
        <v/>
      </c>
      <c r="AH104" s="22" t="n"/>
      <c r="AI104" s="22" t="n"/>
      <c r="AJ104" s="22" t="n"/>
      <c r="AK104" s="22" t="n"/>
    </row>
    <row r="105">
      <c r="A105" s="22" t="n"/>
      <c r="B105" s="22" t="n"/>
      <c r="C105" s="22" t="n"/>
      <c r="D105" s="22" t="n"/>
      <c r="E105" s="22" t="n"/>
      <c r="F105" s="22" t="n"/>
      <c r="G105" s="23" t="n"/>
      <c r="H105" s="22" t="n"/>
      <c r="I105" s="23" t="n"/>
      <c r="J105" s="22" t="n"/>
      <c r="K105" s="23" t="n"/>
      <c r="L105" s="22" t="n"/>
      <c r="M105" s="23" t="n"/>
      <c r="N105" s="22" t="n"/>
      <c r="O105" s="22" t="n"/>
      <c r="P105" s="22" t="n"/>
      <c r="Q105" s="23" t="n"/>
      <c r="R105" s="22" t="n"/>
      <c r="S105" s="23" t="n"/>
      <c r="T105" s="22" t="n"/>
      <c r="U105" s="23" t="n"/>
      <c r="V105" s="24" t="n"/>
      <c r="W105" s="25">
        <f>IF(ISNUMBER(U105),U105+IF(ISNUMBER(V105),V105,120),"")</f>
        <v/>
      </c>
      <c r="X105" s="22" t="n"/>
      <c r="Y105" s="23" t="n"/>
      <c r="Z105" s="22" t="n"/>
      <c r="AA105" s="23" t="n"/>
      <c r="AB105" s="24" t="n"/>
      <c r="AC105" s="26">
        <f>IF(ISNUMBER(AD105)=FALSE,"",IF(G105=AD105,"State license",IF(I105=AD105,"DEA registration",IF(K105=AD105,"State CSR",IF(M105=AD105,"Board certification",IF(Q105=AD105,"Malpractice",IF(S105=AD105,"Life support",IF(W105=AD105,"CAQH re-attestation",IF(Y105=AD105,"Privileges reappointment","Payer recredentialing")))))))))</f>
        <v/>
      </c>
      <c r="AD105" s="25">
        <f>IF(OR(AND(LEN(G105)&gt;0,ISNUMBER(G105)=FALSE),AND(LEN(I105)&gt;0,ISNUMBER(I105)=FALSE),AND(LEN(K105)&gt;0,ISNUMBER(K105)=FALSE),AND(LEN(M105)&gt;0,ISNUMBER(M105)=FALSE),AND(LEN(Q105)&gt;0,ISNUMBER(Q105)=FALSE),AND(LEN(S105)&gt;0,ISNUMBER(S105)=FALSE),AND(LEN(Y105)&gt;0,ISNUMBER(Y105)=FALSE),AND(LEN(AA105)&gt;0,ISNUMBER(AA105)=FALSE),AND(LEN(U105)&gt;0,ISNUMBER(U105)=FALSE)),"Check date",IF(COUNT(G105,I105,K105,M105,Q105,S105,W105,Y105,AA105)=0,"",MIN(G105,I105,K105,M105,Q105,S105,W105,Y105,AA105)))</f>
        <v/>
      </c>
      <c r="AE105" s="25">
        <f>IF(ISNUMBER(AD105),AD105-IF(ISNUMBER(AB105),AB105,30),"")</f>
        <v/>
      </c>
      <c r="AF105" s="27">
        <f>IF(AD105="","",IF(ISNUMBER(AD105),AD105-TODAY(),"Check date"))</f>
        <v/>
      </c>
      <c r="AG105" s="28">
        <f>IF(AF105="","",IF(ISNUMBER(AF105),IF(AF105&lt;0,"Expired",IF(AF105&lt;=30,"Due ≤30 days",IF(AF105&lt;=90,"Due ≤90 days","OK"))),"Check date"))</f>
        <v/>
      </c>
      <c r="AH105" s="22" t="n"/>
      <c r="AI105" s="22" t="n"/>
      <c r="AJ105" s="22" t="n"/>
      <c r="AK105" s="22" t="n"/>
    </row>
    <row r="106">
      <c r="A106" s="22" t="n"/>
      <c r="B106" s="22" t="n"/>
      <c r="C106" s="22" t="n"/>
      <c r="D106" s="22" t="n"/>
      <c r="E106" s="22" t="n"/>
      <c r="F106" s="22" t="n"/>
      <c r="G106" s="23" t="n"/>
      <c r="H106" s="22" t="n"/>
      <c r="I106" s="23" t="n"/>
      <c r="J106" s="22" t="n"/>
      <c r="K106" s="23" t="n"/>
      <c r="L106" s="22" t="n"/>
      <c r="M106" s="23" t="n"/>
      <c r="N106" s="22" t="n"/>
      <c r="O106" s="22" t="n"/>
      <c r="P106" s="22" t="n"/>
      <c r="Q106" s="23" t="n"/>
      <c r="R106" s="22" t="n"/>
      <c r="S106" s="23" t="n"/>
      <c r="T106" s="22" t="n"/>
      <c r="U106" s="23" t="n"/>
      <c r="V106" s="24" t="n"/>
      <c r="W106" s="25">
        <f>IF(ISNUMBER(U106),U106+IF(ISNUMBER(V106),V106,120),"")</f>
        <v/>
      </c>
      <c r="X106" s="22" t="n"/>
      <c r="Y106" s="23" t="n"/>
      <c r="Z106" s="22" t="n"/>
      <c r="AA106" s="23" t="n"/>
      <c r="AB106" s="24" t="n"/>
      <c r="AC106" s="26">
        <f>IF(ISNUMBER(AD106)=FALSE,"",IF(G106=AD106,"State license",IF(I106=AD106,"DEA registration",IF(K106=AD106,"State CSR",IF(M106=AD106,"Board certification",IF(Q106=AD106,"Malpractice",IF(S106=AD106,"Life support",IF(W106=AD106,"CAQH re-attestation",IF(Y106=AD106,"Privileges reappointment","Payer recredentialing")))))))))</f>
        <v/>
      </c>
      <c r="AD106" s="25">
        <f>IF(OR(AND(LEN(G106)&gt;0,ISNUMBER(G106)=FALSE),AND(LEN(I106)&gt;0,ISNUMBER(I106)=FALSE),AND(LEN(K106)&gt;0,ISNUMBER(K106)=FALSE),AND(LEN(M106)&gt;0,ISNUMBER(M106)=FALSE),AND(LEN(Q106)&gt;0,ISNUMBER(Q106)=FALSE),AND(LEN(S106)&gt;0,ISNUMBER(S106)=FALSE),AND(LEN(Y106)&gt;0,ISNUMBER(Y106)=FALSE),AND(LEN(AA106)&gt;0,ISNUMBER(AA106)=FALSE),AND(LEN(U106)&gt;0,ISNUMBER(U106)=FALSE)),"Check date",IF(COUNT(G106,I106,K106,M106,Q106,S106,W106,Y106,AA106)=0,"",MIN(G106,I106,K106,M106,Q106,S106,W106,Y106,AA106)))</f>
        <v/>
      </c>
      <c r="AE106" s="25">
        <f>IF(ISNUMBER(AD106),AD106-IF(ISNUMBER(AB106),AB106,30),"")</f>
        <v/>
      </c>
      <c r="AF106" s="27">
        <f>IF(AD106="","",IF(ISNUMBER(AD106),AD106-TODAY(),"Check date"))</f>
        <v/>
      </c>
      <c r="AG106" s="28">
        <f>IF(AF106="","",IF(ISNUMBER(AF106),IF(AF106&lt;0,"Expired",IF(AF106&lt;=30,"Due ≤30 days",IF(AF106&lt;=90,"Due ≤90 days","OK"))),"Check date"))</f>
        <v/>
      </c>
      <c r="AH106" s="22" t="n"/>
      <c r="AI106" s="22" t="n"/>
      <c r="AJ106" s="22" t="n"/>
      <c r="AK106" s="22" t="n"/>
    </row>
    <row r="107">
      <c r="A107" s="22" t="n"/>
      <c r="B107" s="22" t="n"/>
      <c r="C107" s="22" t="n"/>
      <c r="D107" s="22" t="n"/>
      <c r="E107" s="22" t="n"/>
      <c r="F107" s="22" t="n"/>
      <c r="G107" s="23" t="n"/>
      <c r="H107" s="22" t="n"/>
      <c r="I107" s="23" t="n"/>
      <c r="J107" s="22" t="n"/>
      <c r="K107" s="23" t="n"/>
      <c r="L107" s="22" t="n"/>
      <c r="M107" s="23" t="n"/>
      <c r="N107" s="22" t="n"/>
      <c r="O107" s="22" t="n"/>
      <c r="P107" s="22" t="n"/>
      <c r="Q107" s="23" t="n"/>
      <c r="R107" s="22" t="n"/>
      <c r="S107" s="23" t="n"/>
      <c r="T107" s="22" t="n"/>
      <c r="U107" s="23" t="n"/>
      <c r="V107" s="24" t="n"/>
      <c r="W107" s="25">
        <f>IF(ISNUMBER(U107),U107+IF(ISNUMBER(V107),V107,120),"")</f>
        <v/>
      </c>
      <c r="X107" s="22" t="n"/>
      <c r="Y107" s="23" t="n"/>
      <c r="Z107" s="22" t="n"/>
      <c r="AA107" s="23" t="n"/>
      <c r="AB107" s="24" t="n"/>
      <c r="AC107" s="26">
        <f>IF(ISNUMBER(AD107)=FALSE,"",IF(G107=AD107,"State license",IF(I107=AD107,"DEA registration",IF(K107=AD107,"State CSR",IF(M107=AD107,"Board certification",IF(Q107=AD107,"Malpractice",IF(S107=AD107,"Life support",IF(W107=AD107,"CAQH re-attestation",IF(Y107=AD107,"Privileges reappointment","Payer recredentialing")))))))))</f>
        <v/>
      </c>
      <c r="AD107" s="25">
        <f>IF(OR(AND(LEN(G107)&gt;0,ISNUMBER(G107)=FALSE),AND(LEN(I107)&gt;0,ISNUMBER(I107)=FALSE),AND(LEN(K107)&gt;0,ISNUMBER(K107)=FALSE),AND(LEN(M107)&gt;0,ISNUMBER(M107)=FALSE),AND(LEN(Q107)&gt;0,ISNUMBER(Q107)=FALSE),AND(LEN(S107)&gt;0,ISNUMBER(S107)=FALSE),AND(LEN(Y107)&gt;0,ISNUMBER(Y107)=FALSE),AND(LEN(AA107)&gt;0,ISNUMBER(AA107)=FALSE),AND(LEN(U107)&gt;0,ISNUMBER(U107)=FALSE)),"Check date",IF(COUNT(G107,I107,K107,M107,Q107,S107,W107,Y107,AA107)=0,"",MIN(G107,I107,K107,M107,Q107,S107,W107,Y107,AA107)))</f>
        <v/>
      </c>
      <c r="AE107" s="25">
        <f>IF(ISNUMBER(AD107),AD107-IF(ISNUMBER(AB107),AB107,30),"")</f>
        <v/>
      </c>
      <c r="AF107" s="27">
        <f>IF(AD107="","",IF(ISNUMBER(AD107),AD107-TODAY(),"Check date"))</f>
        <v/>
      </c>
      <c r="AG107" s="28">
        <f>IF(AF107="","",IF(ISNUMBER(AF107),IF(AF107&lt;0,"Expired",IF(AF107&lt;=30,"Due ≤30 days",IF(AF107&lt;=90,"Due ≤90 days","OK"))),"Check date"))</f>
        <v/>
      </c>
      <c r="AH107" s="22" t="n"/>
      <c r="AI107" s="22" t="n"/>
      <c r="AJ107" s="22" t="n"/>
      <c r="AK107" s="22" t="n"/>
    </row>
    <row r="108">
      <c r="A108" s="22" t="n"/>
      <c r="B108" s="22" t="n"/>
      <c r="C108" s="22" t="n"/>
      <c r="D108" s="22" t="n"/>
      <c r="E108" s="22" t="n"/>
      <c r="F108" s="22" t="n"/>
      <c r="G108" s="23" t="n"/>
      <c r="H108" s="22" t="n"/>
      <c r="I108" s="23" t="n"/>
      <c r="J108" s="22" t="n"/>
      <c r="K108" s="23" t="n"/>
      <c r="L108" s="22" t="n"/>
      <c r="M108" s="23" t="n"/>
      <c r="N108" s="22" t="n"/>
      <c r="O108" s="22" t="n"/>
      <c r="P108" s="22" t="n"/>
      <c r="Q108" s="23" t="n"/>
      <c r="R108" s="22" t="n"/>
      <c r="S108" s="23" t="n"/>
      <c r="T108" s="22" t="n"/>
      <c r="U108" s="23" t="n"/>
      <c r="V108" s="24" t="n"/>
      <c r="W108" s="25">
        <f>IF(ISNUMBER(U108),U108+IF(ISNUMBER(V108),V108,120),"")</f>
        <v/>
      </c>
      <c r="X108" s="22" t="n"/>
      <c r="Y108" s="23" t="n"/>
      <c r="Z108" s="22" t="n"/>
      <c r="AA108" s="23" t="n"/>
      <c r="AB108" s="24" t="n"/>
      <c r="AC108" s="26">
        <f>IF(ISNUMBER(AD108)=FALSE,"",IF(G108=AD108,"State license",IF(I108=AD108,"DEA registration",IF(K108=AD108,"State CSR",IF(M108=AD108,"Board certification",IF(Q108=AD108,"Malpractice",IF(S108=AD108,"Life support",IF(W108=AD108,"CAQH re-attestation",IF(Y108=AD108,"Privileges reappointment","Payer recredentialing")))))))))</f>
        <v/>
      </c>
      <c r="AD108" s="25">
        <f>IF(OR(AND(LEN(G108)&gt;0,ISNUMBER(G108)=FALSE),AND(LEN(I108)&gt;0,ISNUMBER(I108)=FALSE),AND(LEN(K108)&gt;0,ISNUMBER(K108)=FALSE),AND(LEN(M108)&gt;0,ISNUMBER(M108)=FALSE),AND(LEN(Q108)&gt;0,ISNUMBER(Q108)=FALSE),AND(LEN(S108)&gt;0,ISNUMBER(S108)=FALSE),AND(LEN(Y108)&gt;0,ISNUMBER(Y108)=FALSE),AND(LEN(AA108)&gt;0,ISNUMBER(AA108)=FALSE),AND(LEN(U108)&gt;0,ISNUMBER(U108)=FALSE)),"Check date",IF(COUNT(G108,I108,K108,M108,Q108,S108,W108,Y108,AA108)=0,"",MIN(G108,I108,K108,M108,Q108,S108,W108,Y108,AA108)))</f>
        <v/>
      </c>
      <c r="AE108" s="25">
        <f>IF(ISNUMBER(AD108),AD108-IF(ISNUMBER(AB108),AB108,30),"")</f>
        <v/>
      </c>
      <c r="AF108" s="27">
        <f>IF(AD108="","",IF(ISNUMBER(AD108),AD108-TODAY(),"Check date"))</f>
        <v/>
      </c>
      <c r="AG108" s="28">
        <f>IF(AF108="","",IF(ISNUMBER(AF108),IF(AF108&lt;0,"Expired",IF(AF108&lt;=30,"Due ≤30 days",IF(AF108&lt;=90,"Due ≤90 days","OK"))),"Check date"))</f>
        <v/>
      </c>
      <c r="AH108" s="22" t="n"/>
      <c r="AI108" s="22" t="n"/>
      <c r="AJ108" s="22" t="n"/>
      <c r="AK108" s="22" t="n"/>
    </row>
    <row r="109">
      <c r="A109" s="22" t="n"/>
      <c r="B109" s="22" t="n"/>
      <c r="C109" s="22" t="n"/>
      <c r="D109" s="22" t="n"/>
      <c r="E109" s="22" t="n"/>
      <c r="F109" s="22" t="n"/>
      <c r="G109" s="23" t="n"/>
      <c r="H109" s="22" t="n"/>
      <c r="I109" s="23" t="n"/>
      <c r="J109" s="22" t="n"/>
      <c r="K109" s="23" t="n"/>
      <c r="L109" s="22" t="n"/>
      <c r="M109" s="23" t="n"/>
      <c r="N109" s="22" t="n"/>
      <c r="O109" s="22" t="n"/>
      <c r="P109" s="22" t="n"/>
      <c r="Q109" s="23" t="n"/>
      <c r="R109" s="22" t="n"/>
      <c r="S109" s="23" t="n"/>
      <c r="T109" s="22" t="n"/>
      <c r="U109" s="23" t="n"/>
      <c r="V109" s="24" t="n"/>
      <c r="W109" s="25">
        <f>IF(ISNUMBER(U109),U109+IF(ISNUMBER(V109),V109,120),"")</f>
        <v/>
      </c>
      <c r="X109" s="22" t="n"/>
      <c r="Y109" s="23" t="n"/>
      <c r="Z109" s="22" t="n"/>
      <c r="AA109" s="23" t="n"/>
      <c r="AB109" s="24" t="n"/>
      <c r="AC109" s="26">
        <f>IF(ISNUMBER(AD109)=FALSE,"",IF(G109=AD109,"State license",IF(I109=AD109,"DEA registration",IF(K109=AD109,"State CSR",IF(M109=AD109,"Board certification",IF(Q109=AD109,"Malpractice",IF(S109=AD109,"Life support",IF(W109=AD109,"CAQH re-attestation",IF(Y109=AD109,"Privileges reappointment","Payer recredentialing")))))))))</f>
        <v/>
      </c>
      <c r="AD109" s="25">
        <f>IF(OR(AND(LEN(G109)&gt;0,ISNUMBER(G109)=FALSE),AND(LEN(I109)&gt;0,ISNUMBER(I109)=FALSE),AND(LEN(K109)&gt;0,ISNUMBER(K109)=FALSE),AND(LEN(M109)&gt;0,ISNUMBER(M109)=FALSE),AND(LEN(Q109)&gt;0,ISNUMBER(Q109)=FALSE),AND(LEN(S109)&gt;0,ISNUMBER(S109)=FALSE),AND(LEN(Y109)&gt;0,ISNUMBER(Y109)=FALSE),AND(LEN(AA109)&gt;0,ISNUMBER(AA109)=FALSE),AND(LEN(U109)&gt;0,ISNUMBER(U109)=FALSE)),"Check date",IF(COUNT(G109,I109,K109,M109,Q109,S109,W109,Y109,AA109)=0,"",MIN(G109,I109,K109,M109,Q109,S109,W109,Y109,AA109)))</f>
        <v/>
      </c>
      <c r="AE109" s="25">
        <f>IF(ISNUMBER(AD109),AD109-IF(ISNUMBER(AB109),AB109,30),"")</f>
        <v/>
      </c>
      <c r="AF109" s="27">
        <f>IF(AD109="","",IF(ISNUMBER(AD109),AD109-TODAY(),"Check date"))</f>
        <v/>
      </c>
      <c r="AG109" s="28">
        <f>IF(AF109="","",IF(ISNUMBER(AF109),IF(AF109&lt;0,"Expired",IF(AF109&lt;=30,"Due ≤30 days",IF(AF109&lt;=90,"Due ≤90 days","OK"))),"Check date"))</f>
        <v/>
      </c>
      <c r="AH109" s="22" t="n"/>
      <c r="AI109" s="22" t="n"/>
      <c r="AJ109" s="22" t="n"/>
      <c r="AK109" s="22" t="n"/>
    </row>
    <row r="110">
      <c r="A110" s="22" t="n"/>
      <c r="B110" s="22" t="n"/>
      <c r="C110" s="22" t="n"/>
      <c r="D110" s="22" t="n"/>
      <c r="E110" s="22" t="n"/>
      <c r="F110" s="22" t="n"/>
      <c r="G110" s="23" t="n"/>
      <c r="H110" s="22" t="n"/>
      <c r="I110" s="23" t="n"/>
      <c r="J110" s="22" t="n"/>
      <c r="K110" s="23" t="n"/>
      <c r="L110" s="22" t="n"/>
      <c r="M110" s="23" t="n"/>
      <c r="N110" s="22" t="n"/>
      <c r="O110" s="22" t="n"/>
      <c r="P110" s="22" t="n"/>
      <c r="Q110" s="23" t="n"/>
      <c r="R110" s="22" t="n"/>
      <c r="S110" s="23" t="n"/>
      <c r="T110" s="22" t="n"/>
      <c r="U110" s="23" t="n"/>
      <c r="V110" s="24" t="n"/>
      <c r="W110" s="25">
        <f>IF(ISNUMBER(U110),U110+IF(ISNUMBER(V110),V110,120),"")</f>
        <v/>
      </c>
      <c r="X110" s="22" t="n"/>
      <c r="Y110" s="23" t="n"/>
      <c r="Z110" s="22" t="n"/>
      <c r="AA110" s="23" t="n"/>
      <c r="AB110" s="24" t="n"/>
      <c r="AC110" s="26">
        <f>IF(ISNUMBER(AD110)=FALSE,"",IF(G110=AD110,"State license",IF(I110=AD110,"DEA registration",IF(K110=AD110,"State CSR",IF(M110=AD110,"Board certification",IF(Q110=AD110,"Malpractice",IF(S110=AD110,"Life support",IF(W110=AD110,"CAQH re-attestation",IF(Y110=AD110,"Privileges reappointment","Payer recredentialing")))))))))</f>
        <v/>
      </c>
      <c r="AD110" s="25">
        <f>IF(OR(AND(LEN(G110)&gt;0,ISNUMBER(G110)=FALSE),AND(LEN(I110)&gt;0,ISNUMBER(I110)=FALSE),AND(LEN(K110)&gt;0,ISNUMBER(K110)=FALSE),AND(LEN(M110)&gt;0,ISNUMBER(M110)=FALSE),AND(LEN(Q110)&gt;0,ISNUMBER(Q110)=FALSE),AND(LEN(S110)&gt;0,ISNUMBER(S110)=FALSE),AND(LEN(Y110)&gt;0,ISNUMBER(Y110)=FALSE),AND(LEN(AA110)&gt;0,ISNUMBER(AA110)=FALSE),AND(LEN(U110)&gt;0,ISNUMBER(U110)=FALSE)),"Check date",IF(COUNT(G110,I110,K110,M110,Q110,S110,W110,Y110,AA110)=0,"",MIN(G110,I110,K110,M110,Q110,S110,W110,Y110,AA110)))</f>
        <v/>
      </c>
      <c r="AE110" s="25">
        <f>IF(ISNUMBER(AD110),AD110-IF(ISNUMBER(AB110),AB110,30),"")</f>
        <v/>
      </c>
      <c r="AF110" s="27">
        <f>IF(AD110="","",IF(ISNUMBER(AD110),AD110-TODAY(),"Check date"))</f>
        <v/>
      </c>
      <c r="AG110" s="28">
        <f>IF(AF110="","",IF(ISNUMBER(AF110),IF(AF110&lt;0,"Expired",IF(AF110&lt;=30,"Due ≤30 days",IF(AF110&lt;=90,"Due ≤90 days","OK"))),"Check date"))</f>
        <v/>
      </c>
      <c r="AH110" s="22" t="n"/>
      <c r="AI110" s="22" t="n"/>
      <c r="AJ110" s="22" t="n"/>
      <c r="AK110" s="22" t="n"/>
    </row>
    <row r="111">
      <c r="A111" s="22" t="n"/>
      <c r="B111" s="22" t="n"/>
      <c r="C111" s="22" t="n"/>
      <c r="D111" s="22" t="n"/>
      <c r="E111" s="22" t="n"/>
      <c r="F111" s="22" t="n"/>
      <c r="G111" s="23" t="n"/>
      <c r="H111" s="22" t="n"/>
      <c r="I111" s="23" t="n"/>
      <c r="J111" s="22" t="n"/>
      <c r="K111" s="23" t="n"/>
      <c r="L111" s="22" t="n"/>
      <c r="M111" s="23" t="n"/>
      <c r="N111" s="22" t="n"/>
      <c r="O111" s="22" t="n"/>
      <c r="P111" s="22" t="n"/>
      <c r="Q111" s="23" t="n"/>
      <c r="R111" s="22" t="n"/>
      <c r="S111" s="23" t="n"/>
      <c r="T111" s="22" t="n"/>
      <c r="U111" s="23" t="n"/>
      <c r="V111" s="24" t="n"/>
      <c r="W111" s="25">
        <f>IF(ISNUMBER(U111),U111+IF(ISNUMBER(V111),V111,120),"")</f>
        <v/>
      </c>
      <c r="X111" s="22" t="n"/>
      <c r="Y111" s="23" t="n"/>
      <c r="Z111" s="22" t="n"/>
      <c r="AA111" s="23" t="n"/>
      <c r="AB111" s="24" t="n"/>
      <c r="AC111" s="26">
        <f>IF(ISNUMBER(AD111)=FALSE,"",IF(G111=AD111,"State license",IF(I111=AD111,"DEA registration",IF(K111=AD111,"State CSR",IF(M111=AD111,"Board certification",IF(Q111=AD111,"Malpractice",IF(S111=AD111,"Life support",IF(W111=AD111,"CAQH re-attestation",IF(Y111=AD111,"Privileges reappointment","Payer recredentialing")))))))))</f>
        <v/>
      </c>
      <c r="AD111" s="25">
        <f>IF(OR(AND(LEN(G111)&gt;0,ISNUMBER(G111)=FALSE),AND(LEN(I111)&gt;0,ISNUMBER(I111)=FALSE),AND(LEN(K111)&gt;0,ISNUMBER(K111)=FALSE),AND(LEN(M111)&gt;0,ISNUMBER(M111)=FALSE),AND(LEN(Q111)&gt;0,ISNUMBER(Q111)=FALSE),AND(LEN(S111)&gt;0,ISNUMBER(S111)=FALSE),AND(LEN(Y111)&gt;0,ISNUMBER(Y111)=FALSE),AND(LEN(AA111)&gt;0,ISNUMBER(AA111)=FALSE),AND(LEN(U111)&gt;0,ISNUMBER(U111)=FALSE)),"Check date",IF(COUNT(G111,I111,K111,M111,Q111,S111,W111,Y111,AA111)=0,"",MIN(G111,I111,K111,M111,Q111,S111,W111,Y111,AA111)))</f>
        <v/>
      </c>
      <c r="AE111" s="25">
        <f>IF(ISNUMBER(AD111),AD111-IF(ISNUMBER(AB111),AB111,30),"")</f>
        <v/>
      </c>
      <c r="AF111" s="27">
        <f>IF(AD111="","",IF(ISNUMBER(AD111),AD111-TODAY(),"Check date"))</f>
        <v/>
      </c>
      <c r="AG111" s="28">
        <f>IF(AF111="","",IF(ISNUMBER(AF111),IF(AF111&lt;0,"Expired",IF(AF111&lt;=30,"Due ≤30 days",IF(AF111&lt;=90,"Due ≤90 days","OK"))),"Check date"))</f>
        <v/>
      </c>
      <c r="AH111" s="22" t="n"/>
      <c r="AI111" s="22" t="n"/>
      <c r="AJ111" s="22" t="n"/>
      <c r="AK111" s="22" t="n"/>
    </row>
    <row r="112">
      <c r="A112" s="22" t="n"/>
      <c r="B112" s="22" t="n"/>
      <c r="C112" s="22" t="n"/>
      <c r="D112" s="22" t="n"/>
      <c r="E112" s="22" t="n"/>
      <c r="F112" s="22" t="n"/>
      <c r="G112" s="23" t="n"/>
      <c r="H112" s="22" t="n"/>
      <c r="I112" s="23" t="n"/>
      <c r="J112" s="22" t="n"/>
      <c r="K112" s="23" t="n"/>
      <c r="L112" s="22" t="n"/>
      <c r="M112" s="23" t="n"/>
      <c r="N112" s="22" t="n"/>
      <c r="O112" s="22" t="n"/>
      <c r="P112" s="22" t="n"/>
      <c r="Q112" s="23" t="n"/>
      <c r="R112" s="22" t="n"/>
      <c r="S112" s="23" t="n"/>
      <c r="T112" s="22" t="n"/>
      <c r="U112" s="23" t="n"/>
      <c r="V112" s="24" t="n"/>
      <c r="W112" s="25">
        <f>IF(ISNUMBER(U112),U112+IF(ISNUMBER(V112),V112,120),"")</f>
        <v/>
      </c>
      <c r="X112" s="22" t="n"/>
      <c r="Y112" s="23" t="n"/>
      <c r="Z112" s="22" t="n"/>
      <c r="AA112" s="23" t="n"/>
      <c r="AB112" s="24" t="n"/>
      <c r="AC112" s="26">
        <f>IF(ISNUMBER(AD112)=FALSE,"",IF(G112=AD112,"State license",IF(I112=AD112,"DEA registration",IF(K112=AD112,"State CSR",IF(M112=AD112,"Board certification",IF(Q112=AD112,"Malpractice",IF(S112=AD112,"Life support",IF(W112=AD112,"CAQH re-attestation",IF(Y112=AD112,"Privileges reappointment","Payer recredentialing")))))))))</f>
        <v/>
      </c>
      <c r="AD112" s="25">
        <f>IF(OR(AND(LEN(G112)&gt;0,ISNUMBER(G112)=FALSE),AND(LEN(I112)&gt;0,ISNUMBER(I112)=FALSE),AND(LEN(K112)&gt;0,ISNUMBER(K112)=FALSE),AND(LEN(M112)&gt;0,ISNUMBER(M112)=FALSE),AND(LEN(Q112)&gt;0,ISNUMBER(Q112)=FALSE),AND(LEN(S112)&gt;0,ISNUMBER(S112)=FALSE),AND(LEN(Y112)&gt;0,ISNUMBER(Y112)=FALSE),AND(LEN(AA112)&gt;0,ISNUMBER(AA112)=FALSE),AND(LEN(U112)&gt;0,ISNUMBER(U112)=FALSE)),"Check date",IF(COUNT(G112,I112,K112,M112,Q112,S112,W112,Y112,AA112)=0,"",MIN(G112,I112,K112,M112,Q112,S112,W112,Y112,AA112)))</f>
        <v/>
      </c>
      <c r="AE112" s="25">
        <f>IF(ISNUMBER(AD112),AD112-IF(ISNUMBER(AB112),AB112,30),"")</f>
        <v/>
      </c>
      <c r="AF112" s="27">
        <f>IF(AD112="","",IF(ISNUMBER(AD112),AD112-TODAY(),"Check date"))</f>
        <v/>
      </c>
      <c r="AG112" s="28">
        <f>IF(AF112="","",IF(ISNUMBER(AF112),IF(AF112&lt;0,"Expired",IF(AF112&lt;=30,"Due ≤30 days",IF(AF112&lt;=90,"Due ≤90 days","OK"))),"Check date"))</f>
        <v/>
      </c>
      <c r="AH112" s="22" t="n"/>
      <c r="AI112" s="22" t="n"/>
      <c r="AJ112" s="22" t="n"/>
      <c r="AK112" s="22" t="n"/>
    </row>
    <row r="113">
      <c r="A113" s="22" t="n"/>
      <c r="B113" s="22" t="n"/>
      <c r="C113" s="22" t="n"/>
      <c r="D113" s="22" t="n"/>
      <c r="E113" s="22" t="n"/>
      <c r="F113" s="22" t="n"/>
      <c r="G113" s="23" t="n"/>
      <c r="H113" s="22" t="n"/>
      <c r="I113" s="23" t="n"/>
      <c r="J113" s="22" t="n"/>
      <c r="K113" s="23" t="n"/>
      <c r="L113" s="22" t="n"/>
      <c r="M113" s="23" t="n"/>
      <c r="N113" s="22" t="n"/>
      <c r="O113" s="22" t="n"/>
      <c r="P113" s="22" t="n"/>
      <c r="Q113" s="23" t="n"/>
      <c r="R113" s="22" t="n"/>
      <c r="S113" s="23" t="n"/>
      <c r="T113" s="22" t="n"/>
      <c r="U113" s="23" t="n"/>
      <c r="V113" s="24" t="n"/>
      <c r="W113" s="25">
        <f>IF(ISNUMBER(U113),U113+IF(ISNUMBER(V113),V113,120),"")</f>
        <v/>
      </c>
      <c r="X113" s="22" t="n"/>
      <c r="Y113" s="23" t="n"/>
      <c r="Z113" s="22" t="n"/>
      <c r="AA113" s="23" t="n"/>
      <c r="AB113" s="24" t="n"/>
      <c r="AC113" s="26">
        <f>IF(ISNUMBER(AD113)=FALSE,"",IF(G113=AD113,"State license",IF(I113=AD113,"DEA registration",IF(K113=AD113,"State CSR",IF(M113=AD113,"Board certification",IF(Q113=AD113,"Malpractice",IF(S113=AD113,"Life support",IF(W113=AD113,"CAQH re-attestation",IF(Y113=AD113,"Privileges reappointment","Payer recredentialing")))))))))</f>
        <v/>
      </c>
      <c r="AD113" s="25">
        <f>IF(OR(AND(LEN(G113)&gt;0,ISNUMBER(G113)=FALSE),AND(LEN(I113)&gt;0,ISNUMBER(I113)=FALSE),AND(LEN(K113)&gt;0,ISNUMBER(K113)=FALSE),AND(LEN(M113)&gt;0,ISNUMBER(M113)=FALSE),AND(LEN(Q113)&gt;0,ISNUMBER(Q113)=FALSE),AND(LEN(S113)&gt;0,ISNUMBER(S113)=FALSE),AND(LEN(Y113)&gt;0,ISNUMBER(Y113)=FALSE),AND(LEN(AA113)&gt;0,ISNUMBER(AA113)=FALSE),AND(LEN(U113)&gt;0,ISNUMBER(U113)=FALSE)),"Check date",IF(COUNT(G113,I113,K113,M113,Q113,S113,W113,Y113,AA113)=0,"",MIN(G113,I113,K113,M113,Q113,S113,W113,Y113,AA113)))</f>
        <v/>
      </c>
      <c r="AE113" s="25">
        <f>IF(ISNUMBER(AD113),AD113-IF(ISNUMBER(AB113),AB113,30),"")</f>
        <v/>
      </c>
      <c r="AF113" s="27">
        <f>IF(AD113="","",IF(ISNUMBER(AD113),AD113-TODAY(),"Check date"))</f>
        <v/>
      </c>
      <c r="AG113" s="28">
        <f>IF(AF113="","",IF(ISNUMBER(AF113),IF(AF113&lt;0,"Expired",IF(AF113&lt;=30,"Due ≤30 days",IF(AF113&lt;=90,"Due ≤90 days","OK"))),"Check date"))</f>
        <v/>
      </c>
      <c r="AH113" s="22" t="n"/>
      <c r="AI113" s="22" t="n"/>
      <c r="AJ113" s="22" t="n"/>
      <c r="AK113" s="22" t="n"/>
    </row>
    <row r="114">
      <c r="A114" s="22" t="n"/>
      <c r="B114" s="22" t="n"/>
      <c r="C114" s="22" t="n"/>
      <c r="D114" s="22" t="n"/>
      <c r="E114" s="22" t="n"/>
      <c r="F114" s="22" t="n"/>
      <c r="G114" s="23" t="n"/>
      <c r="H114" s="22" t="n"/>
      <c r="I114" s="23" t="n"/>
      <c r="J114" s="22" t="n"/>
      <c r="K114" s="23" t="n"/>
      <c r="L114" s="22" t="n"/>
      <c r="M114" s="23" t="n"/>
      <c r="N114" s="22" t="n"/>
      <c r="O114" s="22" t="n"/>
      <c r="P114" s="22" t="n"/>
      <c r="Q114" s="23" t="n"/>
      <c r="R114" s="22" t="n"/>
      <c r="S114" s="23" t="n"/>
      <c r="T114" s="22" t="n"/>
      <c r="U114" s="23" t="n"/>
      <c r="V114" s="24" t="n"/>
      <c r="W114" s="25">
        <f>IF(ISNUMBER(U114),U114+IF(ISNUMBER(V114),V114,120),"")</f>
        <v/>
      </c>
      <c r="X114" s="22" t="n"/>
      <c r="Y114" s="23" t="n"/>
      <c r="Z114" s="22" t="n"/>
      <c r="AA114" s="23" t="n"/>
      <c r="AB114" s="24" t="n"/>
      <c r="AC114" s="26">
        <f>IF(ISNUMBER(AD114)=FALSE,"",IF(G114=AD114,"State license",IF(I114=AD114,"DEA registration",IF(K114=AD114,"State CSR",IF(M114=AD114,"Board certification",IF(Q114=AD114,"Malpractice",IF(S114=AD114,"Life support",IF(W114=AD114,"CAQH re-attestation",IF(Y114=AD114,"Privileges reappointment","Payer recredentialing")))))))))</f>
        <v/>
      </c>
      <c r="AD114" s="25">
        <f>IF(OR(AND(LEN(G114)&gt;0,ISNUMBER(G114)=FALSE),AND(LEN(I114)&gt;0,ISNUMBER(I114)=FALSE),AND(LEN(K114)&gt;0,ISNUMBER(K114)=FALSE),AND(LEN(M114)&gt;0,ISNUMBER(M114)=FALSE),AND(LEN(Q114)&gt;0,ISNUMBER(Q114)=FALSE),AND(LEN(S114)&gt;0,ISNUMBER(S114)=FALSE),AND(LEN(Y114)&gt;0,ISNUMBER(Y114)=FALSE),AND(LEN(AA114)&gt;0,ISNUMBER(AA114)=FALSE),AND(LEN(U114)&gt;0,ISNUMBER(U114)=FALSE)),"Check date",IF(COUNT(G114,I114,K114,M114,Q114,S114,W114,Y114,AA114)=0,"",MIN(G114,I114,K114,M114,Q114,S114,W114,Y114,AA114)))</f>
        <v/>
      </c>
      <c r="AE114" s="25">
        <f>IF(ISNUMBER(AD114),AD114-IF(ISNUMBER(AB114),AB114,30),"")</f>
        <v/>
      </c>
      <c r="AF114" s="27">
        <f>IF(AD114="","",IF(ISNUMBER(AD114),AD114-TODAY(),"Check date"))</f>
        <v/>
      </c>
      <c r="AG114" s="28">
        <f>IF(AF114="","",IF(ISNUMBER(AF114),IF(AF114&lt;0,"Expired",IF(AF114&lt;=30,"Due ≤30 days",IF(AF114&lt;=90,"Due ≤90 days","OK"))),"Check date"))</f>
        <v/>
      </c>
      <c r="AH114" s="22" t="n"/>
      <c r="AI114" s="22" t="n"/>
      <c r="AJ114" s="22" t="n"/>
      <c r="AK114" s="22" t="n"/>
    </row>
    <row r="115">
      <c r="A115" s="22" t="n"/>
      <c r="B115" s="22" t="n"/>
      <c r="C115" s="22" t="n"/>
      <c r="D115" s="22" t="n"/>
      <c r="E115" s="22" t="n"/>
      <c r="F115" s="22" t="n"/>
      <c r="G115" s="23" t="n"/>
      <c r="H115" s="22" t="n"/>
      <c r="I115" s="23" t="n"/>
      <c r="J115" s="22" t="n"/>
      <c r="K115" s="23" t="n"/>
      <c r="L115" s="22" t="n"/>
      <c r="M115" s="23" t="n"/>
      <c r="N115" s="22" t="n"/>
      <c r="O115" s="22" t="n"/>
      <c r="P115" s="22" t="n"/>
      <c r="Q115" s="23" t="n"/>
      <c r="R115" s="22" t="n"/>
      <c r="S115" s="23" t="n"/>
      <c r="T115" s="22" t="n"/>
      <c r="U115" s="23" t="n"/>
      <c r="V115" s="24" t="n"/>
      <c r="W115" s="25">
        <f>IF(ISNUMBER(U115),U115+IF(ISNUMBER(V115),V115,120),"")</f>
        <v/>
      </c>
      <c r="X115" s="22" t="n"/>
      <c r="Y115" s="23" t="n"/>
      <c r="Z115" s="22" t="n"/>
      <c r="AA115" s="23" t="n"/>
      <c r="AB115" s="24" t="n"/>
      <c r="AC115" s="26">
        <f>IF(ISNUMBER(AD115)=FALSE,"",IF(G115=AD115,"State license",IF(I115=AD115,"DEA registration",IF(K115=AD115,"State CSR",IF(M115=AD115,"Board certification",IF(Q115=AD115,"Malpractice",IF(S115=AD115,"Life support",IF(W115=AD115,"CAQH re-attestation",IF(Y115=AD115,"Privileges reappointment","Payer recredentialing")))))))))</f>
        <v/>
      </c>
      <c r="AD115" s="25">
        <f>IF(OR(AND(LEN(G115)&gt;0,ISNUMBER(G115)=FALSE),AND(LEN(I115)&gt;0,ISNUMBER(I115)=FALSE),AND(LEN(K115)&gt;0,ISNUMBER(K115)=FALSE),AND(LEN(M115)&gt;0,ISNUMBER(M115)=FALSE),AND(LEN(Q115)&gt;0,ISNUMBER(Q115)=FALSE),AND(LEN(S115)&gt;0,ISNUMBER(S115)=FALSE),AND(LEN(Y115)&gt;0,ISNUMBER(Y115)=FALSE),AND(LEN(AA115)&gt;0,ISNUMBER(AA115)=FALSE),AND(LEN(U115)&gt;0,ISNUMBER(U115)=FALSE)),"Check date",IF(COUNT(G115,I115,K115,M115,Q115,S115,W115,Y115,AA115)=0,"",MIN(G115,I115,K115,M115,Q115,S115,W115,Y115,AA115)))</f>
        <v/>
      </c>
      <c r="AE115" s="25">
        <f>IF(ISNUMBER(AD115),AD115-IF(ISNUMBER(AB115),AB115,30),"")</f>
        <v/>
      </c>
      <c r="AF115" s="27">
        <f>IF(AD115="","",IF(ISNUMBER(AD115),AD115-TODAY(),"Check date"))</f>
        <v/>
      </c>
      <c r="AG115" s="28">
        <f>IF(AF115="","",IF(ISNUMBER(AF115),IF(AF115&lt;0,"Expired",IF(AF115&lt;=30,"Due ≤30 days",IF(AF115&lt;=90,"Due ≤90 days","OK"))),"Check date"))</f>
        <v/>
      </c>
      <c r="AH115" s="22" t="n"/>
      <c r="AI115" s="22" t="n"/>
      <c r="AJ115" s="22" t="n"/>
      <c r="AK115" s="22" t="n"/>
    </row>
    <row r="116">
      <c r="A116" s="22" t="n"/>
      <c r="B116" s="22" t="n"/>
      <c r="C116" s="22" t="n"/>
      <c r="D116" s="22" t="n"/>
      <c r="E116" s="22" t="n"/>
      <c r="F116" s="22" t="n"/>
      <c r="G116" s="23" t="n"/>
      <c r="H116" s="22" t="n"/>
      <c r="I116" s="23" t="n"/>
      <c r="J116" s="22" t="n"/>
      <c r="K116" s="23" t="n"/>
      <c r="L116" s="22" t="n"/>
      <c r="M116" s="23" t="n"/>
      <c r="N116" s="22" t="n"/>
      <c r="O116" s="22" t="n"/>
      <c r="P116" s="22" t="n"/>
      <c r="Q116" s="23" t="n"/>
      <c r="R116" s="22" t="n"/>
      <c r="S116" s="23" t="n"/>
      <c r="T116" s="22" t="n"/>
      <c r="U116" s="23" t="n"/>
      <c r="V116" s="24" t="n"/>
      <c r="W116" s="25">
        <f>IF(ISNUMBER(U116),U116+IF(ISNUMBER(V116),V116,120),"")</f>
        <v/>
      </c>
      <c r="X116" s="22" t="n"/>
      <c r="Y116" s="23" t="n"/>
      <c r="Z116" s="22" t="n"/>
      <c r="AA116" s="23" t="n"/>
      <c r="AB116" s="24" t="n"/>
      <c r="AC116" s="26">
        <f>IF(ISNUMBER(AD116)=FALSE,"",IF(G116=AD116,"State license",IF(I116=AD116,"DEA registration",IF(K116=AD116,"State CSR",IF(M116=AD116,"Board certification",IF(Q116=AD116,"Malpractice",IF(S116=AD116,"Life support",IF(W116=AD116,"CAQH re-attestation",IF(Y116=AD116,"Privileges reappointment","Payer recredentialing")))))))))</f>
        <v/>
      </c>
      <c r="AD116" s="25">
        <f>IF(OR(AND(LEN(G116)&gt;0,ISNUMBER(G116)=FALSE),AND(LEN(I116)&gt;0,ISNUMBER(I116)=FALSE),AND(LEN(K116)&gt;0,ISNUMBER(K116)=FALSE),AND(LEN(M116)&gt;0,ISNUMBER(M116)=FALSE),AND(LEN(Q116)&gt;0,ISNUMBER(Q116)=FALSE),AND(LEN(S116)&gt;0,ISNUMBER(S116)=FALSE),AND(LEN(Y116)&gt;0,ISNUMBER(Y116)=FALSE),AND(LEN(AA116)&gt;0,ISNUMBER(AA116)=FALSE),AND(LEN(U116)&gt;0,ISNUMBER(U116)=FALSE)),"Check date",IF(COUNT(G116,I116,K116,M116,Q116,S116,W116,Y116,AA116)=0,"",MIN(G116,I116,K116,M116,Q116,S116,W116,Y116,AA116)))</f>
        <v/>
      </c>
      <c r="AE116" s="25">
        <f>IF(ISNUMBER(AD116),AD116-IF(ISNUMBER(AB116),AB116,30),"")</f>
        <v/>
      </c>
      <c r="AF116" s="27">
        <f>IF(AD116="","",IF(ISNUMBER(AD116),AD116-TODAY(),"Check date"))</f>
        <v/>
      </c>
      <c r="AG116" s="28">
        <f>IF(AF116="","",IF(ISNUMBER(AF116),IF(AF116&lt;0,"Expired",IF(AF116&lt;=30,"Due ≤30 days",IF(AF116&lt;=90,"Due ≤90 days","OK"))),"Check date"))</f>
        <v/>
      </c>
      <c r="AH116" s="22" t="n"/>
      <c r="AI116" s="22" t="n"/>
      <c r="AJ116" s="22" t="n"/>
      <c r="AK116" s="22" t="n"/>
    </row>
    <row r="117">
      <c r="A117" s="22" t="n"/>
      <c r="B117" s="22" t="n"/>
      <c r="C117" s="22" t="n"/>
      <c r="D117" s="22" t="n"/>
      <c r="E117" s="22" t="n"/>
      <c r="F117" s="22" t="n"/>
      <c r="G117" s="23" t="n"/>
      <c r="H117" s="22" t="n"/>
      <c r="I117" s="23" t="n"/>
      <c r="J117" s="22" t="n"/>
      <c r="K117" s="23" t="n"/>
      <c r="L117" s="22" t="n"/>
      <c r="M117" s="23" t="n"/>
      <c r="N117" s="22" t="n"/>
      <c r="O117" s="22" t="n"/>
      <c r="P117" s="22" t="n"/>
      <c r="Q117" s="23" t="n"/>
      <c r="R117" s="22" t="n"/>
      <c r="S117" s="23" t="n"/>
      <c r="T117" s="22" t="n"/>
      <c r="U117" s="23" t="n"/>
      <c r="V117" s="24" t="n"/>
      <c r="W117" s="25">
        <f>IF(ISNUMBER(U117),U117+IF(ISNUMBER(V117),V117,120),"")</f>
        <v/>
      </c>
      <c r="X117" s="22" t="n"/>
      <c r="Y117" s="23" t="n"/>
      <c r="Z117" s="22" t="n"/>
      <c r="AA117" s="23" t="n"/>
      <c r="AB117" s="24" t="n"/>
      <c r="AC117" s="26">
        <f>IF(ISNUMBER(AD117)=FALSE,"",IF(G117=AD117,"State license",IF(I117=AD117,"DEA registration",IF(K117=AD117,"State CSR",IF(M117=AD117,"Board certification",IF(Q117=AD117,"Malpractice",IF(S117=AD117,"Life support",IF(W117=AD117,"CAQH re-attestation",IF(Y117=AD117,"Privileges reappointment","Payer recredentialing")))))))))</f>
        <v/>
      </c>
      <c r="AD117" s="25">
        <f>IF(OR(AND(LEN(G117)&gt;0,ISNUMBER(G117)=FALSE),AND(LEN(I117)&gt;0,ISNUMBER(I117)=FALSE),AND(LEN(K117)&gt;0,ISNUMBER(K117)=FALSE),AND(LEN(M117)&gt;0,ISNUMBER(M117)=FALSE),AND(LEN(Q117)&gt;0,ISNUMBER(Q117)=FALSE),AND(LEN(S117)&gt;0,ISNUMBER(S117)=FALSE),AND(LEN(Y117)&gt;0,ISNUMBER(Y117)=FALSE),AND(LEN(AA117)&gt;0,ISNUMBER(AA117)=FALSE),AND(LEN(U117)&gt;0,ISNUMBER(U117)=FALSE)),"Check date",IF(COUNT(G117,I117,K117,M117,Q117,S117,W117,Y117,AA117)=0,"",MIN(G117,I117,K117,M117,Q117,S117,W117,Y117,AA117)))</f>
        <v/>
      </c>
      <c r="AE117" s="25">
        <f>IF(ISNUMBER(AD117),AD117-IF(ISNUMBER(AB117),AB117,30),"")</f>
        <v/>
      </c>
      <c r="AF117" s="27">
        <f>IF(AD117="","",IF(ISNUMBER(AD117),AD117-TODAY(),"Check date"))</f>
        <v/>
      </c>
      <c r="AG117" s="28">
        <f>IF(AF117="","",IF(ISNUMBER(AF117),IF(AF117&lt;0,"Expired",IF(AF117&lt;=30,"Due ≤30 days",IF(AF117&lt;=90,"Due ≤90 days","OK"))),"Check date"))</f>
        <v/>
      </c>
      <c r="AH117" s="22" t="n"/>
      <c r="AI117" s="22" t="n"/>
      <c r="AJ117" s="22" t="n"/>
      <c r="AK117" s="22" t="n"/>
    </row>
    <row r="118">
      <c r="A118" s="22" t="n"/>
      <c r="B118" s="22" t="n"/>
      <c r="C118" s="22" t="n"/>
      <c r="D118" s="22" t="n"/>
      <c r="E118" s="22" t="n"/>
      <c r="F118" s="22" t="n"/>
      <c r="G118" s="23" t="n"/>
      <c r="H118" s="22" t="n"/>
      <c r="I118" s="23" t="n"/>
      <c r="J118" s="22" t="n"/>
      <c r="K118" s="23" t="n"/>
      <c r="L118" s="22" t="n"/>
      <c r="M118" s="23" t="n"/>
      <c r="N118" s="22" t="n"/>
      <c r="O118" s="22" t="n"/>
      <c r="P118" s="22" t="n"/>
      <c r="Q118" s="23" t="n"/>
      <c r="R118" s="22" t="n"/>
      <c r="S118" s="23" t="n"/>
      <c r="T118" s="22" t="n"/>
      <c r="U118" s="23" t="n"/>
      <c r="V118" s="24" t="n"/>
      <c r="W118" s="25">
        <f>IF(ISNUMBER(U118),U118+IF(ISNUMBER(V118),V118,120),"")</f>
        <v/>
      </c>
      <c r="X118" s="22" t="n"/>
      <c r="Y118" s="23" t="n"/>
      <c r="Z118" s="22" t="n"/>
      <c r="AA118" s="23" t="n"/>
      <c r="AB118" s="24" t="n"/>
      <c r="AC118" s="26">
        <f>IF(ISNUMBER(AD118)=FALSE,"",IF(G118=AD118,"State license",IF(I118=AD118,"DEA registration",IF(K118=AD118,"State CSR",IF(M118=AD118,"Board certification",IF(Q118=AD118,"Malpractice",IF(S118=AD118,"Life support",IF(W118=AD118,"CAQH re-attestation",IF(Y118=AD118,"Privileges reappointment","Payer recredentialing")))))))))</f>
        <v/>
      </c>
      <c r="AD118" s="25">
        <f>IF(OR(AND(LEN(G118)&gt;0,ISNUMBER(G118)=FALSE),AND(LEN(I118)&gt;0,ISNUMBER(I118)=FALSE),AND(LEN(K118)&gt;0,ISNUMBER(K118)=FALSE),AND(LEN(M118)&gt;0,ISNUMBER(M118)=FALSE),AND(LEN(Q118)&gt;0,ISNUMBER(Q118)=FALSE),AND(LEN(S118)&gt;0,ISNUMBER(S118)=FALSE),AND(LEN(Y118)&gt;0,ISNUMBER(Y118)=FALSE),AND(LEN(AA118)&gt;0,ISNUMBER(AA118)=FALSE),AND(LEN(U118)&gt;0,ISNUMBER(U118)=FALSE)),"Check date",IF(COUNT(G118,I118,K118,M118,Q118,S118,W118,Y118,AA118)=0,"",MIN(G118,I118,K118,M118,Q118,S118,W118,Y118,AA118)))</f>
        <v/>
      </c>
      <c r="AE118" s="25">
        <f>IF(ISNUMBER(AD118),AD118-IF(ISNUMBER(AB118),AB118,30),"")</f>
        <v/>
      </c>
      <c r="AF118" s="27">
        <f>IF(AD118="","",IF(ISNUMBER(AD118),AD118-TODAY(),"Check date"))</f>
        <v/>
      </c>
      <c r="AG118" s="28">
        <f>IF(AF118="","",IF(ISNUMBER(AF118),IF(AF118&lt;0,"Expired",IF(AF118&lt;=30,"Due ≤30 days",IF(AF118&lt;=90,"Due ≤90 days","OK"))),"Check date"))</f>
        <v/>
      </c>
      <c r="AH118" s="22" t="n"/>
      <c r="AI118" s="22" t="n"/>
      <c r="AJ118" s="22" t="n"/>
      <c r="AK118" s="22" t="n"/>
    </row>
    <row r="119">
      <c r="A119" s="22" t="n"/>
      <c r="B119" s="22" t="n"/>
      <c r="C119" s="22" t="n"/>
      <c r="D119" s="22" t="n"/>
      <c r="E119" s="22" t="n"/>
      <c r="F119" s="22" t="n"/>
      <c r="G119" s="23" t="n"/>
      <c r="H119" s="22" t="n"/>
      <c r="I119" s="23" t="n"/>
      <c r="J119" s="22" t="n"/>
      <c r="K119" s="23" t="n"/>
      <c r="L119" s="22" t="n"/>
      <c r="M119" s="23" t="n"/>
      <c r="N119" s="22" t="n"/>
      <c r="O119" s="22" t="n"/>
      <c r="P119" s="22" t="n"/>
      <c r="Q119" s="23" t="n"/>
      <c r="R119" s="22" t="n"/>
      <c r="S119" s="23" t="n"/>
      <c r="T119" s="22" t="n"/>
      <c r="U119" s="23" t="n"/>
      <c r="V119" s="24" t="n"/>
      <c r="W119" s="25">
        <f>IF(ISNUMBER(U119),U119+IF(ISNUMBER(V119),V119,120),"")</f>
        <v/>
      </c>
      <c r="X119" s="22" t="n"/>
      <c r="Y119" s="23" t="n"/>
      <c r="Z119" s="22" t="n"/>
      <c r="AA119" s="23" t="n"/>
      <c r="AB119" s="24" t="n"/>
      <c r="AC119" s="26">
        <f>IF(ISNUMBER(AD119)=FALSE,"",IF(G119=AD119,"State license",IF(I119=AD119,"DEA registration",IF(K119=AD119,"State CSR",IF(M119=AD119,"Board certification",IF(Q119=AD119,"Malpractice",IF(S119=AD119,"Life support",IF(W119=AD119,"CAQH re-attestation",IF(Y119=AD119,"Privileges reappointment","Payer recredentialing")))))))))</f>
        <v/>
      </c>
      <c r="AD119" s="25">
        <f>IF(OR(AND(LEN(G119)&gt;0,ISNUMBER(G119)=FALSE),AND(LEN(I119)&gt;0,ISNUMBER(I119)=FALSE),AND(LEN(K119)&gt;0,ISNUMBER(K119)=FALSE),AND(LEN(M119)&gt;0,ISNUMBER(M119)=FALSE),AND(LEN(Q119)&gt;0,ISNUMBER(Q119)=FALSE),AND(LEN(S119)&gt;0,ISNUMBER(S119)=FALSE),AND(LEN(Y119)&gt;0,ISNUMBER(Y119)=FALSE),AND(LEN(AA119)&gt;0,ISNUMBER(AA119)=FALSE),AND(LEN(U119)&gt;0,ISNUMBER(U119)=FALSE)),"Check date",IF(COUNT(G119,I119,K119,M119,Q119,S119,W119,Y119,AA119)=0,"",MIN(G119,I119,K119,M119,Q119,S119,W119,Y119,AA119)))</f>
        <v/>
      </c>
      <c r="AE119" s="25">
        <f>IF(ISNUMBER(AD119),AD119-IF(ISNUMBER(AB119),AB119,30),"")</f>
        <v/>
      </c>
      <c r="AF119" s="27">
        <f>IF(AD119="","",IF(ISNUMBER(AD119),AD119-TODAY(),"Check date"))</f>
        <v/>
      </c>
      <c r="AG119" s="28">
        <f>IF(AF119="","",IF(ISNUMBER(AF119),IF(AF119&lt;0,"Expired",IF(AF119&lt;=30,"Due ≤30 days",IF(AF119&lt;=90,"Due ≤90 days","OK"))),"Check date"))</f>
        <v/>
      </c>
      <c r="AH119" s="22" t="n"/>
      <c r="AI119" s="22" t="n"/>
      <c r="AJ119" s="22" t="n"/>
      <c r="AK119" s="22" t="n"/>
    </row>
    <row r="120">
      <c r="A120" s="22" t="n"/>
      <c r="B120" s="22" t="n"/>
      <c r="C120" s="22" t="n"/>
      <c r="D120" s="22" t="n"/>
      <c r="E120" s="22" t="n"/>
      <c r="F120" s="22" t="n"/>
      <c r="G120" s="23" t="n"/>
      <c r="H120" s="22" t="n"/>
      <c r="I120" s="23" t="n"/>
      <c r="J120" s="22" t="n"/>
      <c r="K120" s="23" t="n"/>
      <c r="L120" s="22" t="n"/>
      <c r="M120" s="23" t="n"/>
      <c r="N120" s="22" t="n"/>
      <c r="O120" s="22" t="n"/>
      <c r="P120" s="22" t="n"/>
      <c r="Q120" s="23" t="n"/>
      <c r="R120" s="22" t="n"/>
      <c r="S120" s="23" t="n"/>
      <c r="T120" s="22" t="n"/>
      <c r="U120" s="23" t="n"/>
      <c r="V120" s="24" t="n"/>
      <c r="W120" s="25">
        <f>IF(ISNUMBER(U120),U120+IF(ISNUMBER(V120),V120,120),"")</f>
        <v/>
      </c>
      <c r="X120" s="22" t="n"/>
      <c r="Y120" s="23" t="n"/>
      <c r="Z120" s="22" t="n"/>
      <c r="AA120" s="23" t="n"/>
      <c r="AB120" s="24" t="n"/>
      <c r="AC120" s="26">
        <f>IF(ISNUMBER(AD120)=FALSE,"",IF(G120=AD120,"State license",IF(I120=AD120,"DEA registration",IF(K120=AD120,"State CSR",IF(M120=AD120,"Board certification",IF(Q120=AD120,"Malpractice",IF(S120=AD120,"Life support",IF(W120=AD120,"CAQH re-attestation",IF(Y120=AD120,"Privileges reappointment","Payer recredentialing")))))))))</f>
        <v/>
      </c>
      <c r="AD120" s="25">
        <f>IF(OR(AND(LEN(G120)&gt;0,ISNUMBER(G120)=FALSE),AND(LEN(I120)&gt;0,ISNUMBER(I120)=FALSE),AND(LEN(K120)&gt;0,ISNUMBER(K120)=FALSE),AND(LEN(M120)&gt;0,ISNUMBER(M120)=FALSE),AND(LEN(Q120)&gt;0,ISNUMBER(Q120)=FALSE),AND(LEN(S120)&gt;0,ISNUMBER(S120)=FALSE),AND(LEN(Y120)&gt;0,ISNUMBER(Y120)=FALSE),AND(LEN(AA120)&gt;0,ISNUMBER(AA120)=FALSE),AND(LEN(U120)&gt;0,ISNUMBER(U120)=FALSE)),"Check date",IF(COUNT(G120,I120,K120,M120,Q120,S120,W120,Y120,AA120)=0,"",MIN(G120,I120,K120,M120,Q120,S120,W120,Y120,AA120)))</f>
        <v/>
      </c>
      <c r="AE120" s="25">
        <f>IF(ISNUMBER(AD120),AD120-IF(ISNUMBER(AB120),AB120,30),"")</f>
        <v/>
      </c>
      <c r="AF120" s="27">
        <f>IF(AD120="","",IF(ISNUMBER(AD120),AD120-TODAY(),"Check date"))</f>
        <v/>
      </c>
      <c r="AG120" s="28">
        <f>IF(AF120="","",IF(ISNUMBER(AF120),IF(AF120&lt;0,"Expired",IF(AF120&lt;=30,"Due ≤30 days",IF(AF120&lt;=90,"Due ≤90 days","OK"))),"Check date"))</f>
        <v/>
      </c>
      <c r="AH120" s="22" t="n"/>
      <c r="AI120" s="22" t="n"/>
      <c r="AJ120" s="22" t="n"/>
      <c r="AK120" s="22" t="n"/>
    </row>
    <row r="121">
      <c r="A121" s="22" t="n"/>
      <c r="B121" s="22" t="n"/>
      <c r="C121" s="22" t="n"/>
      <c r="D121" s="22" t="n"/>
      <c r="E121" s="22" t="n"/>
      <c r="F121" s="22" t="n"/>
      <c r="G121" s="23" t="n"/>
      <c r="H121" s="22" t="n"/>
      <c r="I121" s="23" t="n"/>
      <c r="J121" s="22" t="n"/>
      <c r="K121" s="23" t="n"/>
      <c r="L121" s="22" t="n"/>
      <c r="M121" s="23" t="n"/>
      <c r="N121" s="22" t="n"/>
      <c r="O121" s="22" t="n"/>
      <c r="P121" s="22" t="n"/>
      <c r="Q121" s="23" t="n"/>
      <c r="R121" s="22" t="n"/>
      <c r="S121" s="23" t="n"/>
      <c r="T121" s="22" t="n"/>
      <c r="U121" s="23" t="n"/>
      <c r="V121" s="24" t="n"/>
      <c r="W121" s="25">
        <f>IF(ISNUMBER(U121),U121+IF(ISNUMBER(V121),V121,120),"")</f>
        <v/>
      </c>
      <c r="X121" s="22" t="n"/>
      <c r="Y121" s="23" t="n"/>
      <c r="Z121" s="22" t="n"/>
      <c r="AA121" s="23" t="n"/>
      <c r="AB121" s="24" t="n"/>
      <c r="AC121" s="26">
        <f>IF(ISNUMBER(AD121)=FALSE,"",IF(G121=AD121,"State license",IF(I121=AD121,"DEA registration",IF(K121=AD121,"State CSR",IF(M121=AD121,"Board certification",IF(Q121=AD121,"Malpractice",IF(S121=AD121,"Life support",IF(W121=AD121,"CAQH re-attestation",IF(Y121=AD121,"Privileges reappointment","Payer recredentialing")))))))))</f>
        <v/>
      </c>
      <c r="AD121" s="25">
        <f>IF(OR(AND(LEN(G121)&gt;0,ISNUMBER(G121)=FALSE),AND(LEN(I121)&gt;0,ISNUMBER(I121)=FALSE),AND(LEN(K121)&gt;0,ISNUMBER(K121)=FALSE),AND(LEN(M121)&gt;0,ISNUMBER(M121)=FALSE),AND(LEN(Q121)&gt;0,ISNUMBER(Q121)=FALSE),AND(LEN(S121)&gt;0,ISNUMBER(S121)=FALSE),AND(LEN(Y121)&gt;0,ISNUMBER(Y121)=FALSE),AND(LEN(AA121)&gt;0,ISNUMBER(AA121)=FALSE),AND(LEN(U121)&gt;0,ISNUMBER(U121)=FALSE)),"Check date",IF(COUNT(G121,I121,K121,M121,Q121,S121,W121,Y121,AA121)=0,"",MIN(G121,I121,K121,M121,Q121,S121,W121,Y121,AA121)))</f>
        <v/>
      </c>
      <c r="AE121" s="25">
        <f>IF(ISNUMBER(AD121),AD121-IF(ISNUMBER(AB121),AB121,30),"")</f>
        <v/>
      </c>
      <c r="AF121" s="27">
        <f>IF(AD121="","",IF(ISNUMBER(AD121),AD121-TODAY(),"Check date"))</f>
        <v/>
      </c>
      <c r="AG121" s="28">
        <f>IF(AF121="","",IF(ISNUMBER(AF121),IF(AF121&lt;0,"Expired",IF(AF121&lt;=30,"Due ≤30 days",IF(AF121&lt;=90,"Due ≤90 days","OK"))),"Check date"))</f>
        <v/>
      </c>
      <c r="AH121" s="22" t="n"/>
      <c r="AI121" s="22" t="n"/>
      <c r="AJ121" s="22" t="n"/>
      <c r="AK121" s="22" t="n"/>
    </row>
    <row r="122">
      <c r="A122" s="22" t="n"/>
      <c r="B122" s="22" t="n"/>
      <c r="C122" s="22" t="n"/>
      <c r="D122" s="22" t="n"/>
      <c r="E122" s="22" t="n"/>
      <c r="F122" s="22" t="n"/>
      <c r="G122" s="23" t="n"/>
      <c r="H122" s="22" t="n"/>
      <c r="I122" s="23" t="n"/>
      <c r="J122" s="22" t="n"/>
      <c r="K122" s="23" t="n"/>
      <c r="L122" s="22" t="n"/>
      <c r="M122" s="23" t="n"/>
      <c r="N122" s="22" t="n"/>
      <c r="O122" s="22" t="n"/>
      <c r="P122" s="22" t="n"/>
      <c r="Q122" s="23" t="n"/>
      <c r="R122" s="22" t="n"/>
      <c r="S122" s="23" t="n"/>
      <c r="T122" s="22" t="n"/>
      <c r="U122" s="23" t="n"/>
      <c r="V122" s="24" t="n"/>
      <c r="W122" s="25">
        <f>IF(ISNUMBER(U122),U122+IF(ISNUMBER(V122),V122,120),"")</f>
        <v/>
      </c>
      <c r="X122" s="22" t="n"/>
      <c r="Y122" s="23" t="n"/>
      <c r="Z122" s="22" t="n"/>
      <c r="AA122" s="23" t="n"/>
      <c r="AB122" s="24" t="n"/>
      <c r="AC122" s="26">
        <f>IF(ISNUMBER(AD122)=FALSE,"",IF(G122=AD122,"State license",IF(I122=AD122,"DEA registration",IF(K122=AD122,"State CSR",IF(M122=AD122,"Board certification",IF(Q122=AD122,"Malpractice",IF(S122=AD122,"Life support",IF(W122=AD122,"CAQH re-attestation",IF(Y122=AD122,"Privileges reappointment","Payer recredentialing")))))))))</f>
        <v/>
      </c>
      <c r="AD122" s="25">
        <f>IF(OR(AND(LEN(G122)&gt;0,ISNUMBER(G122)=FALSE),AND(LEN(I122)&gt;0,ISNUMBER(I122)=FALSE),AND(LEN(K122)&gt;0,ISNUMBER(K122)=FALSE),AND(LEN(M122)&gt;0,ISNUMBER(M122)=FALSE),AND(LEN(Q122)&gt;0,ISNUMBER(Q122)=FALSE),AND(LEN(S122)&gt;0,ISNUMBER(S122)=FALSE),AND(LEN(Y122)&gt;0,ISNUMBER(Y122)=FALSE),AND(LEN(AA122)&gt;0,ISNUMBER(AA122)=FALSE),AND(LEN(U122)&gt;0,ISNUMBER(U122)=FALSE)),"Check date",IF(COUNT(G122,I122,K122,M122,Q122,S122,W122,Y122,AA122)=0,"",MIN(G122,I122,K122,M122,Q122,S122,W122,Y122,AA122)))</f>
        <v/>
      </c>
      <c r="AE122" s="25">
        <f>IF(ISNUMBER(AD122),AD122-IF(ISNUMBER(AB122),AB122,30),"")</f>
        <v/>
      </c>
      <c r="AF122" s="27">
        <f>IF(AD122="","",IF(ISNUMBER(AD122),AD122-TODAY(),"Check date"))</f>
        <v/>
      </c>
      <c r="AG122" s="28">
        <f>IF(AF122="","",IF(ISNUMBER(AF122),IF(AF122&lt;0,"Expired",IF(AF122&lt;=30,"Due ≤30 days",IF(AF122&lt;=90,"Due ≤90 days","OK"))),"Check date"))</f>
        <v/>
      </c>
      <c r="AH122" s="22" t="n"/>
      <c r="AI122" s="22" t="n"/>
      <c r="AJ122" s="22" t="n"/>
      <c r="AK122" s="22" t="n"/>
    </row>
    <row r="123">
      <c r="A123" s="22" t="n"/>
      <c r="B123" s="22" t="n"/>
      <c r="C123" s="22" t="n"/>
      <c r="D123" s="22" t="n"/>
      <c r="E123" s="22" t="n"/>
      <c r="F123" s="22" t="n"/>
      <c r="G123" s="23" t="n"/>
      <c r="H123" s="22" t="n"/>
      <c r="I123" s="23" t="n"/>
      <c r="J123" s="22" t="n"/>
      <c r="K123" s="23" t="n"/>
      <c r="L123" s="22" t="n"/>
      <c r="M123" s="23" t="n"/>
      <c r="N123" s="22" t="n"/>
      <c r="O123" s="22" t="n"/>
      <c r="P123" s="22" t="n"/>
      <c r="Q123" s="23" t="n"/>
      <c r="R123" s="22" t="n"/>
      <c r="S123" s="23" t="n"/>
      <c r="T123" s="22" t="n"/>
      <c r="U123" s="23" t="n"/>
      <c r="V123" s="24" t="n"/>
      <c r="W123" s="25">
        <f>IF(ISNUMBER(U123),U123+IF(ISNUMBER(V123),V123,120),"")</f>
        <v/>
      </c>
      <c r="X123" s="22" t="n"/>
      <c r="Y123" s="23" t="n"/>
      <c r="Z123" s="22" t="n"/>
      <c r="AA123" s="23" t="n"/>
      <c r="AB123" s="24" t="n"/>
      <c r="AC123" s="26">
        <f>IF(ISNUMBER(AD123)=FALSE,"",IF(G123=AD123,"State license",IF(I123=AD123,"DEA registration",IF(K123=AD123,"State CSR",IF(M123=AD123,"Board certification",IF(Q123=AD123,"Malpractice",IF(S123=AD123,"Life support",IF(W123=AD123,"CAQH re-attestation",IF(Y123=AD123,"Privileges reappointment","Payer recredentialing")))))))))</f>
        <v/>
      </c>
      <c r="AD123" s="25">
        <f>IF(OR(AND(LEN(G123)&gt;0,ISNUMBER(G123)=FALSE),AND(LEN(I123)&gt;0,ISNUMBER(I123)=FALSE),AND(LEN(K123)&gt;0,ISNUMBER(K123)=FALSE),AND(LEN(M123)&gt;0,ISNUMBER(M123)=FALSE),AND(LEN(Q123)&gt;0,ISNUMBER(Q123)=FALSE),AND(LEN(S123)&gt;0,ISNUMBER(S123)=FALSE),AND(LEN(Y123)&gt;0,ISNUMBER(Y123)=FALSE),AND(LEN(AA123)&gt;0,ISNUMBER(AA123)=FALSE),AND(LEN(U123)&gt;0,ISNUMBER(U123)=FALSE)),"Check date",IF(COUNT(G123,I123,K123,M123,Q123,S123,W123,Y123,AA123)=0,"",MIN(G123,I123,K123,M123,Q123,S123,W123,Y123,AA123)))</f>
        <v/>
      </c>
      <c r="AE123" s="25">
        <f>IF(ISNUMBER(AD123),AD123-IF(ISNUMBER(AB123),AB123,30),"")</f>
        <v/>
      </c>
      <c r="AF123" s="27">
        <f>IF(AD123="","",IF(ISNUMBER(AD123),AD123-TODAY(),"Check date"))</f>
        <v/>
      </c>
      <c r="AG123" s="28">
        <f>IF(AF123="","",IF(ISNUMBER(AF123),IF(AF123&lt;0,"Expired",IF(AF123&lt;=30,"Due ≤30 days",IF(AF123&lt;=90,"Due ≤90 days","OK"))),"Check date"))</f>
        <v/>
      </c>
      <c r="AH123" s="22" t="n"/>
      <c r="AI123" s="22" t="n"/>
      <c r="AJ123" s="22" t="n"/>
      <c r="AK123" s="22" t="n"/>
    </row>
    <row r="124">
      <c r="A124" s="22" t="n"/>
      <c r="B124" s="22" t="n"/>
      <c r="C124" s="22" t="n"/>
      <c r="D124" s="22" t="n"/>
      <c r="E124" s="22" t="n"/>
      <c r="F124" s="22" t="n"/>
      <c r="G124" s="23" t="n"/>
      <c r="H124" s="22" t="n"/>
      <c r="I124" s="23" t="n"/>
      <c r="J124" s="22" t="n"/>
      <c r="K124" s="23" t="n"/>
      <c r="L124" s="22" t="n"/>
      <c r="M124" s="23" t="n"/>
      <c r="N124" s="22" t="n"/>
      <c r="O124" s="22" t="n"/>
      <c r="P124" s="22" t="n"/>
      <c r="Q124" s="23" t="n"/>
      <c r="R124" s="22" t="n"/>
      <c r="S124" s="23" t="n"/>
      <c r="T124" s="22" t="n"/>
      <c r="U124" s="23" t="n"/>
      <c r="V124" s="24" t="n"/>
      <c r="W124" s="25">
        <f>IF(ISNUMBER(U124),U124+IF(ISNUMBER(V124),V124,120),"")</f>
        <v/>
      </c>
      <c r="X124" s="22" t="n"/>
      <c r="Y124" s="23" t="n"/>
      <c r="Z124" s="22" t="n"/>
      <c r="AA124" s="23" t="n"/>
      <c r="AB124" s="24" t="n"/>
      <c r="AC124" s="26">
        <f>IF(ISNUMBER(AD124)=FALSE,"",IF(G124=AD124,"State license",IF(I124=AD124,"DEA registration",IF(K124=AD124,"State CSR",IF(M124=AD124,"Board certification",IF(Q124=AD124,"Malpractice",IF(S124=AD124,"Life support",IF(W124=AD124,"CAQH re-attestation",IF(Y124=AD124,"Privileges reappointment","Payer recredentialing")))))))))</f>
        <v/>
      </c>
      <c r="AD124" s="25">
        <f>IF(OR(AND(LEN(G124)&gt;0,ISNUMBER(G124)=FALSE),AND(LEN(I124)&gt;0,ISNUMBER(I124)=FALSE),AND(LEN(K124)&gt;0,ISNUMBER(K124)=FALSE),AND(LEN(M124)&gt;0,ISNUMBER(M124)=FALSE),AND(LEN(Q124)&gt;0,ISNUMBER(Q124)=FALSE),AND(LEN(S124)&gt;0,ISNUMBER(S124)=FALSE),AND(LEN(Y124)&gt;0,ISNUMBER(Y124)=FALSE),AND(LEN(AA124)&gt;0,ISNUMBER(AA124)=FALSE),AND(LEN(U124)&gt;0,ISNUMBER(U124)=FALSE)),"Check date",IF(COUNT(G124,I124,K124,M124,Q124,S124,W124,Y124,AA124)=0,"",MIN(G124,I124,K124,M124,Q124,S124,W124,Y124,AA124)))</f>
        <v/>
      </c>
      <c r="AE124" s="25">
        <f>IF(ISNUMBER(AD124),AD124-IF(ISNUMBER(AB124),AB124,30),"")</f>
        <v/>
      </c>
      <c r="AF124" s="27">
        <f>IF(AD124="","",IF(ISNUMBER(AD124),AD124-TODAY(),"Check date"))</f>
        <v/>
      </c>
      <c r="AG124" s="28">
        <f>IF(AF124="","",IF(ISNUMBER(AF124),IF(AF124&lt;0,"Expired",IF(AF124&lt;=30,"Due ≤30 days",IF(AF124&lt;=90,"Due ≤90 days","OK"))),"Check date"))</f>
        <v/>
      </c>
      <c r="AH124" s="22" t="n"/>
      <c r="AI124" s="22" t="n"/>
      <c r="AJ124" s="22" t="n"/>
      <c r="AK124" s="22" t="n"/>
    </row>
    <row r="125">
      <c r="A125" s="22" t="n"/>
      <c r="B125" s="22" t="n"/>
      <c r="C125" s="22" t="n"/>
      <c r="D125" s="22" t="n"/>
      <c r="E125" s="22" t="n"/>
      <c r="F125" s="22" t="n"/>
      <c r="G125" s="23" t="n"/>
      <c r="H125" s="22" t="n"/>
      <c r="I125" s="23" t="n"/>
      <c r="J125" s="22" t="n"/>
      <c r="K125" s="23" t="n"/>
      <c r="L125" s="22" t="n"/>
      <c r="M125" s="23" t="n"/>
      <c r="N125" s="22" t="n"/>
      <c r="O125" s="22" t="n"/>
      <c r="P125" s="22" t="n"/>
      <c r="Q125" s="23" t="n"/>
      <c r="R125" s="22" t="n"/>
      <c r="S125" s="23" t="n"/>
      <c r="T125" s="22" t="n"/>
      <c r="U125" s="23" t="n"/>
      <c r="V125" s="24" t="n"/>
      <c r="W125" s="25">
        <f>IF(ISNUMBER(U125),U125+IF(ISNUMBER(V125),V125,120),"")</f>
        <v/>
      </c>
      <c r="X125" s="22" t="n"/>
      <c r="Y125" s="23" t="n"/>
      <c r="Z125" s="22" t="n"/>
      <c r="AA125" s="23" t="n"/>
      <c r="AB125" s="24" t="n"/>
      <c r="AC125" s="26">
        <f>IF(ISNUMBER(AD125)=FALSE,"",IF(G125=AD125,"State license",IF(I125=AD125,"DEA registration",IF(K125=AD125,"State CSR",IF(M125=AD125,"Board certification",IF(Q125=AD125,"Malpractice",IF(S125=AD125,"Life support",IF(W125=AD125,"CAQH re-attestation",IF(Y125=AD125,"Privileges reappointment","Payer recredentialing")))))))))</f>
        <v/>
      </c>
      <c r="AD125" s="25">
        <f>IF(OR(AND(LEN(G125)&gt;0,ISNUMBER(G125)=FALSE),AND(LEN(I125)&gt;0,ISNUMBER(I125)=FALSE),AND(LEN(K125)&gt;0,ISNUMBER(K125)=FALSE),AND(LEN(M125)&gt;0,ISNUMBER(M125)=FALSE),AND(LEN(Q125)&gt;0,ISNUMBER(Q125)=FALSE),AND(LEN(S125)&gt;0,ISNUMBER(S125)=FALSE),AND(LEN(Y125)&gt;0,ISNUMBER(Y125)=FALSE),AND(LEN(AA125)&gt;0,ISNUMBER(AA125)=FALSE),AND(LEN(U125)&gt;0,ISNUMBER(U125)=FALSE)),"Check date",IF(COUNT(G125,I125,K125,M125,Q125,S125,W125,Y125,AA125)=0,"",MIN(G125,I125,K125,M125,Q125,S125,W125,Y125,AA125)))</f>
        <v/>
      </c>
      <c r="AE125" s="25">
        <f>IF(ISNUMBER(AD125),AD125-IF(ISNUMBER(AB125),AB125,30),"")</f>
        <v/>
      </c>
      <c r="AF125" s="27">
        <f>IF(AD125="","",IF(ISNUMBER(AD125),AD125-TODAY(),"Check date"))</f>
        <v/>
      </c>
      <c r="AG125" s="28">
        <f>IF(AF125="","",IF(ISNUMBER(AF125),IF(AF125&lt;0,"Expired",IF(AF125&lt;=30,"Due ≤30 days",IF(AF125&lt;=90,"Due ≤90 days","OK"))),"Check date"))</f>
        <v/>
      </c>
      <c r="AH125" s="22" t="n"/>
      <c r="AI125" s="22" t="n"/>
      <c r="AJ125" s="22" t="n"/>
      <c r="AK125" s="22" t="n"/>
    </row>
    <row r="126">
      <c r="A126" s="22" t="n"/>
      <c r="B126" s="22" t="n"/>
      <c r="C126" s="22" t="n"/>
      <c r="D126" s="22" t="n"/>
      <c r="E126" s="22" t="n"/>
      <c r="F126" s="22" t="n"/>
      <c r="G126" s="23" t="n"/>
      <c r="H126" s="22" t="n"/>
      <c r="I126" s="23" t="n"/>
      <c r="J126" s="22" t="n"/>
      <c r="K126" s="23" t="n"/>
      <c r="L126" s="22" t="n"/>
      <c r="M126" s="23" t="n"/>
      <c r="N126" s="22" t="n"/>
      <c r="O126" s="22" t="n"/>
      <c r="P126" s="22" t="n"/>
      <c r="Q126" s="23" t="n"/>
      <c r="R126" s="22" t="n"/>
      <c r="S126" s="23" t="n"/>
      <c r="T126" s="22" t="n"/>
      <c r="U126" s="23" t="n"/>
      <c r="V126" s="24" t="n"/>
      <c r="W126" s="25">
        <f>IF(ISNUMBER(U126),U126+IF(ISNUMBER(V126),V126,120),"")</f>
        <v/>
      </c>
      <c r="X126" s="22" t="n"/>
      <c r="Y126" s="23" t="n"/>
      <c r="Z126" s="22" t="n"/>
      <c r="AA126" s="23" t="n"/>
      <c r="AB126" s="24" t="n"/>
      <c r="AC126" s="26">
        <f>IF(ISNUMBER(AD126)=FALSE,"",IF(G126=AD126,"State license",IF(I126=AD126,"DEA registration",IF(K126=AD126,"State CSR",IF(M126=AD126,"Board certification",IF(Q126=AD126,"Malpractice",IF(S126=AD126,"Life support",IF(W126=AD126,"CAQH re-attestation",IF(Y126=AD126,"Privileges reappointment","Payer recredentialing")))))))))</f>
        <v/>
      </c>
      <c r="AD126" s="25">
        <f>IF(OR(AND(LEN(G126)&gt;0,ISNUMBER(G126)=FALSE),AND(LEN(I126)&gt;0,ISNUMBER(I126)=FALSE),AND(LEN(K126)&gt;0,ISNUMBER(K126)=FALSE),AND(LEN(M126)&gt;0,ISNUMBER(M126)=FALSE),AND(LEN(Q126)&gt;0,ISNUMBER(Q126)=FALSE),AND(LEN(S126)&gt;0,ISNUMBER(S126)=FALSE),AND(LEN(Y126)&gt;0,ISNUMBER(Y126)=FALSE),AND(LEN(AA126)&gt;0,ISNUMBER(AA126)=FALSE),AND(LEN(U126)&gt;0,ISNUMBER(U126)=FALSE)),"Check date",IF(COUNT(G126,I126,K126,M126,Q126,S126,W126,Y126,AA126)=0,"",MIN(G126,I126,K126,M126,Q126,S126,W126,Y126,AA126)))</f>
        <v/>
      </c>
      <c r="AE126" s="25">
        <f>IF(ISNUMBER(AD126),AD126-IF(ISNUMBER(AB126),AB126,30),"")</f>
        <v/>
      </c>
      <c r="AF126" s="27">
        <f>IF(AD126="","",IF(ISNUMBER(AD126),AD126-TODAY(),"Check date"))</f>
        <v/>
      </c>
      <c r="AG126" s="28">
        <f>IF(AF126="","",IF(ISNUMBER(AF126),IF(AF126&lt;0,"Expired",IF(AF126&lt;=30,"Due ≤30 days",IF(AF126&lt;=90,"Due ≤90 days","OK"))),"Check date"))</f>
        <v/>
      </c>
      <c r="AH126" s="22" t="n"/>
      <c r="AI126" s="22" t="n"/>
      <c r="AJ126" s="22" t="n"/>
      <c r="AK126" s="22" t="n"/>
    </row>
    <row r="127">
      <c r="A127" s="22" t="n"/>
      <c r="B127" s="22" t="n"/>
      <c r="C127" s="22" t="n"/>
      <c r="D127" s="22" t="n"/>
      <c r="E127" s="22" t="n"/>
      <c r="F127" s="22" t="n"/>
      <c r="G127" s="23" t="n"/>
      <c r="H127" s="22" t="n"/>
      <c r="I127" s="23" t="n"/>
      <c r="J127" s="22" t="n"/>
      <c r="K127" s="23" t="n"/>
      <c r="L127" s="22" t="n"/>
      <c r="M127" s="23" t="n"/>
      <c r="N127" s="22" t="n"/>
      <c r="O127" s="22" t="n"/>
      <c r="P127" s="22" t="n"/>
      <c r="Q127" s="23" t="n"/>
      <c r="R127" s="22" t="n"/>
      <c r="S127" s="23" t="n"/>
      <c r="T127" s="22" t="n"/>
      <c r="U127" s="23" t="n"/>
      <c r="V127" s="24" t="n"/>
      <c r="W127" s="25">
        <f>IF(ISNUMBER(U127),U127+IF(ISNUMBER(V127),V127,120),"")</f>
        <v/>
      </c>
      <c r="X127" s="22" t="n"/>
      <c r="Y127" s="23" t="n"/>
      <c r="Z127" s="22" t="n"/>
      <c r="AA127" s="23" t="n"/>
      <c r="AB127" s="24" t="n"/>
      <c r="AC127" s="26">
        <f>IF(ISNUMBER(AD127)=FALSE,"",IF(G127=AD127,"State license",IF(I127=AD127,"DEA registration",IF(K127=AD127,"State CSR",IF(M127=AD127,"Board certification",IF(Q127=AD127,"Malpractice",IF(S127=AD127,"Life support",IF(W127=AD127,"CAQH re-attestation",IF(Y127=AD127,"Privileges reappointment","Payer recredentialing")))))))))</f>
        <v/>
      </c>
      <c r="AD127" s="25">
        <f>IF(OR(AND(LEN(G127)&gt;0,ISNUMBER(G127)=FALSE),AND(LEN(I127)&gt;0,ISNUMBER(I127)=FALSE),AND(LEN(K127)&gt;0,ISNUMBER(K127)=FALSE),AND(LEN(M127)&gt;0,ISNUMBER(M127)=FALSE),AND(LEN(Q127)&gt;0,ISNUMBER(Q127)=FALSE),AND(LEN(S127)&gt;0,ISNUMBER(S127)=FALSE),AND(LEN(Y127)&gt;0,ISNUMBER(Y127)=FALSE),AND(LEN(AA127)&gt;0,ISNUMBER(AA127)=FALSE),AND(LEN(U127)&gt;0,ISNUMBER(U127)=FALSE)),"Check date",IF(COUNT(G127,I127,K127,M127,Q127,S127,W127,Y127,AA127)=0,"",MIN(G127,I127,K127,M127,Q127,S127,W127,Y127,AA127)))</f>
        <v/>
      </c>
      <c r="AE127" s="25">
        <f>IF(ISNUMBER(AD127),AD127-IF(ISNUMBER(AB127),AB127,30),"")</f>
        <v/>
      </c>
      <c r="AF127" s="27">
        <f>IF(AD127="","",IF(ISNUMBER(AD127),AD127-TODAY(),"Check date"))</f>
        <v/>
      </c>
      <c r="AG127" s="28">
        <f>IF(AF127="","",IF(ISNUMBER(AF127),IF(AF127&lt;0,"Expired",IF(AF127&lt;=30,"Due ≤30 days",IF(AF127&lt;=90,"Due ≤90 days","OK"))),"Check date"))</f>
        <v/>
      </c>
      <c r="AH127" s="22" t="n"/>
      <c r="AI127" s="22" t="n"/>
      <c r="AJ127" s="22" t="n"/>
      <c r="AK127" s="22" t="n"/>
    </row>
    <row r="128">
      <c r="A128" s="22" t="n"/>
      <c r="B128" s="22" t="n"/>
      <c r="C128" s="22" t="n"/>
      <c r="D128" s="22" t="n"/>
      <c r="E128" s="22" t="n"/>
      <c r="F128" s="22" t="n"/>
      <c r="G128" s="23" t="n"/>
      <c r="H128" s="22" t="n"/>
      <c r="I128" s="23" t="n"/>
      <c r="J128" s="22" t="n"/>
      <c r="K128" s="23" t="n"/>
      <c r="L128" s="22" t="n"/>
      <c r="M128" s="23" t="n"/>
      <c r="N128" s="22" t="n"/>
      <c r="O128" s="22" t="n"/>
      <c r="P128" s="22" t="n"/>
      <c r="Q128" s="23" t="n"/>
      <c r="R128" s="22" t="n"/>
      <c r="S128" s="23" t="n"/>
      <c r="T128" s="22" t="n"/>
      <c r="U128" s="23" t="n"/>
      <c r="V128" s="24" t="n"/>
      <c r="W128" s="25">
        <f>IF(ISNUMBER(U128),U128+IF(ISNUMBER(V128),V128,120),"")</f>
        <v/>
      </c>
      <c r="X128" s="22" t="n"/>
      <c r="Y128" s="23" t="n"/>
      <c r="Z128" s="22" t="n"/>
      <c r="AA128" s="23" t="n"/>
      <c r="AB128" s="24" t="n"/>
      <c r="AC128" s="26">
        <f>IF(ISNUMBER(AD128)=FALSE,"",IF(G128=AD128,"State license",IF(I128=AD128,"DEA registration",IF(K128=AD128,"State CSR",IF(M128=AD128,"Board certification",IF(Q128=AD128,"Malpractice",IF(S128=AD128,"Life support",IF(W128=AD128,"CAQH re-attestation",IF(Y128=AD128,"Privileges reappointment","Payer recredentialing")))))))))</f>
        <v/>
      </c>
      <c r="AD128" s="25">
        <f>IF(OR(AND(LEN(G128)&gt;0,ISNUMBER(G128)=FALSE),AND(LEN(I128)&gt;0,ISNUMBER(I128)=FALSE),AND(LEN(K128)&gt;0,ISNUMBER(K128)=FALSE),AND(LEN(M128)&gt;0,ISNUMBER(M128)=FALSE),AND(LEN(Q128)&gt;0,ISNUMBER(Q128)=FALSE),AND(LEN(S128)&gt;0,ISNUMBER(S128)=FALSE),AND(LEN(Y128)&gt;0,ISNUMBER(Y128)=FALSE),AND(LEN(AA128)&gt;0,ISNUMBER(AA128)=FALSE),AND(LEN(U128)&gt;0,ISNUMBER(U128)=FALSE)),"Check date",IF(COUNT(G128,I128,K128,M128,Q128,S128,W128,Y128,AA128)=0,"",MIN(G128,I128,K128,M128,Q128,S128,W128,Y128,AA128)))</f>
        <v/>
      </c>
      <c r="AE128" s="25">
        <f>IF(ISNUMBER(AD128),AD128-IF(ISNUMBER(AB128),AB128,30),"")</f>
        <v/>
      </c>
      <c r="AF128" s="27">
        <f>IF(AD128="","",IF(ISNUMBER(AD128),AD128-TODAY(),"Check date"))</f>
        <v/>
      </c>
      <c r="AG128" s="28">
        <f>IF(AF128="","",IF(ISNUMBER(AF128),IF(AF128&lt;0,"Expired",IF(AF128&lt;=30,"Due ≤30 days",IF(AF128&lt;=90,"Due ≤90 days","OK"))),"Check date"))</f>
        <v/>
      </c>
      <c r="AH128" s="22" t="n"/>
      <c r="AI128" s="22" t="n"/>
      <c r="AJ128" s="22" t="n"/>
      <c r="AK128" s="22" t="n"/>
    </row>
    <row r="129">
      <c r="A129" s="22" t="n"/>
      <c r="B129" s="22" t="n"/>
      <c r="C129" s="22" t="n"/>
      <c r="D129" s="22" t="n"/>
      <c r="E129" s="22" t="n"/>
      <c r="F129" s="22" t="n"/>
      <c r="G129" s="23" t="n"/>
      <c r="H129" s="22" t="n"/>
      <c r="I129" s="23" t="n"/>
      <c r="J129" s="22" t="n"/>
      <c r="K129" s="23" t="n"/>
      <c r="L129" s="22" t="n"/>
      <c r="M129" s="23" t="n"/>
      <c r="N129" s="22" t="n"/>
      <c r="O129" s="22" t="n"/>
      <c r="P129" s="22" t="n"/>
      <c r="Q129" s="23" t="n"/>
      <c r="R129" s="22" t="n"/>
      <c r="S129" s="23" t="n"/>
      <c r="T129" s="22" t="n"/>
      <c r="U129" s="23" t="n"/>
      <c r="V129" s="24" t="n"/>
      <c r="W129" s="25">
        <f>IF(ISNUMBER(U129),U129+IF(ISNUMBER(V129),V129,120),"")</f>
        <v/>
      </c>
      <c r="X129" s="22" t="n"/>
      <c r="Y129" s="23" t="n"/>
      <c r="Z129" s="22" t="n"/>
      <c r="AA129" s="23" t="n"/>
      <c r="AB129" s="24" t="n"/>
      <c r="AC129" s="26">
        <f>IF(ISNUMBER(AD129)=FALSE,"",IF(G129=AD129,"State license",IF(I129=AD129,"DEA registration",IF(K129=AD129,"State CSR",IF(M129=AD129,"Board certification",IF(Q129=AD129,"Malpractice",IF(S129=AD129,"Life support",IF(W129=AD129,"CAQH re-attestation",IF(Y129=AD129,"Privileges reappointment","Payer recredentialing")))))))))</f>
        <v/>
      </c>
      <c r="AD129" s="25">
        <f>IF(OR(AND(LEN(G129)&gt;0,ISNUMBER(G129)=FALSE),AND(LEN(I129)&gt;0,ISNUMBER(I129)=FALSE),AND(LEN(K129)&gt;0,ISNUMBER(K129)=FALSE),AND(LEN(M129)&gt;0,ISNUMBER(M129)=FALSE),AND(LEN(Q129)&gt;0,ISNUMBER(Q129)=FALSE),AND(LEN(S129)&gt;0,ISNUMBER(S129)=FALSE),AND(LEN(Y129)&gt;0,ISNUMBER(Y129)=FALSE),AND(LEN(AA129)&gt;0,ISNUMBER(AA129)=FALSE),AND(LEN(U129)&gt;0,ISNUMBER(U129)=FALSE)),"Check date",IF(COUNT(G129,I129,K129,M129,Q129,S129,W129,Y129,AA129)=0,"",MIN(G129,I129,K129,M129,Q129,S129,W129,Y129,AA129)))</f>
        <v/>
      </c>
      <c r="AE129" s="25">
        <f>IF(ISNUMBER(AD129),AD129-IF(ISNUMBER(AB129),AB129,30),"")</f>
        <v/>
      </c>
      <c r="AF129" s="27">
        <f>IF(AD129="","",IF(ISNUMBER(AD129),AD129-TODAY(),"Check date"))</f>
        <v/>
      </c>
      <c r="AG129" s="28">
        <f>IF(AF129="","",IF(ISNUMBER(AF129),IF(AF129&lt;0,"Expired",IF(AF129&lt;=30,"Due ≤30 days",IF(AF129&lt;=90,"Due ≤90 days","OK"))),"Check date"))</f>
        <v/>
      </c>
      <c r="AH129" s="22" t="n"/>
      <c r="AI129" s="22" t="n"/>
      <c r="AJ129" s="22" t="n"/>
      <c r="AK129" s="22" t="n"/>
    </row>
    <row r="130">
      <c r="A130" s="22" t="n"/>
      <c r="B130" s="22" t="n"/>
      <c r="C130" s="22" t="n"/>
      <c r="D130" s="22" t="n"/>
      <c r="E130" s="22" t="n"/>
      <c r="F130" s="22" t="n"/>
      <c r="G130" s="23" t="n"/>
      <c r="H130" s="22" t="n"/>
      <c r="I130" s="23" t="n"/>
      <c r="J130" s="22" t="n"/>
      <c r="K130" s="23" t="n"/>
      <c r="L130" s="22" t="n"/>
      <c r="M130" s="23" t="n"/>
      <c r="N130" s="22" t="n"/>
      <c r="O130" s="22" t="n"/>
      <c r="P130" s="22" t="n"/>
      <c r="Q130" s="23" t="n"/>
      <c r="R130" s="22" t="n"/>
      <c r="S130" s="23" t="n"/>
      <c r="T130" s="22" t="n"/>
      <c r="U130" s="23" t="n"/>
      <c r="V130" s="24" t="n"/>
      <c r="W130" s="25">
        <f>IF(ISNUMBER(U130),U130+IF(ISNUMBER(V130),V130,120),"")</f>
        <v/>
      </c>
      <c r="X130" s="22" t="n"/>
      <c r="Y130" s="23" t="n"/>
      <c r="Z130" s="22" t="n"/>
      <c r="AA130" s="23" t="n"/>
      <c r="AB130" s="24" t="n"/>
      <c r="AC130" s="26">
        <f>IF(ISNUMBER(AD130)=FALSE,"",IF(G130=AD130,"State license",IF(I130=AD130,"DEA registration",IF(K130=AD130,"State CSR",IF(M130=AD130,"Board certification",IF(Q130=AD130,"Malpractice",IF(S130=AD130,"Life support",IF(W130=AD130,"CAQH re-attestation",IF(Y130=AD130,"Privileges reappointment","Payer recredentialing")))))))))</f>
        <v/>
      </c>
      <c r="AD130" s="25">
        <f>IF(OR(AND(LEN(G130)&gt;0,ISNUMBER(G130)=FALSE),AND(LEN(I130)&gt;0,ISNUMBER(I130)=FALSE),AND(LEN(K130)&gt;0,ISNUMBER(K130)=FALSE),AND(LEN(M130)&gt;0,ISNUMBER(M130)=FALSE),AND(LEN(Q130)&gt;0,ISNUMBER(Q130)=FALSE),AND(LEN(S130)&gt;0,ISNUMBER(S130)=FALSE),AND(LEN(Y130)&gt;0,ISNUMBER(Y130)=FALSE),AND(LEN(AA130)&gt;0,ISNUMBER(AA130)=FALSE),AND(LEN(U130)&gt;0,ISNUMBER(U130)=FALSE)),"Check date",IF(COUNT(G130,I130,K130,M130,Q130,S130,W130,Y130,AA130)=0,"",MIN(G130,I130,K130,M130,Q130,S130,W130,Y130,AA130)))</f>
        <v/>
      </c>
      <c r="AE130" s="25">
        <f>IF(ISNUMBER(AD130),AD130-IF(ISNUMBER(AB130),AB130,30),"")</f>
        <v/>
      </c>
      <c r="AF130" s="27">
        <f>IF(AD130="","",IF(ISNUMBER(AD130),AD130-TODAY(),"Check date"))</f>
        <v/>
      </c>
      <c r="AG130" s="28">
        <f>IF(AF130="","",IF(ISNUMBER(AF130),IF(AF130&lt;0,"Expired",IF(AF130&lt;=30,"Due ≤30 days",IF(AF130&lt;=90,"Due ≤90 days","OK"))),"Check date"))</f>
        <v/>
      </c>
      <c r="AH130" s="22" t="n"/>
      <c r="AI130" s="22" t="n"/>
      <c r="AJ130" s="22" t="n"/>
      <c r="AK130" s="22" t="n"/>
    </row>
    <row r="131">
      <c r="A131" s="22" t="n"/>
      <c r="B131" s="22" t="n"/>
      <c r="C131" s="22" t="n"/>
      <c r="D131" s="22" t="n"/>
      <c r="E131" s="22" t="n"/>
      <c r="F131" s="22" t="n"/>
      <c r="G131" s="23" t="n"/>
      <c r="H131" s="22" t="n"/>
      <c r="I131" s="23" t="n"/>
      <c r="J131" s="22" t="n"/>
      <c r="K131" s="23" t="n"/>
      <c r="L131" s="22" t="n"/>
      <c r="M131" s="23" t="n"/>
      <c r="N131" s="22" t="n"/>
      <c r="O131" s="22" t="n"/>
      <c r="P131" s="22" t="n"/>
      <c r="Q131" s="23" t="n"/>
      <c r="R131" s="22" t="n"/>
      <c r="S131" s="23" t="n"/>
      <c r="T131" s="22" t="n"/>
      <c r="U131" s="23" t="n"/>
      <c r="V131" s="24" t="n"/>
      <c r="W131" s="25">
        <f>IF(ISNUMBER(U131),U131+IF(ISNUMBER(V131),V131,120),"")</f>
        <v/>
      </c>
      <c r="X131" s="22" t="n"/>
      <c r="Y131" s="23" t="n"/>
      <c r="Z131" s="22" t="n"/>
      <c r="AA131" s="23" t="n"/>
      <c r="AB131" s="24" t="n"/>
      <c r="AC131" s="26">
        <f>IF(ISNUMBER(AD131)=FALSE,"",IF(G131=AD131,"State license",IF(I131=AD131,"DEA registration",IF(K131=AD131,"State CSR",IF(M131=AD131,"Board certification",IF(Q131=AD131,"Malpractice",IF(S131=AD131,"Life support",IF(W131=AD131,"CAQH re-attestation",IF(Y131=AD131,"Privileges reappointment","Payer recredentialing")))))))))</f>
        <v/>
      </c>
      <c r="AD131" s="25">
        <f>IF(OR(AND(LEN(G131)&gt;0,ISNUMBER(G131)=FALSE),AND(LEN(I131)&gt;0,ISNUMBER(I131)=FALSE),AND(LEN(K131)&gt;0,ISNUMBER(K131)=FALSE),AND(LEN(M131)&gt;0,ISNUMBER(M131)=FALSE),AND(LEN(Q131)&gt;0,ISNUMBER(Q131)=FALSE),AND(LEN(S131)&gt;0,ISNUMBER(S131)=FALSE),AND(LEN(Y131)&gt;0,ISNUMBER(Y131)=FALSE),AND(LEN(AA131)&gt;0,ISNUMBER(AA131)=FALSE),AND(LEN(U131)&gt;0,ISNUMBER(U131)=FALSE)),"Check date",IF(COUNT(G131,I131,K131,M131,Q131,S131,W131,Y131,AA131)=0,"",MIN(G131,I131,K131,M131,Q131,S131,W131,Y131,AA131)))</f>
        <v/>
      </c>
      <c r="AE131" s="25">
        <f>IF(ISNUMBER(AD131),AD131-IF(ISNUMBER(AB131),AB131,30),"")</f>
        <v/>
      </c>
      <c r="AF131" s="27">
        <f>IF(AD131="","",IF(ISNUMBER(AD131),AD131-TODAY(),"Check date"))</f>
        <v/>
      </c>
      <c r="AG131" s="28">
        <f>IF(AF131="","",IF(ISNUMBER(AF131),IF(AF131&lt;0,"Expired",IF(AF131&lt;=30,"Due ≤30 days",IF(AF131&lt;=90,"Due ≤90 days","OK"))),"Check date"))</f>
        <v/>
      </c>
      <c r="AH131" s="22" t="n"/>
      <c r="AI131" s="22" t="n"/>
      <c r="AJ131" s="22" t="n"/>
      <c r="AK131" s="22" t="n"/>
    </row>
    <row r="132">
      <c r="A132" s="22" t="n"/>
      <c r="B132" s="22" t="n"/>
      <c r="C132" s="22" t="n"/>
      <c r="D132" s="22" t="n"/>
      <c r="E132" s="22" t="n"/>
      <c r="F132" s="22" t="n"/>
      <c r="G132" s="23" t="n"/>
      <c r="H132" s="22" t="n"/>
      <c r="I132" s="23" t="n"/>
      <c r="J132" s="22" t="n"/>
      <c r="K132" s="23" t="n"/>
      <c r="L132" s="22" t="n"/>
      <c r="M132" s="23" t="n"/>
      <c r="N132" s="22" t="n"/>
      <c r="O132" s="22" t="n"/>
      <c r="P132" s="22" t="n"/>
      <c r="Q132" s="23" t="n"/>
      <c r="R132" s="22" t="n"/>
      <c r="S132" s="23" t="n"/>
      <c r="T132" s="22" t="n"/>
      <c r="U132" s="23" t="n"/>
      <c r="V132" s="24" t="n"/>
      <c r="W132" s="25">
        <f>IF(ISNUMBER(U132),U132+IF(ISNUMBER(V132),V132,120),"")</f>
        <v/>
      </c>
      <c r="X132" s="22" t="n"/>
      <c r="Y132" s="23" t="n"/>
      <c r="Z132" s="22" t="n"/>
      <c r="AA132" s="23" t="n"/>
      <c r="AB132" s="24" t="n"/>
      <c r="AC132" s="26">
        <f>IF(ISNUMBER(AD132)=FALSE,"",IF(G132=AD132,"State license",IF(I132=AD132,"DEA registration",IF(K132=AD132,"State CSR",IF(M132=AD132,"Board certification",IF(Q132=AD132,"Malpractice",IF(S132=AD132,"Life support",IF(W132=AD132,"CAQH re-attestation",IF(Y132=AD132,"Privileges reappointment","Payer recredentialing")))))))))</f>
        <v/>
      </c>
      <c r="AD132" s="25">
        <f>IF(OR(AND(LEN(G132)&gt;0,ISNUMBER(G132)=FALSE),AND(LEN(I132)&gt;0,ISNUMBER(I132)=FALSE),AND(LEN(K132)&gt;0,ISNUMBER(K132)=FALSE),AND(LEN(M132)&gt;0,ISNUMBER(M132)=FALSE),AND(LEN(Q132)&gt;0,ISNUMBER(Q132)=FALSE),AND(LEN(S132)&gt;0,ISNUMBER(S132)=FALSE),AND(LEN(Y132)&gt;0,ISNUMBER(Y132)=FALSE),AND(LEN(AA132)&gt;0,ISNUMBER(AA132)=FALSE),AND(LEN(U132)&gt;0,ISNUMBER(U132)=FALSE)),"Check date",IF(COUNT(G132,I132,K132,M132,Q132,S132,W132,Y132,AA132)=0,"",MIN(G132,I132,K132,M132,Q132,S132,W132,Y132,AA132)))</f>
        <v/>
      </c>
      <c r="AE132" s="25">
        <f>IF(ISNUMBER(AD132),AD132-IF(ISNUMBER(AB132),AB132,30),"")</f>
        <v/>
      </c>
      <c r="AF132" s="27">
        <f>IF(AD132="","",IF(ISNUMBER(AD132),AD132-TODAY(),"Check date"))</f>
        <v/>
      </c>
      <c r="AG132" s="28">
        <f>IF(AF132="","",IF(ISNUMBER(AF132),IF(AF132&lt;0,"Expired",IF(AF132&lt;=30,"Due ≤30 days",IF(AF132&lt;=90,"Due ≤90 days","OK"))),"Check date"))</f>
        <v/>
      </c>
      <c r="AH132" s="22" t="n"/>
      <c r="AI132" s="22" t="n"/>
      <c r="AJ132" s="22" t="n"/>
      <c r="AK132" s="22" t="n"/>
    </row>
    <row r="133">
      <c r="A133" s="22" t="n"/>
      <c r="B133" s="22" t="n"/>
      <c r="C133" s="22" t="n"/>
      <c r="D133" s="22" t="n"/>
      <c r="E133" s="22" t="n"/>
      <c r="F133" s="22" t="n"/>
      <c r="G133" s="23" t="n"/>
      <c r="H133" s="22" t="n"/>
      <c r="I133" s="23" t="n"/>
      <c r="J133" s="22" t="n"/>
      <c r="K133" s="23" t="n"/>
      <c r="L133" s="22" t="n"/>
      <c r="M133" s="23" t="n"/>
      <c r="N133" s="22" t="n"/>
      <c r="O133" s="22" t="n"/>
      <c r="P133" s="22" t="n"/>
      <c r="Q133" s="23" t="n"/>
      <c r="R133" s="22" t="n"/>
      <c r="S133" s="23" t="n"/>
      <c r="T133" s="22" t="n"/>
      <c r="U133" s="23" t="n"/>
      <c r="V133" s="24" t="n"/>
      <c r="W133" s="25">
        <f>IF(ISNUMBER(U133),U133+IF(ISNUMBER(V133),V133,120),"")</f>
        <v/>
      </c>
      <c r="X133" s="22" t="n"/>
      <c r="Y133" s="23" t="n"/>
      <c r="Z133" s="22" t="n"/>
      <c r="AA133" s="23" t="n"/>
      <c r="AB133" s="24" t="n"/>
      <c r="AC133" s="26">
        <f>IF(ISNUMBER(AD133)=FALSE,"",IF(G133=AD133,"State license",IF(I133=AD133,"DEA registration",IF(K133=AD133,"State CSR",IF(M133=AD133,"Board certification",IF(Q133=AD133,"Malpractice",IF(S133=AD133,"Life support",IF(W133=AD133,"CAQH re-attestation",IF(Y133=AD133,"Privileges reappointment","Payer recredentialing")))))))))</f>
        <v/>
      </c>
      <c r="AD133" s="25">
        <f>IF(OR(AND(LEN(G133)&gt;0,ISNUMBER(G133)=FALSE),AND(LEN(I133)&gt;0,ISNUMBER(I133)=FALSE),AND(LEN(K133)&gt;0,ISNUMBER(K133)=FALSE),AND(LEN(M133)&gt;0,ISNUMBER(M133)=FALSE),AND(LEN(Q133)&gt;0,ISNUMBER(Q133)=FALSE),AND(LEN(S133)&gt;0,ISNUMBER(S133)=FALSE),AND(LEN(Y133)&gt;0,ISNUMBER(Y133)=FALSE),AND(LEN(AA133)&gt;0,ISNUMBER(AA133)=FALSE),AND(LEN(U133)&gt;0,ISNUMBER(U133)=FALSE)),"Check date",IF(COUNT(G133,I133,K133,M133,Q133,S133,W133,Y133,AA133)=0,"",MIN(G133,I133,K133,M133,Q133,S133,W133,Y133,AA133)))</f>
        <v/>
      </c>
      <c r="AE133" s="25">
        <f>IF(ISNUMBER(AD133),AD133-IF(ISNUMBER(AB133),AB133,30),"")</f>
        <v/>
      </c>
      <c r="AF133" s="27">
        <f>IF(AD133="","",IF(ISNUMBER(AD133),AD133-TODAY(),"Check date"))</f>
        <v/>
      </c>
      <c r="AG133" s="28">
        <f>IF(AF133="","",IF(ISNUMBER(AF133),IF(AF133&lt;0,"Expired",IF(AF133&lt;=30,"Due ≤30 days",IF(AF133&lt;=90,"Due ≤90 days","OK"))),"Check date"))</f>
        <v/>
      </c>
      <c r="AH133" s="22" t="n"/>
      <c r="AI133" s="22" t="n"/>
      <c r="AJ133" s="22" t="n"/>
      <c r="AK133" s="22" t="n"/>
    </row>
    <row r="134">
      <c r="A134" s="22" t="n"/>
      <c r="B134" s="22" t="n"/>
      <c r="C134" s="22" t="n"/>
      <c r="D134" s="22" t="n"/>
      <c r="E134" s="22" t="n"/>
      <c r="F134" s="22" t="n"/>
      <c r="G134" s="23" t="n"/>
      <c r="H134" s="22" t="n"/>
      <c r="I134" s="23" t="n"/>
      <c r="J134" s="22" t="n"/>
      <c r="K134" s="23" t="n"/>
      <c r="L134" s="22" t="n"/>
      <c r="M134" s="23" t="n"/>
      <c r="N134" s="22" t="n"/>
      <c r="O134" s="22" t="n"/>
      <c r="P134" s="22" t="n"/>
      <c r="Q134" s="23" t="n"/>
      <c r="R134" s="22" t="n"/>
      <c r="S134" s="23" t="n"/>
      <c r="T134" s="22" t="n"/>
      <c r="U134" s="23" t="n"/>
      <c r="V134" s="24" t="n"/>
      <c r="W134" s="25">
        <f>IF(ISNUMBER(U134),U134+IF(ISNUMBER(V134),V134,120),"")</f>
        <v/>
      </c>
      <c r="X134" s="22" t="n"/>
      <c r="Y134" s="23" t="n"/>
      <c r="Z134" s="22" t="n"/>
      <c r="AA134" s="23" t="n"/>
      <c r="AB134" s="24" t="n"/>
      <c r="AC134" s="26">
        <f>IF(ISNUMBER(AD134)=FALSE,"",IF(G134=AD134,"State license",IF(I134=AD134,"DEA registration",IF(K134=AD134,"State CSR",IF(M134=AD134,"Board certification",IF(Q134=AD134,"Malpractice",IF(S134=AD134,"Life support",IF(W134=AD134,"CAQH re-attestation",IF(Y134=AD134,"Privileges reappointment","Payer recredentialing")))))))))</f>
        <v/>
      </c>
      <c r="AD134" s="25">
        <f>IF(OR(AND(LEN(G134)&gt;0,ISNUMBER(G134)=FALSE),AND(LEN(I134)&gt;0,ISNUMBER(I134)=FALSE),AND(LEN(K134)&gt;0,ISNUMBER(K134)=FALSE),AND(LEN(M134)&gt;0,ISNUMBER(M134)=FALSE),AND(LEN(Q134)&gt;0,ISNUMBER(Q134)=FALSE),AND(LEN(S134)&gt;0,ISNUMBER(S134)=FALSE),AND(LEN(Y134)&gt;0,ISNUMBER(Y134)=FALSE),AND(LEN(AA134)&gt;0,ISNUMBER(AA134)=FALSE),AND(LEN(U134)&gt;0,ISNUMBER(U134)=FALSE)),"Check date",IF(COUNT(G134,I134,K134,M134,Q134,S134,W134,Y134,AA134)=0,"",MIN(G134,I134,K134,M134,Q134,S134,W134,Y134,AA134)))</f>
        <v/>
      </c>
      <c r="AE134" s="25">
        <f>IF(ISNUMBER(AD134),AD134-IF(ISNUMBER(AB134),AB134,30),"")</f>
        <v/>
      </c>
      <c r="AF134" s="27">
        <f>IF(AD134="","",IF(ISNUMBER(AD134),AD134-TODAY(),"Check date"))</f>
        <v/>
      </c>
      <c r="AG134" s="28">
        <f>IF(AF134="","",IF(ISNUMBER(AF134),IF(AF134&lt;0,"Expired",IF(AF134&lt;=30,"Due ≤30 days",IF(AF134&lt;=90,"Due ≤90 days","OK"))),"Check date"))</f>
        <v/>
      </c>
      <c r="AH134" s="22" t="n"/>
      <c r="AI134" s="22" t="n"/>
      <c r="AJ134" s="22" t="n"/>
      <c r="AK134" s="22" t="n"/>
    </row>
    <row r="135">
      <c r="A135" s="22" t="n"/>
      <c r="B135" s="22" t="n"/>
      <c r="C135" s="22" t="n"/>
      <c r="D135" s="22" t="n"/>
      <c r="E135" s="22" t="n"/>
      <c r="F135" s="22" t="n"/>
      <c r="G135" s="23" t="n"/>
      <c r="H135" s="22" t="n"/>
      <c r="I135" s="23" t="n"/>
      <c r="J135" s="22" t="n"/>
      <c r="K135" s="23" t="n"/>
      <c r="L135" s="22" t="n"/>
      <c r="M135" s="23" t="n"/>
      <c r="N135" s="22" t="n"/>
      <c r="O135" s="22" t="n"/>
      <c r="P135" s="22" t="n"/>
      <c r="Q135" s="23" t="n"/>
      <c r="R135" s="22" t="n"/>
      <c r="S135" s="23" t="n"/>
      <c r="T135" s="22" t="n"/>
      <c r="U135" s="23" t="n"/>
      <c r="V135" s="24" t="n"/>
      <c r="W135" s="25">
        <f>IF(ISNUMBER(U135),U135+IF(ISNUMBER(V135),V135,120),"")</f>
        <v/>
      </c>
      <c r="X135" s="22" t="n"/>
      <c r="Y135" s="23" t="n"/>
      <c r="Z135" s="22" t="n"/>
      <c r="AA135" s="23" t="n"/>
      <c r="AB135" s="24" t="n"/>
      <c r="AC135" s="26">
        <f>IF(ISNUMBER(AD135)=FALSE,"",IF(G135=AD135,"State license",IF(I135=AD135,"DEA registration",IF(K135=AD135,"State CSR",IF(M135=AD135,"Board certification",IF(Q135=AD135,"Malpractice",IF(S135=AD135,"Life support",IF(W135=AD135,"CAQH re-attestation",IF(Y135=AD135,"Privileges reappointment","Payer recredentialing")))))))))</f>
        <v/>
      </c>
      <c r="AD135" s="25">
        <f>IF(OR(AND(LEN(G135)&gt;0,ISNUMBER(G135)=FALSE),AND(LEN(I135)&gt;0,ISNUMBER(I135)=FALSE),AND(LEN(K135)&gt;0,ISNUMBER(K135)=FALSE),AND(LEN(M135)&gt;0,ISNUMBER(M135)=FALSE),AND(LEN(Q135)&gt;0,ISNUMBER(Q135)=FALSE),AND(LEN(S135)&gt;0,ISNUMBER(S135)=FALSE),AND(LEN(Y135)&gt;0,ISNUMBER(Y135)=FALSE),AND(LEN(AA135)&gt;0,ISNUMBER(AA135)=FALSE),AND(LEN(U135)&gt;0,ISNUMBER(U135)=FALSE)),"Check date",IF(COUNT(G135,I135,K135,M135,Q135,S135,W135,Y135,AA135)=0,"",MIN(G135,I135,K135,M135,Q135,S135,W135,Y135,AA135)))</f>
        <v/>
      </c>
      <c r="AE135" s="25">
        <f>IF(ISNUMBER(AD135),AD135-IF(ISNUMBER(AB135),AB135,30),"")</f>
        <v/>
      </c>
      <c r="AF135" s="27">
        <f>IF(AD135="","",IF(ISNUMBER(AD135),AD135-TODAY(),"Check date"))</f>
        <v/>
      </c>
      <c r="AG135" s="28">
        <f>IF(AF135="","",IF(ISNUMBER(AF135),IF(AF135&lt;0,"Expired",IF(AF135&lt;=30,"Due ≤30 days",IF(AF135&lt;=90,"Due ≤90 days","OK"))),"Check date"))</f>
        <v/>
      </c>
      <c r="AH135" s="22" t="n"/>
      <c r="AI135" s="22" t="n"/>
      <c r="AJ135" s="22" t="n"/>
      <c r="AK135" s="22" t="n"/>
    </row>
    <row r="136">
      <c r="A136" s="22" t="n"/>
      <c r="B136" s="22" t="n"/>
      <c r="C136" s="22" t="n"/>
      <c r="D136" s="22" t="n"/>
      <c r="E136" s="22" t="n"/>
      <c r="F136" s="22" t="n"/>
      <c r="G136" s="23" t="n"/>
      <c r="H136" s="22" t="n"/>
      <c r="I136" s="23" t="n"/>
      <c r="J136" s="22" t="n"/>
      <c r="K136" s="23" t="n"/>
      <c r="L136" s="22" t="n"/>
      <c r="M136" s="23" t="n"/>
      <c r="N136" s="22" t="n"/>
      <c r="O136" s="22" t="n"/>
      <c r="P136" s="22" t="n"/>
      <c r="Q136" s="23" t="n"/>
      <c r="R136" s="22" t="n"/>
      <c r="S136" s="23" t="n"/>
      <c r="T136" s="22" t="n"/>
      <c r="U136" s="23" t="n"/>
      <c r="V136" s="24" t="n"/>
      <c r="W136" s="25">
        <f>IF(ISNUMBER(U136),U136+IF(ISNUMBER(V136),V136,120),"")</f>
        <v/>
      </c>
      <c r="X136" s="22" t="n"/>
      <c r="Y136" s="23" t="n"/>
      <c r="Z136" s="22" t="n"/>
      <c r="AA136" s="23" t="n"/>
      <c r="AB136" s="24" t="n"/>
      <c r="AC136" s="26">
        <f>IF(ISNUMBER(AD136)=FALSE,"",IF(G136=AD136,"State license",IF(I136=AD136,"DEA registration",IF(K136=AD136,"State CSR",IF(M136=AD136,"Board certification",IF(Q136=AD136,"Malpractice",IF(S136=AD136,"Life support",IF(W136=AD136,"CAQH re-attestation",IF(Y136=AD136,"Privileges reappointment","Payer recredentialing")))))))))</f>
        <v/>
      </c>
      <c r="AD136" s="25">
        <f>IF(OR(AND(LEN(G136)&gt;0,ISNUMBER(G136)=FALSE),AND(LEN(I136)&gt;0,ISNUMBER(I136)=FALSE),AND(LEN(K136)&gt;0,ISNUMBER(K136)=FALSE),AND(LEN(M136)&gt;0,ISNUMBER(M136)=FALSE),AND(LEN(Q136)&gt;0,ISNUMBER(Q136)=FALSE),AND(LEN(S136)&gt;0,ISNUMBER(S136)=FALSE),AND(LEN(Y136)&gt;0,ISNUMBER(Y136)=FALSE),AND(LEN(AA136)&gt;0,ISNUMBER(AA136)=FALSE),AND(LEN(U136)&gt;0,ISNUMBER(U136)=FALSE)),"Check date",IF(COUNT(G136,I136,K136,M136,Q136,S136,W136,Y136,AA136)=0,"",MIN(G136,I136,K136,M136,Q136,S136,W136,Y136,AA136)))</f>
        <v/>
      </c>
      <c r="AE136" s="25">
        <f>IF(ISNUMBER(AD136),AD136-IF(ISNUMBER(AB136),AB136,30),"")</f>
        <v/>
      </c>
      <c r="AF136" s="27">
        <f>IF(AD136="","",IF(ISNUMBER(AD136),AD136-TODAY(),"Check date"))</f>
        <v/>
      </c>
      <c r="AG136" s="28">
        <f>IF(AF136="","",IF(ISNUMBER(AF136),IF(AF136&lt;0,"Expired",IF(AF136&lt;=30,"Due ≤30 days",IF(AF136&lt;=90,"Due ≤90 days","OK"))),"Check date"))</f>
        <v/>
      </c>
      <c r="AH136" s="22" t="n"/>
      <c r="AI136" s="22" t="n"/>
      <c r="AJ136" s="22" t="n"/>
      <c r="AK136" s="22" t="n"/>
    </row>
    <row r="137">
      <c r="A137" s="22" t="n"/>
      <c r="B137" s="22" t="n"/>
      <c r="C137" s="22" t="n"/>
      <c r="D137" s="22" t="n"/>
      <c r="E137" s="22" t="n"/>
      <c r="F137" s="22" t="n"/>
      <c r="G137" s="23" t="n"/>
      <c r="H137" s="22" t="n"/>
      <c r="I137" s="23" t="n"/>
      <c r="J137" s="22" t="n"/>
      <c r="K137" s="23" t="n"/>
      <c r="L137" s="22" t="n"/>
      <c r="M137" s="23" t="n"/>
      <c r="N137" s="22" t="n"/>
      <c r="O137" s="22" t="n"/>
      <c r="P137" s="22" t="n"/>
      <c r="Q137" s="23" t="n"/>
      <c r="R137" s="22" t="n"/>
      <c r="S137" s="23" t="n"/>
      <c r="T137" s="22" t="n"/>
      <c r="U137" s="23" t="n"/>
      <c r="V137" s="24" t="n"/>
      <c r="W137" s="25">
        <f>IF(ISNUMBER(U137),U137+IF(ISNUMBER(V137),V137,120),"")</f>
        <v/>
      </c>
      <c r="X137" s="22" t="n"/>
      <c r="Y137" s="23" t="n"/>
      <c r="Z137" s="22" t="n"/>
      <c r="AA137" s="23" t="n"/>
      <c r="AB137" s="24" t="n"/>
      <c r="AC137" s="26">
        <f>IF(ISNUMBER(AD137)=FALSE,"",IF(G137=AD137,"State license",IF(I137=AD137,"DEA registration",IF(K137=AD137,"State CSR",IF(M137=AD137,"Board certification",IF(Q137=AD137,"Malpractice",IF(S137=AD137,"Life support",IF(W137=AD137,"CAQH re-attestation",IF(Y137=AD137,"Privileges reappointment","Payer recredentialing")))))))))</f>
        <v/>
      </c>
      <c r="AD137" s="25">
        <f>IF(OR(AND(LEN(G137)&gt;0,ISNUMBER(G137)=FALSE),AND(LEN(I137)&gt;0,ISNUMBER(I137)=FALSE),AND(LEN(K137)&gt;0,ISNUMBER(K137)=FALSE),AND(LEN(M137)&gt;0,ISNUMBER(M137)=FALSE),AND(LEN(Q137)&gt;0,ISNUMBER(Q137)=FALSE),AND(LEN(S137)&gt;0,ISNUMBER(S137)=FALSE),AND(LEN(Y137)&gt;0,ISNUMBER(Y137)=FALSE),AND(LEN(AA137)&gt;0,ISNUMBER(AA137)=FALSE),AND(LEN(U137)&gt;0,ISNUMBER(U137)=FALSE)),"Check date",IF(COUNT(G137,I137,K137,M137,Q137,S137,W137,Y137,AA137)=0,"",MIN(G137,I137,K137,M137,Q137,S137,W137,Y137,AA137)))</f>
        <v/>
      </c>
      <c r="AE137" s="25">
        <f>IF(ISNUMBER(AD137),AD137-IF(ISNUMBER(AB137),AB137,30),"")</f>
        <v/>
      </c>
      <c r="AF137" s="27">
        <f>IF(AD137="","",IF(ISNUMBER(AD137),AD137-TODAY(),"Check date"))</f>
        <v/>
      </c>
      <c r="AG137" s="28">
        <f>IF(AF137="","",IF(ISNUMBER(AF137),IF(AF137&lt;0,"Expired",IF(AF137&lt;=30,"Due ≤30 days",IF(AF137&lt;=90,"Due ≤90 days","OK"))),"Check date"))</f>
        <v/>
      </c>
      <c r="AH137" s="22" t="n"/>
      <c r="AI137" s="22" t="n"/>
      <c r="AJ137" s="22" t="n"/>
      <c r="AK137" s="22" t="n"/>
    </row>
    <row r="138">
      <c r="A138" s="22" t="n"/>
      <c r="B138" s="22" t="n"/>
      <c r="C138" s="22" t="n"/>
      <c r="D138" s="22" t="n"/>
      <c r="E138" s="22" t="n"/>
      <c r="F138" s="22" t="n"/>
      <c r="G138" s="23" t="n"/>
      <c r="H138" s="22" t="n"/>
      <c r="I138" s="23" t="n"/>
      <c r="J138" s="22" t="n"/>
      <c r="K138" s="23" t="n"/>
      <c r="L138" s="22" t="n"/>
      <c r="M138" s="23" t="n"/>
      <c r="N138" s="22" t="n"/>
      <c r="O138" s="22" t="n"/>
      <c r="P138" s="22" t="n"/>
      <c r="Q138" s="23" t="n"/>
      <c r="R138" s="22" t="n"/>
      <c r="S138" s="23" t="n"/>
      <c r="T138" s="22" t="n"/>
      <c r="U138" s="23" t="n"/>
      <c r="V138" s="24" t="n"/>
      <c r="W138" s="25">
        <f>IF(ISNUMBER(U138),U138+IF(ISNUMBER(V138),V138,120),"")</f>
        <v/>
      </c>
      <c r="X138" s="22" t="n"/>
      <c r="Y138" s="23" t="n"/>
      <c r="Z138" s="22" t="n"/>
      <c r="AA138" s="23" t="n"/>
      <c r="AB138" s="24" t="n"/>
      <c r="AC138" s="26">
        <f>IF(ISNUMBER(AD138)=FALSE,"",IF(G138=AD138,"State license",IF(I138=AD138,"DEA registration",IF(K138=AD138,"State CSR",IF(M138=AD138,"Board certification",IF(Q138=AD138,"Malpractice",IF(S138=AD138,"Life support",IF(W138=AD138,"CAQH re-attestation",IF(Y138=AD138,"Privileges reappointment","Payer recredentialing")))))))))</f>
        <v/>
      </c>
      <c r="AD138" s="25">
        <f>IF(OR(AND(LEN(G138)&gt;0,ISNUMBER(G138)=FALSE),AND(LEN(I138)&gt;0,ISNUMBER(I138)=FALSE),AND(LEN(K138)&gt;0,ISNUMBER(K138)=FALSE),AND(LEN(M138)&gt;0,ISNUMBER(M138)=FALSE),AND(LEN(Q138)&gt;0,ISNUMBER(Q138)=FALSE),AND(LEN(S138)&gt;0,ISNUMBER(S138)=FALSE),AND(LEN(Y138)&gt;0,ISNUMBER(Y138)=FALSE),AND(LEN(AA138)&gt;0,ISNUMBER(AA138)=FALSE),AND(LEN(U138)&gt;0,ISNUMBER(U138)=FALSE)),"Check date",IF(COUNT(G138,I138,K138,M138,Q138,S138,W138,Y138,AA138)=0,"",MIN(G138,I138,K138,M138,Q138,S138,W138,Y138,AA138)))</f>
        <v/>
      </c>
      <c r="AE138" s="25">
        <f>IF(ISNUMBER(AD138),AD138-IF(ISNUMBER(AB138),AB138,30),"")</f>
        <v/>
      </c>
      <c r="AF138" s="27">
        <f>IF(AD138="","",IF(ISNUMBER(AD138),AD138-TODAY(),"Check date"))</f>
        <v/>
      </c>
      <c r="AG138" s="28">
        <f>IF(AF138="","",IF(ISNUMBER(AF138),IF(AF138&lt;0,"Expired",IF(AF138&lt;=30,"Due ≤30 days",IF(AF138&lt;=90,"Due ≤90 days","OK"))),"Check date"))</f>
        <v/>
      </c>
      <c r="AH138" s="22" t="n"/>
      <c r="AI138" s="22" t="n"/>
      <c r="AJ138" s="22" t="n"/>
      <c r="AK138" s="22" t="n"/>
    </row>
    <row r="139">
      <c r="A139" s="22" t="n"/>
      <c r="B139" s="22" t="n"/>
      <c r="C139" s="22" t="n"/>
      <c r="D139" s="22" t="n"/>
      <c r="E139" s="22" t="n"/>
      <c r="F139" s="22" t="n"/>
      <c r="G139" s="23" t="n"/>
      <c r="H139" s="22" t="n"/>
      <c r="I139" s="23" t="n"/>
      <c r="J139" s="22" t="n"/>
      <c r="K139" s="23" t="n"/>
      <c r="L139" s="22" t="n"/>
      <c r="M139" s="23" t="n"/>
      <c r="N139" s="22" t="n"/>
      <c r="O139" s="22" t="n"/>
      <c r="P139" s="22" t="n"/>
      <c r="Q139" s="23" t="n"/>
      <c r="R139" s="22" t="n"/>
      <c r="S139" s="23" t="n"/>
      <c r="T139" s="22" t="n"/>
      <c r="U139" s="23" t="n"/>
      <c r="V139" s="24" t="n"/>
      <c r="W139" s="25">
        <f>IF(ISNUMBER(U139),U139+IF(ISNUMBER(V139),V139,120),"")</f>
        <v/>
      </c>
      <c r="X139" s="22" t="n"/>
      <c r="Y139" s="23" t="n"/>
      <c r="Z139" s="22" t="n"/>
      <c r="AA139" s="23" t="n"/>
      <c r="AB139" s="24" t="n"/>
      <c r="AC139" s="26">
        <f>IF(ISNUMBER(AD139)=FALSE,"",IF(G139=AD139,"State license",IF(I139=AD139,"DEA registration",IF(K139=AD139,"State CSR",IF(M139=AD139,"Board certification",IF(Q139=AD139,"Malpractice",IF(S139=AD139,"Life support",IF(W139=AD139,"CAQH re-attestation",IF(Y139=AD139,"Privileges reappointment","Payer recredentialing")))))))))</f>
        <v/>
      </c>
      <c r="AD139" s="25">
        <f>IF(OR(AND(LEN(G139)&gt;0,ISNUMBER(G139)=FALSE),AND(LEN(I139)&gt;0,ISNUMBER(I139)=FALSE),AND(LEN(K139)&gt;0,ISNUMBER(K139)=FALSE),AND(LEN(M139)&gt;0,ISNUMBER(M139)=FALSE),AND(LEN(Q139)&gt;0,ISNUMBER(Q139)=FALSE),AND(LEN(S139)&gt;0,ISNUMBER(S139)=FALSE),AND(LEN(Y139)&gt;0,ISNUMBER(Y139)=FALSE),AND(LEN(AA139)&gt;0,ISNUMBER(AA139)=FALSE),AND(LEN(U139)&gt;0,ISNUMBER(U139)=FALSE)),"Check date",IF(COUNT(G139,I139,K139,M139,Q139,S139,W139,Y139,AA139)=0,"",MIN(G139,I139,K139,M139,Q139,S139,W139,Y139,AA139)))</f>
        <v/>
      </c>
      <c r="AE139" s="25">
        <f>IF(ISNUMBER(AD139),AD139-IF(ISNUMBER(AB139),AB139,30),"")</f>
        <v/>
      </c>
      <c r="AF139" s="27">
        <f>IF(AD139="","",IF(ISNUMBER(AD139),AD139-TODAY(),"Check date"))</f>
        <v/>
      </c>
      <c r="AG139" s="28">
        <f>IF(AF139="","",IF(ISNUMBER(AF139),IF(AF139&lt;0,"Expired",IF(AF139&lt;=30,"Due ≤30 days",IF(AF139&lt;=90,"Due ≤90 days","OK"))),"Check date"))</f>
        <v/>
      </c>
      <c r="AH139" s="22" t="n"/>
      <c r="AI139" s="22" t="n"/>
      <c r="AJ139" s="22" t="n"/>
      <c r="AK139" s="22" t="n"/>
    </row>
    <row r="140">
      <c r="A140" s="22" t="n"/>
      <c r="B140" s="22" t="n"/>
      <c r="C140" s="22" t="n"/>
      <c r="D140" s="22" t="n"/>
      <c r="E140" s="22" t="n"/>
      <c r="F140" s="22" t="n"/>
      <c r="G140" s="23" t="n"/>
      <c r="H140" s="22" t="n"/>
      <c r="I140" s="23" t="n"/>
      <c r="J140" s="22" t="n"/>
      <c r="K140" s="23" t="n"/>
      <c r="L140" s="22" t="n"/>
      <c r="M140" s="23" t="n"/>
      <c r="N140" s="22" t="n"/>
      <c r="O140" s="22" t="n"/>
      <c r="P140" s="22" t="n"/>
      <c r="Q140" s="23" t="n"/>
      <c r="R140" s="22" t="n"/>
      <c r="S140" s="23" t="n"/>
      <c r="T140" s="22" t="n"/>
      <c r="U140" s="23" t="n"/>
      <c r="V140" s="24" t="n"/>
      <c r="W140" s="25">
        <f>IF(ISNUMBER(U140),U140+IF(ISNUMBER(V140),V140,120),"")</f>
        <v/>
      </c>
      <c r="X140" s="22" t="n"/>
      <c r="Y140" s="23" t="n"/>
      <c r="Z140" s="22" t="n"/>
      <c r="AA140" s="23" t="n"/>
      <c r="AB140" s="24" t="n"/>
      <c r="AC140" s="26">
        <f>IF(ISNUMBER(AD140)=FALSE,"",IF(G140=AD140,"State license",IF(I140=AD140,"DEA registration",IF(K140=AD140,"State CSR",IF(M140=AD140,"Board certification",IF(Q140=AD140,"Malpractice",IF(S140=AD140,"Life support",IF(W140=AD140,"CAQH re-attestation",IF(Y140=AD140,"Privileges reappointment","Payer recredentialing")))))))))</f>
        <v/>
      </c>
      <c r="AD140" s="25">
        <f>IF(OR(AND(LEN(G140)&gt;0,ISNUMBER(G140)=FALSE),AND(LEN(I140)&gt;0,ISNUMBER(I140)=FALSE),AND(LEN(K140)&gt;0,ISNUMBER(K140)=FALSE),AND(LEN(M140)&gt;0,ISNUMBER(M140)=FALSE),AND(LEN(Q140)&gt;0,ISNUMBER(Q140)=FALSE),AND(LEN(S140)&gt;0,ISNUMBER(S140)=FALSE),AND(LEN(Y140)&gt;0,ISNUMBER(Y140)=FALSE),AND(LEN(AA140)&gt;0,ISNUMBER(AA140)=FALSE),AND(LEN(U140)&gt;0,ISNUMBER(U140)=FALSE)),"Check date",IF(COUNT(G140,I140,K140,M140,Q140,S140,W140,Y140,AA140)=0,"",MIN(G140,I140,K140,M140,Q140,S140,W140,Y140,AA140)))</f>
        <v/>
      </c>
      <c r="AE140" s="25">
        <f>IF(ISNUMBER(AD140),AD140-IF(ISNUMBER(AB140),AB140,30),"")</f>
        <v/>
      </c>
      <c r="AF140" s="27">
        <f>IF(AD140="","",IF(ISNUMBER(AD140),AD140-TODAY(),"Check date"))</f>
        <v/>
      </c>
      <c r="AG140" s="28">
        <f>IF(AF140="","",IF(ISNUMBER(AF140),IF(AF140&lt;0,"Expired",IF(AF140&lt;=30,"Due ≤30 days",IF(AF140&lt;=90,"Due ≤90 days","OK"))),"Check date"))</f>
        <v/>
      </c>
      <c r="AH140" s="22" t="n"/>
      <c r="AI140" s="22" t="n"/>
      <c r="AJ140" s="22" t="n"/>
      <c r="AK140" s="22" t="n"/>
    </row>
    <row r="141">
      <c r="A141" s="22" t="n"/>
      <c r="B141" s="22" t="n"/>
      <c r="C141" s="22" t="n"/>
      <c r="D141" s="22" t="n"/>
      <c r="E141" s="22" t="n"/>
      <c r="F141" s="22" t="n"/>
      <c r="G141" s="23" t="n"/>
      <c r="H141" s="22" t="n"/>
      <c r="I141" s="23" t="n"/>
      <c r="J141" s="22" t="n"/>
      <c r="K141" s="23" t="n"/>
      <c r="L141" s="22" t="n"/>
      <c r="M141" s="23" t="n"/>
      <c r="N141" s="22" t="n"/>
      <c r="O141" s="22" t="n"/>
      <c r="P141" s="22" t="n"/>
      <c r="Q141" s="23" t="n"/>
      <c r="R141" s="22" t="n"/>
      <c r="S141" s="23" t="n"/>
      <c r="T141" s="22" t="n"/>
      <c r="U141" s="23" t="n"/>
      <c r="V141" s="24" t="n"/>
      <c r="W141" s="25">
        <f>IF(ISNUMBER(U141),U141+IF(ISNUMBER(V141),V141,120),"")</f>
        <v/>
      </c>
      <c r="X141" s="22" t="n"/>
      <c r="Y141" s="23" t="n"/>
      <c r="Z141" s="22" t="n"/>
      <c r="AA141" s="23" t="n"/>
      <c r="AB141" s="24" t="n"/>
      <c r="AC141" s="26">
        <f>IF(ISNUMBER(AD141)=FALSE,"",IF(G141=AD141,"State license",IF(I141=AD141,"DEA registration",IF(K141=AD141,"State CSR",IF(M141=AD141,"Board certification",IF(Q141=AD141,"Malpractice",IF(S141=AD141,"Life support",IF(W141=AD141,"CAQH re-attestation",IF(Y141=AD141,"Privileges reappointment","Payer recredentialing")))))))))</f>
        <v/>
      </c>
      <c r="AD141" s="25">
        <f>IF(OR(AND(LEN(G141)&gt;0,ISNUMBER(G141)=FALSE),AND(LEN(I141)&gt;0,ISNUMBER(I141)=FALSE),AND(LEN(K141)&gt;0,ISNUMBER(K141)=FALSE),AND(LEN(M141)&gt;0,ISNUMBER(M141)=FALSE),AND(LEN(Q141)&gt;0,ISNUMBER(Q141)=FALSE),AND(LEN(S141)&gt;0,ISNUMBER(S141)=FALSE),AND(LEN(Y141)&gt;0,ISNUMBER(Y141)=FALSE),AND(LEN(AA141)&gt;0,ISNUMBER(AA141)=FALSE),AND(LEN(U141)&gt;0,ISNUMBER(U141)=FALSE)),"Check date",IF(COUNT(G141,I141,K141,M141,Q141,S141,W141,Y141,AA141)=0,"",MIN(G141,I141,K141,M141,Q141,S141,W141,Y141,AA141)))</f>
        <v/>
      </c>
      <c r="AE141" s="25">
        <f>IF(ISNUMBER(AD141),AD141-IF(ISNUMBER(AB141),AB141,30),"")</f>
        <v/>
      </c>
      <c r="AF141" s="27">
        <f>IF(AD141="","",IF(ISNUMBER(AD141),AD141-TODAY(),"Check date"))</f>
        <v/>
      </c>
      <c r="AG141" s="28">
        <f>IF(AF141="","",IF(ISNUMBER(AF141),IF(AF141&lt;0,"Expired",IF(AF141&lt;=30,"Due ≤30 days",IF(AF141&lt;=90,"Due ≤90 days","OK"))),"Check date"))</f>
        <v/>
      </c>
      <c r="AH141" s="22" t="n"/>
      <c r="AI141" s="22" t="n"/>
      <c r="AJ141" s="22" t="n"/>
      <c r="AK141" s="22" t="n"/>
    </row>
    <row r="142">
      <c r="A142" s="22" t="n"/>
      <c r="B142" s="22" t="n"/>
      <c r="C142" s="22" t="n"/>
      <c r="D142" s="22" t="n"/>
      <c r="E142" s="22" t="n"/>
      <c r="F142" s="22" t="n"/>
      <c r="G142" s="23" t="n"/>
      <c r="H142" s="22" t="n"/>
      <c r="I142" s="23" t="n"/>
      <c r="J142" s="22" t="n"/>
      <c r="K142" s="23" t="n"/>
      <c r="L142" s="22" t="n"/>
      <c r="M142" s="23" t="n"/>
      <c r="N142" s="22" t="n"/>
      <c r="O142" s="22" t="n"/>
      <c r="P142" s="22" t="n"/>
      <c r="Q142" s="23" t="n"/>
      <c r="R142" s="22" t="n"/>
      <c r="S142" s="23" t="n"/>
      <c r="T142" s="22" t="n"/>
      <c r="U142" s="23" t="n"/>
      <c r="V142" s="24" t="n"/>
      <c r="W142" s="25">
        <f>IF(ISNUMBER(U142),U142+IF(ISNUMBER(V142),V142,120),"")</f>
        <v/>
      </c>
      <c r="X142" s="22" t="n"/>
      <c r="Y142" s="23" t="n"/>
      <c r="Z142" s="22" t="n"/>
      <c r="AA142" s="23" t="n"/>
      <c r="AB142" s="24" t="n"/>
      <c r="AC142" s="26">
        <f>IF(ISNUMBER(AD142)=FALSE,"",IF(G142=AD142,"State license",IF(I142=AD142,"DEA registration",IF(K142=AD142,"State CSR",IF(M142=AD142,"Board certification",IF(Q142=AD142,"Malpractice",IF(S142=AD142,"Life support",IF(W142=AD142,"CAQH re-attestation",IF(Y142=AD142,"Privileges reappointment","Payer recredentialing")))))))))</f>
        <v/>
      </c>
      <c r="AD142" s="25">
        <f>IF(OR(AND(LEN(G142)&gt;0,ISNUMBER(G142)=FALSE),AND(LEN(I142)&gt;0,ISNUMBER(I142)=FALSE),AND(LEN(K142)&gt;0,ISNUMBER(K142)=FALSE),AND(LEN(M142)&gt;0,ISNUMBER(M142)=FALSE),AND(LEN(Q142)&gt;0,ISNUMBER(Q142)=FALSE),AND(LEN(S142)&gt;0,ISNUMBER(S142)=FALSE),AND(LEN(Y142)&gt;0,ISNUMBER(Y142)=FALSE),AND(LEN(AA142)&gt;0,ISNUMBER(AA142)=FALSE),AND(LEN(U142)&gt;0,ISNUMBER(U142)=FALSE)),"Check date",IF(COUNT(G142,I142,K142,M142,Q142,S142,W142,Y142,AA142)=0,"",MIN(G142,I142,K142,M142,Q142,S142,W142,Y142,AA142)))</f>
        <v/>
      </c>
      <c r="AE142" s="25">
        <f>IF(ISNUMBER(AD142),AD142-IF(ISNUMBER(AB142),AB142,30),"")</f>
        <v/>
      </c>
      <c r="AF142" s="27">
        <f>IF(AD142="","",IF(ISNUMBER(AD142),AD142-TODAY(),"Check date"))</f>
        <v/>
      </c>
      <c r="AG142" s="28">
        <f>IF(AF142="","",IF(ISNUMBER(AF142),IF(AF142&lt;0,"Expired",IF(AF142&lt;=30,"Due ≤30 days",IF(AF142&lt;=90,"Due ≤90 days","OK"))),"Check date"))</f>
        <v/>
      </c>
      <c r="AH142" s="22" t="n"/>
      <c r="AI142" s="22" t="n"/>
      <c r="AJ142" s="22" t="n"/>
      <c r="AK142" s="22" t="n"/>
    </row>
    <row r="143">
      <c r="A143" s="22" t="n"/>
      <c r="B143" s="22" t="n"/>
      <c r="C143" s="22" t="n"/>
      <c r="D143" s="22" t="n"/>
      <c r="E143" s="22" t="n"/>
      <c r="F143" s="22" t="n"/>
      <c r="G143" s="23" t="n"/>
      <c r="H143" s="22" t="n"/>
      <c r="I143" s="23" t="n"/>
      <c r="J143" s="22" t="n"/>
      <c r="K143" s="23" t="n"/>
      <c r="L143" s="22" t="n"/>
      <c r="M143" s="23" t="n"/>
      <c r="N143" s="22" t="n"/>
      <c r="O143" s="22" t="n"/>
      <c r="P143" s="22" t="n"/>
      <c r="Q143" s="23" t="n"/>
      <c r="R143" s="22" t="n"/>
      <c r="S143" s="23" t="n"/>
      <c r="T143" s="22" t="n"/>
      <c r="U143" s="23" t="n"/>
      <c r="V143" s="24" t="n"/>
      <c r="W143" s="25">
        <f>IF(ISNUMBER(U143),U143+IF(ISNUMBER(V143),V143,120),"")</f>
        <v/>
      </c>
      <c r="X143" s="22" t="n"/>
      <c r="Y143" s="23" t="n"/>
      <c r="Z143" s="22" t="n"/>
      <c r="AA143" s="23" t="n"/>
      <c r="AB143" s="24" t="n"/>
      <c r="AC143" s="26">
        <f>IF(ISNUMBER(AD143)=FALSE,"",IF(G143=AD143,"State license",IF(I143=AD143,"DEA registration",IF(K143=AD143,"State CSR",IF(M143=AD143,"Board certification",IF(Q143=AD143,"Malpractice",IF(S143=AD143,"Life support",IF(W143=AD143,"CAQH re-attestation",IF(Y143=AD143,"Privileges reappointment","Payer recredentialing")))))))))</f>
        <v/>
      </c>
      <c r="AD143" s="25">
        <f>IF(OR(AND(LEN(G143)&gt;0,ISNUMBER(G143)=FALSE),AND(LEN(I143)&gt;0,ISNUMBER(I143)=FALSE),AND(LEN(K143)&gt;0,ISNUMBER(K143)=FALSE),AND(LEN(M143)&gt;0,ISNUMBER(M143)=FALSE),AND(LEN(Q143)&gt;0,ISNUMBER(Q143)=FALSE),AND(LEN(S143)&gt;0,ISNUMBER(S143)=FALSE),AND(LEN(Y143)&gt;0,ISNUMBER(Y143)=FALSE),AND(LEN(AA143)&gt;0,ISNUMBER(AA143)=FALSE),AND(LEN(U143)&gt;0,ISNUMBER(U143)=FALSE)),"Check date",IF(COUNT(G143,I143,K143,M143,Q143,S143,W143,Y143,AA143)=0,"",MIN(G143,I143,K143,M143,Q143,S143,W143,Y143,AA143)))</f>
        <v/>
      </c>
      <c r="AE143" s="25">
        <f>IF(ISNUMBER(AD143),AD143-IF(ISNUMBER(AB143),AB143,30),"")</f>
        <v/>
      </c>
      <c r="AF143" s="27">
        <f>IF(AD143="","",IF(ISNUMBER(AD143),AD143-TODAY(),"Check date"))</f>
        <v/>
      </c>
      <c r="AG143" s="28">
        <f>IF(AF143="","",IF(ISNUMBER(AF143),IF(AF143&lt;0,"Expired",IF(AF143&lt;=30,"Due ≤30 days",IF(AF143&lt;=90,"Due ≤90 days","OK"))),"Check date"))</f>
        <v/>
      </c>
      <c r="AH143" s="22" t="n"/>
      <c r="AI143" s="22" t="n"/>
      <c r="AJ143" s="22" t="n"/>
      <c r="AK143" s="22" t="n"/>
    </row>
    <row r="144">
      <c r="A144" s="22" t="n"/>
      <c r="B144" s="22" t="n"/>
      <c r="C144" s="22" t="n"/>
      <c r="D144" s="22" t="n"/>
      <c r="E144" s="22" t="n"/>
      <c r="F144" s="22" t="n"/>
      <c r="G144" s="23" t="n"/>
      <c r="H144" s="22" t="n"/>
      <c r="I144" s="23" t="n"/>
      <c r="J144" s="22" t="n"/>
      <c r="K144" s="23" t="n"/>
      <c r="L144" s="22" t="n"/>
      <c r="M144" s="23" t="n"/>
      <c r="N144" s="22" t="n"/>
      <c r="O144" s="22" t="n"/>
      <c r="P144" s="22" t="n"/>
      <c r="Q144" s="23" t="n"/>
      <c r="R144" s="22" t="n"/>
      <c r="S144" s="23" t="n"/>
      <c r="T144" s="22" t="n"/>
      <c r="U144" s="23" t="n"/>
      <c r="V144" s="24" t="n"/>
      <c r="W144" s="25">
        <f>IF(ISNUMBER(U144),U144+IF(ISNUMBER(V144),V144,120),"")</f>
        <v/>
      </c>
      <c r="X144" s="22" t="n"/>
      <c r="Y144" s="23" t="n"/>
      <c r="Z144" s="22" t="n"/>
      <c r="AA144" s="23" t="n"/>
      <c r="AB144" s="24" t="n"/>
      <c r="AC144" s="26">
        <f>IF(ISNUMBER(AD144)=FALSE,"",IF(G144=AD144,"State license",IF(I144=AD144,"DEA registration",IF(K144=AD144,"State CSR",IF(M144=AD144,"Board certification",IF(Q144=AD144,"Malpractice",IF(S144=AD144,"Life support",IF(W144=AD144,"CAQH re-attestation",IF(Y144=AD144,"Privileges reappointment","Payer recredentialing")))))))))</f>
        <v/>
      </c>
      <c r="AD144" s="25">
        <f>IF(OR(AND(LEN(G144)&gt;0,ISNUMBER(G144)=FALSE),AND(LEN(I144)&gt;0,ISNUMBER(I144)=FALSE),AND(LEN(K144)&gt;0,ISNUMBER(K144)=FALSE),AND(LEN(M144)&gt;0,ISNUMBER(M144)=FALSE),AND(LEN(Q144)&gt;0,ISNUMBER(Q144)=FALSE),AND(LEN(S144)&gt;0,ISNUMBER(S144)=FALSE),AND(LEN(Y144)&gt;0,ISNUMBER(Y144)=FALSE),AND(LEN(AA144)&gt;0,ISNUMBER(AA144)=FALSE),AND(LEN(U144)&gt;0,ISNUMBER(U144)=FALSE)),"Check date",IF(COUNT(G144,I144,K144,M144,Q144,S144,W144,Y144,AA144)=0,"",MIN(G144,I144,K144,M144,Q144,S144,W144,Y144,AA144)))</f>
        <v/>
      </c>
      <c r="AE144" s="25">
        <f>IF(ISNUMBER(AD144),AD144-IF(ISNUMBER(AB144),AB144,30),"")</f>
        <v/>
      </c>
      <c r="AF144" s="27">
        <f>IF(AD144="","",IF(ISNUMBER(AD144),AD144-TODAY(),"Check date"))</f>
        <v/>
      </c>
      <c r="AG144" s="28">
        <f>IF(AF144="","",IF(ISNUMBER(AF144),IF(AF144&lt;0,"Expired",IF(AF144&lt;=30,"Due ≤30 days",IF(AF144&lt;=90,"Due ≤90 days","OK"))),"Check date"))</f>
        <v/>
      </c>
      <c r="AH144" s="22" t="n"/>
      <c r="AI144" s="22" t="n"/>
      <c r="AJ144" s="22" t="n"/>
      <c r="AK144" s="22" t="n"/>
    </row>
    <row r="145">
      <c r="A145" s="22" t="n"/>
      <c r="B145" s="22" t="n"/>
      <c r="C145" s="22" t="n"/>
      <c r="D145" s="22" t="n"/>
      <c r="E145" s="22" t="n"/>
      <c r="F145" s="22" t="n"/>
      <c r="G145" s="23" t="n"/>
      <c r="H145" s="22" t="n"/>
      <c r="I145" s="23" t="n"/>
      <c r="J145" s="22" t="n"/>
      <c r="K145" s="23" t="n"/>
      <c r="L145" s="22" t="n"/>
      <c r="M145" s="23" t="n"/>
      <c r="N145" s="22" t="n"/>
      <c r="O145" s="22" t="n"/>
      <c r="P145" s="22" t="n"/>
      <c r="Q145" s="23" t="n"/>
      <c r="R145" s="22" t="n"/>
      <c r="S145" s="23" t="n"/>
      <c r="T145" s="22" t="n"/>
      <c r="U145" s="23" t="n"/>
      <c r="V145" s="24" t="n"/>
      <c r="W145" s="25">
        <f>IF(ISNUMBER(U145),U145+IF(ISNUMBER(V145),V145,120),"")</f>
        <v/>
      </c>
      <c r="X145" s="22" t="n"/>
      <c r="Y145" s="23" t="n"/>
      <c r="Z145" s="22" t="n"/>
      <c r="AA145" s="23" t="n"/>
      <c r="AB145" s="24" t="n"/>
      <c r="AC145" s="26">
        <f>IF(ISNUMBER(AD145)=FALSE,"",IF(G145=AD145,"State license",IF(I145=AD145,"DEA registration",IF(K145=AD145,"State CSR",IF(M145=AD145,"Board certification",IF(Q145=AD145,"Malpractice",IF(S145=AD145,"Life support",IF(W145=AD145,"CAQH re-attestation",IF(Y145=AD145,"Privileges reappointment","Payer recredentialing")))))))))</f>
        <v/>
      </c>
      <c r="AD145" s="25">
        <f>IF(OR(AND(LEN(G145)&gt;0,ISNUMBER(G145)=FALSE),AND(LEN(I145)&gt;0,ISNUMBER(I145)=FALSE),AND(LEN(K145)&gt;0,ISNUMBER(K145)=FALSE),AND(LEN(M145)&gt;0,ISNUMBER(M145)=FALSE),AND(LEN(Q145)&gt;0,ISNUMBER(Q145)=FALSE),AND(LEN(S145)&gt;0,ISNUMBER(S145)=FALSE),AND(LEN(Y145)&gt;0,ISNUMBER(Y145)=FALSE),AND(LEN(AA145)&gt;0,ISNUMBER(AA145)=FALSE),AND(LEN(U145)&gt;0,ISNUMBER(U145)=FALSE)),"Check date",IF(COUNT(G145,I145,K145,M145,Q145,S145,W145,Y145,AA145)=0,"",MIN(G145,I145,K145,M145,Q145,S145,W145,Y145,AA145)))</f>
        <v/>
      </c>
      <c r="AE145" s="25">
        <f>IF(ISNUMBER(AD145),AD145-IF(ISNUMBER(AB145),AB145,30),"")</f>
        <v/>
      </c>
      <c r="AF145" s="27">
        <f>IF(AD145="","",IF(ISNUMBER(AD145),AD145-TODAY(),"Check date"))</f>
        <v/>
      </c>
      <c r="AG145" s="28">
        <f>IF(AF145="","",IF(ISNUMBER(AF145),IF(AF145&lt;0,"Expired",IF(AF145&lt;=30,"Due ≤30 days",IF(AF145&lt;=90,"Due ≤90 days","OK"))),"Check date"))</f>
        <v/>
      </c>
      <c r="AH145" s="22" t="n"/>
      <c r="AI145" s="22" t="n"/>
      <c r="AJ145" s="22" t="n"/>
      <c r="AK145" s="22" t="n"/>
    </row>
    <row r="146">
      <c r="A146" s="22" t="n"/>
      <c r="B146" s="22" t="n"/>
      <c r="C146" s="22" t="n"/>
      <c r="D146" s="22" t="n"/>
      <c r="E146" s="22" t="n"/>
      <c r="F146" s="22" t="n"/>
      <c r="G146" s="23" t="n"/>
      <c r="H146" s="22" t="n"/>
      <c r="I146" s="23" t="n"/>
      <c r="J146" s="22" t="n"/>
      <c r="K146" s="23" t="n"/>
      <c r="L146" s="22" t="n"/>
      <c r="M146" s="23" t="n"/>
      <c r="N146" s="22" t="n"/>
      <c r="O146" s="22" t="n"/>
      <c r="P146" s="22" t="n"/>
      <c r="Q146" s="23" t="n"/>
      <c r="R146" s="22" t="n"/>
      <c r="S146" s="23" t="n"/>
      <c r="T146" s="22" t="n"/>
      <c r="U146" s="23" t="n"/>
      <c r="V146" s="24" t="n"/>
      <c r="W146" s="25">
        <f>IF(ISNUMBER(U146),U146+IF(ISNUMBER(V146),V146,120),"")</f>
        <v/>
      </c>
      <c r="X146" s="22" t="n"/>
      <c r="Y146" s="23" t="n"/>
      <c r="Z146" s="22" t="n"/>
      <c r="AA146" s="23" t="n"/>
      <c r="AB146" s="24" t="n"/>
      <c r="AC146" s="26">
        <f>IF(ISNUMBER(AD146)=FALSE,"",IF(G146=AD146,"State license",IF(I146=AD146,"DEA registration",IF(K146=AD146,"State CSR",IF(M146=AD146,"Board certification",IF(Q146=AD146,"Malpractice",IF(S146=AD146,"Life support",IF(W146=AD146,"CAQH re-attestation",IF(Y146=AD146,"Privileges reappointment","Payer recredentialing")))))))))</f>
        <v/>
      </c>
      <c r="AD146" s="25">
        <f>IF(OR(AND(LEN(G146)&gt;0,ISNUMBER(G146)=FALSE),AND(LEN(I146)&gt;0,ISNUMBER(I146)=FALSE),AND(LEN(K146)&gt;0,ISNUMBER(K146)=FALSE),AND(LEN(M146)&gt;0,ISNUMBER(M146)=FALSE),AND(LEN(Q146)&gt;0,ISNUMBER(Q146)=FALSE),AND(LEN(S146)&gt;0,ISNUMBER(S146)=FALSE),AND(LEN(Y146)&gt;0,ISNUMBER(Y146)=FALSE),AND(LEN(AA146)&gt;0,ISNUMBER(AA146)=FALSE),AND(LEN(U146)&gt;0,ISNUMBER(U146)=FALSE)),"Check date",IF(COUNT(G146,I146,K146,M146,Q146,S146,W146,Y146,AA146)=0,"",MIN(G146,I146,K146,M146,Q146,S146,W146,Y146,AA146)))</f>
        <v/>
      </c>
      <c r="AE146" s="25">
        <f>IF(ISNUMBER(AD146),AD146-IF(ISNUMBER(AB146),AB146,30),"")</f>
        <v/>
      </c>
      <c r="AF146" s="27">
        <f>IF(AD146="","",IF(ISNUMBER(AD146),AD146-TODAY(),"Check date"))</f>
        <v/>
      </c>
      <c r="AG146" s="28">
        <f>IF(AF146="","",IF(ISNUMBER(AF146),IF(AF146&lt;0,"Expired",IF(AF146&lt;=30,"Due ≤30 days",IF(AF146&lt;=90,"Due ≤90 days","OK"))),"Check date"))</f>
        <v/>
      </c>
      <c r="AH146" s="22" t="n"/>
      <c r="AI146" s="22" t="n"/>
      <c r="AJ146" s="22" t="n"/>
      <c r="AK146" s="22" t="n"/>
    </row>
    <row r="147">
      <c r="A147" s="22" t="n"/>
      <c r="B147" s="22" t="n"/>
      <c r="C147" s="22" t="n"/>
      <c r="D147" s="22" t="n"/>
      <c r="E147" s="22" t="n"/>
      <c r="F147" s="22" t="n"/>
      <c r="G147" s="23" t="n"/>
      <c r="H147" s="22" t="n"/>
      <c r="I147" s="23" t="n"/>
      <c r="J147" s="22" t="n"/>
      <c r="K147" s="23" t="n"/>
      <c r="L147" s="22" t="n"/>
      <c r="M147" s="23" t="n"/>
      <c r="N147" s="22" t="n"/>
      <c r="O147" s="22" t="n"/>
      <c r="P147" s="22" t="n"/>
      <c r="Q147" s="23" t="n"/>
      <c r="R147" s="22" t="n"/>
      <c r="S147" s="23" t="n"/>
      <c r="T147" s="22" t="n"/>
      <c r="U147" s="23" t="n"/>
      <c r="V147" s="24" t="n"/>
      <c r="W147" s="25">
        <f>IF(ISNUMBER(U147),U147+IF(ISNUMBER(V147),V147,120),"")</f>
        <v/>
      </c>
      <c r="X147" s="22" t="n"/>
      <c r="Y147" s="23" t="n"/>
      <c r="Z147" s="22" t="n"/>
      <c r="AA147" s="23" t="n"/>
      <c r="AB147" s="24" t="n"/>
      <c r="AC147" s="26">
        <f>IF(ISNUMBER(AD147)=FALSE,"",IF(G147=AD147,"State license",IF(I147=AD147,"DEA registration",IF(K147=AD147,"State CSR",IF(M147=AD147,"Board certification",IF(Q147=AD147,"Malpractice",IF(S147=AD147,"Life support",IF(W147=AD147,"CAQH re-attestation",IF(Y147=AD147,"Privileges reappointment","Payer recredentialing")))))))))</f>
        <v/>
      </c>
      <c r="AD147" s="25">
        <f>IF(OR(AND(LEN(G147)&gt;0,ISNUMBER(G147)=FALSE),AND(LEN(I147)&gt;0,ISNUMBER(I147)=FALSE),AND(LEN(K147)&gt;0,ISNUMBER(K147)=FALSE),AND(LEN(M147)&gt;0,ISNUMBER(M147)=FALSE),AND(LEN(Q147)&gt;0,ISNUMBER(Q147)=FALSE),AND(LEN(S147)&gt;0,ISNUMBER(S147)=FALSE),AND(LEN(Y147)&gt;0,ISNUMBER(Y147)=FALSE),AND(LEN(AA147)&gt;0,ISNUMBER(AA147)=FALSE),AND(LEN(U147)&gt;0,ISNUMBER(U147)=FALSE)),"Check date",IF(COUNT(G147,I147,K147,M147,Q147,S147,W147,Y147,AA147)=0,"",MIN(G147,I147,K147,M147,Q147,S147,W147,Y147,AA147)))</f>
        <v/>
      </c>
      <c r="AE147" s="25">
        <f>IF(ISNUMBER(AD147),AD147-IF(ISNUMBER(AB147),AB147,30),"")</f>
        <v/>
      </c>
      <c r="AF147" s="27">
        <f>IF(AD147="","",IF(ISNUMBER(AD147),AD147-TODAY(),"Check date"))</f>
        <v/>
      </c>
      <c r="AG147" s="28">
        <f>IF(AF147="","",IF(ISNUMBER(AF147),IF(AF147&lt;0,"Expired",IF(AF147&lt;=30,"Due ≤30 days",IF(AF147&lt;=90,"Due ≤90 days","OK"))),"Check date"))</f>
        <v/>
      </c>
      <c r="AH147" s="22" t="n"/>
      <c r="AI147" s="22" t="n"/>
      <c r="AJ147" s="22" t="n"/>
      <c r="AK147" s="22" t="n"/>
    </row>
    <row r="148">
      <c r="A148" s="22" t="n"/>
      <c r="B148" s="22" t="n"/>
      <c r="C148" s="22" t="n"/>
      <c r="D148" s="22" t="n"/>
      <c r="E148" s="22" t="n"/>
      <c r="F148" s="22" t="n"/>
      <c r="G148" s="23" t="n"/>
      <c r="H148" s="22" t="n"/>
      <c r="I148" s="23" t="n"/>
      <c r="J148" s="22" t="n"/>
      <c r="K148" s="23" t="n"/>
      <c r="L148" s="22" t="n"/>
      <c r="M148" s="23" t="n"/>
      <c r="N148" s="22" t="n"/>
      <c r="O148" s="22" t="n"/>
      <c r="P148" s="22" t="n"/>
      <c r="Q148" s="23" t="n"/>
      <c r="R148" s="22" t="n"/>
      <c r="S148" s="23" t="n"/>
      <c r="T148" s="22" t="n"/>
      <c r="U148" s="23" t="n"/>
      <c r="V148" s="24" t="n"/>
      <c r="W148" s="25">
        <f>IF(ISNUMBER(U148),U148+IF(ISNUMBER(V148),V148,120),"")</f>
        <v/>
      </c>
      <c r="X148" s="22" t="n"/>
      <c r="Y148" s="23" t="n"/>
      <c r="Z148" s="22" t="n"/>
      <c r="AA148" s="23" t="n"/>
      <c r="AB148" s="24" t="n"/>
      <c r="AC148" s="26">
        <f>IF(ISNUMBER(AD148)=FALSE,"",IF(G148=AD148,"State license",IF(I148=AD148,"DEA registration",IF(K148=AD148,"State CSR",IF(M148=AD148,"Board certification",IF(Q148=AD148,"Malpractice",IF(S148=AD148,"Life support",IF(W148=AD148,"CAQH re-attestation",IF(Y148=AD148,"Privileges reappointment","Payer recredentialing")))))))))</f>
        <v/>
      </c>
      <c r="AD148" s="25">
        <f>IF(OR(AND(LEN(G148)&gt;0,ISNUMBER(G148)=FALSE),AND(LEN(I148)&gt;0,ISNUMBER(I148)=FALSE),AND(LEN(K148)&gt;0,ISNUMBER(K148)=FALSE),AND(LEN(M148)&gt;0,ISNUMBER(M148)=FALSE),AND(LEN(Q148)&gt;0,ISNUMBER(Q148)=FALSE),AND(LEN(S148)&gt;0,ISNUMBER(S148)=FALSE),AND(LEN(Y148)&gt;0,ISNUMBER(Y148)=FALSE),AND(LEN(AA148)&gt;0,ISNUMBER(AA148)=FALSE),AND(LEN(U148)&gt;0,ISNUMBER(U148)=FALSE)),"Check date",IF(COUNT(G148,I148,K148,M148,Q148,S148,W148,Y148,AA148)=0,"",MIN(G148,I148,K148,M148,Q148,S148,W148,Y148,AA148)))</f>
        <v/>
      </c>
      <c r="AE148" s="25">
        <f>IF(ISNUMBER(AD148),AD148-IF(ISNUMBER(AB148),AB148,30),"")</f>
        <v/>
      </c>
      <c r="AF148" s="27">
        <f>IF(AD148="","",IF(ISNUMBER(AD148),AD148-TODAY(),"Check date"))</f>
        <v/>
      </c>
      <c r="AG148" s="28">
        <f>IF(AF148="","",IF(ISNUMBER(AF148),IF(AF148&lt;0,"Expired",IF(AF148&lt;=30,"Due ≤30 days",IF(AF148&lt;=90,"Due ≤90 days","OK"))),"Check date"))</f>
        <v/>
      </c>
      <c r="AH148" s="22" t="n"/>
      <c r="AI148" s="22" t="n"/>
      <c r="AJ148" s="22" t="n"/>
      <c r="AK148" s="22" t="n"/>
    </row>
    <row r="149">
      <c r="A149" s="22" t="n"/>
      <c r="B149" s="22" t="n"/>
      <c r="C149" s="22" t="n"/>
      <c r="D149" s="22" t="n"/>
      <c r="E149" s="22" t="n"/>
      <c r="F149" s="22" t="n"/>
      <c r="G149" s="23" t="n"/>
      <c r="H149" s="22" t="n"/>
      <c r="I149" s="23" t="n"/>
      <c r="J149" s="22" t="n"/>
      <c r="K149" s="23" t="n"/>
      <c r="L149" s="22" t="n"/>
      <c r="M149" s="23" t="n"/>
      <c r="N149" s="22" t="n"/>
      <c r="O149" s="22" t="n"/>
      <c r="P149" s="22" t="n"/>
      <c r="Q149" s="23" t="n"/>
      <c r="R149" s="22" t="n"/>
      <c r="S149" s="23" t="n"/>
      <c r="T149" s="22" t="n"/>
      <c r="U149" s="23" t="n"/>
      <c r="V149" s="24" t="n"/>
      <c r="W149" s="25">
        <f>IF(ISNUMBER(U149),U149+IF(ISNUMBER(V149),V149,120),"")</f>
        <v/>
      </c>
      <c r="X149" s="22" t="n"/>
      <c r="Y149" s="23" t="n"/>
      <c r="Z149" s="22" t="n"/>
      <c r="AA149" s="23" t="n"/>
      <c r="AB149" s="24" t="n"/>
      <c r="AC149" s="26">
        <f>IF(ISNUMBER(AD149)=FALSE,"",IF(G149=AD149,"State license",IF(I149=AD149,"DEA registration",IF(K149=AD149,"State CSR",IF(M149=AD149,"Board certification",IF(Q149=AD149,"Malpractice",IF(S149=AD149,"Life support",IF(W149=AD149,"CAQH re-attestation",IF(Y149=AD149,"Privileges reappointment","Payer recredentialing")))))))))</f>
        <v/>
      </c>
      <c r="AD149" s="25">
        <f>IF(OR(AND(LEN(G149)&gt;0,ISNUMBER(G149)=FALSE),AND(LEN(I149)&gt;0,ISNUMBER(I149)=FALSE),AND(LEN(K149)&gt;0,ISNUMBER(K149)=FALSE),AND(LEN(M149)&gt;0,ISNUMBER(M149)=FALSE),AND(LEN(Q149)&gt;0,ISNUMBER(Q149)=FALSE),AND(LEN(S149)&gt;0,ISNUMBER(S149)=FALSE),AND(LEN(Y149)&gt;0,ISNUMBER(Y149)=FALSE),AND(LEN(AA149)&gt;0,ISNUMBER(AA149)=FALSE),AND(LEN(U149)&gt;0,ISNUMBER(U149)=FALSE)),"Check date",IF(COUNT(G149,I149,K149,M149,Q149,S149,W149,Y149,AA149)=0,"",MIN(G149,I149,K149,M149,Q149,S149,W149,Y149,AA149)))</f>
        <v/>
      </c>
      <c r="AE149" s="25">
        <f>IF(ISNUMBER(AD149),AD149-IF(ISNUMBER(AB149),AB149,30),"")</f>
        <v/>
      </c>
      <c r="AF149" s="27">
        <f>IF(AD149="","",IF(ISNUMBER(AD149),AD149-TODAY(),"Check date"))</f>
        <v/>
      </c>
      <c r="AG149" s="28">
        <f>IF(AF149="","",IF(ISNUMBER(AF149),IF(AF149&lt;0,"Expired",IF(AF149&lt;=30,"Due ≤30 days",IF(AF149&lt;=90,"Due ≤90 days","OK"))),"Check date"))</f>
        <v/>
      </c>
      <c r="AH149" s="22" t="n"/>
      <c r="AI149" s="22" t="n"/>
      <c r="AJ149" s="22" t="n"/>
      <c r="AK149" s="22" t="n"/>
    </row>
    <row r="150">
      <c r="A150" s="22" t="n"/>
      <c r="B150" s="22" t="n"/>
      <c r="C150" s="22" t="n"/>
      <c r="D150" s="22" t="n"/>
      <c r="E150" s="22" t="n"/>
      <c r="F150" s="22" t="n"/>
      <c r="G150" s="23" t="n"/>
      <c r="H150" s="22" t="n"/>
      <c r="I150" s="23" t="n"/>
      <c r="J150" s="22" t="n"/>
      <c r="K150" s="23" t="n"/>
      <c r="L150" s="22" t="n"/>
      <c r="M150" s="23" t="n"/>
      <c r="N150" s="22" t="n"/>
      <c r="O150" s="22" t="n"/>
      <c r="P150" s="22" t="n"/>
      <c r="Q150" s="23" t="n"/>
      <c r="R150" s="22" t="n"/>
      <c r="S150" s="23" t="n"/>
      <c r="T150" s="22" t="n"/>
      <c r="U150" s="23" t="n"/>
      <c r="V150" s="24" t="n"/>
      <c r="W150" s="25">
        <f>IF(ISNUMBER(U150),U150+IF(ISNUMBER(V150),V150,120),"")</f>
        <v/>
      </c>
      <c r="X150" s="22" t="n"/>
      <c r="Y150" s="23" t="n"/>
      <c r="Z150" s="22" t="n"/>
      <c r="AA150" s="23" t="n"/>
      <c r="AB150" s="24" t="n"/>
      <c r="AC150" s="26">
        <f>IF(ISNUMBER(AD150)=FALSE,"",IF(G150=AD150,"State license",IF(I150=AD150,"DEA registration",IF(K150=AD150,"State CSR",IF(M150=AD150,"Board certification",IF(Q150=AD150,"Malpractice",IF(S150=AD150,"Life support",IF(W150=AD150,"CAQH re-attestation",IF(Y150=AD150,"Privileges reappointment","Payer recredentialing")))))))))</f>
        <v/>
      </c>
      <c r="AD150" s="25">
        <f>IF(OR(AND(LEN(G150)&gt;0,ISNUMBER(G150)=FALSE),AND(LEN(I150)&gt;0,ISNUMBER(I150)=FALSE),AND(LEN(K150)&gt;0,ISNUMBER(K150)=FALSE),AND(LEN(M150)&gt;0,ISNUMBER(M150)=FALSE),AND(LEN(Q150)&gt;0,ISNUMBER(Q150)=FALSE),AND(LEN(S150)&gt;0,ISNUMBER(S150)=FALSE),AND(LEN(Y150)&gt;0,ISNUMBER(Y150)=FALSE),AND(LEN(AA150)&gt;0,ISNUMBER(AA150)=FALSE),AND(LEN(U150)&gt;0,ISNUMBER(U150)=FALSE)),"Check date",IF(COUNT(G150,I150,K150,M150,Q150,S150,W150,Y150,AA150)=0,"",MIN(G150,I150,K150,M150,Q150,S150,W150,Y150,AA150)))</f>
        <v/>
      </c>
      <c r="AE150" s="25">
        <f>IF(ISNUMBER(AD150),AD150-IF(ISNUMBER(AB150),AB150,30),"")</f>
        <v/>
      </c>
      <c r="AF150" s="27">
        <f>IF(AD150="","",IF(ISNUMBER(AD150),AD150-TODAY(),"Check date"))</f>
        <v/>
      </c>
      <c r="AG150" s="28">
        <f>IF(AF150="","",IF(ISNUMBER(AF150),IF(AF150&lt;0,"Expired",IF(AF150&lt;=30,"Due ≤30 days",IF(AF150&lt;=90,"Due ≤90 days","OK"))),"Check date"))</f>
        <v/>
      </c>
      <c r="AH150" s="22" t="n"/>
      <c r="AI150" s="22" t="n"/>
      <c r="AJ150" s="22" t="n"/>
      <c r="AK150" s="22" t="n"/>
    </row>
    <row r="151">
      <c r="A151" s="22" t="n"/>
      <c r="B151" s="22" t="n"/>
      <c r="C151" s="22" t="n"/>
      <c r="D151" s="22" t="n"/>
      <c r="E151" s="22" t="n"/>
      <c r="F151" s="22" t="n"/>
      <c r="G151" s="23" t="n"/>
      <c r="H151" s="22" t="n"/>
      <c r="I151" s="23" t="n"/>
      <c r="J151" s="22" t="n"/>
      <c r="K151" s="23" t="n"/>
      <c r="L151" s="22" t="n"/>
      <c r="M151" s="23" t="n"/>
      <c r="N151" s="22" t="n"/>
      <c r="O151" s="22" t="n"/>
      <c r="P151" s="22" t="n"/>
      <c r="Q151" s="23" t="n"/>
      <c r="R151" s="22" t="n"/>
      <c r="S151" s="23" t="n"/>
      <c r="T151" s="22" t="n"/>
      <c r="U151" s="23" t="n"/>
      <c r="V151" s="24" t="n"/>
      <c r="W151" s="25">
        <f>IF(ISNUMBER(U151),U151+IF(ISNUMBER(V151),V151,120),"")</f>
        <v/>
      </c>
      <c r="X151" s="22" t="n"/>
      <c r="Y151" s="23" t="n"/>
      <c r="Z151" s="22" t="n"/>
      <c r="AA151" s="23" t="n"/>
      <c r="AB151" s="24" t="n"/>
      <c r="AC151" s="26">
        <f>IF(ISNUMBER(AD151)=FALSE,"",IF(G151=AD151,"State license",IF(I151=AD151,"DEA registration",IF(K151=AD151,"State CSR",IF(M151=AD151,"Board certification",IF(Q151=AD151,"Malpractice",IF(S151=AD151,"Life support",IF(W151=AD151,"CAQH re-attestation",IF(Y151=AD151,"Privileges reappointment","Payer recredentialing")))))))))</f>
        <v/>
      </c>
      <c r="AD151" s="25">
        <f>IF(OR(AND(LEN(G151)&gt;0,ISNUMBER(G151)=FALSE),AND(LEN(I151)&gt;0,ISNUMBER(I151)=FALSE),AND(LEN(K151)&gt;0,ISNUMBER(K151)=FALSE),AND(LEN(M151)&gt;0,ISNUMBER(M151)=FALSE),AND(LEN(Q151)&gt;0,ISNUMBER(Q151)=FALSE),AND(LEN(S151)&gt;0,ISNUMBER(S151)=FALSE),AND(LEN(Y151)&gt;0,ISNUMBER(Y151)=FALSE),AND(LEN(AA151)&gt;0,ISNUMBER(AA151)=FALSE),AND(LEN(U151)&gt;0,ISNUMBER(U151)=FALSE)),"Check date",IF(COUNT(G151,I151,K151,M151,Q151,S151,W151,Y151,AA151)=0,"",MIN(G151,I151,K151,M151,Q151,S151,W151,Y151,AA151)))</f>
        <v/>
      </c>
      <c r="AE151" s="25">
        <f>IF(ISNUMBER(AD151),AD151-IF(ISNUMBER(AB151),AB151,30),"")</f>
        <v/>
      </c>
      <c r="AF151" s="27">
        <f>IF(AD151="","",IF(ISNUMBER(AD151),AD151-TODAY(),"Check date"))</f>
        <v/>
      </c>
      <c r="AG151" s="28">
        <f>IF(AF151="","",IF(ISNUMBER(AF151),IF(AF151&lt;0,"Expired",IF(AF151&lt;=30,"Due ≤30 days",IF(AF151&lt;=90,"Due ≤90 days","OK"))),"Check date"))</f>
        <v/>
      </c>
      <c r="AH151" s="22" t="n"/>
      <c r="AI151" s="22" t="n"/>
      <c r="AJ151" s="22" t="n"/>
      <c r="AK151" s="22" t="n"/>
    </row>
    <row r="152">
      <c r="A152" s="22" t="n"/>
      <c r="B152" s="22" t="n"/>
      <c r="C152" s="22" t="n"/>
      <c r="D152" s="22" t="n"/>
      <c r="E152" s="22" t="n"/>
      <c r="F152" s="22" t="n"/>
      <c r="G152" s="23" t="n"/>
      <c r="H152" s="22" t="n"/>
      <c r="I152" s="23" t="n"/>
      <c r="J152" s="22" t="n"/>
      <c r="K152" s="23" t="n"/>
      <c r="L152" s="22" t="n"/>
      <c r="M152" s="23" t="n"/>
      <c r="N152" s="22" t="n"/>
      <c r="O152" s="22" t="n"/>
      <c r="P152" s="22" t="n"/>
      <c r="Q152" s="23" t="n"/>
      <c r="R152" s="22" t="n"/>
      <c r="S152" s="23" t="n"/>
      <c r="T152" s="22" t="n"/>
      <c r="U152" s="23" t="n"/>
      <c r="V152" s="24" t="n"/>
      <c r="W152" s="25">
        <f>IF(ISNUMBER(U152),U152+IF(ISNUMBER(V152),V152,120),"")</f>
        <v/>
      </c>
      <c r="X152" s="22" t="n"/>
      <c r="Y152" s="23" t="n"/>
      <c r="Z152" s="22" t="n"/>
      <c r="AA152" s="23" t="n"/>
      <c r="AB152" s="24" t="n"/>
      <c r="AC152" s="26">
        <f>IF(ISNUMBER(AD152)=FALSE,"",IF(G152=AD152,"State license",IF(I152=AD152,"DEA registration",IF(K152=AD152,"State CSR",IF(M152=AD152,"Board certification",IF(Q152=AD152,"Malpractice",IF(S152=AD152,"Life support",IF(W152=AD152,"CAQH re-attestation",IF(Y152=AD152,"Privileges reappointment","Payer recredentialing")))))))))</f>
        <v/>
      </c>
      <c r="AD152" s="25">
        <f>IF(OR(AND(LEN(G152)&gt;0,ISNUMBER(G152)=FALSE),AND(LEN(I152)&gt;0,ISNUMBER(I152)=FALSE),AND(LEN(K152)&gt;0,ISNUMBER(K152)=FALSE),AND(LEN(M152)&gt;0,ISNUMBER(M152)=FALSE),AND(LEN(Q152)&gt;0,ISNUMBER(Q152)=FALSE),AND(LEN(S152)&gt;0,ISNUMBER(S152)=FALSE),AND(LEN(Y152)&gt;0,ISNUMBER(Y152)=FALSE),AND(LEN(AA152)&gt;0,ISNUMBER(AA152)=FALSE),AND(LEN(U152)&gt;0,ISNUMBER(U152)=FALSE)),"Check date",IF(COUNT(G152,I152,K152,M152,Q152,S152,W152,Y152,AA152)=0,"",MIN(G152,I152,K152,M152,Q152,S152,W152,Y152,AA152)))</f>
        <v/>
      </c>
      <c r="AE152" s="25">
        <f>IF(ISNUMBER(AD152),AD152-IF(ISNUMBER(AB152),AB152,30),"")</f>
        <v/>
      </c>
      <c r="AF152" s="27">
        <f>IF(AD152="","",IF(ISNUMBER(AD152),AD152-TODAY(),"Check date"))</f>
        <v/>
      </c>
      <c r="AG152" s="28">
        <f>IF(AF152="","",IF(ISNUMBER(AF152),IF(AF152&lt;0,"Expired",IF(AF152&lt;=30,"Due ≤30 days",IF(AF152&lt;=90,"Due ≤90 days","OK"))),"Check date"))</f>
        <v/>
      </c>
      <c r="AH152" s="22" t="n"/>
      <c r="AI152" s="22" t="n"/>
      <c r="AJ152" s="22" t="n"/>
      <c r="AK152" s="22" t="n"/>
    </row>
    <row r="153">
      <c r="A153" s="22" t="n"/>
      <c r="B153" s="22" t="n"/>
      <c r="C153" s="22" t="n"/>
      <c r="D153" s="22" t="n"/>
      <c r="E153" s="22" t="n"/>
      <c r="F153" s="22" t="n"/>
      <c r="G153" s="23" t="n"/>
      <c r="H153" s="22" t="n"/>
      <c r="I153" s="23" t="n"/>
      <c r="J153" s="22" t="n"/>
      <c r="K153" s="23" t="n"/>
      <c r="L153" s="22" t="n"/>
      <c r="M153" s="23" t="n"/>
      <c r="N153" s="22" t="n"/>
      <c r="O153" s="22" t="n"/>
      <c r="P153" s="22" t="n"/>
      <c r="Q153" s="23" t="n"/>
      <c r="R153" s="22" t="n"/>
      <c r="S153" s="23" t="n"/>
      <c r="T153" s="22" t="n"/>
      <c r="U153" s="23" t="n"/>
      <c r="V153" s="24" t="n"/>
      <c r="W153" s="25">
        <f>IF(ISNUMBER(U153),U153+IF(ISNUMBER(V153),V153,120),"")</f>
        <v/>
      </c>
      <c r="X153" s="22" t="n"/>
      <c r="Y153" s="23" t="n"/>
      <c r="Z153" s="22" t="n"/>
      <c r="AA153" s="23" t="n"/>
      <c r="AB153" s="24" t="n"/>
      <c r="AC153" s="26">
        <f>IF(ISNUMBER(AD153)=FALSE,"",IF(G153=AD153,"State license",IF(I153=AD153,"DEA registration",IF(K153=AD153,"State CSR",IF(M153=AD153,"Board certification",IF(Q153=AD153,"Malpractice",IF(S153=AD153,"Life support",IF(W153=AD153,"CAQH re-attestation",IF(Y153=AD153,"Privileges reappointment","Payer recredentialing")))))))))</f>
        <v/>
      </c>
      <c r="AD153" s="25">
        <f>IF(OR(AND(LEN(G153)&gt;0,ISNUMBER(G153)=FALSE),AND(LEN(I153)&gt;0,ISNUMBER(I153)=FALSE),AND(LEN(K153)&gt;0,ISNUMBER(K153)=FALSE),AND(LEN(M153)&gt;0,ISNUMBER(M153)=FALSE),AND(LEN(Q153)&gt;0,ISNUMBER(Q153)=FALSE),AND(LEN(S153)&gt;0,ISNUMBER(S153)=FALSE),AND(LEN(Y153)&gt;0,ISNUMBER(Y153)=FALSE),AND(LEN(AA153)&gt;0,ISNUMBER(AA153)=FALSE),AND(LEN(U153)&gt;0,ISNUMBER(U153)=FALSE)),"Check date",IF(COUNT(G153,I153,K153,M153,Q153,S153,W153,Y153,AA153)=0,"",MIN(G153,I153,K153,M153,Q153,S153,W153,Y153,AA153)))</f>
        <v/>
      </c>
      <c r="AE153" s="25">
        <f>IF(ISNUMBER(AD153),AD153-IF(ISNUMBER(AB153),AB153,30),"")</f>
        <v/>
      </c>
      <c r="AF153" s="27">
        <f>IF(AD153="","",IF(ISNUMBER(AD153),AD153-TODAY(),"Check date"))</f>
        <v/>
      </c>
      <c r="AG153" s="28">
        <f>IF(AF153="","",IF(ISNUMBER(AF153),IF(AF153&lt;0,"Expired",IF(AF153&lt;=30,"Due ≤30 days",IF(AF153&lt;=90,"Due ≤90 days","OK"))),"Check date"))</f>
        <v/>
      </c>
      <c r="AH153" s="22" t="n"/>
      <c r="AI153" s="22" t="n"/>
      <c r="AJ153" s="22" t="n"/>
      <c r="AK153" s="22" t="n"/>
    </row>
    <row r="154">
      <c r="A154" s="22" t="n"/>
      <c r="B154" s="22" t="n"/>
      <c r="C154" s="22" t="n"/>
      <c r="D154" s="22" t="n"/>
      <c r="E154" s="22" t="n"/>
      <c r="F154" s="22" t="n"/>
      <c r="G154" s="23" t="n"/>
      <c r="H154" s="22" t="n"/>
      <c r="I154" s="23" t="n"/>
      <c r="J154" s="22" t="n"/>
      <c r="K154" s="23" t="n"/>
      <c r="L154" s="22" t="n"/>
      <c r="M154" s="23" t="n"/>
      <c r="N154" s="22" t="n"/>
      <c r="O154" s="22" t="n"/>
      <c r="P154" s="22" t="n"/>
      <c r="Q154" s="23" t="n"/>
      <c r="R154" s="22" t="n"/>
      <c r="S154" s="23" t="n"/>
      <c r="T154" s="22" t="n"/>
      <c r="U154" s="23" t="n"/>
      <c r="V154" s="24" t="n"/>
      <c r="W154" s="25">
        <f>IF(ISNUMBER(U154),U154+IF(ISNUMBER(V154),V154,120),"")</f>
        <v/>
      </c>
      <c r="X154" s="22" t="n"/>
      <c r="Y154" s="23" t="n"/>
      <c r="Z154" s="22" t="n"/>
      <c r="AA154" s="23" t="n"/>
      <c r="AB154" s="24" t="n"/>
      <c r="AC154" s="26">
        <f>IF(ISNUMBER(AD154)=FALSE,"",IF(G154=AD154,"State license",IF(I154=AD154,"DEA registration",IF(K154=AD154,"State CSR",IF(M154=AD154,"Board certification",IF(Q154=AD154,"Malpractice",IF(S154=AD154,"Life support",IF(W154=AD154,"CAQH re-attestation",IF(Y154=AD154,"Privileges reappointment","Payer recredentialing")))))))))</f>
        <v/>
      </c>
      <c r="AD154" s="25">
        <f>IF(OR(AND(LEN(G154)&gt;0,ISNUMBER(G154)=FALSE),AND(LEN(I154)&gt;0,ISNUMBER(I154)=FALSE),AND(LEN(K154)&gt;0,ISNUMBER(K154)=FALSE),AND(LEN(M154)&gt;0,ISNUMBER(M154)=FALSE),AND(LEN(Q154)&gt;0,ISNUMBER(Q154)=FALSE),AND(LEN(S154)&gt;0,ISNUMBER(S154)=FALSE),AND(LEN(Y154)&gt;0,ISNUMBER(Y154)=FALSE),AND(LEN(AA154)&gt;0,ISNUMBER(AA154)=FALSE),AND(LEN(U154)&gt;0,ISNUMBER(U154)=FALSE)),"Check date",IF(COUNT(G154,I154,K154,M154,Q154,S154,W154,Y154,AA154)=0,"",MIN(G154,I154,K154,M154,Q154,S154,W154,Y154,AA154)))</f>
        <v/>
      </c>
      <c r="AE154" s="25">
        <f>IF(ISNUMBER(AD154),AD154-IF(ISNUMBER(AB154),AB154,30),"")</f>
        <v/>
      </c>
      <c r="AF154" s="27">
        <f>IF(AD154="","",IF(ISNUMBER(AD154),AD154-TODAY(),"Check date"))</f>
        <v/>
      </c>
      <c r="AG154" s="28">
        <f>IF(AF154="","",IF(ISNUMBER(AF154),IF(AF154&lt;0,"Expired",IF(AF154&lt;=30,"Due ≤30 days",IF(AF154&lt;=90,"Due ≤90 days","OK"))),"Check date"))</f>
        <v/>
      </c>
      <c r="AH154" s="22" t="n"/>
      <c r="AI154" s="22" t="n"/>
      <c r="AJ154" s="22" t="n"/>
      <c r="AK154" s="22" t="n"/>
    </row>
    <row r="155">
      <c r="A155" s="22" t="n"/>
      <c r="B155" s="22" t="n"/>
      <c r="C155" s="22" t="n"/>
      <c r="D155" s="22" t="n"/>
      <c r="E155" s="22" t="n"/>
      <c r="F155" s="22" t="n"/>
      <c r="G155" s="23" t="n"/>
      <c r="H155" s="22" t="n"/>
      <c r="I155" s="23" t="n"/>
      <c r="J155" s="22" t="n"/>
      <c r="K155" s="23" t="n"/>
      <c r="L155" s="22" t="n"/>
      <c r="M155" s="23" t="n"/>
      <c r="N155" s="22" t="n"/>
      <c r="O155" s="22" t="n"/>
      <c r="P155" s="22" t="n"/>
      <c r="Q155" s="23" t="n"/>
      <c r="R155" s="22" t="n"/>
      <c r="S155" s="23" t="n"/>
      <c r="T155" s="22" t="n"/>
      <c r="U155" s="23" t="n"/>
      <c r="V155" s="24" t="n"/>
      <c r="W155" s="25">
        <f>IF(ISNUMBER(U155),U155+IF(ISNUMBER(V155),V155,120),"")</f>
        <v/>
      </c>
      <c r="X155" s="22" t="n"/>
      <c r="Y155" s="23" t="n"/>
      <c r="Z155" s="22" t="n"/>
      <c r="AA155" s="23" t="n"/>
      <c r="AB155" s="24" t="n"/>
      <c r="AC155" s="26">
        <f>IF(ISNUMBER(AD155)=FALSE,"",IF(G155=AD155,"State license",IF(I155=AD155,"DEA registration",IF(K155=AD155,"State CSR",IF(M155=AD155,"Board certification",IF(Q155=AD155,"Malpractice",IF(S155=AD155,"Life support",IF(W155=AD155,"CAQH re-attestation",IF(Y155=AD155,"Privileges reappointment","Payer recredentialing")))))))))</f>
        <v/>
      </c>
      <c r="AD155" s="25">
        <f>IF(OR(AND(LEN(G155)&gt;0,ISNUMBER(G155)=FALSE),AND(LEN(I155)&gt;0,ISNUMBER(I155)=FALSE),AND(LEN(K155)&gt;0,ISNUMBER(K155)=FALSE),AND(LEN(M155)&gt;0,ISNUMBER(M155)=FALSE),AND(LEN(Q155)&gt;0,ISNUMBER(Q155)=FALSE),AND(LEN(S155)&gt;0,ISNUMBER(S155)=FALSE),AND(LEN(Y155)&gt;0,ISNUMBER(Y155)=FALSE),AND(LEN(AA155)&gt;0,ISNUMBER(AA155)=FALSE),AND(LEN(U155)&gt;0,ISNUMBER(U155)=FALSE)),"Check date",IF(COUNT(G155,I155,K155,M155,Q155,S155,W155,Y155,AA155)=0,"",MIN(G155,I155,K155,M155,Q155,S155,W155,Y155,AA155)))</f>
        <v/>
      </c>
      <c r="AE155" s="25">
        <f>IF(ISNUMBER(AD155),AD155-IF(ISNUMBER(AB155),AB155,30),"")</f>
        <v/>
      </c>
      <c r="AF155" s="27">
        <f>IF(AD155="","",IF(ISNUMBER(AD155),AD155-TODAY(),"Check date"))</f>
        <v/>
      </c>
      <c r="AG155" s="28">
        <f>IF(AF155="","",IF(ISNUMBER(AF155),IF(AF155&lt;0,"Expired",IF(AF155&lt;=30,"Due ≤30 days",IF(AF155&lt;=90,"Due ≤90 days","OK"))),"Check date"))</f>
        <v/>
      </c>
      <c r="AH155" s="22" t="n"/>
      <c r="AI155" s="22" t="n"/>
      <c r="AJ155" s="22" t="n"/>
      <c r="AK155" s="22" t="n"/>
    </row>
    <row r="156">
      <c r="A156" s="22" t="n"/>
      <c r="B156" s="22" t="n"/>
      <c r="C156" s="22" t="n"/>
      <c r="D156" s="22" t="n"/>
      <c r="E156" s="22" t="n"/>
      <c r="F156" s="22" t="n"/>
      <c r="G156" s="23" t="n"/>
      <c r="H156" s="22" t="n"/>
      <c r="I156" s="23" t="n"/>
      <c r="J156" s="22" t="n"/>
      <c r="K156" s="23" t="n"/>
      <c r="L156" s="22" t="n"/>
      <c r="M156" s="23" t="n"/>
      <c r="N156" s="22" t="n"/>
      <c r="O156" s="22" t="n"/>
      <c r="P156" s="22" t="n"/>
      <c r="Q156" s="23" t="n"/>
      <c r="R156" s="22" t="n"/>
      <c r="S156" s="23" t="n"/>
      <c r="T156" s="22" t="n"/>
      <c r="U156" s="23" t="n"/>
      <c r="V156" s="24" t="n"/>
      <c r="W156" s="25">
        <f>IF(ISNUMBER(U156),U156+IF(ISNUMBER(V156),V156,120),"")</f>
        <v/>
      </c>
      <c r="X156" s="22" t="n"/>
      <c r="Y156" s="23" t="n"/>
      <c r="Z156" s="22" t="n"/>
      <c r="AA156" s="23" t="n"/>
      <c r="AB156" s="24" t="n"/>
      <c r="AC156" s="26">
        <f>IF(ISNUMBER(AD156)=FALSE,"",IF(G156=AD156,"State license",IF(I156=AD156,"DEA registration",IF(K156=AD156,"State CSR",IF(M156=AD156,"Board certification",IF(Q156=AD156,"Malpractice",IF(S156=AD156,"Life support",IF(W156=AD156,"CAQH re-attestation",IF(Y156=AD156,"Privileges reappointment","Payer recredentialing")))))))))</f>
        <v/>
      </c>
      <c r="AD156" s="25">
        <f>IF(OR(AND(LEN(G156)&gt;0,ISNUMBER(G156)=FALSE),AND(LEN(I156)&gt;0,ISNUMBER(I156)=FALSE),AND(LEN(K156)&gt;0,ISNUMBER(K156)=FALSE),AND(LEN(M156)&gt;0,ISNUMBER(M156)=FALSE),AND(LEN(Q156)&gt;0,ISNUMBER(Q156)=FALSE),AND(LEN(S156)&gt;0,ISNUMBER(S156)=FALSE),AND(LEN(Y156)&gt;0,ISNUMBER(Y156)=FALSE),AND(LEN(AA156)&gt;0,ISNUMBER(AA156)=FALSE),AND(LEN(U156)&gt;0,ISNUMBER(U156)=FALSE)),"Check date",IF(COUNT(G156,I156,K156,M156,Q156,S156,W156,Y156,AA156)=0,"",MIN(G156,I156,K156,M156,Q156,S156,W156,Y156,AA156)))</f>
        <v/>
      </c>
      <c r="AE156" s="25">
        <f>IF(ISNUMBER(AD156),AD156-IF(ISNUMBER(AB156),AB156,30),"")</f>
        <v/>
      </c>
      <c r="AF156" s="27">
        <f>IF(AD156="","",IF(ISNUMBER(AD156),AD156-TODAY(),"Check date"))</f>
        <v/>
      </c>
      <c r="AG156" s="28">
        <f>IF(AF156="","",IF(ISNUMBER(AF156),IF(AF156&lt;0,"Expired",IF(AF156&lt;=30,"Due ≤30 days",IF(AF156&lt;=90,"Due ≤90 days","OK"))),"Check date"))</f>
        <v/>
      </c>
      <c r="AH156" s="22" t="n"/>
      <c r="AI156" s="22" t="n"/>
      <c r="AJ156" s="22" t="n"/>
      <c r="AK156" s="22" t="n"/>
    </row>
    <row r="157">
      <c r="A157" s="22" t="n"/>
      <c r="B157" s="22" t="n"/>
      <c r="C157" s="22" t="n"/>
      <c r="D157" s="22" t="n"/>
      <c r="E157" s="22" t="n"/>
      <c r="F157" s="22" t="n"/>
      <c r="G157" s="23" t="n"/>
      <c r="H157" s="22" t="n"/>
      <c r="I157" s="23" t="n"/>
      <c r="J157" s="22" t="n"/>
      <c r="K157" s="23" t="n"/>
      <c r="L157" s="22" t="n"/>
      <c r="M157" s="23" t="n"/>
      <c r="N157" s="22" t="n"/>
      <c r="O157" s="22" t="n"/>
      <c r="P157" s="22" t="n"/>
      <c r="Q157" s="23" t="n"/>
      <c r="R157" s="22" t="n"/>
      <c r="S157" s="23" t="n"/>
      <c r="T157" s="22" t="n"/>
      <c r="U157" s="23" t="n"/>
      <c r="V157" s="24" t="n"/>
      <c r="W157" s="25">
        <f>IF(ISNUMBER(U157),U157+IF(ISNUMBER(V157),V157,120),"")</f>
        <v/>
      </c>
      <c r="X157" s="22" t="n"/>
      <c r="Y157" s="23" t="n"/>
      <c r="Z157" s="22" t="n"/>
      <c r="AA157" s="23" t="n"/>
      <c r="AB157" s="24" t="n"/>
      <c r="AC157" s="26">
        <f>IF(ISNUMBER(AD157)=FALSE,"",IF(G157=AD157,"State license",IF(I157=AD157,"DEA registration",IF(K157=AD157,"State CSR",IF(M157=AD157,"Board certification",IF(Q157=AD157,"Malpractice",IF(S157=AD157,"Life support",IF(W157=AD157,"CAQH re-attestation",IF(Y157=AD157,"Privileges reappointment","Payer recredentialing")))))))))</f>
        <v/>
      </c>
      <c r="AD157" s="25">
        <f>IF(OR(AND(LEN(G157)&gt;0,ISNUMBER(G157)=FALSE),AND(LEN(I157)&gt;0,ISNUMBER(I157)=FALSE),AND(LEN(K157)&gt;0,ISNUMBER(K157)=FALSE),AND(LEN(M157)&gt;0,ISNUMBER(M157)=FALSE),AND(LEN(Q157)&gt;0,ISNUMBER(Q157)=FALSE),AND(LEN(S157)&gt;0,ISNUMBER(S157)=FALSE),AND(LEN(Y157)&gt;0,ISNUMBER(Y157)=FALSE),AND(LEN(AA157)&gt;0,ISNUMBER(AA157)=FALSE),AND(LEN(U157)&gt;0,ISNUMBER(U157)=FALSE)),"Check date",IF(COUNT(G157,I157,K157,M157,Q157,S157,W157,Y157,AA157)=0,"",MIN(G157,I157,K157,M157,Q157,S157,W157,Y157,AA157)))</f>
        <v/>
      </c>
      <c r="AE157" s="25">
        <f>IF(ISNUMBER(AD157),AD157-IF(ISNUMBER(AB157),AB157,30),"")</f>
        <v/>
      </c>
      <c r="AF157" s="27">
        <f>IF(AD157="","",IF(ISNUMBER(AD157),AD157-TODAY(),"Check date"))</f>
        <v/>
      </c>
      <c r="AG157" s="28">
        <f>IF(AF157="","",IF(ISNUMBER(AF157),IF(AF157&lt;0,"Expired",IF(AF157&lt;=30,"Due ≤30 days",IF(AF157&lt;=90,"Due ≤90 days","OK"))),"Check date"))</f>
        <v/>
      </c>
      <c r="AH157" s="22" t="n"/>
      <c r="AI157" s="22" t="n"/>
      <c r="AJ157" s="22" t="n"/>
      <c r="AK157" s="22" t="n"/>
    </row>
    <row r="158">
      <c r="A158" s="22" t="n"/>
      <c r="B158" s="22" t="n"/>
      <c r="C158" s="22" t="n"/>
      <c r="D158" s="22" t="n"/>
      <c r="E158" s="22" t="n"/>
      <c r="F158" s="22" t="n"/>
      <c r="G158" s="23" t="n"/>
      <c r="H158" s="22" t="n"/>
      <c r="I158" s="23" t="n"/>
      <c r="J158" s="22" t="n"/>
      <c r="K158" s="23" t="n"/>
      <c r="L158" s="22" t="n"/>
      <c r="M158" s="23" t="n"/>
      <c r="N158" s="22" t="n"/>
      <c r="O158" s="22" t="n"/>
      <c r="P158" s="22" t="n"/>
      <c r="Q158" s="23" t="n"/>
      <c r="R158" s="22" t="n"/>
      <c r="S158" s="23" t="n"/>
      <c r="T158" s="22" t="n"/>
      <c r="U158" s="23" t="n"/>
      <c r="V158" s="24" t="n"/>
      <c r="W158" s="25">
        <f>IF(ISNUMBER(U158),U158+IF(ISNUMBER(V158),V158,120),"")</f>
        <v/>
      </c>
      <c r="X158" s="22" t="n"/>
      <c r="Y158" s="23" t="n"/>
      <c r="Z158" s="22" t="n"/>
      <c r="AA158" s="23" t="n"/>
      <c r="AB158" s="24" t="n"/>
      <c r="AC158" s="26">
        <f>IF(ISNUMBER(AD158)=FALSE,"",IF(G158=AD158,"State license",IF(I158=AD158,"DEA registration",IF(K158=AD158,"State CSR",IF(M158=AD158,"Board certification",IF(Q158=AD158,"Malpractice",IF(S158=AD158,"Life support",IF(W158=AD158,"CAQH re-attestation",IF(Y158=AD158,"Privileges reappointment","Payer recredentialing")))))))))</f>
        <v/>
      </c>
      <c r="AD158" s="25">
        <f>IF(OR(AND(LEN(G158)&gt;0,ISNUMBER(G158)=FALSE),AND(LEN(I158)&gt;0,ISNUMBER(I158)=FALSE),AND(LEN(K158)&gt;0,ISNUMBER(K158)=FALSE),AND(LEN(M158)&gt;0,ISNUMBER(M158)=FALSE),AND(LEN(Q158)&gt;0,ISNUMBER(Q158)=FALSE),AND(LEN(S158)&gt;0,ISNUMBER(S158)=FALSE),AND(LEN(Y158)&gt;0,ISNUMBER(Y158)=FALSE),AND(LEN(AA158)&gt;0,ISNUMBER(AA158)=FALSE),AND(LEN(U158)&gt;0,ISNUMBER(U158)=FALSE)),"Check date",IF(COUNT(G158,I158,K158,M158,Q158,S158,W158,Y158,AA158)=0,"",MIN(G158,I158,K158,M158,Q158,S158,W158,Y158,AA158)))</f>
        <v/>
      </c>
      <c r="AE158" s="25">
        <f>IF(ISNUMBER(AD158),AD158-IF(ISNUMBER(AB158),AB158,30),"")</f>
        <v/>
      </c>
      <c r="AF158" s="27">
        <f>IF(AD158="","",IF(ISNUMBER(AD158),AD158-TODAY(),"Check date"))</f>
        <v/>
      </c>
      <c r="AG158" s="28">
        <f>IF(AF158="","",IF(ISNUMBER(AF158),IF(AF158&lt;0,"Expired",IF(AF158&lt;=30,"Due ≤30 days",IF(AF158&lt;=90,"Due ≤90 days","OK"))),"Check date"))</f>
        <v/>
      </c>
      <c r="AH158" s="22" t="n"/>
      <c r="AI158" s="22" t="n"/>
      <c r="AJ158" s="22" t="n"/>
      <c r="AK158" s="22" t="n"/>
    </row>
    <row r="159">
      <c r="A159" s="22" t="n"/>
      <c r="B159" s="22" t="n"/>
      <c r="C159" s="22" t="n"/>
      <c r="D159" s="22" t="n"/>
      <c r="E159" s="22" t="n"/>
      <c r="F159" s="22" t="n"/>
      <c r="G159" s="23" t="n"/>
      <c r="H159" s="22" t="n"/>
      <c r="I159" s="23" t="n"/>
      <c r="J159" s="22" t="n"/>
      <c r="K159" s="23" t="n"/>
      <c r="L159" s="22" t="n"/>
      <c r="M159" s="23" t="n"/>
      <c r="N159" s="22" t="n"/>
      <c r="O159" s="22" t="n"/>
      <c r="P159" s="22" t="n"/>
      <c r="Q159" s="23" t="n"/>
      <c r="R159" s="22" t="n"/>
      <c r="S159" s="23" t="n"/>
      <c r="T159" s="22" t="n"/>
      <c r="U159" s="23" t="n"/>
      <c r="V159" s="24" t="n"/>
      <c r="W159" s="25">
        <f>IF(ISNUMBER(U159),U159+IF(ISNUMBER(V159),V159,120),"")</f>
        <v/>
      </c>
      <c r="X159" s="22" t="n"/>
      <c r="Y159" s="23" t="n"/>
      <c r="Z159" s="22" t="n"/>
      <c r="AA159" s="23" t="n"/>
      <c r="AB159" s="24" t="n"/>
      <c r="AC159" s="26">
        <f>IF(ISNUMBER(AD159)=FALSE,"",IF(G159=AD159,"State license",IF(I159=AD159,"DEA registration",IF(K159=AD159,"State CSR",IF(M159=AD159,"Board certification",IF(Q159=AD159,"Malpractice",IF(S159=AD159,"Life support",IF(W159=AD159,"CAQH re-attestation",IF(Y159=AD159,"Privileges reappointment","Payer recredentialing")))))))))</f>
        <v/>
      </c>
      <c r="AD159" s="25">
        <f>IF(OR(AND(LEN(G159)&gt;0,ISNUMBER(G159)=FALSE),AND(LEN(I159)&gt;0,ISNUMBER(I159)=FALSE),AND(LEN(K159)&gt;0,ISNUMBER(K159)=FALSE),AND(LEN(M159)&gt;0,ISNUMBER(M159)=FALSE),AND(LEN(Q159)&gt;0,ISNUMBER(Q159)=FALSE),AND(LEN(S159)&gt;0,ISNUMBER(S159)=FALSE),AND(LEN(Y159)&gt;0,ISNUMBER(Y159)=FALSE),AND(LEN(AA159)&gt;0,ISNUMBER(AA159)=FALSE),AND(LEN(U159)&gt;0,ISNUMBER(U159)=FALSE)),"Check date",IF(COUNT(G159,I159,K159,M159,Q159,S159,W159,Y159,AA159)=0,"",MIN(G159,I159,K159,M159,Q159,S159,W159,Y159,AA159)))</f>
        <v/>
      </c>
      <c r="AE159" s="25">
        <f>IF(ISNUMBER(AD159),AD159-IF(ISNUMBER(AB159),AB159,30),"")</f>
        <v/>
      </c>
      <c r="AF159" s="27">
        <f>IF(AD159="","",IF(ISNUMBER(AD159),AD159-TODAY(),"Check date"))</f>
        <v/>
      </c>
      <c r="AG159" s="28">
        <f>IF(AF159="","",IF(ISNUMBER(AF159),IF(AF159&lt;0,"Expired",IF(AF159&lt;=30,"Due ≤30 days",IF(AF159&lt;=90,"Due ≤90 days","OK"))),"Check date"))</f>
        <v/>
      </c>
      <c r="AH159" s="22" t="n"/>
      <c r="AI159" s="22" t="n"/>
      <c r="AJ159" s="22" t="n"/>
      <c r="AK159" s="22" t="n"/>
    </row>
    <row r="160">
      <c r="A160" s="22" t="n"/>
      <c r="B160" s="22" t="n"/>
      <c r="C160" s="22" t="n"/>
      <c r="D160" s="22" t="n"/>
      <c r="E160" s="22" t="n"/>
      <c r="F160" s="22" t="n"/>
      <c r="G160" s="23" t="n"/>
      <c r="H160" s="22" t="n"/>
      <c r="I160" s="23" t="n"/>
      <c r="J160" s="22" t="n"/>
      <c r="K160" s="23" t="n"/>
      <c r="L160" s="22" t="n"/>
      <c r="M160" s="23" t="n"/>
      <c r="N160" s="22" t="n"/>
      <c r="O160" s="22" t="n"/>
      <c r="P160" s="22" t="n"/>
      <c r="Q160" s="23" t="n"/>
      <c r="R160" s="22" t="n"/>
      <c r="S160" s="23" t="n"/>
      <c r="T160" s="22" t="n"/>
      <c r="U160" s="23" t="n"/>
      <c r="V160" s="24" t="n"/>
      <c r="W160" s="25">
        <f>IF(ISNUMBER(U160),U160+IF(ISNUMBER(V160),V160,120),"")</f>
        <v/>
      </c>
      <c r="X160" s="22" t="n"/>
      <c r="Y160" s="23" t="n"/>
      <c r="Z160" s="22" t="n"/>
      <c r="AA160" s="23" t="n"/>
      <c r="AB160" s="24" t="n"/>
      <c r="AC160" s="26">
        <f>IF(ISNUMBER(AD160)=FALSE,"",IF(G160=AD160,"State license",IF(I160=AD160,"DEA registration",IF(K160=AD160,"State CSR",IF(M160=AD160,"Board certification",IF(Q160=AD160,"Malpractice",IF(S160=AD160,"Life support",IF(W160=AD160,"CAQH re-attestation",IF(Y160=AD160,"Privileges reappointment","Payer recredentialing")))))))))</f>
        <v/>
      </c>
      <c r="AD160" s="25">
        <f>IF(OR(AND(LEN(G160)&gt;0,ISNUMBER(G160)=FALSE),AND(LEN(I160)&gt;0,ISNUMBER(I160)=FALSE),AND(LEN(K160)&gt;0,ISNUMBER(K160)=FALSE),AND(LEN(M160)&gt;0,ISNUMBER(M160)=FALSE),AND(LEN(Q160)&gt;0,ISNUMBER(Q160)=FALSE),AND(LEN(S160)&gt;0,ISNUMBER(S160)=FALSE),AND(LEN(Y160)&gt;0,ISNUMBER(Y160)=FALSE),AND(LEN(AA160)&gt;0,ISNUMBER(AA160)=FALSE),AND(LEN(U160)&gt;0,ISNUMBER(U160)=FALSE)),"Check date",IF(COUNT(G160,I160,K160,M160,Q160,S160,W160,Y160,AA160)=0,"",MIN(G160,I160,K160,M160,Q160,S160,W160,Y160,AA160)))</f>
        <v/>
      </c>
      <c r="AE160" s="25">
        <f>IF(ISNUMBER(AD160),AD160-IF(ISNUMBER(AB160),AB160,30),"")</f>
        <v/>
      </c>
      <c r="AF160" s="27">
        <f>IF(AD160="","",IF(ISNUMBER(AD160),AD160-TODAY(),"Check date"))</f>
        <v/>
      </c>
      <c r="AG160" s="28">
        <f>IF(AF160="","",IF(ISNUMBER(AF160),IF(AF160&lt;0,"Expired",IF(AF160&lt;=30,"Due ≤30 days",IF(AF160&lt;=90,"Due ≤90 days","OK"))),"Check date"))</f>
        <v/>
      </c>
      <c r="AH160" s="22" t="n"/>
      <c r="AI160" s="22" t="n"/>
      <c r="AJ160" s="22" t="n"/>
      <c r="AK160" s="22" t="n"/>
    </row>
    <row r="161">
      <c r="A161" s="22" t="n"/>
      <c r="B161" s="22" t="n"/>
      <c r="C161" s="22" t="n"/>
      <c r="D161" s="22" t="n"/>
      <c r="E161" s="22" t="n"/>
      <c r="F161" s="22" t="n"/>
      <c r="G161" s="23" t="n"/>
      <c r="H161" s="22" t="n"/>
      <c r="I161" s="23" t="n"/>
      <c r="J161" s="22" t="n"/>
      <c r="K161" s="23" t="n"/>
      <c r="L161" s="22" t="n"/>
      <c r="M161" s="23" t="n"/>
      <c r="N161" s="22" t="n"/>
      <c r="O161" s="22" t="n"/>
      <c r="P161" s="22" t="n"/>
      <c r="Q161" s="23" t="n"/>
      <c r="R161" s="22" t="n"/>
      <c r="S161" s="23" t="n"/>
      <c r="T161" s="22" t="n"/>
      <c r="U161" s="23" t="n"/>
      <c r="V161" s="24" t="n"/>
      <c r="W161" s="25">
        <f>IF(ISNUMBER(U161),U161+IF(ISNUMBER(V161),V161,120),"")</f>
        <v/>
      </c>
      <c r="X161" s="22" t="n"/>
      <c r="Y161" s="23" t="n"/>
      <c r="Z161" s="22" t="n"/>
      <c r="AA161" s="23" t="n"/>
      <c r="AB161" s="24" t="n"/>
      <c r="AC161" s="26">
        <f>IF(ISNUMBER(AD161)=FALSE,"",IF(G161=AD161,"State license",IF(I161=AD161,"DEA registration",IF(K161=AD161,"State CSR",IF(M161=AD161,"Board certification",IF(Q161=AD161,"Malpractice",IF(S161=AD161,"Life support",IF(W161=AD161,"CAQH re-attestation",IF(Y161=AD161,"Privileges reappointment","Payer recredentialing")))))))))</f>
        <v/>
      </c>
      <c r="AD161" s="25">
        <f>IF(OR(AND(LEN(G161)&gt;0,ISNUMBER(G161)=FALSE),AND(LEN(I161)&gt;0,ISNUMBER(I161)=FALSE),AND(LEN(K161)&gt;0,ISNUMBER(K161)=FALSE),AND(LEN(M161)&gt;0,ISNUMBER(M161)=FALSE),AND(LEN(Q161)&gt;0,ISNUMBER(Q161)=FALSE),AND(LEN(S161)&gt;0,ISNUMBER(S161)=FALSE),AND(LEN(Y161)&gt;0,ISNUMBER(Y161)=FALSE),AND(LEN(AA161)&gt;0,ISNUMBER(AA161)=FALSE),AND(LEN(U161)&gt;0,ISNUMBER(U161)=FALSE)),"Check date",IF(COUNT(G161,I161,K161,M161,Q161,S161,W161,Y161,AA161)=0,"",MIN(G161,I161,K161,M161,Q161,S161,W161,Y161,AA161)))</f>
        <v/>
      </c>
      <c r="AE161" s="25">
        <f>IF(ISNUMBER(AD161),AD161-IF(ISNUMBER(AB161),AB161,30),"")</f>
        <v/>
      </c>
      <c r="AF161" s="27">
        <f>IF(AD161="","",IF(ISNUMBER(AD161),AD161-TODAY(),"Check date"))</f>
        <v/>
      </c>
      <c r="AG161" s="28">
        <f>IF(AF161="","",IF(ISNUMBER(AF161),IF(AF161&lt;0,"Expired",IF(AF161&lt;=30,"Due ≤30 days",IF(AF161&lt;=90,"Due ≤90 days","OK"))),"Check date"))</f>
        <v/>
      </c>
      <c r="AH161" s="22" t="n"/>
      <c r="AI161" s="22" t="n"/>
      <c r="AJ161" s="22" t="n"/>
      <c r="AK161" s="22" t="n"/>
    </row>
    <row r="162">
      <c r="A162" s="22" t="n"/>
      <c r="B162" s="22" t="n"/>
      <c r="C162" s="22" t="n"/>
      <c r="D162" s="22" t="n"/>
      <c r="E162" s="22" t="n"/>
      <c r="F162" s="22" t="n"/>
      <c r="G162" s="23" t="n"/>
      <c r="H162" s="22" t="n"/>
      <c r="I162" s="23" t="n"/>
      <c r="J162" s="22" t="n"/>
      <c r="K162" s="23" t="n"/>
      <c r="L162" s="22" t="n"/>
      <c r="M162" s="23" t="n"/>
      <c r="N162" s="22" t="n"/>
      <c r="O162" s="22" t="n"/>
      <c r="P162" s="22" t="n"/>
      <c r="Q162" s="23" t="n"/>
      <c r="R162" s="22" t="n"/>
      <c r="S162" s="23" t="n"/>
      <c r="T162" s="22" t="n"/>
      <c r="U162" s="23" t="n"/>
      <c r="V162" s="24" t="n"/>
      <c r="W162" s="25">
        <f>IF(ISNUMBER(U162),U162+IF(ISNUMBER(V162),V162,120),"")</f>
        <v/>
      </c>
      <c r="X162" s="22" t="n"/>
      <c r="Y162" s="23" t="n"/>
      <c r="Z162" s="22" t="n"/>
      <c r="AA162" s="23" t="n"/>
      <c r="AB162" s="24" t="n"/>
      <c r="AC162" s="26">
        <f>IF(ISNUMBER(AD162)=FALSE,"",IF(G162=AD162,"State license",IF(I162=AD162,"DEA registration",IF(K162=AD162,"State CSR",IF(M162=AD162,"Board certification",IF(Q162=AD162,"Malpractice",IF(S162=AD162,"Life support",IF(W162=AD162,"CAQH re-attestation",IF(Y162=AD162,"Privileges reappointment","Payer recredentialing")))))))))</f>
        <v/>
      </c>
      <c r="AD162" s="25">
        <f>IF(OR(AND(LEN(G162)&gt;0,ISNUMBER(G162)=FALSE),AND(LEN(I162)&gt;0,ISNUMBER(I162)=FALSE),AND(LEN(K162)&gt;0,ISNUMBER(K162)=FALSE),AND(LEN(M162)&gt;0,ISNUMBER(M162)=FALSE),AND(LEN(Q162)&gt;0,ISNUMBER(Q162)=FALSE),AND(LEN(S162)&gt;0,ISNUMBER(S162)=FALSE),AND(LEN(Y162)&gt;0,ISNUMBER(Y162)=FALSE),AND(LEN(AA162)&gt;0,ISNUMBER(AA162)=FALSE),AND(LEN(U162)&gt;0,ISNUMBER(U162)=FALSE)),"Check date",IF(COUNT(G162,I162,K162,M162,Q162,S162,W162,Y162,AA162)=0,"",MIN(G162,I162,K162,M162,Q162,S162,W162,Y162,AA162)))</f>
        <v/>
      </c>
      <c r="AE162" s="25">
        <f>IF(ISNUMBER(AD162),AD162-IF(ISNUMBER(AB162),AB162,30),"")</f>
        <v/>
      </c>
      <c r="AF162" s="27">
        <f>IF(AD162="","",IF(ISNUMBER(AD162),AD162-TODAY(),"Check date"))</f>
        <v/>
      </c>
      <c r="AG162" s="28">
        <f>IF(AF162="","",IF(ISNUMBER(AF162),IF(AF162&lt;0,"Expired",IF(AF162&lt;=30,"Due ≤30 days",IF(AF162&lt;=90,"Due ≤90 days","OK"))),"Check date"))</f>
        <v/>
      </c>
      <c r="AH162" s="22" t="n"/>
      <c r="AI162" s="22" t="n"/>
      <c r="AJ162" s="22" t="n"/>
      <c r="AK162" s="22" t="n"/>
    </row>
    <row r="163">
      <c r="A163" s="22" t="n"/>
      <c r="B163" s="22" t="n"/>
      <c r="C163" s="22" t="n"/>
      <c r="D163" s="22" t="n"/>
      <c r="E163" s="22" t="n"/>
      <c r="F163" s="22" t="n"/>
      <c r="G163" s="23" t="n"/>
      <c r="H163" s="22" t="n"/>
      <c r="I163" s="23" t="n"/>
      <c r="J163" s="22" t="n"/>
      <c r="K163" s="23" t="n"/>
      <c r="L163" s="22" t="n"/>
      <c r="M163" s="23" t="n"/>
      <c r="N163" s="22" t="n"/>
      <c r="O163" s="22" t="n"/>
      <c r="P163" s="22" t="n"/>
      <c r="Q163" s="23" t="n"/>
      <c r="R163" s="22" t="n"/>
      <c r="S163" s="23" t="n"/>
      <c r="T163" s="22" t="n"/>
      <c r="U163" s="23" t="n"/>
      <c r="V163" s="24" t="n"/>
      <c r="W163" s="25">
        <f>IF(ISNUMBER(U163),U163+IF(ISNUMBER(V163),V163,120),"")</f>
        <v/>
      </c>
      <c r="X163" s="22" t="n"/>
      <c r="Y163" s="23" t="n"/>
      <c r="Z163" s="22" t="n"/>
      <c r="AA163" s="23" t="n"/>
      <c r="AB163" s="24" t="n"/>
      <c r="AC163" s="26">
        <f>IF(ISNUMBER(AD163)=FALSE,"",IF(G163=AD163,"State license",IF(I163=AD163,"DEA registration",IF(K163=AD163,"State CSR",IF(M163=AD163,"Board certification",IF(Q163=AD163,"Malpractice",IF(S163=AD163,"Life support",IF(W163=AD163,"CAQH re-attestation",IF(Y163=AD163,"Privileges reappointment","Payer recredentialing")))))))))</f>
        <v/>
      </c>
      <c r="AD163" s="25">
        <f>IF(OR(AND(LEN(G163)&gt;0,ISNUMBER(G163)=FALSE),AND(LEN(I163)&gt;0,ISNUMBER(I163)=FALSE),AND(LEN(K163)&gt;0,ISNUMBER(K163)=FALSE),AND(LEN(M163)&gt;0,ISNUMBER(M163)=FALSE),AND(LEN(Q163)&gt;0,ISNUMBER(Q163)=FALSE),AND(LEN(S163)&gt;0,ISNUMBER(S163)=FALSE),AND(LEN(Y163)&gt;0,ISNUMBER(Y163)=FALSE),AND(LEN(AA163)&gt;0,ISNUMBER(AA163)=FALSE),AND(LEN(U163)&gt;0,ISNUMBER(U163)=FALSE)),"Check date",IF(COUNT(G163,I163,K163,M163,Q163,S163,W163,Y163,AA163)=0,"",MIN(G163,I163,K163,M163,Q163,S163,W163,Y163,AA163)))</f>
        <v/>
      </c>
      <c r="AE163" s="25">
        <f>IF(ISNUMBER(AD163),AD163-IF(ISNUMBER(AB163),AB163,30),"")</f>
        <v/>
      </c>
      <c r="AF163" s="27">
        <f>IF(AD163="","",IF(ISNUMBER(AD163),AD163-TODAY(),"Check date"))</f>
        <v/>
      </c>
      <c r="AG163" s="28">
        <f>IF(AF163="","",IF(ISNUMBER(AF163),IF(AF163&lt;0,"Expired",IF(AF163&lt;=30,"Due ≤30 days",IF(AF163&lt;=90,"Due ≤90 days","OK"))),"Check date"))</f>
        <v/>
      </c>
      <c r="AH163" s="22" t="n"/>
      <c r="AI163" s="22" t="n"/>
      <c r="AJ163" s="22" t="n"/>
      <c r="AK163" s="22" t="n"/>
    </row>
    <row r="164">
      <c r="A164" s="22" t="n"/>
      <c r="B164" s="22" t="n"/>
      <c r="C164" s="22" t="n"/>
      <c r="D164" s="22" t="n"/>
      <c r="E164" s="22" t="n"/>
      <c r="F164" s="22" t="n"/>
      <c r="G164" s="23" t="n"/>
      <c r="H164" s="22" t="n"/>
      <c r="I164" s="23" t="n"/>
      <c r="J164" s="22" t="n"/>
      <c r="K164" s="23" t="n"/>
      <c r="L164" s="22" t="n"/>
      <c r="M164" s="23" t="n"/>
      <c r="N164" s="22" t="n"/>
      <c r="O164" s="22" t="n"/>
      <c r="P164" s="22" t="n"/>
      <c r="Q164" s="23" t="n"/>
      <c r="R164" s="22" t="n"/>
      <c r="S164" s="23" t="n"/>
      <c r="T164" s="22" t="n"/>
      <c r="U164" s="23" t="n"/>
      <c r="V164" s="24" t="n"/>
      <c r="W164" s="25">
        <f>IF(ISNUMBER(U164),U164+IF(ISNUMBER(V164),V164,120),"")</f>
        <v/>
      </c>
      <c r="X164" s="22" t="n"/>
      <c r="Y164" s="23" t="n"/>
      <c r="Z164" s="22" t="n"/>
      <c r="AA164" s="23" t="n"/>
      <c r="AB164" s="24" t="n"/>
      <c r="AC164" s="26">
        <f>IF(ISNUMBER(AD164)=FALSE,"",IF(G164=AD164,"State license",IF(I164=AD164,"DEA registration",IF(K164=AD164,"State CSR",IF(M164=AD164,"Board certification",IF(Q164=AD164,"Malpractice",IF(S164=AD164,"Life support",IF(W164=AD164,"CAQH re-attestation",IF(Y164=AD164,"Privileges reappointment","Payer recredentialing")))))))))</f>
        <v/>
      </c>
      <c r="AD164" s="25">
        <f>IF(OR(AND(LEN(G164)&gt;0,ISNUMBER(G164)=FALSE),AND(LEN(I164)&gt;0,ISNUMBER(I164)=FALSE),AND(LEN(K164)&gt;0,ISNUMBER(K164)=FALSE),AND(LEN(M164)&gt;0,ISNUMBER(M164)=FALSE),AND(LEN(Q164)&gt;0,ISNUMBER(Q164)=FALSE),AND(LEN(S164)&gt;0,ISNUMBER(S164)=FALSE),AND(LEN(Y164)&gt;0,ISNUMBER(Y164)=FALSE),AND(LEN(AA164)&gt;0,ISNUMBER(AA164)=FALSE),AND(LEN(U164)&gt;0,ISNUMBER(U164)=FALSE)),"Check date",IF(COUNT(G164,I164,K164,M164,Q164,S164,W164,Y164,AA164)=0,"",MIN(G164,I164,K164,M164,Q164,S164,W164,Y164,AA164)))</f>
        <v/>
      </c>
      <c r="AE164" s="25">
        <f>IF(ISNUMBER(AD164),AD164-IF(ISNUMBER(AB164),AB164,30),"")</f>
        <v/>
      </c>
      <c r="AF164" s="27">
        <f>IF(AD164="","",IF(ISNUMBER(AD164),AD164-TODAY(),"Check date"))</f>
        <v/>
      </c>
      <c r="AG164" s="28">
        <f>IF(AF164="","",IF(ISNUMBER(AF164),IF(AF164&lt;0,"Expired",IF(AF164&lt;=30,"Due ≤30 days",IF(AF164&lt;=90,"Due ≤90 days","OK"))),"Check date"))</f>
        <v/>
      </c>
      <c r="AH164" s="22" t="n"/>
      <c r="AI164" s="22" t="n"/>
      <c r="AJ164" s="22" t="n"/>
      <c r="AK164" s="22" t="n"/>
    </row>
    <row r="165">
      <c r="A165" s="22" t="n"/>
      <c r="B165" s="22" t="n"/>
      <c r="C165" s="22" t="n"/>
      <c r="D165" s="22" t="n"/>
      <c r="E165" s="22" t="n"/>
      <c r="F165" s="22" t="n"/>
      <c r="G165" s="23" t="n"/>
      <c r="H165" s="22" t="n"/>
      <c r="I165" s="23" t="n"/>
      <c r="J165" s="22" t="n"/>
      <c r="K165" s="23" t="n"/>
      <c r="L165" s="22" t="n"/>
      <c r="M165" s="23" t="n"/>
      <c r="N165" s="22" t="n"/>
      <c r="O165" s="22" t="n"/>
      <c r="P165" s="22" t="n"/>
      <c r="Q165" s="23" t="n"/>
      <c r="R165" s="22" t="n"/>
      <c r="S165" s="23" t="n"/>
      <c r="T165" s="22" t="n"/>
      <c r="U165" s="23" t="n"/>
      <c r="V165" s="24" t="n"/>
      <c r="W165" s="25">
        <f>IF(ISNUMBER(U165),U165+IF(ISNUMBER(V165),V165,120),"")</f>
        <v/>
      </c>
      <c r="X165" s="22" t="n"/>
      <c r="Y165" s="23" t="n"/>
      <c r="Z165" s="22" t="n"/>
      <c r="AA165" s="23" t="n"/>
      <c r="AB165" s="24" t="n"/>
      <c r="AC165" s="26">
        <f>IF(ISNUMBER(AD165)=FALSE,"",IF(G165=AD165,"State license",IF(I165=AD165,"DEA registration",IF(K165=AD165,"State CSR",IF(M165=AD165,"Board certification",IF(Q165=AD165,"Malpractice",IF(S165=AD165,"Life support",IF(W165=AD165,"CAQH re-attestation",IF(Y165=AD165,"Privileges reappointment","Payer recredentialing")))))))))</f>
        <v/>
      </c>
      <c r="AD165" s="25">
        <f>IF(OR(AND(LEN(G165)&gt;0,ISNUMBER(G165)=FALSE),AND(LEN(I165)&gt;0,ISNUMBER(I165)=FALSE),AND(LEN(K165)&gt;0,ISNUMBER(K165)=FALSE),AND(LEN(M165)&gt;0,ISNUMBER(M165)=FALSE),AND(LEN(Q165)&gt;0,ISNUMBER(Q165)=FALSE),AND(LEN(S165)&gt;0,ISNUMBER(S165)=FALSE),AND(LEN(Y165)&gt;0,ISNUMBER(Y165)=FALSE),AND(LEN(AA165)&gt;0,ISNUMBER(AA165)=FALSE),AND(LEN(U165)&gt;0,ISNUMBER(U165)=FALSE)),"Check date",IF(COUNT(G165,I165,K165,M165,Q165,S165,W165,Y165,AA165)=0,"",MIN(G165,I165,K165,M165,Q165,S165,W165,Y165,AA165)))</f>
        <v/>
      </c>
      <c r="AE165" s="25">
        <f>IF(ISNUMBER(AD165),AD165-IF(ISNUMBER(AB165),AB165,30),"")</f>
        <v/>
      </c>
      <c r="AF165" s="27">
        <f>IF(AD165="","",IF(ISNUMBER(AD165),AD165-TODAY(),"Check date"))</f>
        <v/>
      </c>
      <c r="AG165" s="28">
        <f>IF(AF165="","",IF(ISNUMBER(AF165),IF(AF165&lt;0,"Expired",IF(AF165&lt;=30,"Due ≤30 days",IF(AF165&lt;=90,"Due ≤90 days","OK"))),"Check date"))</f>
        <v/>
      </c>
      <c r="AH165" s="22" t="n"/>
      <c r="AI165" s="22" t="n"/>
      <c r="AJ165" s="22" t="n"/>
      <c r="AK165" s="22" t="n"/>
    </row>
    <row r="166">
      <c r="A166" s="22" t="n"/>
      <c r="B166" s="22" t="n"/>
      <c r="C166" s="22" t="n"/>
      <c r="D166" s="22" t="n"/>
      <c r="E166" s="22" t="n"/>
      <c r="F166" s="22" t="n"/>
      <c r="G166" s="23" t="n"/>
      <c r="H166" s="22" t="n"/>
      <c r="I166" s="23" t="n"/>
      <c r="J166" s="22" t="n"/>
      <c r="K166" s="23" t="n"/>
      <c r="L166" s="22" t="n"/>
      <c r="M166" s="23" t="n"/>
      <c r="N166" s="22" t="n"/>
      <c r="O166" s="22" t="n"/>
      <c r="P166" s="22" t="n"/>
      <c r="Q166" s="23" t="n"/>
      <c r="R166" s="22" t="n"/>
      <c r="S166" s="23" t="n"/>
      <c r="T166" s="22" t="n"/>
      <c r="U166" s="23" t="n"/>
      <c r="V166" s="24" t="n"/>
      <c r="W166" s="25">
        <f>IF(ISNUMBER(U166),U166+IF(ISNUMBER(V166),V166,120),"")</f>
        <v/>
      </c>
      <c r="X166" s="22" t="n"/>
      <c r="Y166" s="23" t="n"/>
      <c r="Z166" s="22" t="n"/>
      <c r="AA166" s="23" t="n"/>
      <c r="AB166" s="24" t="n"/>
      <c r="AC166" s="26">
        <f>IF(ISNUMBER(AD166)=FALSE,"",IF(G166=AD166,"State license",IF(I166=AD166,"DEA registration",IF(K166=AD166,"State CSR",IF(M166=AD166,"Board certification",IF(Q166=AD166,"Malpractice",IF(S166=AD166,"Life support",IF(W166=AD166,"CAQH re-attestation",IF(Y166=AD166,"Privileges reappointment","Payer recredentialing")))))))))</f>
        <v/>
      </c>
      <c r="AD166" s="25">
        <f>IF(OR(AND(LEN(G166)&gt;0,ISNUMBER(G166)=FALSE),AND(LEN(I166)&gt;0,ISNUMBER(I166)=FALSE),AND(LEN(K166)&gt;0,ISNUMBER(K166)=FALSE),AND(LEN(M166)&gt;0,ISNUMBER(M166)=FALSE),AND(LEN(Q166)&gt;0,ISNUMBER(Q166)=FALSE),AND(LEN(S166)&gt;0,ISNUMBER(S166)=FALSE),AND(LEN(Y166)&gt;0,ISNUMBER(Y166)=FALSE),AND(LEN(AA166)&gt;0,ISNUMBER(AA166)=FALSE),AND(LEN(U166)&gt;0,ISNUMBER(U166)=FALSE)),"Check date",IF(COUNT(G166,I166,K166,M166,Q166,S166,W166,Y166,AA166)=0,"",MIN(G166,I166,K166,M166,Q166,S166,W166,Y166,AA166)))</f>
        <v/>
      </c>
      <c r="AE166" s="25">
        <f>IF(ISNUMBER(AD166),AD166-IF(ISNUMBER(AB166),AB166,30),"")</f>
        <v/>
      </c>
      <c r="AF166" s="27">
        <f>IF(AD166="","",IF(ISNUMBER(AD166),AD166-TODAY(),"Check date"))</f>
        <v/>
      </c>
      <c r="AG166" s="28">
        <f>IF(AF166="","",IF(ISNUMBER(AF166),IF(AF166&lt;0,"Expired",IF(AF166&lt;=30,"Due ≤30 days",IF(AF166&lt;=90,"Due ≤90 days","OK"))),"Check date"))</f>
        <v/>
      </c>
      <c r="AH166" s="22" t="n"/>
      <c r="AI166" s="22" t="n"/>
      <c r="AJ166" s="22" t="n"/>
      <c r="AK166" s="22" t="n"/>
    </row>
    <row r="167">
      <c r="A167" s="22" t="n"/>
      <c r="B167" s="22" t="n"/>
      <c r="C167" s="22" t="n"/>
      <c r="D167" s="22" t="n"/>
      <c r="E167" s="22" t="n"/>
      <c r="F167" s="22" t="n"/>
      <c r="G167" s="23" t="n"/>
      <c r="H167" s="22" t="n"/>
      <c r="I167" s="23" t="n"/>
      <c r="J167" s="22" t="n"/>
      <c r="K167" s="23" t="n"/>
      <c r="L167" s="22" t="n"/>
      <c r="M167" s="23" t="n"/>
      <c r="N167" s="22" t="n"/>
      <c r="O167" s="22" t="n"/>
      <c r="P167" s="22" t="n"/>
      <c r="Q167" s="23" t="n"/>
      <c r="R167" s="22" t="n"/>
      <c r="S167" s="23" t="n"/>
      <c r="T167" s="22" t="n"/>
      <c r="U167" s="23" t="n"/>
      <c r="V167" s="24" t="n"/>
      <c r="W167" s="25">
        <f>IF(ISNUMBER(U167),U167+IF(ISNUMBER(V167),V167,120),"")</f>
        <v/>
      </c>
      <c r="X167" s="22" t="n"/>
      <c r="Y167" s="23" t="n"/>
      <c r="Z167" s="22" t="n"/>
      <c r="AA167" s="23" t="n"/>
      <c r="AB167" s="24" t="n"/>
      <c r="AC167" s="26">
        <f>IF(ISNUMBER(AD167)=FALSE,"",IF(G167=AD167,"State license",IF(I167=AD167,"DEA registration",IF(K167=AD167,"State CSR",IF(M167=AD167,"Board certification",IF(Q167=AD167,"Malpractice",IF(S167=AD167,"Life support",IF(W167=AD167,"CAQH re-attestation",IF(Y167=AD167,"Privileges reappointment","Payer recredentialing")))))))))</f>
        <v/>
      </c>
      <c r="AD167" s="25">
        <f>IF(OR(AND(LEN(G167)&gt;0,ISNUMBER(G167)=FALSE),AND(LEN(I167)&gt;0,ISNUMBER(I167)=FALSE),AND(LEN(K167)&gt;0,ISNUMBER(K167)=FALSE),AND(LEN(M167)&gt;0,ISNUMBER(M167)=FALSE),AND(LEN(Q167)&gt;0,ISNUMBER(Q167)=FALSE),AND(LEN(S167)&gt;0,ISNUMBER(S167)=FALSE),AND(LEN(Y167)&gt;0,ISNUMBER(Y167)=FALSE),AND(LEN(AA167)&gt;0,ISNUMBER(AA167)=FALSE),AND(LEN(U167)&gt;0,ISNUMBER(U167)=FALSE)),"Check date",IF(COUNT(G167,I167,K167,M167,Q167,S167,W167,Y167,AA167)=0,"",MIN(G167,I167,K167,M167,Q167,S167,W167,Y167,AA167)))</f>
        <v/>
      </c>
      <c r="AE167" s="25">
        <f>IF(ISNUMBER(AD167),AD167-IF(ISNUMBER(AB167),AB167,30),"")</f>
        <v/>
      </c>
      <c r="AF167" s="27">
        <f>IF(AD167="","",IF(ISNUMBER(AD167),AD167-TODAY(),"Check date"))</f>
        <v/>
      </c>
      <c r="AG167" s="28">
        <f>IF(AF167="","",IF(ISNUMBER(AF167),IF(AF167&lt;0,"Expired",IF(AF167&lt;=30,"Due ≤30 days",IF(AF167&lt;=90,"Due ≤90 days","OK"))),"Check date"))</f>
        <v/>
      </c>
      <c r="AH167" s="22" t="n"/>
      <c r="AI167" s="22" t="n"/>
      <c r="AJ167" s="22" t="n"/>
      <c r="AK167" s="22" t="n"/>
    </row>
    <row r="168">
      <c r="A168" s="22" t="n"/>
      <c r="B168" s="22" t="n"/>
      <c r="C168" s="22" t="n"/>
      <c r="D168" s="22" t="n"/>
      <c r="E168" s="22" t="n"/>
      <c r="F168" s="22" t="n"/>
      <c r="G168" s="23" t="n"/>
      <c r="H168" s="22" t="n"/>
      <c r="I168" s="23" t="n"/>
      <c r="J168" s="22" t="n"/>
      <c r="K168" s="23" t="n"/>
      <c r="L168" s="22" t="n"/>
      <c r="M168" s="23" t="n"/>
      <c r="N168" s="22" t="n"/>
      <c r="O168" s="22" t="n"/>
      <c r="P168" s="22" t="n"/>
      <c r="Q168" s="23" t="n"/>
      <c r="R168" s="22" t="n"/>
      <c r="S168" s="23" t="n"/>
      <c r="T168" s="22" t="n"/>
      <c r="U168" s="23" t="n"/>
      <c r="V168" s="24" t="n"/>
      <c r="W168" s="25">
        <f>IF(ISNUMBER(U168),U168+IF(ISNUMBER(V168),V168,120),"")</f>
        <v/>
      </c>
      <c r="X168" s="22" t="n"/>
      <c r="Y168" s="23" t="n"/>
      <c r="Z168" s="22" t="n"/>
      <c r="AA168" s="23" t="n"/>
      <c r="AB168" s="24" t="n"/>
      <c r="AC168" s="26">
        <f>IF(ISNUMBER(AD168)=FALSE,"",IF(G168=AD168,"State license",IF(I168=AD168,"DEA registration",IF(K168=AD168,"State CSR",IF(M168=AD168,"Board certification",IF(Q168=AD168,"Malpractice",IF(S168=AD168,"Life support",IF(W168=AD168,"CAQH re-attestation",IF(Y168=AD168,"Privileges reappointment","Payer recredentialing")))))))))</f>
        <v/>
      </c>
      <c r="AD168" s="25">
        <f>IF(OR(AND(LEN(G168)&gt;0,ISNUMBER(G168)=FALSE),AND(LEN(I168)&gt;0,ISNUMBER(I168)=FALSE),AND(LEN(K168)&gt;0,ISNUMBER(K168)=FALSE),AND(LEN(M168)&gt;0,ISNUMBER(M168)=FALSE),AND(LEN(Q168)&gt;0,ISNUMBER(Q168)=FALSE),AND(LEN(S168)&gt;0,ISNUMBER(S168)=FALSE),AND(LEN(Y168)&gt;0,ISNUMBER(Y168)=FALSE),AND(LEN(AA168)&gt;0,ISNUMBER(AA168)=FALSE),AND(LEN(U168)&gt;0,ISNUMBER(U168)=FALSE)),"Check date",IF(COUNT(G168,I168,K168,M168,Q168,S168,W168,Y168,AA168)=0,"",MIN(G168,I168,K168,M168,Q168,S168,W168,Y168,AA168)))</f>
        <v/>
      </c>
      <c r="AE168" s="25">
        <f>IF(ISNUMBER(AD168),AD168-IF(ISNUMBER(AB168),AB168,30),"")</f>
        <v/>
      </c>
      <c r="AF168" s="27">
        <f>IF(AD168="","",IF(ISNUMBER(AD168),AD168-TODAY(),"Check date"))</f>
        <v/>
      </c>
      <c r="AG168" s="28">
        <f>IF(AF168="","",IF(ISNUMBER(AF168),IF(AF168&lt;0,"Expired",IF(AF168&lt;=30,"Due ≤30 days",IF(AF168&lt;=90,"Due ≤90 days","OK"))),"Check date"))</f>
        <v/>
      </c>
      <c r="AH168" s="22" t="n"/>
      <c r="AI168" s="22" t="n"/>
      <c r="AJ168" s="22" t="n"/>
      <c r="AK168" s="22" t="n"/>
    </row>
    <row r="169">
      <c r="A169" s="22" t="n"/>
      <c r="B169" s="22" t="n"/>
      <c r="C169" s="22" t="n"/>
      <c r="D169" s="22" t="n"/>
      <c r="E169" s="22" t="n"/>
      <c r="F169" s="22" t="n"/>
      <c r="G169" s="23" t="n"/>
      <c r="H169" s="22" t="n"/>
      <c r="I169" s="23" t="n"/>
      <c r="J169" s="22" t="n"/>
      <c r="K169" s="23" t="n"/>
      <c r="L169" s="22" t="n"/>
      <c r="M169" s="23" t="n"/>
      <c r="N169" s="22" t="n"/>
      <c r="O169" s="22" t="n"/>
      <c r="P169" s="22" t="n"/>
      <c r="Q169" s="23" t="n"/>
      <c r="R169" s="22" t="n"/>
      <c r="S169" s="23" t="n"/>
      <c r="T169" s="22" t="n"/>
      <c r="U169" s="23" t="n"/>
      <c r="V169" s="24" t="n"/>
      <c r="W169" s="25">
        <f>IF(ISNUMBER(U169),U169+IF(ISNUMBER(V169),V169,120),"")</f>
        <v/>
      </c>
      <c r="X169" s="22" t="n"/>
      <c r="Y169" s="23" t="n"/>
      <c r="Z169" s="22" t="n"/>
      <c r="AA169" s="23" t="n"/>
      <c r="AB169" s="24" t="n"/>
      <c r="AC169" s="26">
        <f>IF(ISNUMBER(AD169)=FALSE,"",IF(G169=AD169,"State license",IF(I169=AD169,"DEA registration",IF(K169=AD169,"State CSR",IF(M169=AD169,"Board certification",IF(Q169=AD169,"Malpractice",IF(S169=AD169,"Life support",IF(W169=AD169,"CAQH re-attestation",IF(Y169=AD169,"Privileges reappointment","Payer recredentialing")))))))))</f>
        <v/>
      </c>
      <c r="AD169" s="25">
        <f>IF(OR(AND(LEN(G169)&gt;0,ISNUMBER(G169)=FALSE),AND(LEN(I169)&gt;0,ISNUMBER(I169)=FALSE),AND(LEN(K169)&gt;0,ISNUMBER(K169)=FALSE),AND(LEN(M169)&gt;0,ISNUMBER(M169)=FALSE),AND(LEN(Q169)&gt;0,ISNUMBER(Q169)=FALSE),AND(LEN(S169)&gt;0,ISNUMBER(S169)=FALSE),AND(LEN(Y169)&gt;0,ISNUMBER(Y169)=FALSE),AND(LEN(AA169)&gt;0,ISNUMBER(AA169)=FALSE),AND(LEN(U169)&gt;0,ISNUMBER(U169)=FALSE)),"Check date",IF(COUNT(G169,I169,K169,M169,Q169,S169,W169,Y169,AA169)=0,"",MIN(G169,I169,K169,M169,Q169,S169,W169,Y169,AA169)))</f>
        <v/>
      </c>
      <c r="AE169" s="25">
        <f>IF(ISNUMBER(AD169),AD169-IF(ISNUMBER(AB169),AB169,30),"")</f>
        <v/>
      </c>
      <c r="AF169" s="27">
        <f>IF(AD169="","",IF(ISNUMBER(AD169),AD169-TODAY(),"Check date"))</f>
        <v/>
      </c>
      <c r="AG169" s="28">
        <f>IF(AF169="","",IF(ISNUMBER(AF169),IF(AF169&lt;0,"Expired",IF(AF169&lt;=30,"Due ≤30 days",IF(AF169&lt;=90,"Due ≤90 days","OK"))),"Check date"))</f>
        <v/>
      </c>
      <c r="AH169" s="22" t="n"/>
      <c r="AI169" s="22" t="n"/>
      <c r="AJ169" s="22" t="n"/>
      <c r="AK169" s="22" t="n"/>
    </row>
    <row r="170">
      <c r="A170" s="22" t="n"/>
      <c r="B170" s="22" t="n"/>
      <c r="C170" s="22" t="n"/>
      <c r="D170" s="22" t="n"/>
      <c r="E170" s="22" t="n"/>
      <c r="F170" s="22" t="n"/>
      <c r="G170" s="23" t="n"/>
      <c r="H170" s="22" t="n"/>
      <c r="I170" s="23" t="n"/>
      <c r="J170" s="22" t="n"/>
      <c r="K170" s="23" t="n"/>
      <c r="L170" s="22" t="n"/>
      <c r="M170" s="23" t="n"/>
      <c r="N170" s="22" t="n"/>
      <c r="O170" s="22" t="n"/>
      <c r="P170" s="22" t="n"/>
      <c r="Q170" s="23" t="n"/>
      <c r="R170" s="22" t="n"/>
      <c r="S170" s="23" t="n"/>
      <c r="T170" s="22" t="n"/>
      <c r="U170" s="23" t="n"/>
      <c r="V170" s="24" t="n"/>
      <c r="W170" s="25">
        <f>IF(ISNUMBER(U170),U170+IF(ISNUMBER(V170),V170,120),"")</f>
        <v/>
      </c>
      <c r="X170" s="22" t="n"/>
      <c r="Y170" s="23" t="n"/>
      <c r="Z170" s="22" t="n"/>
      <c r="AA170" s="23" t="n"/>
      <c r="AB170" s="24" t="n"/>
      <c r="AC170" s="26">
        <f>IF(ISNUMBER(AD170)=FALSE,"",IF(G170=AD170,"State license",IF(I170=AD170,"DEA registration",IF(K170=AD170,"State CSR",IF(M170=AD170,"Board certification",IF(Q170=AD170,"Malpractice",IF(S170=AD170,"Life support",IF(W170=AD170,"CAQH re-attestation",IF(Y170=AD170,"Privileges reappointment","Payer recredentialing")))))))))</f>
        <v/>
      </c>
      <c r="AD170" s="25">
        <f>IF(OR(AND(LEN(G170)&gt;0,ISNUMBER(G170)=FALSE),AND(LEN(I170)&gt;0,ISNUMBER(I170)=FALSE),AND(LEN(K170)&gt;0,ISNUMBER(K170)=FALSE),AND(LEN(M170)&gt;0,ISNUMBER(M170)=FALSE),AND(LEN(Q170)&gt;0,ISNUMBER(Q170)=FALSE),AND(LEN(S170)&gt;0,ISNUMBER(S170)=FALSE),AND(LEN(Y170)&gt;0,ISNUMBER(Y170)=FALSE),AND(LEN(AA170)&gt;0,ISNUMBER(AA170)=FALSE),AND(LEN(U170)&gt;0,ISNUMBER(U170)=FALSE)),"Check date",IF(COUNT(G170,I170,K170,M170,Q170,S170,W170,Y170,AA170)=0,"",MIN(G170,I170,K170,M170,Q170,S170,W170,Y170,AA170)))</f>
        <v/>
      </c>
      <c r="AE170" s="25">
        <f>IF(ISNUMBER(AD170),AD170-IF(ISNUMBER(AB170),AB170,30),"")</f>
        <v/>
      </c>
      <c r="AF170" s="27">
        <f>IF(AD170="","",IF(ISNUMBER(AD170),AD170-TODAY(),"Check date"))</f>
        <v/>
      </c>
      <c r="AG170" s="28">
        <f>IF(AF170="","",IF(ISNUMBER(AF170),IF(AF170&lt;0,"Expired",IF(AF170&lt;=30,"Due ≤30 days",IF(AF170&lt;=90,"Due ≤90 days","OK"))),"Check date"))</f>
        <v/>
      </c>
      <c r="AH170" s="22" t="n"/>
      <c r="AI170" s="22" t="n"/>
      <c r="AJ170" s="22" t="n"/>
      <c r="AK170" s="22" t="n"/>
    </row>
    <row r="171">
      <c r="A171" s="22" t="n"/>
      <c r="B171" s="22" t="n"/>
      <c r="C171" s="22" t="n"/>
      <c r="D171" s="22" t="n"/>
      <c r="E171" s="22" t="n"/>
      <c r="F171" s="22" t="n"/>
      <c r="G171" s="23" t="n"/>
      <c r="H171" s="22" t="n"/>
      <c r="I171" s="23" t="n"/>
      <c r="J171" s="22" t="n"/>
      <c r="K171" s="23" t="n"/>
      <c r="L171" s="22" t="n"/>
      <c r="M171" s="23" t="n"/>
      <c r="N171" s="22" t="n"/>
      <c r="O171" s="22" t="n"/>
      <c r="P171" s="22" t="n"/>
      <c r="Q171" s="23" t="n"/>
      <c r="R171" s="22" t="n"/>
      <c r="S171" s="23" t="n"/>
      <c r="T171" s="22" t="n"/>
      <c r="U171" s="23" t="n"/>
      <c r="V171" s="24" t="n"/>
      <c r="W171" s="25">
        <f>IF(ISNUMBER(U171),U171+IF(ISNUMBER(V171),V171,120),"")</f>
        <v/>
      </c>
      <c r="X171" s="22" t="n"/>
      <c r="Y171" s="23" t="n"/>
      <c r="Z171" s="22" t="n"/>
      <c r="AA171" s="23" t="n"/>
      <c r="AB171" s="24" t="n"/>
      <c r="AC171" s="26">
        <f>IF(ISNUMBER(AD171)=FALSE,"",IF(G171=AD171,"State license",IF(I171=AD171,"DEA registration",IF(K171=AD171,"State CSR",IF(M171=AD171,"Board certification",IF(Q171=AD171,"Malpractice",IF(S171=AD171,"Life support",IF(W171=AD171,"CAQH re-attestation",IF(Y171=AD171,"Privileges reappointment","Payer recredentialing")))))))))</f>
        <v/>
      </c>
      <c r="AD171" s="25">
        <f>IF(OR(AND(LEN(G171)&gt;0,ISNUMBER(G171)=FALSE),AND(LEN(I171)&gt;0,ISNUMBER(I171)=FALSE),AND(LEN(K171)&gt;0,ISNUMBER(K171)=FALSE),AND(LEN(M171)&gt;0,ISNUMBER(M171)=FALSE),AND(LEN(Q171)&gt;0,ISNUMBER(Q171)=FALSE),AND(LEN(S171)&gt;0,ISNUMBER(S171)=FALSE),AND(LEN(Y171)&gt;0,ISNUMBER(Y171)=FALSE),AND(LEN(AA171)&gt;0,ISNUMBER(AA171)=FALSE),AND(LEN(U171)&gt;0,ISNUMBER(U171)=FALSE)),"Check date",IF(COUNT(G171,I171,K171,M171,Q171,S171,W171,Y171,AA171)=0,"",MIN(G171,I171,K171,M171,Q171,S171,W171,Y171,AA171)))</f>
        <v/>
      </c>
      <c r="AE171" s="25">
        <f>IF(ISNUMBER(AD171),AD171-IF(ISNUMBER(AB171),AB171,30),"")</f>
        <v/>
      </c>
      <c r="AF171" s="27">
        <f>IF(AD171="","",IF(ISNUMBER(AD171),AD171-TODAY(),"Check date"))</f>
        <v/>
      </c>
      <c r="AG171" s="28">
        <f>IF(AF171="","",IF(ISNUMBER(AF171),IF(AF171&lt;0,"Expired",IF(AF171&lt;=30,"Due ≤30 days",IF(AF171&lt;=90,"Due ≤90 days","OK"))),"Check date"))</f>
        <v/>
      </c>
      <c r="AH171" s="22" t="n"/>
      <c r="AI171" s="22" t="n"/>
      <c r="AJ171" s="22" t="n"/>
      <c r="AK171" s="22" t="n"/>
    </row>
    <row r="172">
      <c r="A172" s="22" t="n"/>
      <c r="B172" s="22" t="n"/>
      <c r="C172" s="22" t="n"/>
      <c r="D172" s="22" t="n"/>
      <c r="E172" s="22" t="n"/>
      <c r="F172" s="22" t="n"/>
      <c r="G172" s="23" t="n"/>
      <c r="H172" s="22" t="n"/>
      <c r="I172" s="23" t="n"/>
      <c r="J172" s="22" t="n"/>
      <c r="K172" s="23" t="n"/>
      <c r="L172" s="22" t="n"/>
      <c r="M172" s="23" t="n"/>
      <c r="N172" s="22" t="n"/>
      <c r="O172" s="22" t="n"/>
      <c r="P172" s="22" t="n"/>
      <c r="Q172" s="23" t="n"/>
      <c r="R172" s="22" t="n"/>
      <c r="S172" s="23" t="n"/>
      <c r="T172" s="22" t="n"/>
      <c r="U172" s="23" t="n"/>
      <c r="V172" s="24" t="n"/>
      <c r="W172" s="25">
        <f>IF(ISNUMBER(U172),U172+IF(ISNUMBER(V172),V172,120),"")</f>
        <v/>
      </c>
      <c r="X172" s="22" t="n"/>
      <c r="Y172" s="23" t="n"/>
      <c r="Z172" s="22" t="n"/>
      <c r="AA172" s="23" t="n"/>
      <c r="AB172" s="24" t="n"/>
      <c r="AC172" s="26">
        <f>IF(ISNUMBER(AD172)=FALSE,"",IF(G172=AD172,"State license",IF(I172=AD172,"DEA registration",IF(K172=AD172,"State CSR",IF(M172=AD172,"Board certification",IF(Q172=AD172,"Malpractice",IF(S172=AD172,"Life support",IF(W172=AD172,"CAQH re-attestation",IF(Y172=AD172,"Privileges reappointment","Payer recredentialing")))))))))</f>
        <v/>
      </c>
      <c r="AD172" s="25">
        <f>IF(OR(AND(LEN(G172)&gt;0,ISNUMBER(G172)=FALSE),AND(LEN(I172)&gt;0,ISNUMBER(I172)=FALSE),AND(LEN(K172)&gt;0,ISNUMBER(K172)=FALSE),AND(LEN(M172)&gt;0,ISNUMBER(M172)=FALSE),AND(LEN(Q172)&gt;0,ISNUMBER(Q172)=FALSE),AND(LEN(S172)&gt;0,ISNUMBER(S172)=FALSE),AND(LEN(Y172)&gt;0,ISNUMBER(Y172)=FALSE),AND(LEN(AA172)&gt;0,ISNUMBER(AA172)=FALSE),AND(LEN(U172)&gt;0,ISNUMBER(U172)=FALSE)),"Check date",IF(COUNT(G172,I172,K172,M172,Q172,S172,W172,Y172,AA172)=0,"",MIN(G172,I172,K172,M172,Q172,S172,W172,Y172,AA172)))</f>
        <v/>
      </c>
      <c r="AE172" s="25">
        <f>IF(ISNUMBER(AD172),AD172-IF(ISNUMBER(AB172),AB172,30),"")</f>
        <v/>
      </c>
      <c r="AF172" s="27">
        <f>IF(AD172="","",IF(ISNUMBER(AD172),AD172-TODAY(),"Check date"))</f>
        <v/>
      </c>
      <c r="AG172" s="28">
        <f>IF(AF172="","",IF(ISNUMBER(AF172),IF(AF172&lt;0,"Expired",IF(AF172&lt;=30,"Due ≤30 days",IF(AF172&lt;=90,"Due ≤90 days","OK"))),"Check date"))</f>
        <v/>
      </c>
      <c r="AH172" s="22" t="n"/>
      <c r="AI172" s="22" t="n"/>
      <c r="AJ172" s="22" t="n"/>
      <c r="AK172" s="22" t="n"/>
    </row>
    <row r="173">
      <c r="A173" s="22" t="n"/>
      <c r="B173" s="22" t="n"/>
      <c r="C173" s="22" t="n"/>
      <c r="D173" s="22" t="n"/>
      <c r="E173" s="22" t="n"/>
      <c r="F173" s="22" t="n"/>
      <c r="G173" s="23" t="n"/>
      <c r="H173" s="22" t="n"/>
      <c r="I173" s="23" t="n"/>
      <c r="J173" s="22" t="n"/>
      <c r="K173" s="23" t="n"/>
      <c r="L173" s="22" t="n"/>
      <c r="M173" s="23" t="n"/>
      <c r="N173" s="22" t="n"/>
      <c r="O173" s="22" t="n"/>
      <c r="P173" s="22" t="n"/>
      <c r="Q173" s="23" t="n"/>
      <c r="R173" s="22" t="n"/>
      <c r="S173" s="23" t="n"/>
      <c r="T173" s="22" t="n"/>
      <c r="U173" s="23" t="n"/>
      <c r="V173" s="24" t="n"/>
      <c r="W173" s="25">
        <f>IF(ISNUMBER(U173),U173+IF(ISNUMBER(V173),V173,120),"")</f>
        <v/>
      </c>
      <c r="X173" s="22" t="n"/>
      <c r="Y173" s="23" t="n"/>
      <c r="Z173" s="22" t="n"/>
      <c r="AA173" s="23" t="n"/>
      <c r="AB173" s="24" t="n"/>
      <c r="AC173" s="26">
        <f>IF(ISNUMBER(AD173)=FALSE,"",IF(G173=AD173,"State license",IF(I173=AD173,"DEA registration",IF(K173=AD173,"State CSR",IF(M173=AD173,"Board certification",IF(Q173=AD173,"Malpractice",IF(S173=AD173,"Life support",IF(W173=AD173,"CAQH re-attestation",IF(Y173=AD173,"Privileges reappointment","Payer recredentialing")))))))))</f>
        <v/>
      </c>
      <c r="AD173" s="25">
        <f>IF(OR(AND(LEN(G173)&gt;0,ISNUMBER(G173)=FALSE),AND(LEN(I173)&gt;0,ISNUMBER(I173)=FALSE),AND(LEN(K173)&gt;0,ISNUMBER(K173)=FALSE),AND(LEN(M173)&gt;0,ISNUMBER(M173)=FALSE),AND(LEN(Q173)&gt;0,ISNUMBER(Q173)=FALSE),AND(LEN(S173)&gt;0,ISNUMBER(S173)=FALSE),AND(LEN(Y173)&gt;0,ISNUMBER(Y173)=FALSE),AND(LEN(AA173)&gt;0,ISNUMBER(AA173)=FALSE),AND(LEN(U173)&gt;0,ISNUMBER(U173)=FALSE)),"Check date",IF(COUNT(G173,I173,K173,M173,Q173,S173,W173,Y173,AA173)=0,"",MIN(G173,I173,K173,M173,Q173,S173,W173,Y173,AA173)))</f>
        <v/>
      </c>
      <c r="AE173" s="25">
        <f>IF(ISNUMBER(AD173),AD173-IF(ISNUMBER(AB173),AB173,30),"")</f>
        <v/>
      </c>
      <c r="AF173" s="27">
        <f>IF(AD173="","",IF(ISNUMBER(AD173),AD173-TODAY(),"Check date"))</f>
        <v/>
      </c>
      <c r="AG173" s="28">
        <f>IF(AF173="","",IF(ISNUMBER(AF173),IF(AF173&lt;0,"Expired",IF(AF173&lt;=30,"Due ≤30 days",IF(AF173&lt;=90,"Due ≤90 days","OK"))),"Check date"))</f>
        <v/>
      </c>
      <c r="AH173" s="22" t="n"/>
      <c r="AI173" s="22" t="n"/>
      <c r="AJ173" s="22" t="n"/>
      <c r="AK173" s="22" t="n"/>
    </row>
    <row r="174">
      <c r="A174" s="22" t="n"/>
      <c r="B174" s="22" t="n"/>
      <c r="C174" s="22" t="n"/>
      <c r="D174" s="22" t="n"/>
      <c r="E174" s="22" t="n"/>
      <c r="F174" s="22" t="n"/>
      <c r="G174" s="23" t="n"/>
      <c r="H174" s="22" t="n"/>
      <c r="I174" s="23" t="n"/>
      <c r="J174" s="22" t="n"/>
      <c r="K174" s="23" t="n"/>
      <c r="L174" s="22" t="n"/>
      <c r="M174" s="23" t="n"/>
      <c r="N174" s="22" t="n"/>
      <c r="O174" s="22" t="n"/>
      <c r="P174" s="22" t="n"/>
      <c r="Q174" s="23" t="n"/>
      <c r="R174" s="22" t="n"/>
      <c r="S174" s="23" t="n"/>
      <c r="T174" s="22" t="n"/>
      <c r="U174" s="23" t="n"/>
      <c r="V174" s="24" t="n"/>
      <c r="W174" s="25">
        <f>IF(ISNUMBER(U174),U174+IF(ISNUMBER(V174),V174,120),"")</f>
        <v/>
      </c>
      <c r="X174" s="22" t="n"/>
      <c r="Y174" s="23" t="n"/>
      <c r="Z174" s="22" t="n"/>
      <c r="AA174" s="23" t="n"/>
      <c r="AB174" s="24" t="n"/>
      <c r="AC174" s="26">
        <f>IF(ISNUMBER(AD174)=FALSE,"",IF(G174=AD174,"State license",IF(I174=AD174,"DEA registration",IF(K174=AD174,"State CSR",IF(M174=AD174,"Board certification",IF(Q174=AD174,"Malpractice",IF(S174=AD174,"Life support",IF(W174=AD174,"CAQH re-attestation",IF(Y174=AD174,"Privileges reappointment","Payer recredentialing")))))))))</f>
        <v/>
      </c>
      <c r="AD174" s="25">
        <f>IF(OR(AND(LEN(G174)&gt;0,ISNUMBER(G174)=FALSE),AND(LEN(I174)&gt;0,ISNUMBER(I174)=FALSE),AND(LEN(K174)&gt;0,ISNUMBER(K174)=FALSE),AND(LEN(M174)&gt;0,ISNUMBER(M174)=FALSE),AND(LEN(Q174)&gt;0,ISNUMBER(Q174)=FALSE),AND(LEN(S174)&gt;0,ISNUMBER(S174)=FALSE),AND(LEN(Y174)&gt;0,ISNUMBER(Y174)=FALSE),AND(LEN(AA174)&gt;0,ISNUMBER(AA174)=FALSE),AND(LEN(U174)&gt;0,ISNUMBER(U174)=FALSE)),"Check date",IF(COUNT(G174,I174,K174,M174,Q174,S174,W174,Y174,AA174)=0,"",MIN(G174,I174,K174,M174,Q174,S174,W174,Y174,AA174)))</f>
        <v/>
      </c>
      <c r="AE174" s="25">
        <f>IF(ISNUMBER(AD174),AD174-IF(ISNUMBER(AB174),AB174,30),"")</f>
        <v/>
      </c>
      <c r="AF174" s="27">
        <f>IF(AD174="","",IF(ISNUMBER(AD174),AD174-TODAY(),"Check date"))</f>
        <v/>
      </c>
      <c r="AG174" s="28">
        <f>IF(AF174="","",IF(ISNUMBER(AF174),IF(AF174&lt;0,"Expired",IF(AF174&lt;=30,"Due ≤30 days",IF(AF174&lt;=90,"Due ≤90 days","OK"))),"Check date"))</f>
        <v/>
      </c>
      <c r="AH174" s="22" t="n"/>
      <c r="AI174" s="22" t="n"/>
      <c r="AJ174" s="22" t="n"/>
      <c r="AK174" s="22" t="n"/>
    </row>
    <row r="175">
      <c r="A175" s="22" t="n"/>
      <c r="B175" s="22" t="n"/>
      <c r="C175" s="22" t="n"/>
      <c r="D175" s="22" t="n"/>
      <c r="E175" s="22" t="n"/>
      <c r="F175" s="22" t="n"/>
      <c r="G175" s="23" t="n"/>
      <c r="H175" s="22" t="n"/>
      <c r="I175" s="23" t="n"/>
      <c r="J175" s="22" t="n"/>
      <c r="K175" s="23" t="n"/>
      <c r="L175" s="22" t="n"/>
      <c r="M175" s="23" t="n"/>
      <c r="N175" s="22" t="n"/>
      <c r="O175" s="22" t="n"/>
      <c r="P175" s="22" t="n"/>
      <c r="Q175" s="23" t="n"/>
      <c r="R175" s="22" t="n"/>
      <c r="S175" s="23" t="n"/>
      <c r="T175" s="22" t="n"/>
      <c r="U175" s="23" t="n"/>
      <c r="V175" s="24" t="n"/>
      <c r="W175" s="25">
        <f>IF(ISNUMBER(U175),U175+IF(ISNUMBER(V175),V175,120),"")</f>
        <v/>
      </c>
      <c r="X175" s="22" t="n"/>
      <c r="Y175" s="23" t="n"/>
      <c r="Z175" s="22" t="n"/>
      <c r="AA175" s="23" t="n"/>
      <c r="AB175" s="24" t="n"/>
      <c r="AC175" s="26">
        <f>IF(ISNUMBER(AD175)=FALSE,"",IF(G175=AD175,"State license",IF(I175=AD175,"DEA registration",IF(K175=AD175,"State CSR",IF(M175=AD175,"Board certification",IF(Q175=AD175,"Malpractice",IF(S175=AD175,"Life support",IF(W175=AD175,"CAQH re-attestation",IF(Y175=AD175,"Privileges reappointment","Payer recredentialing")))))))))</f>
        <v/>
      </c>
      <c r="AD175" s="25">
        <f>IF(OR(AND(LEN(G175)&gt;0,ISNUMBER(G175)=FALSE),AND(LEN(I175)&gt;0,ISNUMBER(I175)=FALSE),AND(LEN(K175)&gt;0,ISNUMBER(K175)=FALSE),AND(LEN(M175)&gt;0,ISNUMBER(M175)=FALSE),AND(LEN(Q175)&gt;0,ISNUMBER(Q175)=FALSE),AND(LEN(S175)&gt;0,ISNUMBER(S175)=FALSE),AND(LEN(Y175)&gt;0,ISNUMBER(Y175)=FALSE),AND(LEN(AA175)&gt;0,ISNUMBER(AA175)=FALSE),AND(LEN(U175)&gt;0,ISNUMBER(U175)=FALSE)),"Check date",IF(COUNT(G175,I175,K175,M175,Q175,S175,W175,Y175,AA175)=0,"",MIN(G175,I175,K175,M175,Q175,S175,W175,Y175,AA175)))</f>
        <v/>
      </c>
      <c r="AE175" s="25">
        <f>IF(ISNUMBER(AD175),AD175-IF(ISNUMBER(AB175),AB175,30),"")</f>
        <v/>
      </c>
      <c r="AF175" s="27">
        <f>IF(AD175="","",IF(ISNUMBER(AD175),AD175-TODAY(),"Check date"))</f>
        <v/>
      </c>
      <c r="AG175" s="28">
        <f>IF(AF175="","",IF(ISNUMBER(AF175),IF(AF175&lt;0,"Expired",IF(AF175&lt;=30,"Due ≤30 days",IF(AF175&lt;=90,"Due ≤90 days","OK"))),"Check date"))</f>
        <v/>
      </c>
      <c r="AH175" s="22" t="n"/>
      <c r="AI175" s="22" t="n"/>
      <c r="AJ175" s="22" t="n"/>
      <c r="AK175" s="22" t="n"/>
    </row>
    <row r="176">
      <c r="A176" s="22" t="n"/>
      <c r="B176" s="22" t="n"/>
      <c r="C176" s="22" t="n"/>
      <c r="D176" s="22" t="n"/>
      <c r="E176" s="22" t="n"/>
      <c r="F176" s="22" t="n"/>
      <c r="G176" s="23" t="n"/>
      <c r="H176" s="22" t="n"/>
      <c r="I176" s="23" t="n"/>
      <c r="J176" s="22" t="n"/>
      <c r="K176" s="23" t="n"/>
      <c r="L176" s="22" t="n"/>
      <c r="M176" s="23" t="n"/>
      <c r="N176" s="22" t="n"/>
      <c r="O176" s="22" t="n"/>
      <c r="P176" s="22" t="n"/>
      <c r="Q176" s="23" t="n"/>
      <c r="R176" s="22" t="n"/>
      <c r="S176" s="23" t="n"/>
      <c r="T176" s="22" t="n"/>
      <c r="U176" s="23" t="n"/>
      <c r="V176" s="24" t="n"/>
      <c r="W176" s="25">
        <f>IF(ISNUMBER(U176),U176+IF(ISNUMBER(V176),V176,120),"")</f>
        <v/>
      </c>
      <c r="X176" s="22" t="n"/>
      <c r="Y176" s="23" t="n"/>
      <c r="Z176" s="22" t="n"/>
      <c r="AA176" s="23" t="n"/>
      <c r="AB176" s="24" t="n"/>
      <c r="AC176" s="26">
        <f>IF(ISNUMBER(AD176)=FALSE,"",IF(G176=AD176,"State license",IF(I176=AD176,"DEA registration",IF(K176=AD176,"State CSR",IF(M176=AD176,"Board certification",IF(Q176=AD176,"Malpractice",IF(S176=AD176,"Life support",IF(W176=AD176,"CAQH re-attestation",IF(Y176=AD176,"Privileges reappointment","Payer recredentialing")))))))))</f>
        <v/>
      </c>
      <c r="AD176" s="25">
        <f>IF(OR(AND(LEN(G176)&gt;0,ISNUMBER(G176)=FALSE),AND(LEN(I176)&gt;0,ISNUMBER(I176)=FALSE),AND(LEN(K176)&gt;0,ISNUMBER(K176)=FALSE),AND(LEN(M176)&gt;0,ISNUMBER(M176)=FALSE),AND(LEN(Q176)&gt;0,ISNUMBER(Q176)=FALSE),AND(LEN(S176)&gt;0,ISNUMBER(S176)=FALSE),AND(LEN(Y176)&gt;0,ISNUMBER(Y176)=FALSE),AND(LEN(AA176)&gt;0,ISNUMBER(AA176)=FALSE),AND(LEN(U176)&gt;0,ISNUMBER(U176)=FALSE)),"Check date",IF(COUNT(G176,I176,K176,M176,Q176,S176,W176,Y176,AA176)=0,"",MIN(G176,I176,K176,M176,Q176,S176,W176,Y176,AA176)))</f>
        <v/>
      </c>
      <c r="AE176" s="25">
        <f>IF(ISNUMBER(AD176),AD176-IF(ISNUMBER(AB176),AB176,30),"")</f>
        <v/>
      </c>
      <c r="AF176" s="27">
        <f>IF(AD176="","",IF(ISNUMBER(AD176),AD176-TODAY(),"Check date"))</f>
        <v/>
      </c>
      <c r="AG176" s="28">
        <f>IF(AF176="","",IF(ISNUMBER(AF176),IF(AF176&lt;0,"Expired",IF(AF176&lt;=30,"Due ≤30 days",IF(AF176&lt;=90,"Due ≤90 days","OK"))),"Check date"))</f>
        <v/>
      </c>
      <c r="AH176" s="22" t="n"/>
      <c r="AI176" s="22" t="n"/>
      <c r="AJ176" s="22" t="n"/>
      <c r="AK176" s="22" t="n"/>
    </row>
    <row r="177">
      <c r="A177" s="22" t="n"/>
      <c r="B177" s="22" t="n"/>
      <c r="C177" s="22" t="n"/>
      <c r="D177" s="22" t="n"/>
      <c r="E177" s="22" t="n"/>
      <c r="F177" s="22" t="n"/>
      <c r="G177" s="23" t="n"/>
      <c r="H177" s="22" t="n"/>
      <c r="I177" s="23" t="n"/>
      <c r="J177" s="22" t="n"/>
      <c r="K177" s="23" t="n"/>
      <c r="L177" s="22" t="n"/>
      <c r="M177" s="23" t="n"/>
      <c r="N177" s="22" t="n"/>
      <c r="O177" s="22" t="n"/>
      <c r="P177" s="22" t="n"/>
      <c r="Q177" s="23" t="n"/>
      <c r="R177" s="22" t="n"/>
      <c r="S177" s="23" t="n"/>
      <c r="T177" s="22" t="n"/>
      <c r="U177" s="23" t="n"/>
      <c r="V177" s="24" t="n"/>
      <c r="W177" s="25">
        <f>IF(ISNUMBER(U177),U177+IF(ISNUMBER(V177),V177,120),"")</f>
        <v/>
      </c>
      <c r="X177" s="22" t="n"/>
      <c r="Y177" s="23" t="n"/>
      <c r="Z177" s="22" t="n"/>
      <c r="AA177" s="23" t="n"/>
      <c r="AB177" s="24" t="n"/>
      <c r="AC177" s="26">
        <f>IF(ISNUMBER(AD177)=FALSE,"",IF(G177=AD177,"State license",IF(I177=AD177,"DEA registration",IF(K177=AD177,"State CSR",IF(M177=AD177,"Board certification",IF(Q177=AD177,"Malpractice",IF(S177=AD177,"Life support",IF(W177=AD177,"CAQH re-attestation",IF(Y177=AD177,"Privileges reappointment","Payer recredentialing")))))))))</f>
        <v/>
      </c>
      <c r="AD177" s="25">
        <f>IF(OR(AND(LEN(G177)&gt;0,ISNUMBER(G177)=FALSE),AND(LEN(I177)&gt;0,ISNUMBER(I177)=FALSE),AND(LEN(K177)&gt;0,ISNUMBER(K177)=FALSE),AND(LEN(M177)&gt;0,ISNUMBER(M177)=FALSE),AND(LEN(Q177)&gt;0,ISNUMBER(Q177)=FALSE),AND(LEN(S177)&gt;0,ISNUMBER(S177)=FALSE),AND(LEN(Y177)&gt;0,ISNUMBER(Y177)=FALSE),AND(LEN(AA177)&gt;0,ISNUMBER(AA177)=FALSE),AND(LEN(U177)&gt;0,ISNUMBER(U177)=FALSE)),"Check date",IF(COUNT(G177,I177,K177,M177,Q177,S177,W177,Y177,AA177)=0,"",MIN(G177,I177,K177,M177,Q177,S177,W177,Y177,AA177)))</f>
        <v/>
      </c>
      <c r="AE177" s="25">
        <f>IF(ISNUMBER(AD177),AD177-IF(ISNUMBER(AB177),AB177,30),"")</f>
        <v/>
      </c>
      <c r="AF177" s="27">
        <f>IF(AD177="","",IF(ISNUMBER(AD177),AD177-TODAY(),"Check date"))</f>
        <v/>
      </c>
      <c r="AG177" s="28">
        <f>IF(AF177="","",IF(ISNUMBER(AF177),IF(AF177&lt;0,"Expired",IF(AF177&lt;=30,"Due ≤30 days",IF(AF177&lt;=90,"Due ≤90 days","OK"))),"Check date"))</f>
        <v/>
      </c>
      <c r="AH177" s="22" t="n"/>
      <c r="AI177" s="22" t="n"/>
      <c r="AJ177" s="22" t="n"/>
      <c r="AK177" s="22" t="n"/>
    </row>
    <row r="178">
      <c r="A178" s="22" t="n"/>
      <c r="B178" s="22" t="n"/>
      <c r="C178" s="22" t="n"/>
      <c r="D178" s="22" t="n"/>
      <c r="E178" s="22" t="n"/>
      <c r="F178" s="22" t="n"/>
      <c r="G178" s="23" t="n"/>
      <c r="H178" s="22" t="n"/>
      <c r="I178" s="23" t="n"/>
      <c r="J178" s="22" t="n"/>
      <c r="K178" s="23" t="n"/>
      <c r="L178" s="22" t="n"/>
      <c r="M178" s="23" t="n"/>
      <c r="N178" s="22" t="n"/>
      <c r="O178" s="22" t="n"/>
      <c r="P178" s="22" t="n"/>
      <c r="Q178" s="23" t="n"/>
      <c r="R178" s="22" t="n"/>
      <c r="S178" s="23" t="n"/>
      <c r="T178" s="22" t="n"/>
      <c r="U178" s="23" t="n"/>
      <c r="V178" s="24" t="n"/>
      <c r="W178" s="25">
        <f>IF(ISNUMBER(U178),U178+IF(ISNUMBER(V178),V178,120),"")</f>
        <v/>
      </c>
      <c r="X178" s="22" t="n"/>
      <c r="Y178" s="23" t="n"/>
      <c r="Z178" s="22" t="n"/>
      <c r="AA178" s="23" t="n"/>
      <c r="AB178" s="24" t="n"/>
      <c r="AC178" s="26">
        <f>IF(ISNUMBER(AD178)=FALSE,"",IF(G178=AD178,"State license",IF(I178=AD178,"DEA registration",IF(K178=AD178,"State CSR",IF(M178=AD178,"Board certification",IF(Q178=AD178,"Malpractice",IF(S178=AD178,"Life support",IF(W178=AD178,"CAQH re-attestation",IF(Y178=AD178,"Privileges reappointment","Payer recredentialing")))))))))</f>
        <v/>
      </c>
      <c r="AD178" s="25">
        <f>IF(OR(AND(LEN(G178)&gt;0,ISNUMBER(G178)=FALSE),AND(LEN(I178)&gt;0,ISNUMBER(I178)=FALSE),AND(LEN(K178)&gt;0,ISNUMBER(K178)=FALSE),AND(LEN(M178)&gt;0,ISNUMBER(M178)=FALSE),AND(LEN(Q178)&gt;0,ISNUMBER(Q178)=FALSE),AND(LEN(S178)&gt;0,ISNUMBER(S178)=FALSE),AND(LEN(Y178)&gt;0,ISNUMBER(Y178)=FALSE),AND(LEN(AA178)&gt;0,ISNUMBER(AA178)=FALSE),AND(LEN(U178)&gt;0,ISNUMBER(U178)=FALSE)),"Check date",IF(COUNT(G178,I178,K178,M178,Q178,S178,W178,Y178,AA178)=0,"",MIN(G178,I178,K178,M178,Q178,S178,W178,Y178,AA178)))</f>
        <v/>
      </c>
      <c r="AE178" s="25">
        <f>IF(ISNUMBER(AD178),AD178-IF(ISNUMBER(AB178),AB178,30),"")</f>
        <v/>
      </c>
      <c r="AF178" s="27">
        <f>IF(AD178="","",IF(ISNUMBER(AD178),AD178-TODAY(),"Check date"))</f>
        <v/>
      </c>
      <c r="AG178" s="28">
        <f>IF(AF178="","",IF(ISNUMBER(AF178),IF(AF178&lt;0,"Expired",IF(AF178&lt;=30,"Due ≤30 days",IF(AF178&lt;=90,"Due ≤90 days","OK"))),"Check date"))</f>
        <v/>
      </c>
      <c r="AH178" s="22" t="n"/>
      <c r="AI178" s="22" t="n"/>
      <c r="AJ178" s="22" t="n"/>
      <c r="AK178" s="22" t="n"/>
    </row>
    <row r="179">
      <c r="A179" s="22" t="n"/>
      <c r="B179" s="22" t="n"/>
      <c r="C179" s="22" t="n"/>
      <c r="D179" s="22" t="n"/>
      <c r="E179" s="22" t="n"/>
      <c r="F179" s="22" t="n"/>
      <c r="G179" s="23" t="n"/>
      <c r="H179" s="22" t="n"/>
      <c r="I179" s="23" t="n"/>
      <c r="J179" s="22" t="n"/>
      <c r="K179" s="23" t="n"/>
      <c r="L179" s="22" t="n"/>
      <c r="M179" s="23" t="n"/>
      <c r="N179" s="22" t="n"/>
      <c r="O179" s="22" t="n"/>
      <c r="P179" s="22" t="n"/>
      <c r="Q179" s="23" t="n"/>
      <c r="R179" s="22" t="n"/>
      <c r="S179" s="23" t="n"/>
      <c r="T179" s="22" t="n"/>
      <c r="U179" s="23" t="n"/>
      <c r="V179" s="24" t="n"/>
      <c r="W179" s="25">
        <f>IF(ISNUMBER(U179),U179+IF(ISNUMBER(V179),V179,120),"")</f>
        <v/>
      </c>
      <c r="X179" s="22" t="n"/>
      <c r="Y179" s="23" t="n"/>
      <c r="Z179" s="22" t="n"/>
      <c r="AA179" s="23" t="n"/>
      <c r="AB179" s="24" t="n"/>
      <c r="AC179" s="26">
        <f>IF(ISNUMBER(AD179)=FALSE,"",IF(G179=AD179,"State license",IF(I179=AD179,"DEA registration",IF(K179=AD179,"State CSR",IF(M179=AD179,"Board certification",IF(Q179=AD179,"Malpractice",IF(S179=AD179,"Life support",IF(W179=AD179,"CAQH re-attestation",IF(Y179=AD179,"Privileges reappointment","Payer recredentialing")))))))))</f>
        <v/>
      </c>
      <c r="AD179" s="25">
        <f>IF(OR(AND(LEN(G179)&gt;0,ISNUMBER(G179)=FALSE),AND(LEN(I179)&gt;0,ISNUMBER(I179)=FALSE),AND(LEN(K179)&gt;0,ISNUMBER(K179)=FALSE),AND(LEN(M179)&gt;0,ISNUMBER(M179)=FALSE),AND(LEN(Q179)&gt;0,ISNUMBER(Q179)=FALSE),AND(LEN(S179)&gt;0,ISNUMBER(S179)=FALSE),AND(LEN(Y179)&gt;0,ISNUMBER(Y179)=FALSE),AND(LEN(AA179)&gt;0,ISNUMBER(AA179)=FALSE),AND(LEN(U179)&gt;0,ISNUMBER(U179)=FALSE)),"Check date",IF(COUNT(G179,I179,K179,M179,Q179,S179,W179,Y179,AA179)=0,"",MIN(G179,I179,K179,M179,Q179,S179,W179,Y179,AA179)))</f>
        <v/>
      </c>
      <c r="AE179" s="25">
        <f>IF(ISNUMBER(AD179),AD179-IF(ISNUMBER(AB179),AB179,30),"")</f>
        <v/>
      </c>
      <c r="AF179" s="27">
        <f>IF(AD179="","",IF(ISNUMBER(AD179),AD179-TODAY(),"Check date"))</f>
        <v/>
      </c>
      <c r="AG179" s="28">
        <f>IF(AF179="","",IF(ISNUMBER(AF179),IF(AF179&lt;0,"Expired",IF(AF179&lt;=30,"Due ≤30 days",IF(AF179&lt;=90,"Due ≤90 days","OK"))),"Check date"))</f>
        <v/>
      </c>
      <c r="AH179" s="22" t="n"/>
      <c r="AI179" s="22" t="n"/>
      <c r="AJ179" s="22" t="n"/>
      <c r="AK179" s="22" t="n"/>
    </row>
    <row r="180">
      <c r="A180" s="22" t="n"/>
      <c r="B180" s="22" t="n"/>
      <c r="C180" s="22" t="n"/>
      <c r="D180" s="22" t="n"/>
      <c r="E180" s="22" t="n"/>
      <c r="F180" s="22" t="n"/>
      <c r="G180" s="23" t="n"/>
      <c r="H180" s="22" t="n"/>
      <c r="I180" s="23" t="n"/>
      <c r="J180" s="22" t="n"/>
      <c r="K180" s="23" t="n"/>
      <c r="L180" s="22" t="n"/>
      <c r="M180" s="23" t="n"/>
      <c r="N180" s="22" t="n"/>
      <c r="O180" s="22" t="n"/>
      <c r="P180" s="22" t="n"/>
      <c r="Q180" s="23" t="n"/>
      <c r="R180" s="22" t="n"/>
      <c r="S180" s="23" t="n"/>
      <c r="T180" s="22" t="n"/>
      <c r="U180" s="23" t="n"/>
      <c r="V180" s="24" t="n"/>
      <c r="W180" s="25">
        <f>IF(ISNUMBER(U180),U180+IF(ISNUMBER(V180),V180,120),"")</f>
        <v/>
      </c>
      <c r="X180" s="22" t="n"/>
      <c r="Y180" s="23" t="n"/>
      <c r="Z180" s="22" t="n"/>
      <c r="AA180" s="23" t="n"/>
      <c r="AB180" s="24" t="n"/>
      <c r="AC180" s="26">
        <f>IF(ISNUMBER(AD180)=FALSE,"",IF(G180=AD180,"State license",IF(I180=AD180,"DEA registration",IF(K180=AD180,"State CSR",IF(M180=AD180,"Board certification",IF(Q180=AD180,"Malpractice",IF(S180=AD180,"Life support",IF(W180=AD180,"CAQH re-attestation",IF(Y180=AD180,"Privileges reappointment","Payer recredentialing")))))))))</f>
        <v/>
      </c>
      <c r="AD180" s="25">
        <f>IF(OR(AND(LEN(G180)&gt;0,ISNUMBER(G180)=FALSE),AND(LEN(I180)&gt;0,ISNUMBER(I180)=FALSE),AND(LEN(K180)&gt;0,ISNUMBER(K180)=FALSE),AND(LEN(M180)&gt;0,ISNUMBER(M180)=FALSE),AND(LEN(Q180)&gt;0,ISNUMBER(Q180)=FALSE),AND(LEN(S180)&gt;0,ISNUMBER(S180)=FALSE),AND(LEN(Y180)&gt;0,ISNUMBER(Y180)=FALSE),AND(LEN(AA180)&gt;0,ISNUMBER(AA180)=FALSE),AND(LEN(U180)&gt;0,ISNUMBER(U180)=FALSE)),"Check date",IF(COUNT(G180,I180,K180,M180,Q180,S180,W180,Y180,AA180)=0,"",MIN(G180,I180,K180,M180,Q180,S180,W180,Y180,AA180)))</f>
        <v/>
      </c>
      <c r="AE180" s="25">
        <f>IF(ISNUMBER(AD180),AD180-IF(ISNUMBER(AB180),AB180,30),"")</f>
        <v/>
      </c>
      <c r="AF180" s="27">
        <f>IF(AD180="","",IF(ISNUMBER(AD180),AD180-TODAY(),"Check date"))</f>
        <v/>
      </c>
      <c r="AG180" s="28">
        <f>IF(AF180="","",IF(ISNUMBER(AF180),IF(AF180&lt;0,"Expired",IF(AF180&lt;=30,"Due ≤30 days",IF(AF180&lt;=90,"Due ≤90 days","OK"))),"Check date"))</f>
        <v/>
      </c>
      <c r="AH180" s="22" t="n"/>
      <c r="AI180" s="22" t="n"/>
      <c r="AJ180" s="22" t="n"/>
      <c r="AK180" s="22" t="n"/>
    </row>
    <row r="181">
      <c r="A181" s="22" t="n"/>
      <c r="B181" s="22" t="n"/>
      <c r="C181" s="22" t="n"/>
      <c r="D181" s="22" t="n"/>
      <c r="E181" s="22" t="n"/>
      <c r="F181" s="22" t="n"/>
      <c r="G181" s="23" t="n"/>
      <c r="H181" s="22" t="n"/>
      <c r="I181" s="23" t="n"/>
      <c r="J181" s="22" t="n"/>
      <c r="K181" s="23" t="n"/>
      <c r="L181" s="22" t="n"/>
      <c r="M181" s="23" t="n"/>
      <c r="N181" s="22" t="n"/>
      <c r="O181" s="22" t="n"/>
      <c r="P181" s="22" t="n"/>
      <c r="Q181" s="23" t="n"/>
      <c r="R181" s="22" t="n"/>
      <c r="S181" s="23" t="n"/>
      <c r="T181" s="22" t="n"/>
      <c r="U181" s="23" t="n"/>
      <c r="V181" s="24" t="n"/>
      <c r="W181" s="25">
        <f>IF(ISNUMBER(U181),U181+IF(ISNUMBER(V181),V181,120),"")</f>
        <v/>
      </c>
      <c r="X181" s="22" t="n"/>
      <c r="Y181" s="23" t="n"/>
      <c r="Z181" s="22" t="n"/>
      <c r="AA181" s="23" t="n"/>
      <c r="AB181" s="24" t="n"/>
      <c r="AC181" s="26">
        <f>IF(ISNUMBER(AD181)=FALSE,"",IF(G181=AD181,"State license",IF(I181=AD181,"DEA registration",IF(K181=AD181,"State CSR",IF(M181=AD181,"Board certification",IF(Q181=AD181,"Malpractice",IF(S181=AD181,"Life support",IF(W181=AD181,"CAQH re-attestation",IF(Y181=AD181,"Privileges reappointment","Payer recredentialing")))))))))</f>
        <v/>
      </c>
      <c r="AD181" s="25">
        <f>IF(OR(AND(LEN(G181)&gt;0,ISNUMBER(G181)=FALSE),AND(LEN(I181)&gt;0,ISNUMBER(I181)=FALSE),AND(LEN(K181)&gt;0,ISNUMBER(K181)=FALSE),AND(LEN(M181)&gt;0,ISNUMBER(M181)=FALSE),AND(LEN(Q181)&gt;0,ISNUMBER(Q181)=FALSE),AND(LEN(S181)&gt;0,ISNUMBER(S181)=FALSE),AND(LEN(Y181)&gt;0,ISNUMBER(Y181)=FALSE),AND(LEN(AA181)&gt;0,ISNUMBER(AA181)=FALSE),AND(LEN(U181)&gt;0,ISNUMBER(U181)=FALSE)),"Check date",IF(COUNT(G181,I181,K181,M181,Q181,S181,W181,Y181,AA181)=0,"",MIN(G181,I181,K181,M181,Q181,S181,W181,Y181,AA181)))</f>
        <v/>
      </c>
      <c r="AE181" s="25">
        <f>IF(ISNUMBER(AD181),AD181-IF(ISNUMBER(AB181),AB181,30),"")</f>
        <v/>
      </c>
      <c r="AF181" s="27">
        <f>IF(AD181="","",IF(ISNUMBER(AD181),AD181-TODAY(),"Check date"))</f>
        <v/>
      </c>
      <c r="AG181" s="28">
        <f>IF(AF181="","",IF(ISNUMBER(AF181),IF(AF181&lt;0,"Expired",IF(AF181&lt;=30,"Due ≤30 days",IF(AF181&lt;=90,"Due ≤90 days","OK"))),"Check date"))</f>
        <v/>
      </c>
      <c r="AH181" s="22" t="n"/>
      <c r="AI181" s="22" t="n"/>
      <c r="AJ181" s="22" t="n"/>
      <c r="AK181" s="22" t="n"/>
    </row>
    <row r="182">
      <c r="A182" s="22" t="n"/>
      <c r="B182" s="22" t="n"/>
      <c r="C182" s="22" t="n"/>
      <c r="D182" s="22" t="n"/>
      <c r="E182" s="22" t="n"/>
      <c r="F182" s="22" t="n"/>
      <c r="G182" s="23" t="n"/>
      <c r="H182" s="22" t="n"/>
      <c r="I182" s="23" t="n"/>
      <c r="J182" s="22" t="n"/>
      <c r="K182" s="23" t="n"/>
      <c r="L182" s="22" t="n"/>
      <c r="M182" s="23" t="n"/>
      <c r="N182" s="22" t="n"/>
      <c r="O182" s="22" t="n"/>
      <c r="P182" s="22" t="n"/>
      <c r="Q182" s="23" t="n"/>
      <c r="R182" s="22" t="n"/>
      <c r="S182" s="23" t="n"/>
      <c r="T182" s="22" t="n"/>
      <c r="U182" s="23" t="n"/>
      <c r="V182" s="24" t="n"/>
      <c r="W182" s="25">
        <f>IF(ISNUMBER(U182),U182+IF(ISNUMBER(V182),V182,120),"")</f>
        <v/>
      </c>
      <c r="X182" s="22" t="n"/>
      <c r="Y182" s="23" t="n"/>
      <c r="Z182" s="22" t="n"/>
      <c r="AA182" s="23" t="n"/>
      <c r="AB182" s="24" t="n"/>
      <c r="AC182" s="26">
        <f>IF(ISNUMBER(AD182)=FALSE,"",IF(G182=AD182,"State license",IF(I182=AD182,"DEA registration",IF(K182=AD182,"State CSR",IF(M182=AD182,"Board certification",IF(Q182=AD182,"Malpractice",IF(S182=AD182,"Life support",IF(W182=AD182,"CAQH re-attestation",IF(Y182=AD182,"Privileges reappointment","Payer recredentialing")))))))))</f>
        <v/>
      </c>
      <c r="AD182" s="25">
        <f>IF(OR(AND(LEN(G182)&gt;0,ISNUMBER(G182)=FALSE),AND(LEN(I182)&gt;0,ISNUMBER(I182)=FALSE),AND(LEN(K182)&gt;0,ISNUMBER(K182)=FALSE),AND(LEN(M182)&gt;0,ISNUMBER(M182)=FALSE),AND(LEN(Q182)&gt;0,ISNUMBER(Q182)=FALSE),AND(LEN(S182)&gt;0,ISNUMBER(S182)=FALSE),AND(LEN(Y182)&gt;0,ISNUMBER(Y182)=FALSE),AND(LEN(AA182)&gt;0,ISNUMBER(AA182)=FALSE),AND(LEN(U182)&gt;0,ISNUMBER(U182)=FALSE)),"Check date",IF(COUNT(G182,I182,K182,M182,Q182,S182,W182,Y182,AA182)=0,"",MIN(G182,I182,K182,M182,Q182,S182,W182,Y182,AA182)))</f>
        <v/>
      </c>
      <c r="AE182" s="25">
        <f>IF(ISNUMBER(AD182),AD182-IF(ISNUMBER(AB182),AB182,30),"")</f>
        <v/>
      </c>
      <c r="AF182" s="27">
        <f>IF(AD182="","",IF(ISNUMBER(AD182),AD182-TODAY(),"Check date"))</f>
        <v/>
      </c>
      <c r="AG182" s="28">
        <f>IF(AF182="","",IF(ISNUMBER(AF182),IF(AF182&lt;0,"Expired",IF(AF182&lt;=30,"Due ≤30 days",IF(AF182&lt;=90,"Due ≤90 days","OK"))),"Check date"))</f>
        <v/>
      </c>
      <c r="AH182" s="22" t="n"/>
      <c r="AI182" s="22" t="n"/>
      <c r="AJ182" s="22" t="n"/>
      <c r="AK182" s="22" t="n"/>
    </row>
    <row r="183">
      <c r="A183" s="22" t="n"/>
      <c r="B183" s="22" t="n"/>
      <c r="C183" s="22" t="n"/>
      <c r="D183" s="22" t="n"/>
      <c r="E183" s="22" t="n"/>
      <c r="F183" s="22" t="n"/>
      <c r="G183" s="23" t="n"/>
      <c r="H183" s="22" t="n"/>
      <c r="I183" s="23" t="n"/>
      <c r="J183" s="22" t="n"/>
      <c r="K183" s="23" t="n"/>
      <c r="L183" s="22" t="n"/>
      <c r="M183" s="23" t="n"/>
      <c r="N183" s="22" t="n"/>
      <c r="O183" s="22" t="n"/>
      <c r="P183" s="22" t="n"/>
      <c r="Q183" s="23" t="n"/>
      <c r="R183" s="22" t="n"/>
      <c r="S183" s="23" t="n"/>
      <c r="T183" s="22" t="n"/>
      <c r="U183" s="23" t="n"/>
      <c r="V183" s="24" t="n"/>
      <c r="W183" s="25">
        <f>IF(ISNUMBER(U183),U183+IF(ISNUMBER(V183),V183,120),"")</f>
        <v/>
      </c>
      <c r="X183" s="22" t="n"/>
      <c r="Y183" s="23" t="n"/>
      <c r="Z183" s="22" t="n"/>
      <c r="AA183" s="23" t="n"/>
      <c r="AB183" s="24" t="n"/>
      <c r="AC183" s="26">
        <f>IF(ISNUMBER(AD183)=FALSE,"",IF(G183=AD183,"State license",IF(I183=AD183,"DEA registration",IF(K183=AD183,"State CSR",IF(M183=AD183,"Board certification",IF(Q183=AD183,"Malpractice",IF(S183=AD183,"Life support",IF(W183=AD183,"CAQH re-attestation",IF(Y183=AD183,"Privileges reappointment","Payer recredentialing")))))))))</f>
        <v/>
      </c>
      <c r="AD183" s="25">
        <f>IF(OR(AND(LEN(G183)&gt;0,ISNUMBER(G183)=FALSE),AND(LEN(I183)&gt;0,ISNUMBER(I183)=FALSE),AND(LEN(K183)&gt;0,ISNUMBER(K183)=FALSE),AND(LEN(M183)&gt;0,ISNUMBER(M183)=FALSE),AND(LEN(Q183)&gt;0,ISNUMBER(Q183)=FALSE),AND(LEN(S183)&gt;0,ISNUMBER(S183)=FALSE),AND(LEN(Y183)&gt;0,ISNUMBER(Y183)=FALSE),AND(LEN(AA183)&gt;0,ISNUMBER(AA183)=FALSE),AND(LEN(U183)&gt;0,ISNUMBER(U183)=FALSE)),"Check date",IF(COUNT(G183,I183,K183,M183,Q183,S183,W183,Y183,AA183)=0,"",MIN(G183,I183,K183,M183,Q183,S183,W183,Y183,AA183)))</f>
        <v/>
      </c>
      <c r="AE183" s="25">
        <f>IF(ISNUMBER(AD183),AD183-IF(ISNUMBER(AB183),AB183,30),"")</f>
        <v/>
      </c>
      <c r="AF183" s="27">
        <f>IF(AD183="","",IF(ISNUMBER(AD183),AD183-TODAY(),"Check date"))</f>
        <v/>
      </c>
      <c r="AG183" s="28">
        <f>IF(AF183="","",IF(ISNUMBER(AF183),IF(AF183&lt;0,"Expired",IF(AF183&lt;=30,"Due ≤30 days",IF(AF183&lt;=90,"Due ≤90 days","OK"))),"Check date"))</f>
        <v/>
      </c>
      <c r="AH183" s="22" t="n"/>
      <c r="AI183" s="22" t="n"/>
      <c r="AJ183" s="22" t="n"/>
      <c r="AK183" s="22" t="n"/>
    </row>
    <row r="184">
      <c r="A184" s="22" t="n"/>
      <c r="B184" s="22" t="n"/>
      <c r="C184" s="22" t="n"/>
      <c r="D184" s="22" t="n"/>
      <c r="E184" s="22" t="n"/>
      <c r="F184" s="22" t="n"/>
      <c r="G184" s="23" t="n"/>
      <c r="H184" s="22" t="n"/>
      <c r="I184" s="23" t="n"/>
      <c r="J184" s="22" t="n"/>
      <c r="K184" s="23" t="n"/>
      <c r="L184" s="22" t="n"/>
      <c r="M184" s="23" t="n"/>
      <c r="N184" s="22" t="n"/>
      <c r="O184" s="22" t="n"/>
      <c r="P184" s="22" t="n"/>
      <c r="Q184" s="23" t="n"/>
      <c r="R184" s="22" t="n"/>
      <c r="S184" s="23" t="n"/>
      <c r="T184" s="22" t="n"/>
      <c r="U184" s="23" t="n"/>
      <c r="V184" s="24" t="n"/>
      <c r="W184" s="25">
        <f>IF(ISNUMBER(U184),U184+IF(ISNUMBER(V184),V184,120),"")</f>
        <v/>
      </c>
      <c r="X184" s="22" t="n"/>
      <c r="Y184" s="23" t="n"/>
      <c r="Z184" s="22" t="n"/>
      <c r="AA184" s="23" t="n"/>
      <c r="AB184" s="24" t="n"/>
      <c r="AC184" s="26">
        <f>IF(ISNUMBER(AD184)=FALSE,"",IF(G184=AD184,"State license",IF(I184=AD184,"DEA registration",IF(K184=AD184,"State CSR",IF(M184=AD184,"Board certification",IF(Q184=AD184,"Malpractice",IF(S184=AD184,"Life support",IF(W184=AD184,"CAQH re-attestation",IF(Y184=AD184,"Privileges reappointment","Payer recredentialing")))))))))</f>
        <v/>
      </c>
      <c r="AD184" s="25">
        <f>IF(OR(AND(LEN(G184)&gt;0,ISNUMBER(G184)=FALSE),AND(LEN(I184)&gt;0,ISNUMBER(I184)=FALSE),AND(LEN(K184)&gt;0,ISNUMBER(K184)=FALSE),AND(LEN(M184)&gt;0,ISNUMBER(M184)=FALSE),AND(LEN(Q184)&gt;0,ISNUMBER(Q184)=FALSE),AND(LEN(S184)&gt;0,ISNUMBER(S184)=FALSE),AND(LEN(Y184)&gt;0,ISNUMBER(Y184)=FALSE),AND(LEN(AA184)&gt;0,ISNUMBER(AA184)=FALSE),AND(LEN(U184)&gt;0,ISNUMBER(U184)=FALSE)),"Check date",IF(COUNT(G184,I184,K184,M184,Q184,S184,W184,Y184,AA184)=0,"",MIN(G184,I184,K184,M184,Q184,S184,W184,Y184,AA184)))</f>
        <v/>
      </c>
      <c r="AE184" s="25">
        <f>IF(ISNUMBER(AD184),AD184-IF(ISNUMBER(AB184),AB184,30),"")</f>
        <v/>
      </c>
      <c r="AF184" s="27">
        <f>IF(AD184="","",IF(ISNUMBER(AD184),AD184-TODAY(),"Check date"))</f>
        <v/>
      </c>
      <c r="AG184" s="28">
        <f>IF(AF184="","",IF(ISNUMBER(AF184),IF(AF184&lt;0,"Expired",IF(AF184&lt;=30,"Due ≤30 days",IF(AF184&lt;=90,"Due ≤90 days","OK"))),"Check date"))</f>
        <v/>
      </c>
      <c r="AH184" s="22" t="n"/>
      <c r="AI184" s="22" t="n"/>
      <c r="AJ184" s="22" t="n"/>
      <c r="AK184" s="22" t="n"/>
    </row>
    <row r="185">
      <c r="A185" s="22" t="n"/>
      <c r="B185" s="22" t="n"/>
      <c r="C185" s="22" t="n"/>
      <c r="D185" s="22" t="n"/>
      <c r="E185" s="22" t="n"/>
      <c r="F185" s="22" t="n"/>
      <c r="G185" s="23" t="n"/>
      <c r="H185" s="22" t="n"/>
      <c r="I185" s="23" t="n"/>
      <c r="J185" s="22" t="n"/>
      <c r="K185" s="23" t="n"/>
      <c r="L185" s="22" t="n"/>
      <c r="M185" s="23" t="n"/>
      <c r="N185" s="22" t="n"/>
      <c r="O185" s="22" t="n"/>
      <c r="P185" s="22" t="n"/>
      <c r="Q185" s="23" t="n"/>
      <c r="R185" s="22" t="n"/>
      <c r="S185" s="23" t="n"/>
      <c r="T185" s="22" t="n"/>
      <c r="U185" s="23" t="n"/>
      <c r="V185" s="24" t="n"/>
      <c r="W185" s="25">
        <f>IF(ISNUMBER(U185),U185+IF(ISNUMBER(V185),V185,120),"")</f>
        <v/>
      </c>
      <c r="X185" s="22" t="n"/>
      <c r="Y185" s="23" t="n"/>
      <c r="Z185" s="22" t="n"/>
      <c r="AA185" s="23" t="n"/>
      <c r="AB185" s="24" t="n"/>
      <c r="AC185" s="26">
        <f>IF(ISNUMBER(AD185)=FALSE,"",IF(G185=AD185,"State license",IF(I185=AD185,"DEA registration",IF(K185=AD185,"State CSR",IF(M185=AD185,"Board certification",IF(Q185=AD185,"Malpractice",IF(S185=AD185,"Life support",IF(W185=AD185,"CAQH re-attestation",IF(Y185=AD185,"Privileges reappointment","Payer recredentialing")))))))))</f>
        <v/>
      </c>
      <c r="AD185" s="25">
        <f>IF(OR(AND(LEN(G185)&gt;0,ISNUMBER(G185)=FALSE),AND(LEN(I185)&gt;0,ISNUMBER(I185)=FALSE),AND(LEN(K185)&gt;0,ISNUMBER(K185)=FALSE),AND(LEN(M185)&gt;0,ISNUMBER(M185)=FALSE),AND(LEN(Q185)&gt;0,ISNUMBER(Q185)=FALSE),AND(LEN(S185)&gt;0,ISNUMBER(S185)=FALSE),AND(LEN(Y185)&gt;0,ISNUMBER(Y185)=FALSE),AND(LEN(AA185)&gt;0,ISNUMBER(AA185)=FALSE),AND(LEN(U185)&gt;0,ISNUMBER(U185)=FALSE)),"Check date",IF(COUNT(G185,I185,K185,M185,Q185,S185,W185,Y185,AA185)=0,"",MIN(G185,I185,K185,M185,Q185,S185,W185,Y185,AA185)))</f>
        <v/>
      </c>
      <c r="AE185" s="25">
        <f>IF(ISNUMBER(AD185),AD185-IF(ISNUMBER(AB185),AB185,30),"")</f>
        <v/>
      </c>
      <c r="AF185" s="27">
        <f>IF(AD185="","",IF(ISNUMBER(AD185),AD185-TODAY(),"Check date"))</f>
        <v/>
      </c>
      <c r="AG185" s="28">
        <f>IF(AF185="","",IF(ISNUMBER(AF185),IF(AF185&lt;0,"Expired",IF(AF185&lt;=30,"Due ≤30 days",IF(AF185&lt;=90,"Due ≤90 days","OK"))),"Check date"))</f>
        <v/>
      </c>
      <c r="AH185" s="22" t="n"/>
      <c r="AI185" s="22" t="n"/>
      <c r="AJ185" s="22" t="n"/>
      <c r="AK185" s="22" t="n"/>
    </row>
    <row r="186">
      <c r="A186" s="22" t="n"/>
      <c r="B186" s="22" t="n"/>
      <c r="C186" s="22" t="n"/>
      <c r="D186" s="22" t="n"/>
      <c r="E186" s="22" t="n"/>
      <c r="F186" s="22" t="n"/>
      <c r="G186" s="23" t="n"/>
      <c r="H186" s="22" t="n"/>
      <c r="I186" s="23" t="n"/>
      <c r="J186" s="22" t="n"/>
      <c r="K186" s="23" t="n"/>
      <c r="L186" s="22" t="n"/>
      <c r="M186" s="23" t="n"/>
      <c r="N186" s="22" t="n"/>
      <c r="O186" s="22" t="n"/>
      <c r="P186" s="22" t="n"/>
      <c r="Q186" s="23" t="n"/>
      <c r="R186" s="22" t="n"/>
      <c r="S186" s="23" t="n"/>
      <c r="T186" s="22" t="n"/>
      <c r="U186" s="23" t="n"/>
      <c r="V186" s="24" t="n"/>
      <c r="W186" s="25">
        <f>IF(ISNUMBER(U186),U186+IF(ISNUMBER(V186),V186,120),"")</f>
        <v/>
      </c>
      <c r="X186" s="22" t="n"/>
      <c r="Y186" s="23" t="n"/>
      <c r="Z186" s="22" t="n"/>
      <c r="AA186" s="23" t="n"/>
      <c r="AB186" s="24" t="n"/>
      <c r="AC186" s="26">
        <f>IF(ISNUMBER(AD186)=FALSE,"",IF(G186=AD186,"State license",IF(I186=AD186,"DEA registration",IF(K186=AD186,"State CSR",IF(M186=AD186,"Board certification",IF(Q186=AD186,"Malpractice",IF(S186=AD186,"Life support",IF(W186=AD186,"CAQH re-attestation",IF(Y186=AD186,"Privileges reappointment","Payer recredentialing")))))))))</f>
        <v/>
      </c>
      <c r="AD186" s="25">
        <f>IF(OR(AND(LEN(G186)&gt;0,ISNUMBER(G186)=FALSE),AND(LEN(I186)&gt;0,ISNUMBER(I186)=FALSE),AND(LEN(K186)&gt;0,ISNUMBER(K186)=FALSE),AND(LEN(M186)&gt;0,ISNUMBER(M186)=FALSE),AND(LEN(Q186)&gt;0,ISNUMBER(Q186)=FALSE),AND(LEN(S186)&gt;0,ISNUMBER(S186)=FALSE),AND(LEN(Y186)&gt;0,ISNUMBER(Y186)=FALSE),AND(LEN(AA186)&gt;0,ISNUMBER(AA186)=FALSE),AND(LEN(U186)&gt;0,ISNUMBER(U186)=FALSE)),"Check date",IF(COUNT(G186,I186,K186,M186,Q186,S186,W186,Y186,AA186)=0,"",MIN(G186,I186,K186,M186,Q186,S186,W186,Y186,AA186)))</f>
        <v/>
      </c>
      <c r="AE186" s="25">
        <f>IF(ISNUMBER(AD186),AD186-IF(ISNUMBER(AB186),AB186,30),"")</f>
        <v/>
      </c>
      <c r="AF186" s="27">
        <f>IF(AD186="","",IF(ISNUMBER(AD186),AD186-TODAY(),"Check date"))</f>
        <v/>
      </c>
      <c r="AG186" s="28">
        <f>IF(AF186="","",IF(ISNUMBER(AF186),IF(AF186&lt;0,"Expired",IF(AF186&lt;=30,"Due ≤30 days",IF(AF186&lt;=90,"Due ≤90 days","OK"))),"Check date"))</f>
        <v/>
      </c>
      <c r="AH186" s="22" t="n"/>
      <c r="AI186" s="22" t="n"/>
      <c r="AJ186" s="22" t="n"/>
      <c r="AK186" s="22" t="n"/>
    </row>
    <row r="187">
      <c r="A187" s="22" t="n"/>
      <c r="B187" s="22" t="n"/>
      <c r="C187" s="22" t="n"/>
      <c r="D187" s="22" t="n"/>
      <c r="E187" s="22" t="n"/>
      <c r="F187" s="22" t="n"/>
      <c r="G187" s="23" t="n"/>
      <c r="H187" s="22" t="n"/>
      <c r="I187" s="23" t="n"/>
      <c r="J187" s="22" t="n"/>
      <c r="K187" s="23" t="n"/>
      <c r="L187" s="22" t="n"/>
      <c r="M187" s="23" t="n"/>
      <c r="N187" s="22" t="n"/>
      <c r="O187" s="22" t="n"/>
      <c r="P187" s="22" t="n"/>
      <c r="Q187" s="23" t="n"/>
      <c r="R187" s="22" t="n"/>
      <c r="S187" s="23" t="n"/>
      <c r="T187" s="22" t="n"/>
      <c r="U187" s="23" t="n"/>
      <c r="V187" s="24" t="n"/>
      <c r="W187" s="25">
        <f>IF(ISNUMBER(U187),U187+IF(ISNUMBER(V187),V187,120),"")</f>
        <v/>
      </c>
      <c r="X187" s="22" t="n"/>
      <c r="Y187" s="23" t="n"/>
      <c r="Z187" s="22" t="n"/>
      <c r="AA187" s="23" t="n"/>
      <c r="AB187" s="24" t="n"/>
      <c r="AC187" s="26">
        <f>IF(ISNUMBER(AD187)=FALSE,"",IF(G187=AD187,"State license",IF(I187=AD187,"DEA registration",IF(K187=AD187,"State CSR",IF(M187=AD187,"Board certification",IF(Q187=AD187,"Malpractice",IF(S187=AD187,"Life support",IF(W187=AD187,"CAQH re-attestation",IF(Y187=AD187,"Privileges reappointment","Payer recredentialing")))))))))</f>
        <v/>
      </c>
      <c r="AD187" s="25">
        <f>IF(OR(AND(LEN(G187)&gt;0,ISNUMBER(G187)=FALSE),AND(LEN(I187)&gt;0,ISNUMBER(I187)=FALSE),AND(LEN(K187)&gt;0,ISNUMBER(K187)=FALSE),AND(LEN(M187)&gt;0,ISNUMBER(M187)=FALSE),AND(LEN(Q187)&gt;0,ISNUMBER(Q187)=FALSE),AND(LEN(S187)&gt;0,ISNUMBER(S187)=FALSE),AND(LEN(Y187)&gt;0,ISNUMBER(Y187)=FALSE),AND(LEN(AA187)&gt;0,ISNUMBER(AA187)=FALSE),AND(LEN(U187)&gt;0,ISNUMBER(U187)=FALSE)),"Check date",IF(COUNT(G187,I187,K187,M187,Q187,S187,W187,Y187,AA187)=0,"",MIN(G187,I187,K187,M187,Q187,S187,W187,Y187,AA187)))</f>
        <v/>
      </c>
      <c r="AE187" s="25">
        <f>IF(ISNUMBER(AD187),AD187-IF(ISNUMBER(AB187),AB187,30),"")</f>
        <v/>
      </c>
      <c r="AF187" s="27">
        <f>IF(AD187="","",IF(ISNUMBER(AD187),AD187-TODAY(),"Check date"))</f>
        <v/>
      </c>
      <c r="AG187" s="28">
        <f>IF(AF187="","",IF(ISNUMBER(AF187),IF(AF187&lt;0,"Expired",IF(AF187&lt;=30,"Due ≤30 days",IF(AF187&lt;=90,"Due ≤90 days","OK"))),"Check date"))</f>
        <v/>
      </c>
      <c r="AH187" s="22" t="n"/>
      <c r="AI187" s="22" t="n"/>
      <c r="AJ187" s="22" t="n"/>
      <c r="AK187" s="22" t="n"/>
    </row>
    <row r="188">
      <c r="A188" s="22" t="n"/>
      <c r="B188" s="22" t="n"/>
      <c r="C188" s="22" t="n"/>
      <c r="D188" s="22" t="n"/>
      <c r="E188" s="22" t="n"/>
      <c r="F188" s="22" t="n"/>
      <c r="G188" s="23" t="n"/>
      <c r="H188" s="22" t="n"/>
      <c r="I188" s="23" t="n"/>
      <c r="J188" s="22" t="n"/>
      <c r="K188" s="23" t="n"/>
      <c r="L188" s="22" t="n"/>
      <c r="M188" s="23" t="n"/>
      <c r="N188" s="22" t="n"/>
      <c r="O188" s="22" t="n"/>
      <c r="P188" s="22" t="n"/>
      <c r="Q188" s="23" t="n"/>
      <c r="R188" s="22" t="n"/>
      <c r="S188" s="23" t="n"/>
      <c r="T188" s="22" t="n"/>
      <c r="U188" s="23" t="n"/>
      <c r="V188" s="24" t="n"/>
      <c r="W188" s="25">
        <f>IF(ISNUMBER(U188),U188+IF(ISNUMBER(V188),V188,120),"")</f>
        <v/>
      </c>
      <c r="X188" s="22" t="n"/>
      <c r="Y188" s="23" t="n"/>
      <c r="Z188" s="22" t="n"/>
      <c r="AA188" s="23" t="n"/>
      <c r="AB188" s="24" t="n"/>
      <c r="AC188" s="26">
        <f>IF(ISNUMBER(AD188)=FALSE,"",IF(G188=AD188,"State license",IF(I188=AD188,"DEA registration",IF(K188=AD188,"State CSR",IF(M188=AD188,"Board certification",IF(Q188=AD188,"Malpractice",IF(S188=AD188,"Life support",IF(W188=AD188,"CAQH re-attestation",IF(Y188=AD188,"Privileges reappointment","Payer recredentialing")))))))))</f>
        <v/>
      </c>
      <c r="AD188" s="25">
        <f>IF(OR(AND(LEN(G188)&gt;0,ISNUMBER(G188)=FALSE),AND(LEN(I188)&gt;0,ISNUMBER(I188)=FALSE),AND(LEN(K188)&gt;0,ISNUMBER(K188)=FALSE),AND(LEN(M188)&gt;0,ISNUMBER(M188)=FALSE),AND(LEN(Q188)&gt;0,ISNUMBER(Q188)=FALSE),AND(LEN(S188)&gt;0,ISNUMBER(S188)=FALSE),AND(LEN(Y188)&gt;0,ISNUMBER(Y188)=FALSE),AND(LEN(AA188)&gt;0,ISNUMBER(AA188)=FALSE),AND(LEN(U188)&gt;0,ISNUMBER(U188)=FALSE)),"Check date",IF(COUNT(G188,I188,K188,M188,Q188,S188,W188,Y188,AA188)=0,"",MIN(G188,I188,K188,M188,Q188,S188,W188,Y188,AA188)))</f>
        <v/>
      </c>
      <c r="AE188" s="25">
        <f>IF(ISNUMBER(AD188),AD188-IF(ISNUMBER(AB188),AB188,30),"")</f>
        <v/>
      </c>
      <c r="AF188" s="27">
        <f>IF(AD188="","",IF(ISNUMBER(AD188),AD188-TODAY(),"Check date"))</f>
        <v/>
      </c>
      <c r="AG188" s="28">
        <f>IF(AF188="","",IF(ISNUMBER(AF188),IF(AF188&lt;0,"Expired",IF(AF188&lt;=30,"Due ≤30 days",IF(AF188&lt;=90,"Due ≤90 days","OK"))),"Check date"))</f>
        <v/>
      </c>
      <c r="AH188" s="22" t="n"/>
      <c r="AI188" s="22" t="n"/>
      <c r="AJ188" s="22" t="n"/>
      <c r="AK188" s="22" t="n"/>
    </row>
    <row r="189">
      <c r="A189" s="22" t="n"/>
      <c r="B189" s="22" t="n"/>
      <c r="C189" s="22" t="n"/>
      <c r="D189" s="22" t="n"/>
      <c r="E189" s="22" t="n"/>
      <c r="F189" s="22" t="n"/>
      <c r="G189" s="23" t="n"/>
      <c r="H189" s="22" t="n"/>
      <c r="I189" s="23" t="n"/>
      <c r="J189" s="22" t="n"/>
      <c r="K189" s="23" t="n"/>
      <c r="L189" s="22" t="n"/>
      <c r="M189" s="23" t="n"/>
      <c r="N189" s="22" t="n"/>
      <c r="O189" s="22" t="n"/>
      <c r="P189" s="22" t="n"/>
      <c r="Q189" s="23" t="n"/>
      <c r="R189" s="22" t="n"/>
      <c r="S189" s="23" t="n"/>
      <c r="T189" s="22" t="n"/>
      <c r="U189" s="23" t="n"/>
      <c r="V189" s="24" t="n"/>
      <c r="W189" s="25">
        <f>IF(ISNUMBER(U189),U189+IF(ISNUMBER(V189),V189,120),"")</f>
        <v/>
      </c>
      <c r="X189" s="22" t="n"/>
      <c r="Y189" s="23" t="n"/>
      <c r="Z189" s="22" t="n"/>
      <c r="AA189" s="23" t="n"/>
      <c r="AB189" s="24" t="n"/>
      <c r="AC189" s="26">
        <f>IF(ISNUMBER(AD189)=FALSE,"",IF(G189=AD189,"State license",IF(I189=AD189,"DEA registration",IF(K189=AD189,"State CSR",IF(M189=AD189,"Board certification",IF(Q189=AD189,"Malpractice",IF(S189=AD189,"Life support",IF(W189=AD189,"CAQH re-attestation",IF(Y189=AD189,"Privileges reappointment","Payer recredentialing")))))))))</f>
        <v/>
      </c>
      <c r="AD189" s="25">
        <f>IF(OR(AND(LEN(G189)&gt;0,ISNUMBER(G189)=FALSE),AND(LEN(I189)&gt;0,ISNUMBER(I189)=FALSE),AND(LEN(K189)&gt;0,ISNUMBER(K189)=FALSE),AND(LEN(M189)&gt;0,ISNUMBER(M189)=FALSE),AND(LEN(Q189)&gt;0,ISNUMBER(Q189)=FALSE),AND(LEN(S189)&gt;0,ISNUMBER(S189)=FALSE),AND(LEN(Y189)&gt;0,ISNUMBER(Y189)=FALSE),AND(LEN(AA189)&gt;0,ISNUMBER(AA189)=FALSE),AND(LEN(U189)&gt;0,ISNUMBER(U189)=FALSE)),"Check date",IF(COUNT(G189,I189,K189,M189,Q189,S189,W189,Y189,AA189)=0,"",MIN(G189,I189,K189,M189,Q189,S189,W189,Y189,AA189)))</f>
        <v/>
      </c>
      <c r="AE189" s="25">
        <f>IF(ISNUMBER(AD189),AD189-IF(ISNUMBER(AB189),AB189,30),"")</f>
        <v/>
      </c>
      <c r="AF189" s="27">
        <f>IF(AD189="","",IF(ISNUMBER(AD189),AD189-TODAY(),"Check date"))</f>
        <v/>
      </c>
      <c r="AG189" s="28">
        <f>IF(AF189="","",IF(ISNUMBER(AF189),IF(AF189&lt;0,"Expired",IF(AF189&lt;=30,"Due ≤30 days",IF(AF189&lt;=90,"Due ≤90 days","OK"))),"Check date"))</f>
        <v/>
      </c>
      <c r="AH189" s="22" t="n"/>
      <c r="AI189" s="22" t="n"/>
      <c r="AJ189" s="22" t="n"/>
      <c r="AK189" s="22" t="n"/>
    </row>
    <row r="190">
      <c r="A190" s="22" t="n"/>
      <c r="B190" s="22" t="n"/>
      <c r="C190" s="22" t="n"/>
      <c r="D190" s="22" t="n"/>
      <c r="E190" s="22" t="n"/>
      <c r="F190" s="22" t="n"/>
      <c r="G190" s="23" t="n"/>
      <c r="H190" s="22" t="n"/>
      <c r="I190" s="23" t="n"/>
      <c r="J190" s="22" t="n"/>
      <c r="K190" s="23" t="n"/>
      <c r="L190" s="22" t="n"/>
      <c r="M190" s="23" t="n"/>
      <c r="N190" s="22" t="n"/>
      <c r="O190" s="22" t="n"/>
      <c r="P190" s="22" t="n"/>
      <c r="Q190" s="23" t="n"/>
      <c r="R190" s="22" t="n"/>
      <c r="S190" s="23" t="n"/>
      <c r="T190" s="22" t="n"/>
      <c r="U190" s="23" t="n"/>
      <c r="V190" s="24" t="n"/>
      <c r="W190" s="25">
        <f>IF(ISNUMBER(U190),U190+IF(ISNUMBER(V190),V190,120),"")</f>
        <v/>
      </c>
      <c r="X190" s="22" t="n"/>
      <c r="Y190" s="23" t="n"/>
      <c r="Z190" s="22" t="n"/>
      <c r="AA190" s="23" t="n"/>
      <c r="AB190" s="24" t="n"/>
      <c r="AC190" s="26">
        <f>IF(ISNUMBER(AD190)=FALSE,"",IF(G190=AD190,"State license",IF(I190=AD190,"DEA registration",IF(K190=AD190,"State CSR",IF(M190=AD190,"Board certification",IF(Q190=AD190,"Malpractice",IF(S190=AD190,"Life support",IF(W190=AD190,"CAQH re-attestation",IF(Y190=AD190,"Privileges reappointment","Payer recredentialing")))))))))</f>
        <v/>
      </c>
      <c r="AD190" s="25">
        <f>IF(OR(AND(LEN(G190)&gt;0,ISNUMBER(G190)=FALSE),AND(LEN(I190)&gt;0,ISNUMBER(I190)=FALSE),AND(LEN(K190)&gt;0,ISNUMBER(K190)=FALSE),AND(LEN(M190)&gt;0,ISNUMBER(M190)=FALSE),AND(LEN(Q190)&gt;0,ISNUMBER(Q190)=FALSE),AND(LEN(S190)&gt;0,ISNUMBER(S190)=FALSE),AND(LEN(Y190)&gt;0,ISNUMBER(Y190)=FALSE),AND(LEN(AA190)&gt;0,ISNUMBER(AA190)=FALSE),AND(LEN(U190)&gt;0,ISNUMBER(U190)=FALSE)),"Check date",IF(COUNT(G190,I190,K190,M190,Q190,S190,W190,Y190,AA190)=0,"",MIN(G190,I190,K190,M190,Q190,S190,W190,Y190,AA190)))</f>
        <v/>
      </c>
      <c r="AE190" s="25">
        <f>IF(ISNUMBER(AD190),AD190-IF(ISNUMBER(AB190),AB190,30),"")</f>
        <v/>
      </c>
      <c r="AF190" s="27">
        <f>IF(AD190="","",IF(ISNUMBER(AD190),AD190-TODAY(),"Check date"))</f>
        <v/>
      </c>
      <c r="AG190" s="28">
        <f>IF(AF190="","",IF(ISNUMBER(AF190),IF(AF190&lt;0,"Expired",IF(AF190&lt;=30,"Due ≤30 days",IF(AF190&lt;=90,"Due ≤90 days","OK"))),"Check date"))</f>
        <v/>
      </c>
      <c r="AH190" s="22" t="n"/>
      <c r="AI190" s="22" t="n"/>
      <c r="AJ190" s="22" t="n"/>
      <c r="AK190" s="22" t="n"/>
    </row>
    <row r="191">
      <c r="A191" s="22" t="n"/>
      <c r="B191" s="22" t="n"/>
      <c r="C191" s="22" t="n"/>
      <c r="D191" s="22" t="n"/>
      <c r="E191" s="22" t="n"/>
      <c r="F191" s="22" t="n"/>
      <c r="G191" s="23" t="n"/>
      <c r="H191" s="22" t="n"/>
      <c r="I191" s="23" t="n"/>
      <c r="J191" s="22" t="n"/>
      <c r="K191" s="23" t="n"/>
      <c r="L191" s="22" t="n"/>
      <c r="M191" s="23" t="n"/>
      <c r="N191" s="22" t="n"/>
      <c r="O191" s="22" t="n"/>
      <c r="P191" s="22" t="n"/>
      <c r="Q191" s="23" t="n"/>
      <c r="R191" s="22" t="n"/>
      <c r="S191" s="23" t="n"/>
      <c r="T191" s="22" t="n"/>
      <c r="U191" s="23" t="n"/>
      <c r="V191" s="24" t="n"/>
      <c r="W191" s="25">
        <f>IF(ISNUMBER(U191),U191+IF(ISNUMBER(V191),V191,120),"")</f>
        <v/>
      </c>
      <c r="X191" s="22" t="n"/>
      <c r="Y191" s="23" t="n"/>
      <c r="Z191" s="22" t="n"/>
      <c r="AA191" s="23" t="n"/>
      <c r="AB191" s="24" t="n"/>
      <c r="AC191" s="26">
        <f>IF(ISNUMBER(AD191)=FALSE,"",IF(G191=AD191,"State license",IF(I191=AD191,"DEA registration",IF(K191=AD191,"State CSR",IF(M191=AD191,"Board certification",IF(Q191=AD191,"Malpractice",IF(S191=AD191,"Life support",IF(W191=AD191,"CAQH re-attestation",IF(Y191=AD191,"Privileges reappointment","Payer recredentialing")))))))))</f>
        <v/>
      </c>
      <c r="AD191" s="25">
        <f>IF(OR(AND(LEN(G191)&gt;0,ISNUMBER(G191)=FALSE),AND(LEN(I191)&gt;0,ISNUMBER(I191)=FALSE),AND(LEN(K191)&gt;0,ISNUMBER(K191)=FALSE),AND(LEN(M191)&gt;0,ISNUMBER(M191)=FALSE),AND(LEN(Q191)&gt;0,ISNUMBER(Q191)=FALSE),AND(LEN(S191)&gt;0,ISNUMBER(S191)=FALSE),AND(LEN(Y191)&gt;0,ISNUMBER(Y191)=FALSE),AND(LEN(AA191)&gt;0,ISNUMBER(AA191)=FALSE),AND(LEN(U191)&gt;0,ISNUMBER(U191)=FALSE)),"Check date",IF(COUNT(G191,I191,K191,M191,Q191,S191,W191,Y191,AA191)=0,"",MIN(G191,I191,K191,M191,Q191,S191,W191,Y191,AA191)))</f>
        <v/>
      </c>
      <c r="AE191" s="25">
        <f>IF(ISNUMBER(AD191),AD191-IF(ISNUMBER(AB191),AB191,30),"")</f>
        <v/>
      </c>
      <c r="AF191" s="27">
        <f>IF(AD191="","",IF(ISNUMBER(AD191),AD191-TODAY(),"Check date"))</f>
        <v/>
      </c>
      <c r="AG191" s="28">
        <f>IF(AF191="","",IF(ISNUMBER(AF191),IF(AF191&lt;0,"Expired",IF(AF191&lt;=30,"Due ≤30 days",IF(AF191&lt;=90,"Due ≤90 days","OK"))),"Check date"))</f>
        <v/>
      </c>
      <c r="AH191" s="22" t="n"/>
      <c r="AI191" s="22" t="n"/>
      <c r="AJ191" s="22" t="n"/>
      <c r="AK191" s="22" t="n"/>
    </row>
    <row r="192">
      <c r="A192" s="22" t="n"/>
      <c r="B192" s="22" t="n"/>
      <c r="C192" s="22" t="n"/>
      <c r="D192" s="22" t="n"/>
      <c r="E192" s="22" t="n"/>
      <c r="F192" s="22" t="n"/>
      <c r="G192" s="23" t="n"/>
      <c r="H192" s="22" t="n"/>
      <c r="I192" s="23" t="n"/>
      <c r="J192" s="22" t="n"/>
      <c r="K192" s="23" t="n"/>
      <c r="L192" s="22" t="n"/>
      <c r="M192" s="23" t="n"/>
      <c r="N192" s="22" t="n"/>
      <c r="O192" s="22" t="n"/>
      <c r="P192" s="22" t="n"/>
      <c r="Q192" s="23" t="n"/>
      <c r="R192" s="22" t="n"/>
      <c r="S192" s="23" t="n"/>
      <c r="T192" s="22" t="n"/>
      <c r="U192" s="23" t="n"/>
      <c r="V192" s="24" t="n"/>
      <c r="W192" s="25">
        <f>IF(ISNUMBER(U192),U192+IF(ISNUMBER(V192),V192,120),"")</f>
        <v/>
      </c>
      <c r="X192" s="22" t="n"/>
      <c r="Y192" s="23" t="n"/>
      <c r="Z192" s="22" t="n"/>
      <c r="AA192" s="23" t="n"/>
      <c r="AB192" s="24" t="n"/>
      <c r="AC192" s="26">
        <f>IF(ISNUMBER(AD192)=FALSE,"",IF(G192=AD192,"State license",IF(I192=AD192,"DEA registration",IF(K192=AD192,"State CSR",IF(M192=AD192,"Board certification",IF(Q192=AD192,"Malpractice",IF(S192=AD192,"Life support",IF(W192=AD192,"CAQH re-attestation",IF(Y192=AD192,"Privileges reappointment","Payer recredentialing")))))))))</f>
        <v/>
      </c>
      <c r="AD192" s="25">
        <f>IF(OR(AND(LEN(G192)&gt;0,ISNUMBER(G192)=FALSE),AND(LEN(I192)&gt;0,ISNUMBER(I192)=FALSE),AND(LEN(K192)&gt;0,ISNUMBER(K192)=FALSE),AND(LEN(M192)&gt;0,ISNUMBER(M192)=FALSE),AND(LEN(Q192)&gt;0,ISNUMBER(Q192)=FALSE),AND(LEN(S192)&gt;0,ISNUMBER(S192)=FALSE),AND(LEN(Y192)&gt;0,ISNUMBER(Y192)=FALSE),AND(LEN(AA192)&gt;0,ISNUMBER(AA192)=FALSE),AND(LEN(U192)&gt;0,ISNUMBER(U192)=FALSE)),"Check date",IF(COUNT(G192,I192,K192,M192,Q192,S192,W192,Y192,AA192)=0,"",MIN(G192,I192,K192,M192,Q192,S192,W192,Y192,AA192)))</f>
        <v/>
      </c>
      <c r="AE192" s="25">
        <f>IF(ISNUMBER(AD192),AD192-IF(ISNUMBER(AB192),AB192,30),"")</f>
        <v/>
      </c>
      <c r="AF192" s="27">
        <f>IF(AD192="","",IF(ISNUMBER(AD192),AD192-TODAY(),"Check date"))</f>
        <v/>
      </c>
      <c r="AG192" s="28">
        <f>IF(AF192="","",IF(ISNUMBER(AF192),IF(AF192&lt;0,"Expired",IF(AF192&lt;=30,"Due ≤30 days",IF(AF192&lt;=90,"Due ≤90 days","OK"))),"Check date"))</f>
        <v/>
      </c>
      <c r="AH192" s="22" t="n"/>
      <c r="AI192" s="22" t="n"/>
      <c r="AJ192" s="22" t="n"/>
      <c r="AK192" s="22" t="n"/>
    </row>
    <row r="193">
      <c r="A193" s="22" t="n"/>
      <c r="B193" s="22" t="n"/>
      <c r="C193" s="22" t="n"/>
      <c r="D193" s="22" t="n"/>
      <c r="E193" s="22" t="n"/>
      <c r="F193" s="22" t="n"/>
      <c r="G193" s="23" t="n"/>
      <c r="H193" s="22" t="n"/>
      <c r="I193" s="23" t="n"/>
      <c r="J193" s="22" t="n"/>
      <c r="K193" s="23" t="n"/>
      <c r="L193" s="22" t="n"/>
      <c r="M193" s="23" t="n"/>
      <c r="N193" s="22" t="n"/>
      <c r="O193" s="22" t="n"/>
      <c r="P193" s="22" t="n"/>
      <c r="Q193" s="23" t="n"/>
      <c r="R193" s="22" t="n"/>
      <c r="S193" s="23" t="n"/>
      <c r="T193" s="22" t="n"/>
      <c r="U193" s="23" t="n"/>
      <c r="V193" s="24" t="n"/>
      <c r="W193" s="25">
        <f>IF(ISNUMBER(U193),U193+IF(ISNUMBER(V193),V193,120),"")</f>
        <v/>
      </c>
      <c r="X193" s="22" t="n"/>
      <c r="Y193" s="23" t="n"/>
      <c r="Z193" s="22" t="n"/>
      <c r="AA193" s="23" t="n"/>
      <c r="AB193" s="24" t="n"/>
      <c r="AC193" s="26">
        <f>IF(ISNUMBER(AD193)=FALSE,"",IF(G193=AD193,"State license",IF(I193=AD193,"DEA registration",IF(K193=AD193,"State CSR",IF(M193=AD193,"Board certification",IF(Q193=AD193,"Malpractice",IF(S193=AD193,"Life support",IF(W193=AD193,"CAQH re-attestation",IF(Y193=AD193,"Privileges reappointment","Payer recredentialing")))))))))</f>
        <v/>
      </c>
      <c r="AD193" s="25">
        <f>IF(OR(AND(LEN(G193)&gt;0,ISNUMBER(G193)=FALSE),AND(LEN(I193)&gt;0,ISNUMBER(I193)=FALSE),AND(LEN(K193)&gt;0,ISNUMBER(K193)=FALSE),AND(LEN(M193)&gt;0,ISNUMBER(M193)=FALSE),AND(LEN(Q193)&gt;0,ISNUMBER(Q193)=FALSE),AND(LEN(S193)&gt;0,ISNUMBER(S193)=FALSE),AND(LEN(Y193)&gt;0,ISNUMBER(Y193)=FALSE),AND(LEN(AA193)&gt;0,ISNUMBER(AA193)=FALSE),AND(LEN(U193)&gt;0,ISNUMBER(U193)=FALSE)),"Check date",IF(COUNT(G193,I193,K193,M193,Q193,S193,W193,Y193,AA193)=0,"",MIN(G193,I193,K193,M193,Q193,S193,W193,Y193,AA193)))</f>
        <v/>
      </c>
      <c r="AE193" s="25">
        <f>IF(ISNUMBER(AD193),AD193-IF(ISNUMBER(AB193),AB193,30),"")</f>
        <v/>
      </c>
      <c r="AF193" s="27">
        <f>IF(AD193="","",IF(ISNUMBER(AD193),AD193-TODAY(),"Check date"))</f>
        <v/>
      </c>
      <c r="AG193" s="28">
        <f>IF(AF193="","",IF(ISNUMBER(AF193),IF(AF193&lt;0,"Expired",IF(AF193&lt;=30,"Due ≤30 days",IF(AF193&lt;=90,"Due ≤90 days","OK"))),"Check date"))</f>
        <v/>
      </c>
      <c r="AH193" s="22" t="n"/>
      <c r="AI193" s="22" t="n"/>
      <c r="AJ193" s="22" t="n"/>
      <c r="AK193" s="22" t="n"/>
    </row>
    <row r="194">
      <c r="A194" s="22" t="n"/>
      <c r="B194" s="22" t="n"/>
      <c r="C194" s="22" t="n"/>
      <c r="D194" s="22" t="n"/>
      <c r="E194" s="22" t="n"/>
      <c r="F194" s="22" t="n"/>
      <c r="G194" s="23" t="n"/>
      <c r="H194" s="22" t="n"/>
      <c r="I194" s="23" t="n"/>
      <c r="J194" s="22" t="n"/>
      <c r="K194" s="23" t="n"/>
      <c r="L194" s="22" t="n"/>
      <c r="M194" s="23" t="n"/>
      <c r="N194" s="22" t="n"/>
      <c r="O194" s="22" t="n"/>
      <c r="P194" s="22" t="n"/>
      <c r="Q194" s="23" t="n"/>
      <c r="R194" s="22" t="n"/>
      <c r="S194" s="23" t="n"/>
      <c r="T194" s="22" t="n"/>
      <c r="U194" s="23" t="n"/>
      <c r="V194" s="24" t="n"/>
      <c r="W194" s="25">
        <f>IF(ISNUMBER(U194),U194+IF(ISNUMBER(V194),V194,120),"")</f>
        <v/>
      </c>
      <c r="X194" s="22" t="n"/>
      <c r="Y194" s="23" t="n"/>
      <c r="Z194" s="22" t="n"/>
      <c r="AA194" s="23" t="n"/>
      <c r="AB194" s="24" t="n"/>
      <c r="AC194" s="26">
        <f>IF(ISNUMBER(AD194)=FALSE,"",IF(G194=AD194,"State license",IF(I194=AD194,"DEA registration",IF(K194=AD194,"State CSR",IF(M194=AD194,"Board certification",IF(Q194=AD194,"Malpractice",IF(S194=AD194,"Life support",IF(W194=AD194,"CAQH re-attestation",IF(Y194=AD194,"Privileges reappointment","Payer recredentialing")))))))))</f>
        <v/>
      </c>
      <c r="AD194" s="25">
        <f>IF(OR(AND(LEN(G194)&gt;0,ISNUMBER(G194)=FALSE),AND(LEN(I194)&gt;0,ISNUMBER(I194)=FALSE),AND(LEN(K194)&gt;0,ISNUMBER(K194)=FALSE),AND(LEN(M194)&gt;0,ISNUMBER(M194)=FALSE),AND(LEN(Q194)&gt;0,ISNUMBER(Q194)=FALSE),AND(LEN(S194)&gt;0,ISNUMBER(S194)=FALSE),AND(LEN(Y194)&gt;0,ISNUMBER(Y194)=FALSE),AND(LEN(AA194)&gt;0,ISNUMBER(AA194)=FALSE),AND(LEN(U194)&gt;0,ISNUMBER(U194)=FALSE)),"Check date",IF(COUNT(G194,I194,K194,M194,Q194,S194,W194,Y194,AA194)=0,"",MIN(G194,I194,K194,M194,Q194,S194,W194,Y194,AA194)))</f>
        <v/>
      </c>
      <c r="AE194" s="25">
        <f>IF(ISNUMBER(AD194),AD194-IF(ISNUMBER(AB194),AB194,30),"")</f>
        <v/>
      </c>
      <c r="AF194" s="27">
        <f>IF(AD194="","",IF(ISNUMBER(AD194),AD194-TODAY(),"Check date"))</f>
        <v/>
      </c>
      <c r="AG194" s="28">
        <f>IF(AF194="","",IF(ISNUMBER(AF194),IF(AF194&lt;0,"Expired",IF(AF194&lt;=30,"Due ≤30 days",IF(AF194&lt;=90,"Due ≤90 days","OK"))),"Check date"))</f>
        <v/>
      </c>
      <c r="AH194" s="22" t="n"/>
      <c r="AI194" s="22" t="n"/>
      <c r="AJ194" s="22" t="n"/>
      <c r="AK194" s="22" t="n"/>
    </row>
    <row r="195">
      <c r="A195" s="22" t="n"/>
      <c r="B195" s="22" t="n"/>
      <c r="C195" s="22" t="n"/>
      <c r="D195" s="22" t="n"/>
      <c r="E195" s="22" t="n"/>
      <c r="F195" s="22" t="n"/>
      <c r="G195" s="23" t="n"/>
      <c r="H195" s="22" t="n"/>
      <c r="I195" s="23" t="n"/>
      <c r="J195" s="22" t="n"/>
      <c r="K195" s="23" t="n"/>
      <c r="L195" s="22" t="n"/>
      <c r="M195" s="23" t="n"/>
      <c r="N195" s="22" t="n"/>
      <c r="O195" s="22" t="n"/>
      <c r="P195" s="22" t="n"/>
      <c r="Q195" s="23" t="n"/>
      <c r="R195" s="22" t="n"/>
      <c r="S195" s="23" t="n"/>
      <c r="T195" s="22" t="n"/>
      <c r="U195" s="23" t="n"/>
      <c r="V195" s="24" t="n"/>
      <c r="W195" s="25">
        <f>IF(ISNUMBER(U195),U195+IF(ISNUMBER(V195),V195,120),"")</f>
        <v/>
      </c>
      <c r="X195" s="22" t="n"/>
      <c r="Y195" s="23" t="n"/>
      <c r="Z195" s="22" t="n"/>
      <c r="AA195" s="23" t="n"/>
      <c r="AB195" s="24" t="n"/>
      <c r="AC195" s="26">
        <f>IF(ISNUMBER(AD195)=FALSE,"",IF(G195=AD195,"State license",IF(I195=AD195,"DEA registration",IF(K195=AD195,"State CSR",IF(M195=AD195,"Board certification",IF(Q195=AD195,"Malpractice",IF(S195=AD195,"Life support",IF(W195=AD195,"CAQH re-attestation",IF(Y195=AD195,"Privileges reappointment","Payer recredentialing")))))))))</f>
        <v/>
      </c>
      <c r="AD195" s="25">
        <f>IF(OR(AND(LEN(G195)&gt;0,ISNUMBER(G195)=FALSE),AND(LEN(I195)&gt;0,ISNUMBER(I195)=FALSE),AND(LEN(K195)&gt;0,ISNUMBER(K195)=FALSE),AND(LEN(M195)&gt;0,ISNUMBER(M195)=FALSE),AND(LEN(Q195)&gt;0,ISNUMBER(Q195)=FALSE),AND(LEN(S195)&gt;0,ISNUMBER(S195)=FALSE),AND(LEN(Y195)&gt;0,ISNUMBER(Y195)=FALSE),AND(LEN(AA195)&gt;0,ISNUMBER(AA195)=FALSE),AND(LEN(U195)&gt;0,ISNUMBER(U195)=FALSE)),"Check date",IF(COUNT(G195,I195,K195,M195,Q195,S195,W195,Y195,AA195)=0,"",MIN(G195,I195,K195,M195,Q195,S195,W195,Y195,AA195)))</f>
        <v/>
      </c>
      <c r="AE195" s="25">
        <f>IF(ISNUMBER(AD195),AD195-IF(ISNUMBER(AB195),AB195,30),"")</f>
        <v/>
      </c>
      <c r="AF195" s="27">
        <f>IF(AD195="","",IF(ISNUMBER(AD195),AD195-TODAY(),"Check date"))</f>
        <v/>
      </c>
      <c r="AG195" s="28">
        <f>IF(AF195="","",IF(ISNUMBER(AF195),IF(AF195&lt;0,"Expired",IF(AF195&lt;=30,"Due ≤30 days",IF(AF195&lt;=90,"Due ≤90 days","OK"))),"Check date"))</f>
        <v/>
      </c>
      <c r="AH195" s="22" t="n"/>
      <c r="AI195" s="22" t="n"/>
      <c r="AJ195" s="22" t="n"/>
      <c r="AK195" s="22" t="n"/>
    </row>
    <row r="196">
      <c r="A196" s="22" t="n"/>
      <c r="B196" s="22" t="n"/>
      <c r="C196" s="22" t="n"/>
      <c r="D196" s="22" t="n"/>
      <c r="E196" s="22" t="n"/>
      <c r="F196" s="22" t="n"/>
      <c r="G196" s="23" t="n"/>
      <c r="H196" s="22" t="n"/>
      <c r="I196" s="23" t="n"/>
      <c r="J196" s="22" t="n"/>
      <c r="K196" s="23" t="n"/>
      <c r="L196" s="22" t="n"/>
      <c r="M196" s="23" t="n"/>
      <c r="N196" s="22" t="n"/>
      <c r="O196" s="22" t="n"/>
      <c r="P196" s="22" t="n"/>
      <c r="Q196" s="23" t="n"/>
      <c r="R196" s="22" t="n"/>
      <c r="S196" s="23" t="n"/>
      <c r="T196" s="22" t="n"/>
      <c r="U196" s="23" t="n"/>
      <c r="V196" s="24" t="n"/>
      <c r="W196" s="25">
        <f>IF(ISNUMBER(U196),U196+IF(ISNUMBER(V196),V196,120),"")</f>
        <v/>
      </c>
      <c r="X196" s="22" t="n"/>
      <c r="Y196" s="23" t="n"/>
      <c r="Z196" s="22" t="n"/>
      <c r="AA196" s="23" t="n"/>
      <c r="AB196" s="24" t="n"/>
      <c r="AC196" s="26">
        <f>IF(ISNUMBER(AD196)=FALSE,"",IF(G196=AD196,"State license",IF(I196=AD196,"DEA registration",IF(K196=AD196,"State CSR",IF(M196=AD196,"Board certification",IF(Q196=AD196,"Malpractice",IF(S196=AD196,"Life support",IF(W196=AD196,"CAQH re-attestation",IF(Y196=AD196,"Privileges reappointment","Payer recredentialing")))))))))</f>
        <v/>
      </c>
      <c r="AD196" s="25">
        <f>IF(OR(AND(LEN(G196)&gt;0,ISNUMBER(G196)=FALSE),AND(LEN(I196)&gt;0,ISNUMBER(I196)=FALSE),AND(LEN(K196)&gt;0,ISNUMBER(K196)=FALSE),AND(LEN(M196)&gt;0,ISNUMBER(M196)=FALSE),AND(LEN(Q196)&gt;0,ISNUMBER(Q196)=FALSE),AND(LEN(S196)&gt;0,ISNUMBER(S196)=FALSE),AND(LEN(Y196)&gt;0,ISNUMBER(Y196)=FALSE),AND(LEN(AA196)&gt;0,ISNUMBER(AA196)=FALSE),AND(LEN(U196)&gt;0,ISNUMBER(U196)=FALSE)),"Check date",IF(COUNT(G196,I196,K196,M196,Q196,S196,W196,Y196,AA196)=0,"",MIN(G196,I196,K196,M196,Q196,S196,W196,Y196,AA196)))</f>
        <v/>
      </c>
      <c r="AE196" s="25">
        <f>IF(ISNUMBER(AD196),AD196-IF(ISNUMBER(AB196),AB196,30),"")</f>
        <v/>
      </c>
      <c r="AF196" s="27">
        <f>IF(AD196="","",IF(ISNUMBER(AD196),AD196-TODAY(),"Check date"))</f>
        <v/>
      </c>
      <c r="AG196" s="28">
        <f>IF(AF196="","",IF(ISNUMBER(AF196),IF(AF196&lt;0,"Expired",IF(AF196&lt;=30,"Due ≤30 days",IF(AF196&lt;=90,"Due ≤90 days","OK"))),"Check date"))</f>
        <v/>
      </c>
      <c r="AH196" s="22" t="n"/>
      <c r="AI196" s="22" t="n"/>
      <c r="AJ196" s="22" t="n"/>
      <c r="AK196" s="22" t="n"/>
    </row>
    <row r="197">
      <c r="A197" s="22" t="n"/>
      <c r="B197" s="22" t="n"/>
      <c r="C197" s="22" t="n"/>
      <c r="D197" s="22" t="n"/>
      <c r="E197" s="22" t="n"/>
      <c r="F197" s="22" t="n"/>
      <c r="G197" s="23" t="n"/>
      <c r="H197" s="22" t="n"/>
      <c r="I197" s="23" t="n"/>
      <c r="J197" s="22" t="n"/>
      <c r="K197" s="23" t="n"/>
      <c r="L197" s="22" t="n"/>
      <c r="M197" s="23" t="n"/>
      <c r="N197" s="22" t="n"/>
      <c r="O197" s="22" t="n"/>
      <c r="P197" s="22" t="n"/>
      <c r="Q197" s="23" t="n"/>
      <c r="R197" s="22" t="n"/>
      <c r="S197" s="23" t="n"/>
      <c r="T197" s="22" t="n"/>
      <c r="U197" s="23" t="n"/>
      <c r="V197" s="24" t="n"/>
      <c r="W197" s="25">
        <f>IF(ISNUMBER(U197),U197+IF(ISNUMBER(V197),V197,120),"")</f>
        <v/>
      </c>
      <c r="X197" s="22" t="n"/>
      <c r="Y197" s="23" t="n"/>
      <c r="Z197" s="22" t="n"/>
      <c r="AA197" s="23" t="n"/>
      <c r="AB197" s="24" t="n"/>
      <c r="AC197" s="26">
        <f>IF(ISNUMBER(AD197)=FALSE,"",IF(G197=AD197,"State license",IF(I197=AD197,"DEA registration",IF(K197=AD197,"State CSR",IF(M197=AD197,"Board certification",IF(Q197=AD197,"Malpractice",IF(S197=AD197,"Life support",IF(W197=AD197,"CAQH re-attestation",IF(Y197=AD197,"Privileges reappointment","Payer recredentialing")))))))))</f>
        <v/>
      </c>
      <c r="AD197" s="25">
        <f>IF(OR(AND(LEN(G197)&gt;0,ISNUMBER(G197)=FALSE),AND(LEN(I197)&gt;0,ISNUMBER(I197)=FALSE),AND(LEN(K197)&gt;0,ISNUMBER(K197)=FALSE),AND(LEN(M197)&gt;0,ISNUMBER(M197)=FALSE),AND(LEN(Q197)&gt;0,ISNUMBER(Q197)=FALSE),AND(LEN(S197)&gt;0,ISNUMBER(S197)=FALSE),AND(LEN(Y197)&gt;0,ISNUMBER(Y197)=FALSE),AND(LEN(AA197)&gt;0,ISNUMBER(AA197)=FALSE),AND(LEN(U197)&gt;0,ISNUMBER(U197)=FALSE)),"Check date",IF(COUNT(G197,I197,K197,M197,Q197,S197,W197,Y197,AA197)=0,"",MIN(G197,I197,K197,M197,Q197,S197,W197,Y197,AA197)))</f>
        <v/>
      </c>
      <c r="AE197" s="25">
        <f>IF(ISNUMBER(AD197),AD197-IF(ISNUMBER(AB197),AB197,30),"")</f>
        <v/>
      </c>
      <c r="AF197" s="27">
        <f>IF(AD197="","",IF(ISNUMBER(AD197),AD197-TODAY(),"Check date"))</f>
        <v/>
      </c>
      <c r="AG197" s="28">
        <f>IF(AF197="","",IF(ISNUMBER(AF197),IF(AF197&lt;0,"Expired",IF(AF197&lt;=30,"Due ≤30 days",IF(AF197&lt;=90,"Due ≤90 days","OK"))),"Check date"))</f>
        <v/>
      </c>
      <c r="AH197" s="22" t="n"/>
      <c r="AI197" s="22" t="n"/>
      <c r="AJ197" s="22" t="n"/>
      <c r="AK197" s="22" t="n"/>
    </row>
    <row r="198">
      <c r="A198" s="22" t="n"/>
      <c r="B198" s="22" t="n"/>
      <c r="C198" s="22" t="n"/>
      <c r="D198" s="22" t="n"/>
      <c r="E198" s="22" t="n"/>
      <c r="F198" s="22" t="n"/>
      <c r="G198" s="23" t="n"/>
      <c r="H198" s="22" t="n"/>
      <c r="I198" s="23" t="n"/>
      <c r="J198" s="22" t="n"/>
      <c r="K198" s="23" t="n"/>
      <c r="L198" s="22" t="n"/>
      <c r="M198" s="23" t="n"/>
      <c r="N198" s="22" t="n"/>
      <c r="O198" s="22" t="n"/>
      <c r="P198" s="22" t="n"/>
      <c r="Q198" s="23" t="n"/>
      <c r="R198" s="22" t="n"/>
      <c r="S198" s="23" t="n"/>
      <c r="T198" s="22" t="n"/>
      <c r="U198" s="23" t="n"/>
      <c r="V198" s="24" t="n"/>
      <c r="W198" s="25">
        <f>IF(ISNUMBER(U198),U198+IF(ISNUMBER(V198),V198,120),"")</f>
        <v/>
      </c>
      <c r="X198" s="22" t="n"/>
      <c r="Y198" s="23" t="n"/>
      <c r="Z198" s="22" t="n"/>
      <c r="AA198" s="23" t="n"/>
      <c r="AB198" s="24" t="n"/>
      <c r="AC198" s="26">
        <f>IF(ISNUMBER(AD198)=FALSE,"",IF(G198=AD198,"State license",IF(I198=AD198,"DEA registration",IF(K198=AD198,"State CSR",IF(M198=AD198,"Board certification",IF(Q198=AD198,"Malpractice",IF(S198=AD198,"Life support",IF(W198=AD198,"CAQH re-attestation",IF(Y198=AD198,"Privileges reappointment","Payer recredentialing")))))))))</f>
        <v/>
      </c>
      <c r="AD198" s="25">
        <f>IF(OR(AND(LEN(G198)&gt;0,ISNUMBER(G198)=FALSE),AND(LEN(I198)&gt;0,ISNUMBER(I198)=FALSE),AND(LEN(K198)&gt;0,ISNUMBER(K198)=FALSE),AND(LEN(M198)&gt;0,ISNUMBER(M198)=FALSE),AND(LEN(Q198)&gt;0,ISNUMBER(Q198)=FALSE),AND(LEN(S198)&gt;0,ISNUMBER(S198)=FALSE),AND(LEN(Y198)&gt;0,ISNUMBER(Y198)=FALSE),AND(LEN(AA198)&gt;0,ISNUMBER(AA198)=FALSE),AND(LEN(U198)&gt;0,ISNUMBER(U198)=FALSE)),"Check date",IF(COUNT(G198,I198,K198,M198,Q198,S198,W198,Y198,AA198)=0,"",MIN(G198,I198,K198,M198,Q198,S198,W198,Y198,AA198)))</f>
        <v/>
      </c>
      <c r="AE198" s="25">
        <f>IF(ISNUMBER(AD198),AD198-IF(ISNUMBER(AB198),AB198,30),"")</f>
        <v/>
      </c>
      <c r="AF198" s="27">
        <f>IF(AD198="","",IF(ISNUMBER(AD198),AD198-TODAY(),"Check date"))</f>
        <v/>
      </c>
      <c r="AG198" s="28">
        <f>IF(AF198="","",IF(ISNUMBER(AF198),IF(AF198&lt;0,"Expired",IF(AF198&lt;=30,"Due ≤30 days",IF(AF198&lt;=90,"Due ≤90 days","OK"))),"Check date"))</f>
        <v/>
      </c>
      <c r="AH198" s="22" t="n"/>
      <c r="AI198" s="22" t="n"/>
      <c r="AJ198" s="22" t="n"/>
      <c r="AK198" s="22" t="n"/>
    </row>
    <row r="199">
      <c r="A199" s="22" t="n"/>
      <c r="B199" s="22" t="n"/>
      <c r="C199" s="22" t="n"/>
      <c r="D199" s="22" t="n"/>
      <c r="E199" s="22" t="n"/>
      <c r="F199" s="22" t="n"/>
      <c r="G199" s="23" t="n"/>
      <c r="H199" s="22" t="n"/>
      <c r="I199" s="23" t="n"/>
      <c r="J199" s="22" t="n"/>
      <c r="K199" s="23" t="n"/>
      <c r="L199" s="22" t="n"/>
      <c r="M199" s="23" t="n"/>
      <c r="N199" s="22" t="n"/>
      <c r="O199" s="22" t="n"/>
      <c r="P199" s="22" t="n"/>
      <c r="Q199" s="23" t="n"/>
      <c r="R199" s="22" t="n"/>
      <c r="S199" s="23" t="n"/>
      <c r="T199" s="22" t="n"/>
      <c r="U199" s="23" t="n"/>
      <c r="V199" s="24" t="n"/>
      <c r="W199" s="25">
        <f>IF(ISNUMBER(U199),U199+IF(ISNUMBER(V199),V199,120),"")</f>
        <v/>
      </c>
      <c r="X199" s="22" t="n"/>
      <c r="Y199" s="23" t="n"/>
      <c r="Z199" s="22" t="n"/>
      <c r="AA199" s="23" t="n"/>
      <c r="AB199" s="24" t="n"/>
      <c r="AC199" s="26">
        <f>IF(ISNUMBER(AD199)=FALSE,"",IF(G199=AD199,"State license",IF(I199=AD199,"DEA registration",IF(K199=AD199,"State CSR",IF(M199=AD199,"Board certification",IF(Q199=AD199,"Malpractice",IF(S199=AD199,"Life support",IF(W199=AD199,"CAQH re-attestation",IF(Y199=AD199,"Privileges reappointment","Payer recredentialing")))))))))</f>
        <v/>
      </c>
      <c r="AD199" s="25">
        <f>IF(OR(AND(LEN(G199)&gt;0,ISNUMBER(G199)=FALSE),AND(LEN(I199)&gt;0,ISNUMBER(I199)=FALSE),AND(LEN(K199)&gt;0,ISNUMBER(K199)=FALSE),AND(LEN(M199)&gt;0,ISNUMBER(M199)=FALSE),AND(LEN(Q199)&gt;0,ISNUMBER(Q199)=FALSE),AND(LEN(S199)&gt;0,ISNUMBER(S199)=FALSE),AND(LEN(Y199)&gt;0,ISNUMBER(Y199)=FALSE),AND(LEN(AA199)&gt;0,ISNUMBER(AA199)=FALSE),AND(LEN(U199)&gt;0,ISNUMBER(U199)=FALSE)),"Check date",IF(COUNT(G199,I199,K199,M199,Q199,S199,W199,Y199,AA199)=0,"",MIN(G199,I199,K199,M199,Q199,S199,W199,Y199,AA199)))</f>
        <v/>
      </c>
      <c r="AE199" s="25">
        <f>IF(ISNUMBER(AD199),AD199-IF(ISNUMBER(AB199),AB199,30),"")</f>
        <v/>
      </c>
      <c r="AF199" s="27">
        <f>IF(AD199="","",IF(ISNUMBER(AD199),AD199-TODAY(),"Check date"))</f>
        <v/>
      </c>
      <c r="AG199" s="28">
        <f>IF(AF199="","",IF(ISNUMBER(AF199),IF(AF199&lt;0,"Expired",IF(AF199&lt;=30,"Due ≤30 days",IF(AF199&lt;=90,"Due ≤90 days","OK"))),"Check date"))</f>
        <v/>
      </c>
      <c r="AH199" s="22" t="n"/>
      <c r="AI199" s="22" t="n"/>
      <c r="AJ199" s="22" t="n"/>
      <c r="AK199" s="22" t="n"/>
    </row>
    <row r="200">
      <c r="A200" s="22" t="n"/>
      <c r="B200" s="22" t="n"/>
      <c r="C200" s="22" t="n"/>
      <c r="D200" s="22" t="n"/>
      <c r="E200" s="22" t="n"/>
      <c r="F200" s="22" t="n"/>
      <c r="G200" s="23" t="n"/>
      <c r="H200" s="22" t="n"/>
      <c r="I200" s="23" t="n"/>
      <c r="J200" s="22" t="n"/>
      <c r="K200" s="23" t="n"/>
      <c r="L200" s="22" t="n"/>
      <c r="M200" s="23" t="n"/>
      <c r="N200" s="22" t="n"/>
      <c r="O200" s="22" t="n"/>
      <c r="P200" s="22" t="n"/>
      <c r="Q200" s="23" t="n"/>
      <c r="R200" s="22" t="n"/>
      <c r="S200" s="23" t="n"/>
      <c r="T200" s="22" t="n"/>
      <c r="U200" s="23" t="n"/>
      <c r="V200" s="24" t="n"/>
      <c r="W200" s="25">
        <f>IF(ISNUMBER(U200),U200+IF(ISNUMBER(V200),V200,120),"")</f>
        <v/>
      </c>
      <c r="X200" s="22" t="n"/>
      <c r="Y200" s="23" t="n"/>
      <c r="Z200" s="22" t="n"/>
      <c r="AA200" s="23" t="n"/>
      <c r="AB200" s="24" t="n"/>
      <c r="AC200" s="26">
        <f>IF(ISNUMBER(AD200)=FALSE,"",IF(G200=AD200,"State license",IF(I200=AD200,"DEA registration",IF(K200=AD200,"State CSR",IF(M200=AD200,"Board certification",IF(Q200=AD200,"Malpractice",IF(S200=AD200,"Life support",IF(W200=AD200,"CAQH re-attestation",IF(Y200=AD200,"Privileges reappointment","Payer recredentialing")))))))))</f>
        <v/>
      </c>
      <c r="AD200" s="25">
        <f>IF(OR(AND(LEN(G200)&gt;0,ISNUMBER(G200)=FALSE),AND(LEN(I200)&gt;0,ISNUMBER(I200)=FALSE),AND(LEN(K200)&gt;0,ISNUMBER(K200)=FALSE),AND(LEN(M200)&gt;0,ISNUMBER(M200)=FALSE),AND(LEN(Q200)&gt;0,ISNUMBER(Q200)=FALSE),AND(LEN(S200)&gt;0,ISNUMBER(S200)=FALSE),AND(LEN(Y200)&gt;0,ISNUMBER(Y200)=FALSE),AND(LEN(AA200)&gt;0,ISNUMBER(AA200)=FALSE),AND(LEN(U200)&gt;0,ISNUMBER(U200)=FALSE)),"Check date",IF(COUNT(G200,I200,K200,M200,Q200,S200,W200,Y200,AA200)=0,"",MIN(G200,I200,K200,M200,Q200,S200,W200,Y200,AA200)))</f>
        <v/>
      </c>
      <c r="AE200" s="25">
        <f>IF(ISNUMBER(AD200),AD200-IF(ISNUMBER(AB200),AB200,30),"")</f>
        <v/>
      </c>
      <c r="AF200" s="27">
        <f>IF(AD200="","",IF(ISNUMBER(AD200),AD200-TODAY(),"Check date"))</f>
        <v/>
      </c>
      <c r="AG200" s="28">
        <f>IF(AF200="","",IF(ISNUMBER(AF200),IF(AF200&lt;0,"Expired",IF(AF200&lt;=30,"Due ≤30 days",IF(AF200&lt;=90,"Due ≤90 days","OK"))),"Check date"))</f>
        <v/>
      </c>
      <c r="AH200" s="22" t="n"/>
      <c r="AI200" s="22" t="n"/>
      <c r="AJ200" s="22" t="n"/>
      <c r="AK200" s="22" t="n"/>
    </row>
    <row r="201">
      <c r="A201" s="22" t="n"/>
      <c r="B201" s="22" t="n"/>
      <c r="C201" s="22" t="n"/>
      <c r="D201" s="22" t="n"/>
      <c r="E201" s="22" t="n"/>
      <c r="F201" s="22" t="n"/>
      <c r="G201" s="23" t="n"/>
      <c r="H201" s="22" t="n"/>
      <c r="I201" s="23" t="n"/>
      <c r="J201" s="22" t="n"/>
      <c r="K201" s="23" t="n"/>
      <c r="L201" s="22" t="n"/>
      <c r="M201" s="23" t="n"/>
      <c r="N201" s="22" t="n"/>
      <c r="O201" s="22" t="n"/>
      <c r="P201" s="22" t="n"/>
      <c r="Q201" s="23" t="n"/>
      <c r="R201" s="22" t="n"/>
      <c r="S201" s="23" t="n"/>
      <c r="T201" s="22" t="n"/>
      <c r="U201" s="23" t="n"/>
      <c r="V201" s="24" t="n"/>
      <c r="W201" s="25">
        <f>IF(ISNUMBER(U201),U201+IF(ISNUMBER(V201),V201,120),"")</f>
        <v/>
      </c>
      <c r="X201" s="22" t="n"/>
      <c r="Y201" s="23" t="n"/>
      <c r="Z201" s="22" t="n"/>
      <c r="AA201" s="23" t="n"/>
      <c r="AB201" s="24" t="n"/>
      <c r="AC201" s="26">
        <f>IF(ISNUMBER(AD201)=FALSE,"",IF(G201=AD201,"State license",IF(I201=AD201,"DEA registration",IF(K201=AD201,"State CSR",IF(M201=AD201,"Board certification",IF(Q201=AD201,"Malpractice",IF(S201=AD201,"Life support",IF(W201=AD201,"CAQH re-attestation",IF(Y201=AD201,"Privileges reappointment","Payer recredentialing")))))))))</f>
        <v/>
      </c>
      <c r="AD201" s="25">
        <f>IF(OR(AND(LEN(G201)&gt;0,ISNUMBER(G201)=FALSE),AND(LEN(I201)&gt;0,ISNUMBER(I201)=FALSE),AND(LEN(K201)&gt;0,ISNUMBER(K201)=FALSE),AND(LEN(M201)&gt;0,ISNUMBER(M201)=FALSE),AND(LEN(Q201)&gt;0,ISNUMBER(Q201)=FALSE),AND(LEN(S201)&gt;0,ISNUMBER(S201)=FALSE),AND(LEN(Y201)&gt;0,ISNUMBER(Y201)=FALSE),AND(LEN(AA201)&gt;0,ISNUMBER(AA201)=FALSE),AND(LEN(U201)&gt;0,ISNUMBER(U201)=FALSE)),"Check date",IF(COUNT(G201,I201,K201,M201,Q201,S201,W201,Y201,AA201)=0,"",MIN(G201,I201,K201,M201,Q201,S201,W201,Y201,AA201)))</f>
        <v/>
      </c>
      <c r="AE201" s="25">
        <f>IF(ISNUMBER(AD201),AD201-IF(ISNUMBER(AB201),AB201,30),"")</f>
        <v/>
      </c>
      <c r="AF201" s="27">
        <f>IF(AD201="","",IF(ISNUMBER(AD201),AD201-TODAY(),"Check date"))</f>
        <v/>
      </c>
      <c r="AG201" s="28">
        <f>IF(AF201="","",IF(ISNUMBER(AF201),IF(AF201&lt;0,"Expired",IF(AF201&lt;=30,"Due ≤30 days",IF(AF201&lt;=90,"Due ≤90 days","OK"))),"Check date"))</f>
        <v/>
      </c>
      <c r="AH201" s="22" t="n"/>
      <c r="AI201" s="22" t="n"/>
      <c r="AJ201" s="22" t="n"/>
      <c r="AK201" s="22" t="n"/>
    </row>
    <row r="202">
      <c r="A202" s="22" t="n"/>
      <c r="B202" s="22" t="n"/>
      <c r="C202" s="22" t="n"/>
      <c r="D202" s="22" t="n"/>
      <c r="E202" s="22" t="n"/>
      <c r="F202" s="22" t="n"/>
      <c r="G202" s="23" t="n"/>
      <c r="H202" s="22" t="n"/>
      <c r="I202" s="23" t="n"/>
      <c r="J202" s="22" t="n"/>
      <c r="K202" s="23" t="n"/>
      <c r="L202" s="22" t="n"/>
      <c r="M202" s="23" t="n"/>
      <c r="N202" s="22" t="n"/>
      <c r="O202" s="22" t="n"/>
      <c r="P202" s="22" t="n"/>
      <c r="Q202" s="23" t="n"/>
      <c r="R202" s="22" t="n"/>
      <c r="S202" s="23" t="n"/>
      <c r="T202" s="22" t="n"/>
      <c r="U202" s="23" t="n"/>
      <c r="V202" s="24" t="n"/>
      <c r="W202" s="25">
        <f>IF(ISNUMBER(U202),U202+IF(ISNUMBER(V202),V202,120),"")</f>
        <v/>
      </c>
      <c r="X202" s="22" t="n"/>
      <c r="Y202" s="23" t="n"/>
      <c r="Z202" s="22" t="n"/>
      <c r="AA202" s="23" t="n"/>
      <c r="AB202" s="24" t="n"/>
      <c r="AC202" s="26">
        <f>IF(ISNUMBER(AD202)=FALSE,"",IF(G202=AD202,"State license",IF(I202=AD202,"DEA registration",IF(K202=AD202,"State CSR",IF(M202=AD202,"Board certification",IF(Q202=AD202,"Malpractice",IF(S202=AD202,"Life support",IF(W202=AD202,"CAQH re-attestation",IF(Y202=AD202,"Privileges reappointment","Payer recredentialing")))))))))</f>
        <v/>
      </c>
      <c r="AD202" s="25">
        <f>IF(OR(AND(LEN(G202)&gt;0,ISNUMBER(G202)=FALSE),AND(LEN(I202)&gt;0,ISNUMBER(I202)=FALSE),AND(LEN(K202)&gt;0,ISNUMBER(K202)=FALSE),AND(LEN(M202)&gt;0,ISNUMBER(M202)=FALSE),AND(LEN(Q202)&gt;0,ISNUMBER(Q202)=FALSE),AND(LEN(S202)&gt;0,ISNUMBER(S202)=FALSE),AND(LEN(Y202)&gt;0,ISNUMBER(Y202)=FALSE),AND(LEN(AA202)&gt;0,ISNUMBER(AA202)=FALSE),AND(LEN(U202)&gt;0,ISNUMBER(U202)=FALSE)),"Check date",IF(COUNT(G202,I202,K202,M202,Q202,S202,W202,Y202,AA202)=0,"",MIN(G202,I202,K202,M202,Q202,S202,W202,Y202,AA202)))</f>
        <v/>
      </c>
      <c r="AE202" s="25">
        <f>IF(ISNUMBER(AD202),AD202-IF(ISNUMBER(AB202),AB202,30),"")</f>
        <v/>
      </c>
      <c r="AF202" s="27">
        <f>IF(AD202="","",IF(ISNUMBER(AD202),AD202-TODAY(),"Check date"))</f>
        <v/>
      </c>
      <c r="AG202" s="28">
        <f>IF(AF202="","",IF(ISNUMBER(AF202),IF(AF202&lt;0,"Expired",IF(AF202&lt;=30,"Due ≤30 days",IF(AF202&lt;=90,"Due ≤90 days","OK"))),"Check date"))</f>
        <v/>
      </c>
      <c r="AH202" s="22" t="n"/>
      <c r="AI202" s="22" t="n"/>
      <c r="AJ202" s="22" t="n"/>
      <c r="AK202" s="22" t="n"/>
    </row>
    <row r="203">
      <c r="A203" s="22" t="n"/>
      <c r="B203" s="22" t="n"/>
      <c r="C203" s="22" t="n"/>
      <c r="D203" s="22" t="n"/>
      <c r="E203" s="22" t="n"/>
      <c r="F203" s="22" t="n"/>
      <c r="G203" s="23" t="n"/>
      <c r="H203" s="22" t="n"/>
      <c r="I203" s="23" t="n"/>
      <c r="J203" s="22" t="n"/>
      <c r="K203" s="23" t="n"/>
      <c r="L203" s="22" t="n"/>
      <c r="M203" s="23" t="n"/>
      <c r="N203" s="22" t="n"/>
      <c r="O203" s="22" t="n"/>
      <c r="P203" s="22" t="n"/>
      <c r="Q203" s="23" t="n"/>
      <c r="R203" s="22" t="n"/>
      <c r="S203" s="23" t="n"/>
      <c r="T203" s="22" t="n"/>
      <c r="U203" s="23" t="n"/>
      <c r="V203" s="24" t="n"/>
      <c r="W203" s="25">
        <f>IF(ISNUMBER(U203),U203+IF(ISNUMBER(V203),V203,120),"")</f>
        <v/>
      </c>
      <c r="X203" s="22" t="n"/>
      <c r="Y203" s="23" t="n"/>
      <c r="Z203" s="22" t="n"/>
      <c r="AA203" s="23" t="n"/>
      <c r="AB203" s="24" t="n"/>
      <c r="AC203" s="26">
        <f>IF(ISNUMBER(AD203)=FALSE,"",IF(G203=AD203,"State license",IF(I203=AD203,"DEA registration",IF(K203=AD203,"State CSR",IF(M203=AD203,"Board certification",IF(Q203=AD203,"Malpractice",IF(S203=AD203,"Life support",IF(W203=AD203,"CAQH re-attestation",IF(Y203=AD203,"Privileges reappointment","Payer recredentialing")))))))))</f>
        <v/>
      </c>
      <c r="AD203" s="25">
        <f>IF(OR(AND(LEN(G203)&gt;0,ISNUMBER(G203)=FALSE),AND(LEN(I203)&gt;0,ISNUMBER(I203)=FALSE),AND(LEN(K203)&gt;0,ISNUMBER(K203)=FALSE),AND(LEN(M203)&gt;0,ISNUMBER(M203)=FALSE),AND(LEN(Q203)&gt;0,ISNUMBER(Q203)=FALSE),AND(LEN(S203)&gt;0,ISNUMBER(S203)=FALSE),AND(LEN(Y203)&gt;0,ISNUMBER(Y203)=FALSE),AND(LEN(AA203)&gt;0,ISNUMBER(AA203)=FALSE),AND(LEN(U203)&gt;0,ISNUMBER(U203)=FALSE)),"Check date",IF(COUNT(G203,I203,K203,M203,Q203,S203,W203,Y203,AA203)=0,"",MIN(G203,I203,K203,M203,Q203,S203,W203,Y203,AA203)))</f>
        <v/>
      </c>
      <c r="AE203" s="25">
        <f>IF(ISNUMBER(AD203),AD203-IF(ISNUMBER(AB203),AB203,30),"")</f>
        <v/>
      </c>
      <c r="AF203" s="27">
        <f>IF(AD203="","",IF(ISNUMBER(AD203),AD203-TODAY(),"Check date"))</f>
        <v/>
      </c>
      <c r="AG203" s="28">
        <f>IF(AF203="","",IF(ISNUMBER(AF203),IF(AF203&lt;0,"Expired",IF(AF203&lt;=30,"Due ≤30 days",IF(AF203&lt;=90,"Due ≤90 days","OK"))),"Check date"))</f>
        <v/>
      </c>
      <c r="AH203" s="22" t="n"/>
      <c r="AI203" s="22" t="n"/>
      <c r="AJ203" s="22" t="n"/>
      <c r="AK203" s="22" t="n"/>
    </row>
    <row r="204">
      <c r="A204" s="22" t="n"/>
      <c r="B204" s="22" t="n"/>
      <c r="C204" s="22" t="n"/>
      <c r="D204" s="22" t="n"/>
      <c r="E204" s="22" t="n"/>
      <c r="F204" s="22" t="n"/>
      <c r="G204" s="23" t="n"/>
      <c r="H204" s="22" t="n"/>
      <c r="I204" s="23" t="n"/>
      <c r="J204" s="22" t="n"/>
      <c r="K204" s="23" t="n"/>
      <c r="L204" s="22" t="n"/>
      <c r="M204" s="23" t="n"/>
      <c r="N204" s="22" t="n"/>
      <c r="O204" s="22" t="n"/>
      <c r="P204" s="22" t="n"/>
      <c r="Q204" s="23" t="n"/>
      <c r="R204" s="22" t="n"/>
      <c r="S204" s="23" t="n"/>
      <c r="T204" s="22" t="n"/>
      <c r="U204" s="23" t="n"/>
      <c r="V204" s="24" t="n"/>
      <c r="W204" s="25">
        <f>IF(ISNUMBER(U204),U204+IF(ISNUMBER(V204),V204,120),"")</f>
        <v/>
      </c>
      <c r="X204" s="22" t="n"/>
      <c r="Y204" s="23" t="n"/>
      <c r="Z204" s="22" t="n"/>
      <c r="AA204" s="23" t="n"/>
      <c r="AB204" s="24" t="n"/>
      <c r="AC204" s="26">
        <f>IF(ISNUMBER(AD204)=FALSE,"",IF(G204=AD204,"State license",IF(I204=AD204,"DEA registration",IF(K204=AD204,"State CSR",IF(M204=AD204,"Board certification",IF(Q204=AD204,"Malpractice",IF(S204=AD204,"Life support",IF(W204=AD204,"CAQH re-attestation",IF(Y204=AD204,"Privileges reappointment","Payer recredentialing")))))))))</f>
        <v/>
      </c>
      <c r="AD204" s="25">
        <f>IF(OR(AND(LEN(G204)&gt;0,ISNUMBER(G204)=FALSE),AND(LEN(I204)&gt;0,ISNUMBER(I204)=FALSE),AND(LEN(K204)&gt;0,ISNUMBER(K204)=FALSE),AND(LEN(M204)&gt;0,ISNUMBER(M204)=FALSE),AND(LEN(Q204)&gt;0,ISNUMBER(Q204)=FALSE),AND(LEN(S204)&gt;0,ISNUMBER(S204)=FALSE),AND(LEN(Y204)&gt;0,ISNUMBER(Y204)=FALSE),AND(LEN(AA204)&gt;0,ISNUMBER(AA204)=FALSE),AND(LEN(U204)&gt;0,ISNUMBER(U204)=FALSE)),"Check date",IF(COUNT(G204,I204,K204,M204,Q204,S204,W204,Y204,AA204)=0,"",MIN(G204,I204,K204,M204,Q204,S204,W204,Y204,AA204)))</f>
        <v/>
      </c>
      <c r="AE204" s="25">
        <f>IF(ISNUMBER(AD204),AD204-IF(ISNUMBER(AB204),AB204,30),"")</f>
        <v/>
      </c>
      <c r="AF204" s="27">
        <f>IF(AD204="","",IF(ISNUMBER(AD204),AD204-TODAY(),"Check date"))</f>
        <v/>
      </c>
      <c r="AG204" s="28">
        <f>IF(AF204="","",IF(ISNUMBER(AF204),IF(AF204&lt;0,"Expired",IF(AF204&lt;=30,"Due ≤30 days",IF(AF204&lt;=90,"Due ≤90 days","OK"))),"Check date"))</f>
        <v/>
      </c>
      <c r="AH204" s="22" t="n"/>
      <c r="AI204" s="22" t="n"/>
      <c r="AJ204" s="22" t="n"/>
      <c r="AK204" s="22" t="n"/>
    </row>
    <row r="205">
      <c r="A205" s="22" t="n"/>
      <c r="B205" s="22" t="n"/>
      <c r="C205" s="22" t="n"/>
      <c r="D205" s="22" t="n"/>
      <c r="E205" s="22" t="n"/>
      <c r="F205" s="22" t="n"/>
      <c r="G205" s="23" t="n"/>
      <c r="H205" s="22" t="n"/>
      <c r="I205" s="23" t="n"/>
      <c r="J205" s="22" t="n"/>
      <c r="K205" s="23" t="n"/>
      <c r="L205" s="22" t="n"/>
      <c r="M205" s="23" t="n"/>
      <c r="N205" s="22" t="n"/>
      <c r="O205" s="22" t="n"/>
      <c r="P205" s="22" t="n"/>
      <c r="Q205" s="23" t="n"/>
      <c r="R205" s="22" t="n"/>
      <c r="S205" s="23" t="n"/>
      <c r="T205" s="22" t="n"/>
      <c r="U205" s="23" t="n"/>
      <c r="V205" s="24" t="n"/>
      <c r="W205" s="25">
        <f>IF(ISNUMBER(U205),U205+IF(ISNUMBER(V205),V205,120),"")</f>
        <v/>
      </c>
      <c r="X205" s="22" t="n"/>
      <c r="Y205" s="23" t="n"/>
      <c r="Z205" s="22" t="n"/>
      <c r="AA205" s="23" t="n"/>
      <c r="AB205" s="24" t="n"/>
      <c r="AC205" s="26">
        <f>IF(ISNUMBER(AD205)=FALSE,"",IF(G205=AD205,"State license",IF(I205=AD205,"DEA registration",IF(K205=AD205,"State CSR",IF(M205=AD205,"Board certification",IF(Q205=AD205,"Malpractice",IF(S205=AD205,"Life support",IF(W205=AD205,"CAQH re-attestation",IF(Y205=AD205,"Privileges reappointment","Payer recredentialing")))))))))</f>
        <v/>
      </c>
      <c r="AD205" s="25">
        <f>IF(OR(AND(LEN(G205)&gt;0,ISNUMBER(G205)=FALSE),AND(LEN(I205)&gt;0,ISNUMBER(I205)=FALSE),AND(LEN(K205)&gt;0,ISNUMBER(K205)=FALSE),AND(LEN(M205)&gt;0,ISNUMBER(M205)=FALSE),AND(LEN(Q205)&gt;0,ISNUMBER(Q205)=FALSE),AND(LEN(S205)&gt;0,ISNUMBER(S205)=FALSE),AND(LEN(Y205)&gt;0,ISNUMBER(Y205)=FALSE),AND(LEN(AA205)&gt;0,ISNUMBER(AA205)=FALSE),AND(LEN(U205)&gt;0,ISNUMBER(U205)=FALSE)),"Check date",IF(COUNT(G205,I205,K205,M205,Q205,S205,W205,Y205,AA205)=0,"",MIN(G205,I205,K205,M205,Q205,S205,W205,Y205,AA205)))</f>
        <v/>
      </c>
      <c r="AE205" s="25">
        <f>IF(ISNUMBER(AD205),AD205-IF(ISNUMBER(AB205),AB205,30),"")</f>
        <v/>
      </c>
      <c r="AF205" s="27">
        <f>IF(AD205="","",IF(ISNUMBER(AD205),AD205-TODAY(),"Check date"))</f>
        <v/>
      </c>
      <c r="AG205" s="28">
        <f>IF(AF205="","",IF(ISNUMBER(AF205),IF(AF205&lt;0,"Expired",IF(AF205&lt;=30,"Due ≤30 days",IF(AF205&lt;=90,"Due ≤90 days","OK"))),"Check date"))</f>
        <v/>
      </c>
      <c r="AH205" s="22" t="n"/>
      <c r="AI205" s="22" t="n"/>
      <c r="AJ205" s="22" t="n"/>
      <c r="AK205" s="22" t="n"/>
    </row>
    <row r="206">
      <c r="A206" s="22" t="n"/>
      <c r="B206" s="22" t="n"/>
      <c r="C206" s="22" t="n"/>
      <c r="D206" s="22" t="n"/>
      <c r="E206" s="22" t="n"/>
      <c r="F206" s="22" t="n"/>
      <c r="G206" s="23" t="n"/>
      <c r="H206" s="22" t="n"/>
      <c r="I206" s="23" t="n"/>
      <c r="J206" s="22" t="n"/>
      <c r="K206" s="23" t="n"/>
      <c r="L206" s="22" t="n"/>
      <c r="M206" s="23" t="n"/>
      <c r="N206" s="22" t="n"/>
      <c r="O206" s="22" t="n"/>
      <c r="P206" s="22" t="n"/>
      <c r="Q206" s="23" t="n"/>
      <c r="R206" s="22" t="n"/>
      <c r="S206" s="23" t="n"/>
      <c r="T206" s="22" t="n"/>
      <c r="U206" s="23" t="n"/>
      <c r="V206" s="24" t="n"/>
      <c r="W206" s="25">
        <f>IF(ISNUMBER(U206),U206+IF(ISNUMBER(V206),V206,120),"")</f>
        <v/>
      </c>
      <c r="X206" s="22" t="n"/>
      <c r="Y206" s="23" t="n"/>
      <c r="Z206" s="22" t="n"/>
      <c r="AA206" s="23" t="n"/>
      <c r="AB206" s="24" t="n"/>
      <c r="AC206" s="26">
        <f>IF(ISNUMBER(AD206)=FALSE,"",IF(G206=AD206,"State license",IF(I206=AD206,"DEA registration",IF(K206=AD206,"State CSR",IF(M206=AD206,"Board certification",IF(Q206=AD206,"Malpractice",IF(S206=AD206,"Life support",IF(W206=AD206,"CAQH re-attestation",IF(Y206=AD206,"Privileges reappointment","Payer recredentialing")))))))))</f>
        <v/>
      </c>
      <c r="AD206" s="25">
        <f>IF(OR(AND(LEN(G206)&gt;0,ISNUMBER(G206)=FALSE),AND(LEN(I206)&gt;0,ISNUMBER(I206)=FALSE),AND(LEN(K206)&gt;0,ISNUMBER(K206)=FALSE),AND(LEN(M206)&gt;0,ISNUMBER(M206)=FALSE),AND(LEN(Q206)&gt;0,ISNUMBER(Q206)=FALSE),AND(LEN(S206)&gt;0,ISNUMBER(S206)=FALSE),AND(LEN(Y206)&gt;0,ISNUMBER(Y206)=FALSE),AND(LEN(AA206)&gt;0,ISNUMBER(AA206)=FALSE),AND(LEN(U206)&gt;0,ISNUMBER(U206)=FALSE)),"Check date",IF(COUNT(G206,I206,K206,M206,Q206,S206,W206,Y206,AA206)=0,"",MIN(G206,I206,K206,M206,Q206,S206,W206,Y206,AA206)))</f>
        <v/>
      </c>
      <c r="AE206" s="25">
        <f>IF(ISNUMBER(AD206),AD206-IF(ISNUMBER(AB206),AB206,30),"")</f>
        <v/>
      </c>
      <c r="AF206" s="27">
        <f>IF(AD206="","",IF(ISNUMBER(AD206),AD206-TODAY(),"Check date"))</f>
        <v/>
      </c>
      <c r="AG206" s="28">
        <f>IF(AF206="","",IF(ISNUMBER(AF206),IF(AF206&lt;0,"Expired",IF(AF206&lt;=30,"Due ≤30 days",IF(AF206&lt;=90,"Due ≤90 days","OK"))),"Check date"))</f>
        <v/>
      </c>
      <c r="AH206" s="22" t="n"/>
      <c r="AI206" s="22" t="n"/>
      <c r="AJ206" s="22" t="n"/>
      <c r="AK206" s="22" t="n"/>
    </row>
    <row r="207">
      <c r="A207" s="22" t="n"/>
      <c r="B207" s="22" t="n"/>
      <c r="C207" s="22" t="n"/>
      <c r="D207" s="22" t="n"/>
      <c r="E207" s="22" t="n"/>
      <c r="F207" s="22" t="n"/>
      <c r="G207" s="23" t="n"/>
      <c r="H207" s="22" t="n"/>
      <c r="I207" s="23" t="n"/>
      <c r="J207" s="22" t="n"/>
      <c r="K207" s="23" t="n"/>
      <c r="L207" s="22" t="n"/>
      <c r="M207" s="23" t="n"/>
      <c r="N207" s="22" t="n"/>
      <c r="O207" s="22" t="n"/>
      <c r="P207" s="22" t="n"/>
      <c r="Q207" s="23" t="n"/>
      <c r="R207" s="22" t="n"/>
      <c r="S207" s="23" t="n"/>
      <c r="T207" s="22" t="n"/>
      <c r="U207" s="23" t="n"/>
      <c r="V207" s="24" t="n"/>
      <c r="W207" s="25">
        <f>IF(ISNUMBER(U207),U207+IF(ISNUMBER(V207),V207,120),"")</f>
        <v/>
      </c>
      <c r="X207" s="22" t="n"/>
      <c r="Y207" s="23" t="n"/>
      <c r="Z207" s="22" t="n"/>
      <c r="AA207" s="23" t="n"/>
      <c r="AB207" s="24" t="n"/>
      <c r="AC207" s="26">
        <f>IF(ISNUMBER(AD207)=FALSE,"",IF(G207=AD207,"State license",IF(I207=AD207,"DEA registration",IF(K207=AD207,"State CSR",IF(M207=AD207,"Board certification",IF(Q207=AD207,"Malpractice",IF(S207=AD207,"Life support",IF(W207=AD207,"CAQH re-attestation",IF(Y207=AD207,"Privileges reappointment","Payer recredentialing")))))))))</f>
        <v/>
      </c>
      <c r="AD207" s="25">
        <f>IF(OR(AND(LEN(G207)&gt;0,ISNUMBER(G207)=FALSE),AND(LEN(I207)&gt;0,ISNUMBER(I207)=FALSE),AND(LEN(K207)&gt;0,ISNUMBER(K207)=FALSE),AND(LEN(M207)&gt;0,ISNUMBER(M207)=FALSE),AND(LEN(Q207)&gt;0,ISNUMBER(Q207)=FALSE),AND(LEN(S207)&gt;0,ISNUMBER(S207)=FALSE),AND(LEN(Y207)&gt;0,ISNUMBER(Y207)=FALSE),AND(LEN(AA207)&gt;0,ISNUMBER(AA207)=FALSE),AND(LEN(U207)&gt;0,ISNUMBER(U207)=FALSE)),"Check date",IF(COUNT(G207,I207,K207,M207,Q207,S207,W207,Y207,AA207)=0,"",MIN(G207,I207,K207,M207,Q207,S207,W207,Y207,AA207)))</f>
        <v/>
      </c>
      <c r="AE207" s="25">
        <f>IF(ISNUMBER(AD207),AD207-IF(ISNUMBER(AB207),AB207,30),"")</f>
        <v/>
      </c>
      <c r="AF207" s="27">
        <f>IF(AD207="","",IF(ISNUMBER(AD207),AD207-TODAY(),"Check date"))</f>
        <v/>
      </c>
      <c r="AG207" s="28">
        <f>IF(AF207="","",IF(ISNUMBER(AF207),IF(AF207&lt;0,"Expired",IF(AF207&lt;=30,"Due ≤30 days",IF(AF207&lt;=90,"Due ≤90 days","OK"))),"Check date"))</f>
        <v/>
      </c>
      <c r="AH207" s="22" t="n"/>
      <c r="AI207" s="22" t="n"/>
      <c r="AJ207" s="22" t="n"/>
      <c r="AK207" s="22" t="n"/>
    </row>
    <row r="208">
      <c r="A208" s="22" t="n"/>
      <c r="B208" s="22" t="n"/>
      <c r="C208" s="22" t="n"/>
      <c r="D208" s="22" t="n"/>
      <c r="E208" s="22" t="n"/>
      <c r="F208" s="22" t="n"/>
      <c r="G208" s="23" t="n"/>
      <c r="H208" s="22" t="n"/>
      <c r="I208" s="23" t="n"/>
      <c r="J208" s="22" t="n"/>
      <c r="K208" s="23" t="n"/>
      <c r="L208" s="22" t="n"/>
      <c r="M208" s="23" t="n"/>
      <c r="N208" s="22" t="n"/>
      <c r="O208" s="22" t="n"/>
      <c r="P208" s="22" t="n"/>
      <c r="Q208" s="23" t="n"/>
      <c r="R208" s="22" t="n"/>
      <c r="S208" s="23" t="n"/>
      <c r="T208" s="22" t="n"/>
      <c r="U208" s="23" t="n"/>
      <c r="V208" s="24" t="n"/>
      <c r="W208" s="25">
        <f>IF(ISNUMBER(U208),U208+IF(ISNUMBER(V208),V208,120),"")</f>
        <v/>
      </c>
      <c r="X208" s="22" t="n"/>
      <c r="Y208" s="23" t="n"/>
      <c r="Z208" s="22" t="n"/>
      <c r="AA208" s="23" t="n"/>
      <c r="AB208" s="24" t="n"/>
      <c r="AC208" s="26">
        <f>IF(ISNUMBER(AD208)=FALSE,"",IF(G208=AD208,"State license",IF(I208=AD208,"DEA registration",IF(K208=AD208,"State CSR",IF(M208=AD208,"Board certification",IF(Q208=AD208,"Malpractice",IF(S208=AD208,"Life support",IF(W208=AD208,"CAQH re-attestation",IF(Y208=AD208,"Privileges reappointment","Payer recredentialing")))))))))</f>
        <v/>
      </c>
      <c r="AD208" s="25">
        <f>IF(OR(AND(LEN(G208)&gt;0,ISNUMBER(G208)=FALSE),AND(LEN(I208)&gt;0,ISNUMBER(I208)=FALSE),AND(LEN(K208)&gt;0,ISNUMBER(K208)=FALSE),AND(LEN(M208)&gt;0,ISNUMBER(M208)=FALSE),AND(LEN(Q208)&gt;0,ISNUMBER(Q208)=FALSE),AND(LEN(S208)&gt;0,ISNUMBER(S208)=FALSE),AND(LEN(Y208)&gt;0,ISNUMBER(Y208)=FALSE),AND(LEN(AA208)&gt;0,ISNUMBER(AA208)=FALSE),AND(LEN(U208)&gt;0,ISNUMBER(U208)=FALSE)),"Check date",IF(COUNT(G208,I208,K208,M208,Q208,S208,W208,Y208,AA208)=0,"",MIN(G208,I208,K208,M208,Q208,S208,W208,Y208,AA208)))</f>
        <v/>
      </c>
      <c r="AE208" s="25">
        <f>IF(ISNUMBER(AD208),AD208-IF(ISNUMBER(AB208),AB208,30),"")</f>
        <v/>
      </c>
      <c r="AF208" s="27">
        <f>IF(AD208="","",IF(ISNUMBER(AD208),AD208-TODAY(),"Check date"))</f>
        <v/>
      </c>
      <c r="AG208" s="28">
        <f>IF(AF208="","",IF(ISNUMBER(AF208),IF(AF208&lt;0,"Expired",IF(AF208&lt;=30,"Due ≤30 days",IF(AF208&lt;=90,"Due ≤90 days","OK"))),"Check date"))</f>
        <v/>
      </c>
      <c r="AH208" s="22" t="n"/>
      <c r="AI208" s="22" t="n"/>
      <c r="AJ208" s="22" t="n"/>
      <c r="AK208" s="22" t="n"/>
    </row>
    <row r="209">
      <c r="A209" s="22" t="n"/>
      <c r="B209" s="22" t="n"/>
      <c r="C209" s="22" t="n"/>
      <c r="D209" s="22" t="n"/>
      <c r="E209" s="22" t="n"/>
      <c r="F209" s="22" t="n"/>
      <c r="G209" s="23" t="n"/>
      <c r="H209" s="22" t="n"/>
      <c r="I209" s="23" t="n"/>
      <c r="J209" s="22" t="n"/>
      <c r="K209" s="23" t="n"/>
      <c r="L209" s="22" t="n"/>
      <c r="M209" s="23" t="n"/>
      <c r="N209" s="22" t="n"/>
      <c r="O209" s="22" t="n"/>
      <c r="P209" s="22" t="n"/>
      <c r="Q209" s="23" t="n"/>
      <c r="R209" s="22" t="n"/>
      <c r="S209" s="23" t="n"/>
      <c r="T209" s="22" t="n"/>
      <c r="U209" s="23" t="n"/>
      <c r="V209" s="24" t="n"/>
      <c r="W209" s="25">
        <f>IF(ISNUMBER(U209),U209+IF(ISNUMBER(V209),V209,120),"")</f>
        <v/>
      </c>
      <c r="X209" s="22" t="n"/>
      <c r="Y209" s="23" t="n"/>
      <c r="Z209" s="22" t="n"/>
      <c r="AA209" s="23" t="n"/>
      <c r="AB209" s="24" t="n"/>
      <c r="AC209" s="26">
        <f>IF(ISNUMBER(AD209)=FALSE,"",IF(G209=AD209,"State license",IF(I209=AD209,"DEA registration",IF(K209=AD209,"State CSR",IF(M209=AD209,"Board certification",IF(Q209=AD209,"Malpractice",IF(S209=AD209,"Life support",IF(W209=AD209,"CAQH re-attestation",IF(Y209=AD209,"Privileges reappointment","Payer recredentialing")))))))))</f>
        <v/>
      </c>
      <c r="AD209" s="25">
        <f>IF(OR(AND(LEN(G209)&gt;0,ISNUMBER(G209)=FALSE),AND(LEN(I209)&gt;0,ISNUMBER(I209)=FALSE),AND(LEN(K209)&gt;0,ISNUMBER(K209)=FALSE),AND(LEN(M209)&gt;0,ISNUMBER(M209)=FALSE),AND(LEN(Q209)&gt;0,ISNUMBER(Q209)=FALSE),AND(LEN(S209)&gt;0,ISNUMBER(S209)=FALSE),AND(LEN(Y209)&gt;0,ISNUMBER(Y209)=FALSE),AND(LEN(AA209)&gt;0,ISNUMBER(AA209)=FALSE),AND(LEN(U209)&gt;0,ISNUMBER(U209)=FALSE)),"Check date",IF(COUNT(G209,I209,K209,M209,Q209,S209,W209,Y209,AA209)=0,"",MIN(G209,I209,K209,M209,Q209,S209,W209,Y209,AA209)))</f>
        <v/>
      </c>
      <c r="AE209" s="25">
        <f>IF(ISNUMBER(AD209),AD209-IF(ISNUMBER(AB209),AB209,30),"")</f>
        <v/>
      </c>
      <c r="AF209" s="27">
        <f>IF(AD209="","",IF(ISNUMBER(AD209),AD209-TODAY(),"Check date"))</f>
        <v/>
      </c>
      <c r="AG209" s="28">
        <f>IF(AF209="","",IF(ISNUMBER(AF209),IF(AF209&lt;0,"Expired",IF(AF209&lt;=30,"Due ≤30 days",IF(AF209&lt;=90,"Due ≤90 days","OK"))),"Check date"))</f>
        <v/>
      </c>
      <c r="AH209" s="22" t="n"/>
      <c r="AI209" s="22" t="n"/>
      <c r="AJ209" s="22" t="n"/>
      <c r="AK209" s="22" t="n"/>
    </row>
    <row r="210">
      <c r="A210" s="22" t="n"/>
      <c r="B210" s="22" t="n"/>
      <c r="C210" s="22" t="n"/>
      <c r="D210" s="22" t="n"/>
      <c r="E210" s="22" t="n"/>
      <c r="F210" s="22" t="n"/>
      <c r="G210" s="23" t="n"/>
      <c r="H210" s="22" t="n"/>
      <c r="I210" s="23" t="n"/>
      <c r="J210" s="22" t="n"/>
      <c r="K210" s="23" t="n"/>
      <c r="L210" s="22" t="n"/>
      <c r="M210" s="23" t="n"/>
      <c r="N210" s="22" t="n"/>
      <c r="O210" s="22" t="n"/>
      <c r="P210" s="22" t="n"/>
      <c r="Q210" s="23" t="n"/>
      <c r="R210" s="22" t="n"/>
      <c r="S210" s="23" t="n"/>
      <c r="T210" s="22" t="n"/>
      <c r="U210" s="23" t="n"/>
      <c r="V210" s="24" t="n"/>
      <c r="W210" s="25">
        <f>IF(ISNUMBER(U210),U210+IF(ISNUMBER(V210),V210,120),"")</f>
        <v/>
      </c>
      <c r="X210" s="22" t="n"/>
      <c r="Y210" s="23" t="n"/>
      <c r="Z210" s="22" t="n"/>
      <c r="AA210" s="23" t="n"/>
      <c r="AB210" s="24" t="n"/>
      <c r="AC210" s="26">
        <f>IF(ISNUMBER(AD210)=FALSE,"",IF(G210=AD210,"State license",IF(I210=AD210,"DEA registration",IF(K210=AD210,"State CSR",IF(M210=AD210,"Board certification",IF(Q210=AD210,"Malpractice",IF(S210=AD210,"Life support",IF(W210=AD210,"CAQH re-attestation",IF(Y210=AD210,"Privileges reappointment","Payer recredentialing")))))))))</f>
        <v/>
      </c>
      <c r="AD210" s="25">
        <f>IF(OR(AND(LEN(G210)&gt;0,ISNUMBER(G210)=FALSE),AND(LEN(I210)&gt;0,ISNUMBER(I210)=FALSE),AND(LEN(K210)&gt;0,ISNUMBER(K210)=FALSE),AND(LEN(M210)&gt;0,ISNUMBER(M210)=FALSE),AND(LEN(Q210)&gt;0,ISNUMBER(Q210)=FALSE),AND(LEN(S210)&gt;0,ISNUMBER(S210)=FALSE),AND(LEN(Y210)&gt;0,ISNUMBER(Y210)=FALSE),AND(LEN(AA210)&gt;0,ISNUMBER(AA210)=FALSE),AND(LEN(U210)&gt;0,ISNUMBER(U210)=FALSE)),"Check date",IF(COUNT(G210,I210,K210,M210,Q210,S210,W210,Y210,AA210)=0,"",MIN(G210,I210,K210,M210,Q210,S210,W210,Y210,AA210)))</f>
        <v/>
      </c>
      <c r="AE210" s="25">
        <f>IF(ISNUMBER(AD210),AD210-IF(ISNUMBER(AB210),AB210,30),"")</f>
        <v/>
      </c>
      <c r="AF210" s="27">
        <f>IF(AD210="","",IF(ISNUMBER(AD210),AD210-TODAY(),"Check date"))</f>
        <v/>
      </c>
      <c r="AG210" s="28">
        <f>IF(AF210="","",IF(ISNUMBER(AF210),IF(AF210&lt;0,"Expired",IF(AF210&lt;=30,"Due ≤30 days",IF(AF210&lt;=90,"Due ≤90 days","OK"))),"Check date"))</f>
        <v/>
      </c>
      <c r="AH210" s="22" t="n"/>
      <c r="AI210" s="22" t="n"/>
      <c r="AJ210" s="22" t="n"/>
      <c r="AK210" s="22" t="n"/>
    </row>
    <row r="211">
      <c r="A211" s="22" t="n"/>
      <c r="B211" s="22" t="n"/>
      <c r="C211" s="22" t="n"/>
      <c r="D211" s="22" t="n"/>
      <c r="E211" s="22" t="n"/>
      <c r="F211" s="22" t="n"/>
      <c r="G211" s="23" t="n"/>
      <c r="H211" s="22" t="n"/>
      <c r="I211" s="23" t="n"/>
      <c r="J211" s="22" t="n"/>
      <c r="K211" s="23" t="n"/>
      <c r="L211" s="22" t="n"/>
      <c r="M211" s="23" t="n"/>
      <c r="N211" s="22" t="n"/>
      <c r="O211" s="22" t="n"/>
      <c r="P211" s="22" t="n"/>
      <c r="Q211" s="23" t="n"/>
      <c r="R211" s="22" t="n"/>
      <c r="S211" s="23" t="n"/>
      <c r="T211" s="22" t="n"/>
      <c r="U211" s="23" t="n"/>
      <c r="V211" s="24" t="n"/>
      <c r="W211" s="25">
        <f>IF(ISNUMBER(U211),U211+IF(ISNUMBER(V211),V211,120),"")</f>
        <v/>
      </c>
      <c r="X211" s="22" t="n"/>
      <c r="Y211" s="23" t="n"/>
      <c r="Z211" s="22" t="n"/>
      <c r="AA211" s="23" t="n"/>
      <c r="AB211" s="24" t="n"/>
      <c r="AC211" s="26">
        <f>IF(ISNUMBER(AD211)=FALSE,"",IF(G211=AD211,"State license",IF(I211=AD211,"DEA registration",IF(K211=AD211,"State CSR",IF(M211=AD211,"Board certification",IF(Q211=AD211,"Malpractice",IF(S211=AD211,"Life support",IF(W211=AD211,"CAQH re-attestation",IF(Y211=AD211,"Privileges reappointment","Payer recredentialing")))))))))</f>
        <v/>
      </c>
      <c r="AD211" s="25">
        <f>IF(OR(AND(LEN(G211)&gt;0,ISNUMBER(G211)=FALSE),AND(LEN(I211)&gt;0,ISNUMBER(I211)=FALSE),AND(LEN(K211)&gt;0,ISNUMBER(K211)=FALSE),AND(LEN(M211)&gt;0,ISNUMBER(M211)=FALSE),AND(LEN(Q211)&gt;0,ISNUMBER(Q211)=FALSE),AND(LEN(S211)&gt;0,ISNUMBER(S211)=FALSE),AND(LEN(Y211)&gt;0,ISNUMBER(Y211)=FALSE),AND(LEN(AA211)&gt;0,ISNUMBER(AA211)=FALSE),AND(LEN(U211)&gt;0,ISNUMBER(U211)=FALSE)),"Check date",IF(COUNT(G211,I211,K211,M211,Q211,S211,W211,Y211,AA211)=0,"",MIN(G211,I211,K211,M211,Q211,S211,W211,Y211,AA211)))</f>
        <v/>
      </c>
      <c r="AE211" s="25">
        <f>IF(ISNUMBER(AD211),AD211-IF(ISNUMBER(AB211),AB211,30),"")</f>
        <v/>
      </c>
      <c r="AF211" s="27">
        <f>IF(AD211="","",IF(ISNUMBER(AD211),AD211-TODAY(),"Check date"))</f>
        <v/>
      </c>
      <c r="AG211" s="28">
        <f>IF(AF211="","",IF(ISNUMBER(AF211),IF(AF211&lt;0,"Expired",IF(AF211&lt;=30,"Due ≤30 days",IF(AF211&lt;=90,"Due ≤90 days","OK"))),"Check date"))</f>
        <v/>
      </c>
      <c r="AH211" s="22" t="n"/>
      <c r="AI211" s="22" t="n"/>
      <c r="AJ211" s="22" t="n"/>
      <c r="AK211" s="22" t="n"/>
    </row>
    <row r="212">
      <c r="A212" s="22" t="n"/>
      <c r="B212" s="22" t="n"/>
      <c r="C212" s="22" t="n"/>
      <c r="D212" s="22" t="n"/>
      <c r="E212" s="22" t="n"/>
      <c r="F212" s="22" t="n"/>
      <c r="G212" s="23" t="n"/>
      <c r="H212" s="22" t="n"/>
      <c r="I212" s="23" t="n"/>
      <c r="J212" s="22" t="n"/>
      <c r="K212" s="23" t="n"/>
      <c r="L212" s="22" t="n"/>
      <c r="M212" s="23" t="n"/>
      <c r="N212" s="22" t="n"/>
      <c r="O212" s="22" t="n"/>
      <c r="P212" s="22" t="n"/>
      <c r="Q212" s="23" t="n"/>
      <c r="R212" s="22" t="n"/>
      <c r="S212" s="23" t="n"/>
      <c r="T212" s="22" t="n"/>
      <c r="U212" s="23" t="n"/>
      <c r="V212" s="24" t="n"/>
      <c r="W212" s="25">
        <f>IF(ISNUMBER(U212),U212+IF(ISNUMBER(V212),V212,120),"")</f>
        <v/>
      </c>
      <c r="X212" s="22" t="n"/>
      <c r="Y212" s="23" t="n"/>
      <c r="Z212" s="22" t="n"/>
      <c r="AA212" s="23" t="n"/>
      <c r="AB212" s="24" t="n"/>
      <c r="AC212" s="26">
        <f>IF(ISNUMBER(AD212)=FALSE,"",IF(G212=AD212,"State license",IF(I212=AD212,"DEA registration",IF(K212=AD212,"State CSR",IF(M212=AD212,"Board certification",IF(Q212=AD212,"Malpractice",IF(S212=AD212,"Life support",IF(W212=AD212,"CAQH re-attestation",IF(Y212=AD212,"Privileges reappointment","Payer recredentialing")))))))))</f>
        <v/>
      </c>
      <c r="AD212" s="25">
        <f>IF(OR(AND(LEN(G212)&gt;0,ISNUMBER(G212)=FALSE),AND(LEN(I212)&gt;0,ISNUMBER(I212)=FALSE),AND(LEN(K212)&gt;0,ISNUMBER(K212)=FALSE),AND(LEN(M212)&gt;0,ISNUMBER(M212)=FALSE),AND(LEN(Q212)&gt;0,ISNUMBER(Q212)=FALSE),AND(LEN(S212)&gt;0,ISNUMBER(S212)=FALSE),AND(LEN(Y212)&gt;0,ISNUMBER(Y212)=FALSE),AND(LEN(AA212)&gt;0,ISNUMBER(AA212)=FALSE),AND(LEN(U212)&gt;0,ISNUMBER(U212)=FALSE)),"Check date",IF(COUNT(G212,I212,K212,M212,Q212,S212,W212,Y212,AA212)=0,"",MIN(G212,I212,K212,M212,Q212,S212,W212,Y212,AA212)))</f>
        <v/>
      </c>
      <c r="AE212" s="25">
        <f>IF(ISNUMBER(AD212),AD212-IF(ISNUMBER(AB212),AB212,30),"")</f>
        <v/>
      </c>
      <c r="AF212" s="27">
        <f>IF(AD212="","",IF(ISNUMBER(AD212),AD212-TODAY(),"Check date"))</f>
        <v/>
      </c>
      <c r="AG212" s="28">
        <f>IF(AF212="","",IF(ISNUMBER(AF212),IF(AF212&lt;0,"Expired",IF(AF212&lt;=30,"Due ≤30 days",IF(AF212&lt;=90,"Due ≤90 days","OK"))),"Check date"))</f>
        <v/>
      </c>
      <c r="AH212" s="22" t="n"/>
      <c r="AI212" s="22" t="n"/>
      <c r="AJ212" s="22" t="n"/>
      <c r="AK212" s="22" t="n"/>
    </row>
    <row r="213">
      <c r="A213" s="22" t="n"/>
      <c r="B213" s="22" t="n"/>
      <c r="C213" s="22" t="n"/>
      <c r="D213" s="22" t="n"/>
      <c r="E213" s="22" t="n"/>
      <c r="F213" s="22" t="n"/>
      <c r="G213" s="23" t="n"/>
      <c r="H213" s="22" t="n"/>
      <c r="I213" s="23" t="n"/>
      <c r="J213" s="22" t="n"/>
      <c r="K213" s="23" t="n"/>
      <c r="L213" s="22" t="n"/>
      <c r="M213" s="23" t="n"/>
      <c r="N213" s="22" t="n"/>
      <c r="O213" s="22" t="n"/>
      <c r="P213" s="22" t="n"/>
      <c r="Q213" s="23" t="n"/>
      <c r="R213" s="22" t="n"/>
      <c r="S213" s="23" t="n"/>
      <c r="T213" s="22" t="n"/>
      <c r="U213" s="23" t="n"/>
      <c r="V213" s="24" t="n"/>
      <c r="W213" s="25">
        <f>IF(ISNUMBER(U213),U213+IF(ISNUMBER(V213),V213,120),"")</f>
        <v/>
      </c>
      <c r="X213" s="22" t="n"/>
      <c r="Y213" s="23" t="n"/>
      <c r="Z213" s="22" t="n"/>
      <c r="AA213" s="23" t="n"/>
      <c r="AB213" s="24" t="n"/>
      <c r="AC213" s="26">
        <f>IF(ISNUMBER(AD213)=FALSE,"",IF(G213=AD213,"State license",IF(I213=AD213,"DEA registration",IF(K213=AD213,"State CSR",IF(M213=AD213,"Board certification",IF(Q213=AD213,"Malpractice",IF(S213=AD213,"Life support",IF(W213=AD213,"CAQH re-attestation",IF(Y213=AD213,"Privileges reappointment","Payer recredentialing")))))))))</f>
        <v/>
      </c>
      <c r="AD213" s="25">
        <f>IF(OR(AND(LEN(G213)&gt;0,ISNUMBER(G213)=FALSE),AND(LEN(I213)&gt;0,ISNUMBER(I213)=FALSE),AND(LEN(K213)&gt;0,ISNUMBER(K213)=FALSE),AND(LEN(M213)&gt;0,ISNUMBER(M213)=FALSE),AND(LEN(Q213)&gt;0,ISNUMBER(Q213)=FALSE),AND(LEN(S213)&gt;0,ISNUMBER(S213)=FALSE),AND(LEN(Y213)&gt;0,ISNUMBER(Y213)=FALSE),AND(LEN(AA213)&gt;0,ISNUMBER(AA213)=FALSE),AND(LEN(U213)&gt;0,ISNUMBER(U213)=FALSE)),"Check date",IF(COUNT(G213,I213,K213,M213,Q213,S213,W213,Y213,AA213)=0,"",MIN(G213,I213,K213,M213,Q213,S213,W213,Y213,AA213)))</f>
        <v/>
      </c>
      <c r="AE213" s="25">
        <f>IF(ISNUMBER(AD213),AD213-IF(ISNUMBER(AB213),AB213,30),"")</f>
        <v/>
      </c>
      <c r="AF213" s="27">
        <f>IF(AD213="","",IF(ISNUMBER(AD213),AD213-TODAY(),"Check date"))</f>
        <v/>
      </c>
      <c r="AG213" s="28">
        <f>IF(AF213="","",IF(ISNUMBER(AF213),IF(AF213&lt;0,"Expired",IF(AF213&lt;=30,"Due ≤30 days",IF(AF213&lt;=90,"Due ≤90 days","OK"))),"Check date"))</f>
        <v/>
      </c>
      <c r="AH213" s="22" t="n"/>
      <c r="AI213" s="22" t="n"/>
      <c r="AJ213" s="22" t="n"/>
      <c r="AK213" s="22" t="n"/>
    </row>
    <row r="214">
      <c r="A214" s="22" t="n"/>
      <c r="B214" s="22" t="n"/>
      <c r="C214" s="22" t="n"/>
      <c r="D214" s="22" t="n"/>
      <c r="E214" s="22" t="n"/>
      <c r="F214" s="22" t="n"/>
      <c r="G214" s="23" t="n"/>
      <c r="H214" s="22" t="n"/>
      <c r="I214" s="23" t="n"/>
      <c r="J214" s="22" t="n"/>
      <c r="K214" s="23" t="n"/>
      <c r="L214" s="22" t="n"/>
      <c r="M214" s="23" t="n"/>
      <c r="N214" s="22" t="n"/>
      <c r="O214" s="22" t="n"/>
      <c r="P214" s="22" t="n"/>
      <c r="Q214" s="23" t="n"/>
      <c r="R214" s="22" t="n"/>
      <c r="S214" s="23" t="n"/>
      <c r="T214" s="22" t="n"/>
      <c r="U214" s="23" t="n"/>
      <c r="V214" s="24" t="n"/>
      <c r="W214" s="25">
        <f>IF(ISNUMBER(U214),U214+IF(ISNUMBER(V214),V214,120),"")</f>
        <v/>
      </c>
      <c r="X214" s="22" t="n"/>
      <c r="Y214" s="23" t="n"/>
      <c r="Z214" s="22" t="n"/>
      <c r="AA214" s="23" t="n"/>
      <c r="AB214" s="24" t="n"/>
      <c r="AC214" s="26">
        <f>IF(ISNUMBER(AD214)=FALSE,"",IF(G214=AD214,"State license",IF(I214=AD214,"DEA registration",IF(K214=AD214,"State CSR",IF(M214=AD214,"Board certification",IF(Q214=AD214,"Malpractice",IF(S214=AD214,"Life support",IF(W214=AD214,"CAQH re-attestation",IF(Y214=AD214,"Privileges reappointment","Payer recredentialing")))))))))</f>
        <v/>
      </c>
      <c r="AD214" s="25">
        <f>IF(OR(AND(LEN(G214)&gt;0,ISNUMBER(G214)=FALSE),AND(LEN(I214)&gt;0,ISNUMBER(I214)=FALSE),AND(LEN(K214)&gt;0,ISNUMBER(K214)=FALSE),AND(LEN(M214)&gt;0,ISNUMBER(M214)=FALSE),AND(LEN(Q214)&gt;0,ISNUMBER(Q214)=FALSE),AND(LEN(S214)&gt;0,ISNUMBER(S214)=FALSE),AND(LEN(Y214)&gt;0,ISNUMBER(Y214)=FALSE),AND(LEN(AA214)&gt;0,ISNUMBER(AA214)=FALSE),AND(LEN(U214)&gt;0,ISNUMBER(U214)=FALSE)),"Check date",IF(COUNT(G214,I214,K214,M214,Q214,S214,W214,Y214,AA214)=0,"",MIN(G214,I214,K214,M214,Q214,S214,W214,Y214,AA214)))</f>
        <v/>
      </c>
      <c r="AE214" s="25">
        <f>IF(ISNUMBER(AD214),AD214-IF(ISNUMBER(AB214),AB214,30),"")</f>
        <v/>
      </c>
      <c r="AF214" s="27">
        <f>IF(AD214="","",IF(ISNUMBER(AD214),AD214-TODAY(),"Check date"))</f>
        <v/>
      </c>
      <c r="AG214" s="28">
        <f>IF(AF214="","",IF(ISNUMBER(AF214),IF(AF214&lt;0,"Expired",IF(AF214&lt;=30,"Due ≤30 days",IF(AF214&lt;=90,"Due ≤90 days","OK"))),"Check date"))</f>
        <v/>
      </c>
      <c r="AH214" s="22" t="n"/>
      <c r="AI214" s="22" t="n"/>
      <c r="AJ214" s="22" t="n"/>
      <c r="AK214" s="22" t="n"/>
    </row>
    <row r="215">
      <c r="A215" s="22" t="n"/>
      <c r="B215" s="22" t="n"/>
      <c r="C215" s="22" t="n"/>
      <c r="D215" s="22" t="n"/>
      <c r="E215" s="22" t="n"/>
      <c r="F215" s="22" t="n"/>
      <c r="G215" s="23" t="n"/>
      <c r="H215" s="22" t="n"/>
      <c r="I215" s="23" t="n"/>
      <c r="J215" s="22" t="n"/>
      <c r="K215" s="23" t="n"/>
      <c r="L215" s="22" t="n"/>
      <c r="M215" s="23" t="n"/>
      <c r="N215" s="22" t="n"/>
      <c r="O215" s="22" t="n"/>
      <c r="P215" s="22" t="n"/>
      <c r="Q215" s="23" t="n"/>
      <c r="R215" s="22" t="n"/>
      <c r="S215" s="23" t="n"/>
      <c r="T215" s="22" t="n"/>
      <c r="U215" s="23" t="n"/>
      <c r="V215" s="24" t="n"/>
      <c r="W215" s="25">
        <f>IF(ISNUMBER(U215),U215+IF(ISNUMBER(V215),V215,120),"")</f>
        <v/>
      </c>
      <c r="X215" s="22" t="n"/>
      <c r="Y215" s="23" t="n"/>
      <c r="Z215" s="22" t="n"/>
      <c r="AA215" s="23" t="n"/>
      <c r="AB215" s="24" t="n"/>
      <c r="AC215" s="26">
        <f>IF(ISNUMBER(AD215)=FALSE,"",IF(G215=AD215,"State license",IF(I215=AD215,"DEA registration",IF(K215=AD215,"State CSR",IF(M215=AD215,"Board certification",IF(Q215=AD215,"Malpractice",IF(S215=AD215,"Life support",IF(W215=AD215,"CAQH re-attestation",IF(Y215=AD215,"Privileges reappointment","Payer recredentialing")))))))))</f>
        <v/>
      </c>
      <c r="AD215" s="25">
        <f>IF(OR(AND(LEN(G215)&gt;0,ISNUMBER(G215)=FALSE),AND(LEN(I215)&gt;0,ISNUMBER(I215)=FALSE),AND(LEN(K215)&gt;0,ISNUMBER(K215)=FALSE),AND(LEN(M215)&gt;0,ISNUMBER(M215)=FALSE),AND(LEN(Q215)&gt;0,ISNUMBER(Q215)=FALSE),AND(LEN(S215)&gt;0,ISNUMBER(S215)=FALSE),AND(LEN(Y215)&gt;0,ISNUMBER(Y215)=FALSE),AND(LEN(AA215)&gt;0,ISNUMBER(AA215)=FALSE),AND(LEN(U215)&gt;0,ISNUMBER(U215)=FALSE)),"Check date",IF(COUNT(G215,I215,K215,M215,Q215,S215,W215,Y215,AA215)=0,"",MIN(G215,I215,K215,M215,Q215,S215,W215,Y215,AA215)))</f>
        <v/>
      </c>
      <c r="AE215" s="25">
        <f>IF(ISNUMBER(AD215),AD215-IF(ISNUMBER(AB215),AB215,30),"")</f>
        <v/>
      </c>
      <c r="AF215" s="27">
        <f>IF(AD215="","",IF(ISNUMBER(AD215),AD215-TODAY(),"Check date"))</f>
        <v/>
      </c>
      <c r="AG215" s="28">
        <f>IF(AF215="","",IF(ISNUMBER(AF215),IF(AF215&lt;0,"Expired",IF(AF215&lt;=30,"Due ≤30 days",IF(AF215&lt;=90,"Due ≤90 days","OK"))),"Check date"))</f>
        <v/>
      </c>
      <c r="AH215" s="22" t="n"/>
      <c r="AI215" s="22" t="n"/>
      <c r="AJ215" s="22" t="n"/>
      <c r="AK215" s="22" t="n"/>
    </row>
    <row r="216">
      <c r="A216" s="22" t="n"/>
      <c r="B216" s="22" t="n"/>
      <c r="C216" s="22" t="n"/>
      <c r="D216" s="22" t="n"/>
      <c r="E216" s="22" t="n"/>
      <c r="F216" s="22" t="n"/>
      <c r="G216" s="23" t="n"/>
      <c r="H216" s="22" t="n"/>
      <c r="I216" s="23" t="n"/>
      <c r="J216" s="22" t="n"/>
      <c r="K216" s="23" t="n"/>
      <c r="L216" s="22" t="n"/>
      <c r="M216" s="23" t="n"/>
      <c r="N216" s="22" t="n"/>
      <c r="O216" s="22" t="n"/>
      <c r="P216" s="22" t="n"/>
      <c r="Q216" s="23" t="n"/>
      <c r="R216" s="22" t="n"/>
      <c r="S216" s="23" t="n"/>
      <c r="T216" s="22" t="n"/>
      <c r="U216" s="23" t="n"/>
      <c r="V216" s="24" t="n"/>
      <c r="W216" s="25">
        <f>IF(ISNUMBER(U216),U216+IF(ISNUMBER(V216),V216,120),"")</f>
        <v/>
      </c>
      <c r="X216" s="22" t="n"/>
      <c r="Y216" s="23" t="n"/>
      <c r="Z216" s="22" t="n"/>
      <c r="AA216" s="23" t="n"/>
      <c r="AB216" s="24" t="n"/>
      <c r="AC216" s="26">
        <f>IF(ISNUMBER(AD216)=FALSE,"",IF(G216=AD216,"State license",IF(I216=AD216,"DEA registration",IF(K216=AD216,"State CSR",IF(M216=AD216,"Board certification",IF(Q216=AD216,"Malpractice",IF(S216=AD216,"Life support",IF(W216=AD216,"CAQH re-attestation",IF(Y216=AD216,"Privileges reappointment","Payer recredentialing")))))))))</f>
        <v/>
      </c>
      <c r="AD216" s="25">
        <f>IF(OR(AND(LEN(G216)&gt;0,ISNUMBER(G216)=FALSE),AND(LEN(I216)&gt;0,ISNUMBER(I216)=FALSE),AND(LEN(K216)&gt;0,ISNUMBER(K216)=FALSE),AND(LEN(M216)&gt;0,ISNUMBER(M216)=FALSE),AND(LEN(Q216)&gt;0,ISNUMBER(Q216)=FALSE),AND(LEN(S216)&gt;0,ISNUMBER(S216)=FALSE),AND(LEN(Y216)&gt;0,ISNUMBER(Y216)=FALSE),AND(LEN(AA216)&gt;0,ISNUMBER(AA216)=FALSE),AND(LEN(U216)&gt;0,ISNUMBER(U216)=FALSE)),"Check date",IF(COUNT(G216,I216,K216,M216,Q216,S216,W216,Y216,AA216)=0,"",MIN(G216,I216,K216,M216,Q216,S216,W216,Y216,AA216)))</f>
        <v/>
      </c>
      <c r="AE216" s="25">
        <f>IF(ISNUMBER(AD216),AD216-IF(ISNUMBER(AB216),AB216,30),"")</f>
        <v/>
      </c>
      <c r="AF216" s="27">
        <f>IF(AD216="","",IF(ISNUMBER(AD216),AD216-TODAY(),"Check date"))</f>
        <v/>
      </c>
      <c r="AG216" s="28">
        <f>IF(AF216="","",IF(ISNUMBER(AF216),IF(AF216&lt;0,"Expired",IF(AF216&lt;=30,"Due ≤30 days",IF(AF216&lt;=90,"Due ≤90 days","OK"))),"Check date"))</f>
        <v/>
      </c>
      <c r="AH216" s="22" t="n"/>
      <c r="AI216" s="22" t="n"/>
      <c r="AJ216" s="22" t="n"/>
      <c r="AK216" s="22" t="n"/>
    </row>
    <row r="217">
      <c r="A217" s="22" t="n"/>
      <c r="B217" s="22" t="n"/>
      <c r="C217" s="22" t="n"/>
      <c r="D217" s="22" t="n"/>
      <c r="E217" s="22" t="n"/>
      <c r="F217" s="22" t="n"/>
      <c r="G217" s="23" t="n"/>
      <c r="H217" s="22" t="n"/>
      <c r="I217" s="23" t="n"/>
      <c r="J217" s="22" t="n"/>
      <c r="K217" s="23" t="n"/>
      <c r="L217" s="22" t="n"/>
      <c r="M217" s="23" t="n"/>
      <c r="N217" s="22" t="n"/>
      <c r="O217" s="22" t="n"/>
      <c r="P217" s="22" t="n"/>
      <c r="Q217" s="23" t="n"/>
      <c r="R217" s="22" t="n"/>
      <c r="S217" s="23" t="n"/>
      <c r="T217" s="22" t="n"/>
      <c r="U217" s="23" t="n"/>
      <c r="V217" s="24" t="n"/>
      <c r="W217" s="25">
        <f>IF(ISNUMBER(U217),U217+IF(ISNUMBER(V217),V217,120),"")</f>
        <v/>
      </c>
      <c r="X217" s="22" t="n"/>
      <c r="Y217" s="23" t="n"/>
      <c r="Z217" s="22" t="n"/>
      <c r="AA217" s="23" t="n"/>
      <c r="AB217" s="24" t="n"/>
      <c r="AC217" s="26">
        <f>IF(ISNUMBER(AD217)=FALSE,"",IF(G217=AD217,"State license",IF(I217=AD217,"DEA registration",IF(K217=AD217,"State CSR",IF(M217=AD217,"Board certification",IF(Q217=AD217,"Malpractice",IF(S217=AD217,"Life support",IF(W217=AD217,"CAQH re-attestation",IF(Y217=AD217,"Privileges reappointment","Payer recredentialing")))))))))</f>
        <v/>
      </c>
      <c r="AD217" s="25">
        <f>IF(OR(AND(LEN(G217)&gt;0,ISNUMBER(G217)=FALSE),AND(LEN(I217)&gt;0,ISNUMBER(I217)=FALSE),AND(LEN(K217)&gt;0,ISNUMBER(K217)=FALSE),AND(LEN(M217)&gt;0,ISNUMBER(M217)=FALSE),AND(LEN(Q217)&gt;0,ISNUMBER(Q217)=FALSE),AND(LEN(S217)&gt;0,ISNUMBER(S217)=FALSE),AND(LEN(Y217)&gt;0,ISNUMBER(Y217)=FALSE),AND(LEN(AA217)&gt;0,ISNUMBER(AA217)=FALSE),AND(LEN(U217)&gt;0,ISNUMBER(U217)=FALSE)),"Check date",IF(COUNT(G217,I217,K217,M217,Q217,S217,W217,Y217,AA217)=0,"",MIN(G217,I217,K217,M217,Q217,S217,W217,Y217,AA217)))</f>
        <v/>
      </c>
      <c r="AE217" s="25">
        <f>IF(ISNUMBER(AD217),AD217-IF(ISNUMBER(AB217),AB217,30),"")</f>
        <v/>
      </c>
      <c r="AF217" s="27">
        <f>IF(AD217="","",IF(ISNUMBER(AD217),AD217-TODAY(),"Check date"))</f>
        <v/>
      </c>
      <c r="AG217" s="28">
        <f>IF(AF217="","",IF(ISNUMBER(AF217),IF(AF217&lt;0,"Expired",IF(AF217&lt;=30,"Due ≤30 days",IF(AF217&lt;=90,"Due ≤90 days","OK"))),"Check date"))</f>
        <v/>
      </c>
      <c r="AH217" s="22" t="n"/>
      <c r="AI217" s="22" t="n"/>
      <c r="AJ217" s="22" t="n"/>
      <c r="AK217" s="22" t="n"/>
    </row>
    <row r="218">
      <c r="A218" s="22" t="n"/>
      <c r="B218" s="22" t="n"/>
      <c r="C218" s="22" t="n"/>
      <c r="D218" s="22" t="n"/>
      <c r="E218" s="22" t="n"/>
      <c r="F218" s="22" t="n"/>
      <c r="G218" s="23" t="n"/>
      <c r="H218" s="22" t="n"/>
      <c r="I218" s="23" t="n"/>
      <c r="J218" s="22" t="n"/>
      <c r="K218" s="23" t="n"/>
      <c r="L218" s="22" t="n"/>
      <c r="M218" s="23" t="n"/>
      <c r="N218" s="22" t="n"/>
      <c r="O218" s="22" t="n"/>
      <c r="P218" s="22" t="n"/>
      <c r="Q218" s="23" t="n"/>
      <c r="R218" s="22" t="n"/>
      <c r="S218" s="23" t="n"/>
      <c r="T218" s="22" t="n"/>
      <c r="U218" s="23" t="n"/>
      <c r="V218" s="24" t="n"/>
      <c r="W218" s="25">
        <f>IF(ISNUMBER(U218),U218+IF(ISNUMBER(V218),V218,120),"")</f>
        <v/>
      </c>
      <c r="X218" s="22" t="n"/>
      <c r="Y218" s="23" t="n"/>
      <c r="Z218" s="22" t="n"/>
      <c r="AA218" s="23" t="n"/>
      <c r="AB218" s="24" t="n"/>
      <c r="AC218" s="26">
        <f>IF(ISNUMBER(AD218)=FALSE,"",IF(G218=AD218,"State license",IF(I218=AD218,"DEA registration",IF(K218=AD218,"State CSR",IF(M218=AD218,"Board certification",IF(Q218=AD218,"Malpractice",IF(S218=AD218,"Life support",IF(W218=AD218,"CAQH re-attestation",IF(Y218=AD218,"Privileges reappointment","Payer recredentialing")))))))))</f>
        <v/>
      </c>
      <c r="AD218" s="25">
        <f>IF(OR(AND(LEN(G218)&gt;0,ISNUMBER(G218)=FALSE),AND(LEN(I218)&gt;0,ISNUMBER(I218)=FALSE),AND(LEN(K218)&gt;0,ISNUMBER(K218)=FALSE),AND(LEN(M218)&gt;0,ISNUMBER(M218)=FALSE),AND(LEN(Q218)&gt;0,ISNUMBER(Q218)=FALSE),AND(LEN(S218)&gt;0,ISNUMBER(S218)=FALSE),AND(LEN(Y218)&gt;0,ISNUMBER(Y218)=FALSE),AND(LEN(AA218)&gt;0,ISNUMBER(AA218)=FALSE),AND(LEN(U218)&gt;0,ISNUMBER(U218)=FALSE)),"Check date",IF(COUNT(G218,I218,K218,M218,Q218,S218,W218,Y218,AA218)=0,"",MIN(G218,I218,K218,M218,Q218,S218,W218,Y218,AA218)))</f>
        <v/>
      </c>
      <c r="AE218" s="25">
        <f>IF(ISNUMBER(AD218),AD218-IF(ISNUMBER(AB218),AB218,30),"")</f>
        <v/>
      </c>
      <c r="AF218" s="27">
        <f>IF(AD218="","",IF(ISNUMBER(AD218),AD218-TODAY(),"Check date"))</f>
        <v/>
      </c>
      <c r="AG218" s="28">
        <f>IF(AF218="","",IF(ISNUMBER(AF218),IF(AF218&lt;0,"Expired",IF(AF218&lt;=30,"Due ≤30 days",IF(AF218&lt;=90,"Due ≤90 days","OK"))),"Check date"))</f>
        <v/>
      </c>
      <c r="AH218" s="22" t="n"/>
      <c r="AI218" s="22" t="n"/>
      <c r="AJ218" s="22" t="n"/>
      <c r="AK218" s="22" t="n"/>
    </row>
    <row r="219">
      <c r="A219" s="22" t="n"/>
      <c r="B219" s="22" t="n"/>
      <c r="C219" s="22" t="n"/>
      <c r="D219" s="22" t="n"/>
      <c r="E219" s="22" t="n"/>
      <c r="F219" s="22" t="n"/>
      <c r="G219" s="23" t="n"/>
      <c r="H219" s="22" t="n"/>
      <c r="I219" s="23" t="n"/>
      <c r="J219" s="22" t="n"/>
      <c r="K219" s="23" t="n"/>
      <c r="L219" s="22" t="n"/>
      <c r="M219" s="23" t="n"/>
      <c r="N219" s="22" t="n"/>
      <c r="O219" s="22" t="n"/>
      <c r="P219" s="22" t="n"/>
      <c r="Q219" s="23" t="n"/>
      <c r="R219" s="22" t="n"/>
      <c r="S219" s="23" t="n"/>
      <c r="T219" s="22" t="n"/>
      <c r="U219" s="23" t="n"/>
      <c r="V219" s="24" t="n"/>
      <c r="W219" s="25">
        <f>IF(ISNUMBER(U219),U219+IF(ISNUMBER(V219),V219,120),"")</f>
        <v/>
      </c>
      <c r="X219" s="22" t="n"/>
      <c r="Y219" s="23" t="n"/>
      <c r="Z219" s="22" t="n"/>
      <c r="AA219" s="23" t="n"/>
      <c r="AB219" s="24" t="n"/>
      <c r="AC219" s="26">
        <f>IF(ISNUMBER(AD219)=FALSE,"",IF(G219=AD219,"State license",IF(I219=AD219,"DEA registration",IF(K219=AD219,"State CSR",IF(M219=AD219,"Board certification",IF(Q219=AD219,"Malpractice",IF(S219=AD219,"Life support",IF(W219=AD219,"CAQH re-attestation",IF(Y219=AD219,"Privileges reappointment","Payer recredentialing")))))))))</f>
        <v/>
      </c>
      <c r="AD219" s="25">
        <f>IF(OR(AND(LEN(G219)&gt;0,ISNUMBER(G219)=FALSE),AND(LEN(I219)&gt;0,ISNUMBER(I219)=FALSE),AND(LEN(K219)&gt;0,ISNUMBER(K219)=FALSE),AND(LEN(M219)&gt;0,ISNUMBER(M219)=FALSE),AND(LEN(Q219)&gt;0,ISNUMBER(Q219)=FALSE),AND(LEN(S219)&gt;0,ISNUMBER(S219)=FALSE),AND(LEN(Y219)&gt;0,ISNUMBER(Y219)=FALSE),AND(LEN(AA219)&gt;0,ISNUMBER(AA219)=FALSE),AND(LEN(U219)&gt;0,ISNUMBER(U219)=FALSE)),"Check date",IF(COUNT(G219,I219,K219,M219,Q219,S219,W219,Y219,AA219)=0,"",MIN(G219,I219,K219,M219,Q219,S219,W219,Y219,AA219)))</f>
        <v/>
      </c>
      <c r="AE219" s="25">
        <f>IF(ISNUMBER(AD219),AD219-IF(ISNUMBER(AB219),AB219,30),"")</f>
        <v/>
      </c>
      <c r="AF219" s="27">
        <f>IF(AD219="","",IF(ISNUMBER(AD219),AD219-TODAY(),"Check date"))</f>
        <v/>
      </c>
      <c r="AG219" s="28">
        <f>IF(AF219="","",IF(ISNUMBER(AF219),IF(AF219&lt;0,"Expired",IF(AF219&lt;=30,"Due ≤30 days",IF(AF219&lt;=90,"Due ≤90 days","OK"))),"Check date"))</f>
        <v/>
      </c>
      <c r="AH219" s="22" t="n"/>
      <c r="AI219" s="22" t="n"/>
      <c r="AJ219" s="22" t="n"/>
      <c r="AK219" s="22" t="n"/>
    </row>
    <row r="220">
      <c r="A220" s="22" t="n"/>
      <c r="B220" s="22" t="n"/>
      <c r="C220" s="22" t="n"/>
      <c r="D220" s="22" t="n"/>
      <c r="E220" s="22" t="n"/>
      <c r="F220" s="22" t="n"/>
      <c r="G220" s="23" t="n"/>
      <c r="H220" s="22" t="n"/>
      <c r="I220" s="23" t="n"/>
      <c r="J220" s="22" t="n"/>
      <c r="K220" s="23" t="n"/>
      <c r="L220" s="22" t="n"/>
      <c r="M220" s="23" t="n"/>
      <c r="N220" s="22" t="n"/>
      <c r="O220" s="22" t="n"/>
      <c r="P220" s="22" t="n"/>
      <c r="Q220" s="23" t="n"/>
      <c r="R220" s="22" t="n"/>
      <c r="S220" s="23" t="n"/>
      <c r="T220" s="22" t="n"/>
      <c r="U220" s="23" t="n"/>
      <c r="V220" s="24" t="n"/>
      <c r="W220" s="25">
        <f>IF(ISNUMBER(U220),U220+IF(ISNUMBER(V220),V220,120),"")</f>
        <v/>
      </c>
      <c r="X220" s="22" t="n"/>
      <c r="Y220" s="23" t="n"/>
      <c r="Z220" s="22" t="n"/>
      <c r="AA220" s="23" t="n"/>
      <c r="AB220" s="24" t="n"/>
      <c r="AC220" s="26">
        <f>IF(ISNUMBER(AD220)=FALSE,"",IF(G220=AD220,"State license",IF(I220=AD220,"DEA registration",IF(K220=AD220,"State CSR",IF(M220=AD220,"Board certification",IF(Q220=AD220,"Malpractice",IF(S220=AD220,"Life support",IF(W220=AD220,"CAQH re-attestation",IF(Y220=AD220,"Privileges reappointment","Payer recredentialing")))))))))</f>
        <v/>
      </c>
      <c r="AD220" s="25">
        <f>IF(OR(AND(LEN(G220)&gt;0,ISNUMBER(G220)=FALSE),AND(LEN(I220)&gt;0,ISNUMBER(I220)=FALSE),AND(LEN(K220)&gt;0,ISNUMBER(K220)=FALSE),AND(LEN(M220)&gt;0,ISNUMBER(M220)=FALSE),AND(LEN(Q220)&gt;0,ISNUMBER(Q220)=FALSE),AND(LEN(S220)&gt;0,ISNUMBER(S220)=FALSE),AND(LEN(Y220)&gt;0,ISNUMBER(Y220)=FALSE),AND(LEN(AA220)&gt;0,ISNUMBER(AA220)=FALSE),AND(LEN(U220)&gt;0,ISNUMBER(U220)=FALSE)),"Check date",IF(COUNT(G220,I220,K220,M220,Q220,S220,W220,Y220,AA220)=0,"",MIN(G220,I220,K220,M220,Q220,S220,W220,Y220,AA220)))</f>
        <v/>
      </c>
      <c r="AE220" s="25">
        <f>IF(ISNUMBER(AD220),AD220-IF(ISNUMBER(AB220),AB220,30),"")</f>
        <v/>
      </c>
      <c r="AF220" s="27">
        <f>IF(AD220="","",IF(ISNUMBER(AD220),AD220-TODAY(),"Check date"))</f>
        <v/>
      </c>
      <c r="AG220" s="28">
        <f>IF(AF220="","",IF(ISNUMBER(AF220),IF(AF220&lt;0,"Expired",IF(AF220&lt;=30,"Due ≤30 days",IF(AF220&lt;=90,"Due ≤90 days","OK"))),"Check date"))</f>
        <v/>
      </c>
      <c r="AH220" s="22" t="n"/>
      <c r="AI220" s="22" t="n"/>
      <c r="AJ220" s="22" t="n"/>
      <c r="AK220" s="22" t="n"/>
    </row>
    <row r="221">
      <c r="A221" s="22" t="n"/>
      <c r="B221" s="22" t="n"/>
      <c r="C221" s="22" t="n"/>
      <c r="D221" s="22" t="n"/>
      <c r="E221" s="22" t="n"/>
      <c r="F221" s="22" t="n"/>
      <c r="G221" s="23" t="n"/>
      <c r="H221" s="22" t="n"/>
      <c r="I221" s="23" t="n"/>
      <c r="J221" s="22" t="n"/>
      <c r="K221" s="23" t="n"/>
      <c r="L221" s="22" t="n"/>
      <c r="M221" s="23" t="n"/>
      <c r="N221" s="22" t="n"/>
      <c r="O221" s="22" t="n"/>
      <c r="P221" s="22" t="n"/>
      <c r="Q221" s="23" t="n"/>
      <c r="R221" s="22" t="n"/>
      <c r="S221" s="23" t="n"/>
      <c r="T221" s="22" t="n"/>
      <c r="U221" s="23" t="n"/>
      <c r="V221" s="24" t="n"/>
      <c r="W221" s="25">
        <f>IF(ISNUMBER(U221),U221+IF(ISNUMBER(V221),V221,120),"")</f>
        <v/>
      </c>
      <c r="X221" s="22" t="n"/>
      <c r="Y221" s="23" t="n"/>
      <c r="Z221" s="22" t="n"/>
      <c r="AA221" s="23" t="n"/>
      <c r="AB221" s="24" t="n"/>
      <c r="AC221" s="26">
        <f>IF(ISNUMBER(AD221)=FALSE,"",IF(G221=AD221,"State license",IF(I221=AD221,"DEA registration",IF(K221=AD221,"State CSR",IF(M221=AD221,"Board certification",IF(Q221=AD221,"Malpractice",IF(S221=AD221,"Life support",IF(W221=AD221,"CAQH re-attestation",IF(Y221=AD221,"Privileges reappointment","Payer recredentialing")))))))))</f>
        <v/>
      </c>
      <c r="AD221" s="25">
        <f>IF(OR(AND(LEN(G221)&gt;0,ISNUMBER(G221)=FALSE),AND(LEN(I221)&gt;0,ISNUMBER(I221)=FALSE),AND(LEN(K221)&gt;0,ISNUMBER(K221)=FALSE),AND(LEN(M221)&gt;0,ISNUMBER(M221)=FALSE),AND(LEN(Q221)&gt;0,ISNUMBER(Q221)=FALSE),AND(LEN(S221)&gt;0,ISNUMBER(S221)=FALSE),AND(LEN(Y221)&gt;0,ISNUMBER(Y221)=FALSE),AND(LEN(AA221)&gt;0,ISNUMBER(AA221)=FALSE),AND(LEN(U221)&gt;0,ISNUMBER(U221)=FALSE)),"Check date",IF(COUNT(G221,I221,K221,M221,Q221,S221,W221,Y221,AA221)=0,"",MIN(G221,I221,K221,M221,Q221,S221,W221,Y221,AA221)))</f>
        <v/>
      </c>
      <c r="AE221" s="25">
        <f>IF(ISNUMBER(AD221),AD221-IF(ISNUMBER(AB221),AB221,30),"")</f>
        <v/>
      </c>
      <c r="AF221" s="27">
        <f>IF(AD221="","",IF(ISNUMBER(AD221),AD221-TODAY(),"Check date"))</f>
        <v/>
      </c>
      <c r="AG221" s="28">
        <f>IF(AF221="","",IF(ISNUMBER(AF221),IF(AF221&lt;0,"Expired",IF(AF221&lt;=30,"Due ≤30 days",IF(AF221&lt;=90,"Due ≤90 days","OK"))),"Check date"))</f>
        <v/>
      </c>
      <c r="AH221" s="22" t="n"/>
      <c r="AI221" s="22" t="n"/>
      <c r="AJ221" s="22" t="n"/>
      <c r="AK221" s="22" t="n"/>
    </row>
    <row r="222">
      <c r="A222" s="22" t="n"/>
      <c r="B222" s="22" t="n"/>
      <c r="C222" s="22" t="n"/>
      <c r="D222" s="22" t="n"/>
      <c r="E222" s="22" t="n"/>
      <c r="F222" s="22" t="n"/>
      <c r="G222" s="23" t="n"/>
      <c r="H222" s="22" t="n"/>
      <c r="I222" s="23" t="n"/>
      <c r="J222" s="22" t="n"/>
      <c r="K222" s="23" t="n"/>
      <c r="L222" s="22" t="n"/>
      <c r="M222" s="23" t="n"/>
      <c r="N222" s="22" t="n"/>
      <c r="O222" s="22" t="n"/>
      <c r="P222" s="22" t="n"/>
      <c r="Q222" s="23" t="n"/>
      <c r="R222" s="22" t="n"/>
      <c r="S222" s="23" t="n"/>
      <c r="T222" s="22" t="n"/>
      <c r="U222" s="23" t="n"/>
      <c r="V222" s="24" t="n"/>
      <c r="W222" s="25">
        <f>IF(ISNUMBER(U222),U222+IF(ISNUMBER(V222),V222,120),"")</f>
        <v/>
      </c>
      <c r="X222" s="22" t="n"/>
      <c r="Y222" s="23" t="n"/>
      <c r="Z222" s="22" t="n"/>
      <c r="AA222" s="23" t="n"/>
      <c r="AB222" s="24" t="n"/>
      <c r="AC222" s="26">
        <f>IF(ISNUMBER(AD222)=FALSE,"",IF(G222=AD222,"State license",IF(I222=AD222,"DEA registration",IF(K222=AD222,"State CSR",IF(M222=AD222,"Board certification",IF(Q222=AD222,"Malpractice",IF(S222=AD222,"Life support",IF(W222=AD222,"CAQH re-attestation",IF(Y222=AD222,"Privileges reappointment","Payer recredentialing")))))))))</f>
        <v/>
      </c>
      <c r="AD222" s="25">
        <f>IF(OR(AND(LEN(G222)&gt;0,ISNUMBER(G222)=FALSE),AND(LEN(I222)&gt;0,ISNUMBER(I222)=FALSE),AND(LEN(K222)&gt;0,ISNUMBER(K222)=FALSE),AND(LEN(M222)&gt;0,ISNUMBER(M222)=FALSE),AND(LEN(Q222)&gt;0,ISNUMBER(Q222)=FALSE),AND(LEN(S222)&gt;0,ISNUMBER(S222)=FALSE),AND(LEN(Y222)&gt;0,ISNUMBER(Y222)=FALSE),AND(LEN(AA222)&gt;0,ISNUMBER(AA222)=FALSE),AND(LEN(U222)&gt;0,ISNUMBER(U222)=FALSE)),"Check date",IF(COUNT(G222,I222,K222,M222,Q222,S222,W222,Y222,AA222)=0,"",MIN(G222,I222,K222,M222,Q222,S222,W222,Y222,AA222)))</f>
        <v/>
      </c>
      <c r="AE222" s="25">
        <f>IF(ISNUMBER(AD222),AD222-IF(ISNUMBER(AB222),AB222,30),"")</f>
        <v/>
      </c>
      <c r="AF222" s="27">
        <f>IF(AD222="","",IF(ISNUMBER(AD222),AD222-TODAY(),"Check date"))</f>
        <v/>
      </c>
      <c r="AG222" s="28">
        <f>IF(AF222="","",IF(ISNUMBER(AF222),IF(AF222&lt;0,"Expired",IF(AF222&lt;=30,"Due ≤30 days",IF(AF222&lt;=90,"Due ≤90 days","OK"))),"Check date"))</f>
        <v/>
      </c>
      <c r="AH222" s="22" t="n"/>
      <c r="AI222" s="22" t="n"/>
      <c r="AJ222" s="22" t="n"/>
      <c r="AK222" s="22" t="n"/>
    </row>
    <row r="223">
      <c r="A223" s="22" t="n"/>
      <c r="B223" s="22" t="n"/>
      <c r="C223" s="22" t="n"/>
      <c r="D223" s="22" t="n"/>
      <c r="E223" s="22" t="n"/>
      <c r="F223" s="22" t="n"/>
      <c r="G223" s="23" t="n"/>
      <c r="H223" s="22" t="n"/>
      <c r="I223" s="23" t="n"/>
      <c r="J223" s="22" t="n"/>
      <c r="K223" s="23" t="n"/>
      <c r="L223" s="22" t="n"/>
      <c r="M223" s="23" t="n"/>
      <c r="N223" s="22" t="n"/>
      <c r="O223" s="22" t="n"/>
      <c r="P223" s="22" t="n"/>
      <c r="Q223" s="23" t="n"/>
      <c r="R223" s="22" t="n"/>
      <c r="S223" s="23" t="n"/>
      <c r="T223" s="22" t="n"/>
      <c r="U223" s="23" t="n"/>
      <c r="V223" s="24" t="n"/>
      <c r="W223" s="25">
        <f>IF(ISNUMBER(U223),U223+IF(ISNUMBER(V223),V223,120),"")</f>
        <v/>
      </c>
      <c r="X223" s="22" t="n"/>
      <c r="Y223" s="23" t="n"/>
      <c r="Z223" s="22" t="n"/>
      <c r="AA223" s="23" t="n"/>
      <c r="AB223" s="24" t="n"/>
      <c r="AC223" s="26">
        <f>IF(ISNUMBER(AD223)=FALSE,"",IF(G223=AD223,"State license",IF(I223=AD223,"DEA registration",IF(K223=AD223,"State CSR",IF(M223=AD223,"Board certification",IF(Q223=AD223,"Malpractice",IF(S223=AD223,"Life support",IF(W223=AD223,"CAQH re-attestation",IF(Y223=AD223,"Privileges reappointment","Payer recredentialing")))))))))</f>
        <v/>
      </c>
      <c r="AD223" s="25">
        <f>IF(OR(AND(LEN(G223)&gt;0,ISNUMBER(G223)=FALSE),AND(LEN(I223)&gt;0,ISNUMBER(I223)=FALSE),AND(LEN(K223)&gt;0,ISNUMBER(K223)=FALSE),AND(LEN(M223)&gt;0,ISNUMBER(M223)=FALSE),AND(LEN(Q223)&gt;0,ISNUMBER(Q223)=FALSE),AND(LEN(S223)&gt;0,ISNUMBER(S223)=FALSE),AND(LEN(Y223)&gt;0,ISNUMBER(Y223)=FALSE),AND(LEN(AA223)&gt;0,ISNUMBER(AA223)=FALSE),AND(LEN(U223)&gt;0,ISNUMBER(U223)=FALSE)),"Check date",IF(COUNT(G223,I223,K223,M223,Q223,S223,W223,Y223,AA223)=0,"",MIN(G223,I223,K223,M223,Q223,S223,W223,Y223,AA223)))</f>
        <v/>
      </c>
      <c r="AE223" s="25">
        <f>IF(ISNUMBER(AD223),AD223-IF(ISNUMBER(AB223),AB223,30),"")</f>
        <v/>
      </c>
      <c r="AF223" s="27">
        <f>IF(AD223="","",IF(ISNUMBER(AD223),AD223-TODAY(),"Check date"))</f>
        <v/>
      </c>
      <c r="AG223" s="28">
        <f>IF(AF223="","",IF(ISNUMBER(AF223),IF(AF223&lt;0,"Expired",IF(AF223&lt;=30,"Due ≤30 days",IF(AF223&lt;=90,"Due ≤90 days","OK"))),"Check date"))</f>
        <v/>
      </c>
      <c r="AH223" s="22" t="n"/>
      <c r="AI223" s="22" t="n"/>
      <c r="AJ223" s="22" t="n"/>
      <c r="AK223" s="22" t="n"/>
    </row>
    <row r="224">
      <c r="A224" s="22" t="n"/>
      <c r="B224" s="22" t="n"/>
      <c r="C224" s="22" t="n"/>
      <c r="D224" s="22" t="n"/>
      <c r="E224" s="22" t="n"/>
      <c r="F224" s="22" t="n"/>
      <c r="G224" s="23" t="n"/>
      <c r="H224" s="22" t="n"/>
      <c r="I224" s="23" t="n"/>
      <c r="J224" s="22" t="n"/>
      <c r="K224" s="23" t="n"/>
      <c r="L224" s="22" t="n"/>
      <c r="M224" s="23" t="n"/>
      <c r="N224" s="22" t="n"/>
      <c r="O224" s="22" t="n"/>
      <c r="P224" s="22" t="n"/>
      <c r="Q224" s="23" t="n"/>
      <c r="R224" s="22" t="n"/>
      <c r="S224" s="23" t="n"/>
      <c r="T224" s="22" t="n"/>
      <c r="U224" s="23" t="n"/>
      <c r="V224" s="24" t="n"/>
      <c r="W224" s="25">
        <f>IF(ISNUMBER(U224),U224+IF(ISNUMBER(V224),V224,120),"")</f>
        <v/>
      </c>
      <c r="X224" s="22" t="n"/>
      <c r="Y224" s="23" t="n"/>
      <c r="Z224" s="22" t="n"/>
      <c r="AA224" s="23" t="n"/>
      <c r="AB224" s="24" t="n"/>
      <c r="AC224" s="26">
        <f>IF(ISNUMBER(AD224)=FALSE,"",IF(G224=AD224,"State license",IF(I224=AD224,"DEA registration",IF(K224=AD224,"State CSR",IF(M224=AD224,"Board certification",IF(Q224=AD224,"Malpractice",IF(S224=AD224,"Life support",IF(W224=AD224,"CAQH re-attestation",IF(Y224=AD224,"Privileges reappointment","Payer recredentialing")))))))))</f>
        <v/>
      </c>
      <c r="AD224" s="25">
        <f>IF(OR(AND(LEN(G224)&gt;0,ISNUMBER(G224)=FALSE),AND(LEN(I224)&gt;0,ISNUMBER(I224)=FALSE),AND(LEN(K224)&gt;0,ISNUMBER(K224)=FALSE),AND(LEN(M224)&gt;0,ISNUMBER(M224)=FALSE),AND(LEN(Q224)&gt;0,ISNUMBER(Q224)=FALSE),AND(LEN(S224)&gt;0,ISNUMBER(S224)=FALSE),AND(LEN(Y224)&gt;0,ISNUMBER(Y224)=FALSE),AND(LEN(AA224)&gt;0,ISNUMBER(AA224)=FALSE),AND(LEN(U224)&gt;0,ISNUMBER(U224)=FALSE)),"Check date",IF(COUNT(G224,I224,K224,M224,Q224,S224,W224,Y224,AA224)=0,"",MIN(G224,I224,K224,M224,Q224,S224,W224,Y224,AA224)))</f>
        <v/>
      </c>
      <c r="AE224" s="25">
        <f>IF(ISNUMBER(AD224),AD224-IF(ISNUMBER(AB224),AB224,30),"")</f>
        <v/>
      </c>
      <c r="AF224" s="27">
        <f>IF(AD224="","",IF(ISNUMBER(AD224),AD224-TODAY(),"Check date"))</f>
        <v/>
      </c>
      <c r="AG224" s="28">
        <f>IF(AF224="","",IF(ISNUMBER(AF224),IF(AF224&lt;0,"Expired",IF(AF224&lt;=30,"Due ≤30 days",IF(AF224&lt;=90,"Due ≤90 days","OK"))),"Check date"))</f>
        <v/>
      </c>
      <c r="AH224" s="22" t="n"/>
      <c r="AI224" s="22" t="n"/>
      <c r="AJ224" s="22" t="n"/>
      <c r="AK224" s="22" t="n"/>
    </row>
    <row r="225">
      <c r="A225" s="22" t="n"/>
      <c r="B225" s="22" t="n"/>
      <c r="C225" s="22" t="n"/>
      <c r="D225" s="22" t="n"/>
      <c r="E225" s="22" t="n"/>
      <c r="F225" s="22" t="n"/>
      <c r="G225" s="23" t="n"/>
      <c r="H225" s="22" t="n"/>
      <c r="I225" s="23" t="n"/>
      <c r="J225" s="22" t="n"/>
      <c r="K225" s="23" t="n"/>
      <c r="L225" s="22" t="n"/>
      <c r="M225" s="23" t="n"/>
      <c r="N225" s="22" t="n"/>
      <c r="O225" s="22" t="n"/>
      <c r="P225" s="22" t="n"/>
      <c r="Q225" s="23" t="n"/>
      <c r="R225" s="22" t="n"/>
      <c r="S225" s="23" t="n"/>
      <c r="T225" s="22" t="n"/>
      <c r="U225" s="23" t="n"/>
      <c r="V225" s="24" t="n"/>
      <c r="W225" s="25">
        <f>IF(ISNUMBER(U225),U225+IF(ISNUMBER(V225),V225,120),"")</f>
        <v/>
      </c>
      <c r="X225" s="22" t="n"/>
      <c r="Y225" s="23" t="n"/>
      <c r="Z225" s="22" t="n"/>
      <c r="AA225" s="23" t="n"/>
      <c r="AB225" s="24" t="n"/>
      <c r="AC225" s="26">
        <f>IF(ISNUMBER(AD225)=FALSE,"",IF(G225=AD225,"State license",IF(I225=AD225,"DEA registration",IF(K225=AD225,"State CSR",IF(M225=AD225,"Board certification",IF(Q225=AD225,"Malpractice",IF(S225=AD225,"Life support",IF(W225=AD225,"CAQH re-attestation",IF(Y225=AD225,"Privileges reappointment","Payer recredentialing")))))))))</f>
        <v/>
      </c>
      <c r="AD225" s="25">
        <f>IF(OR(AND(LEN(G225)&gt;0,ISNUMBER(G225)=FALSE),AND(LEN(I225)&gt;0,ISNUMBER(I225)=FALSE),AND(LEN(K225)&gt;0,ISNUMBER(K225)=FALSE),AND(LEN(M225)&gt;0,ISNUMBER(M225)=FALSE),AND(LEN(Q225)&gt;0,ISNUMBER(Q225)=FALSE),AND(LEN(S225)&gt;0,ISNUMBER(S225)=FALSE),AND(LEN(Y225)&gt;0,ISNUMBER(Y225)=FALSE),AND(LEN(AA225)&gt;0,ISNUMBER(AA225)=FALSE),AND(LEN(U225)&gt;0,ISNUMBER(U225)=FALSE)),"Check date",IF(COUNT(G225,I225,K225,M225,Q225,S225,W225,Y225,AA225)=0,"",MIN(G225,I225,K225,M225,Q225,S225,W225,Y225,AA225)))</f>
        <v/>
      </c>
      <c r="AE225" s="25">
        <f>IF(ISNUMBER(AD225),AD225-IF(ISNUMBER(AB225),AB225,30),"")</f>
        <v/>
      </c>
      <c r="AF225" s="27">
        <f>IF(AD225="","",IF(ISNUMBER(AD225),AD225-TODAY(),"Check date"))</f>
        <v/>
      </c>
      <c r="AG225" s="28">
        <f>IF(AF225="","",IF(ISNUMBER(AF225),IF(AF225&lt;0,"Expired",IF(AF225&lt;=30,"Due ≤30 days",IF(AF225&lt;=90,"Due ≤90 days","OK"))),"Check date"))</f>
        <v/>
      </c>
      <c r="AH225" s="22" t="n"/>
      <c r="AI225" s="22" t="n"/>
      <c r="AJ225" s="22" t="n"/>
      <c r="AK225" s="22" t="n"/>
    </row>
    <row r="226">
      <c r="A226" s="22" t="n"/>
      <c r="B226" s="22" t="n"/>
      <c r="C226" s="22" t="n"/>
      <c r="D226" s="22" t="n"/>
      <c r="E226" s="22" t="n"/>
      <c r="F226" s="22" t="n"/>
      <c r="G226" s="23" t="n"/>
      <c r="H226" s="22" t="n"/>
      <c r="I226" s="23" t="n"/>
      <c r="J226" s="22" t="n"/>
      <c r="K226" s="23" t="n"/>
      <c r="L226" s="22" t="n"/>
      <c r="M226" s="23" t="n"/>
      <c r="N226" s="22" t="n"/>
      <c r="O226" s="22" t="n"/>
      <c r="P226" s="22" t="n"/>
      <c r="Q226" s="23" t="n"/>
      <c r="R226" s="22" t="n"/>
      <c r="S226" s="23" t="n"/>
      <c r="T226" s="22" t="n"/>
      <c r="U226" s="23" t="n"/>
      <c r="V226" s="24" t="n"/>
      <c r="W226" s="25">
        <f>IF(ISNUMBER(U226),U226+IF(ISNUMBER(V226),V226,120),"")</f>
        <v/>
      </c>
      <c r="X226" s="22" t="n"/>
      <c r="Y226" s="23" t="n"/>
      <c r="Z226" s="22" t="n"/>
      <c r="AA226" s="23" t="n"/>
      <c r="AB226" s="24" t="n"/>
      <c r="AC226" s="26">
        <f>IF(ISNUMBER(AD226)=FALSE,"",IF(G226=AD226,"State license",IF(I226=AD226,"DEA registration",IF(K226=AD226,"State CSR",IF(M226=AD226,"Board certification",IF(Q226=AD226,"Malpractice",IF(S226=AD226,"Life support",IF(W226=AD226,"CAQH re-attestation",IF(Y226=AD226,"Privileges reappointment","Payer recredentialing")))))))))</f>
        <v/>
      </c>
      <c r="AD226" s="25">
        <f>IF(OR(AND(LEN(G226)&gt;0,ISNUMBER(G226)=FALSE),AND(LEN(I226)&gt;0,ISNUMBER(I226)=FALSE),AND(LEN(K226)&gt;0,ISNUMBER(K226)=FALSE),AND(LEN(M226)&gt;0,ISNUMBER(M226)=FALSE),AND(LEN(Q226)&gt;0,ISNUMBER(Q226)=FALSE),AND(LEN(S226)&gt;0,ISNUMBER(S226)=FALSE),AND(LEN(Y226)&gt;0,ISNUMBER(Y226)=FALSE),AND(LEN(AA226)&gt;0,ISNUMBER(AA226)=FALSE),AND(LEN(U226)&gt;0,ISNUMBER(U226)=FALSE)),"Check date",IF(COUNT(G226,I226,K226,M226,Q226,S226,W226,Y226,AA226)=0,"",MIN(G226,I226,K226,M226,Q226,S226,W226,Y226,AA226)))</f>
        <v/>
      </c>
      <c r="AE226" s="25">
        <f>IF(ISNUMBER(AD226),AD226-IF(ISNUMBER(AB226),AB226,30),"")</f>
        <v/>
      </c>
      <c r="AF226" s="27">
        <f>IF(AD226="","",IF(ISNUMBER(AD226),AD226-TODAY(),"Check date"))</f>
        <v/>
      </c>
      <c r="AG226" s="28">
        <f>IF(AF226="","",IF(ISNUMBER(AF226),IF(AF226&lt;0,"Expired",IF(AF226&lt;=30,"Due ≤30 days",IF(AF226&lt;=90,"Due ≤90 days","OK"))),"Check date"))</f>
        <v/>
      </c>
      <c r="AH226" s="22" t="n"/>
      <c r="AI226" s="22" t="n"/>
      <c r="AJ226" s="22" t="n"/>
      <c r="AK226" s="22" t="n"/>
    </row>
    <row r="227">
      <c r="A227" s="22" t="n"/>
      <c r="B227" s="22" t="n"/>
      <c r="C227" s="22" t="n"/>
      <c r="D227" s="22" t="n"/>
      <c r="E227" s="22" t="n"/>
      <c r="F227" s="22" t="n"/>
      <c r="G227" s="23" t="n"/>
      <c r="H227" s="22" t="n"/>
      <c r="I227" s="23" t="n"/>
      <c r="J227" s="22" t="n"/>
      <c r="K227" s="23" t="n"/>
      <c r="L227" s="22" t="n"/>
      <c r="M227" s="23" t="n"/>
      <c r="N227" s="22" t="n"/>
      <c r="O227" s="22" t="n"/>
      <c r="P227" s="22" t="n"/>
      <c r="Q227" s="23" t="n"/>
      <c r="R227" s="22" t="n"/>
      <c r="S227" s="23" t="n"/>
      <c r="T227" s="22" t="n"/>
      <c r="U227" s="23" t="n"/>
      <c r="V227" s="24" t="n"/>
      <c r="W227" s="25">
        <f>IF(ISNUMBER(U227),U227+IF(ISNUMBER(V227),V227,120),"")</f>
        <v/>
      </c>
      <c r="X227" s="22" t="n"/>
      <c r="Y227" s="23" t="n"/>
      <c r="Z227" s="22" t="n"/>
      <c r="AA227" s="23" t="n"/>
      <c r="AB227" s="24" t="n"/>
      <c r="AC227" s="26">
        <f>IF(ISNUMBER(AD227)=FALSE,"",IF(G227=AD227,"State license",IF(I227=AD227,"DEA registration",IF(K227=AD227,"State CSR",IF(M227=AD227,"Board certification",IF(Q227=AD227,"Malpractice",IF(S227=AD227,"Life support",IF(W227=AD227,"CAQH re-attestation",IF(Y227=AD227,"Privileges reappointment","Payer recredentialing")))))))))</f>
        <v/>
      </c>
      <c r="AD227" s="25">
        <f>IF(OR(AND(LEN(G227)&gt;0,ISNUMBER(G227)=FALSE),AND(LEN(I227)&gt;0,ISNUMBER(I227)=FALSE),AND(LEN(K227)&gt;0,ISNUMBER(K227)=FALSE),AND(LEN(M227)&gt;0,ISNUMBER(M227)=FALSE),AND(LEN(Q227)&gt;0,ISNUMBER(Q227)=FALSE),AND(LEN(S227)&gt;0,ISNUMBER(S227)=FALSE),AND(LEN(Y227)&gt;0,ISNUMBER(Y227)=FALSE),AND(LEN(AA227)&gt;0,ISNUMBER(AA227)=FALSE),AND(LEN(U227)&gt;0,ISNUMBER(U227)=FALSE)),"Check date",IF(COUNT(G227,I227,K227,M227,Q227,S227,W227,Y227,AA227)=0,"",MIN(G227,I227,K227,M227,Q227,S227,W227,Y227,AA227)))</f>
        <v/>
      </c>
      <c r="AE227" s="25">
        <f>IF(ISNUMBER(AD227),AD227-IF(ISNUMBER(AB227),AB227,30),"")</f>
        <v/>
      </c>
      <c r="AF227" s="27">
        <f>IF(AD227="","",IF(ISNUMBER(AD227),AD227-TODAY(),"Check date"))</f>
        <v/>
      </c>
      <c r="AG227" s="28">
        <f>IF(AF227="","",IF(ISNUMBER(AF227),IF(AF227&lt;0,"Expired",IF(AF227&lt;=30,"Due ≤30 days",IF(AF227&lt;=90,"Due ≤90 days","OK"))),"Check date"))</f>
        <v/>
      </c>
      <c r="AH227" s="22" t="n"/>
      <c r="AI227" s="22" t="n"/>
      <c r="AJ227" s="22" t="n"/>
      <c r="AK227" s="22" t="n"/>
    </row>
    <row r="228">
      <c r="A228" s="22" t="n"/>
      <c r="B228" s="22" t="n"/>
      <c r="C228" s="22" t="n"/>
      <c r="D228" s="22" t="n"/>
      <c r="E228" s="22" t="n"/>
      <c r="F228" s="22" t="n"/>
      <c r="G228" s="23" t="n"/>
      <c r="H228" s="22" t="n"/>
      <c r="I228" s="23" t="n"/>
      <c r="J228" s="22" t="n"/>
      <c r="K228" s="23" t="n"/>
      <c r="L228" s="22" t="n"/>
      <c r="M228" s="23" t="n"/>
      <c r="N228" s="22" t="n"/>
      <c r="O228" s="22" t="n"/>
      <c r="P228" s="22" t="n"/>
      <c r="Q228" s="23" t="n"/>
      <c r="R228" s="22" t="n"/>
      <c r="S228" s="23" t="n"/>
      <c r="T228" s="22" t="n"/>
      <c r="U228" s="23" t="n"/>
      <c r="V228" s="24" t="n"/>
      <c r="W228" s="25">
        <f>IF(ISNUMBER(U228),U228+IF(ISNUMBER(V228),V228,120),"")</f>
        <v/>
      </c>
      <c r="X228" s="22" t="n"/>
      <c r="Y228" s="23" t="n"/>
      <c r="Z228" s="22" t="n"/>
      <c r="AA228" s="23" t="n"/>
      <c r="AB228" s="24" t="n"/>
      <c r="AC228" s="26">
        <f>IF(ISNUMBER(AD228)=FALSE,"",IF(G228=AD228,"State license",IF(I228=AD228,"DEA registration",IF(K228=AD228,"State CSR",IF(M228=AD228,"Board certification",IF(Q228=AD228,"Malpractice",IF(S228=AD228,"Life support",IF(W228=AD228,"CAQH re-attestation",IF(Y228=AD228,"Privileges reappointment","Payer recredentialing")))))))))</f>
        <v/>
      </c>
      <c r="AD228" s="25">
        <f>IF(OR(AND(LEN(G228)&gt;0,ISNUMBER(G228)=FALSE),AND(LEN(I228)&gt;0,ISNUMBER(I228)=FALSE),AND(LEN(K228)&gt;0,ISNUMBER(K228)=FALSE),AND(LEN(M228)&gt;0,ISNUMBER(M228)=FALSE),AND(LEN(Q228)&gt;0,ISNUMBER(Q228)=FALSE),AND(LEN(S228)&gt;0,ISNUMBER(S228)=FALSE),AND(LEN(Y228)&gt;0,ISNUMBER(Y228)=FALSE),AND(LEN(AA228)&gt;0,ISNUMBER(AA228)=FALSE),AND(LEN(U228)&gt;0,ISNUMBER(U228)=FALSE)),"Check date",IF(COUNT(G228,I228,K228,M228,Q228,S228,W228,Y228,AA228)=0,"",MIN(G228,I228,K228,M228,Q228,S228,W228,Y228,AA228)))</f>
        <v/>
      </c>
      <c r="AE228" s="25">
        <f>IF(ISNUMBER(AD228),AD228-IF(ISNUMBER(AB228),AB228,30),"")</f>
        <v/>
      </c>
      <c r="AF228" s="27">
        <f>IF(AD228="","",IF(ISNUMBER(AD228),AD228-TODAY(),"Check date"))</f>
        <v/>
      </c>
      <c r="AG228" s="28">
        <f>IF(AF228="","",IF(ISNUMBER(AF228),IF(AF228&lt;0,"Expired",IF(AF228&lt;=30,"Due ≤30 days",IF(AF228&lt;=90,"Due ≤90 days","OK"))),"Check date"))</f>
        <v/>
      </c>
      <c r="AH228" s="22" t="n"/>
      <c r="AI228" s="22" t="n"/>
      <c r="AJ228" s="22" t="n"/>
      <c r="AK228" s="22" t="n"/>
    </row>
    <row r="229">
      <c r="A229" s="22" t="n"/>
      <c r="B229" s="22" t="n"/>
      <c r="C229" s="22" t="n"/>
      <c r="D229" s="22" t="n"/>
      <c r="E229" s="22" t="n"/>
      <c r="F229" s="22" t="n"/>
      <c r="G229" s="23" t="n"/>
      <c r="H229" s="22" t="n"/>
      <c r="I229" s="23" t="n"/>
      <c r="J229" s="22" t="n"/>
      <c r="K229" s="23" t="n"/>
      <c r="L229" s="22" t="n"/>
      <c r="M229" s="23" t="n"/>
      <c r="N229" s="22" t="n"/>
      <c r="O229" s="22" t="n"/>
      <c r="P229" s="22" t="n"/>
      <c r="Q229" s="23" t="n"/>
      <c r="R229" s="22" t="n"/>
      <c r="S229" s="23" t="n"/>
      <c r="T229" s="22" t="n"/>
      <c r="U229" s="23" t="n"/>
      <c r="V229" s="24" t="n"/>
      <c r="W229" s="25">
        <f>IF(ISNUMBER(U229),U229+IF(ISNUMBER(V229),V229,120),"")</f>
        <v/>
      </c>
      <c r="X229" s="22" t="n"/>
      <c r="Y229" s="23" t="n"/>
      <c r="Z229" s="22" t="n"/>
      <c r="AA229" s="23" t="n"/>
      <c r="AB229" s="24" t="n"/>
      <c r="AC229" s="26">
        <f>IF(ISNUMBER(AD229)=FALSE,"",IF(G229=AD229,"State license",IF(I229=AD229,"DEA registration",IF(K229=AD229,"State CSR",IF(M229=AD229,"Board certification",IF(Q229=AD229,"Malpractice",IF(S229=AD229,"Life support",IF(W229=AD229,"CAQH re-attestation",IF(Y229=AD229,"Privileges reappointment","Payer recredentialing")))))))))</f>
        <v/>
      </c>
      <c r="AD229" s="25">
        <f>IF(OR(AND(LEN(G229)&gt;0,ISNUMBER(G229)=FALSE),AND(LEN(I229)&gt;0,ISNUMBER(I229)=FALSE),AND(LEN(K229)&gt;0,ISNUMBER(K229)=FALSE),AND(LEN(M229)&gt;0,ISNUMBER(M229)=FALSE),AND(LEN(Q229)&gt;0,ISNUMBER(Q229)=FALSE),AND(LEN(S229)&gt;0,ISNUMBER(S229)=FALSE),AND(LEN(Y229)&gt;0,ISNUMBER(Y229)=FALSE),AND(LEN(AA229)&gt;0,ISNUMBER(AA229)=FALSE),AND(LEN(U229)&gt;0,ISNUMBER(U229)=FALSE)),"Check date",IF(COUNT(G229,I229,K229,M229,Q229,S229,W229,Y229,AA229)=0,"",MIN(G229,I229,K229,M229,Q229,S229,W229,Y229,AA229)))</f>
        <v/>
      </c>
      <c r="AE229" s="25">
        <f>IF(ISNUMBER(AD229),AD229-IF(ISNUMBER(AB229),AB229,30),"")</f>
        <v/>
      </c>
      <c r="AF229" s="27">
        <f>IF(AD229="","",IF(ISNUMBER(AD229),AD229-TODAY(),"Check date"))</f>
        <v/>
      </c>
      <c r="AG229" s="28">
        <f>IF(AF229="","",IF(ISNUMBER(AF229),IF(AF229&lt;0,"Expired",IF(AF229&lt;=30,"Due ≤30 days",IF(AF229&lt;=90,"Due ≤90 days","OK"))),"Check date"))</f>
        <v/>
      </c>
      <c r="AH229" s="22" t="n"/>
      <c r="AI229" s="22" t="n"/>
      <c r="AJ229" s="22" t="n"/>
      <c r="AK229" s="22" t="n"/>
    </row>
    <row r="230">
      <c r="A230" s="22" t="n"/>
      <c r="B230" s="22" t="n"/>
      <c r="C230" s="22" t="n"/>
      <c r="D230" s="22" t="n"/>
      <c r="E230" s="22" t="n"/>
      <c r="F230" s="22" t="n"/>
      <c r="G230" s="23" t="n"/>
      <c r="H230" s="22" t="n"/>
      <c r="I230" s="23" t="n"/>
      <c r="J230" s="22" t="n"/>
      <c r="K230" s="23" t="n"/>
      <c r="L230" s="22" t="n"/>
      <c r="M230" s="23" t="n"/>
      <c r="N230" s="22" t="n"/>
      <c r="O230" s="22" t="n"/>
      <c r="P230" s="22" t="n"/>
      <c r="Q230" s="23" t="n"/>
      <c r="R230" s="22" t="n"/>
      <c r="S230" s="23" t="n"/>
      <c r="T230" s="22" t="n"/>
      <c r="U230" s="23" t="n"/>
      <c r="V230" s="24" t="n"/>
      <c r="W230" s="25">
        <f>IF(ISNUMBER(U230),U230+IF(ISNUMBER(V230),V230,120),"")</f>
        <v/>
      </c>
      <c r="X230" s="22" t="n"/>
      <c r="Y230" s="23" t="n"/>
      <c r="Z230" s="22" t="n"/>
      <c r="AA230" s="23" t="n"/>
      <c r="AB230" s="24" t="n"/>
      <c r="AC230" s="26">
        <f>IF(ISNUMBER(AD230)=FALSE,"",IF(G230=AD230,"State license",IF(I230=AD230,"DEA registration",IF(K230=AD230,"State CSR",IF(M230=AD230,"Board certification",IF(Q230=AD230,"Malpractice",IF(S230=AD230,"Life support",IF(W230=AD230,"CAQH re-attestation",IF(Y230=AD230,"Privileges reappointment","Payer recredentialing")))))))))</f>
        <v/>
      </c>
      <c r="AD230" s="25">
        <f>IF(OR(AND(LEN(G230)&gt;0,ISNUMBER(G230)=FALSE),AND(LEN(I230)&gt;0,ISNUMBER(I230)=FALSE),AND(LEN(K230)&gt;0,ISNUMBER(K230)=FALSE),AND(LEN(M230)&gt;0,ISNUMBER(M230)=FALSE),AND(LEN(Q230)&gt;0,ISNUMBER(Q230)=FALSE),AND(LEN(S230)&gt;0,ISNUMBER(S230)=FALSE),AND(LEN(Y230)&gt;0,ISNUMBER(Y230)=FALSE),AND(LEN(AA230)&gt;0,ISNUMBER(AA230)=FALSE),AND(LEN(U230)&gt;0,ISNUMBER(U230)=FALSE)),"Check date",IF(COUNT(G230,I230,K230,M230,Q230,S230,W230,Y230,AA230)=0,"",MIN(G230,I230,K230,M230,Q230,S230,W230,Y230,AA230)))</f>
        <v/>
      </c>
      <c r="AE230" s="25">
        <f>IF(ISNUMBER(AD230),AD230-IF(ISNUMBER(AB230),AB230,30),"")</f>
        <v/>
      </c>
      <c r="AF230" s="27">
        <f>IF(AD230="","",IF(ISNUMBER(AD230),AD230-TODAY(),"Check date"))</f>
        <v/>
      </c>
      <c r="AG230" s="28">
        <f>IF(AF230="","",IF(ISNUMBER(AF230),IF(AF230&lt;0,"Expired",IF(AF230&lt;=30,"Due ≤30 days",IF(AF230&lt;=90,"Due ≤90 days","OK"))),"Check date"))</f>
        <v/>
      </c>
      <c r="AH230" s="22" t="n"/>
      <c r="AI230" s="22" t="n"/>
      <c r="AJ230" s="22" t="n"/>
      <c r="AK230" s="22" t="n"/>
    </row>
    <row r="231">
      <c r="A231" s="22" t="n"/>
      <c r="B231" s="22" t="n"/>
      <c r="C231" s="22" t="n"/>
      <c r="D231" s="22" t="n"/>
      <c r="E231" s="22" t="n"/>
      <c r="F231" s="22" t="n"/>
      <c r="G231" s="23" t="n"/>
      <c r="H231" s="22" t="n"/>
      <c r="I231" s="23" t="n"/>
      <c r="J231" s="22" t="n"/>
      <c r="K231" s="23" t="n"/>
      <c r="L231" s="22" t="n"/>
      <c r="M231" s="23" t="n"/>
      <c r="N231" s="22" t="n"/>
      <c r="O231" s="22" t="n"/>
      <c r="P231" s="22" t="n"/>
      <c r="Q231" s="23" t="n"/>
      <c r="R231" s="22" t="n"/>
      <c r="S231" s="23" t="n"/>
      <c r="T231" s="22" t="n"/>
      <c r="U231" s="23" t="n"/>
      <c r="V231" s="24" t="n"/>
      <c r="W231" s="25">
        <f>IF(ISNUMBER(U231),U231+IF(ISNUMBER(V231),V231,120),"")</f>
        <v/>
      </c>
      <c r="X231" s="22" t="n"/>
      <c r="Y231" s="23" t="n"/>
      <c r="Z231" s="22" t="n"/>
      <c r="AA231" s="23" t="n"/>
      <c r="AB231" s="24" t="n"/>
      <c r="AC231" s="26">
        <f>IF(ISNUMBER(AD231)=FALSE,"",IF(G231=AD231,"State license",IF(I231=AD231,"DEA registration",IF(K231=AD231,"State CSR",IF(M231=AD231,"Board certification",IF(Q231=AD231,"Malpractice",IF(S231=AD231,"Life support",IF(W231=AD231,"CAQH re-attestation",IF(Y231=AD231,"Privileges reappointment","Payer recredentialing")))))))))</f>
        <v/>
      </c>
      <c r="AD231" s="25">
        <f>IF(OR(AND(LEN(G231)&gt;0,ISNUMBER(G231)=FALSE),AND(LEN(I231)&gt;0,ISNUMBER(I231)=FALSE),AND(LEN(K231)&gt;0,ISNUMBER(K231)=FALSE),AND(LEN(M231)&gt;0,ISNUMBER(M231)=FALSE),AND(LEN(Q231)&gt;0,ISNUMBER(Q231)=FALSE),AND(LEN(S231)&gt;0,ISNUMBER(S231)=FALSE),AND(LEN(Y231)&gt;0,ISNUMBER(Y231)=FALSE),AND(LEN(AA231)&gt;0,ISNUMBER(AA231)=FALSE),AND(LEN(U231)&gt;0,ISNUMBER(U231)=FALSE)),"Check date",IF(COUNT(G231,I231,K231,M231,Q231,S231,W231,Y231,AA231)=0,"",MIN(G231,I231,K231,M231,Q231,S231,W231,Y231,AA231)))</f>
        <v/>
      </c>
      <c r="AE231" s="25">
        <f>IF(ISNUMBER(AD231),AD231-IF(ISNUMBER(AB231),AB231,30),"")</f>
        <v/>
      </c>
      <c r="AF231" s="27">
        <f>IF(AD231="","",IF(ISNUMBER(AD231),AD231-TODAY(),"Check date"))</f>
        <v/>
      </c>
      <c r="AG231" s="28">
        <f>IF(AF231="","",IF(ISNUMBER(AF231),IF(AF231&lt;0,"Expired",IF(AF231&lt;=30,"Due ≤30 days",IF(AF231&lt;=90,"Due ≤90 days","OK"))),"Check date"))</f>
        <v/>
      </c>
      <c r="AH231" s="22" t="n"/>
      <c r="AI231" s="22" t="n"/>
      <c r="AJ231" s="22" t="n"/>
      <c r="AK231" s="22" t="n"/>
    </row>
    <row r="232">
      <c r="A232" s="22" t="n"/>
      <c r="B232" s="22" t="n"/>
      <c r="C232" s="22" t="n"/>
      <c r="D232" s="22" t="n"/>
      <c r="E232" s="22" t="n"/>
      <c r="F232" s="22" t="n"/>
      <c r="G232" s="23" t="n"/>
      <c r="H232" s="22" t="n"/>
      <c r="I232" s="23" t="n"/>
      <c r="J232" s="22" t="n"/>
      <c r="K232" s="23" t="n"/>
      <c r="L232" s="22" t="n"/>
      <c r="M232" s="23" t="n"/>
      <c r="N232" s="22" t="n"/>
      <c r="O232" s="22" t="n"/>
      <c r="P232" s="22" t="n"/>
      <c r="Q232" s="23" t="n"/>
      <c r="R232" s="22" t="n"/>
      <c r="S232" s="23" t="n"/>
      <c r="T232" s="22" t="n"/>
      <c r="U232" s="23" t="n"/>
      <c r="V232" s="24" t="n"/>
      <c r="W232" s="25">
        <f>IF(ISNUMBER(U232),U232+IF(ISNUMBER(V232),V232,120),"")</f>
        <v/>
      </c>
      <c r="X232" s="22" t="n"/>
      <c r="Y232" s="23" t="n"/>
      <c r="Z232" s="22" t="n"/>
      <c r="AA232" s="23" t="n"/>
      <c r="AB232" s="24" t="n"/>
      <c r="AC232" s="26">
        <f>IF(ISNUMBER(AD232)=FALSE,"",IF(G232=AD232,"State license",IF(I232=AD232,"DEA registration",IF(K232=AD232,"State CSR",IF(M232=AD232,"Board certification",IF(Q232=AD232,"Malpractice",IF(S232=AD232,"Life support",IF(W232=AD232,"CAQH re-attestation",IF(Y232=AD232,"Privileges reappointment","Payer recredentialing")))))))))</f>
        <v/>
      </c>
      <c r="AD232" s="25">
        <f>IF(OR(AND(LEN(G232)&gt;0,ISNUMBER(G232)=FALSE),AND(LEN(I232)&gt;0,ISNUMBER(I232)=FALSE),AND(LEN(K232)&gt;0,ISNUMBER(K232)=FALSE),AND(LEN(M232)&gt;0,ISNUMBER(M232)=FALSE),AND(LEN(Q232)&gt;0,ISNUMBER(Q232)=FALSE),AND(LEN(S232)&gt;0,ISNUMBER(S232)=FALSE),AND(LEN(Y232)&gt;0,ISNUMBER(Y232)=FALSE),AND(LEN(AA232)&gt;0,ISNUMBER(AA232)=FALSE),AND(LEN(U232)&gt;0,ISNUMBER(U232)=FALSE)),"Check date",IF(COUNT(G232,I232,K232,M232,Q232,S232,W232,Y232,AA232)=0,"",MIN(G232,I232,K232,M232,Q232,S232,W232,Y232,AA232)))</f>
        <v/>
      </c>
      <c r="AE232" s="25">
        <f>IF(ISNUMBER(AD232),AD232-IF(ISNUMBER(AB232),AB232,30),"")</f>
        <v/>
      </c>
      <c r="AF232" s="27">
        <f>IF(AD232="","",IF(ISNUMBER(AD232),AD232-TODAY(),"Check date"))</f>
        <v/>
      </c>
      <c r="AG232" s="28">
        <f>IF(AF232="","",IF(ISNUMBER(AF232),IF(AF232&lt;0,"Expired",IF(AF232&lt;=30,"Due ≤30 days",IF(AF232&lt;=90,"Due ≤90 days","OK"))),"Check date"))</f>
        <v/>
      </c>
      <c r="AH232" s="22" t="n"/>
      <c r="AI232" s="22" t="n"/>
      <c r="AJ232" s="22" t="n"/>
      <c r="AK232" s="22" t="n"/>
    </row>
    <row r="233">
      <c r="A233" s="22" t="n"/>
      <c r="B233" s="22" t="n"/>
      <c r="C233" s="22" t="n"/>
      <c r="D233" s="22" t="n"/>
      <c r="E233" s="22" t="n"/>
      <c r="F233" s="22" t="n"/>
      <c r="G233" s="23" t="n"/>
      <c r="H233" s="22" t="n"/>
      <c r="I233" s="23" t="n"/>
      <c r="J233" s="22" t="n"/>
      <c r="K233" s="23" t="n"/>
      <c r="L233" s="22" t="n"/>
      <c r="M233" s="23" t="n"/>
      <c r="N233" s="22" t="n"/>
      <c r="O233" s="22" t="n"/>
      <c r="P233" s="22" t="n"/>
      <c r="Q233" s="23" t="n"/>
      <c r="R233" s="22" t="n"/>
      <c r="S233" s="23" t="n"/>
      <c r="T233" s="22" t="n"/>
      <c r="U233" s="23" t="n"/>
      <c r="V233" s="24" t="n"/>
      <c r="W233" s="25">
        <f>IF(ISNUMBER(U233),U233+IF(ISNUMBER(V233),V233,120),"")</f>
        <v/>
      </c>
      <c r="X233" s="22" t="n"/>
      <c r="Y233" s="23" t="n"/>
      <c r="Z233" s="22" t="n"/>
      <c r="AA233" s="23" t="n"/>
      <c r="AB233" s="24" t="n"/>
      <c r="AC233" s="26">
        <f>IF(ISNUMBER(AD233)=FALSE,"",IF(G233=AD233,"State license",IF(I233=AD233,"DEA registration",IF(K233=AD233,"State CSR",IF(M233=AD233,"Board certification",IF(Q233=AD233,"Malpractice",IF(S233=AD233,"Life support",IF(W233=AD233,"CAQH re-attestation",IF(Y233=AD233,"Privileges reappointment","Payer recredentialing")))))))))</f>
        <v/>
      </c>
      <c r="AD233" s="25">
        <f>IF(OR(AND(LEN(G233)&gt;0,ISNUMBER(G233)=FALSE),AND(LEN(I233)&gt;0,ISNUMBER(I233)=FALSE),AND(LEN(K233)&gt;0,ISNUMBER(K233)=FALSE),AND(LEN(M233)&gt;0,ISNUMBER(M233)=FALSE),AND(LEN(Q233)&gt;0,ISNUMBER(Q233)=FALSE),AND(LEN(S233)&gt;0,ISNUMBER(S233)=FALSE),AND(LEN(Y233)&gt;0,ISNUMBER(Y233)=FALSE),AND(LEN(AA233)&gt;0,ISNUMBER(AA233)=FALSE),AND(LEN(U233)&gt;0,ISNUMBER(U233)=FALSE)),"Check date",IF(COUNT(G233,I233,K233,M233,Q233,S233,W233,Y233,AA233)=0,"",MIN(G233,I233,K233,M233,Q233,S233,W233,Y233,AA233)))</f>
        <v/>
      </c>
      <c r="AE233" s="25">
        <f>IF(ISNUMBER(AD233),AD233-IF(ISNUMBER(AB233),AB233,30),"")</f>
        <v/>
      </c>
      <c r="AF233" s="27">
        <f>IF(AD233="","",IF(ISNUMBER(AD233),AD233-TODAY(),"Check date"))</f>
        <v/>
      </c>
      <c r="AG233" s="28">
        <f>IF(AF233="","",IF(ISNUMBER(AF233),IF(AF233&lt;0,"Expired",IF(AF233&lt;=30,"Due ≤30 days",IF(AF233&lt;=90,"Due ≤90 days","OK"))),"Check date"))</f>
        <v/>
      </c>
      <c r="AH233" s="22" t="n"/>
      <c r="AI233" s="22" t="n"/>
      <c r="AJ233" s="22" t="n"/>
      <c r="AK233" s="22" t="n"/>
    </row>
    <row r="234">
      <c r="A234" s="22" t="n"/>
      <c r="B234" s="22" t="n"/>
      <c r="C234" s="22" t="n"/>
      <c r="D234" s="22" t="n"/>
      <c r="E234" s="22" t="n"/>
      <c r="F234" s="22" t="n"/>
      <c r="G234" s="23" t="n"/>
      <c r="H234" s="22" t="n"/>
      <c r="I234" s="23" t="n"/>
      <c r="J234" s="22" t="n"/>
      <c r="K234" s="23" t="n"/>
      <c r="L234" s="22" t="n"/>
      <c r="M234" s="23" t="n"/>
      <c r="N234" s="22" t="n"/>
      <c r="O234" s="22" t="n"/>
      <c r="P234" s="22" t="n"/>
      <c r="Q234" s="23" t="n"/>
      <c r="R234" s="22" t="n"/>
      <c r="S234" s="23" t="n"/>
      <c r="T234" s="22" t="n"/>
      <c r="U234" s="23" t="n"/>
      <c r="V234" s="24" t="n"/>
      <c r="W234" s="25">
        <f>IF(ISNUMBER(U234),U234+IF(ISNUMBER(V234),V234,120),"")</f>
        <v/>
      </c>
      <c r="X234" s="22" t="n"/>
      <c r="Y234" s="23" t="n"/>
      <c r="Z234" s="22" t="n"/>
      <c r="AA234" s="23" t="n"/>
      <c r="AB234" s="24" t="n"/>
      <c r="AC234" s="26">
        <f>IF(ISNUMBER(AD234)=FALSE,"",IF(G234=AD234,"State license",IF(I234=AD234,"DEA registration",IF(K234=AD234,"State CSR",IF(M234=AD234,"Board certification",IF(Q234=AD234,"Malpractice",IF(S234=AD234,"Life support",IF(W234=AD234,"CAQH re-attestation",IF(Y234=AD234,"Privileges reappointment","Payer recredentialing")))))))))</f>
        <v/>
      </c>
      <c r="AD234" s="25">
        <f>IF(OR(AND(LEN(G234)&gt;0,ISNUMBER(G234)=FALSE),AND(LEN(I234)&gt;0,ISNUMBER(I234)=FALSE),AND(LEN(K234)&gt;0,ISNUMBER(K234)=FALSE),AND(LEN(M234)&gt;0,ISNUMBER(M234)=FALSE),AND(LEN(Q234)&gt;0,ISNUMBER(Q234)=FALSE),AND(LEN(S234)&gt;0,ISNUMBER(S234)=FALSE),AND(LEN(Y234)&gt;0,ISNUMBER(Y234)=FALSE),AND(LEN(AA234)&gt;0,ISNUMBER(AA234)=FALSE),AND(LEN(U234)&gt;0,ISNUMBER(U234)=FALSE)),"Check date",IF(COUNT(G234,I234,K234,M234,Q234,S234,W234,Y234,AA234)=0,"",MIN(G234,I234,K234,M234,Q234,S234,W234,Y234,AA234)))</f>
        <v/>
      </c>
      <c r="AE234" s="25">
        <f>IF(ISNUMBER(AD234),AD234-IF(ISNUMBER(AB234),AB234,30),"")</f>
        <v/>
      </c>
      <c r="AF234" s="27">
        <f>IF(AD234="","",IF(ISNUMBER(AD234),AD234-TODAY(),"Check date"))</f>
        <v/>
      </c>
      <c r="AG234" s="28">
        <f>IF(AF234="","",IF(ISNUMBER(AF234),IF(AF234&lt;0,"Expired",IF(AF234&lt;=30,"Due ≤30 days",IF(AF234&lt;=90,"Due ≤90 days","OK"))),"Check date"))</f>
        <v/>
      </c>
      <c r="AH234" s="22" t="n"/>
      <c r="AI234" s="22" t="n"/>
      <c r="AJ234" s="22" t="n"/>
      <c r="AK234" s="22" t="n"/>
    </row>
    <row r="235">
      <c r="A235" s="22" t="n"/>
      <c r="B235" s="22" t="n"/>
      <c r="C235" s="22" t="n"/>
      <c r="D235" s="22" t="n"/>
      <c r="E235" s="22" t="n"/>
      <c r="F235" s="22" t="n"/>
      <c r="G235" s="23" t="n"/>
      <c r="H235" s="22" t="n"/>
      <c r="I235" s="23" t="n"/>
      <c r="J235" s="22" t="n"/>
      <c r="K235" s="23" t="n"/>
      <c r="L235" s="22" t="n"/>
      <c r="M235" s="23" t="n"/>
      <c r="N235" s="22" t="n"/>
      <c r="O235" s="22" t="n"/>
      <c r="P235" s="22" t="n"/>
      <c r="Q235" s="23" t="n"/>
      <c r="R235" s="22" t="n"/>
      <c r="S235" s="23" t="n"/>
      <c r="T235" s="22" t="n"/>
      <c r="U235" s="23" t="n"/>
      <c r="V235" s="24" t="n"/>
      <c r="W235" s="25">
        <f>IF(ISNUMBER(U235),U235+IF(ISNUMBER(V235),V235,120),"")</f>
        <v/>
      </c>
      <c r="X235" s="22" t="n"/>
      <c r="Y235" s="23" t="n"/>
      <c r="Z235" s="22" t="n"/>
      <c r="AA235" s="23" t="n"/>
      <c r="AB235" s="24" t="n"/>
      <c r="AC235" s="26">
        <f>IF(ISNUMBER(AD235)=FALSE,"",IF(G235=AD235,"State license",IF(I235=AD235,"DEA registration",IF(K235=AD235,"State CSR",IF(M235=AD235,"Board certification",IF(Q235=AD235,"Malpractice",IF(S235=AD235,"Life support",IF(W235=AD235,"CAQH re-attestation",IF(Y235=AD235,"Privileges reappointment","Payer recredentialing")))))))))</f>
        <v/>
      </c>
      <c r="AD235" s="25">
        <f>IF(OR(AND(LEN(G235)&gt;0,ISNUMBER(G235)=FALSE),AND(LEN(I235)&gt;0,ISNUMBER(I235)=FALSE),AND(LEN(K235)&gt;0,ISNUMBER(K235)=FALSE),AND(LEN(M235)&gt;0,ISNUMBER(M235)=FALSE),AND(LEN(Q235)&gt;0,ISNUMBER(Q235)=FALSE),AND(LEN(S235)&gt;0,ISNUMBER(S235)=FALSE),AND(LEN(Y235)&gt;0,ISNUMBER(Y235)=FALSE),AND(LEN(AA235)&gt;0,ISNUMBER(AA235)=FALSE),AND(LEN(U235)&gt;0,ISNUMBER(U235)=FALSE)),"Check date",IF(COUNT(G235,I235,K235,M235,Q235,S235,W235,Y235,AA235)=0,"",MIN(G235,I235,K235,M235,Q235,S235,W235,Y235,AA235)))</f>
        <v/>
      </c>
      <c r="AE235" s="25">
        <f>IF(ISNUMBER(AD235),AD235-IF(ISNUMBER(AB235),AB235,30),"")</f>
        <v/>
      </c>
      <c r="AF235" s="27">
        <f>IF(AD235="","",IF(ISNUMBER(AD235),AD235-TODAY(),"Check date"))</f>
        <v/>
      </c>
      <c r="AG235" s="28">
        <f>IF(AF235="","",IF(ISNUMBER(AF235),IF(AF235&lt;0,"Expired",IF(AF235&lt;=30,"Due ≤30 days",IF(AF235&lt;=90,"Due ≤90 days","OK"))),"Check date"))</f>
        <v/>
      </c>
      <c r="AH235" s="22" t="n"/>
      <c r="AI235" s="22" t="n"/>
      <c r="AJ235" s="22" t="n"/>
      <c r="AK235" s="22" t="n"/>
    </row>
    <row r="236">
      <c r="A236" s="22" t="n"/>
      <c r="B236" s="22" t="n"/>
      <c r="C236" s="22" t="n"/>
      <c r="D236" s="22" t="n"/>
      <c r="E236" s="22" t="n"/>
      <c r="F236" s="22" t="n"/>
      <c r="G236" s="23" t="n"/>
      <c r="H236" s="22" t="n"/>
      <c r="I236" s="23" t="n"/>
      <c r="J236" s="22" t="n"/>
      <c r="K236" s="23" t="n"/>
      <c r="L236" s="22" t="n"/>
      <c r="M236" s="23" t="n"/>
      <c r="N236" s="22" t="n"/>
      <c r="O236" s="22" t="n"/>
      <c r="P236" s="22" t="n"/>
      <c r="Q236" s="23" t="n"/>
      <c r="R236" s="22" t="n"/>
      <c r="S236" s="23" t="n"/>
      <c r="T236" s="22" t="n"/>
      <c r="U236" s="23" t="n"/>
      <c r="V236" s="24" t="n"/>
      <c r="W236" s="25">
        <f>IF(ISNUMBER(U236),U236+IF(ISNUMBER(V236),V236,120),"")</f>
        <v/>
      </c>
      <c r="X236" s="22" t="n"/>
      <c r="Y236" s="23" t="n"/>
      <c r="Z236" s="22" t="n"/>
      <c r="AA236" s="23" t="n"/>
      <c r="AB236" s="24" t="n"/>
      <c r="AC236" s="26">
        <f>IF(ISNUMBER(AD236)=FALSE,"",IF(G236=AD236,"State license",IF(I236=AD236,"DEA registration",IF(K236=AD236,"State CSR",IF(M236=AD236,"Board certification",IF(Q236=AD236,"Malpractice",IF(S236=AD236,"Life support",IF(W236=AD236,"CAQH re-attestation",IF(Y236=AD236,"Privileges reappointment","Payer recredentialing")))))))))</f>
        <v/>
      </c>
      <c r="AD236" s="25">
        <f>IF(OR(AND(LEN(G236)&gt;0,ISNUMBER(G236)=FALSE),AND(LEN(I236)&gt;0,ISNUMBER(I236)=FALSE),AND(LEN(K236)&gt;0,ISNUMBER(K236)=FALSE),AND(LEN(M236)&gt;0,ISNUMBER(M236)=FALSE),AND(LEN(Q236)&gt;0,ISNUMBER(Q236)=FALSE),AND(LEN(S236)&gt;0,ISNUMBER(S236)=FALSE),AND(LEN(Y236)&gt;0,ISNUMBER(Y236)=FALSE),AND(LEN(AA236)&gt;0,ISNUMBER(AA236)=FALSE),AND(LEN(U236)&gt;0,ISNUMBER(U236)=FALSE)),"Check date",IF(COUNT(G236,I236,K236,M236,Q236,S236,W236,Y236,AA236)=0,"",MIN(G236,I236,K236,M236,Q236,S236,W236,Y236,AA236)))</f>
        <v/>
      </c>
      <c r="AE236" s="25">
        <f>IF(ISNUMBER(AD236),AD236-IF(ISNUMBER(AB236),AB236,30),"")</f>
        <v/>
      </c>
      <c r="AF236" s="27">
        <f>IF(AD236="","",IF(ISNUMBER(AD236),AD236-TODAY(),"Check date"))</f>
        <v/>
      </c>
      <c r="AG236" s="28">
        <f>IF(AF236="","",IF(ISNUMBER(AF236),IF(AF236&lt;0,"Expired",IF(AF236&lt;=30,"Due ≤30 days",IF(AF236&lt;=90,"Due ≤90 days","OK"))),"Check date"))</f>
        <v/>
      </c>
      <c r="AH236" s="22" t="n"/>
      <c r="AI236" s="22" t="n"/>
      <c r="AJ236" s="22" t="n"/>
      <c r="AK236" s="22" t="n"/>
    </row>
    <row r="237">
      <c r="A237" s="22" t="n"/>
      <c r="B237" s="22" t="n"/>
      <c r="C237" s="22" t="n"/>
      <c r="D237" s="22" t="n"/>
      <c r="E237" s="22" t="n"/>
      <c r="F237" s="22" t="n"/>
      <c r="G237" s="23" t="n"/>
      <c r="H237" s="22" t="n"/>
      <c r="I237" s="23" t="n"/>
      <c r="J237" s="22" t="n"/>
      <c r="K237" s="23" t="n"/>
      <c r="L237" s="22" t="n"/>
      <c r="M237" s="23" t="n"/>
      <c r="N237" s="22" t="n"/>
      <c r="O237" s="22" t="n"/>
      <c r="P237" s="22" t="n"/>
      <c r="Q237" s="23" t="n"/>
      <c r="R237" s="22" t="n"/>
      <c r="S237" s="23" t="n"/>
      <c r="T237" s="22" t="n"/>
      <c r="U237" s="23" t="n"/>
      <c r="V237" s="24" t="n"/>
      <c r="W237" s="25">
        <f>IF(ISNUMBER(U237),U237+IF(ISNUMBER(V237),V237,120),"")</f>
        <v/>
      </c>
      <c r="X237" s="22" t="n"/>
      <c r="Y237" s="23" t="n"/>
      <c r="Z237" s="22" t="n"/>
      <c r="AA237" s="23" t="n"/>
      <c r="AB237" s="24" t="n"/>
      <c r="AC237" s="26">
        <f>IF(ISNUMBER(AD237)=FALSE,"",IF(G237=AD237,"State license",IF(I237=AD237,"DEA registration",IF(K237=AD237,"State CSR",IF(M237=AD237,"Board certification",IF(Q237=AD237,"Malpractice",IF(S237=AD237,"Life support",IF(W237=AD237,"CAQH re-attestation",IF(Y237=AD237,"Privileges reappointment","Payer recredentialing")))))))))</f>
        <v/>
      </c>
      <c r="AD237" s="25">
        <f>IF(OR(AND(LEN(G237)&gt;0,ISNUMBER(G237)=FALSE),AND(LEN(I237)&gt;0,ISNUMBER(I237)=FALSE),AND(LEN(K237)&gt;0,ISNUMBER(K237)=FALSE),AND(LEN(M237)&gt;0,ISNUMBER(M237)=FALSE),AND(LEN(Q237)&gt;0,ISNUMBER(Q237)=FALSE),AND(LEN(S237)&gt;0,ISNUMBER(S237)=FALSE),AND(LEN(Y237)&gt;0,ISNUMBER(Y237)=FALSE),AND(LEN(AA237)&gt;0,ISNUMBER(AA237)=FALSE),AND(LEN(U237)&gt;0,ISNUMBER(U237)=FALSE)),"Check date",IF(COUNT(G237,I237,K237,M237,Q237,S237,W237,Y237,AA237)=0,"",MIN(G237,I237,K237,M237,Q237,S237,W237,Y237,AA237)))</f>
        <v/>
      </c>
      <c r="AE237" s="25">
        <f>IF(ISNUMBER(AD237),AD237-IF(ISNUMBER(AB237),AB237,30),"")</f>
        <v/>
      </c>
      <c r="AF237" s="27">
        <f>IF(AD237="","",IF(ISNUMBER(AD237),AD237-TODAY(),"Check date"))</f>
        <v/>
      </c>
      <c r="AG237" s="28">
        <f>IF(AF237="","",IF(ISNUMBER(AF237),IF(AF237&lt;0,"Expired",IF(AF237&lt;=30,"Due ≤30 days",IF(AF237&lt;=90,"Due ≤90 days","OK"))),"Check date"))</f>
        <v/>
      </c>
      <c r="AH237" s="22" t="n"/>
      <c r="AI237" s="22" t="n"/>
      <c r="AJ237" s="22" t="n"/>
      <c r="AK237" s="22" t="n"/>
    </row>
    <row r="238">
      <c r="A238" s="22" t="n"/>
      <c r="B238" s="22" t="n"/>
      <c r="C238" s="22" t="n"/>
      <c r="D238" s="22" t="n"/>
      <c r="E238" s="22" t="n"/>
      <c r="F238" s="22" t="n"/>
      <c r="G238" s="23" t="n"/>
      <c r="H238" s="22" t="n"/>
      <c r="I238" s="23" t="n"/>
      <c r="J238" s="22" t="n"/>
      <c r="K238" s="23" t="n"/>
      <c r="L238" s="22" t="n"/>
      <c r="M238" s="23" t="n"/>
      <c r="N238" s="22" t="n"/>
      <c r="O238" s="22" t="n"/>
      <c r="P238" s="22" t="n"/>
      <c r="Q238" s="23" t="n"/>
      <c r="R238" s="22" t="n"/>
      <c r="S238" s="23" t="n"/>
      <c r="T238" s="22" t="n"/>
      <c r="U238" s="23" t="n"/>
      <c r="V238" s="24" t="n"/>
      <c r="W238" s="25">
        <f>IF(ISNUMBER(U238),U238+IF(ISNUMBER(V238),V238,120),"")</f>
        <v/>
      </c>
      <c r="X238" s="22" t="n"/>
      <c r="Y238" s="23" t="n"/>
      <c r="Z238" s="22" t="n"/>
      <c r="AA238" s="23" t="n"/>
      <c r="AB238" s="24" t="n"/>
      <c r="AC238" s="26">
        <f>IF(ISNUMBER(AD238)=FALSE,"",IF(G238=AD238,"State license",IF(I238=AD238,"DEA registration",IF(K238=AD238,"State CSR",IF(M238=AD238,"Board certification",IF(Q238=AD238,"Malpractice",IF(S238=AD238,"Life support",IF(W238=AD238,"CAQH re-attestation",IF(Y238=AD238,"Privileges reappointment","Payer recredentialing")))))))))</f>
        <v/>
      </c>
      <c r="AD238" s="25">
        <f>IF(OR(AND(LEN(G238)&gt;0,ISNUMBER(G238)=FALSE),AND(LEN(I238)&gt;0,ISNUMBER(I238)=FALSE),AND(LEN(K238)&gt;0,ISNUMBER(K238)=FALSE),AND(LEN(M238)&gt;0,ISNUMBER(M238)=FALSE),AND(LEN(Q238)&gt;0,ISNUMBER(Q238)=FALSE),AND(LEN(S238)&gt;0,ISNUMBER(S238)=FALSE),AND(LEN(Y238)&gt;0,ISNUMBER(Y238)=FALSE),AND(LEN(AA238)&gt;0,ISNUMBER(AA238)=FALSE),AND(LEN(U238)&gt;0,ISNUMBER(U238)=FALSE)),"Check date",IF(COUNT(G238,I238,K238,M238,Q238,S238,W238,Y238,AA238)=0,"",MIN(G238,I238,K238,M238,Q238,S238,W238,Y238,AA238)))</f>
        <v/>
      </c>
      <c r="AE238" s="25">
        <f>IF(ISNUMBER(AD238),AD238-IF(ISNUMBER(AB238),AB238,30),"")</f>
        <v/>
      </c>
      <c r="AF238" s="27">
        <f>IF(AD238="","",IF(ISNUMBER(AD238),AD238-TODAY(),"Check date"))</f>
        <v/>
      </c>
      <c r="AG238" s="28">
        <f>IF(AF238="","",IF(ISNUMBER(AF238),IF(AF238&lt;0,"Expired",IF(AF238&lt;=30,"Due ≤30 days",IF(AF238&lt;=90,"Due ≤90 days","OK"))),"Check date"))</f>
        <v/>
      </c>
      <c r="AH238" s="22" t="n"/>
      <c r="AI238" s="22" t="n"/>
      <c r="AJ238" s="22" t="n"/>
      <c r="AK238" s="22" t="n"/>
    </row>
    <row r="239">
      <c r="A239" s="22" t="n"/>
      <c r="B239" s="22" t="n"/>
      <c r="C239" s="22" t="n"/>
      <c r="D239" s="22" t="n"/>
      <c r="E239" s="22" t="n"/>
      <c r="F239" s="22" t="n"/>
      <c r="G239" s="23" t="n"/>
      <c r="H239" s="22" t="n"/>
      <c r="I239" s="23" t="n"/>
      <c r="J239" s="22" t="n"/>
      <c r="K239" s="23" t="n"/>
      <c r="L239" s="22" t="n"/>
      <c r="M239" s="23" t="n"/>
      <c r="N239" s="22" t="n"/>
      <c r="O239" s="22" t="n"/>
      <c r="P239" s="22" t="n"/>
      <c r="Q239" s="23" t="n"/>
      <c r="R239" s="22" t="n"/>
      <c r="S239" s="23" t="n"/>
      <c r="T239" s="22" t="n"/>
      <c r="U239" s="23" t="n"/>
      <c r="V239" s="24" t="n"/>
      <c r="W239" s="25">
        <f>IF(ISNUMBER(U239),U239+IF(ISNUMBER(V239),V239,120),"")</f>
        <v/>
      </c>
      <c r="X239" s="22" t="n"/>
      <c r="Y239" s="23" t="n"/>
      <c r="Z239" s="22" t="n"/>
      <c r="AA239" s="23" t="n"/>
      <c r="AB239" s="24" t="n"/>
      <c r="AC239" s="26">
        <f>IF(ISNUMBER(AD239)=FALSE,"",IF(G239=AD239,"State license",IF(I239=AD239,"DEA registration",IF(K239=AD239,"State CSR",IF(M239=AD239,"Board certification",IF(Q239=AD239,"Malpractice",IF(S239=AD239,"Life support",IF(W239=AD239,"CAQH re-attestation",IF(Y239=AD239,"Privileges reappointment","Payer recredentialing")))))))))</f>
        <v/>
      </c>
      <c r="AD239" s="25">
        <f>IF(OR(AND(LEN(G239)&gt;0,ISNUMBER(G239)=FALSE),AND(LEN(I239)&gt;0,ISNUMBER(I239)=FALSE),AND(LEN(K239)&gt;0,ISNUMBER(K239)=FALSE),AND(LEN(M239)&gt;0,ISNUMBER(M239)=FALSE),AND(LEN(Q239)&gt;0,ISNUMBER(Q239)=FALSE),AND(LEN(S239)&gt;0,ISNUMBER(S239)=FALSE),AND(LEN(Y239)&gt;0,ISNUMBER(Y239)=FALSE),AND(LEN(AA239)&gt;0,ISNUMBER(AA239)=FALSE),AND(LEN(U239)&gt;0,ISNUMBER(U239)=FALSE)),"Check date",IF(COUNT(G239,I239,K239,M239,Q239,S239,W239,Y239,AA239)=0,"",MIN(G239,I239,K239,M239,Q239,S239,W239,Y239,AA239)))</f>
        <v/>
      </c>
      <c r="AE239" s="25">
        <f>IF(ISNUMBER(AD239),AD239-IF(ISNUMBER(AB239),AB239,30),"")</f>
        <v/>
      </c>
      <c r="AF239" s="27">
        <f>IF(AD239="","",IF(ISNUMBER(AD239),AD239-TODAY(),"Check date"))</f>
        <v/>
      </c>
      <c r="AG239" s="28">
        <f>IF(AF239="","",IF(ISNUMBER(AF239),IF(AF239&lt;0,"Expired",IF(AF239&lt;=30,"Due ≤30 days",IF(AF239&lt;=90,"Due ≤90 days","OK"))),"Check date"))</f>
        <v/>
      </c>
      <c r="AH239" s="22" t="n"/>
      <c r="AI239" s="22" t="n"/>
      <c r="AJ239" s="22" t="n"/>
      <c r="AK239" s="22" t="n"/>
    </row>
    <row r="240">
      <c r="A240" s="22" t="n"/>
      <c r="B240" s="22" t="n"/>
      <c r="C240" s="22" t="n"/>
      <c r="D240" s="22" t="n"/>
      <c r="E240" s="22" t="n"/>
      <c r="F240" s="22" t="n"/>
      <c r="G240" s="23" t="n"/>
      <c r="H240" s="22" t="n"/>
      <c r="I240" s="23" t="n"/>
      <c r="J240" s="22" t="n"/>
      <c r="K240" s="23" t="n"/>
      <c r="L240" s="22" t="n"/>
      <c r="M240" s="23" t="n"/>
      <c r="N240" s="22" t="n"/>
      <c r="O240" s="22" t="n"/>
      <c r="P240" s="22" t="n"/>
      <c r="Q240" s="23" t="n"/>
      <c r="R240" s="22" t="n"/>
      <c r="S240" s="23" t="n"/>
      <c r="T240" s="22" t="n"/>
      <c r="U240" s="23" t="n"/>
      <c r="V240" s="24" t="n"/>
      <c r="W240" s="25">
        <f>IF(ISNUMBER(U240),U240+IF(ISNUMBER(V240),V240,120),"")</f>
        <v/>
      </c>
      <c r="X240" s="22" t="n"/>
      <c r="Y240" s="23" t="n"/>
      <c r="Z240" s="22" t="n"/>
      <c r="AA240" s="23" t="n"/>
      <c r="AB240" s="24" t="n"/>
      <c r="AC240" s="26">
        <f>IF(ISNUMBER(AD240)=FALSE,"",IF(G240=AD240,"State license",IF(I240=AD240,"DEA registration",IF(K240=AD240,"State CSR",IF(M240=AD240,"Board certification",IF(Q240=AD240,"Malpractice",IF(S240=AD240,"Life support",IF(W240=AD240,"CAQH re-attestation",IF(Y240=AD240,"Privileges reappointment","Payer recredentialing")))))))))</f>
        <v/>
      </c>
      <c r="AD240" s="25">
        <f>IF(OR(AND(LEN(G240)&gt;0,ISNUMBER(G240)=FALSE),AND(LEN(I240)&gt;0,ISNUMBER(I240)=FALSE),AND(LEN(K240)&gt;0,ISNUMBER(K240)=FALSE),AND(LEN(M240)&gt;0,ISNUMBER(M240)=FALSE),AND(LEN(Q240)&gt;0,ISNUMBER(Q240)=FALSE),AND(LEN(S240)&gt;0,ISNUMBER(S240)=FALSE),AND(LEN(Y240)&gt;0,ISNUMBER(Y240)=FALSE),AND(LEN(AA240)&gt;0,ISNUMBER(AA240)=FALSE),AND(LEN(U240)&gt;0,ISNUMBER(U240)=FALSE)),"Check date",IF(COUNT(G240,I240,K240,M240,Q240,S240,W240,Y240,AA240)=0,"",MIN(G240,I240,K240,M240,Q240,S240,W240,Y240,AA240)))</f>
        <v/>
      </c>
      <c r="AE240" s="25">
        <f>IF(ISNUMBER(AD240),AD240-IF(ISNUMBER(AB240),AB240,30),"")</f>
        <v/>
      </c>
      <c r="AF240" s="27">
        <f>IF(AD240="","",IF(ISNUMBER(AD240),AD240-TODAY(),"Check date"))</f>
        <v/>
      </c>
      <c r="AG240" s="28">
        <f>IF(AF240="","",IF(ISNUMBER(AF240),IF(AF240&lt;0,"Expired",IF(AF240&lt;=30,"Due ≤30 days",IF(AF240&lt;=90,"Due ≤90 days","OK"))),"Check date"))</f>
        <v/>
      </c>
      <c r="AH240" s="22" t="n"/>
      <c r="AI240" s="22" t="n"/>
      <c r="AJ240" s="22" t="n"/>
      <c r="AK240" s="22" t="n"/>
    </row>
    <row r="241">
      <c r="A241" s="22" t="n"/>
      <c r="B241" s="22" t="n"/>
      <c r="C241" s="22" t="n"/>
      <c r="D241" s="22" t="n"/>
      <c r="E241" s="22" t="n"/>
      <c r="F241" s="22" t="n"/>
      <c r="G241" s="23" t="n"/>
      <c r="H241" s="22" t="n"/>
      <c r="I241" s="23" t="n"/>
      <c r="J241" s="22" t="n"/>
      <c r="K241" s="23" t="n"/>
      <c r="L241" s="22" t="n"/>
      <c r="M241" s="23" t="n"/>
      <c r="N241" s="22" t="n"/>
      <c r="O241" s="22" t="n"/>
      <c r="P241" s="22" t="n"/>
      <c r="Q241" s="23" t="n"/>
      <c r="R241" s="22" t="n"/>
      <c r="S241" s="23" t="n"/>
      <c r="T241" s="22" t="n"/>
      <c r="U241" s="23" t="n"/>
      <c r="V241" s="24" t="n"/>
      <c r="W241" s="25">
        <f>IF(ISNUMBER(U241),U241+IF(ISNUMBER(V241),V241,120),"")</f>
        <v/>
      </c>
      <c r="X241" s="22" t="n"/>
      <c r="Y241" s="23" t="n"/>
      <c r="Z241" s="22" t="n"/>
      <c r="AA241" s="23" t="n"/>
      <c r="AB241" s="24" t="n"/>
      <c r="AC241" s="26">
        <f>IF(ISNUMBER(AD241)=FALSE,"",IF(G241=AD241,"State license",IF(I241=AD241,"DEA registration",IF(K241=AD241,"State CSR",IF(M241=AD241,"Board certification",IF(Q241=AD241,"Malpractice",IF(S241=AD241,"Life support",IF(W241=AD241,"CAQH re-attestation",IF(Y241=AD241,"Privileges reappointment","Payer recredentialing")))))))))</f>
        <v/>
      </c>
      <c r="AD241" s="25">
        <f>IF(OR(AND(LEN(G241)&gt;0,ISNUMBER(G241)=FALSE),AND(LEN(I241)&gt;0,ISNUMBER(I241)=FALSE),AND(LEN(K241)&gt;0,ISNUMBER(K241)=FALSE),AND(LEN(M241)&gt;0,ISNUMBER(M241)=FALSE),AND(LEN(Q241)&gt;0,ISNUMBER(Q241)=FALSE),AND(LEN(S241)&gt;0,ISNUMBER(S241)=FALSE),AND(LEN(Y241)&gt;0,ISNUMBER(Y241)=FALSE),AND(LEN(AA241)&gt;0,ISNUMBER(AA241)=FALSE),AND(LEN(U241)&gt;0,ISNUMBER(U241)=FALSE)),"Check date",IF(COUNT(G241,I241,K241,M241,Q241,S241,W241,Y241,AA241)=0,"",MIN(G241,I241,K241,M241,Q241,S241,W241,Y241,AA241)))</f>
        <v/>
      </c>
      <c r="AE241" s="25">
        <f>IF(ISNUMBER(AD241),AD241-IF(ISNUMBER(AB241),AB241,30),"")</f>
        <v/>
      </c>
      <c r="AF241" s="27">
        <f>IF(AD241="","",IF(ISNUMBER(AD241),AD241-TODAY(),"Check date"))</f>
        <v/>
      </c>
      <c r="AG241" s="28">
        <f>IF(AF241="","",IF(ISNUMBER(AF241),IF(AF241&lt;0,"Expired",IF(AF241&lt;=30,"Due ≤30 days",IF(AF241&lt;=90,"Due ≤90 days","OK"))),"Check date"))</f>
        <v/>
      </c>
      <c r="AH241" s="22" t="n"/>
      <c r="AI241" s="22" t="n"/>
      <c r="AJ241" s="22" t="n"/>
      <c r="AK241" s="22" t="n"/>
    </row>
    <row r="242">
      <c r="A242" s="22" t="n"/>
      <c r="B242" s="22" t="n"/>
      <c r="C242" s="22" t="n"/>
      <c r="D242" s="22" t="n"/>
      <c r="E242" s="22" t="n"/>
      <c r="F242" s="22" t="n"/>
      <c r="G242" s="23" t="n"/>
      <c r="H242" s="22" t="n"/>
      <c r="I242" s="23" t="n"/>
      <c r="J242" s="22" t="n"/>
      <c r="K242" s="23" t="n"/>
      <c r="L242" s="22" t="n"/>
      <c r="M242" s="23" t="n"/>
      <c r="N242" s="22" t="n"/>
      <c r="O242" s="22" t="n"/>
      <c r="P242" s="22" t="n"/>
      <c r="Q242" s="23" t="n"/>
      <c r="R242" s="22" t="n"/>
      <c r="S242" s="23" t="n"/>
      <c r="T242" s="22" t="n"/>
      <c r="U242" s="23" t="n"/>
      <c r="V242" s="24" t="n"/>
      <c r="W242" s="25">
        <f>IF(ISNUMBER(U242),U242+IF(ISNUMBER(V242),V242,120),"")</f>
        <v/>
      </c>
      <c r="X242" s="22" t="n"/>
      <c r="Y242" s="23" t="n"/>
      <c r="Z242" s="22" t="n"/>
      <c r="AA242" s="23" t="n"/>
      <c r="AB242" s="24" t="n"/>
      <c r="AC242" s="26">
        <f>IF(ISNUMBER(AD242)=FALSE,"",IF(G242=AD242,"State license",IF(I242=AD242,"DEA registration",IF(K242=AD242,"State CSR",IF(M242=AD242,"Board certification",IF(Q242=AD242,"Malpractice",IF(S242=AD242,"Life support",IF(W242=AD242,"CAQH re-attestation",IF(Y242=AD242,"Privileges reappointment","Payer recredentialing")))))))))</f>
        <v/>
      </c>
      <c r="AD242" s="25">
        <f>IF(OR(AND(LEN(G242)&gt;0,ISNUMBER(G242)=FALSE),AND(LEN(I242)&gt;0,ISNUMBER(I242)=FALSE),AND(LEN(K242)&gt;0,ISNUMBER(K242)=FALSE),AND(LEN(M242)&gt;0,ISNUMBER(M242)=FALSE),AND(LEN(Q242)&gt;0,ISNUMBER(Q242)=FALSE),AND(LEN(S242)&gt;0,ISNUMBER(S242)=FALSE),AND(LEN(Y242)&gt;0,ISNUMBER(Y242)=FALSE),AND(LEN(AA242)&gt;0,ISNUMBER(AA242)=FALSE),AND(LEN(U242)&gt;0,ISNUMBER(U242)=FALSE)),"Check date",IF(COUNT(G242,I242,K242,M242,Q242,S242,W242,Y242,AA242)=0,"",MIN(G242,I242,K242,M242,Q242,S242,W242,Y242,AA242)))</f>
        <v/>
      </c>
      <c r="AE242" s="25">
        <f>IF(ISNUMBER(AD242),AD242-IF(ISNUMBER(AB242),AB242,30),"")</f>
        <v/>
      </c>
      <c r="AF242" s="27">
        <f>IF(AD242="","",IF(ISNUMBER(AD242),AD242-TODAY(),"Check date"))</f>
        <v/>
      </c>
      <c r="AG242" s="28">
        <f>IF(AF242="","",IF(ISNUMBER(AF242),IF(AF242&lt;0,"Expired",IF(AF242&lt;=30,"Due ≤30 days",IF(AF242&lt;=90,"Due ≤90 days","OK"))),"Check date"))</f>
        <v/>
      </c>
      <c r="AH242" s="22" t="n"/>
      <c r="AI242" s="22" t="n"/>
      <c r="AJ242" s="22" t="n"/>
      <c r="AK242" s="22" t="n"/>
    </row>
    <row r="243">
      <c r="A243" s="22" t="n"/>
      <c r="B243" s="22" t="n"/>
      <c r="C243" s="22" t="n"/>
      <c r="D243" s="22" t="n"/>
      <c r="E243" s="22" t="n"/>
      <c r="F243" s="22" t="n"/>
      <c r="G243" s="23" t="n"/>
      <c r="H243" s="22" t="n"/>
      <c r="I243" s="23" t="n"/>
      <c r="J243" s="22" t="n"/>
      <c r="K243" s="23" t="n"/>
      <c r="L243" s="22" t="n"/>
      <c r="M243" s="23" t="n"/>
      <c r="N243" s="22" t="n"/>
      <c r="O243" s="22" t="n"/>
      <c r="P243" s="22" t="n"/>
      <c r="Q243" s="23" t="n"/>
      <c r="R243" s="22" t="n"/>
      <c r="S243" s="23" t="n"/>
      <c r="T243" s="22" t="n"/>
      <c r="U243" s="23" t="n"/>
      <c r="V243" s="24" t="n"/>
      <c r="W243" s="25">
        <f>IF(ISNUMBER(U243),U243+IF(ISNUMBER(V243),V243,120),"")</f>
        <v/>
      </c>
      <c r="X243" s="22" t="n"/>
      <c r="Y243" s="23" t="n"/>
      <c r="Z243" s="22" t="n"/>
      <c r="AA243" s="23" t="n"/>
      <c r="AB243" s="24" t="n"/>
      <c r="AC243" s="26">
        <f>IF(ISNUMBER(AD243)=FALSE,"",IF(G243=AD243,"State license",IF(I243=AD243,"DEA registration",IF(K243=AD243,"State CSR",IF(M243=AD243,"Board certification",IF(Q243=AD243,"Malpractice",IF(S243=AD243,"Life support",IF(W243=AD243,"CAQH re-attestation",IF(Y243=AD243,"Privileges reappointment","Payer recredentialing")))))))))</f>
        <v/>
      </c>
      <c r="AD243" s="25">
        <f>IF(OR(AND(LEN(G243)&gt;0,ISNUMBER(G243)=FALSE),AND(LEN(I243)&gt;0,ISNUMBER(I243)=FALSE),AND(LEN(K243)&gt;0,ISNUMBER(K243)=FALSE),AND(LEN(M243)&gt;0,ISNUMBER(M243)=FALSE),AND(LEN(Q243)&gt;0,ISNUMBER(Q243)=FALSE),AND(LEN(S243)&gt;0,ISNUMBER(S243)=FALSE),AND(LEN(Y243)&gt;0,ISNUMBER(Y243)=FALSE),AND(LEN(AA243)&gt;0,ISNUMBER(AA243)=FALSE),AND(LEN(U243)&gt;0,ISNUMBER(U243)=FALSE)),"Check date",IF(COUNT(G243,I243,K243,M243,Q243,S243,W243,Y243,AA243)=0,"",MIN(G243,I243,K243,M243,Q243,S243,W243,Y243,AA243)))</f>
        <v/>
      </c>
      <c r="AE243" s="25">
        <f>IF(ISNUMBER(AD243),AD243-IF(ISNUMBER(AB243),AB243,30),"")</f>
        <v/>
      </c>
      <c r="AF243" s="27">
        <f>IF(AD243="","",IF(ISNUMBER(AD243),AD243-TODAY(),"Check date"))</f>
        <v/>
      </c>
      <c r="AG243" s="28">
        <f>IF(AF243="","",IF(ISNUMBER(AF243),IF(AF243&lt;0,"Expired",IF(AF243&lt;=30,"Due ≤30 days",IF(AF243&lt;=90,"Due ≤90 days","OK"))),"Check date"))</f>
        <v/>
      </c>
      <c r="AH243" s="22" t="n"/>
      <c r="AI243" s="22" t="n"/>
      <c r="AJ243" s="22" t="n"/>
      <c r="AK243" s="22" t="n"/>
    </row>
    <row r="244">
      <c r="A244" s="22" t="n"/>
      <c r="B244" s="22" t="n"/>
      <c r="C244" s="22" t="n"/>
      <c r="D244" s="22" t="n"/>
      <c r="E244" s="22" t="n"/>
      <c r="F244" s="22" t="n"/>
      <c r="G244" s="23" t="n"/>
      <c r="H244" s="22" t="n"/>
      <c r="I244" s="23" t="n"/>
      <c r="J244" s="22" t="n"/>
      <c r="K244" s="23" t="n"/>
      <c r="L244" s="22" t="n"/>
      <c r="M244" s="23" t="n"/>
      <c r="N244" s="22" t="n"/>
      <c r="O244" s="22" t="n"/>
      <c r="P244" s="22" t="n"/>
      <c r="Q244" s="23" t="n"/>
      <c r="R244" s="22" t="n"/>
      <c r="S244" s="23" t="n"/>
      <c r="T244" s="22" t="n"/>
      <c r="U244" s="23" t="n"/>
      <c r="V244" s="24" t="n"/>
      <c r="W244" s="25">
        <f>IF(ISNUMBER(U244),U244+IF(ISNUMBER(V244),V244,120),"")</f>
        <v/>
      </c>
      <c r="X244" s="22" t="n"/>
      <c r="Y244" s="23" t="n"/>
      <c r="Z244" s="22" t="n"/>
      <c r="AA244" s="23" t="n"/>
      <c r="AB244" s="24" t="n"/>
      <c r="AC244" s="26">
        <f>IF(ISNUMBER(AD244)=FALSE,"",IF(G244=AD244,"State license",IF(I244=AD244,"DEA registration",IF(K244=AD244,"State CSR",IF(M244=AD244,"Board certification",IF(Q244=AD244,"Malpractice",IF(S244=AD244,"Life support",IF(W244=AD244,"CAQH re-attestation",IF(Y244=AD244,"Privileges reappointment","Payer recredentialing")))))))))</f>
        <v/>
      </c>
      <c r="AD244" s="25">
        <f>IF(OR(AND(LEN(G244)&gt;0,ISNUMBER(G244)=FALSE),AND(LEN(I244)&gt;0,ISNUMBER(I244)=FALSE),AND(LEN(K244)&gt;0,ISNUMBER(K244)=FALSE),AND(LEN(M244)&gt;0,ISNUMBER(M244)=FALSE),AND(LEN(Q244)&gt;0,ISNUMBER(Q244)=FALSE),AND(LEN(S244)&gt;0,ISNUMBER(S244)=FALSE),AND(LEN(Y244)&gt;0,ISNUMBER(Y244)=FALSE),AND(LEN(AA244)&gt;0,ISNUMBER(AA244)=FALSE),AND(LEN(U244)&gt;0,ISNUMBER(U244)=FALSE)),"Check date",IF(COUNT(G244,I244,K244,M244,Q244,S244,W244,Y244,AA244)=0,"",MIN(G244,I244,K244,M244,Q244,S244,W244,Y244,AA244)))</f>
        <v/>
      </c>
      <c r="AE244" s="25">
        <f>IF(ISNUMBER(AD244),AD244-IF(ISNUMBER(AB244),AB244,30),"")</f>
        <v/>
      </c>
      <c r="AF244" s="27">
        <f>IF(AD244="","",IF(ISNUMBER(AD244),AD244-TODAY(),"Check date"))</f>
        <v/>
      </c>
      <c r="AG244" s="28">
        <f>IF(AF244="","",IF(ISNUMBER(AF244),IF(AF244&lt;0,"Expired",IF(AF244&lt;=30,"Due ≤30 days",IF(AF244&lt;=90,"Due ≤90 days","OK"))),"Check date"))</f>
        <v/>
      </c>
      <c r="AH244" s="22" t="n"/>
      <c r="AI244" s="22" t="n"/>
      <c r="AJ244" s="22" t="n"/>
      <c r="AK244" s="22" t="n"/>
    </row>
    <row r="245">
      <c r="A245" s="22" t="n"/>
      <c r="B245" s="22" t="n"/>
      <c r="C245" s="22" t="n"/>
      <c r="D245" s="22" t="n"/>
      <c r="E245" s="22" t="n"/>
      <c r="F245" s="22" t="n"/>
      <c r="G245" s="23" t="n"/>
      <c r="H245" s="22" t="n"/>
      <c r="I245" s="23" t="n"/>
      <c r="J245" s="22" t="n"/>
      <c r="K245" s="23" t="n"/>
      <c r="L245" s="22" t="n"/>
      <c r="M245" s="23" t="n"/>
      <c r="N245" s="22" t="n"/>
      <c r="O245" s="22" t="n"/>
      <c r="P245" s="22" t="n"/>
      <c r="Q245" s="23" t="n"/>
      <c r="R245" s="22" t="n"/>
      <c r="S245" s="23" t="n"/>
      <c r="T245" s="22" t="n"/>
      <c r="U245" s="23" t="n"/>
      <c r="V245" s="24" t="n"/>
      <c r="W245" s="25">
        <f>IF(ISNUMBER(U245),U245+IF(ISNUMBER(V245),V245,120),"")</f>
        <v/>
      </c>
      <c r="X245" s="22" t="n"/>
      <c r="Y245" s="23" t="n"/>
      <c r="Z245" s="22" t="n"/>
      <c r="AA245" s="23" t="n"/>
      <c r="AB245" s="24" t="n"/>
      <c r="AC245" s="26">
        <f>IF(ISNUMBER(AD245)=FALSE,"",IF(G245=AD245,"State license",IF(I245=AD245,"DEA registration",IF(K245=AD245,"State CSR",IF(M245=AD245,"Board certification",IF(Q245=AD245,"Malpractice",IF(S245=AD245,"Life support",IF(W245=AD245,"CAQH re-attestation",IF(Y245=AD245,"Privileges reappointment","Payer recredentialing")))))))))</f>
        <v/>
      </c>
      <c r="AD245" s="25">
        <f>IF(OR(AND(LEN(G245)&gt;0,ISNUMBER(G245)=FALSE),AND(LEN(I245)&gt;0,ISNUMBER(I245)=FALSE),AND(LEN(K245)&gt;0,ISNUMBER(K245)=FALSE),AND(LEN(M245)&gt;0,ISNUMBER(M245)=FALSE),AND(LEN(Q245)&gt;0,ISNUMBER(Q245)=FALSE),AND(LEN(S245)&gt;0,ISNUMBER(S245)=FALSE),AND(LEN(Y245)&gt;0,ISNUMBER(Y245)=FALSE),AND(LEN(AA245)&gt;0,ISNUMBER(AA245)=FALSE),AND(LEN(U245)&gt;0,ISNUMBER(U245)=FALSE)),"Check date",IF(COUNT(G245,I245,K245,M245,Q245,S245,W245,Y245,AA245)=0,"",MIN(G245,I245,K245,M245,Q245,S245,W245,Y245,AA245)))</f>
        <v/>
      </c>
      <c r="AE245" s="25">
        <f>IF(ISNUMBER(AD245),AD245-IF(ISNUMBER(AB245),AB245,30),"")</f>
        <v/>
      </c>
      <c r="AF245" s="27">
        <f>IF(AD245="","",IF(ISNUMBER(AD245),AD245-TODAY(),"Check date"))</f>
        <v/>
      </c>
      <c r="AG245" s="28">
        <f>IF(AF245="","",IF(ISNUMBER(AF245),IF(AF245&lt;0,"Expired",IF(AF245&lt;=30,"Due ≤30 days",IF(AF245&lt;=90,"Due ≤90 days","OK"))),"Check date"))</f>
        <v/>
      </c>
      <c r="AH245" s="22" t="n"/>
      <c r="AI245" s="22" t="n"/>
      <c r="AJ245" s="22" t="n"/>
      <c r="AK245" s="22" t="n"/>
    </row>
    <row r="246">
      <c r="A246" s="22" t="n"/>
      <c r="B246" s="22" t="n"/>
      <c r="C246" s="22" t="n"/>
      <c r="D246" s="22" t="n"/>
      <c r="E246" s="22" t="n"/>
      <c r="F246" s="22" t="n"/>
      <c r="G246" s="23" t="n"/>
      <c r="H246" s="22" t="n"/>
      <c r="I246" s="23" t="n"/>
      <c r="J246" s="22" t="n"/>
      <c r="K246" s="23" t="n"/>
      <c r="L246" s="22" t="n"/>
      <c r="M246" s="23" t="n"/>
      <c r="N246" s="22" t="n"/>
      <c r="O246" s="22" t="n"/>
      <c r="P246" s="22" t="n"/>
      <c r="Q246" s="23" t="n"/>
      <c r="R246" s="22" t="n"/>
      <c r="S246" s="23" t="n"/>
      <c r="T246" s="22" t="n"/>
      <c r="U246" s="23" t="n"/>
      <c r="V246" s="24" t="n"/>
      <c r="W246" s="25">
        <f>IF(ISNUMBER(U246),U246+IF(ISNUMBER(V246),V246,120),"")</f>
        <v/>
      </c>
      <c r="X246" s="22" t="n"/>
      <c r="Y246" s="23" t="n"/>
      <c r="Z246" s="22" t="n"/>
      <c r="AA246" s="23" t="n"/>
      <c r="AB246" s="24" t="n"/>
      <c r="AC246" s="26">
        <f>IF(ISNUMBER(AD246)=FALSE,"",IF(G246=AD246,"State license",IF(I246=AD246,"DEA registration",IF(K246=AD246,"State CSR",IF(M246=AD246,"Board certification",IF(Q246=AD246,"Malpractice",IF(S246=AD246,"Life support",IF(W246=AD246,"CAQH re-attestation",IF(Y246=AD246,"Privileges reappointment","Payer recredentialing")))))))))</f>
        <v/>
      </c>
      <c r="AD246" s="25">
        <f>IF(OR(AND(LEN(G246)&gt;0,ISNUMBER(G246)=FALSE),AND(LEN(I246)&gt;0,ISNUMBER(I246)=FALSE),AND(LEN(K246)&gt;0,ISNUMBER(K246)=FALSE),AND(LEN(M246)&gt;0,ISNUMBER(M246)=FALSE),AND(LEN(Q246)&gt;0,ISNUMBER(Q246)=FALSE),AND(LEN(S246)&gt;0,ISNUMBER(S246)=FALSE),AND(LEN(Y246)&gt;0,ISNUMBER(Y246)=FALSE),AND(LEN(AA246)&gt;0,ISNUMBER(AA246)=FALSE),AND(LEN(U246)&gt;0,ISNUMBER(U246)=FALSE)),"Check date",IF(COUNT(G246,I246,K246,M246,Q246,S246,W246,Y246,AA246)=0,"",MIN(G246,I246,K246,M246,Q246,S246,W246,Y246,AA246)))</f>
        <v/>
      </c>
      <c r="AE246" s="25">
        <f>IF(ISNUMBER(AD246),AD246-IF(ISNUMBER(AB246),AB246,30),"")</f>
        <v/>
      </c>
      <c r="AF246" s="27">
        <f>IF(AD246="","",IF(ISNUMBER(AD246),AD246-TODAY(),"Check date"))</f>
        <v/>
      </c>
      <c r="AG246" s="28">
        <f>IF(AF246="","",IF(ISNUMBER(AF246),IF(AF246&lt;0,"Expired",IF(AF246&lt;=30,"Due ≤30 days",IF(AF246&lt;=90,"Due ≤90 days","OK"))),"Check date"))</f>
        <v/>
      </c>
      <c r="AH246" s="22" t="n"/>
      <c r="AI246" s="22" t="n"/>
      <c r="AJ246" s="22" t="n"/>
      <c r="AK246" s="22" t="n"/>
    </row>
    <row r="247">
      <c r="A247" s="22" t="n"/>
      <c r="B247" s="22" t="n"/>
      <c r="C247" s="22" t="n"/>
      <c r="D247" s="22" t="n"/>
      <c r="E247" s="22" t="n"/>
      <c r="F247" s="22" t="n"/>
      <c r="G247" s="23" t="n"/>
      <c r="H247" s="22" t="n"/>
      <c r="I247" s="23" t="n"/>
      <c r="J247" s="22" t="n"/>
      <c r="K247" s="23" t="n"/>
      <c r="L247" s="22" t="n"/>
      <c r="M247" s="23" t="n"/>
      <c r="N247" s="22" t="n"/>
      <c r="O247" s="22" t="n"/>
      <c r="P247" s="22" t="n"/>
      <c r="Q247" s="23" t="n"/>
      <c r="R247" s="22" t="n"/>
      <c r="S247" s="23" t="n"/>
      <c r="T247" s="22" t="n"/>
      <c r="U247" s="23" t="n"/>
      <c r="V247" s="24" t="n"/>
      <c r="W247" s="25">
        <f>IF(ISNUMBER(U247),U247+IF(ISNUMBER(V247),V247,120),"")</f>
        <v/>
      </c>
      <c r="X247" s="22" t="n"/>
      <c r="Y247" s="23" t="n"/>
      <c r="Z247" s="22" t="n"/>
      <c r="AA247" s="23" t="n"/>
      <c r="AB247" s="24" t="n"/>
      <c r="AC247" s="26">
        <f>IF(ISNUMBER(AD247)=FALSE,"",IF(G247=AD247,"State license",IF(I247=AD247,"DEA registration",IF(K247=AD247,"State CSR",IF(M247=AD247,"Board certification",IF(Q247=AD247,"Malpractice",IF(S247=AD247,"Life support",IF(W247=AD247,"CAQH re-attestation",IF(Y247=AD247,"Privileges reappointment","Payer recredentialing")))))))))</f>
        <v/>
      </c>
      <c r="AD247" s="25">
        <f>IF(OR(AND(LEN(G247)&gt;0,ISNUMBER(G247)=FALSE),AND(LEN(I247)&gt;0,ISNUMBER(I247)=FALSE),AND(LEN(K247)&gt;0,ISNUMBER(K247)=FALSE),AND(LEN(M247)&gt;0,ISNUMBER(M247)=FALSE),AND(LEN(Q247)&gt;0,ISNUMBER(Q247)=FALSE),AND(LEN(S247)&gt;0,ISNUMBER(S247)=FALSE),AND(LEN(Y247)&gt;0,ISNUMBER(Y247)=FALSE),AND(LEN(AA247)&gt;0,ISNUMBER(AA247)=FALSE),AND(LEN(U247)&gt;0,ISNUMBER(U247)=FALSE)),"Check date",IF(COUNT(G247,I247,K247,M247,Q247,S247,W247,Y247,AA247)=0,"",MIN(G247,I247,K247,M247,Q247,S247,W247,Y247,AA247)))</f>
        <v/>
      </c>
      <c r="AE247" s="25">
        <f>IF(ISNUMBER(AD247),AD247-IF(ISNUMBER(AB247),AB247,30),"")</f>
        <v/>
      </c>
      <c r="AF247" s="27">
        <f>IF(AD247="","",IF(ISNUMBER(AD247),AD247-TODAY(),"Check date"))</f>
        <v/>
      </c>
      <c r="AG247" s="28">
        <f>IF(AF247="","",IF(ISNUMBER(AF247),IF(AF247&lt;0,"Expired",IF(AF247&lt;=30,"Due ≤30 days",IF(AF247&lt;=90,"Due ≤90 days","OK"))),"Check date"))</f>
        <v/>
      </c>
      <c r="AH247" s="22" t="n"/>
      <c r="AI247" s="22" t="n"/>
      <c r="AJ247" s="22" t="n"/>
      <c r="AK247" s="22" t="n"/>
    </row>
    <row r="248">
      <c r="A248" s="22" t="n"/>
      <c r="B248" s="22" t="n"/>
      <c r="C248" s="22" t="n"/>
      <c r="D248" s="22" t="n"/>
      <c r="E248" s="22" t="n"/>
      <c r="F248" s="22" t="n"/>
      <c r="G248" s="23" t="n"/>
      <c r="H248" s="22" t="n"/>
      <c r="I248" s="23" t="n"/>
      <c r="J248" s="22" t="n"/>
      <c r="K248" s="23" t="n"/>
      <c r="L248" s="22" t="n"/>
      <c r="M248" s="23" t="n"/>
      <c r="N248" s="22" t="n"/>
      <c r="O248" s="22" t="n"/>
      <c r="P248" s="22" t="n"/>
      <c r="Q248" s="23" t="n"/>
      <c r="R248" s="22" t="n"/>
      <c r="S248" s="23" t="n"/>
      <c r="T248" s="22" t="n"/>
      <c r="U248" s="23" t="n"/>
      <c r="V248" s="24" t="n"/>
      <c r="W248" s="25">
        <f>IF(ISNUMBER(U248),U248+IF(ISNUMBER(V248),V248,120),"")</f>
        <v/>
      </c>
      <c r="X248" s="22" t="n"/>
      <c r="Y248" s="23" t="n"/>
      <c r="Z248" s="22" t="n"/>
      <c r="AA248" s="23" t="n"/>
      <c r="AB248" s="24" t="n"/>
      <c r="AC248" s="26">
        <f>IF(ISNUMBER(AD248)=FALSE,"",IF(G248=AD248,"State license",IF(I248=AD248,"DEA registration",IF(K248=AD248,"State CSR",IF(M248=AD248,"Board certification",IF(Q248=AD248,"Malpractice",IF(S248=AD248,"Life support",IF(W248=AD248,"CAQH re-attestation",IF(Y248=AD248,"Privileges reappointment","Payer recredentialing")))))))))</f>
        <v/>
      </c>
      <c r="AD248" s="25">
        <f>IF(OR(AND(LEN(G248)&gt;0,ISNUMBER(G248)=FALSE),AND(LEN(I248)&gt;0,ISNUMBER(I248)=FALSE),AND(LEN(K248)&gt;0,ISNUMBER(K248)=FALSE),AND(LEN(M248)&gt;0,ISNUMBER(M248)=FALSE),AND(LEN(Q248)&gt;0,ISNUMBER(Q248)=FALSE),AND(LEN(S248)&gt;0,ISNUMBER(S248)=FALSE),AND(LEN(Y248)&gt;0,ISNUMBER(Y248)=FALSE),AND(LEN(AA248)&gt;0,ISNUMBER(AA248)=FALSE),AND(LEN(U248)&gt;0,ISNUMBER(U248)=FALSE)),"Check date",IF(COUNT(G248,I248,K248,M248,Q248,S248,W248,Y248,AA248)=0,"",MIN(G248,I248,K248,M248,Q248,S248,W248,Y248,AA248)))</f>
        <v/>
      </c>
      <c r="AE248" s="25">
        <f>IF(ISNUMBER(AD248),AD248-IF(ISNUMBER(AB248),AB248,30),"")</f>
        <v/>
      </c>
      <c r="AF248" s="27">
        <f>IF(AD248="","",IF(ISNUMBER(AD248),AD248-TODAY(),"Check date"))</f>
        <v/>
      </c>
      <c r="AG248" s="28">
        <f>IF(AF248="","",IF(ISNUMBER(AF248),IF(AF248&lt;0,"Expired",IF(AF248&lt;=30,"Due ≤30 days",IF(AF248&lt;=90,"Due ≤90 days","OK"))),"Check date"))</f>
        <v/>
      </c>
      <c r="AH248" s="22" t="n"/>
      <c r="AI248" s="22" t="n"/>
      <c r="AJ248" s="22" t="n"/>
      <c r="AK248" s="22" t="n"/>
    </row>
    <row r="249">
      <c r="A249" s="22" t="n"/>
      <c r="B249" s="22" t="n"/>
      <c r="C249" s="22" t="n"/>
      <c r="D249" s="22" t="n"/>
      <c r="E249" s="22" t="n"/>
      <c r="F249" s="22" t="n"/>
      <c r="G249" s="23" t="n"/>
      <c r="H249" s="22" t="n"/>
      <c r="I249" s="23" t="n"/>
      <c r="J249" s="22" t="n"/>
      <c r="K249" s="23" t="n"/>
      <c r="L249" s="22" t="n"/>
      <c r="M249" s="23" t="n"/>
      <c r="N249" s="22" t="n"/>
      <c r="O249" s="22" t="n"/>
      <c r="P249" s="22" t="n"/>
      <c r="Q249" s="23" t="n"/>
      <c r="R249" s="22" t="n"/>
      <c r="S249" s="23" t="n"/>
      <c r="T249" s="22" t="n"/>
      <c r="U249" s="23" t="n"/>
      <c r="V249" s="24" t="n"/>
      <c r="W249" s="25">
        <f>IF(ISNUMBER(U249),U249+IF(ISNUMBER(V249),V249,120),"")</f>
        <v/>
      </c>
      <c r="X249" s="22" t="n"/>
      <c r="Y249" s="23" t="n"/>
      <c r="Z249" s="22" t="n"/>
      <c r="AA249" s="23" t="n"/>
      <c r="AB249" s="24" t="n"/>
      <c r="AC249" s="26">
        <f>IF(ISNUMBER(AD249)=FALSE,"",IF(G249=AD249,"State license",IF(I249=AD249,"DEA registration",IF(K249=AD249,"State CSR",IF(M249=AD249,"Board certification",IF(Q249=AD249,"Malpractice",IF(S249=AD249,"Life support",IF(W249=AD249,"CAQH re-attestation",IF(Y249=AD249,"Privileges reappointment","Payer recredentialing")))))))))</f>
        <v/>
      </c>
      <c r="AD249" s="25">
        <f>IF(OR(AND(LEN(G249)&gt;0,ISNUMBER(G249)=FALSE),AND(LEN(I249)&gt;0,ISNUMBER(I249)=FALSE),AND(LEN(K249)&gt;0,ISNUMBER(K249)=FALSE),AND(LEN(M249)&gt;0,ISNUMBER(M249)=FALSE),AND(LEN(Q249)&gt;0,ISNUMBER(Q249)=FALSE),AND(LEN(S249)&gt;0,ISNUMBER(S249)=FALSE),AND(LEN(Y249)&gt;0,ISNUMBER(Y249)=FALSE),AND(LEN(AA249)&gt;0,ISNUMBER(AA249)=FALSE),AND(LEN(U249)&gt;0,ISNUMBER(U249)=FALSE)),"Check date",IF(COUNT(G249,I249,K249,M249,Q249,S249,W249,Y249,AA249)=0,"",MIN(G249,I249,K249,M249,Q249,S249,W249,Y249,AA249)))</f>
        <v/>
      </c>
      <c r="AE249" s="25">
        <f>IF(ISNUMBER(AD249),AD249-IF(ISNUMBER(AB249),AB249,30),"")</f>
        <v/>
      </c>
      <c r="AF249" s="27">
        <f>IF(AD249="","",IF(ISNUMBER(AD249),AD249-TODAY(),"Check date"))</f>
        <v/>
      </c>
      <c r="AG249" s="28">
        <f>IF(AF249="","",IF(ISNUMBER(AF249),IF(AF249&lt;0,"Expired",IF(AF249&lt;=30,"Due ≤30 days",IF(AF249&lt;=90,"Due ≤90 days","OK"))),"Check date"))</f>
        <v/>
      </c>
      <c r="AH249" s="22" t="n"/>
      <c r="AI249" s="22" t="n"/>
      <c r="AJ249" s="22" t="n"/>
      <c r="AK249" s="22" t="n"/>
    </row>
    <row r="250">
      <c r="A250" s="22" t="n"/>
      <c r="B250" s="22" t="n"/>
      <c r="C250" s="22" t="n"/>
      <c r="D250" s="22" t="n"/>
      <c r="E250" s="22" t="n"/>
      <c r="F250" s="22" t="n"/>
      <c r="G250" s="23" t="n"/>
      <c r="H250" s="22" t="n"/>
      <c r="I250" s="23" t="n"/>
      <c r="J250" s="22" t="n"/>
      <c r="K250" s="23" t="n"/>
      <c r="L250" s="22" t="n"/>
      <c r="M250" s="23" t="n"/>
      <c r="N250" s="22" t="n"/>
      <c r="O250" s="22" t="n"/>
      <c r="P250" s="22" t="n"/>
      <c r="Q250" s="23" t="n"/>
      <c r="R250" s="22" t="n"/>
      <c r="S250" s="23" t="n"/>
      <c r="T250" s="22" t="n"/>
      <c r="U250" s="23" t="n"/>
      <c r="V250" s="24" t="n"/>
      <c r="W250" s="25">
        <f>IF(ISNUMBER(U250),U250+IF(ISNUMBER(V250),V250,120),"")</f>
        <v/>
      </c>
      <c r="X250" s="22" t="n"/>
      <c r="Y250" s="23" t="n"/>
      <c r="Z250" s="22" t="n"/>
      <c r="AA250" s="23" t="n"/>
      <c r="AB250" s="24" t="n"/>
      <c r="AC250" s="26">
        <f>IF(ISNUMBER(AD250)=FALSE,"",IF(G250=AD250,"State license",IF(I250=AD250,"DEA registration",IF(K250=AD250,"State CSR",IF(M250=AD250,"Board certification",IF(Q250=AD250,"Malpractice",IF(S250=AD250,"Life support",IF(W250=AD250,"CAQH re-attestation",IF(Y250=AD250,"Privileges reappointment","Payer recredentialing")))))))))</f>
        <v/>
      </c>
      <c r="AD250" s="25">
        <f>IF(OR(AND(LEN(G250)&gt;0,ISNUMBER(G250)=FALSE),AND(LEN(I250)&gt;0,ISNUMBER(I250)=FALSE),AND(LEN(K250)&gt;0,ISNUMBER(K250)=FALSE),AND(LEN(M250)&gt;0,ISNUMBER(M250)=FALSE),AND(LEN(Q250)&gt;0,ISNUMBER(Q250)=FALSE),AND(LEN(S250)&gt;0,ISNUMBER(S250)=FALSE),AND(LEN(Y250)&gt;0,ISNUMBER(Y250)=FALSE),AND(LEN(AA250)&gt;0,ISNUMBER(AA250)=FALSE),AND(LEN(U250)&gt;0,ISNUMBER(U250)=FALSE)),"Check date",IF(COUNT(G250,I250,K250,M250,Q250,S250,W250,Y250,AA250)=0,"",MIN(G250,I250,K250,M250,Q250,S250,W250,Y250,AA250)))</f>
        <v/>
      </c>
      <c r="AE250" s="25">
        <f>IF(ISNUMBER(AD250),AD250-IF(ISNUMBER(AB250),AB250,30),"")</f>
        <v/>
      </c>
      <c r="AF250" s="27">
        <f>IF(AD250="","",IF(ISNUMBER(AD250),AD250-TODAY(),"Check date"))</f>
        <v/>
      </c>
      <c r="AG250" s="28">
        <f>IF(AF250="","",IF(ISNUMBER(AF250),IF(AF250&lt;0,"Expired",IF(AF250&lt;=30,"Due ≤30 days",IF(AF250&lt;=90,"Due ≤90 days","OK"))),"Check date"))</f>
        <v/>
      </c>
      <c r="AH250" s="22" t="n"/>
      <c r="AI250" s="22" t="n"/>
      <c r="AJ250" s="22" t="n"/>
      <c r="AK250" s="22" t="n"/>
    </row>
    <row r="251">
      <c r="A251" s="22" t="n"/>
      <c r="B251" s="22" t="n"/>
      <c r="C251" s="22" t="n"/>
      <c r="D251" s="22" t="n"/>
      <c r="E251" s="22" t="n"/>
      <c r="F251" s="22" t="n"/>
      <c r="G251" s="23" t="n"/>
      <c r="H251" s="22" t="n"/>
      <c r="I251" s="23" t="n"/>
      <c r="J251" s="22" t="n"/>
      <c r="K251" s="23" t="n"/>
      <c r="L251" s="22" t="n"/>
      <c r="M251" s="23" t="n"/>
      <c r="N251" s="22" t="n"/>
      <c r="O251" s="22" t="n"/>
      <c r="P251" s="22" t="n"/>
      <c r="Q251" s="23" t="n"/>
      <c r="R251" s="22" t="n"/>
      <c r="S251" s="23" t="n"/>
      <c r="T251" s="22" t="n"/>
      <c r="U251" s="23" t="n"/>
      <c r="V251" s="24" t="n"/>
      <c r="W251" s="25">
        <f>IF(ISNUMBER(U251),U251+IF(ISNUMBER(V251),V251,120),"")</f>
        <v/>
      </c>
      <c r="X251" s="22" t="n"/>
      <c r="Y251" s="23" t="n"/>
      <c r="Z251" s="22" t="n"/>
      <c r="AA251" s="23" t="n"/>
      <c r="AB251" s="24" t="n"/>
      <c r="AC251" s="26">
        <f>IF(ISNUMBER(AD251)=FALSE,"",IF(G251=AD251,"State license",IF(I251=AD251,"DEA registration",IF(K251=AD251,"State CSR",IF(M251=AD251,"Board certification",IF(Q251=AD251,"Malpractice",IF(S251=AD251,"Life support",IF(W251=AD251,"CAQH re-attestation",IF(Y251=AD251,"Privileges reappointment","Payer recredentialing")))))))))</f>
        <v/>
      </c>
      <c r="AD251" s="25">
        <f>IF(OR(AND(LEN(G251)&gt;0,ISNUMBER(G251)=FALSE),AND(LEN(I251)&gt;0,ISNUMBER(I251)=FALSE),AND(LEN(K251)&gt;0,ISNUMBER(K251)=FALSE),AND(LEN(M251)&gt;0,ISNUMBER(M251)=FALSE),AND(LEN(Q251)&gt;0,ISNUMBER(Q251)=FALSE),AND(LEN(S251)&gt;0,ISNUMBER(S251)=FALSE),AND(LEN(Y251)&gt;0,ISNUMBER(Y251)=FALSE),AND(LEN(AA251)&gt;0,ISNUMBER(AA251)=FALSE),AND(LEN(U251)&gt;0,ISNUMBER(U251)=FALSE)),"Check date",IF(COUNT(G251,I251,K251,M251,Q251,S251,W251,Y251,AA251)=0,"",MIN(G251,I251,K251,M251,Q251,S251,W251,Y251,AA251)))</f>
        <v/>
      </c>
      <c r="AE251" s="25">
        <f>IF(ISNUMBER(AD251),AD251-IF(ISNUMBER(AB251),AB251,30),"")</f>
        <v/>
      </c>
      <c r="AF251" s="27">
        <f>IF(AD251="","",IF(ISNUMBER(AD251),AD251-TODAY(),"Check date"))</f>
        <v/>
      </c>
      <c r="AG251" s="28">
        <f>IF(AF251="","",IF(ISNUMBER(AF251),IF(AF251&lt;0,"Expired",IF(AF251&lt;=30,"Due ≤30 days",IF(AF251&lt;=90,"Due ≤90 days","OK"))),"Check date"))</f>
        <v/>
      </c>
      <c r="AH251" s="22" t="n"/>
      <c r="AI251" s="22" t="n"/>
      <c r="AJ251" s="22" t="n"/>
      <c r="AK251" s="22" t="n"/>
    </row>
    <row r="252">
      <c r="A252" s="22" t="n"/>
      <c r="B252" s="22" t="n"/>
      <c r="C252" s="22" t="n"/>
      <c r="D252" s="22" t="n"/>
      <c r="E252" s="22" t="n"/>
      <c r="F252" s="22" t="n"/>
      <c r="G252" s="23" t="n"/>
      <c r="H252" s="22" t="n"/>
      <c r="I252" s="23" t="n"/>
      <c r="J252" s="22" t="n"/>
      <c r="K252" s="23" t="n"/>
      <c r="L252" s="22" t="n"/>
      <c r="M252" s="23" t="n"/>
      <c r="N252" s="22" t="n"/>
      <c r="O252" s="22" t="n"/>
      <c r="P252" s="22" t="n"/>
      <c r="Q252" s="23" t="n"/>
      <c r="R252" s="22" t="n"/>
      <c r="S252" s="23" t="n"/>
      <c r="T252" s="22" t="n"/>
      <c r="U252" s="23" t="n"/>
      <c r="V252" s="24" t="n"/>
      <c r="W252" s="25">
        <f>IF(ISNUMBER(U252),U252+IF(ISNUMBER(V252),V252,120),"")</f>
        <v/>
      </c>
      <c r="X252" s="22" t="n"/>
      <c r="Y252" s="23" t="n"/>
      <c r="Z252" s="22" t="n"/>
      <c r="AA252" s="23" t="n"/>
      <c r="AB252" s="24" t="n"/>
      <c r="AC252" s="26">
        <f>IF(ISNUMBER(AD252)=FALSE,"",IF(G252=AD252,"State license",IF(I252=AD252,"DEA registration",IF(K252=AD252,"State CSR",IF(M252=AD252,"Board certification",IF(Q252=AD252,"Malpractice",IF(S252=AD252,"Life support",IF(W252=AD252,"CAQH re-attestation",IF(Y252=AD252,"Privileges reappointment","Payer recredentialing")))))))))</f>
        <v/>
      </c>
      <c r="AD252" s="25">
        <f>IF(OR(AND(LEN(G252)&gt;0,ISNUMBER(G252)=FALSE),AND(LEN(I252)&gt;0,ISNUMBER(I252)=FALSE),AND(LEN(K252)&gt;0,ISNUMBER(K252)=FALSE),AND(LEN(M252)&gt;0,ISNUMBER(M252)=FALSE),AND(LEN(Q252)&gt;0,ISNUMBER(Q252)=FALSE),AND(LEN(S252)&gt;0,ISNUMBER(S252)=FALSE),AND(LEN(Y252)&gt;0,ISNUMBER(Y252)=FALSE),AND(LEN(AA252)&gt;0,ISNUMBER(AA252)=FALSE),AND(LEN(U252)&gt;0,ISNUMBER(U252)=FALSE)),"Check date",IF(COUNT(G252,I252,K252,M252,Q252,S252,W252,Y252,AA252)=0,"",MIN(G252,I252,K252,M252,Q252,S252,W252,Y252,AA252)))</f>
        <v/>
      </c>
      <c r="AE252" s="25">
        <f>IF(ISNUMBER(AD252),AD252-IF(ISNUMBER(AB252),AB252,30),"")</f>
        <v/>
      </c>
      <c r="AF252" s="27">
        <f>IF(AD252="","",IF(ISNUMBER(AD252),AD252-TODAY(),"Check date"))</f>
        <v/>
      </c>
      <c r="AG252" s="28">
        <f>IF(AF252="","",IF(ISNUMBER(AF252),IF(AF252&lt;0,"Expired",IF(AF252&lt;=30,"Due ≤30 days",IF(AF252&lt;=90,"Due ≤90 days","OK"))),"Check date"))</f>
        <v/>
      </c>
      <c r="AH252" s="22" t="n"/>
      <c r="AI252" s="22" t="n"/>
      <c r="AJ252" s="22" t="n"/>
      <c r="AK252" s="22" t="n"/>
    </row>
    <row r="253">
      <c r="A253" s="22" t="n"/>
      <c r="B253" s="22" t="n"/>
      <c r="C253" s="22" t="n"/>
      <c r="D253" s="22" t="n"/>
      <c r="E253" s="22" t="n"/>
      <c r="F253" s="22" t="n"/>
      <c r="G253" s="23" t="n"/>
      <c r="H253" s="22" t="n"/>
      <c r="I253" s="23" t="n"/>
      <c r="J253" s="22" t="n"/>
      <c r="K253" s="23" t="n"/>
      <c r="L253" s="22" t="n"/>
      <c r="M253" s="23" t="n"/>
      <c r="N253" s="22" t="n"/>
      <c r="O253" s="22" t="n"/>
      <c r="P253" s="22" t="n"/>
      <c r="Q253" s="23" t="n"/>
      <c r="R253" s="22" t="n"/>
      <c r="S253" s="23" t="n"/>
      <c r="T253" s="22" t="n"/>
      <c r="U253" s="23" t="n"/>
      <c r="V253" s="24" t="n"/>
      <c r="W253" s="25">
        <f>IF(ISNUMBER(U253),U253+IF(ISNUMBER(V253),V253,120),"")</f>
        <v/>
      </c>
      <c r="X253" s="22" t="n"/>
      <c r="Y253" s="23" t="n"/>
      <c r="Z253" s="22" t="n"/>
      <c r="AA253" s="23" t="n"/>
      <c r="AB253" s="24" t="n"/>
      <c r="AC253" s="26">
        <f>IF(ISNUMBER(AD253)=FALSE,"",IF(G253=AD253,"State license",IF(I253=AD253,"DEA registration",IF(K253=AD253,"State CSR",IF(M253=AD253,"Board certification",IF(Q253=AD253,"Malpractice",IF(S253=AD253,"Life support",IF(W253=AD253,"CAQH re-attestation",IF(Y253=AD253,"Privileges reappointment","Payer recredentialing")))))))))</f>
        <v/>
      </c>
      <c r="AD253" s="25">
        <f>IF(OR(AND(LEN(G253)&gt;0,ISNUMBER(G253)=FALSE),AND(LEN(I253)&gt;0,ISNUMBER(I253)=FALSE),AND(LEN(K253)&gt;0,ISNUMBER(K253)=FALSE),AND(LEN(M253)&gt;0,ISNUMBER(M253)=FALSE),AND(LEN(Q253)&gt;0,ISNUMBER(Q253)=FALSE),AND(LEN(S253)&gt;0,ISNUMBER(S253)=FALSE),AND(LEN(Y253)&gt;0,ISNUMBER(Y253)=FALSE),AND(LEN(AA253)&gt;0,ISNUMBER(AA253)=FALSE),AND(LEN(U253)&gt;0,ISNUMBER(U253)=FALSE)),"Check date",IF(COUNT(G253,I253,K253,M253,Q253,S253,W253,Y253,AA253)=0,"",MIN(G253,I253,K253,M253,Q253,S253,W253,Y253,AA253)))</f>
        <v/>
      </c>
      <c r="AE253" s="25">
        <f>IF(ISNUMBER(AD253),AD253-IF(ISNUMBER(AB253),AB253,30),"")</f>
        <v/>
      </c>
      <c r="AF253" s="27">
        <f>IF(AD253="","",IF(ISNUMBER(AD253),AD253-TODAY(),"Check date"))</f>
        <v/>
      </c>
      <c r="AG253" s="28">
        <f>IF(AF253="","",IF(ISNUMBER(AF253),IF(AF253&lt;0,"Expired",IF(AF253&lt;=30,"Due ≤30 days",IF(AF253&lt;=90,"Due ≤90 days","OK"))),"Check date"))</f>
        <v/>
      </c>
      <c r="AH253" s="22" t="n"/>
      <c r="AI253" s="22" t="n"/>
      <c r="AJ253" s="22" t="n"/>
      <c r="AK253" s="22" t="n"/>
    </row>
    <row r="254">
      <c r="A254" s="22" t="n"/>
      <c r="B254" s="22" t="n"/>
      <c r="C254" s="22" t="n"/>
      <c r="D254" s="22" t="n"/>
      <c r="E254" s="22" t="n"/>
      <c r="F254" s="22" t="n"/>
      <c r="G254" s="23" t="n"/>
      <c r="H254" s="22" t="n"/>
      <c r="I254" s="23" t="n"/>
      <c r="J254" s="22" t="n"/>
      <c r="K254" s="23" t="n"/>
      <c r="L254" s="22" t="n"/>
      <c r="M254" s="23" t="n"/>
      <c r="N254" s="22" t="n"/>
      <c r="O254" s="22" t="n"/>
      <c r="P254" s="22" t="n"/>
      <c r="Q254" s="23" t="n"/>
      <c r="R254" s="22" t="n"/>
      <c r="S254" s="23" t="n"/>
      <c r="T254" s="22" t="n"/>
      <c r="U254" s="23" t="n"/>
      <c r="V254" s="24" t="n"/>
      <c r="W254" s="25">
        <f>IF(ISNUMBER(U254),U254+IF(ISNUMBER(V254),V254,120),"")</f>
        <v/>
      </c>
      <c r="X254" s="22" t="n"/>
      <c r="Y254" s="23" t="n"/>
      <c r="Z254" s="22" t="n"/>
      <c r="AA254" s="23" t="n"/>
      <c r="AB254" s="24" t="n"/>
      <c r="AC254" s="26">
        <f>IF(ISNUMBER(AD254)=FALSE,"",IF(G254=AD254,"State license",IF(I254=AD254,"DEA registration",IF(K254=AD254,"State CSR",IF(M254=AD254,"Board certification",IF(Q254=AD254,"Malpractice",IF(S254=AD254,"Life support",IF(W254=AD254,"CAQH re-attestation",IF(Y254=AD254,"Privileges reappointment","Payer recredentialing")))))))))</f>
        <v/>
      </c>
      <c r="AD254" s="25">
        <f>IF(OR(AND(LEN(G254)&gt;0,ISNUMBER(G254)=FALSE),AND(LEN(I254)&gt;0,ISNUMBER(I254)=FALSE),AND(LEN(K254)&gt;0,ISNUMBER(K254)=FALSE),AND(LEN(M254)&gt;0,ISNUMBER(M254)=FALSE),AND(LEN(Q254)&gt;0,ISNUMBER(Q254)=FALSE),AND(LEN(S254)&gt;0,ISNUMBER(S254)=FALSE),AND(LEN(Y254)&gt;0,ISNUMBER(Y254)=FALSE),AND(LEN(AA254)&gt;0,ISNUMBER(AA254)=FALSE),AND(LEN(U254)&gt;0,ISNUMBER(U254)=FALSE)),"Check date",IF(COUNT(G254,I254,K254,M254,Q254,S254,W254,Y254,AA254)=0,"",MIN(G254,I254,K254,M254,Q254,S254,W254,Y254,AA254)))</f>
        <v/>
      </c>
      <c r="AE254" s="25">
        <f>IF(ISNUMBER(AD254),AD254-IF(ISNUMBER(AB254),AB254,30),"")</f>
        <v/>
      </c>
      <c r="AF254" s="27">
        <f>IF(AD254="","",IF(ISNUMBER(AD254),AD254-TODAY(),"Check date"))</f>
        <v/>
      </c>
      <c r="AG254" s="28">
        <f>IF(AF254="","",IF(ISNUMBER(AF254),IF(AF254&lt;0,"Expired",IF(AF254&lt;=30,"Due ≤30 days",IF(AF254&lt;=90,"Due ≤90 days","OK"))),"Check date"))</f>
        <v/>
      </c>
      <c r="AH254" s="22" t="n"/>
      <c r="AI254" s="22" t="n"/>
      <c r="AJ254" s="22" t="n"/>
      <c r="AK254" s="22" t="n"/>
    </row>
    <row r="255">
      <c r="A255" s="22" t="n"/>
      <c r="B255" s="22" t="n"/>
      <c r="C255" s="22" t="n"/>
      <c r="D255" s="22" t="n"/>
      <c r="E255" s="22" t="n"/>
      <c r="F255" s="22" t="n"/>
      <c r="G255" s="23" t="n"/>
      <c r="H255" s="22" t="n"/>
      <c r="I255" s="23" t="n"/>
      <c r="J255" s="22" t="n"/>
      <c r="K255" s="23" t="n"/>
      <c r="L255" s="22" t="n"/>
      <c r="M255" s="23" t="n"/>
      <c r="N255" s="22" t="n"/>
      <c r="O255" s="22" t="n"/>
      <c r="P255" s="22" t="n"/>
      <c r="Q255" s="23" t="n"/>
      <c r="R255" s="22" t="n"/>
      <c r="S255" s="23" t="n"/>
      <c r="T255" s="22" t="n"/>
      <c r="U255" s="23" t="n"/>
      <c r="V255" s="24" t="n"/>
      <c r="W255" s="25">
        <f>IF(ISNUMBER(U255),U255+IF(ISNUMBER(V255),V255,120),"")</f>
        <v/>
      </c>
      <c r="X255" s="22" t="n"/>
      <c r="Y255" s="23" t="n"/>
      <c r="Z255" s="22" t="n"/>
      <c r="AA255" s="23" t="n"/>
      <c r="AB255" s="24" t="n"/>
      <c r="AC255" s="26">
        <f>IF(ISNUMBER(AD255)=FALSE,"",IF(G255=AD255,"State license",IF(I255=AD255,"DEA registration",IF(K255=AD255,"State CSR",IF(M255=AD255,"Board certification",IF(Q255=AD255,"Malpractice",IF(S255=AD255,"Life support",IF(W255=AD255,"CAQH re-attestation",IF(Y255=AD255,"Privileges reappointment","Payer recredentialing")))))))))</f>
        <v/>
      </c>
      <c r="AD255" s="25">
        <f>IF(OR(AND(LEN(G255)&gt;0,ISNUMBER(G255)=FALSE),AND(LEN(I255)&gt;0,ISNUMBER(I255)=FALSE),AND(LEN(K255)&gt;0,ISNUMBER(K255)=FALSE),AND(LEN(M255)&gt;0,ISNUMBER(M255)=FALSE),AND(LEN(Q255)&gt;0,ISNUMBER(Q255)=FALSE),AND(LEN(S255)&gt;0,ISNUMBER(S255)=FALSE),AND(LEN(Y255)&gt;0,ISNUMBER(Y255)=FALSE),AND(LEN(AA255)&gt;0,ISNUMBER(AA255)=FALSE),AND(LEN(U255)&gt;0,ISNUMBER(U255)=FALSE)),"Check date",IF(COUNT(G255,I255,K255,M255,Q255,S255,W255,Y255,AA255)=0,"",MIN(G255,I255,K255,M255,Q255,S255,W255,Y255,AA255)))</f>
        <v/>
      </c>
      <c r="AE255" s="25">
        <f>IF(ISNUMBER(AD255),AD255-IF(ISNUMBER(AB255),AB255,30),"")</f>
        <v/>
      </c>
      <c r="AF255" s="27">
        <f>IF(AD255="","",IF(ISNUMBER(AD255),AD255-TODAY(),"Check date"))</f>
        <v/>
      </c>
      <c r="AG255" s="28">
        <f>IF(AF255="","",IF(ISNUMBER(AF255),IF(AF255&lt;0,"Expired",IF(AF255&lt;=30,"Due ≤30 days",IF(AF255&lt;=90,"Due ≤90 days","OK"))),"Check date"))</f>
        <v/>
      </c>
      <c r="AH255" s="22" t="n"/>
      <c r="AI255" s="22" t="n"/>
      <c r="AJ255" s="22" t="n"/>
      <c r="AK255" s="22" t="n"/>
    </row>
    <row r="256">
      <c r="A256" s="22" t="n"/>
      <c r="B256" s="22" t="n"/>
      <c r="C256" s="22" t="n"/>
      <c r="D256" s="22" t="n"/>
      <c r="E256" s="22" t="n"/>
      <c r="F256" s="22" t="n"/>
      <c r="G256" s="23" t="n"/>
      <c r="H256" s="22" t="n"/>
      <c r="I256" s="23" t="n"/>
      <c r="J256" s="22" t="n"/>
      <c r="K256" s="23" t="n"/>
      <c r="L256" s="22" t="n"/>
      <c r="M256" s="23" t="n"/>
      <c r="N256" s="22" t="n"/>
      <c r="O256" s="22" t="n"/>
      <c r="P256" s="22" t="n"/>
      <c r="Q256" s="23" t="n"/>
      <c r="R256" s="22" t="n"/>
      <c r="S256" s="23" t="n"/>
      <c r="T256" s="22" t="n"/>
      <c r="U256" s="23" t="n"/>
      <c r="V256" s="24" t="n"/>
      <c r="W256" s="25">
        <f>IF(ISNUMBER(U256),U256+IF(ISNUMBER(V256),V256,120),"")</f>
        <v/>
      </c>
      <c r="X256" s="22" t="n"/>
      <c r="Y256" s="23" t="n"/>
      <c r="Z256" s="22" t="n"/>
      <c r="AA256" s="23" t="n"/>
      <c r="AB256" s="24" t="n"/>
      <c r="AC256" s="26">
        <f>IF(ISNUMBER(AD256)=FALSE,"",IF(G256=AD256,"State license",IF(I256=AD256,"DEA registration",IF(K256=AD256,"State CSR",IF(M256=AD256,"Board certification",IF(Q256=AD256,"Malpractice",IF(S256=AD256,"Life support",IF(W256=AD256,"CAQH re-attestation",IF(Y256=AD256,"Privileges reappointment","Payer recredentialing")))))))))</f>
        <v/>
      </c>
      <c r="AD256" s="25">
        <f>IF(OR(AND(LEN(G256)&gt;0,ISNUMBER(G256)=FALSE),AND(LEN(I256)&gt;0,ISNUMBER(I256)=FALSE),AND(LEN(K256)&gt;0,ISNUMBER(K256)=FALSE),AND(LEN(M256)&gt;0,ISNUMBER(M256)=FALSE),AND(LEN(Q256)&gt;0,ISNUMBER(Q256)=FALSE),AND(LEN(S256)&gt;0,ISNUMBER(S256)=FALSE),AND(LEN(Y256)&gt;0,ISNUMBER(Y256)=FALSE),AND(LEN(AA256)&gt;0,ISNUMBER(AA256)=FALSE),AND(LEN(U256)&gt;0,ISNUMBER(U256)=FALSE)),"Check date",IF(COUNT(G256,I256,K256,M256,Q256,S256,W256,Y256,AA256)=0,"",MIN(G256,I256,K256,M256,Q256,S256,W256,Y256,AA256)))</f>
        <v/>
      </c>
      <c r="AE256" s="25">
        <f>IF(ISNUMBER(AD256),AD256-IF(ISNUMBER(AB256),AB256,30),"")</f>
        <v/>
      </c>
      <c r="AF256" s="27">
        <f>IF(AD256="","",IF(ISNUMBER(AD256),AD256-TODAY(),"Check date"))</f>
        <v/>
      </c>
      <c r="AG256" s="28">
        <f>IF(AF256="","",IF(ISNUMBER(AF256),IF(AF256&lt;0,"Expired",IF(AF256&lt;=30,"Due ≤30 days",IF(AF256&lt;=90,"Due ≤90 days","OK"))),"Check date"))</f>
        <v/>
      </c>
      <c r="AH256" s="22" t="n"/>
      <c r="AI256" s="22" t="n"/>
      <c r="AJ256" s="22" t="n"/>
      <c r="AK256" s="22" t="n"/>
    </row>
    <row r="257">
      <c r="A257" s="22" t="n"/>
      <c r="B257" s="22" t="n"/>
      <c r="C257" s="22" t="n"/>
      <c r="D257" s="22" t="n"/>
      <c r="E257" s="22" t="n"/>
      <c r="F257" s="22" t="n"/>
      <c r="G257" s="23" t="n"/>
      <c r="H257" s="22" t="n"/>
      <c r="I257" s="23" t="n"/>
      <c r="J257" s="22" t="n"/>
      <c r="K257" s="23" t="n"/>
      <c r="L257" s="22" t="n"/>
      <c r="M257" s="23" t="n"/>
      <c r="N257" s="22" t="n"/>
      <c r="O257" s="22" t="n"/>
      <c r="P257" s="22" t="n"/>
      <c r="Q257" s="23" t="n"/>
      <c r="R257" s="22" t="n"/>
      <c r="S257" s="23" t="n"/>
      <c r="T257" s="22" t="n"/>
      <c r="U257" s="23" t="n"/>
      <c r="V257" s="24" t="n"/>
      <c r="W257" s="25">
        <f>IF(ISNUMBER(U257),U257+IF(ISNUMBER(V257),V257,120),"")</f>
        <v/>
      </c>
      <c r="X257" s="22" t="n"/>
      <c r="Y257" s="23" t="n"/>
      <c r="Z257" s="22" t="n"/>
      <c r="AA257" s="23" t="n"/>
      <c r="AB257" s="24" t="n"/>
      <c r="AC257" s="26">
        <f>IF(ISNUMBER(AD257)=FALSE,"",IF(G257=AD257,"State license",IF(I257=AD257,"DEA registration",IF(K257=AD257,"State CSR",IF(M257=AD257,"Board certification",IF(Q257=AD257,"Malpractice",IF(S257=AD257,"Life support",IF(W257=AD257,"CAQH re-attestation",IF(Y257=AD257,"Privileges reappointment","Payer recredentialing")))))))))</f>
        <v/>
      </c>
      <c r="AD257" s="25">
        <f>IF(OR(AND(LEN(G257)&gt;0,ISNUMBER(G257)=FALSE),AND(LEN(I257)&gt;0,ISNUMBER(I257)=FALSE),AND(LEN(K257)&gt;0,ISNUMBER(K257)=FALSE),AND(LEN(M257)&gt;0,ISNUMBER(M257)=FALSE),AND(LEN(Q257)&gt;0,ISNUMBER(Q257)=FALSE),AND(LEN(S257)&gt;0,ISNUMBER(S257)=FALSE),AND(LEN(Y257)&gt;0,ISNUMBER(Y257)=FALSE),AND(LEN(AA257)&gt;0,ISNUMBER(AA257)=FALSE),AND(LEN(U257)&gt;0,ISNUMBER(U257)=FALSE)),"Check date",IF(COUNT(G257,I257,K257,M257,Q257,S257,W257,Y257,AA257)=0,"",MIN(G257,I257,K257,M257,Q257,S257,W257,Y257,AA257)))</f>
        <v/>
      </c>
      <c r="AE257" s="25">
        <f>IF(ISNUMBER(AD257),AD257-IF(ISNUMBER(AB257),AB257,30),"")</f>
        <v/>
      </c>
      <c r="AF257" s="27">
        <f>IF(AD257="","",IF(ISNUMBER(AD257),AD257-TODAY(),"Check date"))</f>
        <v/>
      </c>
      <c r="AG257" s="28">
        <f>IF(AF257="","",IF(ISNUMBER(AF257),IF(AF257&lt;0,"Expired",IF(AF257&lt;=30,"Due ≤30 days",IF(AF257&lt;=90,"Due ≤90 days","OK"))),"Check date"))</f>
        <v/>
      </c>
      <c r="AH257" s="22" t="n"/>
      <c r="AI257" s="22" t="n"/>
      <c r="AJ257" s="22" t="n"/>
      <c r="AK257" s="22" t="n"/>
    </row>
    <row r="258">
      <c r="A258" s="22" t="n"/>
      <c r="B258" s="22" t="n"/>
      <c r="C258" s="22" t="n"/>
      <c r="D258" s="22" t="n"/>
      <c r="E258" s="22" t="n"/>
      <c r="F258" s="22" t="n"/>
      <c r="G258" s="23" t="n"/>
      <c r="H258" s="22" t="n"/>
      <c r="I258" s="23" t="n"/>
      <c r="J258" s="22" t="n"/>
      <c r="K258" s="23" t="n"/>
      <c r="L258" s="22" t="n"/>
      <c r="M258" s="23" t="n"/>
      <c r="N258" s="22" t="n"/>
      <c r="O258" s="22" t="n"/>
      <c r="P258" s="22" t="n"/>
      <c r="Q258" s="23" t="n"/>
      <c r="R258" s="22" t="n"/>
      <c r="S258" s="23" t="n"/>
      <c r="T258" s="22" t="n"/>
      <c r="U258" s="23" t="n"/>
      <c r="V258" s="24" t="n"/>
      <c r="W258" s="25">
        <f>IF(ISNUMBER(U258),U258+IF(ISNUMBER(V258),V258,120),"")</f>
        <v/>
      </c>
      <c r="X258" s="22" t="n"/>
      <c r="Y258" s="23" t="n"/>
      <c r="Z258" s="22" t="n"/>
      <c r="AA258" s="23" t="n"/>
      <c r="AB258" s="24" t="n"/>
      <c r="AC258" s="26">
        <f>IF(ISNUMBER(AD258)=FALSE,"",IF(G258=AD258,"State license",IF(I258=AD258,"DEA registration",IF(K258=AD258,"State CSR",IF(M258=AD258,"Board certification",IF(Q258=AD258,"Malpractice",IF(S258=AD258,"Life support",IF(W258=AD258,"CAQH re-attestation",IF(Y258=AD258,"Privileges reappointment","Payer recredentialing")))))))))</f>
        <v/>
      </c>
      <c r="AD258" s="25">
        <f>IF(OR(AND(LEN(G258)&gt;0,ISNUMBER(G258)=FALSE),AND(LEN(I258)&gt;0,ISNUMBER(I258)=FALSE),AND(LEN(K258)&gt;0,ISNUMBER(K258)=FALSE),AND(LEN(M258)&gt;0,ISNUMBER(M258)=FALSE),AND(LEN(Q258)&gt;0,ISNUMBER(Q258)=FALSE),AND(LEN(S258)&gt;0,ISNUMBER(S258)=FALSE),AND(LEN(Y258)&gt;0,ISNUMBER(Y258)=FALSE),AND(LEN(AA258)&gt;0,ISNUMBER(AA258)=FALSE),AND(LEN(U258)&gt;0,ISNUMBER(U258)=FALSE)),"Check date",IF(COUNT(G258,I258,K258,M258,Q258,S258,W258,Y258,AA258)=0,"",MIN(G258,I258,K258,M258,Q258,S258,W258,Y258,AA258)))</f>
        <v/>
      </c>
      <c r="AE258" s="25">
        <f>IF(ISNUMBER(AD258),AD258-IF(ISNUMBER(AB258),AB258,30),"")</f>
        <v/>
      </c>
      <c r="AF258" s="27">
        <f>IF(AD258="","",IF(ISNUMBER(AD258),AD258-TODAY(),"Check date"))</f>
        <v/>
      </c>
      <c r="AG258" s="28">
        <f>IF(AF258="","",IF(ISNUMBER(AF258),IF(AF258&lt;0,"Expired",IF(AF258&lt;=30,"Due ≤30 days",IF(AF258&lt;=90,"Due ≤90 days","OK"))),"Check date"))</f>
        <v/>
      </c>
      <c r="AH258" s="22" t="n"/>
      <c r="AI258" s="22" t="n"/>
      <c r="AJ258" s="22" t="n"/>
      <c r="AK258" s="22" t="n"/>
    </row>
    <row r="259">
      <c r="A259" s="22" t="n"/>
      <c r="B259" s="22" t="n"/>
      <c r="C259" s="22" t="n"/>
      <c r="D259" s="22" t="n"/>
      <c r="E259" s="22" t="n"/>
      <c r="F259" s="22" t="n"/>
      <c r="G259" s="23" t="n"/>
      <c r="H259" s="22" t="n"/>
      <c r="I259" s="23" t="n"/>
      <c r="J259" s="22" t="n"/>
      <c r="K259" s="23" t="n"/>
      <c r="L259" s="22" t="n"/>
      <c r="M259" s="23" t="n"/>
      <c r="N259" s="22" t="n"/>
      <c r="O259" s="22" t="n"/>
      <c r="P259" s="22" t="n"/>
      <c r="Q259" s="23" t="n"/>
      <c r="R259" s="22" t="n"/>
      <c r="S259" s="23" t="n"/>
      <c r="T259" s="22" t="n"/>
      <c r="U259" s="23" t="n"/>
      <c r="V259" s="24" t="n"/>
      <c r="W259" s="25">
        <f>IF(ISNUMBER(U259),U259+IF(ISNUMBER(V259),V259,120),"")</f>
        <v/>
      </c>
      <c r="X259" s="22" t="n"/>
      <c r="Y259" s="23" t="n"/>
      <c r="Z259" s="22" t="n"/>
      <c r="AA259" s="23" t="n"/>
      <c r="AB259" s="24" t="n"/>
      <c r="AC259" s="26">
        <f>IF(ISNUMBER(AD259)=FALSE,"",IF(G259=AD259,"State license",IF(I259=AD259,"DEA registration",IF(K259=AD259,"State CSR",IF(M259=AD259,"Board certification",IF(Q259=AD259,"Malpractice",IF(S259=AD259,"Life support",IF(W259=AD259,"CAQH re-attestation",IF(Y259=AD259,"Privileges reappointment","Payer recredentialing")))))))))</f>
        <v/>
      </c>
      <c r="AD259" s="25">
        <f>IF(OR(AND(LEN(G259)&gt;0,ISNUMBER(G259)=FALSE),AND(LEN(I259)&gt;0,ISNUMBER(I259)=FALSE),AND(LEN(K259)&gt;0,ISNUMBER(K259)=FALSE),AND(LEN(M259)&gt;0,ISNUMBER(M259)=FALSE),AND(LEN(Q259)&gt;0,ISNUMBER(Q259)=FALSE),AND(LEN(S259)&gt;0,ISNUMBER(S259)=FALSE),AND(LEN(Y259)&gt;0,ISNUMBER(Y259)=FALSE),AND(LEN(AA259)&gt;0,ISNUMBER(AA259)=FALSE),AND(LEN(U259)&gt;0,ISNUMBER(U259)=FALSE)),"Check date",IF(COUNT(G259,I259,K259,M259,Q259,S259,W259,Y259,AA259)=0,"",MIN(G259,I259,K259,M259,Q259,S259,W259,Y259,AA259)))</f>
        <v/>
      </c>
      <c r="AE259" s="25">
        <f>IF(ISNUMBER(AD259),AD259-IF(ISNUMBER(AB259),AB259,30),"")</f>
        <v/>
      </c>
      <c r="AF259" s="27">
        <f>IF(AD259="","",IF(ISNUMBER(AD259),AD259-TODAY(),"Check date"))</f>
        <v/>
      </c>
      <c r="AG259" s="28">
        <f>IF(AF259="","",IF(ISNUMBER(AF259),IF(AF259&lt;0,"Expired",IF(AF259&lt;=30,"Due ≤30 days",IF(AF259&lt;=90,"Due ≤90 days","OK"))),"Check date"))</f>
        <v/>
      </c>
      <c r="AH259" s="22" t="n"/>
      <c r="AI259" s="22" t="n"/>
      <c r="AJ259" s="22" t="n"/>
      <c r="AK259" s="22" t="n"/>
    </row>
    <row r="260">
      <c r="A260" s="22" t="n"/>
      <c r="B260" s="22" t="n"/>
      <c r="C260" s="22" t="n"/>
      <c r="D260" s="22" t="n"/>
      <c r="E260" s="22" t="n"/>
      <c r="F260" s="22" t="n"/>
      <c r="G260" s="23" t="n"/>
      <c r="H260" s="22" t="n"/>
      <c r="I260" s="23" t="n"/>
      <c r="J260" s="22" t="n"/>
      <c r="K260" s="23" t="n"/>
      <c r="L260" s="22" t="n"/>
      <c r="M260" s="23" t="n"/>
      <c r="N260" s="22" t="n"/>
      <c r="O260" s="22" t="n"/>
      <c r="P260" s="22" t="n"/>
      <c r="Q260" s="23" t="n"/>
      <c r="R260" s="22" t="n"/>
      <c r="S260" s="23" t="n"/>
      <c r="T260" s="22" t="n"/>
      <c r="U260" s="23" t="n"/>
      <c r="V260" s="24" t="n"/>
      <c r="W260" s="25">
        <f>IF(ISNUMBER(U260),U260+IF(ISNUMBER(V260),V260,120),"")</f>
        <v/>
      </c>
      <c r="X260" s="22" t="n"/>
      <c r="Y260" s="23" t="n"/>
      <c r="Z260" s="22" t="n"/>
      <c r="AA260" s="23" t="n"/>
      <c r="AB260" s="24" t="n"/>
      <c r="AC260" s="26">
        <f>IF(ISNUMBER(AD260)=FALSE,"",IF(G260=AD260,"State license",IF(I260=AD260,"DEA registration",IF(K260=AD260,"State CSR",IF(M260=AD260,"Board certification",IF(Q260=AD260,"Malpractice",IF(S260=AD260,"Life support",IF(W260=AD260,"CAQH re-attestation",IF(Y260=AD260,"Privileges reappointment","Payer recredentialing")))))))))</f>
        <v/>
      </c>
      <c r="AD260" s="25">
        <f>IF(OR(AND(LEN(G260)&gt;0,ISNUMBER(G260)=FALSE),AND(LEN(I260)&gt;0,ISNUMBER(I260)=FALSE),AND(LEN(K260)&gt;0,ISNUMBER(K260)=FALSE),AND(LEN(M260)&gt;0,ISNUMBER(M260)=FALSE),AND(LEN(Q260)&gt;0,ISNUMBER(Q260)=FALSE),AND(LEN(S260)&gt;0,ISNUMBER(S260)=FALSE),AND(LEN(Y260)&gt;0,ISNUMBER(Y260)=FALSE),AND(LEN(AA260)&gt;0,ISNUMBER(AA260)=FALSE),AND(LEN(U260)&gt;0,ISNUMBER(U260)=FALSE)),"Check date",IF(COUNT(G260,I260,K260,M260,Q260,S260,W260,Y260,AA260)=0,"",MIN(G260,I260,K260,M260,Q260,S260,W260,Y260,AA260)))</f>
        <v/>
      </c>
      <c r="AE260" s="25">
        <f>IF(ISNUMBER(AD260),AD260-IF(ISNUMBER(AB260),AB260,30),"")</f>
        <v/>
      </c>
      <c r="AF260" s="27">
        <f>IF(AD260="","",IF(ISNUMBER(AD260),AD260-TODAY(),"Check date"))</f>
        <v/>
      </c>
      <c r="AG260" s="28">
        <f>IF(AF260="","",IF(ISNUMBER(AF260),IF(AF260&lt;0,"Expired",IF(AF260&lt;=30,"Due ≤30 days",IF(AF260&lt;=90,"Due ≤90 days","OK"))),"Check date"))</f>
        <v/>
      </c>
      <c r="AH260" s="22" t="n"/>
      <c r="AI260" s="22" t="n"/>
      <c r="AJ260" s="22" t="n"/>
      <c r="AK260" s="22" t="n"/>
    </row>
    <row r="261">
      <c r="A261" s="22" t="n"/>
      <c r="B261" s="22" t="n"/>
      <c r="C261" s="22" t="n"/>
      <c r="D261" s="22" t="n"/>
      <c r="E261" s="22" t="n"/>
      <c r="F261" s="22" t="n"/>
      <c r="G261" s="23" t="n"/>
      <c r="H261" s="22" t="n"/>
      <c r="I261" s="23" t="n"/>
      <c r="J261" s="22" t="n"/>
      <c r="K261" s="23" t="n"/>
      <c r="L261" s="22" t="n"/>
      <c r="M261" s="23" t="n"/>
      <c r="N261" s="22" t="n"/>
      <c r="O261" s="22" t="n"/>
      <c r="P261" s="22" t="n"/>
      <c r="Q261" s="23" t="n"/>
      <c r="R261" s="22" t="n"/>
      <c r="S261" s="23" t="n"/>
      <c r="T261" s="22" t="n"/>
      <c r="U261" s="23" t="n"/>
      <c r="V261" s="24" t="n"/>
      <c r="W261" s="25">
        <f>IF(ISNUMBER(U261),U261+IF(ISNUMBER(V261),V261,120),"")</f>
        <v/>
      </c>
      <c r="X261" s="22" t="n"/>
      <c r="Y261" s="23" t="n"/>
      <c r="Z261" s="22" t="n"/>
      <c r="AA261" s="23" t="n"/>
      <c r="AB261" s="24" t="n"/>
      <c r="AC261" s="26">
        <f>IF(ISNUMBER(AD261)=FALSE,"",IF(G261=AD261,"State license",IF(I261=AD261,"DEA registration",IF(K261=AD261,"State CSR",IF(M261=AD261,"Board certification",IF(Q261=AD261,"Malpractice",IF(S261=AD261,"Life support",IF(W261=AD261,"CAQH re-attestation",IF(Y261=AD261,"Privileges reappointment","Payer recredentialing")))))))))</f>
        <v/>
      </c>
      <c r="AD261" s="25">
        <f>IF(OR(AND(LEN(G261)&gt;0,ISNUMBER(G261)=FALSE),AND(LEN(I261)&gt;0,ISNUMBER(I261)=FALSE),AND(LEN(K261)&gt;0,ISNUMBER(K261)=FALSE),AND(LEN(M261)&gt;0,ISNUMBER(M261)=FALSE),AND(LEN(Q261)&gt;0,ISNUMBER(Q261)=FALSE),AND(LEN(S261)&gt;0,ISNUMBER(S261)=FALSE),AND(LEN(Y261)&gt;0,ISNUMBER(Y261)=FALSE),AND(LEN(AA261)&gt;0,ISNUMBER(AA261)=FALSE),AND(LEN(U261)&gt;0,ISNUMBER(U261)=FALSE)),"Check date",IF(COUNT(G261,I261,K261,M261,Q261,S261,W261,Y261,AA261)=0,"",MIN(G261,I261,K261,M261,Q261,S261,W261,Y261,AA261)))</f>
        <v/>
      </c>
      <c r="AE261" s="25">
        <f>IF(ISNUMBER(AD261),AD261-IF(ISNUMBER(AB261),AB261,30),"")</f>
        <v/>
      </c>
      <c r="AF261" s="27">
        <f>IF(AD261="","",IF(ISNUMBER(AD261),AD261-TODAY(),"Check date"))</f>
        <v/>
      </c>
      <c r="AG261" s="28">
        <f>IF(AF261="","",IF(ISNUMBER(AF261),IF(AF261&lt;0,"Expired",IF(AF261&lt;=30,"Due ≤30 days",IF(AF261&lt;=90,"Due ≤90 days","OK"))),"Check date"))</f>
        <v/>
      </c>
      <c r="AH261" s="22" t="n"/>
      <c r="AI261" s="22" t="n"/>
      <c r="AJ261" s="22" t="n"/>
      <c r="AK261" s="22" t="n"/>
    </row>
    <row r="262">
      <c r="A262" s="22" t="n"/>
      <c r="B262" s="22" t="n"/>
      <c r="C262" s="22" t="n"/>
      <c r="D262" s="22" t="n"/>
      <c r="E262" s="22" t="n"/>
      <c r="F262" s="22" t="n"/>
      <c r="G262" s="23" t="n"/>
      <c r="H262" s="22" t="n"/>
      <c r="I262" s="23" t="n"/>
      <c r="J262" s="22" t="n"/>
      <c r="K262" s="23" t="n"/>
      <c r="L262" s="22" t="n"/>
      <c r="M262" s="23" t="n"/>
      <c r="N262" s="22" t="n"/>
      <c r="O262" s="22" t="n"/>
      <c r="P262" s="22" t="n"/>
      <c r="Q262" s="23" t="n"/>
      <c r="R262" s="22" t="n"/>
      <c r="S262" s="23" t="n"/>
      <c r="T262" s="22" t="n"/>
      <c r="U262" s="23" t="n"/>
      <c r="V262" s="24" t="n"/>
      <c r="W262" s="25">
        <f>IF(ISNUMBER(U262),U262+IF(ISNUMBER(V262),V262,120),"")</f>
        <v/>
      </c>
      <c r="X262" s="22" t="n"/>
      <c r="Y262" s="23" t="n"/>
      <c r="Z262" s="22" t="n"/>
      <c r="AA262" s="23" t="n"/>
      <c r="AB262" s="24" t="n"/>
      <c r="AC262" s="26">
        <f>IF(ISNUMBER(AD262)=FALSE,"",IF(G262=AD262,"State license",IF(I262=AD262,"DEA registration",IF(K262=AD262,"State CSR",IF(M262=AD262,"Board certification",IF(Q262=AD262,"Malpractice",IF(S262=AD262,"Life support",IF(W262=AD262,"CAQH re-attestation",IF(Y262=AD262,"Privileges reappointment","Payer recredentialing")))))))))</f>
        <v/>
      </c>
      <c r="AD262" s="25">
        <f>IF(OR(AND(LEN(G262)&gt;0,ISNUMBER(G262)=FALSE),AND(LEN(I262)&gt;0,ISNUMBER(I262)=FALSE),AND(LEN(K262)&gt;0,ISNUMBER(K262)=FALSE),AND(LEN(M262)&gt;0,ISNUMBER(M262)=FALSE),AND(LEN(Q262)&gt;0,ISNUMBER(Q262)=FALSE),AND(LEN(S262)&gt;0,ISNUMBER(S262)=FALSE),AND(LEN(Y262)&gt;0,ISNUMBER(Y262)=FALSE),AND(LEN(AA262)&gt;0,ISNUMBER(AA262)=FALSE),AND(LEN(U262)&gt;0,ISNUMBER(U262)=FALSE)),"Check date",IF(COUNT(G262,I262,K262,M262,Q262,S262,W262,Y262,AA262)=0,"",MIN(G262,I262,K262,M262,Q262,S262,W262,Y262,AA262)))</f>
        <v/>
      </c>
      <c r="AE262" s="25">
        <f>IF(ISNUMBER(AD262),AD262-IF(ISNUMBER(AB262),AB262,30),"")</f>
        <v/>
      </c>
      <c r="AF262" s="27">
        <f>IF(AD262="","",IF(ISNUMBER(AD262),AD262-TODAY(),"Check date"))</f>
        <v/>
      </c>
      <c r="AG262" s="28">
        <f>IF(AF262="","",IF(ISNUMBER(AF262),IF(AF262&lt;0,"Expired",IF(AF262&lt;=30,"Due ≤30 days",IF(AF262&lt;=90,"Due ≤90 days","OK"))),"Check date"))</f>
        <v/>
      </c>
      <c r="AH262" s="22" t="n"/>
      <c r="AI262" s="22" t="n"/>
      <c r="AJ262" s="22" t="n"/>
      <c r="AK262" s="22" t="n"/>
    </row>
    <row r="263">
      <c r="A263" s="22" t="n"/>
      <c r="B263" s="22" t="n"/>
      <c r="C263" s="22" t="n"/>
      <c r="D263" s="22" t="n"/>
      <c r="E263" s="22" t="n"/>
      <c r="F263" s="22" t="n"/>
      <c r="G263" s="23" t="n"/>
      <c r="H263" s="22" t="n"/>
      <c r="I263" s="23" t="n"/>
      <c r="J263" s="22" t="n"/>
      <c r="K263" s="23" t="n"/>
      <c r="L263" s="22" t="n"/>
      <c r="M263" s="23" t="n"/>
      <c r="N263" s="22" t="n"/>
      <c r="O263" s="22" t="n"/>
      <c r="P263" s="22" t="n"/>
      <c r="Q263" s="23" t="n"/>
      <c r="R263" s="22" t="n"/>
      <c r="S263" s="23" t="n"/>
      <c r="T263" s="22" t="n"/>
      <c r="U263" s="23" t="n"/>
      <c r="V263" s="24" t="n"/>
      <c r="W263" s="25">
        <f>IF(ISNUMBER(U263),U263+IF(ISNUMBER(V263),V263,120),"")</f>
        <v/>
      </c>
      <c r="X263" s="22" t="n"/>
      <c r="Y263" s="23" t="n"/>
      <c r="Z263" s="22" t="n"/>
      <c r="AA263" s="23" t="n"/>
      <c r="AB263" s="24" t="n"/>
      <c r="AC263" s="26">
        <f>IF(ISNUMBER(AD263)=FALSE,"",IF(G263=AD263,"State license",IF(I263=AD263,"DEA registration",IF(K263=AD263,"State CSR",IF(M263=AD263,"Board certification",IF(Q263=AD263,"Malpractice",IF(S263=AD263,"Life support",IF(W263=AD263,"CAQH re-attestation",IF(Y263=AD263,"Privileges reappointment","Payer recredentialing")))))))))</f>
        <v/>
      </c>
      <c r="AD263" s="25">
        <f>IF(OR(AND(LEN(G263)&gt;0,ISNUMBER(G263)=FALSE),AND(LEN(I263)&gt;0,ISNUMBER(I263)=FALSE),AND(LEN(K263)&gt;0,ISNUMBER(K263)=FALSE),AND(LEN(M263)&gt;0,ISNUMBER(M263)=FALSE),AND(LEN(Q263)&gt;0,ISNUMBER(Q263)=FALSE),AND(LEN(S263)&gt;0,ISNUMBER(S263)=FALSE),AND(LEN(Y263)&gt;0,ISNUMBER(Y263)=FALSE),AND(LEN(AA263)&gt;0,ISNUMBER(AA263)=FALSE),AND(LEN(U263)&gt;0,ISNUMBER(U263)=FALSE)),"Check date",IF(COUNT(G263,I263,K263,M263,Q263,S263,W263,Y263,AA263)=0,"",MIN(G263,I263,K263,M263,Q263,S263,W263,Y263,AA263)))</f>
        <v/>
      </c>
      <c r="AE263" s="25">
        <f>IF(ISNUMBER(AD263),AD263-IF(ISNUMBER(AB263),AB263,30),"")</f>
        <v/>
      </c>
      <c r="AF263" s="27">
        <f>IF(AD263="","",IF(ISNUMBER(AD263),AD263-TODAY(),"Check date"))</f>
        <v/>
      </c>
      <c r="AG263" s="28">
        <f>IF(AF263="","",IF(ISNUMBER(AF263),IF(AF263&lt;0,"Expired",IF(AF263&lt;=30,"Due ≤30 days",IF(AF263&lt;=90,"Due ≤90 days","OK"))),"Check date"))</f>
        <v/>
      </c>
      <c r="AH263" s="22" t="n"/>
      <c r="AI263" s="22" t="n"/>
      <c r="AJ263" s="22" t="n"/>
      <c r="AK263" s="22" t="n"/>
    </row>
    <row r="264">
      <c r="A264" s="22" t="n"/>
      <c r="B264" s="22" t="n"/>
      <c r="C264" s="22" t="n"/>
      <c r="D264" s="22" t="n"/>
      <c r="E264" s="22" t="n"/>
      <c r="F264" s="22" t="n"/>
      <c r="G264" s="23" t="n"/>
      <c r="H264" s="22" t="n"/>
      <c r="I264" s="23" t="n"/>
      <c r="J264" s="22" t="n"/>
      <c r="K264" s="23" t="n"/>
      <c r="L264" s="22" t="n"/>
      <c r="M264" s="23" t="n"/>
      <c r="N264" s="22" t="n"/>
      <c r="O264" s="22" t="n"/>
      <c r="P264" s="22" t="n"/>
      <c r="Q264" s="23" t="n"/>
      <c r="R264" s="22" t="n"/>
      <c r="S264" s="23" t="n"/>
      <c r="T264" s="22" t="n"/>
      <c r="U264" s="23" t="n"/>
      <c r="V264" s="24" t="n"/>
      <c r="W264" s="25">
        <f>IF(ISNUMBER(U264),U264+IF(ISNUMBER(V264),V264,120),"")</f>
        <v/>
      </c>
      <c r="X264" s="22" t="n"/>
      <c r="Y264" s="23" t="n"/>
      <c r="Z264" s="22" t="n"/>
      <c r="AA264" s="23" t="n"/>
      <c r="AB264" s="24" t="n"/>
      <c r="AC264" s="26">
        <f>IF(ISNUMBER(AD264)=FALSE,"",IF(G264=AD264,"State license",IF(I264=AD264,"DEA registration",IF(K264=AD264,"State CSR",IF(M264=AD264,"Board certification",IF(Q264=AD264,"Malpractice",IF(S264=AD264,"Life support",IF(W264=AD264,"CAQH re-attestation",IF(Y264=AD264,"Privileges reappointment","Payer recredentialing")))))))))</f>
        <v/>
      </c>
      <c r="AD264" s="25">
        <f>IF(OR(AND(LEN(G264)&gt;0,ISNUMBER(G264)=FALSE),AND(LEN(I264)&gt;0,ISNUMBER(I264)=FALSE),AND(LEN(K264)&gt;0,ISNUMBER(K264)=FALSE),AND(LEN(M264)&gt;0,ISNUMBER(M264)=FALSE),AND(LEN(Q264)&gt;0,ISNUMBER(Q264)=FALSE),AND(LEN(S264)&gt;0,ISNUMBER(S264)=FALSE),AND(LEN(Y264)&gt;0,ISNUMBER(Y264)=FALSE),AND(LEN(AA264)&gt;0,ISNUMBER(AA264)=FALSE),AND(LEN(U264)&gt;0,ISNUMBER(U264)=FALSE)),"Check date",IF(COUNT(G264,I264,K264,M264,Q264,S264,W264,Y264,AA264)=0,"",MIN(G264,I264,K264,M264,Q264,S264,W264,Y264,AA264)))</f>
        <v/>
      </c>
      <c r="AE264" s="25">
        <f>IF(ISNUMBER(AD264),AD264-IF(ISNUMBER(AB264),AB264,30),"")</f>
        <v/>
      </c>
      <c r="AF264" s="27">
        <f>IF(AD264="","",IF(ISNUMBER(AD264),AD264-TODAY(),"Check date"))</f>
        <v/>
      </c>
      <c r="AG264" s="28">
        <f>IF(AF264="","",IF(ISNUMBER(AF264),IF(AF264&lt;0,"Expired",IF(AF264&lt;=30,"Due ≤30 days",IF(AF264&lt;=90,"Due ≤90 days","OK"))),"Check date"))</f>
        <v/>
      </c>
      <c r="AH264" s="22" t="n"/>
      <c r="AI264" s="22" t="n"/>
      <c r="AJ264" s="22" t="n"/>
      <c r="AK264" s="22" t="n"/>
    </row>
    <row r="265">
      <c r="A265" s="22" t="n"/>
      <c r="B265" s="22" t="n"/>
      <c r="C265" s="22" t="n"/>
      <c r="D265" s="22" t="n"/>
      <c r="E265" s="22" t="n"/>
      <c r="F265" s="22" t="n"/>
      <c r="G265" s="23" t="n"/>
      <c r="H265" s="22" t="n"/>
      <c r="I265" s="23" t="n"/>
      <c r="J265" s="22" t="n"/>
      <c r="K265" s="23" t="n"/>
      <c r="L265" s="22" t="n"/>
      <c r="M265" s="23" t="n"/>
      <c r="N265" s="22" t="n"/>
      <c r="O265" s="22" t="n"/>
      <c r="P265" s="22" t="n"/>
      <c r="Q265" s="23" t="n"/>
      <c r="R265" s="22" t="n"/>
      <c r="S265" s="23" t="n"/>
      <c r="T265" s="22" t="n"/>
      <c r="U265" s="23" t="n"/>
      <c r="V265" s="24" t="n"/>
      <c r="W265" s="25">
        <f>IF(ISNUMBER(U265),U265+IF(ISNUMBER(V265),V265,120),"")</f>
        <v/>
      </c>
      <c r="X265" s="22" t="n"/>
      <c r="Y265" s="23" t="n"/>
      <c r="Z265" s="22" t="n"/>
      <c r="AA265" s="23" t="n"/>
      <c r="AB265" s="24" t="n"/>
      <c r="AC265" s="26">
        <f>IF(ISNUMBER(AD265)=FALSE,"",IF(G265=AD265,"State license",IF(I265=AD265,"DEA registration",IF(K265=AD265,"State CSR",IF(M265=AD265,"Board certification",IF(Q265=AD265,"Malpractice",IF(S265=AD265,"Life support",IF(W265=AD265,"CAQH re-attestation",IF(Y265=AD265,"Privileges reappointment","Payer recredentialing")))))))))</f>
        <v/>
      </c>
      <c r="AD265" s="25">
        <f>IF(OR(AND(LEN(G265)&gt;0,ISNUMBER(G265)=FALSE),AND(LEN(I265)&gt;0,ISNUMBER(I265)=FALSE),AND(LEN(K265)&gt;0,ISNUMBER(K265)=FALSE),AND(LEN(M265)&gt;0,ISNUMBER(M265)=FALSE),AND(LEN(Q265)&gt;0,ISNUMBER(Q265)=FALSE),AND(LEN(S265)&gt;0,ISNUMBER(S265)=FALSE),AND(LEN(Y265)&gt;0,ISNUMBER(Y265)=FALSE),AND(LEN(AA265)&gt;0,ISNUMBER(AA265)=FALSE),AND(LEN(U265)&gt;0,ISNUMBER(U265)=FALSE)),"Check date",IF(COUNT(G265,I265,K265,M265,Q265,S265,W265,Y265,AA265)=0,"",MIN(G265,I265,K265,M265,Q265,S265,W265,Y265,AA265)))</f>
        <v/>
      </c>
      <c r="AE265" s="25">
        <f>IF(ISNUMBER(AD265),AD265-IF(ISNUMBER(AB265),AB265,30),"")</f>
        <v/>
      </c>
      <c r="AF265" s="27">
        <f>IF(AD265="","",IF(ISNUMBER(AD265),AD265-TODAY(),"Check date"))</f>
        <v/>
      </c>
      <c r="AG265" s="28">
        <f>IF(AF265="","",IF(ISNUMBER(AF265),IF(AF265&lt;0,"Expired",IF(AF265&lt;=30,"Due ≤30 days",IF(AF265&lt;=90,"Due ≤90 days","OK"))),"Check date"))</f>
        <v/>
      </c>
      <c r="AH265" s="22" t="n"/>
      <c r="AI265" s="22" t="n"/>
      <c r="AJ265" s="22" t="n"/>
      <c r="AK265" s="22" t="n"/>
    </row>
    <row r="266">
      <c r="A266" s="22" t="n"/>
      <c r="B266" s="22" t="n"/>
      <c r="C266" s="22" t="n"/>
      <c r="D266" s="22" t="n"/>
      <c r="E266" s="22" t="n"/>
      <c r="F266" s="22" t="n"/>
      <c r="G266" s="23" t="n"/>
      <c r="H266" s="22" t="n"/>
      <c r="I266" s="23" t="n"/>
      <c r="J266" s="22" t="n"/>
      <c r="K266" s="23" t="n"/>
      <c r="L266" s="22" t="n"/>
      <c r="M266" s="23" t="n"/>
      <c r="N266" s="22" t="n"/>
      <c r="O266" s="22" t="n"/>
      <c r="P266" s="22" t="n"/>
      <c r="Q266" s="23" t="n"/>
      <c r="R266" s="22" t="n"/>
      <c r="S266" s="23" t="n"/>
      <c r="T266" s="22" t="n"/>
      <c r="U266" s="23" t="n"/>
      <c r="V266" s="24" t="n"/>
      <c r="W266" s="25">
        <f>IF(ISNUMBER(U266),U266+IF(ISNUMBER(V266),V266,120),"")</f>
        <v/>
      </c>
      <c r="X266" s="22" t="n"/>
      <c r="Y266" s="23" t="n"/>
      <c r="Z266" s="22" t="n"/>
      <c r="AA266" s="23" t="n"/>
      <c r="AB266" s="24" t="n"/>
      <c r="AC266" s="26">
        <f>IF(ISNUMBER(AD266)=FALSE,"",IF(G266=AD266,"State license",IF(I266=AD266,"DEA registration",IF(K266=AD266,"State CSR",IF(M266=AD266,"Board certification",IF(Q266=AD266,"Malpractice",IF(S266=AD266,"Life support",IF(W266=AD266,"CAQH re-attestation",IF(Y266=AD266,"Privileges reappointment","Payer recredentialing")))))))))</f>
        <v/>
      </c>
      <c r="AD266" s="25">
        <f>IF(OR(AND(LEN(G266)&gt;0,ISNUMBER(G266)=FALSE),AND(LEN(I266)&gt;0,ISNUMBER(I266)=FALSE),AND(LEN(K266)&gt;0,ISNUMBER(K266)=FALSE),AND(LEN(M266)&gt;0,ISNUMBER(M266)=FALSE),AND(LEN(Q266)&gt;0,ISNUMBER(Q266)=FALSE),AND(LEN(S266)&gt;0,ISNUMBER(S266)=FALSE),AND(LEN(Y266)&gt;0,ISNUMBER(Y266)=FALSE),AND(LEN(AA266)&gt;0,ISNUMBER(AA266)=FALSE),AND(LEN(U266)&gt;0,ISNUMBER(U266)=FALSE)),"Check date",IF(COUNT(G266,I266,K266,M266,Q266,S266,W266,Y266,AA266)=0,"",MIN(G266,I266,K266,M266,Q266,S266,W266,Y266,AA266)))</f>
        <v/>
      </c>
      <c r="AE266" s="25">
        <f>IF(ISNUMBER(AD266),AD266-IF(ISNUMBER(AB266),AB266,30),"")</f>
        <v/>
      </c>
      <c r="AF266" s="27">
        <f>IF(AD266="","",IF(ISNUMBER(AD266),AD266-TODAY(),"Check date"))</f>
        <v/>
      </c>
      <c r="AG266" s="28">
        <f>IF(AF266="","",IF(ISNUMBER(AF266),IF(AF266&lt;0,"Expired",IF(AF266&lt;=30,"Due ≤30 days",IF(AF266&lt;=90,"Due ≤90 days","OK"))),"Check date"))</f>
        <v/>
      </c>
      <c r="AH266" s="22" t="n"/>
      <c r="AI266" s="22" t="n"/>
      <c r="AJ266" s="22" t="n"/>
      <c r="AK266" s="22" t="n"/>
    </row>
    <row r="267">
      <c r="A267" s="22" t="n"/>
      <c r="B267" s="22" t="n"/>
      <c r="C267" s="22" t="n"/>
      <c r="D267" s="22" t="n"/>
      <c r="E267" s="22" t="n"/>
      <c r="F267" s="22" t="n"/>
      <c r="G267" s="23" t="n"/>
      <c r="H267" s="22" t="n"/>
      <c r="I267" s="23" t="n"/>
      <c r="J267" s="22" t="n"/>
      <c r="K267" s="23" t="n"/>
      <c r="L267" s="22" t="n"/>
      <c r="M267" s="23" t="n"/>
      <c r="N267" s="22" t="n"/>
      <c r="O267" s="22" t="n"/>
      <c r="P267" s="22" t="n"/>
      <c r="Q267" s="23" t="n"/>
      <c r="R267" s="22" t="n"/>
      <c r="S267" s="23" t="n"/>
      <c r="T267" s="22" t="n"/>
      <c r="U267" s="23" t="n"/>
      <c r="V267" s="24" t="n"/>
      <c r="W267" s="25">
        <f>IF(ISNUMBER(U267),U267+IF(ISNUMBER(V267),V267,120),"")</f>
        <v/>
      </c>
      <c r="X267" s="22" t="n"/>
      <c r="Y267" s="23" t="n"/>
      <c r="Z267" s="22" t="n"/>
      <c r="AA267" s="23" t="n"/>
      <c r="AB267" s="24" t="n"/>
      <c r="AC267" s="26">
        <f>IF(ISNUMBER(AD267)=FALSE,"",IF(G267=AD267,"State license",IF(I267=AD267,"DEA registration",IF(K267=AD267,"State CSR",IF(M267=AD267,"Board certification",IF(Q267=AD267,"Malpractice",IF(S267=AD267,"Life support",IF(W267=AD267,"CAQH re-attestation",IF(Y267=AD267,"Privileges reappointment","Payer recredentialing")))))))))</f>
        <v/>
      </c>
      <c r="AD267" s="25">
        <f>IF(OR(AND(LEN(G267)&gt;0,ISNUMBER(G267)=FALSE),AND(LEN(I267)&gt;0,ISNUMBER(I267)=FALSE),AND(LEN(K267)&gt;0,ISNUMBER(K267)=FALSE),AND(LEN(M267)&gt;0,ISNUMBER(M267)=FALSE),AND(LEN(Q267)&gt;0,ISNUMBER(Q267)=FALSE),AND(LEN(S267)&gt;0,ISNUMBER(S267)=FALSE),AND(LEN(Y267)&gt;0,ISNUMBER(Y267)=FALSE),AND(LEN(AA267)&gt;0,ISNUMBER(AA267)=FALSE),AND(LEN(U267)&gt;0,ISNUMBER(U267)=FALSE)),"Check date",IF(COUNT(G267,I267,K267,M267,Q267,S267,W267,Y267,AA267)=0,"",MIN(G267,I267,K267,M267,Q267,S267,W267,Y267,AA267)))</f>
        <v/>
      </c>
      <c r="AE267" s="25">
        <f>IF(ISNUMBER(AD267),AD267-IF(ISNUMBER(AB267),AB267,30),"")</f>
        <v/>
      </c>
      <c r="AF267" s="27">
        <f>IF(AD267="","",IF(ISNUMBER(AD267),AD267-TODAY(),"Check date"))</f>
        <v/>
      </c>
      <c r="AG267" s="28">
        <f>IF(AF267="","",IF(ISNUMBER(AF267),IF(AF267&lt;0,"Expired",IF(AF267&lt;=30,"Due ≤30 days",IF(AF267&lt;=90,"Due ≤90 days","OK"))),"Check date"))</f>
        <v/>
      </c>
      <c r="AH267" s="22" t="n"/>
      <c r="AI267" s="22" t="n"/>
      <c r="AJ267" s="22" t="n"/>
      <c r="AK267" s="22" t="n"/>
    </row>
    <row r="268">
      <c r="A268" s="22" t="n"/>
      <c r="B268" s="22" t="n"/>
      <c r="C268" s="22" t="n"/>
      <c r="D268" s="22" t="n"/>
      <c r="E268" s="22" t="n"/>
      <c r="F268" s="22" t="n"/>
      <c r="G268" s="23" t="n"/>
      <c r="H268" s="22" t="n"/>
      <c r="I268" s="23" t="n"/>
      <c r="J268" s="22" t="n"/>
      <c r="K268" s="23" t="n"/>
      <c r="L268" s="22" t="n"/>
      <c r="M268" s="23" t="n"/>
      <c r="N268" s="22" t="n"/>
      <c r="O268" s="22" t="n"/>
      <c r="P268" s="22" t="n"/>
      <c r="Q268" s="23" t="n"/>
      <c r="R268" s="22" t="n"/>
      <c r="S268" s="23" t="n"/>
      <c r="T268" s="22" t="n"/>
      <c r="U268" s="23" t="n"/>
      <c r="V268" s="24" t="n"/>
      <c r="W268" s="25">
        <f>IF(ISNUMBER(U268),U268+IF(ISNUMBER(V268),V268,120),"")</f>
        <v/>
      </c>
      <c r="X268" s="22" t="n"/>
      <c r="Y268" s="23" t="n"/>
      <c r="Z268" s="22" t="n"/>
      <c r="AA268" s="23" t="n"/>
      <c r="AB268" s="24" t="n"/>
      <c r="AC268" s="26">
        <f>IF(ISNUMBER(AD268)=FALSE,"",IF(G268=AD268,"State license",IF(I268=AD268,"DEA registration",IF(K268=AD268,"State CSR",IF(M268=AD268,"Board certification",IF(Q268=AD268,"Malpractice",IF(S268=AD268,"Life support",IF(W268=AD268,"CAQH re-attestation",IF(Y268=AD268,"Privileges reappointment","Payer recredentialing")))))))))</f>
        <v/>
      </c>
      <c r="AD268" s="25">
        <f>IF(OR(AND(LEN(G268)&gt;0,ISNUMBER(G268)=FALSE),AND(LEN(I268)&gt;0,ISNUMBER(I268)=FALSE),AND(LEN(K268)&gt;0,ISNUMBER(K268)=FALSE),AND(LEN(M268)&gt;0,ISNUMBER(M268)=FALSE),AND(LEN(Q268)&gt;0,ISNUMBER(Q268)=FALSE),AND(LEN(S268)&gt;0,ISNUMBER(S268)=FALSE),AND(LEN(Y268)&gt;0,ISNUMBER(Y268)=FALSE),AND(LEN(AA268)&gt;0,ISNUMBER(AA268)=FALSE),AND(LEN(U268)&gt;0,ISNUMBER(U268)=FALSE)),"Check date",IF(COUNT(G268,I268,K268,M268,Q268,S268,W268,Y268,AA268)=0,"",MIN(G268,I268,K268,M268,Q268,S268,W268,Y268,AA268)))</f>
        <v/>
      </c>
      <c r="AE268" s="25">
        <f>IF(ISNUMBER(AD268),AD268-IF(ISNUMBER(AB268),AB268,30),"")</f>
        <v/>
      </c>
      <c r="AF268" s="27">
        <f>IF(AD268="","",IF(ISNUMBER(AD268),AD268-TODAY(),"Check date"))</f>
        <v/>
      </c>
      <c r="AG268" s="28">
        <f>IF(AF268="","",IF(ISNUMBER(AF268),IF(AF268&lt;0,"Expired",IF(AF268&lt;=30,"Due ≤30 days",IF(AF268&lt;=90,"Due ≤90 days","OK"))),"Check date"))</f>
        <v/>
      </c>
      <c r="AH268" s="22" t="n"/>
      <c r="AI268" s="22" t="n"/>
      <c r="AJ268" s="22" t="n"/>
      <c r="AK268" s="22" t="n"/>
    </row>
    <row r="269">
      <c r="A269" s="22" t="n"/>
      <c r="B269" s="22" t="n"/>
      <c r="C269" s="22" t="n"/>
      <c r="D269" s="22" t="n"/>
      <c r="E269" s="22" t="n"/>
      <c r="F269" s="22" t="n"/>
      <c r="G269" s="23" t="n"/>
      <c r="H269" s="22" t="n"/>
      <c r="I269" s="23" t="n"/>
      <c r="J269" s="22" t="n"/>
      <c r="K269" s="23" t="n"/>
      <c r="L269" s="22" t="n"/>
      <c r="M269" s="23" t="n"/>
      <c r="N269" s="22" t="n"/>
      <c r="O269" s="22" t="n"/>
      <c r="P269" s="22" t="n"/>
      <c r="Q269" s="23" t="n"/>
      <c r="R269" s="22" t="n"/>
      <c r="S269" s="23" t="n"/>
      <c r="T269" s="22" t="n"/>
      <c r="U269" s="23" t="n"/>
      <c r="V269" s="24" t="n"/>
      <c r="W269" s="25">
        <f>IF(ISNUMBER(U269),U269+IF(ISNUMBER(V269),V269,120),"")</f>
        <v/>
      </c>
      <c r="X269" s="22" t="n"/>
      <c r="Y269" s="23" t="n"/>
      <c r="Z269" s="22" t="n"/>
      <c r="AA269" s="23" t="n"/>
      <c r="AB269" s="24" t="n"/>
      <c r="AC269" s="26">
        <f>IF(ISNUMBER(AD269)=FALSE,"",IF(G269=AD269,"State license",IF(I269=AD269,"DEA registration",IF(K269=AD269,"State CSR",IF(M269=AD269,"Board certification",IF(Q269=AD269,"Malpractice",IF(S269=AD269,"Life support",IF(W269=AD269,"CAQH re-attestation",IF(Y269=AD269,"Privileges reappointment","Payer recredentialing")))))))))</f>
        <v/>
      </c>
      <c r="AD269" s="25">
        <f>IF(OR(AND(LEN(G269)&gt;0,ISNUMBER(G269)=FALSE),AND(LEN(I269)&gt;0,ISNUMBER(I269)=FALSE),AND(LEN(K269)&gt;0,ISNUMBER(K269)=FALSE),AND(LEN(M269)&gt;0,ISNUMBER(M269)=FALSE),AND(LEN(Q269)&gt;0,ISNUMBER(Q269)=FALSE),AND(LEN(S269)&gt;0,ISNUMBER(S269)=FALSE),AND(LEN(Y269)&gt;0,ISNUMBER(Y269)=FALSE),AND(LEN(AA269)&gt;0,ISNUMBER(AA269)=FALSE),AND(LEN(U269)&gt;0,ISNUMBER(U269)=FALSE)),"Check date",IF(COUNT(G269,I269,K269,M269,Q269,S269,W269,Y269,AA269)=0,"",MIN(G269,I269,K269,M269,Q269,S269,W269,Y269,AA269)))</f>
        <v/>
      </c>
      <c r="AE269" s="25">
        <f>IF(ISNUMBER(AD269),AD269-IF(ISNUMBER(AB269),AB269,30),"")</f>
        <v/>
      </c>
      <c r="AF269" s="27">
        <f>IF(AD269="","",IF(ISNUMBER(AD269),AD269-TODAY(),"Check date"))</f>
        <v/>
      </c>
      <c r="AG269" s="28">
        <f>IF(AF269="","",IF(ISNUMBER(AF269),IF(AF269&lt;0,"Expired",IF(AF269&lt;=30,"Due ≤30 days",IF(AF269&lt;=90,"Due ≤90 days","OK"))),"Check date"))</f>
        <v/>
      </c>
      <c r="AH269" s="22" t="n"/>
      <c r="AI269" s="22" t="n"/>
      <c r="AJ269" s="22" t="n"/>
      <c r="AK269" s="22" t="n"/>
    </row>
    <row r="270">
      <c r="A270" s="22" t="n"/>
      <c r="B270" s="22" t="n"/>
      <c r="C270" s="22" t="n"/>
      <c r="D270" s="22" t="n"/>
      <c r="E270" s="22" t="n"/>
      <c r="F270" s="22" t="n"/>
      <c r="G270" s="23" t="n"/>
      <c r="H270" s="22" t="n"/>
      <c r="I270" s="23" t="n"/>
      <c r="J270" s="22" t="n"/>
      <c r="K270" s="23" t="n"/>
      <c r="L270" s="22" t="n"/>
      <c r="M270" s="23" t="n"/>
      <c r="N270" s="22" t="n"/>
      <c r="O270" s="22" t="n"/>
      <c r="P270" s="22" t="n"/>
      <c r="Q270" s="23" t="n"/>
      <c r="R270" s="22" t="n"/>
      <c r="S270" s="23" t="n"/>
      <c r="T270" s="22" t="n"/>
      <c r="U270" s="23" t="n"/>
      <c r="V270" s="24" t="n"/>
      <c r="W270" s="25">
        <f>IF(ISNUMBER(U270),U270+IF(ISNUMBER(V270),V270,120),"")</f>
        <v/>
      </c>
      <c r="X270" s="22" t="n"/>
      <c r="Y270" s="23" t="n"/>
      <c r="Z270" s="22" t="n"/>
      <c r="AA270" s="23" t="n"/>
      <c r="AB270" s="24" t="n"/>
      <c r="AC270" s="26">
        <f>IF(ISNUMBER(AD270)=FALSE,"",IF(G270=AD270,"State license",IF(I270=AD270,"DEA registration",IF(K270=AD270,"State CSR",IF(M270=AD270,"Board certification",IF(Q270=AD270,"Malpractice",IF(S270=AD270,"Life support",IF(W270=AD270,"CAQH re-attestation",IF(Y270=AD270,"Privileges reappointment","Payer recredentialing")))))))))</f>
        <v/>
      </c>
      <c r="AD270" s="25">
        <f>IF(OR(AND(LEN(G270)&gt;0,ISNUMBER(G270)=FALSE),AND(LEN(I270)&gt;0,ISNUMBER(I270)=FALSE),AND(LEN(K270)&gt;0,ISNUMBER(K270)=FALSE),AND(LEN(M270)&gt;0,ISNUMBER(M270)=FALSE),AND(LEN(Q270)&gt;0,ISNUMBER(Q270)=FALSE),AND(LEN(S270)&gt;0,ISNUMBER(S270)=FALSE),AND(LEN(Y270)&gt;0,ISNUMBER(Y270)=FALSE),AND(LEN(AA270)&gt;0,ISNUMBER(AA270)=FALSE),AND(LEN(U270)&gt;0,ISNUMBER(U270)=FALSE)),"Check date",IF(COUNT(G270,I270,K270,M270,Q270,S270,W270,Y270,AA270)=0,"",MIN(G270,I270,K270,M270,Q270,S270,W270,Y270,AA270)))</f>
        <v/>
      </c>
      <c r="AE270" s="25">
        <f>IF(ISNUMBER(AD270),AD270-IF(ISNUMBER(AB270),AB270,30),"")</f>
        <v/>
      </c>
      <c r="AF270" s="27">
        <f>IF(AD270="","",IF(ISNUMBER(AD270),AD270-TODAY(),"Check date"))</f>
        <v/>
      </c>
      <c r="AG270" s="28">
        <f>IF(AF270="","",IF(ISNUMBER(AF270),IF(AF270&lt;0,"Expired",IF(AF270&lt;=30,"Due ≤30 days",IF(AF270&lt;=90,"Due ≤90 days","OK"))),"Check date"))</f>
        <v/>
      </c>
      <c r="AH270" s="22" t="n"/>
      <c r="AI270" s="22" t="n"/>
      <c r="AJ270" s="22" t="n"/>
      <c r="AK270" s="22" t="n"/>
    </row>
    <row r="271">
      <c r="A271" s="22" t="n"/>
      <c r="B271" s="22" t="n"/>
      <c r="C271" s="22" t="n"/>
      <c r="D271" s="22" t="n"/>
      <c r="E271" s="22" t="n"/>
      <c r="F271" s="22" t="n"/>
      <c r="G271" s="23" t="n"/>
      <c r="H271" s="22" t="n"/>
      <c r="I271" s="23" t="n"/>
      <c r="J271" s="22" t="n"/>
      <c r="K271" s="23" t="n"/>
      <c r="L271" s="22" t="n"/>
      <c r="M271" s="23" t="n"/>
      <c r="N271" s="22" t="n"/>
      <c r="O271" s="22" t="n"/>
      <c r="P271" s="22" t="n"/>
      <c r="Q271" s="23" t="n"/>
      <c r="R271" s="22" t="n"/>
      <c r="S271" s="23" t="n"/>
      <c r="T271" s="22" t="n"/>
      <c r="U271" s="23" t="n"/>
      <c r="V271" s="24" t="n"/>
      <c r="W271" s="25">
        <f>IF(ISNUMBER(U271),U271+IF(ISNUMBER(V271),V271,120),"")</f>
        <v/>
      </c>
      <c r="X271" s="22" t="n"/>
      <c r="Y271" s="23" t="n"/>
      <c r="Z271" s="22" t="n"/>
      <c r="AA271" s="23" t="n"/>
      <c r="AB271" s="24" t="n"/>
      <c r="AC271" s="26">
        <f>IF(ISNUMBER(AD271)=FALSE,"",IF(G271=AD271,"State license",IF(I271=AD271,"DEA registration",IF(K271=AD271,"State CSR",IF(M271=AD271,"Board certification",IF(Q271=AD271,"Malpractice",IF(S271=AD271,"Life support",IF(W271=AD271,"CAQH re-attestation",IF(Y271=AD271,"Privileges reappointment","Payer recredentialing")))))))))</f>
        <v/>
      </c>
      <c r="AD271" s="25">
        <f>IF(OR(AND(LEN(G271)&gt;0,ISNUMBER(G271)=FALSE),AND(LEN(I271)&gt;0,ISNUMBER(I271)=FALSE),AND(LEN(K271)&gt;0,ISNUMBER(K271)=FALSE),AND(LEN(M271)&gt;0,ISNUMBER(M271)=FALSE),AND(LEN(Q271)&gt;0,ISNUMBER(Q271)=FALSE),AND(LEN(S271)&gt;0,ISNUMBER(S271)=FALSE),AND(LEN(Y271)&gt;0,ISNUMBER(Y271)=FALSE),AND(LEN(AA271)&gt;0,ISNUMBER(AA271)=FALSE),AND(LEN(U271)&gt;0,ISNUMBER(U271)=FALSE)),"Check date",IF(COUNT(G271,I271,K271,M271,Q271,S271,W271,Y271,AA271)=0,"",MIN(G271,I271,K271,M271,Q271,S271,W271,Y271,AA271)))</f>
        <v/>
      </c>
      <c r="AE271" s="25">
        <f>IF(ISNUMBER(AD271),AD271-IF(ISNUMBER(AB271),AB271,30),"")</f>
        <v/>
      </c>
      <c r="AF271" s="27">
        <f>IF(AD271="","",IF(ISNUMBER(AD271),AD271-TODAY(),"Check date"))</f>
        <v/>
      </c>
      <c r="AG271" s="28">
        <f>IF(AF271="","",IF(ISNUMBER(AF271),IF(AF271&lt;0,"Expired",IF(AF271&lt;=30,"Due ≤30 days",IF(AF271&lt;=90,"Due ≤90 days","OK"))),"Check date"))</f>
        <v/>
      </c>
      <c r="AH271" s="22" t="n"/>
      <c r="AI271" s="22" t="n"/>
      <c r="AJ271" s="22" t="n"/>
      <c r="AK271" s="22" t="n"/>
    </row>
    <row r="272">
      <c r="A272" s="22" t="n"/>
      <c r="B272" s="22" t="n"/>
      <c r="C272" s="22" t="n"/>
      <c r="D272" s="22" t="n"/>
      <c r="E272" s="22" t="n"/>
      <c r="F272" s="22" t="n"/>
      <c r="G272" s="23" t="n"/>
      <c r="H272" s="22" t="n"/>
      <c r="I272" s="23" t="n"/>
      <c r="J272" s="22" t="n"/>
      <c r="K272" s="23" t="n"/>
      <c r="L272" s="22" t="n"/>
      <c r="M272" s="23" t="n"/>
      <c r="N272" s="22" t="n"/>
      <c r="O272" s="22" t="n"/>
      <c r="P272" s="22" t="n"/>
      <c r="Q272" s="23" t="n"/>
      <c r="R272" s="22" t="n"/>
      <c r="S272" s="23" t="n"/>
      <c r="T272" s="22" t="n"/>
      <c r="U272" s="23" t="n"/>
      <c r="V272" s="24" t="n"/>
      <c r="W272" s="25">
        <f>IF(ISNUMBER(U272),U272+IF(ISNUMBER(V272),V272,120),"")</f>
        <v/>
      </c>
      <c r="X272" s="22" t="n"/>
      <c r="Y272" s="23" t="n"/>
      <c r="Z272" s="22" t="n"/>
      <c r="AA272" s="23" t="n"/>
      <c r="AB272" s="24" t="n"/>
      <c r="AC272" s="26">
        <f>IF(ISNUMBER(AD272)=FALSE,"",IF(G272=AD272,"State license",IF(I272=AD272,"DEA registration",IF(K272=AD272,"State CSR",IF(M272=AD272,"Board certification",IF(Q272=AD272,"Malpractice",IF(S272=AD272,"Life support",IF(W272=AD272,"CAQH re-attestation",IF(Y272=AD272,"Privileges reappointment","Payer recredentialing")))))))))</f>
        <v/>
      </c>
      <c r="AD272" s="25">
        <f>IF(OR(AND(LEN(G272)&gt;0,ISNUMBER(G272)=FALSE),AND(LEN(I272)&gt;0,ISNUMBER(I272)=FALSE),AND(LEN(K272)&gt;0,ISNUMBER(K272)=FALSE),AND(LEN(M272)&gt;0,ISNUMBER(M272)=FALSE),AND(LEN(Q272)&gt;0,ISNUMBER(Q272)=FALSE),AND(LEN(S272)&gt;0,ISNUMBER(S272)=FALSE),AND(LEN(Y272)&gt;0,ISNUMBER(Y272)=FALSE),AND(LEN(AA272)&gt;0,ISNUMBER(AA272)=FALSE),AND(LEN(U272)&gt;0,ISNUMBER(U272)=FALSE)),"Check date",IF(COUNT(G272,I272,K272,M272,Q272,S272,W272,Y272,AA272)=0,"",MIN(G272,I272,K272,M272,Q272,S272,W272,Y272,AA272)))</f>
        <v/>
      </c>
      <c r="AE272" s="25">
        <f>IF(ISNUMBER(AD272),AD272-IF(ISNUMBER(AB272),AB272,30),"")</f>
        <v/>
      </c>
      <c r="AF272" s="27">
        <f>IF(AD272="","",IF(ISNUMBER(AD272),AD272-TODAY(),"Check date"))</f>
        <v/>
      </c>
      <c r="AG272" s="28">
        <f>IF(AF272="","",IF(ISNUMBER(AF272),IF(AF272&lt;0,"Expired",IF(AF272&lt;=30,"Due ≤30 days",IF(AF272&lt;=90,"Due ≤90 days","OK"))),"Check date"))</f>
        <v/>
      </c>
      <c r="AH272" s="22" t="n"/>
      <c r="AI272" s="22" t="n"/>
      <c r="AJ272" s="22" t="n"/>
      <c r="AK272" s="22" t="n"/>
    </row>
    <row r="273">
      <c r="A273" s="22" t="n"/>
      <c r="B273" s="22" t="n"/>
      <c r="C273" s="22" t="n"/>
      <c r="D273" s="22" t="n"/>
      <c r="E273" s="22" t="n"/>
      <c r="F273" s="22" t="n"/>
      <c r="G273" s="23" t="n"/>
      <c r="H273" s="22" t="n"/>
      <c r="I273" s="23" t="n"/>
      <c r="J273" s="22" t="n"/>
      <c r="K273" s="23" t="n"/>
      <c r="L273" s="22" t="n"/>
      <c r="M273" s="23" t="n"/>
      <c r="N273" s="22" t="n"/>
      <c r="O273" s="22" t="n"/>
      <c r="P273" s="22" t="n"/>
      <c r="Q273" s="23" t="n"/>
      <c r="R273" s="22" t="n"/>
      <c r="S273" s="23" t="n"/>
      <c r="T273" s="22" t="n"/>
      <c r="U273" s="23" t="n"/>
      <c r="V273" s="24" t="n"/>
      <c r="W273" s="25">
        <f>IF(ISNUMBER(U273),U273+IF(ISNUMBER(V273),V273,120),"")</f>
        <v/>
      </c>
      <c r="X273" s="22" t="n"/>
      <c r="Y273" s="23" t="n"/>
      <c r="Z273" s="22" t="n"/>
      <c r="AA273" s="23" t="n"/>
      <c r="AB273" s="24" t="n"/>
      <c r="AC273" s="26">
        <f>IF(ISNUMBER(AD273)=FALSE,"",IF(G273=AD273,"State license",IF(I273=AD273,"DEA registration",IF(K273=AD273,"State CSR",IF(M273=AD273,"Board certification",IF(Q273=AD273,"Malpractice",IF(S273=AD273,"Life support",IF(W273=AD273,"CAQH re-attestation",IF(Y273=AD273,"Privileges reappointment","Payer recredentialing")))))))))</f>
        <v/>
      </c>
      <c r="AD273" s="25">
        <f>IF(OR(AND(LEN(G273)&gt;0,ISNUMBER(G273)=FALSE),AND(LEN(I273)&gt;0,ISNUMBER(I273)=FALSE),AND(LEN(K273)&gt;0,ISNUMBER(K273)=FALSE),AND(LEN(M273)&gt;0,ISNUMBER(M273)=FALSE),AND(LEN(Q273)&gt;0,ISNUMBER(Q273)=FALSE),AND(LEN(S273)&gt;0,ISNUMBER(S273)=FALSE),AND(LEN(Y273)&gt;0,ISNUMBER(Y273)=FALSE),AND(LEN(AA273)&gt;0,ISNUMBER(AA273)=FALSE),AND(LEN(U273)&gt;0,ISNUMBER(U273)=FALSE)),"Check date",IF(COUNT(G273,I273,K273,M273,Q273,S273,W273,Y273,AA273)=0,"",MIN(G273,I273,K273,M273,Q273,S273,W273,Y273,AA273)))</f>
        <v/>
      </c>
      <c r="AE273" s="25">
        <f>IF(ISNUMBER(AD273),AD273-IF(ISNUMBER(AB273),AB273,30),"")</f>
        <v/>
      </c>
      <c r="AF273" s="27">
        <f>IF(AD273="","",IF(ISNUMBER(AD273),AD273-TODAY(),"Check date"))</f>
        <v/>
      </c>
      <c r="AG273" s="28">
        <f>IF(AF273="","",IF(ISNUMBER(AF273),IF(AF273&lt;0,"Expired",IF(AF273&lt;=30,"Due ≤30 days",IF(AF273&lt;=90,"Due ≤90 days","OK"))),"Check date"))</f>
        <v/>
      </c>
      <c r="AH273" s="22" t="n"/>
      <c r="AI273" s="22" t="n"/>
      <c r="AJ273" s="22" t="n"/>
      <c r="AK273" s="22" t="n"/>
    </row>
    <row r="274">
      <c r="A274" s="22" t="n"/>
      <c r="B274" s="22" t="n"/>
      <c r="C274" s="22" t="n"/>
      <c r="D274" s="22" t="n"/>
      <c r="E274" s="22" t="n"/>
      <c r="F274" s="22" t="n"/>
      <c r="G274" s="23" t="n"/>
      <c r="H274" s="22" t="n"/>
      <c r="I274" s="23" t="n"/>
      <c r="J274" s="22" t="n"/>
      <c r="K274" s="23" t="n"/>
      <c r="L274" s="22" t="n"/>
      <c r="M274" s="23" t="n"/>
      <c r="N274" s="22" t="n"/>
      <c r="O274" s="22" t="n"/>
      <c r="P274" s="22" t="n"/>
      <c r="Q274" s="23" t="n"/>
      <c r="R274" s="22" t="n"/>
      <c r="S274" s="23" t="n"/>
      <c r="T274" s="22" t="n"/>
      <c r="U274" s="23" t="n"/>
      <c r="V274" s="24" t="n"/>
      <c r="W274" s="25">
        <f>IF(ISNUMBER(U274),U274+IF(ISNUMBER(V274),V274,120),"")</f>
        <v/>
      </c>
      <c r="X274" s="22" t="n"/>
      <c r="Y274" s="23" t="n"/>
      <c r="Z274" s="22" t="n"/>
      <c r="AA274" s="23" t="n"/>
      <c r="AB274" s="24" t="n"/>
      <c r="AC274" s="26">
        <f>IF(ISNUMBER(AD274)=FALSE,"",IF(G274=AD274,"State license",IF(I274=AD274,"DEA registration",IF(K274=AD274,"State CSR",IF(M274=AD274,"Board certification",IF(Q274=AD274,"Malpractice",IF(S274=AD274,"Life support",IF(W274=AD274,"CAQH re-attestation",IF(Y274=AD274,"Privileges reappointment","Payer recredentialing")))))))))</f>
        <v/>
      </c>
      <c r="AD274" s="25">
        <f>IF(OR(AND(LEN(G274)&gt;0,ISNUMBER(G274)=FALSE),AND(LEN(I274)&gt;0,ISNUMBER(I274)=FALSE),AND(LEN(K274)&gt;0,ISNUMBER(K274)=FALSE),AND(LEN(M274)&gt;0,ISNUMBER(M274)=FALSE),AND(LEN(Q274)&gt;0,ISNUMBER(Q274)=FALSE),AND(LEN(S274)&gt;0,ISNUMBER(S274)=FALSE),AND(LEN(Y274)&gt;0,ISNUMBER(Y274)=FALSE),AND(LEN(AA274)&gt;0,ISNUMBER(AA274)=FALSE),AND(LEN(U274)&gt;0,ISNUMBER(U274)=FALSE)),"Check date",IF(COUNT(G274,I274,K274,M274,Q274,S274,W274,Y274,AA274)=0,"",MIN(G274,I274,K274,M274,Q274,S274,W274,Y274,AA274)))</f>
        <v/>
      </c>
      <c r="AE274" s="25">
        <f>IF(ISNUMBER(AD274),AD274-IF(ISNUMBER(AB274),AB274,30),"")</f>
        <v/>
      </c>
      <c r="AF274" s="27">
        <f>IF(AD274="","",IF(ISNUMBER(AD274),AD274-TODAY(),"Check date"))</f>
        <v/>
      </c>
      <c r="AG274" s="28">
        <f>IF(AF274="","",IF(ISNUMBER(AF274),IF(AF274&lt;0,"Expired",IF(AF274&lt;=30,"Due ≤30 days",IF(AF274&lt;=90,"Due ≤90 days","OK"))),"Check date"))</f>
        <v/>
      </c>
      <c r="AH274" s="22" t="n"/>
      <c r="AI274" s="22" t="n"/>
      <c r="AJ274" s="22" t="n"/>
      <c r="AK274" s="22" t="n"/>
    </row>
    <row r="275">
      <c r="A275" s="22" t="n"/>
      <c r="B275" s="22" t="n"/>
      <c r="C275" s="22" t="n"/>
      <c r="D275" s="22" t="n"/>
      <c r="E275" s="22" t="n"/>
      <c r="F275" s="22" t="n"/>
      <c r="G275" s="23" t="n"/>
      <c r="H275" s="22" t="n"/>
      <c r="I275" s="23" t="n"/>
      <c r="J275" s="22" t="n"/>
      <c r="K275" s="23" t="n"/>
      <c r="L275" s="22" t="n"/>
      <c r="M275" s="23" t="n"/>
      <c r="N275" s="22" t="n"/>
      <c r="O275" s="22" t="n"/>
      <c r="P275" s="22" t="n"/>
      <c r="Q275" s="23" t="n"/>
      <c r="R275" s="22" t="n"/>
      <c r="S275" s="23" t="n"/>
      <c r="T275" s="22" t="n"/>
      <c r="U275" s="23" t="n"/>
      <c r="V275" s="24" t="n"/>
      <c r="W275" s="25">
        <f>IF(ISNUMBER(U275),U275+IF(ISNUMBER(V275),V275,120),"")</f>
        <v/>
      </c>
      <c r="X275" s="22" t="n"/>
      <c r="Y275" s="23" t="n"/>
      <c r="Z275" s="22" t="n"/>
      <c r="AA275" s="23" t="n"/>
      <c r="AB275" s="24" t="n"/>
      <c r="AC275" s="26">
        <f>IF(ISNUMBER(AD275)=FALSE,"",IF(G275=AD275,"State license",IF(I275=AD275,"DEA registration",IF(K275=AD275,"State CSR",IF(M275=AD275,"Board certification",IF(Q275=AD275,"Malpractice",IF(S275=AD275,"Life support",IF(W275=AD275,"CAQH re-attestation",IF(Y275=AD275,"Privileges reappointment","Payer recredentialing")))))))))</f>
        <v/>
      </c>
      <c r="AD275" s="25">
        <f>IF(OR(AND(LEN(G275)&gt;0,ISNUMBER(G275)=FALSE),AND(LEN(I275)&gt;0,ISNUMBER(I275)=FALSE),AND(LEN(K275)&gt;0,ISNUMBER(K275)=FALSE),AND(LEN(M275)&gt;0,ISNUMBER(M275)=FALSE),AND(LEN(Q275)&gt;0,ISNUMBER(Q275)=FALSE),AND(LEN(S275)&gt;0,ISNUMBER(S275)=FALSE),AND(LEN(Y275)&gt;0,ISNUMBER(Y275)=FALSE),AND(LEN(AA275)&gt;0,ISNUMBER(AA275)=FALSE),AND(LEN(U275)&gt;0,ISNUMBER(U275)=FALSE)),"Check date",IF(COUNT(G275,I275,K275,M275,Q275,S275,W275,Y275,AA275)=0,"",MIN(G275,I275,K275,M275,Q275,S275,W275,Y275,AA275)))</f>
        <v/>
      </c>
      <c r="AE275" s="25">
        <f>IF(ISNUMBER(AD275),AD275-IF(ISNUMBER(AB275),AB275,30),"")</f>
        <v/>
      </c>
      <c r="AF275" s="27">
        <f>IF(AD275="","",IF(ISNUMBER(AD275),AD275-TODAY(),"Check date"))</f>
        <v/>
      </c>
      <c r="AG275" s="28">
        <f>IF(AF275="","",IF(ISNUMBER(AF275),IF(AF275&lt;0,"Expired",IF(AF275&lt;=30,"Due ≤30 days",IF(AF275&lt;=90,"Due ≤90 days","OK"))),"Check date"))</f>
        <v/>
      </c>
      <c r="AH275" s="22" t="n"/>
      <c r="AI275" s="22" t="n"/>
      <c r="AJ275" s="22" t="n"/>
      <c r="AK275" s="22" t="n"/>
    </row>
    <row r="276">
      <c r="A276" s="22" t="n"/>
      <c r="B276" s="22" t="n"/>
      <c r="C276" s="22" t="n"/>
      <c r="D276" s="22" t="n"/>
      <c r="E276" s="22" t="n"/>
      <c r="F276" s="22" t="n"/>
      <c r="G276" s="23" t="n"/>
      <c r="H276" s="22" t="n"/>
      <c r="I276" s="23" t="n"/>
      <c r="J276" s="22" t="n"/>
      <c r="K276" s="23" t="n"/>
      <c r="L276" s="22" t="n"/>
      <c r="M276" s="23" t="n"/>
      <c r="N276" s="22" t="n"/>
      <c r="O276" s="22" t="n"/>
      <c r="P276" s="22" t="n"/>
      <c r="Q276" s="23" t="n"/>
      <c r="R276" s="22" t="n"/>
      <c r="S276" s="23" t="n"/>
      <c r="T276" s="22" t="n"/>
      <c r="U276" s="23" t="n"/>
      <c r="V276" s="24" t="n"/>
      <c r="W276" s="25">
        <f>IF(ISNUMBER(U276),U276+IF(ISNUMBER(V276),V276,120),"")</f>
        <v/>
      </c>
      <c r="X276" s="22" t="n"/>
      <c r="Y276" s="23" t="n"/>
      <c r="Z276" s="22" t="n"/>
      <c r="AA276" s="23" t="n"/>
      <c r="AB276" s="24" t="n"/>
      <c r="AC276" s="26">
        <f>IF(ISNUMBER(AD276)=FALSE,"",IF(G276=AD276,"State license",IF(I276=AD276,"DEA registration",IF(K276=AD276,"State CSR",IF(M276=AD276,"Board certification",IF(Q276=AD276,"Malpractice",IF(S276=AD276,"Life support",IF(W276=AD276,"CAQH re-attestation",IF(Y276=AD276,"Privileges reappointment","Payer recredentialing")))))))))</f>
        <v/>
      </c>
      <c r="AD276" s="25">
        <f>IF(OR(AND(LEN(G276)&gt;0,ISNUMBER(G276)=FALSE),AND(LEN(I276)&gt;0,ISNUMBER(I276)=FALSE),AND(LEN(K276)&gt;0,ISNUMBER(K276)=FALSE),AND(LEN(M276)&gt;0,ISNUMBER(M276)=FALSE),AND(LEN(Q276)&gt;0,ISNUMBER(Q276)=FALSE),AND(LEN(S276)&gt;0,ISNUMBER(S276)=FALSE),AND(LEN(Y276)&gt;0,ISNUMBER(Y276)=FALSE),AND(LEN(AA276)&gt;0,ISNUMBER(AA276)=FALSE),AND(LEN(U276)&gt;0,ISNUMBER(U276)=FALSE)),"Check date",IF(COUNT(G276,I276,K276,M276,Q276,S276,W276,Y276,AA276)=0,"",MIN(G276,I276,K276,M276,Q276,S276,W276,Y276,AA276)))</f>
        <v/>
      </c>
      <c r="AE276" s="25">
        <f>IF(ISNUMBER(AD276),AD276-IF(ISNUMBER(AB276),AB276,30),"")</f>
        <v/>
      </c>
      <c r="AF276" s="27">
        <f>IF(AD276="","",IF(ISNUMBER(AD276),AD276-TODAY(),"Check date"))</f>
        <v/>
      </c>
      <c r="AG276" s="28">
        <f>IF(AF276="","",IF(ISNUMBER(AF276),IF(AF276&lt;0,"Expired",IF(AF276&lt;=30,"Due ≤30 days",IF(AF276&lt;=90,"Due ≤90 days","OK"))),"Check date"))</f>
        <v/>
      </c>
      <c r="AH276" s="22" t="n"/>
      <c r="AI276" s="22" t="n"/>
      <c r="AJ276" s="22" t="n"/>
      <c r="AK276" s="22" t="n"/>
    </row>
    <row r="277">
      <c r="A277" s="22" t="n"/>
      <c r="B277" s="22" t="n"/>
      <c r="C277" s="22" t="n"/>
      <c r="D277" s="22" t="n"/>
      <c r="E277" s="22" t="n"/>
      <c r="F277" s="22" t="n"/>
      <c r="G277" s="23" t="n"/>
      <c r="H277" s="22" t="n"/>
      <c r="I277" s="23" t="n"/>
      <c r="J277" s="22" t="n"/>
      <c r="K277" s="23" t="n"/>
      <c r="L277" s="22" t="n"/>
      <c r="M277" s="23" t="n"/>
      <c r="N277" s="22" t="n"/>
      <c r="O277" s="22" t="n"/>
      <c r="P277" s="22" t="n"/>
      <c r="Q277" s="23" t="n"/>
      <c r="R277" s="22" t="n"/>
      <c r="S277" s="23" t="n"/>
      <c r="T277" s="22" t="n"/>
      <c r="U277" s="23" t="n"/>
      <c r="V277" s="24" t="n"/>
      <c r="W277" s="25">
        <f>IF(ISNUMBER(U277),U277+IF(ISNUMBER(V277),V277,120),"")</f>
        <v/>
      </c>
      <c r="X277" s="22" t="n"/>
      <c r="Y277" s="23" t="n"/>
      <c r="Z277" s="22" t="n"/>
      <c r="AA277" s="23" t="n"/>
      <c r="AB277" s="24" t="n"/>
      <c r="AC277" s="26">
        <f>IF(ISNUMBER(AD277)=FALSE,"",IF(G277=AD277,"State license",IF(I277=AD277,"DEA registration",IF(K277=AD277,"State CSR",IF(M277=AD277,"Board certification",IF(Q277=AD277,"Malpractice",IF(S277=AD277,"Life support",IF(W277=AD277,"CAQH re-attestation",IF(Y277=AD277,"Privileges reappointment","Payer recredentialing")))))))))</f>
        <v/>
      </c>
      <c r="AD277" s="25">
        <f>IF(OR(AND(LEN(G277)&gt;0,ISNUMBER(G277)=FALSE),AND(LEN(I277)&gt;0,ISNUMBER(I277)=FALSE),AND(LEN(K277)&gt;0,ISNUMBER(K277)=FALSE),AND(LEN(M277)&gt;0,ISNUMBER(M277)=FALSE),AND(LEN(Q277)&gt;0,ISNUMBER(Q277)=FALSE),AND(LEN(S277)&gt;0,ISNUMBER(S277)=FALSE),AND(LEN(Y277)&gt;0,ISNUMBER(Y277)=FALSE),AND(LEN(AA277)&gt;0,ISNUMBER(AA277)=FALSE),AND(LEN(U277)&gt;0,ISNUMBER(U277)=FALSE)),"Check date",IF(COUNT(G277,I277,K277,M277,Q277,S277,W277,Y277,AA277)=0,"",MIN(G277,I277,K277,M277,Q277,S277,W277,Y277,AA277)))</f>
        <v/>
      </c>
      <c r="AE277" s="25">
        <f>IF(ISNUMBER(AD277),AD277-IF(ISNUMBER(AB277),AB277,30),"")</f>
        <v/>
      </c>
      <c r="AF277" s="27">
        <f>IF(AD277="","",IF(ISNUMBER(AD277),AD277-TODAY(),"Check date"))</f>
        <v/>
      </c>
      <c r="AG277" s="28">
        <f>IF(AF277="","",IF(ISNUMBER(AF277),IF(AF277&lt;0,"Expired",IF(AF277&lt;=30,"Due ≤30 days",IF(AF277&lt;=90,"Due ≤90 days","OK"))),"Check date"))</f>
        <v/>
      </c>
      <c r="AH277" s="22" t="n"/>
      <c r="AI277" s="22" t="n"/>
      <c r="AJ277" s="22" t="n"/>
      <c r="AK277" s="22" t="n"/>
    </row>
    <row r="278">
      <c r="A278" s="22" t="n"/>
      <c r="B278" s="22" t="n"/>
      <c r="C278" s="22" t="n"/>
      <c r="D278" s="22" t="n"/>
      <c r="E278" s="22" t="n"/>
      <c r="F278" s="22" t="n"/>
      <c r="G278" s="23" t="n"/>
      <c r="H278" s="22" t="n"/>
      <c r="I278" s="23" t="n"/>
      <c r="J278" s="22" t="n"/>
      <c r="K278" s="23" t="n"/>
      <c r="L278" s="22" t="n"/>
      <c r="M278" s="23" t="n"/>
      <c r="N278" s="22" t="n"/>
      <c r="O278" s="22" t="n"/>
      <c r="P278" s="22" t="n"/>
      <c r="Q278" s="23" t="n"/>
      <c r="R278" s="22" t="n"/>
      <c r="S278" s="23" t="n"/>
      <c r="T278" s="22" t="n"/>
      <c r="U278" s="23" t="n"/>
      <c r="V278" s="24" t="n"/>
      <c r="W278" s="25">
        <f>IF(ISNUMBER(U278),U278+IF(ISNUMBER(V278),V278,120),"")</f>
        <v/>
      </c>
      <c r="X278" s="22" t="n"/>
      <c r="Y278" s="23" t="n"/>
      <c r="Z278" s="22" t="n"/>
      <c r="AA278" s="23" t="n"/>
      <c r="AB278" s="24" t="n"/>
      <c r="AC278" s="26">
        <f>IF(ISNUMBER(AD278)=FALSE,"",IF(G278=AD278,"State license",IF(I278=AD278,"DEA registration",IF(K278=AD278,"State CSR",IF(M278=AD278,"Board certification",IF(Q278=AD278,"Malpractice",IF(S278=AD278,"Life support",IF(W278=AD278,"CAQH re-attestation",IF(Y278=AD278,"Privileges reappointment","Payer recredentialing")))))))))</f>
        <v/>
      </c>
      <c r="AD278" s="25">
        <f>IF(OR(AND(LEN(G278)&gt;0,ISNUMBER(G278)=FALSE),AND(LEN(I278)&gt;0,ISNUMBER(I278)=FALSE),AND(LEN(K278)&gt;0,ISNUMBER(K278)=FALSE),AND(LEN(M278)&gt;0,ISNUMBER(M278)=FALSE),AND(LEN(Q278)&gt;0,ISNUMBER(Q278)=FALSE),AND(LEN(S278)&gt;0,ISNUMBER(S278)=FALSE),AND(LEN(Y278)&gt;0,ISNUMBER(Y278)=FALSE),AND(LEN(AA278)&gt;0,ISNUMBER(AA278)=FALSE),AND(LEN(U278)&gt;0,ISNUMBER(U278)=FALSE)),"Check date",IF(COUNT(G278,I278,K278,M278,Q278,S278,W278,Y278,AA278)=0,"",MIN(G278,I278,K278,M278,Q278,S278,W278,Y278,AA278)))</f>
        <v/>
      </c>
      <c r="AE278" s="25">
        <f>IF(ISNUMBER(AD278),AD278-IF(ISNUMBER(AB278),AB278,30),"")</f>
        <v/>
      </c>
      <c r="AF278" s="27">
        <f>IF(AD278="","",IF(ISNUMBER(AD278),AD278-TODAY(),"Check date"))</f>
        <v/>
      </c>
      <c r="AG278" s="28">
        <f>IF(AF278="","",IF(ISNUMBER(AF278),IF(AF278&lt;0,"Expired",IF(AF278&lt;=30,"Due ≤30 days",IF(AF278&lt;=90,"Due ≤90 days","OK"))),"Check date"))</f>
        <v/>
      </c>
      <c r="AH278" s="22" t="n"/>
      <c r="AI278" s="22" t="n"/>
      <c r="AJ278" s="22" t="n"/>
      <c r="AK278" s="22" t="n"/>
    </row>
    <row r="279">
      <c r="A279" s="22" t="n"/>
      <c r="B279" s="22" t="n"/>
      <c r="C279" s="22" t="n"/>
      <c r="D279" s="22" t="n"/>
      <c r="E279" s="22" t="n"/>
      <c r="F279" s="22" t="n"/>
      <c r="G279" s="23" t="n"/>
      <c r="H279" s="22" t="n"/>
      <c r="I279" s="23" t="n"/>
      <c r="J279" s="22" t="n"/>
      <c r="K279" s="23" t="n"/>
      <c r="L279" s="22" t="n"/>
      <c r="M279" s="23" t="n"/>
      <c r="N279" s="22" t="n"/>
      <c r="O279" s="22" t="n"/>
      <c r="P279" s="22" t="n"/>
      <c r="Q279" s="23" t="n"/>
      <c r="R279" s="22" t="n"/>
      <c r="S279" s="23" t="n"/>
      <c r="T279" s="22" t="n"/>
      <c r="U279" s="23" t="n"/>
      <c r="V279" s="24" t="n"/>
      <c r="W279" s="25">
        <f>IF(ISNUMBER(U279),U279+IF(ISNUMBER(V279),V279,120),"")</f>
        <v/>
      </c>
      <c r="X279" s="22" t="n"/>
      <c r="Y279" s="23" t="n"/>
      <c r="Z279" s="22" t="n"/>
      <c r="AA279" s="23" t="n"/>
      <c r="AB279" s="24" t="n"/>
      <c r="AC279" s="26">
        <f>IF(ISNUMBER(AD279)=FALSE,"",IF(G279=AD279,"State license",IF(I279=AD279,"DEA registration",IF(K279=AD279,"State CSR",IF(M279=AD279,"Board certification",IF(Q279=AD279,"Malpractice",IF(S279=AD279,"Life support",IF(W279=AD279,"CAQH re-attestation",IF(Y279=AD279,"Privileges reappointment","Payer recredentialing")))))))))</f>
        <v/>
      </c>
      <c r="AD279" s="25">
        <f>IF(OR(AND(LEN(G279)&gt;0,ISNUMBER(G279)=FALSE),AND(LEN(I279)&gt;0,ISNUMBER(I279)=FALSE),AND(LEN(K279)&gt;0,ISNUMBER(K279)=FALSE),AND(LEN(M279)&gt;0,ISNUMBER(M279)=FALSE),AND(LEN(Q279)&gt;0,ISNUMBER(Q279)=FALSE),AND(LEN(S279)&gt;0,ISNUMBER(S279)=FALSE),AND(LEN(Y279)&gt;0,ISNUMBER(Y279)=FALSE),AND(LEN(AA279)&gt;0,ISNUMBER(AA279)=FALSE),AND(LEN(U279)&gt;0,ISNUMBER(U279)=FALSE)),"Check date",IF(COUNT(G279,I279,K279,M279,Q279,S279,W279,Y279,AA279)=0,"",MIN(G279,I279,K279,M279,Q279,S279,W279,Y279,AA279)))</f>
        <v/>
      </c>
      <c r="AE279" s="25">
        <f>IF(ISNUMBER(AD279),AD279-IF(ISNUMBER(AB279),AB279,30),"")</f>
        <v/>
      </c>
      <c r="AF279" s="27">
        <f>IF(AD279="","",IF(ISNUMBER(AD279),AD279-TODAY(),"Check date"))</f>
        <v/>
      </c>
      <c r="AG279" s="28">
        <f>IF(AF279="","",IF(ISNUMBER(AF279),IF(AF279&lt;0,"Expired",IF(AF279&lt;=30,"Due ≤30 days",IF(AF279&lt;=90,"Due ≤90 days","OK"))),"Check date"))</f>
        <v/>
      </c>
      <c r="AH279" s="22" t="n"/>
      <c r="AI279" s="22" t="n"/>
      <c r="AJ279" s="22" t="n"/>
      <c r="AK279" s="22" t="n"/>
    </row>
    <row r="280">
      <c r="A280" s="22" t="n"/>
      <c r="B280" s="22" t="n"/>
      <c r="C280" s="22" t="n"/>
      <c r="D280" s="22" t="n"/>
      <c r="E280" s="22" t="n"/>
      <c r="F280" s="22" t="n"/>
      <c r="G280" s="23" t="n"/>
      <c r="H280" s="22" t="n"/>
      <c r="I280" s="23" t="n"/>
      <c r="J280" s="22" t="n"/>
      <c r="K280" s="23" t="n"/>
      <c r="L280" s="22" t="n"/>
      <c r="M280" s="23" t="n"/>
      <c r="N280" s="22" t="n"/>
      <c r="O280" s="22" t="n"/>
      <c r="P280" s="22" t="n"/>
      <c r="Q280" s="23" t="n"/>
      <c r="R280" s="22" t="n"/>
      <c r="S280" s="23" t="n"/>
      <c r="T280" s="22" t="n"/>
      <c r="U280" s="23" t="n"/>
      <c r="V280" s="24" t="n"/>
      <c r="W280" s="25">
        <f>IF(ISNUMBER(U280),U280+IF(ISNUMBER(V280),V280,120),"")</f>
        <v/>
      </c>
      <c r="X280" s="22" t="n"/>
      <c r="Y280" s="23" t="n"/>
      <c r="Z280" s="22" t="n"/>
      <c r="AA280" s="23" t="n"/>
      <c r="AB280" s="24" t="n"/>
      <c r="AC280" s="26">
        <f>IF(ISNUMBER(AD280)=FALSE,"",IF(G280=AD280,"State license",IF(I280=AD280,"DEA registration",IF(K280=AD280,"State CSR",IF(M280=AD280,"Board certification",IF(Q280=AD280,"Malpractice",IF(S280=AD280,"Life support",IF(W280=AD280,"CAQH re-attestation",IF(Y280=AD280,"Privileges reappointment","Payer recredentialing")))))))))</f>
        <v/>
      </c>
      <c r="AD280" s="25">
        <f>IF(OR(AND(LEN(G280)&gt;0,ISNUMBER(G280)=FALSE),AND(LEN(I280)&gt;0,ISNUMBER(I280)=FALSE),AND(LEN(K280)&gt;0,ISNUMBER(K280)=FALSE),AND(LEN(M280)&gt;0,ISNUMBER(M280)=FALSE),AND(LEN(Q280)&gt;0,ISNUMBER(Q280)=FALSE),AND(LEN(S280)&gt;0,ISNUMBER(S280)=FALSE),AND(LEN(Y280)&gt;0,ISNUMBER(Y280)=FALSE),AND(LEN(AA280)&gt;0,ISNUMBER(AA280)=FALSE),AND(LEN(U280)&gt;0,ISNUMBER(U280)=FALSE)),"Check date",IF(COUNT(G280,I280,K280,M280,Q280,S280,W280,Y280,AA280)=0,"",MIN(G280,I280,K280,M280,Q280,S280,W280,Y280,AA280)))</f>
        <v/>
      </c>
      <c r="AE280" s="25">
        <f>IF(ISNUMBER(AD280),AD280-IF(ISNUMBER(AB280),AB280,30),"")</f>
        <v/>
      </c>
      <c r="AF280" s="27">
        <f>IF(AD280="","",IF(ISNUMBER(AD280),AD280-TODAY(),"Check date"))</f>
        <v/>
      </c>
      <c r="AG280" s="28">
        <f>IF(AF280="","",IF(ISNUMBER(AF280),IF(AF280&lt;0,"Expired",IF(AF280&lt;=30,"Due ≤30 days",IF(AF280&lt;=90,"Due ≤90 days","OK"))),"Check date"))</f>
        <v/>
      </c>
      <c r="AH280" s="22" t="n"/>
      <c r="AI280" s="22" t="n"/>
      <c r="AJ280" s="22" t="n"/>
      <c r="AK280" s="22" t="n"/>
    </row>
    <row r="281">
      <c r="A281" s="22" t="n"/>
      <c r="B281" s="22" t="n"/>
      <c r="C281" s="22" t="n"/>
      <c r="D281" s="22" t="n"/>
      <c r="E281" s="22" t="n"/>
      <c r="F281" s="22" t="n"/>
      <c r="G281" s="23" t="n"/>
      <c r="H281" s="22" t="n"/>
      <c r="I281" s="23" t="n"/>
      <c r="J281" s="22" t="n"/>
      <c r="K281" s="23" t="n"/>
      <c r="L281" s="22" t="n"/>
      <c r="M281" s="23" t="n"/>
      <c r="N281" s="22" t="n"/>
      <c r="O281" s="22" t="n"/>
      <c r="P281" s="22" t="n"/>
      <c r="Q281" s="23" t="n"/>
      <c r="R281" s="22" t="n"/>
      <c r="S281" s="23" t="n"/>
      <c r="T281" s="22" t="n"/>
      <c r="U281" s="23" t="n"/>
      <c r="V281" s="24" t="n"/>
      <c r="W281" s="25">
        <f>IF(ISNUMBER(U281),U281+IF(ISNUMBER(V281),V281,120),"")</f>
        <v/>
      </c>
      <c r="X281" s="22" t="n"/>
      <c r="Y281" s="23" t="n"/>
      <c r="Z281" s="22" t="n"/>
      <c r="AA281" s="23" t="n"/>
      <c r="AB281" s="24" t="n"/>
      <c r="AC281" s="26">
        <f>IF(ISNUMBER(AD281)=FALSE,"",IF(G281=AD281,"State license",IF(I281=AD281,"DEA registration",IF(K281=AD281,"State CSR",IF(M281=AD281,"Board certification",IF(Q281=AD281,"Malpractice",IF(S281=AD281,"Life support",IF(W281=AD281,"CAQH re-attestation",IF(Y281=AD281,"Privileges reappointment","Payer recredentialing")))))))))</f>
        <v/>
      </c>
      <c r="AD281" s="25">
        <f>IF(OR(AND(LEN(G281)&gt;0,ISNUMBER(G281)=FALSE),AND(LEN(I281)&gt;0,ISNUMBER(I281)=FALSE),AND(LEN(K281)&gt;0,ISNUMBER(K281)=FALSE),AND(LEN(M281)&gt;0,ISNUMBER(M281)=FALSE),AND(LEN(Q281)&gt;0,ISNUMBER(Q281)=FALSE),AND(LEN(S281)&gt;0,ISNUMBER(S281)=FALSE),AND(LEN(Y281)&gt;0,ISNUMBER(Y281)=FALSE),AND(LEN(AA281)&gt;0,ISNUMBER(AA281)=FALSE),AND(LEN(U281)&gt;0,ISNUMBER(U281)=FALSE)),"Check date",IF(COUNT(G281,I281,K281,M281,Q281,S281,W281,Y281,AA281)=0,"",MIN(G281,I281,K281,M281,Q281,S281,W281,Y281,AA281)))</f>
        <v/>
      </c>
      <c r="AE281" s="25">
        <f>IF(ISNUMBER(AD281),AD281-IF(ISNUMBER(AB281),AB281,30),"")</f>
        <v/>
      </c>
      <c r="AF281" s="27">
        <f>IF(AD281="","",IF(ISNUMBER(AD281),AD281-TODAY(),"Check date"))</f>
        <v/>
      </c>
      <c r="AG281" s="28">
        <f>IF(AF281="","",IF(ISNUMBER(AF281),IF(AF281&lt;0,"Expired",IF(AF281&lt;=30,"Due ≤30 days",IF(AF281&lt;=90,"Due ≤90 days","OK"))),"Check date"))</f>
        <v/>
      </c>
      <c r="AH281" s="22" t="n"/>
      <c r="AI281" s="22" t="n"/>
      <c r="AJ281" s="22" t="n"/>
      <c r="AK281" s="22" t="n"/>
    </row>
    <row r="282">
      <c r="A282" s="22" t="n"/>
      <c r="B282" s="22" t="n"/>
      <c r="C282" s="22" t="n"/>
      <c r="D282" s="22" t="n"/>
      <c r="E282" s="22" t="n"/>
      <c r="F282" s="22" t="n"/>
      <c r="G282" s="23" t="n"/>
      <c r="H282" s="22" t="n"/>
      <c r="I282" s="23" t="n"/>
      <c r="J282" s="22" t="n"/>
      <c r="K282" s="23" t="n"/>
      <c r="L282" s="22" t="n"/>
      <c r="M282" s="23" t="n"/>
      <c r="N282" s="22" t="n"/>
      <c r="O282" s="22" t="n"/>
      <c r="P282" s="22" t="n"/>
      <c r="Q282" s="23" t="n"/>
      <c r="R282" s="22" t="n"/>
      <c r="S282" s="23" t="n"/>
      <c r="T282" s="22" t="n"/>
      <c r="U282" s="23" t="n"/>
      <c r="V282" s="24" t="n"/>
      <c r="W282" s="25">
        <f>IF(ISNUMBER(U282),U282+IF(ISNUMBER(V282),V282,120),"")</f>
        <v/>
      </c>
      <c r="X282" s="22" t="n"/>
      <c r="Y282" s="23" t="n"/>
      <c r="Z282" s="22" t="n"/>
      <c r="AA282" s="23" t="n"/>
      <c r="AB282" s="24" t="n"/>
      <c r="AC282" s="26">
        <f>IF(ISNUMBER(AD282)=FALSE,"",IF(G282=AD282,"State license",IF(I282=AD282,"DEA registration",IF(K282=AD282,"State CSR",IF(M282=AD282,"Board certification",IF(Q282=AD282,"Malpractice",IF(S282=AD282,"Life support",IF(W282=AD282,"CAQH re-attestation",IF(Y282=AD282,"Privileges reappointment","Payer recredentialing")))))))))</f>
        <v/>
      </c>
      <c r="AD282" s="25">
        <f>IF(OR(AND(LEN(G282)&gt;0,ISNUMBER(G282)=FALSE),AND(LEN(I282)&gt;0,ISNUMBER(I282)=FALSE),AND(LEN(K282)&gt;0,ISNUMBER(K282)=FALSE),AND(LEN(M282)&gt;0,ISNUMBER(M282)=FALSE),AND(LEN(Q282)&gt;0,ISNUMBER(Q282)=FALSE),AND(LEN(S282)&gt;0,ISNUMBER(S282)=FALSE),AND(LEN(Y282)&gt;0,ISNUMBER(Y282)=FALSE),AND(LEN(AA282)&gt;0,ISNUMBER(AA282)=FALSE),AND(LEN(U282)&gt;0,ISNUMBER(U282)=FALSE)),"Check date",IF(COUNT(G282,I282,K282,M282,Q282,S282,W282,Y282,AA282)=0,"",MIN(G282,I282,K282,M282,Q282,S282,W282,Y282,AA282)))</f>
        <v/>
      </c>
      <c r="AE282" s="25">
        <f>IF(ISNUMBER(AD282),AD282-IF(ISNUMBER(AB282),AB282,30),"")</f>
        <v/>
      </c>
      <c r="AF282" s="27">
        <f>IF(AD282="","",IF(ISNUMBER(AD282),AD282-TODAY(),"Check date"))</f>
        <v/>
      </c>
      <c r="AG282" s="28">
        <f>IF(AF282="","",IF(ISNUMBER(AF282),IF(AF282&lt;0,"Expired",IF(AF282&lt;=30,"Due ≤30 days",IF(AF282&lt;=90,"Due ≤90 days","OK"))),"Check date"))</f>
        <v/>
      </c>
      <c r="AH282" s="22" t="n"/>
      <c r="AI282" s="22" t="n"/>
      <c r="AJ282" s="22" t="n"/>
      <c r="AK282" s="22" t="n"/>
    </row>
    <row r="283">
      <c r="A283" s="22" t="n"/>
      <c r="B283" s="22" t="n"/>
      <c r="C283" s="22" t="n"/>
      <c r="D283" s="22" t="n"/>
      <c r="E283" s="22" t="n"/>
      <c r="F283" s="22" t="n"/>
      <c r="G283" s="23" t="n"/>
      <c r="H283" s="22" t="n"/>
      <c r="I283" s="23" t="n"/>
      <c r="J283" s="22" t="n"/>
      <c r="K283" s="23" t="n"/>
      <c r="L283" s="22" t="n"/>
      <c r="M283" s="23" t="n"/>
      <c r="N283" s="22" t="n"/>
      <c r="O283" s="22" t="n"/>
      <c r="P283" s="22" t="n"/>
      <c r="Q283" s="23" t="n"/>
      <c r="R283" s="22" t="n"/>
      <c r="S283" s="23" t="n"/>
      <c r="T283" s="22" t="n"/>
      <c r="U283" s="23" t="n"/>
      <c r="V283" s="24" t="n"/>
      <c r="W283" s="25">
        <f>IF(ISNUMBER(U283),U283+IF(ISNUMBER(V283),V283,120),"")</f>
        <v/>
      </c>
      <c r="X283" s="22" t="n"/>
      <c r="Y283" s="23" t="n"/>
      <c r="Z283" s="22" t="n"/>
      <c r="AA283" s="23" t="n"/>
      <c r="AB283" s="24" t="n"/>
      <c r="AC283" s="26">
        <f>IF(ISNUMBER(AD283)=FALSE,"",IF(G283=AD283,"State license",IF(I283=AD283,"DEA registration",IF(K283=AD283,"State CSR",IF(M283=AD283,"Board certification",IF(Q283=AD283,"Malpractice",IF(S283=AD283,"Life support",IF(W283=AD283,"CAQH re-attestation",IF(Y283=AD283,"Privileges reappointment","Payer recredentialing")))))))))</f>
        <v/>
      </c>
      <c r="AD283" s="25">
        <f>IF(OR(AND(LEN(G283)&gt;0,ISNUMBER(G283)=FALSE),AND(LEN(I283)&gt;0,ISNUMBER(I283)=FALSE),AND(LEN(K283)&gt;0,ISNUMBER(K283)=FALSE),AND(LEN(M283)&gt;0,ISNUMBER(M283)=FALSE),AND(LEN(Q283)&gt;0,ISNUMBER(Q283)=FALSE),AND(LEN(S283)&gt;0,ISNUMBER(S283)=FALSE),AND(LEN(Y283)&gt;0,ISNUMBER(Y283)=FALSE),AND(LEN(AA283)&gt;0,ISNUMBER(AA283)=FALSE),AND(LEN(U283)&gt;0,ISNUMBER(U283)=FALSE)),"Check date",IF(COUNT(G283,I283,K283,M283,Q283,S283,W283,Y283,AA283)=0,"",MIN(G283,I283,K283,M283,Q283,S283,W283,Y283,AA283)))</f>
        <v/>
      </c>
      <c r="AE283" s="25">
        <f>IF(ISNUMBER(AD283),AD283-IF(ISNUMBER(AB283),AB283,30),"")</f>
        <v/>
      </c>
      <c r="AF283" s="27">
        <f>IF(AD283="","",IF(ISNUMBER(AD283),AD283-TODAY(),"Check date"))</f>
        <v/>
      </c>
      <c r="AG283" s="28">
        <f>IF(AF283="","",IF(ISNUMBER(AF283),IF(AF283&lt;0,"Expired",IF(AF283&lt;=30,"Due ≤30 days",IF(AF283&lt;=90,"Due ≤90 days","OK"))),"Check date"))</f>
        <v/>
      </c>
      <c r="AH283" s="22" t="n"/>
      <c r="AI283" s="22" t="n"/>
      <c r="AJ283" s="22" t="n"/>
      <c r="AK283" s="22" t="n"/>
    </row>
    <row r="284">
      <c r="A284" s="22" t="n"/>
      <c r="B284" s="22" t="n"/>
      <c r="C284" s="22" t="n"/>
      <c r="D284" s="22" t="n"/>
      <c r="E284" s="22" t="n"/>
      <c r="F284" s="22" t="n"/>
      <c r="G284" s="23" t="n"/>
      <c r="H284" s="22" t="n"/>
      <c r="I284" s="23" t="n"/>
      <c r="J284" s="22" t="n"/>
      <c r="K284" s="23" t="n"/>
      <c r="L284" s="22" t="n"/>
      <c r="M284" s="23" t="n"/>
      <c r="N284" s="22" t="n"/>
      <c r="O284" s="22" t="n"/>
      <c r="P284" s="22" t="n"/>
      <c r="Q284" s="23" t="n"/>
      <c r="R284" s="22" t="n"/>
      <c r="S284" s="23" t="n"/>
      <c r="T284" s="22" t="n"/>
      <c r="U284" s="23" t="n"/>
      <c r="V284" s="24" t="n"/>
      <c r="W284" s="25">
        <f>IF(ISNUMBER(U284),U284+IF(ISNUMBER(V284),V284,120),"")</f>
        <v/>
      </c>
      <c r="X284" s="22" t="n"/>
      <c r="Y284" s="23" t="n"/>
      <c r="Z284" s="22" t="n"/>
      <c r="AA284" s="23" t="n"/>
      <c r="AB284" s="24" t="n"/>
      <c r="AC284" s="26">
        <f>IF(ISNUMBER(AD284)=FALSE,"",IF(G284=AD284,"State license",IF(I284=AD284,"DEA registration",IF(K284=AD284,"State CSR",IF(M284=AD284,"Board certification",IF(Q284=AD284,"Malpractice",IF(S284=AD284,"Life support",IF(W284=AD284,"CAQH re-attestation",IF(Y284=AD284,"Privileges reappointment","Payer recredentialing")))))))))</f>
        <v/>
      </c>
      <c r="AD284" s="25">
        <f>IF(OR(AND(LEN(G284)&gt;0,ISNUMBER(G284)=FALSE),AND(LEN(I284)&gt;0,ISNUMBER(I284)=FALSE),AND(LEN(K284)&gt;0,ISNUMBER(K284)=FALSE),AND(LEN(M284)&gt;0,ISNUMBER(M284)=FALSE),AND(LEN(Q284)&gt;0,ISNUMBER(Q284)=FALSE),AND(LEN(S284)&gt;0,ISNUMBER(S284)=FALSE),AND(LEN(Y284)&gt;0,ISNUMBER(Y284)=FALSE),AND(LEN(AA284)&gt;0,ISNUMBER(AA284)=FALSE),AND(LEN(U284)&gt;0,ISNUMBER(U284)=FALSE)),"Check date",IF(COUNT(G284,I284,K284,M284,Q284,S284,W284,Y284,AA284)=0,"",MIN(G284,I284,K284,M284,Q284,S284,W284,Y284,AA284)))</f>
        <v/>
      </c>
      <c r="AE284" s="25">
        <f>IF(ISNUMBER(AD284),AD284-IF(ISNUMBER(AB284),AB284,30),"")</f>
        <v/>
      </c>
      <c r="AF284" s="27">
        <f>IF(AD284="","",IF(ISNUMBER(AD284),AD284-TODAY(),"Check date"))</f>
        <v/>
      </c>
      <c r="AG284" s="28">
        <f>IF(AF284="","",IF(ISNUMBER(AF284),IF(AF284&lt;0,"Expired",IF(AF284&lt;=30,"Due ≤30 days",IF(AF284&lt;=90,"Due ≤90 days","OK"))),"Check date"))</f>
        <v/>
      </c>
      <c r="AH284" s="22" t="n"/>
      <c r="AI284" s="22" t="n"/>
      <c r="AJ284" s="22" t="n"/>
      <c r="AK284" s="22" t="n"/>
    </row>
    <row r="285">
      <c r="A285" s="22" t="n"/>
      <c r="B285" s="22" t="n"/>
      <c r="C285" s="22" t="n"/>
      <c r="D285" s="22" t="n"/>
      <c r="E285" s="22" t="n"/>
      <c r="F285" s="22" t="n"/>
      <c r="G285" s="23" t="n"/>
      <c r="H285" s="22" t="n"/>
      <c r="I285" s="23" t="n"/>
      <c r="J285" s="22" t="n"/>
      <c r="K285" s="23" t="n"/>
      <c r="L285" s="22" t="n"/>
      <c r="M285" s="23" t="n"/>
      <c r="N285" s="22" t="n"/>
      <c r="O285" s="22" t="n"/>
      <c r="P285" s="22" t="n"/>
      <c r="Q285" s="23" t="n"/>
      <c r="R285" s="22" t="n"/>
      <c r="S285" s="23" t="n"/>
      <c r="T285" s="22" t="n"/>
      <c r="U285" s="23" t="n"/>
      <c r="V285" s="24" t="n"/>
      <c r="W285" s="25">
        <f>IF(ISNUMBER(U285),U285+IF(ISNUMBER(V285),V285,120),"")</f>
        <v/>
      </c>
      <c r="X285" s="22" t="n"/>
      <c r="Y285" s="23" t="n"/>
      <c r="Z285" s="22" t="n"/>
      <c r="AA285" s="23" t="n"/>
      <c r="AB285" s="24" t="n"/>
      <c r="AC285" s="26">
        <f>IF(ISNUMBER(AD285)=FALSE,"",IF(G285=AD285,"State license",IF(I285=AD285,"DEA registration",IF(K285=AD285,"State CSR",IF(M285=AD285,"Board certification",IF(Q285=AD285,"Malpractice",IF(S285=AD285,"Life support",IF(W285=AD285,"CAQH re-attestation",IF(Y285=AD285,"Privileges reappointment","Payer recredentialing")))))))))</f>
        <v/>
      </c>
      <c r="AD285" s="25">
        <f>IF(OR(AND(LEN(G285)&gt;0,ISNUMBER(G285)=FALSE),AND(LEN(I285)&gt;0,ISNUMBER(I285)=FALSE),AND(LEN(K285)&gt;0,ISNUMBER(K285)=FALSE),AND(LEN(M285)&gt;0,ISNUMBER(M285)=FALSE),AND(LEN(Q285)&gt;0,ISNUMBER(Q285)=FALSE),AND(LEN(S285)&gt;0,ISNUMBER(S285)=FALSE),AND(LEN(Y285)&gt;0,ISNUMBER(Y285)=FALSE),AND(LEN(AA285)&gt;0,ISNUMBER(AA285)=FALSE),AND(LEN(U285)&gt;0,ISNUMBER(U285)=FALSE)),"Check date",IF(COUNT(G285,I285,K285,M285,Q285,S285,W285,Y285,AA285)=0,"",MIN(G285,I285,K285,M285,Q285,S285,W285,Y285,AA285)))</f>
        <v/>
      </c>
      <c r="AE285" s="25">
        <f>IF(ISNUMBER(AD285),AD285-IF(ISNUMBER(AB285),AB285,30),"")</f>
        <v/>
      </c>
      <c r="AF285" s="27">
        <f>IF(AD285="","",IF(ISNUMBER(AD285),AD285-TODAY(),"Check date"))</f>
        <v/>
      </c>
      <c r="AG285" s="28">
        <f>IF(AF285="","",IF(ISNUMBER(AF285),IF(AF285&lt;0,"Expired",IF(AF285&lt;=30,"Due ≤30 days",IF(AF285&lt;=90,"Due ≤90 days","OK"))),"Check date"))</f>
        <v/>
      </c>
      <c r="AH285" s="22" t="n"/>
      <c r="AI285" s="22" t="n"/>
      <c r="AJ285" s="22" t="n"/>
      <c r="AK285" s="22" t="n"/>
    </row>
    <row r="286">
      <c r="A286" s="22" t="n"/>
      <c r="B286" s="22" t="n"/>
      <c r="C286" s="22" t="n"/>
      <c r="D286" s="22" t="n"/>
      <c r="E286" s="22" t="n"/>
      <c r="F286" s="22" t="n"/>
      <c r="G286" s="23" t="n"/>
      <c r="H286" s="22" t="n"/>
      <c r="I286" s="23" t="n"/>
      <c r="J286" s="22" t="n"/>
      <c r="K286" s="23" t="n"/>
      <c r="L286" s="22" t="n"/>
      <c r="M286" s="23" t="n"/>
      <c r="N286" s="22" t="n"/>
      <c r="O286" s="22" t="n"/>
      <c r="P286" s="22" t="n"/>
      <c r="Q286" s="23" t="n"/>
      <c r="R286" s="22" t="n"/>
      <c r="S286" s="23" t="n"/>
      <c r="T286" s="22" t="n"/>
      <c r="U286" s="23" t="n"/>
      <c r="V286" s="24" t="n"/>
      <c r="W286" s="25">
        <f>IF(ISNUMBER(U286),U286+IF(ISNUMBER(V286),V286,120),"")</f>
        <v/>
      </c>
      <c r="X286" s="22" t="n"/>
      <c r="Y286" s="23" t="n"/>
      <c r="Z286" s="22" t="n"/>
      <c r="AA286" s="23" t="n"/>
      <c r="AB286" s="24" t="n"/>
      <c r="AC286" s="26">
        <f>IF(ISNUMBER(AD286)=FALSE,"",IF(G286=AD286,"State license",IF(I286=AD286,"DEA registration",IF(K286=AD286,"State CSR",IF(M286=AD286,"Board certification",IF(Q286=AD286,"Malpractice",IF(S286=AD286,"Life support",IF(W286=AD286,"CAQH re-attestation",IF(Y286=AD286,"Privileges reappointment","Payer recredentialing")))))))))</f>
        <v/>
      </c>
      <c r="AD286" s="25">
        <f>IF(OR(AND(LEN(G286)&gt;0,ISNUMBER(G286)=FALSE),AND(LEN(I286)&gt;0,ISNUMBER(I286)=FALSE),AND(LEN(K286)&gt;0,ISNUMBER(K286)=FALSE),AND(LEN(M286)&gt;0,ISNUMBER(M286)=FALSE),AND(LEN(Q286)&gt;0,ISNUMBER(Q286)=FALSE),AND(LEN(S286)&gt;0,ISNUMBER(S286)=FALSE),AND(LEN(Y286)&gt;0,ISNUMBER(Y286)=FALSE),AND(LEN(AA286)&gt;0,ISNUMBER(AA286)=FALSE),AND(LEN(U286)&gt;0,ISNUMBER(U286)=FALSE)),"Check date",IF(COUNT(G286,I286,K286,M286,Q286,S286,W286,Y286,AA286)=0,"",MIN(G286,I286,K286,M286,Q286,S286,W286,Y286,AA286)))</f>
        <v/>
      </c>
      <c r="AE286" s="25">
        <f>IF(ISNUMBER(AD286),AD286-IF(ISNUMBER(AB286),AB286,30),"")</f>
        <v/>
      </c>
      <c r="AF286" s="27">
        <f>IF(AD286="","",IF(ISNUMBER(AD286),AD286-TODAY(),"Check date"))</f>
        <v/>
      </c>
      <c r="AG286" s="28">
        <f>IF(AF286="","",IF(ISNUMBER(AF286),IF(AF286&lt;0,"Expired",IF(AF286&lt;=30,"Due ≤30 days",IF(AF286&lt;=90,"Due ≤90 days","OK"))),"Check date"))</f>
        <v/>
      </c>
      <c r="AH286" s="22" t="n"/>
      <c r="AI286" s="22" t="n"/>
      <c r="AJ286" s="22" t="n"/>
      <c r="AK286" s="22" t="n"/>
    </row>
    <row r="287">
      <c r="A287" s="22" t="n"/>
      <c r="B287" s="22" t="n"/>
      <c r="C287" s="22" t="n"/>
      <c r="D287" s="22" t="n"/>
      <c r="E287" s="22" t="n"/>
      <c r="F287" s="22" t="n"/>
      <c r="G287" s="23" t="n"/>
      <c r="H287" s="22" t="n"/>
      <c r="I287" s="23" t="n"/>
      <c r="J287" s="22" t="n"/>
      <c r="K287" s="23" t="n"/>
      <c r="L287" s="22" t="n"/>
      <c r="M287" s="23" t="n"/>
      <c r="N287" s="22" t="n"/>
      <c r="O287" s="22" t="n"/>
      <c r="P287" s="22" t="n"/>
      <c r="Q287" s="23" t="n"/>
      <c r="R287" s="22" t="n"/>
      <c r="S287" s="23" t="n"/>
      <c r="T287" s="22" t="n"/>
      <c r="U287" s="23" t="n"/>
      <c r="V287" s="24" t="n"/>
      <c r="W287" s="25">
        <f>IF(ISNUMBER(U287),U287+IF(ISNUMBER(V287),V287,120),"")</f>
        <v/>
      </c>
      <c r="X287" s="22" t="n"/>
      <c r="Y287" s="23" t="n"/>
      <c r="Z287" s="22" t="n"/>
      <c r="AA287" s="23" t="n"/>
      <c r="AB287" s="24" t="n"/>
      <c r="AC287" s="26">
        <f>IF(ISNUMBER(AD287)=FALSE,"",IF(G287=AD287,"State license",IF(I287=AD287,"DEA registration",IF(K287=AD287,"State CSR",IF(M287=AD287,"Board certification",IF(Q287=AD287,"Malpractice",IF(S287=AD287,"Life support",IF(W287=AD287,"CAQH re-attestation",IF(Y287=AD287,"Privileges reappointment","Payer recredentialing")))))))))</f>
        <v/>
      </c>
      <c r="AD287" s="25">
        <f>IF(OR(AND(LEN(G287)&gt;0,ISNUMBER(G287)=FALSE),AND(LEN(I287)&gt;0,ISNUMBER(I287)=FALSE),AND(LEN(K287)&gt;0,ISNUMBER(K287)=FALSE),AND(LEN(M287)&gt;0,ISNUMBER(M287)=FALSE),AND(LEN(Q287)&gt;0,ISNUMBER(Q287)=FALSE),AND(LEN(S287)&gt;0,ISNUMBER(S287)=FALSE),AND(LEN(Y287)&gt;0,ISNUMBER(Y287)=FALSE),AND(LEN(AA287)&gt;0,ISNUMBER(AA287)=FALSE),AND(LEN(U287)&gt;0,ISNUMBER(U287)=FALSE)),"Check date",IF(COUNT(G287,I287,K287,M287,Q287,S287,W287,Y287,AA287)=0,"",MIN(G287,I287,K287,M287,Q287,S287,W287,Y287,AA287)))</f>
        <v/>
      </c>
      <c r="AE287" s="25">
        <f>IF(ISNUMBER(AD287),AD287-IF(ISNUMBER(AB287),AB287,30),"")</f>
        <v/>
      </c>
      <c r="AF287" s="27">
        <f>IF(AD287="","",IF(ISNUMBER(AD287),AD287-TODAY(),"Check date"))</f>
        <v/>
      </c>
      <c r="AG287" s="28">
        <f>IF(AF287="","",IF(ISNUMBER(AF287),IF(AF287&lt;0,"Expired",IF(AF287&lt;=30,"Due ≤30 days",IF(AF287&lt;=90,"Due ≤90 days","OK"))),"Check date"))</f>
        <v/>
      </c>
      <c r="AH287" s="22" t="n"/>
      <c r="AI287" s="22" t="n"/>
      <c r="AJ287" s="22" t="n"/>
      <c r="AK287" s="22" t="n"/>
    </row>
    <row r="288">
      <c r="A288" s="22" t="n"/>
      <c r="B288" s="22" t="n"/>
      <c r="C288" s="22" t="n"/>
      <c r="D288" s="22" t="n"/>
      <c r="E288" s="22" t="n"/>
      <c r="F288" s="22" t="n"/>
      <c r="G288" s="23" t="n"/>
      <c r="H288" s="22" t="n"/>
      <c r="I288" s="23" t="n"/>
      <c r="J288" s="22" t="n"/>
      <c r="K288" s="23" t="n"/>
      <c r="L288" s="22" t="n"/>
      <c r="M288" s="23" t="n"/>
      <c r="N288" s="22" t="n"/>
      <c r="O288" s="22" t="n"/>
      <c r="P288" s="22" t="n"/>
      <c r="Q288" s="23" t="n"/>
      <c r="R288" s="22" t="n"/>
      <c r="S288" s="23" t="n"/>
      <c r="T288" s="22" t="n"/>
      <c r="U288" s="23" t="n"/>
      <c r="V288" s="24" t="n"/>
      <c r="W288" s="25">
        <f>IF(ISNUMBER(U288),U288+IF(ISNUMBER(V288),V288,120),"")</f>
        <v/>
      </c>
      <c r="X288" s="22" t="n"/>
      <c r="Y288" s="23" t="n"/>
      <c r="Z288" s="22" t="n"/>
      <c r="AA288" s="23" t="n"/>
      <c r="AB288" s="24" t="n"/>
      <c r="AC288" s="26">
        <f>IF(ISNUMBER(AD288)=FALSE,"",IF(G288=AD288,"State license",IF(I288=AD288,"DEA registration",IF(K288=AD288,"State CSR",IF(M288=AD288,"Board certification",IF(Q288=AD288,"Malpractice",IF(S288=AD288,"Life support",IF(W288=AD288,"CAQH re-attestation",IF(Y288=AD288,"Privileges reappointment","Payer recredentialing")))))))))</f>
        <v/>
      </c>
      <c r="AD288" s="25">
        <f>IF(OR(AND(LEN(G288)&gt;0,ISNUMBER(G288)=FALSE),AND(LEN(I288)&gt;0,ISNUMBER(I288)=FALSE),AND(LEN(K288)&gt;0,ISNUMBER(K288)=FALSE),AND(LEN(M288)&gt;0,ISNUMBER(M288)=FALSE),AND(LEN(Q288)&gt;0,ISNUMBER(Q288)=FALSE),AND(LEN(S288)&gt;0,ISNUMBER(S288)=FALSE),AND(LEN(Y288)&gt;0,ISNUMBER(Y288)=FALSE),AND(LEN(AA288)&gt;0,ISNUMBER(AA288)=FALSE),AND(LEN(U288)&gt;0,ISNUMBER(U288)=FALSE)),"Check date",IF(COUNT(G288,I288,K288,M288,Q288,S288,W288,Y288,AA288)=0,"",MIN(G288,I288,K288,M288,Q288,S288,W288,Y288,AA288)))</f>
        <v/>
      </c>
      <c r="AE288" s="25">
        <f>IF(ISNUMBER(AD288),AD288-IF(ISNUMBER(AB288),AB288,30),"")</f>
        <v/>
      </c>
      <c r="AF288" s="27">
        <f>IF(AD288="","",IF(ISNUMBER(AD288),AD288-TODAY(),"Check date"))</f>
        <v/>
      </c>
      <c r="AG288" s="28">
        <f>IF(AF288="","",IF(ISNUMBER(AF288),IF(AF288&lt;0,"Expired",IF(AF288&lt;=30,"Due ≤30 days",IF(AF288&lt;=90,"Due ≤90 days","OK"))),"Check date"))</f>
        <v/>
      </c>
      <c r="AH288" s="22" t="n"/>
      <c r="AI288" s="22" t="n"/>
      <c r="AJ288" s="22" t="n"/>
      <c r="AK288" s="22" t="n"/>
    </row>
    <row r="289">
      <c r="A289" s="22" t="n"/>
      <c r="B289" s="22" t="n"/>
      <c r="C289" s="22" t="n"/>
      <c r="D289" s="22" t="n"/>
      <c r="E289" s="22" t="n"/>
      <c r="F289" s="22" t="n"/>
      <c r="G289" s="23" t="n"/>
      <c r="H289" s="22" t="n"/>
      <c r="I289" s="23" t="n"/>
      <c r="J289" s="22" t="n"/>
      <c r="K289" s="23" t="n"/>
      <c r="L289" s="22" t="n"/>
      <c r="M289" s="23" t="n"/>
      <c r="N289" s="22" t="n"/>
      <c r="O289" s="22" t="n"/>
      <c r="P289" s="22" t="n"/>
      <c r="Q289" s="23" t="n"/>
      <c r="R289" s="22" t="n"/>
      <c r="S289" s="23" t="n"/>
      <c r="T289" s="22" t="n"/>
      <c r="U289" s="23" t="n"/>
      <c r="V289" s="24" t="n"/>
      <c r="W289" s="25">
        <f>IF(ISNUMBER(U289),U289+IF(ISNUMBER(V289),V289,120),"")</f>
        <v/>
      </c>
      <c r="X289" s="22" t="n"/>
      <c r="Y289" s="23" t="n"/>
      <c r="Z289" s="22" t="n"/>
      <c r="AA289" s="23" t="n"/>
      <c r="AB289" s="24" t="n"/>
      <c r="AC289" s="26">
        <f>IF(ISNUMBER(AD289)=FALSE,"",IF(G289=AD289,"State license",IF(I289=AD289,"DEA registration",IF(K289=AD289,"State CSR",IF(M289=AD289,"Board certification",IF(Q289=AD289,"Malpractice",IF(S289=AD289,"Life support",IF(W289=AD289,"CAQH re-attestation",IF(Y289=AD289,"Privileges reappointment","Payer recredentialing")))))))))</f>
        <v/>
      </c>
      <c r="AD289" s="25">
        <f>IF(OR(AND(LEN(G289)&gt;0,ISNUMBER(G289)=FALSE),AND(LEN(I289)&gt;0,ISNUMBER(I289)=FALSE),AND(LEN(K289)&gt;0,ISNUMBER(K289)=FALSE),AND(LEN(M289)&gt;0,ISNUMBER(M289)=FALSE),AND(LEN(Q289)&gt;0,ISNUMBER(Q289)=FALSE),AND(LEN(S289)&gt;0,ISNUMBER(S289)=FALSE),AND(LEN(Y289)&gt;0,ISNUMBER(Y289)=FALSE),AND(LEN(AA289)&gt;0,ISNUMBER(AA289)=FALSE),AND(LEN(U289)&gt;0,ISNUMBER(U289)=FALSE)),"Check date",IF(COUNT(G289,I289,K289,M289,Q289,S289,W289,Y289,AA289)=0,"",MIN(G289,I289,K289,M289,Q289,S289,W289,Y289,AA289)))</f>
        <v/>
      </c>
      <c r="AE289" s="25">
        <f>IF(ISNUMBER(AD289),AD289-IF(ISNUMBER(AB289),AB289,30),"")</f>
        <v/>
      </c>
      <c r="AF289" s="27">
        <f>IF(AD289="","",IF(ISNUMBER(AD289),AD289-TODAY(),"Check date"))</f>
        <v/>
      </c>
      <c r="AG289" s="28">
        <f>IF(AF289="","",IF(ISNUMBER(AF289),IF(AF289&lt;0,"Expired",IF(AF289&lt;=30,"Due ≤30 days",IF(AF289&lt;=90,"Due ≤90 days","OK"))),"Check date"))</f>
        <v/>
      </c>
      <c r="AH289" s="22" t="n"/>
      <c r="AI289" s="22" t="n"/>
      <c r="AJ289" s="22" t="n"/>
      <c r="AK289" s="22" t="n"/>
    </row>
    <row r="290">
      <c r="A290" s="22" t="n"/>
      <c r="B290" s="22" t="n"/>
      <c r="C290" s="22" t="n"/>
      <c r="D290" s="22" t="n"/>
      <c r="E290" s="22" t="n"/>
      <c r="F290" s="22" t="n"/>
      <c r="G290" s="23" t="n"/>
      <c r="H290" s="22" t="n"/>
      <c r="I290" s="23" t="n"/>
      <c r="J290" s="22" t="n"/>
      <c r="K290" s="23" t="n"/>
      <c r="L290" s="22" t="n"/>
      <c r="M290" s="23" t="n"/>
      <c r="N290" s="22" t="n"/>
      <c r="O290" s="22" t="n"/>
      <c r="P290" s="22" t="n"/>
      <c r="Q290" s="23" t="n"/>
      <c r="R290" s="22" t="n"/>
      <c r="S290" s="23" t="n"/>
      <c r="T290" s="22" t="n"/>
      <c r="U290" s="23" t="n"/>
      <c r="V290" s="24" t="n"/>
      <c r="W290" s="25">
        <f>IF(ISNUMBER(U290),U290+IF(ISNUMBER(V290),V290,120),"")</f>
        <v/>
      </c>
      <c r="X290" s="22" t="n"/>
      <c r="Y290" s="23" t="n"/>
      <c r="Z290" s="22" t="n"/>
      <c r="AA290" s="23" t="n"/>
      <c r="AB290" s="24" t="n"/>
      <c r="AC290" s="26">
        <f>IF(ISNUMBER(AD290)=FALSE,"",IF(G290=AD290,"State license",IF(I290=AD290,"DEA registration",IF(K290=AD290,"State CSR",IF(M290=AD290,"Board certification",IF(Q290=AD290,"Malpractice",IF(S290=AD290,"Life support",IF(W290=AD290,"CAQH re-attestation",IF(Y290=AD290,"Privileges reappointment","Payer recredentialing")))))))))</f>
        <v/>
      </c>
      <c r="AD290" s="25">
        <f>IF(OR(AND(LEN(G290)&gt;0,ISNUMBER(G290)=FALSE),AND(LEN(I290)&gt;0,ISNUMBER(I290)=FALSE),AND(LEN(K290)&gt;0,ISNUMBER(K290)=FALSE),AND(LEN(M290)&gt;0,ISNUMBER(M290)=FALSE),AND(LEN(Q290)&gt;0,ISNUMBER(Q290)=FALSE),AND(LEN(S290)&gt;0,ISNUMBER(S290)=FALSE),AND(LEN(Y290)&gt;0,ISNUMBER(Y290)=FALSE),AND(LEN(AA290)&gt;0,ISNUMBER(AA290)=FALSE),AND(LEN(U290)&gt;0,ISNUMBER(U290)=FALSE)),"Check date",IF(COUNT(G290,I290,K290,M290,Q290,S290,W290,Y290,AA290)=0,"",MIN(G290,I290,K290,M290,Q290,S290,W290,Y290,AA290)))</f>
        <v/>
      </c>
      <c r="AE290" s="25">
        <f>IF(ISNUMBER(AD290),AD290-IF(ISNUMBER(AB290),AB290,30),"")</f>
        <v/>
      </c>
      <c r="AF290" s="27">
        <f>IF(AD290="","",IF(ISNUMBER(AD290),AD290-TODAY(),"Check date"))</f>
        <v/>
      </c>
      <c r="AG290" s="28">
        <f>IF(AF290="","",IF(ISNUMBER(AF290),IF(AF290&lt;0,"Expired",IF(AF290&lt;=30,"Due ≤30 days",IF(AF290&lt;=90,"Due ≤90 days","OK"))),"Check date"))</f>
        <v/>
      </c>
      <c r="AH290" s="22" t="n"/>
      <c r="AI290" s="22" t="n"/>
      <c r="AJ290" s="22" t="n"/>
      <c r="AK290" s="22" t="n"/>
    </row>
    <row r="291">
      <c r="A291" s="22" t="n"/>
      <c r="B291" s="22" t="n"/>
      <c r="C291" s="22" t="n"/>
      <c r="D291" s="22" t="n"/>
      <c r="E291" s="22" t="n"/>
      <c r="F291" s="22" t="n"/>
      <c r="G291" s="23" t="n"/>
      <c r="H291" s="22" t="n"/>
      <c r="I291" s="23" t="n"/>
      <c r="J291" s="22" t="n"/>
      <c r="K291" s="23" t="n"/>
      <c r="L291" s="22" t="n"/>
      <c r="M291" s="23" t="n"/>
      <c r="N291" s="22" t="n"/>
      <c r="O291" s="22" t="n"/>
      <c r="P291" s="22" t="n"/>
      <c r="Q291" s="23" t="n"/>
      <c r="R291" s="22" t="n"/>
      <c r="S291" s="23" t="n"/>
      <c r="T291" s="22" t="n"/>
      <c r="U291" s="23" t="n"/>
      <c r="V291" s="24" t="n"/>
      <c r="W291" s="25">
        <f>IF(ISNUMBER(U291),U291+IF(ISNUMBER(V291),V291,120),"")</f>
        <v/>
      </c>
      <c r="X291" s="22" t="n"/>
      <c r="Y291" s="23" t="n"/>
      <c r="Z291" s="22" t="n"/>
      <c r="AA291" s="23" t="n"/>
      <c r="AB291" s="24" t="n"/>
      <c r="AC291" s="26">
        <f>IF(ISNUMBER(AD291)=FALSE,"",IF(G291=AD291,"State license",IF(I291=AD291,"DEA registration",IF(K291=AD291,"State CSR",IF(M291=AD291,"Board certification",IF(Q291=AD291,"Malpractice",IF(S291=AD291,"Life support",IF(W291=AD291,"CAQH re-attestation",IF(Y291=AD291,"Privileges reappointment","Payer recredentialing")))))))))</f>
        <v/>
      </c>
      <c r="AD291" s="25">
        <f>IF(OR(AND(LEN(G291)&gt;0,ISNUMBER(G291)=FALSE),AND(LEN(I291)&gt;0,ISNUMBER(I291)=FALSE),AND(LEN(K291)&gt;0,ISNUMBER(K291)=FALSE),AND(LEN(M291)&gt;0,ISNUMBER(M291)=FALSE),AND(LEN(Q291)&gt;0,ISNUMBER(Q291)=FALSE),AND(LEN(S291)&gt;0,ISNUMBER(S291)=FALSE),AND(LEN(Y291)&gt;0,ISNUMBER(Y291)=FALSE),AND(LEN(AA291)&gt;0,ISNUMBER(AA291)=FALSE),AND(LEN(U291)&gt;0,ISNUMBER(U291)=FALSE)),"Check date",IF(COUNT(G291,I291,K291,M291,Q291,S291,W291,Y291,AA291)=0,"",MIN(G291,I291,K291,M291,Q291,S291,W291,Y291,AA291)))</f>
        <v/>
      </c>
      <c r="AE291" s="25">
        <f>IF(ISNUMBER(AD291),AD291-IF(ISNUMBER(AB291),AB291,30),"")</f>
        <v/>
      </c>
      <c r="AF291" s="27">
        <f>IF(AD291="","",IF(ISNUMBER(AD291),AD291-TODAY(),"Check date"))</f>
        <v/>
      </c>
      <c r="AG291" s="28">
        <f>IF(AF291="","",IF(ISNUMBER(AF291),IF(AF291&lt;0,"Expired",IF(AF291&lt;=30,"Due ≤30 days",IF(AF291&lt;=90,"Due ≤90 days","OK"))),"Check date"))</f>
        <v/>
      </c>
      <c r="AH291" s="22" t="n"/>
      <c r="AI291" s="22" t="n"/>
      <c r="AJ291" s="22" t="n"/>
      <c r="AK291" s="22" t="n"/>
    </row>
    <row r="292">
      <c r="A292" s="22" t="n"/>
      <c r="B292" s="22" t="n"/>
      <c r="C292" s="22" t="n"/>
      <c r="D292" s="22" t="n"/>
      <c r="E292" s="22" t="n"/>
      <c r="F292" s="22" t="n"/>
      <c r="G292" s="23" t="n"/>
      <c r="H292" s="22" t="n"/>
      <c r="I292" s="23" t="n"/>
      <c r="J292" s="22" t="n"/>
      <c r="K292" s="23" t="n"/>
      <c r="L292" s="22" t="n"/>
      <c r="M292" s="23" t="n"/>
      <c r="N292" s="22" t="n"/>
      <c r="O292" s="22" t="n"/>
      <c r="P292" s="22" t="n"/>
      <c r="Q292" s="23" t="n"/>
      <c r="R292" s="22" t="n"/>
      <c r="S292" s="23" t="n"/>
      <c r="T292" s="22" t="n"/>
      <c r="U292" s="23" t="n"/>
      <c r="V292" s="24" t="n"/>
      <c r="W292" s="25">
        <f>IF(ISNUMBER(U292),U292+IF(ISNUMBER(V292),V292,120),"")</f>
        <v/>
      </c>
      <c r="X292" s="22" t="n"/>
      <c r="Y292" s="23" t="n"/>
      <c r="Z292" s="22" t="n"/>
      <c r="AA292" s="23" t="n"/>
      <c r="AB292" s="24" t="n"/>
      <c r="AC292" s="26">
        <f>IF(ISNUMBER(AD292)=FALSE,"",IF(G292=AD292,"State license",IF(I292=AD292,"DEA registration",IF(K292=AD292,"State CSR",IF(M292=AD292,"Board certification",IF(Q292=AD292,"Malpractice",IF(S292=AD292,"Life support",IF(W292=AD292,"CAQH re-attestation",IF(Y292=AD292,"Privileges reappointment","Payer recredentialing")))))))))</f>
        <v/>
      </c>
      <c r="AD292" s="25">
        <f>IF(OR(AND(LEN(G292)&gt;0,ISNUMBER(G292)=FALSE),AND(LEN(I292)&gt;0,ISNUMBER(I292)=FALSE),AND(LEN(K292)&gt;0,ISNUMBER(K292)=FALSE),AND(LEN(M292)&gt;0,ISNUMBER(M292)=FALSE),AND(LEN(Q292)&gt;0,ISNUMBER(Q292)=FALSE),AND(LEN(S292)&gt;0,ISNUMBER(S292)=FALSE),AND(LEN(Y292)&gt;0,ISNUMBER(Y292)=FALSE),AND(LEN(AA292)&gt;0,ISNUMBER(AA292)=FALSE),AND(LEN(U292)&gt;0,ISNUMBER(U292)=FALSE)),"Check date",IF(COUNT(G292,I292,K292,M292,Q292,S292,W292,Y292,AA292)=0,"",MIN(G292,I292,K292,M292,Q292,S292,W292,Y292,AA292)))</f>
        <v/>
      </c>
      <c r="AE292" s="25">
        <f>IF(ISNUMBER(AD292),AD292-IF(ISNUMBER(AB292),AB292,30),"")</f>
        <v/>
      </c>
      <c r="AF292" s="27">
        <f>IF(AD292="","",IF(ISNUMBER(AD292),AD292-TODAY(),"Check date"))</f>
        <v/>
      </c>
      <c r="AG292" s="28">
        <f>IF(AF292="","",IF(ISNUMBER(AF292),IF(AF292&lt;0,"Expired",IF(AF292&lt;=30,"Due ≤30 days",IF(AF292&lt;=90,"Due ≤90 days","OK"))),"Check date"))</f>
        <v/>
      </c>
      <c r="AH292" s="22" t="n"/>
      <c r="AI292" s="22" t="n"/>
      <c r="AJ292" s="22" t="n"/>
      <c r="AK292" s="22" t="n"/>
    </row>
    <row r="293">
      <c r="A293" s="22" t="n"/>
      <c r="B293" s="22" t="n"/>
      <c r="C293" s="22" t="n"/>
      <c r="D293" s="22" t="n"/>
      <c r="E293" s="22" t="n"/>
      <c r="F293" s="22" t="n"/>
      <c r="G293" s="23" t="n"/>
      <c r="H293" s="22" t="n"/>
      <c r="I293" s="23" t="n"/>
      <c r="J293" s="22" t="n"/>
      <c r="K293" s="23" t="n"/>
      <c r="L293" s="22" t="n"/>
      <c r="M293" s="23" t="n"/>
      <c r="N293" s="22" t="n"/>
      <c r="O293" s="22" t="n"/>
      <c r="P293" s="22" t="n"/>
      <c r="Q293" s="23" t="n"/>
      <c r="R293" s="22" t="n"/>
      <c r="S293" s="23" t="n"/>
      <c r="T293" s="22" t="n"/>
      <c r="U293" s="23" t="n"/>
      <c r="V293" s="24" t="n"/>
      <c r="W293" s="25">
        <f>IF(ISNUMBER(U293),U293+IF(ISNUMBER(V293),V293,120),"")</f>
        <v/>
      </c>
      <c r="X293" s="22" t="n"/>
      <c r="Y293" s="23" t="n"/>
      <c r="Z293" s="22" t="n"/>
      <c r="AA293" s="23" t="n"/>
      <c r="AB293" s="24" t="n"/>
      <c r="AC293" s="26">
        <f>IF(ISNUMBER(AD293)=FALSE,"",IF(G293=AD293,"State license",IF(I293=AD293,"DEA registration",IF(K293=AD293,"State CSR",IF(M293=AD293,"Board certification",IF(Q293=AD293,"Malpractice",IF(S293=AD293,"Life support",IF(W293=AD293,"CAQH re-attestation",IF(Y293=AD293,"Privileges reappointment","Payer recredentialing")))))))))</f>
        <v/>
      </c>
      <c r="AD293" s="25">
        <f>IF(OR(AND(LEN(G293)&gt;0,ISNUMBER(G293)=FALSE),AND(LEN(I293)&gt;0,ISNUMBER(I293)=FALSE),AND(LEN(K293)&gt;0,ISNUMBER(K293)=FALSE),AND(LEN(M293)&gt;0,ISNUMBER(M293)=FALSE),AND(LEN(Q293)&gt;0,ISNUMBER(Q293)=FALSE),AND(LEN(S293)&gt;0,ISNUMBER(S293)=FALSE),AND(LEN(Y293)&gt;0,ISNUMBER(Y293)=FALSE),AND(LEN(AA293)&gt;0,ISNUMBER(AA293)=FALSE),AND(LEN(U293)&gt;0,ISNUMBER(U293)=FALSE)),"Check date",IF(COUNT(G293,I293,K293,M293,Q293,S293,W293,Y293,AA293)=0,"",MIN(G293,I293,K293,M293,Q293,S293,W293,Y293,AA293)))</f>
        <v/>
      </c>
      <c r="AE293" s="25">
        <f>IF(ISNUMBER(AD293),AD293-IF(ISNUMBER(AB293),AB293,30),"")</f>
        <v/>
      </c>
      <c r="AF293" s="27">
        <f>IF(AD293="","",IF(ISNUMBER(AD293),AD293-TODAY(),"Check date"))</f>
        <v/>
      </c>
      <c r="AG293" s="28">
        <f>IF(AF293="","",IF(ISNUMBER(AF293),IF(AF293&lt;0,"Expired",IF(AF293&lt;=30,"Due ≤30 days",IF(AF293&lt;=90,"Due ≤90 days","OK"))),"Check date"))</f>
        <v/>
      </c>
      <c r="AH293" s="22" t="n"/>
      <c r="AI293" s="22" t="n"/>
      <c r="AJ293" s="22" t="n"/>
      <c r="AK293" s="22" t="n"/>
    </row>
    <row r="294">
      <c r="A294" s="22" t="n"/>
      <c r="B294" s="22" t="n"/>
      <c r="C294" s="22" t="n"/>
      <c r="D294" s="22" t="n"/>
      <c r="E294" s="22" t="n"/>
      <c r="F294" s="22" t="n"/>
      <c r="G294" s="23" t="n"/>
      <c r="H294" s="22" t="n"/>
      <c r="I294" s="23" t="n"/>
      <c r="J294" s="22" t="n"/>
      <c r="K294" s="23" t="n"/>
      <c r="L294" s="22" t="n"/>
      <c r="M294" s="23" t="n"/>
      <c r="N294" s="22" t="n"/>
      <c r="O294" s="22" t="n"/>
      <c r="P294" s="22" t="n"/>
      <c r="Q294" s="23" t="n"/>
      <c r="R294" s="22" t="n"/>
      <c r="S294" s="23" t="n"/>
      <c r="T294" s="22" t="n"/>
      <c r="U294" s="23" t="n"/>
      <c r="V294" s="24" t="n"/>
      <c r="W294" s="25">
        <f>IF(ISNUMBER(U294),U294+IF(ISNUMBER(V294),V294,120),"")</f>
        <v/>
      </c>
      <c r="X294" s="22" t="n"/>
      <c r="Y294" s="23" t="n"/>
      <c r="Z294" s="22" t="n"/>
      <c r="AA294" s="23" t="n"/>
      <c r="AB294" s="24" t="n"/>
      <c r="AC294" s="26">
        <f>IF(ISNUMBER(AD294)=FALSE,"",IF(G294=AD294,"State license",IF(I294=AD294,"DEA registration",IF(K294=AD294,"State CSR",IF(M294=AD294,"Board certification",IF(Q294=AD294,"Malpractice",IF(S294=AD294,"Life support",IF(W294=AD294,"CAQH re-attestation",IF(Y294=AD294,"Privileges reappointment","Payer recredentialing")))))))))</f>
        <v/>
      </c>
      <c r="AD294" s="25">
        <f>IF(OR(AND(LEN(G294)&gt;0,ISNUMBER(G294)=FALSE),AND(LEN(I294)&gt;0,ISNUMBER(I294)=FALSE),AND(LEN(K294)&gt;0,ISNUMBER(K294)=FALSE),AND(LEN(M294)&gt;0,ISNUMBER(M294)=FALSE),AND(LEN(Q294)&gt;0,ISNUMBER(Q294)=FALSE),AND(LEN(S294)&gt;0,ISNUMBER(S294)=FALSE),AND(LEN(Y294)&gt;0,ISNUMBER(Y294)=FALSE),AND(LEN(AA294)&gt;0,ISNUMBER(AA294)=FALSE),AND(LEN(U294)&gt;0,ISNUMBER(U294)=FALSE)),"Check date",IF(COUNT(G294,I294,K294,M294,Q294,S294,W294,Y294,AA294)=0,"",MIN(G294,I294,K294,M294,Q294,S294,W294,Y294,AA294)))</f>
        <v/>
      </c>
      <c r="AE294" s="25">
        <f>IF(ISNUMBER(AD294),AD294-IF(ISNUMBER(AB294),AB294,30),"")</f>
        <v/>
      </c>
      <c r="AF294" s="27">
        <f>IF(AD294="","",IF(ISNUMBER(AD294),AD294-TODAY(),"Check date"))</f>
        <v/>
      </c>
      <c r="AG294" s="28">
        <f>IF(AF294="","",IF(ISNUMBER(AF294),IF(AF294&lt;0,"Expired",IF(AF294&lt;=30,"Due ≤30 days",IF(AF294&lt;=90,"Due ≤90 days","OK"))),"Check date"))</f>
        <v/>
      </c>
      <c r="AH294" s="22" t="n"/>
      <c r="AI294" s="22" t="n"/>
      <c r="AJ294" s="22" t="n"/>
      <c r="AK294" s="22" t="n"/>
    </row>
    <row r="295">
      <c r="A295" s="22" t="n"/>
      <c r="B295" s="22" t="n"/>
      <c r="C295" s="22" t="n"/>
      <c r="D295" s="22" t="n"/>
      <c r="E295" s="22" t="n"/>
      <c r="F295" s="22" t="n"/>
      <c r="G295" s="23" t="n"/>
      <c r="H295" s="22" t="n"/>
      <c r="I295" s="23" t="n"/>
      <c r="J295" s="22" t="n"/>
      <c r="K295" s="23" t="n"/>
      <c r="L295" s="22" t="n"/>
      <c r="M295" s="23" t="n"/>
      <c r="N295" s="22" t="n"/>
      <c r="O295" s="22" t="n"/>
      <c r="P295" s="22" t="n"/>
      <c r="Q295" s="23" t="n"/>
      <c r="R295" s="22" t="n"/>
      <c r="S295" s="23" t="n"/>
      <c r="T295" s="22" t="n"/>
      <c r="U295" s="23" t="n"/>
      <c r="V295" s="24" t="n"/>
      <c r="W295" s="25">
        <f>IF(ISNUMBER(U295),U295+IF(ISNUMBER(V295),V295,120),"")</f>
        <v/>
      </c>
      <c r="X295" s="22" t="n"/>
      <c r="Y295" s="23" t="n"/>
      <c r="Z295" s="22" t="n"/>
      <c r="AA295" s="23" t="n"/>
      <c r="AB295" s="24" t="n"/>
      <c r="AC295" s="26">
        <f>IF(ISNUMBER(AD295)=FALSE,"",IF(G295=AD295,"State license",IF(I295=AD295,"DEA registration",IF(K295=AD295,"State CSR",IF(M295=AD295,"Board certification",IF(Q295=AD295,"Malpractice",IF(S295=AD295,"Life support",IF(W295=AD295,"CAQH re-attestation",IF(Y295=AD295,"Privileges reappointment","Payer recredentialing")))))))))</f>
        <v/>
      </c>
      <c r="AD295" s="25">
        <f>IF(OR(AND(LEN(G295)&gt;0,ISNUMBER(G295)=FALSE),AND(LEN(I295)&gt;0,ISNUMBER(I295)=FALSE),AND(LEN(K295)&gt;0,ISNUMBER(K295)=FALSE),AND(LEN(M295)&gt;0,ISNUMBER(M295)=FALSE),AND(LEN(Q295)&gt;0,ISNUMBER(Q295)=FALSE),AND(LEN(S295)&gt;0,ISNUMBER(S295)=FALSE),AND(LEN(Y295)&gt;0,ISNUMBER(Y295)=FALSE),AND(LEN(AA295)&gt;0,ISNUMBER(AA295)=FALSE),AND(LEN(U295)&gt;0,ISNUMBER(U295)=FALSE)),"Check date",IF(COUNT(G295,I295,K295,M295,Q295,S295,W295,Y295,AA295)=0,"",MIN(G295,I295,K295,M295,Q295,S295,W295,Y295,AA295)))</f>
        <v/>
      </c>
      <c r="AE295" s="25">
        <f>IF(ISNUMBER(AD295),AD295-IF(ISNUMBER(AB295),AB295,30),"")</f>
        <v/>
      </c>
      <c r="AF295" s="27">
        <f>IF(AD295="","",IF(ISNUMBER(AD295),AD295-TODAY(),"Check date"))</f>
        <v/>
      </c>
      <c r="AG295" s="28">
        <f>IF(AF295="","",IF(ISNUMBER(AF295),IF(AF295&lt;0,"Expired",IF(AF295&lt;=30,"Due ≤30 days",IF(AF295&lt;=90,"Due ≤90 days","OK"))),"Check date"))</f>
        <v/>
      </c>
      <c r="AH295" s="22" t="n"/>
      <c r="AI295" s="22" t="n"/>
      <c r="AJ295" s="22" t="n"/>
      <c r="AK295" s="22" t="n"/>
    </row>
    <row r="296">
      <c r="A296" s="22" t="n"/>
      <c r="B296" s="22" t="n"/>
      <c r="C296" s="22" t="n"/>
      <c r="D296" s="22" t="n"/>
      <c r="E296" s="22" t="n"/>
      <c r="F296" s="22" t="n"/>
      <c r="G296" s="23" t="n"/>
      <c r="H296" s="22" t="n"/>
      <c r="I296" s="23" t="n"/>
      <c r="J296" s="22" t="n"/>
      <c r="K296" s="23" t="n"/>
      <c r="L296" s="22" t="n"/>
      <c r="M296" s="23" t="n"/>
      <c r="N296" s="22" t="n"/>
      <c r="O296" s="22" t="n"/>
      <c r="P296" s="22" t="n"/>
      <c r="Q296" s="23" t="n"/>
      <c r="R296" s="22" t="n"/>
      <c r="S296" s="23" t="n"/>
      <c r="T296" s="22" t="n"/>
      <c r="U296" s="23" t="n"/>
      <c r="V296" s="24" t="n"/>
      <c r="W296" s="25">
        <f>IF(ISNUMBER(U296),U296+IF(ISNUMBER(V296),V296,120),"")</f>
        <v/>
      </c>
      <c r="X296" s="22" t="n"/>
      <c r="Y296" s="23" t="n"/>
      <c r="Z296" s="22" t="n"/>
      <c r="AA296" s="23" t="n"/>
      <c r="AB296" s="24" t="n"/>
      <c r="AC296" s="26">
        <f>IF(ISNUMBER(AD296)=FALSE,"",IF(G296=AD296,"State license",IF(I296=AD296,"DEA registration",IF(K296=AD296,"State CSR",IF(M296=AD296,"Board certification",IF(Q296=AD296,"Malpractice",IF(S296=AD296,"Life support",IF(W296=AD296,"CAQH re-attestation",IF(Y296=AD296,"Privileges reappointment","Payer recredentialing")))))))))</f>
        <v/>
      </c>
      <c r="AD296" s="25">
        <f>IF(OR(AND(LEN(G296)&gt;0,ISNUMBER(G296)=FALSE),AND(LEN(I296)&gt;0,ISNUMBER(I296)=FALSE),AND(LEN(K296)&gt;0,ISNUMBER(K296)=FALSE),AND(LEN(M296)&gt;0,ISNUMBER(M296)=FALSE),AND(LEN(Q296)&gt;0,ISNUMBER(Q296)=FALSE),AND(LEN(S296)&gt;0,ISNUMBER(S296)=FALSE),AND(LEN(Y296)&gt;0,ISNUMBER(Y296)=FALSE),AND(LEN(AA296)&gt;0,ISNUMBER(AA296)=FALSE),AND(LEN(U296)&gt;0,ISNUMBER(U296)=FALSE)),"Check date",IF(COUNT(G296,I296,K296,M296,Q296,S296,W296,Y296,AA296)=0,"",MIN(G296,I296,K296,M296,Q296,S296,W296,Y296,AA296)))</f>
        <v/>
      </c>
      <c r="AE296" s="25">
        <f>IF(ISNUMBER(AD296),AD296-IF(ISNUMBER(AB296),AB296,30),"")</f>
        <v/>
      </c>
      <c r="AF296" s="27">
        <f>IF(AD296="","",IF(ISNUMBER(AD296),AD296-TODAY(),"Check date"))</f>
        <v/>
      </c>
      <c r="AG296" s="28">
        <f>IF(AF296="","",IF(ISNUMBER(AF296),IF(AF296&lt;0,"Expired",IF(AF296&lt;=30,"Due ≤30 days",IF(AF296&lt;=90,"Due ≤90 days","OK"))),"Check date"))</f>
        <v/>
      </c>
      <c r="AH296" s="22" t="n"/>
      <c r="AI296" s="22" t="n"/>
      <c r="AJ296" s="22" t="n"/>
      <c r="AK296" s="22" t="n"/>
    </row>
    <row r="297">
      <c r="A297" s="22" t="n"/>
      <c r="B297" s="22" t="n"/>
      <c r="C297" s="22" t="n"/>
      <c r="D297" s="22" t="n"/>
      <c r="E297" s="22" t="n"/>
      <c r="F297" s="22" t="n"/>
      <c r="G297" s="23" t="n"/>
      <c r="H297" s="22" t="n"/>
      <c r="I297" s="23" t="n"/>
      <c r="J297" s="22" t="n"/>
      <c r="K297" s="23" t="n"/>
      <c r="L297" s="22" t="n"/>
      <c r="M297" s="23" t="n"/>
      <c r="N297" s="22" t="n"/>
      <c r="O297" s="22" t="n"/>
      <c r="P297" s="22" t="n"/>
      <c r="Q297" s="23" t="n"/>
      <c r="R297" s="22" t="n"/>
      <c r="S297" s="23" t="n"/>
      <c r="T297" s="22" t="n"/>
      <c r="U297" s="23" t="n"/>
      <c r="V297" s="24" t="n"/>
      <c r="W297" s="25">
        <f>IF(ISNUMBER(U297),U297+IF(ISNUMBER(V297),V297,120),"")</f>
        <v/>
      </c>
      <c r="X297" s="22" t="n"/>
      <c r="Y297" s="23" t="n"/>
      <c r="Z297" s="22" t="n"/>
      <c r="AA297" s="23" t="n"/>
      <c r="AB297" s="24" t="n"/>
      <c r="AC297" s="26">
        <f>IF(ISNUMBER(AD297)=FALSE,"",IF(G297=AD297,"State license",IF(I297=AD297,"DEA registration",IF(K297=AD297,"State CSR",IF(M297=AD297,"Board certification",IF(Q297=AD297,"Malpractice",IF(S297=AD297,"Life support",IF(W297=AD297,"CAQH re-attestation",IF(Y297=AD297,"Privileges reappointment","Payer recredentialing")))))))))</f>
        <v/>
      </c>
      <c r="AD297" s="25">
        <f>IF(OR(AND(LEN(G297)&gt;0,ISNUMBER(G297)=FALSE),AND(LEN(I297)&gt;0,ISNUMBER(I297)=FALSE),AND(LEN(K297)&gt;0,ISNUMBER(K297)=FALSE),AND(LEN(M297)&gt;0,ISNUMBER(M297)=FALSE),AND(LEN(Q297)&gt;0,ISNUMBER(Q297)=FALSE),AND(LEN(S297)&gt;0,ISNUMBER(S297)=FALSE),AND(LEN(Y297)&gt;0,ISNUMBER(Y297)=FALSE),AND(LEN(AA297)&gt;0,ISNUMBER(AA297)=FALSE),AND(LEN(U297)&gt;0,ISNUMBER(U297)=FALSE)),"Check date",IF(COUNT(G297,I297,K297,M297,Q297,S297,W297,Y297,AA297)=0,"",MIN(G297,I297,K297,M297,Q297,S297,W297,Y297,AA297)))</f>
        <v/>
      </c>
      <c r="AE297" s="25">
        <f>IF(ISNUMBER(AD297),AD297-IF(ISNUMBER(AB297),AB297,30),"")</f>
        <v/>
      </c>
      <c r="AF297" s="27">
        <f>IF(AD297="","",IF(ISNUMBER(AD297),AD297-TODAY(),"Check date"))</f>
        <v/>
      </c>
      <c r="AG297" s="28">
        <f>IF(AF297="","",IF(ISNUMBER(AF297),IF(AF297&lt;0,"Expired",IF(AF297&lt;=30,"Due ≤30 days",IF(AF297&lt;=90,"Due ≤90 days","OK"))),"Check date"))</f>
        <v/>
      </c>
      <c r="AH297" s="22" t="n"/>
      <c r="AI297" s="22" t="n"/>
      <c r="AJ297" s="22" t="n"/>
      <c r="AK297" s="22" t="n"/>
    </row>
    <row r="298">
      <c r="A298" s="22" t="n"/>
      <c r="B298" s="22" t="n"/>
      <c r="C298" s="22" t="n"/>
      <c r="D298" s="22" t="n"/>
      <c r="E298" s="22" t="n"/>
      <c r="F298" s="22" t="n"/>
      <c r="G298" s="23" t="n"/>
      <c r="H298" s="22" t="n"/>
      <c r="I298" s="23" t="n"/>
      <c r="J298" s="22" t="n"/>
      <c r="K298" s="23" t="n"/>
      <c r="L298" s="22" t="n"/>
      <c r="M298" s="23" t="n"/>
      <c r="N298" s="22" t="n"/>
      <c r="O298" s="22" t="n"/>
      <c r="P298" s="22" t="n"/>
      <c r="Q298" s="23" t="n"/>
      <c r="R298" s="22" t="n"/>
      <c r="S298" s="23" t="n"/>
      <c r="T298" s="22" t="n"/>
      <c r="U298" s="23" t="n"/>
      <c r="V298" s="24" t="n"/>
      <c r="W298" s="25">
        <f>IF(ISNUMBER(U298),U298+IF(ISNUMBER(V298),V298,120),"")</f>
        <v/>
      </c>
      <c r="X298" s="22" t="n"/>
      <c r="Y298" s="23" t="n"/>
      <c r="Z298" s="22" t="n"/>
      <c r="AA298" s="23" t="n"/>
      <c r="AB298" s="24" t="n"/>
      <c r="AC298" s="26">
        <f>IF(ISNUMBER(AD298)=FALSE,"",IF(G298=AD298,"State license",IF(I298=AD298,"DEA registration",IF(K298=AD298,"State CSR",IF(M298=AD298,"Board certification",IF(Q298=AD298,"Malpractice",IF(S298=AD298,"Life support",IF(W298=AD298,"CAQH re-attestation",IF(Y298=AD298,"Privileges reappointment","Payer recredentialing")))))))))</f>
        <v/>
      </c>
      <c r="AD298" s="25">
        <f>IF(OR(AND(LEN(G298)&gt;0,ISNUMBER(G298)=FALSE),AND(LEN(I298)&gt;0,ISNUMBER(I298)=FALSE),AND(LEN(K298)&gt;0,ISNUMBER(K298)=FALSE),AND(LEN(M298)&gt;0,ISNUMBER(M298)=FALSE),AND(LEN(Q298)&gt;0,ISNUMBER(Q298)=FALSE),AND(LEN(S298)&gt;0,ISNUMBER(S298)=FALSE),AND(LEN(Y298)&gt;0,ISNUMBER(Y298)=FALSE),AND(LEN(AA298)&gt;0,ISNUMBER(AA298)=FALSE),AND(LEN(U298)&gt;0,ISNUMBER(U298)=FALSE)),"Check date",IF(COUNT(G298,I298,K298,M298,Q298,S298,W298,Y298,AA298)=0,"",MIN(G298,I298,K298,M298,Q298,S298,W298,Y298,AA298)))</f>
        <v/>
      </c>
      <c r="AE298" s="25">
        <f>IF(ISNUMBER(AD298),AD298-IF(ISNUMBER(AB298),AB298,30),"")</f>
        <v/>
      </c>
      <c r="AF298" s="27">
        <f>IF(AD298="","",IF(ISNUMBER(AD298),AD298-TODAY(),"Check date"))</f>
        <v/>
      </c>
      <c r="AG298" s="28">
        <f>IF(AF298="","",IF(ISNUMBER(AF298),IF(AF298&lt;0,"Expired",IF(AF298&lt;=30,"Due ≤30 days",IF(AF298&lt;=90,"Due ≤90 days","OK"))),"Check date"))</f>
        <v/>
      </c>
      <c r="AH298" s="22" t="n"/>
      <c r="AI298" s="22" t="n"/>
      <c r="AJ298" s="22" t="n"/>
      <c r="AK298" s="22" t="n"/>
    </row>
    <row r="299">
      <c r="A299" s="22" t="n"/>
      <c r="B299" s="22" t="n"/>
      <c r="C299" s="22" t="n"/>
      <c r="D299" s="22" t="n"/>
      <c r="E299" s="22" t="n"/>
      <c r="F299" s="22" t="n"/>
      <c r="G299" s="23" t="n"/>
      <c r="H299" s="22" t="n"/>
      <c r="I299" s="23" t="n"/>
      <c r="J299" s="22" t="n"/>
      <c r="K299" s="23" t="n"/>
      <c r="L299" s="22" t="n"/>
      <c r="M299" s="23" t="n"/>
      <c r="N299" s="22" t="n"/>
      <c r="O299" s="22" t="n"/>
      <c r="P299" s="22" t="n"/>
      <c r="Q299" s="23" t="n"/>
      <c r="R299" s="22" t="n"/>
      <c r="S299" s="23" t="n"/>
      <c r="T299" s="22" t="n"/>
      <c r="U299" s="23" t="n"/>
      <c r="V299" s="24" t="n"/>
      <c r="W299" s="25">
        <f>IF(ISNUMBER(U299),U299+IF(ISNUMBER(V299),V299,120),"")</f>
        <v/>
      </c>
      <c r="X299" s="22" t="n"/>
      <c r="Y299" s="23" t="n"/>
      <c r="Z299" s="22" t="n"/>
      <c r="AA299" s="23" t="n"/>
      <c r="AB299" s="24" t="n"/>
      <c r="AC299" s="26">
        <f>IF(ISNUMBER(AD299)=FALSE,"",IF(G299=AD299,"State license",IF(I299=AD299,"DEA registration",IF(K299=AD299,"State CSR",IF(M299=AD299,"Board certification",IF(Q299=AD299,"Malpractice",IF(S299=AD299,"Life support",IF(W299=AD299,"CAQH re-attestation",IF(Y299=AD299,"Privileges reappointment","Payer recredentialing")))))))))</f>
        <v/>
      </c>
      <c r="AD299" s="25">
        <f>IF(OR(AND(LEN(G299)&gt;0,ISNUMBER(G299)=FALSE),AND(LEN(I299)&gt;0,ISNUMBER(I299)=FALSE),AND(LEN(K299)&gt;0,ISNUMBER(K299)=FALSE),AND(LEN(M299)&gt;0,ISNUMBER(M299)=FALSE),AND(LEN(Q299)&gt;0,ISNUMBER(Q299)=FALSE),AND(LEN(S299)&gt;0,ISNUMBER(S299)=FALSE),AND(LEN(Y299)&gt;0,ISNUMBER(Y299)=FALSE),AND(LEN(AA299)&gt;0,ISNUMBER(AA299)=FALSE),AND(LEN(U299)&gt;0,ISNUMBER(U299)=FALSE)),"Check date",IF(COUNT(G299,I299,K299,M299,Q299,S299,W299,Y299,AA299)=0,"",MIN(G299,I299,K299,M299,Q299,S299,W299,Y299,AA299)))</f>
        <v/>
      </c>
      <c r="AE299" s="25">
        <f>IF(ISNUMBER(AD299),AD299-IF(ISNUMBER(AB299),AB299,30),"")</f>
        <v/>
      </c>
      <c r="AF299" s="27">
        <f>IF(AD299="","",IF(ISNUMBER(AD299),AD299-TODAY(),"Check date"))</f>
        <v/>
      </c>
      <c r="AG299" s="28">
        <f>IF(AF299="","",IF(ISNUMBER(AF299),IF(AF299&lt;0,"Expired",IF(AF299&lt;=30,"Due ≤30 days",IF(AF299&lt;=90,"Due ≤90 days","OK"))),"Check date"))</f>
        <v/>
      </c>
      <c r="AH299" s="22" t="n"/>
      <c r="AI299" s="22" t="n"/>
      <c r="AJ299" s="22" t="n"/>
      <c r="AK299" s="22" t="n"/>
    </row>
    <row r="300">
      <c r="A300" s="22" t="n"/>
      <c r="B300" s="22" t="n"/>
      <c r="C300" s="22" t="n"/>
      <c r="D300" s="22" t="n"/>
      <c r="E300" s="22" t="n"/>
      <c r="F300" s="22" t="n"/>
      <c r="G300" s="23" t="n"/>
      <c r="H300" s="22" t="n"/>
      <c r="I300" s="23" t="n"/>
      <c r="J300" s="22" t="n"/>
      <c r="K300" s="23" t="n"/>
      <c r="L300" s="22" t="n"/>
      <c r="M300" s="23" t="n"/>
      <c r="N300" s="22" t="n"/>
      <c r="O300" s="22" t="n"/>
      <c r="P300" s="22" t="n"/>
      <c r="Q300" s="23" t="n"/>
      <c r="R300" s="22" t="n"/>
      <c r="S300" s="23" t="n"/>
      <c r="T300" s="22" t="n"/>
      <c r="U300" s="23" t="n"/>
      <c r="V300" s="24" t="n"/>
      <c r="W300" s="25">
        <f>IF(ISNUMBER(U300),U300+IF(ISNUMBER(V300),V300,120),"")</f>
        <v/>
      </c>
      <c r="X300" s="22" t="n"/>
      <c r="Y300" s="23" t="n"/>
      <c r="Z300" s="22" t="n"/>
      <c r="AA300" s="23" t="n"/>
      <c r="AB300" s="24" t="n"/>
      <c r="AC300" s="26">
        <f>IF(ISNUMBER(AD300)=FALSE,"",IF(G300=AD300,"State license",IF(I300=AD300,"DEA registration",IF(K300=AD300,"State CSR",IF(M300=AD300,"Board certification",IF(Q300=AD300,"Malpractice",IF(S300=AD300,"Life support",IF(W300=AD300,"CAQH re-attestation",IF(Y300=AD300,"Privileges reappointment","Payer recredentialing")))))))))</f>
        <v/>
      </c>
      <c r="AD300" s="25">
        <f>IF(OR(AND(LEN(G300)&gt;0,ISNUMBER(G300)=FALSE),AND(LEN(I300)&gt;0,ISNUMBER(I300)=FALSE),AND(LEN(K300)&gt;0,ISNUMBER(K300)=FALSE),AND(LEN(M300)&gt;0,ISNUMBER(M300)=FALSE),AND(LEN(Q300)&gt;0,ISNUMBER(Q300)=FALSE),AND(LEN(S300)&gt;0,ISNUMBER(S300)=FALSE),AND(LEN(Y300)&gt;0,ISNUMBER(Y300)=FALSE),AND(LEN(AA300)&gt;0,ISNUMBER(AA300)=FALSE),AND(LEN(U300)&gt;0,ISNUMBER(U300)=FALSE)),"Check date",IF(COUNT(G300,I300,K300,M300,Q300,S300,W300,Y300,AA300)=0,"",MIN(G300,I300,K300,M300,Q300,S300,W300,Y300,AA300)))</f>
        <v/>
      </c>
      <c r="AE300" s="25">
        <f>IF(ISNUMBER(AD300),AD300-IF(ISNUMBER(AB300),AB300,30),"")</f>
        <v/>
      </c>
      <c r="AF300" s="27">
        <f>IF(AD300="","",IF(ISNUMBER(AD300),AD300-TODAY(),"Check date"))</f>
        <v/>
      </c>
      <c r="AG300" s="28">
        <f>IF(AF300="","",IF(ISNUMBER(AF300),IF(AF300&lt;0,"Expired",IF(AF300&lt;=30,"Due ≤30 days",IF(AF300&lt;=90,"Due ≤90 days","OK"))),"Check date"))</f>
        <v/>
      </c>
      <c r="AH300" s="22" t="n"/>
      <c r="AI300" s="22" t="n"/>
      <c r="AJ300" s="22" t="n"/>
      <c r="AK300" s="22" t="n"/>
    </row>
    <row r="301">
      <c r="A301" s="22" t="n"/>
      <c r="B301" s="22" t="n"/>
      <c r="C301" s="22" t="n"/>
      <c r="D301" s="22" t="n"/>
      <c r="E301" s="22" t="n"/>
      <c r="F301" s="22" t="n"/>
      <c r="G301" s="23" t="n"/>
      <c r="H301" s="22" t="n"/>
      <c r="I301" s="23" t="n"/>
      <c r="J301" s="22" t="n"/>
      <c r="K301" s="23" t="n"/>
      <c r="L301" s="22" t="n"/>
      <c r="M301" s="23" t="n"/>
      <c r="N301" s="22" t="n"/>
      <c r="O301" s="22" t="n"/>
      <c r="P301" s="22" t="n"/>
      <c r="Q301" s="23" t="n"/>
      <c r="R301" s="22" t="n"/>
      <c r="S301" s="23" t="n"/>
      <c r="T301" s="22" t="n"/>
      <c r="U301" s="23" t="n"/>
      <c r="V301" s="24" t="n"/>
      <c r="W301" s="25">
        <f>IF(ISNUMBER(U301),U301+IF(ISNUMBER(V301),V301,120),"")</f>
        <v/>
      </c>
      <c r="X301" s="22" t="n"/>
      <c r="Y301" s="23" t="n"/>
      <c r="Z301" s="22" t="n"/>
      <c r="AA301" s="23" t="n"/>
      <c r="AB301" s="24" t="n"/>
      <c r="AC301" s="26">
        <f>IF(ISNUMBER(AD301)=FALSE,"",IF(G301=AD301,"State license",IF(I301=AD301,"DEA registration",IF(K301=AD301,"State CSR",IF(M301=AD301,"Board certification",IF(Q301=AD301,"Malpractice",IF(S301=AD301,"Life support",IF(W301=AD301,"CAQH re-attestation",IF(Y301=AD301,"Privileges reappointment","Payer recredentialing")))))))))</f>
        <v/>
      </c>
      <c r="AD301" s="25">
        <f>IF(OR(AND(LEN(G301)&gt;0,ISNUMBER(G301)=FALSE),AND(LEN(I301)&gt;0,ISNUMBER(I301)=FALSE),AND(LEN(K301)&gt;0,ISNUMBER(K301)=FALSE),AND(LEN(M301)&gt;0,ISNUMBER(M301)=FALSE),AND(LEN(Q301)&gt;0,ISNUMBER(Q301)=FALSE),AND(LEN(S301)&gt;0,ISNUMBER(S301)=FALSE),AND(LEN(Y301)&gt;0,ISNUMBER(Y301)=FALSE),AND(LEN(AA301)&gt;0,ISNUMBER(AA301)=FALSE),AND(LEN(U301)&gt;0,ISNUMBER(U301)=FALSE)),"Check date",IF(COUNT(G301,I301,K301,M301,Q301,S301,W301,Y301,AA301)=0,"",MIN(G301,I301,K301,M301,Q301,S301,W301,Y301,AA301)))</f>
        <v/>
      </c>
      <c r="AE301" s="25">
        <f>IF(ISNUMBER(AD301),AD301-IF(ISNUMBER(AB301),AB301,30),"")</f>
        <v/>
      </c>
      <c r="AF301" s="27">
        <f>IF(AD301="","",IF(ISNUMBER(AD301),AD301-TODAY(),"Check date"))</f>
        <v/>
      </c>
      <c r="AG301" s="28">
        <f>IF(AF301="","",IF(ISNUMBER(AF301),IF(AF301&lt;0,"Expired",IF(AF301&lt;=30,"Due ≤30 days",IF(AF301&lt;=90,"Due ≤90 days","OK"))),"Check date"))</f>
        <v/>
      </c>
      <c r="AH301" s="22" t="n"/>
      <c r="AI301" s="22" t="n"/>
      <c r="AJ301" s="22" t="n"/>
      <c r="AK301" s="22" t="n"/>
    </row>
    <row r="302">
      <c r="A302" s="22" t="n"/>
      <c r="B302" s="22" t="n"/>
      <c r="C302" s="22" t="n"/>
      <c r="D302" s="22" t="n"/>
      <c r="E302" s="22" t="n"/>
      <c r="F302" s="22" t="n"/>
      <c r="G302" s="23" t="n"/>
      <c r="H302" s="22" t="n"/>
      <c r="I302" s="23" t="n"/>
      <c r="J302" s="22" t="n"/>
      <c r="K302" s="23" t="n"/>
      <c r="L302" s="22" t="n"/>
      <c r="M302" s="23" t="n"/>
      <c r="N302" s="22" t="n"/>
      <c r="O302" s="22" t="n"/>
      <c r="P302" s="22" t="n"/>
      <c r="Q302" s="23" t="n"/>
      <c r="R302" s="22" t="n"/>
      <c r="S302" s="23" t="n"/>
      <c r="T302" s="22" t="n"/>
      <c r="U302" s="23" t="n"/>
      <c r="V302" s="24" t="n"/>
      <c r="W302" s="25">
        <f>IF(ISNUMBER(U302),U302+IF(ISNUMBER(V302),V302,120),"")</f>
        <v/>
      </c>
      <c r="X302" s="22" t="n"/>
      <c r="Y302" s="23" t="n"/>
      <c r="Z302" s="22" t="n"/>
      <c r="AA302" s="23" t="n"/>
      <c r="AB302" s="24" t="n"/>
      <c r="AC302" s="26">
        <f>IF(ISNUMBER(AD302)=FALSE,"",IF(G302=AD302,"State license",IF(I302=AD302,"DEA registration",IF(K302=AD302,"State CSR",IF(M302=AD302,"Board certification",IF(Q302=AD302,"Malpractice",IF(S302=AD302,"Life support",IF(W302=AD302,"CAQH re-attestation",IF(Y302=AD302,"Privileges reappointment","Payer recredentialing")))))))))</f>
        <v/>
      </c>
      <c r="AD302" s="25">
        <f>IF(OR(AND(LEN(G302)&gt;0,ISNUMBER(G302)=FALSE),AND(LEN(I302)&gt;0,ISNUMBER(I302)=FALSE),AND(LEN(K302)&gt;0,ISNUMBER(K302)=FALSE),AND(LEN(M302)&gt;0,ISNUMBER(M302)=FALSE),AND(LEN(Q302)&gt;0,ISNUMBER(Q302)=FALSE),AND(LEN(S302)&gt;0,ISNUMBER(S302)=FALSE),AND(LEN(Y302)&gt;0,ISNUMBER(Y302)=FALSE),AND(LEN(AA302)&gt;0,ISNUMBER(AA302)=FALSE),AND(LEN(U302)&gt;0,ISNUMBER(U302)=FALSE)),"Check date",IF(COUNT(G302,I302,K302,M302,Q302,S302,W302,Y302,AA302)=0,"",MIN(G302,I302,K302,M302,Q302,S302,W302,Y302,AA302)))</f>
        <v/>
      </c>
      <c r="AE302" s="25">
        <f>IF(ISNUMBER(AD302),AD302-IF(ISNUMBER(AB302),AB302,30),"")</f>
        <v/>
      </c>
      <c r="AF302" s="27">
        <f>IF(AD302="","",IF(ISNUMBER(AD302),AD302-TODAY(),"Check date"))</f>
        <v/>
      </c>
      <c r="AG302" s="28">
        <f>IF(AF302="","",IF(ISNUMBER(AF302),IF(AF302&lt;0,"Expired",IF(AF302&lt;=30,"Due ≤30 days",IF(AF302&lt;=90,"Due ≤90 days","OK"))),"Check date"))</f>
        <v/>
      </c>
      <c r="AH302" s="22" t="n"/>
      <c r="AI302" s="22" t="n"/>
      <c r="AJ302" s="22" t="n"/>
      <c r="AK302" s="22" t="n"/>
    </row>
    <row r="303">
      <c r="A303" s="22" t="n"/>
      <c r="B303" s="22" t="n"/>
      <c r="C303" s="22" t="n"/>
      <c r="D303" s="22" t="n"/>
      <c r="E303" s="22" t="n"/>
      <c r="F303" s="22" t="n"/>
      <c r="G303" s="23" t="n"/>
      <c r="H303" s="22" t="n"/>
      <c r="I303" s="23" t="n"/>
      <c r="J303" s="22" t="n"/>
      <c r="K303" s="23" t="n"/>
      <c r="L303" s="22" t="n"/>
      <c r="M303" s="23" t="n"/>
      <c r="N303" s="22" t="n"/>
      <c r="O303" s="22" t="n"/>
      <c r="P303" s="22" t="n"/>
      <c r="Q303" s="23" t="n"/>
      <c r="R303" s="22" t="n"/>
      <c r="S303" s="23" t="n"/>
      <c r="T303" s="22" t="n"/>
      <c r="U303" s="23" t="n"/>
      <c r="V303" s="24" t="n"/>
      <c r="W303" s="25">
        <f>IF(ISNUMBER(U303),U303+IF(ISNUMBER(V303),V303,120),"")</f>
        <v/>
      </c>
      <c r="X303" s="22" t="n"/>
      <c r="Y303" s="23" t="n"/>
      <c r="Z303" s="22" t="n"/>
      <c r="AA303" s="23" t="n"/>
      <c r="AB303" s="24" t="n"/>
      <c r="AC303" s="26">
        <f>IF(ISNUMBER(AD303)=FALSE,"",IF(G303=AD303,"State license",IF(I303=AD303,"DEA registration",IF(K303=AD303,"State CSR",IF(M303=AD303,"Board certification",IF(Q303=AD303,"Malpractice",IF(S303=AD303,"Life support",IF(W303=AD303,"CAQH re-attestation",IF(Y303=AD303,"Privileges reappointment","Payer recredentialing")))))))))</f>
        <v/>
      </c>
      <c r="AD303" s="25">
        <f>IF(OR(AND(LEN(G303)&gt;0,ISNUMBER(G303)=FALSE),AND(LEN(I303)&gt;0,ISNUMBER(I303)=FALSE),AND(LEN(K303)&gt;0,ISNUMBER(K303)=FALSE),AND(LEN(M303)&gt;0,ISNUMBER(M303)=FALSE),AND(LEN(Q303)&gt;0,ISNUMBER(Q303)=FALSE),AND(LEN(S303)&gt;0,ISNUMBER(S303)=FALSE),AND(LEN(Y303)&gt;0,ISNUMBER(Y303)=FALSE),AND(LEN(AA303)&gt;0,ISNUMBER(AA303)=FALSE),AND(LEN(U303)&gt;0,ISNUMBER(U303)=FALSE)),"Check date",IF(COUNT(G303,I303,K303,M303,Q303,S303,W303,Y303,AA303)=0,"",MIN(G303,I303,K303,M303,Q303,S303,W303,Y303,AA303)))</f>
        <v/>
      </c>
      <c r="AE303" s="25">
        <f>IF(ISNUMBER(AD303),AD303-IF(ISNUMBER(AB303),AB303,30),"")</f>
        <v/>
      </c>
      <c r="AF303" s="27">
        <f>IF(AD303="","",IF(ISNUMBER(AD303),AD303-TODAY(),"Check date"))</f>
        <v/>
      </c>
      <c r="AG303" s="28">
        <f>IF(AF303="","",IF(ISNUMBER(AF303),IF(AF303&lt;0,"Expired",IF(AF303&lt;=30,"Due ≤30 days",IF(AF303&lt;=90,"Due ≤90 days","OK"))),"Check date"))</f>
        <v/>
      </c>
      <c r="AH303" s="22" t="n"/>
      <c r="AI303" s="22" t="n"/>
      <c r="AJ303" s="22" t="n"/>
      <c r="AK303" s="22" t="n"/>
    </row>
    <row r="304">
      <c r="A304" s="22" t="n"/>
      <c r="B304" s="22" t="n"/>
      <c r="C304" s="22" t="n"/>
      <c r="D304" s="22" t="n"/>
      <c r="E304" s="22" t="n"/>
      <c r="F304" s="22" t="n"/>
      <c r="G304" s="23" t="n"/>
      <c r="H304" s="22" t="n"/>
      <c r="I304" s="23" t="n"/>
      <c r="J304" s="22" t="n"/>
      <c r="K304" s="23" t="n"/>
      <c r="L304" s="22" t="n"/>
      <c r="M304" s="23" t="n"/>
      <c r="N304" s="22" t="n"/>
      <c r="O304" s="22" t="n"/>
      <c r="P304" s="22" t="n"/>
      <c r="Q304" s="23" t="n"/>
      <c r="R304" s="22" t="n"/>
      <c r="S304" s="23" t="n"/>
      <c r="T304" s="22" t="n"/>
      <c r="U304" s="23" t="n"/>
      <c r="V304" s="24" t="n"/>
      <c r="W304" s="25">
        <f>IF(ISNUMBER(U304),U304+IF(ISNUMBER(V304),V304,120),"")</f>
        <v/>
      </c>
      <c r="X304" s="22" t="n"/>
      <c r="Y304" s="23" t="n"/>
      <c r="Z304" s="22" t="n"/>
      <c r="AA304" s="23" t="n"/>
      <c r="AB304" s="24" t="n"/>
      <c r="AC304" s="26">
        <f>IF(ISNUMBER(AD304)=FALSE,"",IF(G304=AD304,"State license",IF(I304=AD304,"DEA registration",IF(K304=AD304,"State CSR",IF(M304=AD304,"Board certification",IF(Q304=AD304,"Malpractice",IF(S304=AD304,"Life support",IF(W304=AD304,"CAQH re-attestation",IF(Y304=AD304,"Privileges reappointment","Payer recredentialing")))))))))</f>
        <v/>
      </c>
      <c r="AD304" s="25">
        <f>IF(OR(AND(LEN(G304)&gt;0,ISNUMBER(G304)=FALSE),AND(LEN(I304)&gt;0,ISNUMBER(I304)=FALSE),AND(LEN(K304)&gt;0,ISNUMBER(K304)=FALSE),AND(LEN(M304)&gt;0,ISNUMBER(M304)=FALSE),AND(LEN(Q304)&gt;0,ISNUMBER(Q304)=FALSE),AND(LEN(S304)&gt;0,ISNUMBER(S304)=FALSE),AND(LEN(Y304)&gt;0,ISNUMBER(Y304)=FALSE),AND(LEN(AA304)&gt;0,ISNUMBER(AA304)=FALSE),AND(LEN(U304)&gt;0,ISNUMBER(U304)=FALSE)),"Check date",IF(COUNT(G304,I304,K304,M304,Q304,S304,W304,Y304,AA304)=0,"",MIN(G304,I304,K304,M304,Q304,S304,W304,Y304,AA304)))</f>
        <v/>
      </c>
      <c r="AE304" s="25">
        <f>IF(ISNUMBER(AD304),AD304-IF(ISNUMBER(AB304),AB304,30),"")</f>
        <v/>
      </c>
      <c r="AF304" s="27">
        <f>IF(AD304="","",IF(ISNUMBER(AD304),AD304-TODAY(),"Check date"))</f>
        <v/>
      </c>
      <c r="AG304" s="28">
        <f>IF(AF304="","",IF(ISNUMBER(AF304),IF(AF304&lt;0,"Expired",IF(AF304&lt;=30,"Due ≤30 days",IF(AF304&lt;=90,"Due ≤90 days","OK"))),"Check date"))</f>
        <v/>
      </c>
      <c r="AH304" s="22" t="n"/>
      <c r="AI304" s="22" t="n"/>
      <c r="AJ304" s="22" t="n"/>
      <c r="AK304" s="22" t="n"/>
    </row>
    <row r="305">
      <c r="A305" s="22" t="n"/>
      <c r="B305" s="22" t="n"/>
      <c r="C305" s="22" t="n"/>
      <c r="D305" s="22" t="n"/>
      <c r="E305" s="22" t="n"/>
      <c r="F305" s="22" t="n"/>
      <c r="G305" s="23" t="n"/>
      <c r="H305" s="22" t="n"/>
      <c r="I305" s="23" t="n"/>
      <c r="J305" s="22" t="n"/>
      <c r="K305" s="23" t="n"/>
      <c r="L305" s="22" t="n"/>
      <c r="M305" s="23" t="n"/>
      <c r="N305" s="22" t="n"/>
      <c r="O305" s="22" t="n"/>
      <c r="P305" s="22" t="n"/>
      <c r="Q305" s="23" t="n"/>
      <c r="R305" s="22" t="n"/>
      <c r="S305" s="23" t="n"/>
      <c r="T305" s="22" t="n"/>
      <c r="U305" s="23" t="n"/>
      <c r="V305" s="24" t="n"/>
      <c r="W305" s="25">
        <f>IF(ISNUMBER(U305),U305+IF(ISNUMBER(V305),V305,120),"")</f>
        <v/>
      </c>
      <c r="X305" s="22" t="n"/>
      <c r="Y305" s="23" t="n"/>
      <c r="Z305" s="22" t="n"/>
      <c r="AA305" s="23" t="n"/>
      <c r="AB305" s="24" t="n"/>
      <c r="AC305" s="26">
        <f>IF(ISNUMBER(AD305)=FALSE,"",IF(G305=AD305,"State license",IF(I305=AD305,"DEA registration",IF(K305=AD305,"State CSR",IF(M305=AD305,"Board certification",IF(Q305=AD305,"Malpractice",IF(S305=AD305,"Life support",IF(W305=AD305,"CAQH re-attestation",IF(Y305=AD305,"Privileges reappointment","Payer recredentialing")))))))))</f>
        <v/>
      </c>
      <c r="AD305" s="25">
        <f>IF(OR(AND(LEN(G305)&gt;0,ISNUMBER(G305)=FALSE),AND(LEN(I305)&gt;0,ISNUMBER(I305)=FALSE),AND(LEN(K305)&gt;0,ISNUMBER(K305)=FALSE),AND(LEN(M305)&gt;0,ISNUMBER(M305)=FALSE),AND(LEN(Q305)&gt;0,ISNUMBER(Q305)=FALSE),AND(LEN(S305)&gt;0,ISNUMBER(S305)=FALSE),AND(LEN(Y305)&gt;0,ISNUMBER(Y305)=FALSE),AND(LEN(AA305)&gt;0,ISNUMBER(AA305)=FALSE),AND(LEN(U305)&gt;0,ISNUMBER(U305)=FALSE)),"Check date",IF(COUNT(G305,I305,K305,M305,Q305,S305,W305,Y305,AA305)=0,"",MIN(G305,I305,K305,M305,Q305,S305,W305,Y305,AA305)))</f>
        <v/>
      </c>
      <c r="AE305" s="25">
        <f>IF(ISNUMBER(AD305),AD305-IF(ISNUMBER(AB305),AB305,30),"")</f>
        <v/>
      </c>
      <c r="AF305" s="27">
        <f>IF(AD305="","",IF(ISNUMBER(AD305),AD305-TODAY(),"Check date"))</f>
        <v/>
      </c>
      <c r="AG305" s="28">
        <f>IF(AF305="","",IF(ISNUMBER(AF305),IF(AF305&lt;0,"Expired",IF(AF305&lt;=30,"Due ≤30 days",IF(AF305&lt;=90,"Due ≤90 days","OK"))),"Check date"))</f>
        <v/>
      </c>
      <c r="AH305" s="22" t="n"/>
      <c r="AI305" s="22" t="n"/>
      <c r="AJ305" s="22" t="n"/>
      <c r="AK305" s="22" t="n"/>
    </row>
    <row r="306">
      <c r="A306" s="22" t="n"/>
      <c r="B306" s="22" t="n"/>
      <c r="C306" s="22" t="n"/>
      <c r="D306" s="22" t="n"/>
      <c r="E306" s="22" t="n"/>
      <c r="F306" s="22" t="n"/>
      <c r="G306" s="23" t="n"/>
      <c r="H306" s="22" t="n"/>
      <c r="I306" s="23" t="n"/>
      <c r="J306" s="22" t="n"/>
      <c r="K306" s="23" t="n"/>
      <c r="L306" s="22" t="n"/>
      <c r="M306" s="23" t="n"/>
      <c r="N306" s="22" t="n"/>
      <c r="O306" s="22" t="n"/>
      <c r="P306" s="22" t="n"/>
      <c r="Q306" s="23" t="n"/>
      <c r="R306" s="22" t="n"/>
      <c r="S306" s="23" t="n"/>
      <c r="T306" s="22" t="n"/>
      <c r="U306" s="23" t="n"/>
      <c r="V306" s="24" t="n"/>
      <c r="W306" s="25">
        <f>IF(ISNUMBER(U306),U306+IF(ISNUMBER(V306),V306,120),"")</f>
        <v/>
      </c>
      <c r="X306" s="22" t="n"/>
      <c r="Y306" s="23" t="n"/>
      <c r="Z306" s="22" t="n"/>
      <c r="AA306" s="23" t="n"/>
      <c r="AB306" s="24" t="n"/>
      <c r="AC306" s="26">
        <f>IF(ISNUMBER(AD306)=FALSE,"",IF(G306=AD306,"State license",IF(I306=AD306,"DEA registration",IF(K306=AD306,"State CSR",IF(M306=AD306,"Board certification",IF(Q306=AD306,"Malpractice",IF(S306=AD306,"Life support",IF(W306=AD306,"CAQH re-attestation",IF(Y306=AD306,"Privileges reappointment","Payer recredentialing")))))))))</f>
        <v/>
      </c>
      <c r="AD306" s="25">
        <f>IF(OR(AND(LEN(G306)&gt;0,ISNUMBER(G306)=FALSE),AND(LEN(I306)&gt;0,ISNUMBER(I306)=FALSE),AND(LEN(K306)&gt;0,ISNUMBER(K306)=FALSE),AND(LEN(M306)&gt;0,ISNUMBER(M306)=FALSE),AND(LEN(Q306)&gt;0,ISNUMBER(Q306)=FALSE),AND(LEN(S306)&gt;0,ISNUMBER(S306)=FALSE),AND(LEN(Y306)&gt;0,ISNUMBER(Y306)=FALSE),AND(LEN(AA306)&gt;0,ISNUMBER(AA306)=FALSE),AND(LEN(U306)&gt;0,ISNUMBER(U306)=FALSE)),"Check date",IF(COUNT(G306,I306,K306,M306,Q306,S306,W306,Y306,AA306)=0,"",MIN(G306,I306,K306,M306,Q306,S306,W306,Y306,AA306)))</f>
        <v/>
      </c>
      <c r="AE306" s="25">
        <f>IF(ISNUMBER(AD306),AD306-IF(ISNUMBER(AB306),AB306,30),"")</f>
        <v/>
      </c>
      <c r="AF306" s="27">
        <f>IF(AD306="","",IF(ISNUMBER(AD306),AD306-TODAY(),"Check date"))</f>
        <v/>
      </c>
      <c r="AG306" s="28">
        <f>IF(AF306="","",IF(ISNUMBER(AF306),IF(AF306&lt;0,"Expired",IF(AF306&lt;=30,"Due ≤30 days",IF(AF306&lt;=90,"Due ≤90 days","OK"))),"Check date"))</f>
        <v/>
      </c>
      <c r="AH306" s="22" t="n"/>
      <c r="AI306" s="22" t="n"/>
      <c r="AJ306" s="22" t="n"/>
      <c r="AK306" s="22" t="n"/>
    </row>
    <row r="307">
      <c r="A307" s="22" t="n"/>
      <c r="B307" s="22" t="n"/>
      <c r="C307" s="22" t="n"/>
      <c r="D307" s="22" t="n"/>
      <c r="E307" s="22" t="n"/>
      <c r="F307" s="22" t="n"/>
      <c r="G307" s="23" t="n"/>
      <c r="H307" s="22" t="n"/>
      <c r="I307" s="23" t="n"/>
      <c r="J307" s="22" t="n"/>
      <c r="K307" s="23" t="n"/>
      <c r="L307" s="22" t="n"/>
      <c r="M307" s="23" t="n"/>
      <c r="N307" s="22" t="n"/>
      <c r="O307" s="22" t="n"/>
      <c r="P307" s="22" t="n"/>
      <c r="Q307" s="23" t="n"/>
      <c r="R307" s="22" t="n"/>
      <c r="S307" s="23" t="n"/>
      <c r="T307" s="22" t="n"/>
      <c r="U307" s="23" t="n"/>
      <c r="V307" s="24" t="n"/>
      <c r="W307" s="25">
        <f>IF(ISNUMBER(U307),U307+IF(ISNUMBER(V307),V307,120),"")</f>
        <v/>
      </c>
      <c r="X307" s="22" t="n"/>
      <c r="Y307" s="23" t="n"/>
      <c r="Z307" s="22" t="n"/>
      <c r="AA307" s="23" t="n"/>
      <c r="AB307" s="24" t="n"/>
      <c r="AC307" s="26">
        <f>IF(ISNUMBER(AD307)=FALSE,"",IF(G307=AD307,"State license",IF(I307=AD307,"DEA registration",IF(K307=AD307,"State CSR",IF(M307=AD307,"Board certification",IF(Q307=AD307,"Malpractice",IF(S307=AD307,"Life support",IF(W307=AD307,"CAQH re-attestation",IF(Y307=AD307,"Privileges reappointment","Payer recredentialing")))))))))</f>
        <v/>
      </c>
      <c r="AD307" s="25">
        <f>IF(OR(AND(LEN(G307)&gt;0,ISNUMBER(G307)=FALSE),AND(LEN(I307)&gt;0,ISNUMBER(I307)=FALSE),AND(LEN(K307)&gt;0,ISNUMBER(K307)=FALSE),AND(LEN(M307)&gt;0,ISNUMBER(M307)=FALSE),AND(LEN(Q307)&gt;0,ISNUMBER(Q307)=FALSE),AND(LEN(S307)&gt;0,ISNUMBER(S307)=FALSE),AND(LEN(Y307)&gt;0,ISNUMBER(Y307)=FALSE),AND(LEN(AA307)&gt;0,ISNUMBER(AA307)=FALSE),AND(LEN(U307)&gt;0,ISNUMBER(U307)=FALSE)),"Check date",IF(COUNT(G307,I307,K307,M307,Q307,S307,W307,Y307,AA307)=0,"",MIN(G307,I307,K307,M307,Q307,S307,W307,Y307,AA307)))</f>
        <v/>
      </c>
      <c r="AE307" s="25">
        <f>IF(ISNUMBER(AD307),AD307-IF(ISNUMBER(AB307),AB307,30),"")</f>
        <v/>
      </c>
      <c r="AF307" s="27">
        <f>IF(AD307="","",IF(ISNUMBER(AD307),AD307-TODAY(),"Check date"))</f>
        <v/>
      </c>
      <c r="AG307" s="28">
        <f>IF(AF307="","",IF(ISNUMBER(AF307),IF(AF307&lt;0,"Expired",IF(AF307&lt;=30,"Due ≤30 days",IF(AF307&lt;=90,"Due ≤90 days","OK"))),"Check date"))</f>
        <v/>
      </c>
      <c r="AH307" s="22" t="n"/>
      <c r="AI307" s="22" t="n"/>
      <c r="AJ307" s="22" t="n"/>
      <c r="AK307" s="22" t="n"/>
    </row>
    <row r="308">
      <c r="A308" s="22" t="n"/>
      <c r="B308" s="22" t="n"/>
      <c r="C308" s="22" t="n"/>
      <c r="D308" s="22" t="n"/>
      <c r="E308" s="22" t="n"/>
      <c r="F308" s="22" t="n"/>
      <c r="G308" s="23" t="n"/>
      <c r="H308" s="22" t="n"/>
      <c r="I308" s="23" t="n"/>
      <c r="J308" s="22" t="n"/>
      <c r="K308" s="23" t="n"/>
      <c r="L308" s="22" t="n"/>
      <c r="M308" s="23" t="n"/>
      <c r="N308" s="22" t="n"/>
      <c r="O308" s="22" t="n"/>
      <c r="P308" s="22" t="n"/>
      <c r="Q308" s="23" t="n"/>
      <c r="R308" s="22" t="n"/>
      <c r="S308" s="23" t="n"/>
      <c r="T308" s="22" t="n"/>
      <c r="U308" s="23" t="n"/>
      <c r="V308" s="24" t="n"/>
      <c r="W308" s="25">
        <f>IF(ISNUMBER(U308),U308+IF(ISNUMBER(V308),V308,120),"")</f>
        <v/>
      </c>
      <c r="X308" s="22" t="n"/>
      <c r="Y308" s="23" t="n"/>
      <c r="Z308" s="22" t="n"/>
      <c r="AA308" s="23" t="n"/>
      <c r="AB308" s="24" t="n"/>
      <c r="AC308" s="26">
        <f>IF(ISNUMBER(AD308)=FALSE,"",IF(G308=AD308,"State license",IF(I308=AD308,"DEA registration",IF(K308=AD308,"State CSR",IF(M308=AD308,"Board certification",IF(Q308=AD308,"Malpractice",IF(S308=AD308,"Life support",IF(W308=AD308,"CAQH re-attestation",IF(Y308=AD308,"Privileges reappointment","Payer recredentialing")))))))))</f>
        <v/>
      </c>
      <c r="AD308" s="25">
        <f>IF(OR(AND(LEN(G308)&gt;0,ISNUMBER(G308)=FALSE),AND(LEN(I308)&gt;0,ISNUMBER(I308)=FALSE),AND(LEN(K308)&gt;0,ISNUMBER(K308)=FALSE),AND(LEN(M308)&gt;0,ISNUMBER(M308)=FALSE),AND(LEN(Q308)&gt;0,ISNUMBER(Q308)=FALSE),AND(LEN(S308)&gt;0,ISNUMBER(S308)=FALSE),AND(LEN(Y308)&gt;0,ISNUMBER(Y308)=FALSE),AND(LEN(AA308)&gt;0,ISNUMBER(AA308)=FALSE),AND(LEN(U308)&gt;0,ISNUMBER(U308)=FALSE)),"Check date",IF(COUNT(G308,I308,K308,M308,Q308,S308,W308,Y308,AA308)=0,"",MIN(G308,I308,K308,M308,Q308,S308,W308,Y308,AA308)))</f>
        <v/>
      </c>
      <c r="AE308" s="25">
        <f>IF(ISNUMBER(AD308),AD308-IF(ISNUMBER(AB308),AB308,30),"")</f>
        <v/>
      </c>
      <c r="AF308" s="27">
        <f>IF(AD308="","",IF(ISNUMBER(AD308),AD308-TODAY(),"Check date"))</f>
        <v/>
      </c>
      <c r="AG308" s="28">
        <f>IF(AF308="","",IF(ISNUMBER(AF308),IF(AF308&lt;0,"Expired",IF(AF308&lt;=30,"Due ≤30 days",IF(AF308&lt;=90,"Due ≤90 days","OK"))),"Check date"))</f>
        <v/>
      </c>
      <c r="AH308" s="22" t="n"/>
      <c r="AI308" s="22" t="n"/>
      <c r="AJ308" s="22" t="n"/>
      <c r="AK308" s="22" t="n"/>
    </row>
    <row r="309">
      <c r="A309" s="22" t="n"/>
      <c r="B309" s="22" t="n"/>
      <c r="C309" s="22" t="n"/>
      <c r="D309" s="22" t="n"/>
      <c r="E309" s="22" t="n"/>
      <c r="F309" s="22" t="n"/>
      <c r="G309" s="23" t="n"/>
      <c r="H309" s="22" t="n"/>
      <c r="I309" s="23" t="n"/>
      <c r="J309" s="22" t="n"/>
      <c r="K309" s="23" t="n"/>
      <c r="L309" s="22" t="n"/>
      <c r="M309" s="23" t="n"/>
      <c r="N309" s="22" t="n"/>
      <c r="O309" s="22" t="n"/>
      <c r="P309" s="22" t="n"/>
      <c r="Q309" s="23" t="n"/>
      <c r="R309" s="22" t="n"/>
      <c r="S309" s="23" t="n"/>
      <c r="T309" s="22" t="n"/>
      <c r="U309" s="23" t="n"/>
      <c r="V309" s="24" t="n"/>
      <c r="W309" s="25">
        <f>IF(ISNUMBER(U309),U309+IF(ISNUMBER(V309),V309,120),"")</f>
        <v/>
      </c>
      <c r="X309" s="22" t="n"/>
      <c r="Y309" s="23" t="n"/>
      <c r="Z309" s="22" t="n"/>
      <c r="AA309" s="23" t="n"/>
      <c r="AB309" s="24" t="n"/>
      <c r="AC309" s="26">
        <f>IF(ISNUMBER(AD309)=FALSE,"",IF(G309=AD309,"State license",IF(I309=AD309,"DEA registration",IF(K309=AD309,"State CSR",IF(M309=AD309,"Board certification",IF(Q309=AD309,"Malpractice",IF(S309=AD309,"Life support",IF(W309=AD309,"CAQH re-attestation",IF(Y309=AD309,"Privileges reappointment","Payer recredentialing")))))))))</f>
        <v/>
      </c>
      <c r="AD309" s="25">
        <f>IF(OR(AND(LEN(G309)&gt;0,ISNUMBER(G309)=FALSE),AND(LEN(I309)&gt;0,ISNUMBER(I309)=FALSE),AND(LEN(K309)&gt;0,ISNUMBER(K309)=FALSE),AND(LEN(M309)&gt;0,ISNUMBER(M309)=FALSE),AND(LEN(Q309)&gt;0,ISNUMBER(Q309)=FALSE),AND(LEN(S309)&gt;0,ISNUMBER(S309)=FALSE),AND(LEN(Y309)&gt;0,ISNUMBER(Y309)=FALSE),AND(LEN(AA309)&gt;0,ISNUMBER(AA309)=FALSE),AND(LEN(U309)&gt;0,ISNUMBER(U309)=FALSE)),"Check date",IF(COUNT(G309,I309,K309,M309,Q309,S309,W309,Y309,AA309)=0,"",MIN(G309,I309,K309,M309,Q309,S309,W309,Y309,AA309)))</f>
        <v/>
      </c>
      <c r="AE309" s="25">
        <f>IF(ISNUMBER(AD309),AD309-IF(ISNUMBER(AB309),AB309,30),"")</f>
        <v/>
      </c>
      <c r="AF309" s="27">
        <f>IF(AD309="","",IF(ISNUMBER(AD309),AD309-TODAY(),"Check date"))</f>
        <v/>
      </c>
      <c r="AG309" s="28">
        <f>IF(AF309="","",IF(ISNUMBER(AF309),IF(AF309&lt;0,"Expired",IF(AF309&lt;=30,"Due ≤30 days",IF(AF309&lt;=90,"Due ≤90 days","OK"))),"Check date"))</f>
        <v/>
      </c>
      <c r="AH309" s="22" t="n"/>
      <c r="AI309" s="22" t="n"/>
      <c r="AJ309" s="22" t="n"/>
      <c r="AK309" s="22" t="n"/>
    </row>
    <row r="310">
      <c r="A310" s="22" t="n"/>
      <c r="B310" s="22" t="n"/>
      <c r="C310" s="22" t="n"/>
      <c r="D310" s="22" t="n"/>
      <c r="E310" s="22" t="n"/>
      <c r="F310" s="22" t="n"/>
      <c r="G310" s="23" t="n"/>
      <c r="H310" s="22" t="n"/>
      <c r="I310" s="23" t="n"/>
      <c r="J310" s="22" t="n"/>
      <c r="K310" s="23" t="n"/>
      <c r="L310" s="22" t="n"/>
      <c r="M310" s="23" t="n"/>
      <c r="N310" s="22" t="n"/>
      <c r="O310" s="22" t="n"/>
      <c r="P310" s="22" t="n"/>
      <c r="Q310" s="23" t="n"/>
      <c r="R310" s="22" t="n"/>
      <c r="S310" s="23" t="n"/>
      <c r="T310" s="22" t="n"/>
      <c r="U310" s="23" t="n"/>
      <c r="V310" s="24" t="n"/>
      <c r="W310" s="25">
        <f>IF(ISNUMBER(U310),U310+IF(ISNUMBER(V310),V310,120),"")</f>
        <v/>
      </c>
      <c r="X310" s="22" t="n"/>
      <c r="Y310" s="23" t="n"/>
      <c r="Z310" s="22" t="n"/>
      <c r="AA310" s="23" t="n"/>
      <c r="AB310" s="24" t="n"/>
      <c r="AC310" s="26">
        <f>IF(ISNUMBER(AD310)=FALSE,"",IF(G310=AD310,"State license",IF(I310=AD310,"DEA registration",IF(K310=AD310,"State CSR",IF(M310=AD310,"Board certification",IF(Q310=AD310,"Malpractice",IF(S310=AD310,"Life support",IF(W310=AD310,"CAQH re-attestation",IF(Y310=AD310,"Privileges reappointment","Payer recredentialing")))))))))</f>
        <v/>
      </c>
      <c r="AD310" s="25">
        <f>IF(OR(AND(LEN(G310)&gt;0,ISNUMBER(G310)=FALSE),AND(LEN(I310)&gt;0,ISNUMBER(I310)=FALSE),AND(LEN(K310)&gt;0,ISNUMBER(K310)=FALSE),AND(LEN(M310)&gt;0,ISNUMBER(M310)=FALSE),AND(LEN(Q310)&gt;0,ISNUMBER(Q310)=FALSE),AND(LEN(S310)&gt;0,ISNUMBER(S310)=FALSE),AND(LEN(Y310)&gt;0,ISNUMBER(Y310)=FALSE),AND(LEN(AA310)&gt;0,ISNUMBER(AA310)=FALSE),AND(LEN(U310)&gt;0,ISNUMBER(U310)=FALSE)),"Check date",IF(COUNT(G310,I310,K310,M310,Q310,S310,W310,Y310,AA310)=0,"",MIN(G310,I310,K310,M310,Q310,S310,W310,Y310,AA310)))</f>
        <v/>
      </c>
      <c r="AE310" s="25">
        <f>IF(ISNUMBER(AD310),AD310-IF(ISNUMBER(AB310),AB310,30),"")</f>
        <v/>
      </c>
      <c r="AF310" s="27">
        <f>IF(AD310="","",IF(ISNUMBER(AD310),AD310-TODAY(),"Check date"))</f>
        <v/>
      </c>
      <c r="AG310" s="28">
        <f>IF(AF310="","",IF(ISNUMBER(AF310),IF(AF310&lt;0,"Expired",IF(AF310&lt;=30,"Due ≤30 days",IF(AF310&lt;=90,"Due ≤90 days","OK"))),"Check date"))</f>
        <v/>
      </c>
      <c r="AH310" s="22" t="n"/>
      <c r="AI310" s="22" t="n"/>
      <c r="AJ310" s="22" t="n"/>
      <c r="AK310" s="22" t="n"/>
    </row>
    <row r="311">
      <c r="A311" s="22" t="n"/>
      <c r="B311" s="22" t="n"/>
      <c r="C311" s="22" t="n"/>
      <c r="D311" s="22" t="n"/>
      <c r="E311" s="22" t="n"/>
      <c r="F311" s="22" t="n"/>
      <c r="G311" s="23" t="n"/>
      <c r="H311" s="22" t="n"/>
      <c r="I311" s="23" t="n"/>
      <c r="J311" s="22" t="n"/>
      <c r="K311" s="23" t="n"/>
      <c r="L311" s="22" t="n"/>
      <c r="M311" s="23" t="n"/>
      <c r="N311" s="22" t="n"/>
      <c r="O311" s="22" t="n"/>
      <c r="P311" s="22" t="n"/>
      <c r="Q311" s="23" t="n"/>
      <c r="R311" s="22" t="n"/>
      <c r="S311" s="23" t="n"/>
      <c r="T311" s="22" t="n"/>
      <c r="U311" s="23" t="n"/>
      <c r="V311" s="24" t="n"/>
      <c r="W311" s="25">
        <f>IF(ISNUMBER(U311),U311+IF(ISNUMBER(V311),V311,120),"")</f>
        <v/>
      </c>
      <c r="X311" s="22" t="n"/>
      <c r="Y311" s="23" t="n"/>
      <c r="Z311" s="22" t="n"/>
      <c r="AA311" s="23" t="n"/>
      <c r="AB311" s="24" t="n"/>
      <c r="AC311" s="26">
        <f>IF(ISNUMBER(AD311)=FALSE,"",IF(G311=AD311,"State license",IF(I311=AD311,"DEA registration",IF(K311=AD311,"State CSR",IF(M311=AD311,"Board certification",IF(Q311=AD311,"Malpractice",IF(S311=AD311,"Life support",IF(W311=AD311,"CAQH re-attestation",IF(Y311=AD311,"Privileges reappointment","Payer recredentialing")))))))))</f>
        <v/>
      </c>
      <c r="AD311" s="25">
        <f>IF(OR(AND(LEN(G311)&gt;0,ISNUMBER(G311)=FALSE),AND(LEN(I311)&gt;0,ISNUMBER(I311)=FALSE),AND(LEN(K311)&gt;0,ISNUMBER(K311)=FALSE),AND(LEN(M311)&gt;0,ISNUMBER(M311)=FALSE),AND(LEN(Q311)&gt;0,ISNUMBER(Q311)=FALSE),AND(LEN(S311)&gt;0,ISNUMBER(S311)=FALSE),AND(LEN(Y311)&gt;0,ISNUMBER(Y311)=FALSE),AND(LEN(AA311)&gt;0,ISNUMBER(AA311)=FALSE),AND(LEN(U311)&gt;0,ISNUMBER(U311)=FALSE)),"Check date",IF(COUNT(G311,I311,K311,M311,Q311,S311,W311,Y311,AA311)=0,"",MIN(G311,I311,K311,M311,Q311,S311,W311,Y311,AA311)))</f>
        <v/>
      </c>
      <c r="AE311" s="25">
        <f>IF(ISNUMBER(AD311),AD311-IF(ISNUMBER(AB311),AB311,30),"")</f>
        <v/>
      </c>
      <c r="AF311" s="27">
        <f>IF(AD311="","",IF(ISNUMBER(AD311),AD311-TODAY(),"Check date"))</f>
        <v/>
      </c>
      <c r="AG311" s="28">
        <f>IF(AF311="","",IF(ISNUMBER(AF311),IF(AF311&lt;0,"Expired",IF(AF311&lt;=30,"Due ≤30 days",IF(AF311&lt;=90,"Due ≤90 days","OK"))),"Check date"))</f>
        <v/>
      </c>
      <c r="AH311" s="22" t="n"/>
      <c r="AI311" s="22" t="n"/>
      <c r="AJ311" s="22" t="n"/>
      <c r="AK311" s="22" t="n"/>
    </row>
    <row r="312">
      <c r="A312" s="22" t="n"/>
      <c r="B312" s="22" t="n"/>
      <c r="C312" s="22" t="n"/>
      <c r="D312" s="22" t="n"/>
      <c r="E312" s="22" t="n"/>
      <c r="F312" s="22" t="n"/>
      <c r="G312" s="23" t="n"/>
      <c r="H312" s="22" t="n"/>
      <c r="I312" s="23" t="n"/>
      <c r="J312" s="22" t="n"/>
      <c r="K312" s="23" t="n"/>
      <c r="L312" s="22" t="n"/>
      <c r="M312" s="23" t="n"/>
      <c r="N312" s="22" t="n"/>
      <c r="O312" s="22" t="n"/>
      <c r="P312" s="22" t="n"/>
      <c r="Q312" s="23" t="n"/>
      <c r="R312" s="22" t="n"/>
      <c r="S312" s="23" t="n"/>
      <c r="T312" s="22" t="n"/>
      <c r="U312" s="23" t="n"/>
      <c r="V312" s="24" t="n"/>
      <c r="W312" s="25">
        <f>IF(ISNUMBER(U312),U312+IF(ISNUMBER(V312),V312,120),"")</f>
        <v/>
      </c>
      <c r="X312" s="22" t="n"/>
      <c r="Y312" s="23" t="n"/>
      <c r="Z312" s="22" t="n"/>
      <c r="AA312" s="23" t="n"/>
      <c r="AB312" s="24" t="n"/>
      <c r="AC312" s="26">
        <f>IF(ISNUMBER(AD312)=FALSE,"",IF(G312=AD312,"State license",IF(I312=AD312,"DEA registration",IF(K312=AD312,"State CSR",IF(M312=AD312,"Board certification",IF(Q312=AD312,"Malpractice",IF(S312=AD312,"Life support",IF(W312=AD312,"CAQH re-attestation",IF(Y312=AD312,"Privileges reappointment","Payer recredentialing")))))))))</f>
        <v/>
      </c>
      <c r="AD312" s="25">
        <f>IF(OR(AND(LEN(G312)&gt;0,ISNUMBER(G312)=FALSE),AND(LEN(I312)&gt;0,ISNUMBER(I312)=FALSE),AND(LEN(K312)&gt;0,ISNUMBER(K312)=FALSE),AND(LEN(M312)&gt;0,ISNUMBER(M312)=FALSE),AND(LEN(Q312)&gt;0,ISNUMBER(Q312)=FALSE),AND(LEN(S312)&gt;0,ISNUMBER(S312)=FALSE),AND(LEN(Y312)&gt;0,ISNUMBER(Y312)=FALSE),AND(LEN(AA312)&gt;0,ISNUMBER(AA312)=FALSE),AND(LEN(U312)&gt;0,ISNUMBER(U312)=FALSE)),"Check date",IF(COUNT(G312,I312,K312,M312,Q312,S312,W312,Y312,AA312)=0,"",MIN(G312,I312,K312,M312,Q312,S312,W312,Y312,AA312)))</f>
        <v/>
      </c>
      <c r="AE312" s="25">
        <f>IF(ISNUMBER(AD312),AD312-IF(ISNUMBER(AB312),AB312,30),"")</f>
        <v/>
      </c>
      <c r="AF312" s="27">
        <f>IF(AD312="","",IF(ISNUMBER(AD312),AD312-TODAY(),"Check date"))</f>
        <v/>
      </c>
      <c r="AG312" s="28">
        <f>IF(AF312="","",IF(ISNUMBER(AF312),IF(AF312&lt;0,"Expired",IF(AF312&lt;=30,"Due ≤30 days",IF(AF312&lt;=90,"Due ≤90 days","OK"))),"Check date"))</f>
        <v/>
      </c>
      <c r="AH312" s="22" t="n"/>
      <c r="AI312" s="22" t="n"/>
      <c r="AJ312" s="22" t="n"/>
      <c r="AK312" s="22" t="n"/>
    </row>
    <row r="313">
      <c r="A313" s="22" t="n"/>
      <c r="B313" s="22" t="n"/>
      <c r="C313" s="22" t="n"/>
      <c r="D313" s="22" t="n"/>
      <c r="E313" s="22" t="n"/>
      <c r="F313" s="22" t="n"/>
      <c r="G313" s="23" t="n"/>
      <c r="H313" s="22" t="n"/>
      <c r="I313" s="23" t="n"/>
      <c r="J313" s="22" t="n"/>
      <c r="K313" s="23" t="n"/>
      <c r="L313" s="22" t="n"/>
      <c r="M313" s="23" t="n"/>
      <c r="N313" s="22" t="n"/>
      <c r="O313" s="22" t="n"/>
      <c r="P313" s="22" t="n"/>
      <c r="Q313" s="23" t="n"/>
      <c r="R313" s="22" t="n"/>
      <c r="S313" s="23" t="n"/>
      <c r="T313" s="22" t="n"/>
      <c r="U313" s="23" t="n"/>
      <c r="V313" s="24" t="n"/>
      <c r="W313" s="25">
        <f>IF(ISNUMBER(U313),U313+IF(ISNUMBER(V313),V313,120),"")</f>
        <v/>
      </c>
      <c r="X313" s="22" t="n"/>
      <c r="Y313" s="23" t="n"/>
      <c r="Z313" s="22" t="n"/>
      <c r="AA313" s="23" t="n"/>
      <c r="AB313" s="24" t="n"/>
      <c r="AC313" s="26">
        <f>IF(ISNUMBER(AD313)=FALSE,"",IF(G313=AD313,"State license",IF(I313=AD313,"DEA registration",IF(K313=AD313,"State CSR",IF(M313=AD313,"Board certification",IF(Q313=AD313,"Malpractice",IF(S313=AD313,"Life support",IF(W313=AD313,"CAQH re-attestation",IF(Y313=AD313,"Privileges reappointment","Payer recredentialing")))))))))</f>
        <v/>
      </c>
      <c r="AD313" s="25">
        <f>IF(OR(AND(LEN(G313)&gt;0,ISNUMBER(G313)=FALSE),AND(LEN(I313)&gt;0,ISNUMBER(I313)=FALSE),AND(LEN(K313)&gt;0,ISNUMBER(K313)=FALSE),AND(LEN(M313)&gt;0,ISNUMBER(M313)=FALSE),AND(LEN(Q313)&gt;0,ISNUMBER(Q313)=FALSE),AND(LEN(S313)&gt;0,ISNUMBER(S313)=FALSE),AND(LEN(Y313)&gt;0,ISNUMBER(Y313)=FALSE),AND(LEN(AA313)&gt;0,ISNUMBER(AA313)=FALSE),AND(LEN(U313)&gt;0,ISNUMBER(U313)=FALSE)),"Check date",IF(COUNT(G313,I313,K313,M313,Q313,S313,W313,Y313,AA313)=0,"",MIN(G313,I313,K313,M313,Q313,S313,W313,Y313,AA313)))</f>
        <v/>
      </c>
      <c r="AE313" s="25">
        <f>IF(ISNUMBER(AD313),AD313-IF(ISNUMBER(AB313),AB313,30),"")</f>
        <v/>
      </c>
      <c r="AF313" s="27">
        <f>IF(AD313="","",IF(ISNUMBER(AD313),AD313-TODAY(),"Check date"))</f>
        <v/>
      </c>
      <c r="AG313" s="28">
        <f>IF(AF313="","",IF(ISNUMBER(AF313),IF(AF313&lt;0,"Expired",IF(AF313&lt;=30,"Due ≤30 days",IF(AF313&lt;=90,"Due ≤90 days","OK"))),"Check date"))</f>
        <v/>
      </c>
      <c r="AH313" s="22" t="n"/>
      <c r="AI313" s="22" t="n"/>
      <c r="AJ313" s="22" t="n"/>
      <c r="AK313" s="22" t="n"/>
    </row>
    <row r="314">
      <c r="A314" s="22" t="n"/>
      <c r="B314" s="22" t="n"/>
      <c r="C314" s="22" t="n"/>
      <c r="D314" s="22" t="n"/>
      <c r="E314" s="22" t="n"/>
      <c r="F314" s="22" t="n"/>
      <c r="G314" s="23" t="n"/>
      <c r="H314" s="22" t="n"/>
      <c r="I314" s="23" t="n"/>
      <c r="J314" s="22" t="n"/>
      <c r="K314" s="23" t="n"/>
      <c r="L314" s="22" t="n"/>
      <c r="M314" s="23" t="n"/>
      <c r="N314" s="22" t="n"/>
      <c r="O314" s="22" t="n"/>
      <c r="P314" s="22" t="n"/>
      <c r="Q314" s="23" t="n"/>
      <c r="R314" s="22" t="n"/>
      <c r="S314" s="23" t="n"/>
      <c r="T314" s="22" t="n"/>
      <c r="U314" s="23" t="n"/>
      <c r="V314" s="24" t="n"/>
      <c r="W314" s="25">
        <f>IF(ISNUMBER(U314),U314+IF(ISNUMBER(V314),V314,120),"")</f>
        <v/>
      </c>
      <c r="X314" s="22" t="n"/>
      <c r="Y314" s="23" t="n"/>
      <c r="Z314" s="22" t="n"/>
      <c r="AA314" s="23" t="n"/>
      <c r="AB314" s="24" t="n"/>
      <c r="AC314" s="26">
        <f>IF(ISNUMBER(AD314)=FALSE,"",IF(G314=AD314,"State license",IF(I314=AD314,"DEA registration",IF(K314=AD314,"State CSR",IF(M314=AD314,"Board certification",IF(Q314=AD314,"Malpractice",IF(S314=AD314,"Life support",IF(W314=AD314,"CAQH re-attestation",IF(Y314=AD314,"Privileges reappointment","Payer recredentialing")))))))))</f>
        <v/>
      </c>
      <c r="AD314" s="25">
        <f>IF(OR(AND(LEN(G314)&gt;0,ISNUMBER(G314)=FALSE),AND(LEN(I314)&gt;0,ISNUMBER(I314)=FALSE),AND(LEN(K314)&gt;0,ISNUMBER(K314)=FALSE),AND(LEN(M314)&gt;0,ISNUMBER(M314)=FALSE),AND(LEN(Q314)&gt;0,ISNUMBER(Q314)=FALSE),AND(LEN(S314)&gt;0,ISNUMBER(S314)=FALSE),AND(LEN(Y314)&gt;0,ISNUMBER(Y314)=FALSE),AND(LEN(AA314)&gt;0,ISNUMBER(AA314)=FALSE),AND(LEN(U314)&gt;0,ISNUMBER(U314)=FALSE)),"Check date",IF(COUNT(G314,I314,K314,M314,Q314,S314,W314,Y314,AA314)=0,"",MIN(G314,I314,K314,M314,Q314,S314,W314,Y314,AA314)))</f>
        <v/>
      </c>
      <c r="AE314" s="25">
        <f>IF(ISNUMBER(AD314),AD314-IF(ISNUMBER(AB314),AB314,30),"")</f>
        <v/>
      </c>
      <c r="AF314" s="27">
        <f>IF(AD314="","",IF(ISNUMBER(AD314),AD314-TODAY(),"Check date"))</f>
        <v/>
      </c>
      <c r="AG314" s="28">
        <f>IF(AF314="","",IF(ISNUMBER(AF314),IF(AF314&lt;0,"Expired",IF(AF314&lt;=30,"Due ≤30 days",IF(AF314&lt;=90,"Due ≤90 days","OK"))),"Check date"))</f>
        <v/>
      </c>
      <c r="AH314" s="22" t="n"/>
      <c r="AI314" s="22" t="n"/>
      <c r="AJ314" s="22" t="n"/>
      <c r="AK314" s="22" t="n"/>
    </row>
    <row r="315">
      <c r="A315" s="22" t="n"/>
      <c r="B315" s="22" t="n"/>
      <c r="C315" s="22" t="n"/>
      <c r="D315" s="22" t="n"/>
      <c r="E315" s="22" t="n"/>
      <c r="F315" s="22" t="n"/>
      <c r="G315" s="23" t="n"/>
      <c r="H315" s="22" t="n"/>
      <c r="I315" s="23" t="n"/>
      <c r="J315" s="22" t="n"/>
      <c r="K315" s="23" t="n"/>
      <c r="L315" s="22" t="n"/>
      <c r="M315" s="23" t="n"/>
      <c r="N315" s="22" t="n"/>
      <c r="O315" s="22" t="n"/>
      <c r="P315" s="22" t="n"/>
      <c r="Q315" s="23" t="n"/>
      <c r="R315" s="22" t="n"/>
      <c r="S315" s="23" t="n"/>
      <c r="T315" s="22" t="n"/>
      <c r="U315" s="23" t="n"/>
      <c r="V315" s="24" t="n"/>
      <c r="W315" s="25">
        <f>IF(ISNUMBER(U315),U315+IF(ISNUMBER(V315),V315,120),"")</f>
        <v/>
      </c>
      <c r="X315" s="22" t="n"/>
      <c r="Y315" s="23" t="n"/>
      <c r="Z315" s="22" t="n"/>
      <c r="AA315" s="23" t="n"/>
      <c r="AB315" s="24" t="n"/>
      <c r="AC315" s="26">
        <f>IF(ISNUMBER(AD315)=FALSE,"",IF(G315=AD315,"State license",IF(I315=AD315,"DEA registration",IF(K315=AD315,"State CSR",IF(M315=AD315,"Board certification",IF(Q315=AD315,"Malpractice",IF(S315=AD315,"Life support",IF(W315=AD315,"CAQH re-attestation",IF(Y315=AD315,"Privileges reappointment","Payer recredentialing")))))))))</f>
        <v/>
      </c>
      <c r="AD315" s="25">
        <f>IF(OR(AND(LEN(G315)&gt;0,ISNUMBER(G315)=FALSE),AND(LEN(I315)&gt;0,ISNUMBER(I315)=FALSE),AND(LEN(K315)&gt;0,ISNUMBER(K315)=FALSE),AND(LEN(M315)&gt;0,ISNUMBER(M315)=FALSE),AND(LEN(Q315)&gt;0,ISNUMBER(Q315)=FALSE),AND(LEN(S315)&gt;0,ISNUMBER(S315)=FALSE),AND(LEN(Y315)&gt;0,ISNUMBER(Y315)=FALSE),AND(LEN(AA315)&gt;0,ISNUMBER(AA315)=FALSE),AND(LEN(U315)&gt;0,ISNUMBER(U315)=FALSE)),"Check date",IF(COUNT(G315,I315,K315,M315,Q315,S315,W315,Y315,AA315)=0,"",MIN(G315,I315,K315,M315,Q315,S315,W315,Y315,AA315)))</f>
        <v/>
      </c>
      <c r="AE315" s="25">
        <f>IF(ISNUMBER(AD315),AD315-IF(ISNUMBER(AB315),AB315,30),"")</f>
        <v/>
      </c>
      <c r="AF315" s="27">
        <f>IF(AD315="","",IF(ISNUMBER(AD315),AD315-TODAY(),"Check date"))</f>
        <v/>
      </c>
      <c r="AG315" s="28">
        <f>IF(AF315="","",IF(ISNUMBER(AF315),IF(AF315&lt;0,"Expired",IF(AF315&lt;=30,"Due ≤30 days",IF(AF315&lt;=90,"Due ≤90 days","OK"))),"Check date"))</f>
        <v/>
      </c>
      <c r="AH315" s="22" t="n"/>
      <c r="AI315" s="22" t="n"/>
      <c r="AJ315" s="22" t="n"/>
      <c r="AK315" s="22" t="n"/>
    </row>
    <row r="316">
      <c r="A316" s="22" t="n"/>
      <c r="B316" s="22" t="n"/>
      <c r="C316" s="22" t="n"/>
      <c r="D316" s="22" t="n"/>
      <c r="E316" s="22" t="n"/>
      <c r="F316" s="22" t="n"/>
      <c r="G316" s="23" t="n"/>
      <c r="H316" s="22" t="n"/>
      <c r="I316" s="23" t="n"/>
      <c r="J316" s="22" t="n"/>
      <c r="K316" s="23" t="n"/>
      <c r="L316" s="22" t="n"/>
      <c r="M316" s="23" t="n"/>
      <c r="N316" s="22" t="n"/>
      <c r="O316" s="22" t="n"/>
      <c r="P316" s="22" t="n"/>
      <c r="Q316" s="23" t="n"/>
      <c r="R316" s="22" t="n"/>
      <c r="S316" s="23" t="n"/>
      <c r="T316" s="22" t="n"/>
      <c r="U316" s="23" t="n"/>
      <c r="V316" s="24" t="n"/>
      <c r="W316" s="25">
        <f>IF(ISNUMBER(U316),U316+IF(ISNUMBER(V316),V316,120),"")</f>
        <v/>
      </c>
      <c r="X316" s="22" t="n"/>
      <c r="Y316" s="23" t="n"/>
      <c r="Z316" s="22" t="n"/>
      <c r="AA316" s="23" t="n"/>
      <c r="AB316" s="24" t="n"/>
      <c r="AC316" s="26">
        <f>IF(ISNUMBER(AD316)=FALSE,"",IF(G316=AD316,"State license",IF(I316=AD316,"DEA registration",IF(K316=AD316,"State CSR",IF(M316=AD316,"Board certification",IF(Q316=AD316,"Malpractice",IF(S316=AD316,"Life support",IF(W316=AD316,"CAQH re-attestation",IF(Y316=AD316,"Privileges reappointment","Payer recredentialing")))))))))</f>
        <v/>
      </c>
      <c r="AD316" s="25">
        <f>IF(OR(AND(LEN(G316)&gt;0,ISNUMBER(G316)=FALSE),AND(LEN(I316)&gt;0,ISNUMBER(I316)=FALSE),AND(LEN(K316)&gt;0,ISNUMBER(K316)=FALSE),AND(LEN(M316)&gt;0,ISNUMBER(M316)=FALSE),AND(LEN(Q316)&gt;0,ISNUMBER(Q316)=FALSE),AND(LEN(S316)&gt;0,ISNUMBER(S316)=FALSE),AND(LEN(Y316)&gt;0,ISNUMBER(Y316)=FALSE),AND(LEN(AA316)&gt;0,ISNUMBER(AA316)=FALSE),AND(LEN(U316)&gt;0,ISNUMBER(U316)=FALSE)),"Check date",IF(COUNT(G316,I316,K316,M316,Q316,S316,W316,Y316,AA316)=0,"",MIN(G316,I316,K316,M316,Q316,S316,W316,Y316,AA316)))</f>
        <v/>
      </c>
      <c r="AE316" s="25">
        <f>IF(ISNUMBER(AD316),AD316-IF(ISNUMBER(AB316),AB316,30),"")</f>
        <v/>
      </c>
      <c r="AF316" s="27">
        <f>IF(AD316="","",IF(ISNUMBER(AD316),AD316-TODAY(),"Check date"))</f>
        <v/>
      </c>
      <c r="AG316" s="28">
        <f>IF(AF316="","",IF(ISNUMBER(AF316),IF(AF316&lt;0,"Expired",IF(AF316&lt;=30,"Due ≤30 days",IF(AF316&lt;=90,"Due ≤90 days","OK"))),"Check date"))</f>
        <v/>
      </c>
      <c r="AH316" s="22" t="n"/>
      <c r="AI316" s="22" t="n"/>
      <c r="AJ316" s="22" t="n"/>
      <c r="AK316" s="22" t="n"/>
    </row>
    <row r="317">
      <c r="A317" s="22" t="n"/>
      <c r="B317" s="22" t="n"/>
      <c r="C317" s="22" t="n"/>
      <c r="D317" s="22" t="n"/>
      <c r="E317" s="22" t="n"/>
      <c r="F317" s="22" t="n"/>
      <c r="G317" s="23" t="n"/>
      <c r="H317" s="22" t="n"/>
      <c r="I317" s="23" t="n"/>
      <c r="J317" s="22" t="n"/>
      <c r="K317" s="23" t="n"/>
      <c r="L317" s="22" t="n"/>
      <c r="M317" s="23" t="n"/>
      <c r="N317" s="22" t="n"/>
      <c r="O317" s="22" t="n"/>
      <c r="P317" s="22" t="n"/>
      <c r="Q317" s="23" t="n"/>
      <c r="R317" s="22" t="n"/>
      <c r="S317" s="23" t="n"/>
      <c r="T317" s="22" t="n"/>
      <c r="U317" s="23" t="n"/>
      <c r="V317" s="24" t="n"/>
      <c r="W317" s="25">
        <f>IF(ISNUMBER(U317),U317+IF(ISNUMBER(V317),V317,120),"")</f>
        <v/>
      </c>
      <c r="X317" s="22" t="n"/>
      <c r="Y317" s="23" t="n"/>
      <c r="Z317" s="22" t="n"/>
      <c r="AA317" s="23" t="n"/>
      <c r="AB317" s="24" t="n"/>
      <c r="AC317" s="26">
        <f>IF(ISNUMBER(AD317)=FALSE,"",IF(G317=AD317,"State license",IF(I317=AD317,"DEA registration",IF(K317=AD317,"State CSR",IF(M317=AD317,"Board certification",IF(Q317=AD317,"Malpractice",IF(S317=AD317,"Life support",IF(W317=AD317,"CAQH re-attestation",IF(Y317=AD317,"Privileges reappointment","Payer recredentialing")))))))))</f>
        <v/>
      </c>
      <c r="AD317" s="25">
        <f>IF(OR(AND(LEN(G317)&gt;0,ISNUMBER(G317)=FALSE),AND(LEN(I317)&gt;0,ISNUMBER(I317)=FALSE),AND(LEN(K317)&gt;0,ISNUMBER(K317)=FALSE),AND(LEN(M317)&gt;0,ISNUMBER(M317)=FALSE),AND(LEN(Q317)&gt;0,ISNUMBER(Q317)=FALSE),AND(LEN(S317)&gt;0,ISNUMBER(S317)=FALSE),AND(LEN(Y317)&gt;0,ISNUMBER(Y317)=FALSE),AND(LEN(AA317)&gt;0,ISNUMBER(AA317)=FALSE),AND(LEN(U317)&gt;0,ISNUMBER(U317)=FALSE)),"Check date",IF(COUNT(G317,I317,K317,M317,Q317,S317,W317,Y317,AA317)=0,"",MIN(G317,I317,K317,M317,Q317,S317,W317,Y317,AA317)))</f>
        <v/>
      </c>
      <c r="AE317" s="25">
        <f>IF(ISNUMBER(AD317),AD317-IF(ISNUMBER(AB317),AB317,30),"")</f>
        <v/>
      </c>
      <c r="AF317" s="27">
        <f>IF(AD317="","",IF(ISNUMBER(AD317),AD317-TODAY(),"Check date"))</f>
        <v/>
      </c>
      <c r="AG317" s="28">
        <f>IF(AF317="","",IF(ISNUMBER(AF317),IF(AF317&lt;0,"Expired",IF(AF317&lt;=30,"Due ≤30 days",IF(AF317&lt;=90,"Due ≤90 days","OK"))),"Check date"))</f>
        <v/>
      </c>
      <c r="AH317" s="22" t="n"/>
      <c r="AI317" s="22" t="n"/>
      <c r="AJ317" s="22" t="n"/>
      <c r="AK317" s="22" t="n"/>
    </row>
    <row r="318">
      <c r="A318" s="22" t="n"/>
      <c r="B318" s="22" t="n"/>
      <c r="C318" s="22" t="n"/>
      <c r="D318" s="22" t="n"/>
      <c r="E318" s="22" t="n"/>
      <c r="F318" s="22" t="n"/>
      <c r="G318" s="23" t="n"/>
      <c r="H318" s="22" t="n"/>
      <c r="I318" s="23" t="n"/>
      <c r="J318" s="22" t="n"/>
      <c r="K318" s="23" t="n"/>
      <c r="L318" s="22" t="n"/>
      <c r="M318" s="23" t="n"/>
      <c r="N318" s="22" t="n"/>
      <c r="O318" s="22" t="n"/>
      <c r="P318" s="22" t="n"/>
      <c r="Q318" s="23" t="n"/>
      <c r="R318" s="22" t="n"/>
      <c r="S318" s="23" t="n"/>
      <c r="T318" s="22" t="n"/>
      <c r="U318" s="23" t="n"/>
      <c r="V318" s="24" t="n"/>
      <c r="W318" s="25">
        <f>IF(ISNUMBER(U318),U318+IF(ISNUMBER(V318),V318,120),"")</f>
        <v/>
      </c>
      <c r="X318" s="22" t="n"/>
      <c r="Y318" s="23" t="n"/>
      <c r="Z318" s="22" t="n"/>
      <c r="AA318" s="23" t="n"/>
      <c r="AB318" s="24" t="n"/>
      <c r="AC318" s="26">
        <f>IF(ISNUMBER(AD318)=FALSE,"",IF(G318=AD318,"State license",IF(I318=AD318,"DEA registration",IF(K318=AD318,"State CSR",IF(M318=AD318,"Board certification",IF(Q318=AD318,"Malpractice",IF(S318=AD318,"Life support",IF(W318=AD318,"CAQH re-attestation",IF(Y318=AD318,"Privileges reappointment","Payer recredentialing")))))))))</f>
        <v/>
      </c>
      <c r="AD318" s="25">
        <f>IF(OR(AND(LEN(G318)&gt;0,ISNUMBER(G318)=FALSE),AND(LEN(I318)&gt;0,ISNUMBER(I318)=FALSE),AND(LEN(K318)&gt;0,ISNUMBER(K318)=FALSE),AND(LEN(M318)&gt;0,ISNUMBER(M318)=FALSE),AND(LEN(Q318)&gt;0,ISNUMBER(Q318)=FALSE),AND(LEN(S318)&gt;0,ISNUMBER(S318)=FALSE),AND(LEN(Y318)&gt;0,ISNUMBER(Y318)=FALSE),AND(LEN(AA318)&gt;0,ISNUMBER(AA318)=FALSE),AND(LEN(U318)&gt;0,ISNUMBER(U318)=FALSE)),"Check date",IF(COUNT(G318,I318,K318,M318,Q318,S318,W318,Y318,AA318)=0,"",MIN(G318,I318,K318,M318,Q318,S318,W318,Y318,AA318)))</f>
        <v/>
      </c>
      <c r="AE318" s="25">
        <f>IF(ISNUMBER(AD318),AD318-IF(ISNUMBER(AB318),AB318,30),"")</f>
        <v/>
      </c>
      <c r="AF318" s="27">
        <f>IF(AD318="","",IF(ISNUMBER(AD318),AD318-TODAY(),"Check date"))</f>
        <v/>
      </c>
      <c r="AG318" s="28">
        <f>IF(AF318="","",IF(ISNUMBER(AF318),IF(AF318&lt;0,"Expired",IF(AF318&lt;=30,"Due ≤30 days",IF(AF318&lt;=90,"Due ≤90 days","OK"))),"Check date"))</f>
        <v/>
      </c>
      <c r="AH318" s="22" t="n"/>
      <c r="AI318" s="22" t="n"/>
      <c r="AJ318" s="22" t="n"/>
      <c r="AK318" s="22" t="n"/>
    </row>
    <row r="319">
      <c r="A319" s="22" t="n"/>
      <c r="B319" s="22" t="n"/>
      <c r="C319" s="22" t="n"/>
      <c r="D319" s="22" t="n"/>
      <c r="E319" s="22" t="n"/>
      <c r="F319" s="22" t="n"/>
      <c r="G319" s="23" t="n"/>
      <c r="H319" s="22" t="n"/>
      <c r="I319" s="23" t="n"/>
      <c r="J319" s="22" t="n"/>
      <c r="K319" s="23" t="n"/>
      <c r="L319" s="22" t="n"/>
      <c r="M319" s="23" t="n"/>
      <c r="N319" s="22" t="n"/>
      <c r="O319" s="22" t="n"/>
      <c r="P319" s="22" t="n"/>
      <c r="Q319" s="23" t="n"/>
      <c r="R319" s="22" t="n"/>
      <c r="S319" s="23" t="n"/>
      <c r="T319" s="22" t="n"/>
      <c r="U319" s="23" t="n"/>
      <c r="V319" s="24" t="n"/>
      <c r="W319" s="25">
        <f>IF(ISNUMBER(U319),U319+IF(ISNUMBER(V319),V319,120),"")</f>
        <v/>
      </c>
      <c r="X319" s="22" t="n"/>
      <c r="Y319" s="23" t="n"/>
      <c r="Z319" s="22" t="n"/>
      <c r="AA319" s="23" t="n"/>
      <c r="AB319" s="24" t="n"/>
      <c r="AC319" s="26">
        <f>IF(ISNUMBER(AD319)=FALSE,"",IF(G319=AD319,"State license",IF(I319=AD319,"DEA registration",IF(K319=AD319,"State CSR",IF(M319=AD319,"Board certification",IF(Q319=AD319,"Malpractice",IF(S319=AD319,"Life support",IF(W319=AD319,"CAQH re-attestation",IF(Y319=AD319,"Privileges reappointment","Payer recredentialing")))))))))</f>
        <v/>
      </c>
      <c r="AD319" s="25">
        <f>IF(OR(AND(LEN(G319)&gt;0,ISNUMBER(G319)=FALSE),AND(LEN(I319)&gt;0,ISNUMBER(I319)=FALSE),AND(LEN(K319)&gt;0,ISNUMBER(K319)=FALSE),AND(LEN(M319)&gt;0,ISNUMBER(M319)=FALSE),AND(LEN(Q319)&gt;0,ISNUMBER(Q319)=FALSE),AND(LEN(S319)&gt;0,ISNUMBER(S319)=FALSE),AND(LEN(Y319)&gt;0,ISNUMBER(Y319)=FALSE),AND(LEN(AA319)&gt;0,ISNUMBER(AA319)=FALSE),AND(LEN(U319)&gt;0,ISNUMBER(U319)=FALSE)),"Check date",IF(COUNT(G319,I319,K319,M319,Q319,S319,W319,Y319,AA319)=0,"",MIN(G319,I319,K319,M319,Q319,S319,W319,Y319,AA319)))</f>
        <v/>
      </c>
      <c r="AE319" s="25">
        <f>IF(ISNUMBER(AD319),AD319-IF(ISNUMBER(AB319),AB319,30),"")</f>
        <v/>
      </c>
      <c r="AF319" s="27">
        <f>IF(AD319="","",IF(ISNUMBER(AD319),AD319-TODAY(),"Check date"))</f>
        <v/>
      </c>
      <c r="AG319" s="28">
        <f>IF(AF319="","",IF(ISNUMBER(AF319),IF(AF319&lt;0,"Expired",IF(AF319&lt;=30,"Due ≤30 days",IF(AF319&lt;=90,"Due ≤90 days","OK"))),"Check date"))</f>
        <v/>
      </c>
      <c r="AH319" s="22" t="n"/>
      <c r="AI319" s="22" t="n"/>
      <c r="AJ319" s="22" t="n"/>
      <c r="AK319" s="22" t="n"/>
    </row>
    <row r="320">
      <c r="A320" s="22" t="n"/>
      <c r="B320" s="22" t="n"/>
      <c r="C320" s="22" t="n"/>
      <c r="D320" s="22" t="n"/>
      <c r="E320" s="22" t="n"/>
      <c r="F320" s="22" t="n"/>
      <c r="G320" s="23" t="n"/>
      <c r="H320" s="22" t="n"/>
      <c r="I320" s="23" t="n"/>
      <c r="J320" s="22" t="n"/>
      <c r="K320" s="23" t="n"/>
      <c r="L320" s="22" t="n"/>
      <c r="M320" s="23" t="n"/>
      <c r="N320" s="22" t="n"/>
      <c r="O320" s="22" t="n"/>
      <c r="P320" s="22" t="n"/>
      <c r="Q320" s="23" t="n"/>
      <c r="R320" s="22" t="n"/>
      <c r="S320" s="23" t="n"/>
      <c r="T320" s="22" t="n"/>
      <c r="U320" s="23" t="n"/>
      <c r="V320" s="24" t="n"/>
      <c r="W320" s="25">
        <f>IF(ISNUMBER(U320),U320+IF(ISNUMBER(V320),V320,120),"")</f>
        <v/>
      </c>
      <c r="X320" s="22" t="n"/>
      <c r="Y320" s="23" t="n"/>
      <c r="Z320" s="22" t="n"/>
      <c r="AA320" s="23" t="n"/>
      <c r="AB320" s="24" t="n"/>
      <c r="AC320" s="26">
        <f>IF(ISNUMBER(AD320)=FALSE,"",IF(G320=AD320,"State license",IF(I320=AD320,"DEA registration",IF(K320=AD320,"State CSR",IF(M320=AD320,"Board certification",IF(Q320=AD320,"Malpractice",IF(S320=AD320,"Life support",IF(W320=AD320,"CAQH re-attestation",IF(Y320=AD320,"Privileges reappointment","Payer recredentialing")))))))))</f>
        <v/>
      </c>
      <c r="AD320" s="25">
        <f>IF(OR(AND(LEN(G320)&gt;0,ISNUMBER(G320)=FALSE),AND(LEN(I320)&gt;0,ISNUMBER(I320)=FALSE),AND(LEN(K320)&gt;0,ISNUMBER(K320)=FALSE),AND(LEN(M320)&gt;0,ISNUMBER(M320)=FALSE),AND(LEN(Q320)&gt;0,ISNUMBER(Q320)=FALSE),AND(LEN(S320)&gt;0,ISNUMBER(S320)=FALSE),AND(LEN(Y320)&gt;0,ISNUMBER(Y320)=FALSE),AND(LEN(AA320)&gt;0,ISNUMBER(AA320)=FALSE),AND(LEN(U320)&gt;0,ISNUMBER(U320)=FALSE)),"Check date",IF(COUNT(G320,I320,K320,M320,Q320,S320,W320,Y320,AA320)=0,"",MIN(G320,I320,K320,M320,Q320,S320,W320,Y320,AA320)))</f>
        <v/>
      </c>
      <c r="AE320" s="25">
        <f>IF(ISNUMBER(AD320),AD320-IF(ISNUMBER(AB320),AB320,30),"")</f>
        <v/>
      </c>
      <c r="AF320" s="27">
        <f>IF(AD320="","",IF(ISNUMBER(AD320),AD320-TODAY(),"Check date"))</f>
        <v/>
      </c>
      <c r="AG320" s="28">
        <f>IF(AF320="","",IF(ISNUMBER(AF320),IF(AF320&lt;0,"Expired",IF(AF320&lt;=30,"Due ≤30 days",IF(AF320&lt;=90,"Due ≤90 days","OK"))),"Check date"))</f>
        <v/>
      </c>
      <c r="AH320" s="22" t="n"/>
      <c r="AI320" s="22" t="n"/>
      <c r="AJ320" s="22" t="n"/>
      <c r="AK320" s="22" t="n"/>
    </row>
    <row r="321">
      <c r="A321" s="22" t="n"/>
      <c r="B321" s="22" t="n"/>
      <c r="C321" s="22" t="n"/>
      <c r="D321" s="22" t="n"/>
      <c r="E321" s="22" t="n"/>
      <c r="F321" s="22" t="n"/>
      <c r="G321" s="23" t="n"/>
      <c r="H321" s="22" t="n"/>
      <c r="I321" s="23" t="n"/>
      <c r="J321" s="22" t="n"/>
      <c r="K321" s="23" t="n"/>
      <c r="L321" s="22" t="n"/>
      <c r="M321" s="23" t="n"/>
      <c r="N321" s="22" t="n"/>
      <c r="O321" s="22" t="n"/>
      <c r="P321" s="22" t="n"/>
      <c r="Q321" s="23" t="n"/>
      <c r="R321" s="22" t="n"/>
      <c r="S321" s="23" t="n"/>
      <c r="T321" s="22" t="n"/>
      <c r="U321" s="23" t="n"/>
      <c r="V321" s="24" t="n"/>
      <c r="W321" s="25">
        <f>IF(ISNUMBER(U321),U321+IF(ISNUMBER(V321),V321,120),"")</f>
        <v/>
      </c>
      <c r="X321" s="22" t="n"/>
      <c r="Y321" s="23" t="n"/>
      <c r="Z321" s="22" t="n"/>
      <c r="AA321" s="23" t="n"/>
      <c r="AB321" s="24" t="n"/>
      <c r="AC321" s="26">
        <f>IF(ISNUMBER(AD321)=FALSE,"",IF(G321=AD321,"State license",IF(I321=AD321,"DEA registration",IF(K321=AD321,"State CSR",IF(M321=AD321,"Board certification",IF(Q321=AD321,"Malpractice",IF(S321=AD321,"Life support",IF(W321=AD321,"CAQH re-attestation",IF(Y321=AD321,"Privileges reappointment","Payer recredentialing")))))))))</f>
        <v/>
      </c>
      <c r="AD321" s="25">
        <f>IF(OR(AND(LEN(G321)&gt;0,ISNUMBER(G321)=FALSE),AND(LEN(I321)&gt;0,ISNUMBER(I321)=FALSE),AND(LEN(K321)&gt;0,ISNUMBER(K321)=FALSE),AND(LEN(M321)&gt;0,ISNUMBER(M321)=FALSE),AND(LEN(Q321)&gt;0,ISNUMBER(Q321)=FALSE),AND(LEN(S321)&gt;0,ISNUMBER(S321)=FALSE),AND(LEN(Y321)&gt;0,ISNUMBER(Y321)=FALSE),AND(LEN(AA321)&gt;0,ISNUMBER(AA321)=FALSE),AND(LEN(U321)&gt;0,ISNUMBER(U321)=FALSE)),"Check date",IF(COUNT(G321,I321,K321,M321,Q321,S321,W321,Y321,AA321)=0,"",MIN(G321,I321,K321,M321,Q321,S321,W321,Y321,AA321)))</f>
        <v/>
      </c>
      <c r="AE321" s="25">
        <f>IF(ISNUMBER(AD321),AD321-IF(ISNUMBER(AB321),AB321,30),"")</f>
        <v/>
      </c>
      <c r="AF321" s="27">
        <f>IF(AD321="","",IF(ISNUMBER(AD321),AD321-TODAY(),"Check date"))</f>
        <v/>
      </c>
      <c r="AG321" s="28">
        <f>IF(AF321="","",IF(ISNUMBER(AF321),IF(AF321&lt;0,"Expired",IF(AF321&lt;=30,"Due ≤30 days",IF(AF321&lt;=90,"Due ≤90 days","OK"))),"Check date"))</f>
        <v/>
      </c>
      <c r="AH321" s="22" t="n"/>
      <c r="AI321" s="22" t="n"/>
      <c r="AJ321" s="22" t="n"/>
      <c r="AK321" s="22" t="n"/>
    </row>
    <row r="322">
      <c r="A322" s="22" t="n"/>
      <c r="B322" s="22" t="n"/>
      <c r="C322" s="22" t="n"/>
      <c r="D322" s="22" t="n"/>
      <c r="E322" s="22" t="n"/>
      <c r="F322" s="22" t="n"/>
      <c r="G322" s="23" t="n"/>
      <c r="H322" s="22" t="n"/>
      <c r="I322" s="23" t="n"/>
      <c r="J322" s="22" t="n"/>
      <c r="K322" s="23" t="n"/>
      <c r="L322" s="22" t="n"/>
      <c r="M322" s="23" t="n"/>
      <c r="N322" s="22" t="n"/>
      <c r="O322" s="22" t="n"/>
      <c r="P322" s="22" t="n"/>
      <c r="Q322" s="23" t="n"/>
      <c r="R322" s="22" t="n"/>
      <c r="S322" s="23" t="n"/>
      <c r="T322" s="22" t="n"/>
      <c r="U322" s="23" t="n"/>
      <c r="V322" s="24" t="n"/>
      <c r="W322" s="25">
        <f>IF(ISNUMBER(U322),U322+IF(ISNUMBER(V322),V322,120),"")</f>
        <v/>
      </c>
      <c r="X322" s="22" t="n"/>
      <c r="Y322" s="23" t="n"/>
      <c r="Z322" s="22" t="n"/>
      <c r="AA322" s="23" t="n"/>
      <c r="AB322" s="24" t="n"/>
      <c r="AC322" s="26">
        <f>IF(ISNUMBER(AD322)=FALSE,"",IF(G322=AD322,"State license",IF(I322=AD322,"DEA registration",IF(K322=AD322,"State CSR",IF(M322=AD322,"Board certification",IF(Q322=AD322,"Malpractice",IF(S322=AD322,"Life support",IF(W322=AD322,"CAQH re-attestation",IF(Y322=AD322,"Privileges reappointment","Payer recredentialing")))))))))</f>
        <v/>
      </c>
      <c r="AD322" s="25">
        <f>IF(OR(AND(LEN(G322)&gt;0,ISNUMBER(G322)=FALSE),AND(LEN(I322)&gt;0,ISNUMBER(I322)=FALSE),AND(LEN(K322)&gt;0,ISNUMBER(K322)=FALSE),AND(LEN(M322)&gt;0,ISNUMBER(M322)=FALSE),AND(LEN(Q322)&gt;0,ISNUMBER(Q322)=FALSE),AND(LEN(S322)&gt;0,ISNUMBER(S322)=FALSE),AND(LEN(Y322)&gt;0,ISNUMBER(Y322)=FALSE),AND(LEN(AA322)&gt;0,ISNUMBER(AA322)=FALSE),AND(LEN(U322)&gt;0,ISNUMBER(U322)=FALSE)),"Check date",IF(COUNT(G322,I322,K322,M322,Q322,S322,W322,Y322,AA322)=0,"",MIN(G322,I322,K322,M322,Q322,S322,W322,Y322,AA322)))</f>
        <v/>
      </c>
      <c r="AE322" s="25">
        <f>IF(ISNUMBER(AD322),AD322-IF(ISNUMBER(AB322),AB322,30),"")</f>
        <v/>
      </c>
      <c r="AF322" s="27">
        <f>IF(AD322="","",IF(ISNUMBER(AD322),AD322-TODAY(),"Check date"))</f>
        <v/>
      </c>
      <c r="AG322" s="28">
        <f>IF(AF322="","",IF(ISNUMBER(AF322),IF(AF322&lt;0,"Expired",IF(AF322&lt;=30,"Due ≤30 days",IF(AF322&lt;=90,"Due ≤90 days","OK"))),"Check date"))</f>
        <v/>
      </c>
      <c r="AH322" s="22" t="n"/>
      <c r="AI322" s="22" t="n"/>
      <c r="AJ322" s="22" t="n"/>
      <c r="AK322" s="22" t="n"/>
    </row>
    <row r="323">
      <c r="A323" s="22" t="n"/>
      <c r="B323" s="22" t="n"/>
      <c r="C323" s="22" t="n"/>
      <c r="D323" s="22" t="n"/>
      <c r="E323" s="22" t="n"/>
      <c r="F323" s="22" t="n"/>
      <c r="G323" s="23" t="n"/>
      <c r="H323" s="22" t="n"/>
      <c r="I323" s="23" t="n"/>
      <c r="J323" s="22" t="n"/>
      <c r="K323" s="23" t="n"/>
      <c r="L323" s="22" t="n"/>
      <c r="M323" s="23" t="n"/>
      <c r="N323" s="22" t="n"/>
      <c r="O323" s="22" t="n"/>
      <c r="P323" s="22" t="n"/>
      <c r="Q323" s="23" t="n"/>
      <c r="R323" s="22" t="n"/>
      <c r="S323" s="23" t="n"/>
      <c r="T323" s="22" t="n"/>
      <c r="U323" s="23" t="n"/>
      <c r="V323" s="24" t="n"/>
      <c r="W323" s="25">
        <f>IF(ISNUMBER(U323),U323+IF(ISNUMBER(V323),V323,120),"")</f>
        <v/>
      </c>
      <c r="X323" s="22" t="n"/>
      <c r="Y323" s="23" t="n"/>
      <c r="Z323" s="22" t="n"/>
      <c r="AA323" s="23" t="n"/>
      <c r="AB323" s="24" t="n"/>
      <c r="AC323" s="26">
        <f>IF(ISNUMBER(AD323)=FALSE,"",IF(G323=AD323,"State license",IF(I323=AD323,"DEA registration",IF(K323=AD323,"State CSR",IF(M323=AD323,"Board certification",IF(Q323=AD323,"Malpractice",IF(S323=AD323,"Life support",IF(W323=AD323,"CAQH re-attestation",IF(Y323=AD323,"Privileges reappointment","Payer recredentialing")))))))))</f>
        <v/>
      </c>
      <c r="AD323" s="25">
        <f>IF(OR(AND(LEN(G323)&gt;0,ISNUMBER(G323)=FALSE),AND(LEN(I323)&gt;0,ISNUMBER(I323)=FALSE),AND(LEN(K323)&gt;0,ISNUMBER(K323)=FALSE),AND(LEN(M323)&gt;0,ISNUMBER(M323)=FALSE),AND(LEN(Q323)&gt;0,ISNUMBER(Q323)=FALSE),AND(LEN(S323)&gt;0,ISNUMBER(S323)=FALSE),AND(LEN(Y323)&gt;0,ISNUMBER(Y323)=FALSE),AND(LEN(AA323)&gt;0,ISNUMBER(AA323)=FALSE),AND(LEN(U323)&gt;0,ISNUMBER(U323)=FALSE)),"Check date",IF(COUNT(G323,I323,K323,M323,Q323,S323,W323,Y323,AA323)=0,"",MIN(G323,I323,K323,M323,Q323,S323,W323,Y323,AA323)))</f>
        <v/>
      </c>
      <c r="AE323" s="25">
        <f>IF(ISNUMBER(AD323),AD323-IF(ISNUMBER(AB323),AB323,30),"")</f>
        <v/>
      </c>
      <c r="AF323" s="27">
        <f>IF(AD323="","",IF(ISNUMBER(AD323),AD323-TODAY(),"Check date"))</f>
        <v/>
      </c>
      <c r="AG323" s="28">
        <f>IF(AF323="","",IF(ISNUMBER(AF323),IF(AF323&lt;0,"Expired",IF(AF323&lt;=30,"Due ≤30 days",IF(AF323&lt;=90,"Due ≤90 days","OK"))),"Check date"))</f>
        <v/>
      </c>
      <c r="AH323" s="22" t="n"/>
      <c r="AI323" s="22" t="n"/>
      <c r="AJ323" s="22" t="n"/>
      <c r="AK323" s="22" t="n"/>
    </row>
    <row r="324">
      <c r="A324" s="22" t="n"/>
      <c r="B324" s="22" t="n"/>
      <c r="C324" s="22" t="n"/>
      <c r="D324" s="22" t="n"/>
      <c r="E324" s="22" t="n"/>
      <c r="F324" s="22" t="n"/>
      <c r="G324" s="23" t="n"/>
      <c r="H324" s="22" t="n"/>
      <c r="I324" s="23" t="n"/>
      <c r="J324" s="22" t="n"/>
      <c r="K324" s="23" t="n"/>
      <c r="L324" s="22" t="n"/>
      <c r="M324" s="23" t="n"/>
      <c r="N324" s="22" t="n"/>
      <c r="O324" s="22" t="n"/>
      <c r="P324" s="22" t="n"/>
      <c r="Q324" s="23" t="n"/>
      <c r="R324" s="22" t="n"/>
      <c r="S324" s="23" t="n"/>
      <c r="T324" s="22" t="n"/>
      <c r="U324" s="23" t="n"/>
      <c r="V324" s="24" t="n"/>
      <c r="W324" s="25">
        <f>IF(ISNUMBER(U324),U324+IF(ISNUMBER(V324),V324,120),"")</f>
        <v/>
      </c>
      <c r="X324" s="22" t="n"/>
      <c r="Y324" s="23" t="n"/>
      <c r="Z324" s="22" t="n"/>
      <c r="AA324" s="23" t="n"/>
      <c r="AB324" s="24" t="n"/>
      <c r="AC324" s="26">
        <f>IF(ISNUMBER(AD324)=FALSE,"",IF(G324=AD324,"State license",IF(I324=AD324,"DEA registration",IF(K324=AD324,"State CSR",IF(M324=AD324,"Board certification",IF(Q324=AD324,"Malpractice",IF(S324=AD324,"Life support",IF(W324=AD324,"CAQH re-attestation",IF(Y324=AD324,"Privileges reappointment","Payer recredentialing")))))))))</f>
        <v/>
      </c>
      <c r="AD324" s="25">
        <f>IF(OR(AND(LEN(G324)&gt;0,ISNUMBER(G324)=FALSE),AND(LEN(I324)&gt;0,ISNUMBER(I324)=FALSE),AND(LEN(K324)&gt;0,ISNUMBER(K324)=FALSE),AND(LEN(M324)&gt;0,ISNUMBER(M324)=FALSE),AND(LEN(Q324)&gt;0,ISNUMBER(Q324)=FALSE),AND(LEN(S324)&gt;0,ISNUMBER(S324)=FALSE),AND(LEN(Y324)&gt;0,ISNUMBER(Y324)=FALSE),AND(LEN(AA324)&gt;0,ISNUMBER(AA324)=FALSE),AND(LEN(U324)&gt;0,ISNUMBER(U324)=FALSE)),"Check date",IF(COUNT(G324,I324,K324,M324,Q324,S324,W324,Y324,AA324)=0,"",MIN(G324,I324,K324,M324,Q324,S324,W324,Y324,AA324)))</f>
        <v/>
      </c>
      <c r="AE324" s="25">
        <f>IF(ISNUMBER(AD324),AD324-IF(ISNUMBER(AB324),AB324,30),"")</f>
        <v/>
      </c>
      <c r="AF324" s="27">
        <f>IF(AD324="","",IF(ISNUMBER(AD324),AD324-TODAY(),"Check date"))</f>
        <v/>
      </c>
      <c r="AG324" s="28">
        <f>IF(AF324="","",IF(ISNUMBER(AF324),IF(AF324&lt;0,"Expired",IF(AF324&lt;=30,"Due ≤30 days",IF(AF324&lt;=90,"Due ≤90 days","OK"))),"Check date"))</f>
        <v/>
      </c>
      <c r="AH324" s="22" t="n"/>
      <c r="AI324" s="22" t="n"/>
      <c r="AJ324" s="22" t="n"/>
      <c r="AK324" s="22" t="n"/>
    </row>
    <row r="325">
      <c r="A325" s="22" t="n"/>
      <c r="B325" s="22" t="n"/>
      <c r="C325" s="22" t="n"/>
      <c r="D325" s="22" t="n"/>
      <c r="E325" s="22" t="n"/>
      <c r="F325" s="22" t="n"/>
      <c r="G325" s="23" t="n"/>
      <c r="H325" s="22" t="n"/>
      <c r="I325" s="23" t="n"/>
      <c r="J325" s="22" t="n"/>
      <c r="K325" s="23" t="n"/>
      <c r="L325" s="22" t="n"/>
      <c r="M325" s="23" t="n"/>
      <c r="N325" s="22" t="n"/>
      <c r="O325" s="22" t="n"/>
      <c r="P325" s="22" t="n"/>
      <c r="Q325" s="23" t="n"/>
      <c r="R325" s="22" t="n"/>
      <c r="S325" s="23" t="n"/>
      <c r="T325" s="22" t="n"/>
      <c r="U325" s="23" t="n"/>
      <c r="V325" s="24" t="n"/>
      <c r="W325" s="25">
        <f>IF(ISNUMBER(U325),U325+IF(ISNUMBER(V325),V325,120),"")</f>
        <v/>
      </c>
      <c r="X325" s="22" t="n"/>
      <c r="Y325" s="23" t="n"/>
      <c r="Z325" s="22" t="n"/>
      <c r="AA325" s="23" t="n"/>
      <c r="AB325" s="24" t="n"/>
      <c r="AC325" s="26">
        <f>IF(ISNUMBER(AD325)=FALSE,"",IF(G325=AD325,"State license",IF(I325=AD325,"DEA registration",IF(K325=AD325,"State CSR",IF(M325=AD325,"Board certification",IF(Q325=AD325,"Malpractice",IF(S325=AD325,"Life support",IF(W325=AD325,"CAQH re-attestation",IF(Y325=AD325,"Privileges reappointment","Payer recredentialing")))))))))</f>
        <v/>
      </c>
      <c r="AD325" s="25">
        <f>IF(OR(AND(LEN(G325)&gt;0,ISNUMBER(G325)=FALSE),AND(LEN(I325)&gt;0,ISNUMBER(I325)=FALSE),AND(LEN(K325)&gt;0,ISNUMBER(K325)=FALSE),AND(LEN(M325)&gt;0,ISNUMBER(M325)=FALSE),AND(LEN(Q325)&gt;0,ISNUMBER(Q325)=FALSE),AND(LEN(S325)&gt;0,ISNUMBER(S325)=FALSE),AND(LEN(Y325)&gt;0,ISNUMBER(Y325)=FALSE),AND(LEN(AA325)&gt;0,ISNUMBER(AA325)=FALSE),AND(LEN(U325)&gt;0,ISNUMBER(U325)=FALSE)),"Check date",IF(COUNT(G325,I325,K325,M325,Q325,S325,W325,Y325,AA325)=0,"",MIN(G325,I325,K325,M325,Q325,S325,W325,Y325,AA325)))</f>
        <v/>
      </c>
      <c r="AE325" s="25">
        <f>IF(ISNUMBER(AD325),AD325-IF(ISNUMBER(AB325),AB325,30),"")</f>
        <v/>
      </c>
      <c r="AF325" s="27">
        <f>IF(AD325="","",IF(ISNUMBER(AD325),AD325-TODAY(),"Check date"))</f>
        <v/>
      </c>
      <c r="AG325" s="28">
        <f>IF(AF325="","",IF(ISNUMBER(AF325),IF(AF325&lt;0,"Expired",IF(AF325&lt;=30,"Due ≤30 days",IF(AF325&lt;=90,"Due ≤90 days","OK"))),"Check date"))</f>
        <v/>
      </c>
      <c r="AH325" s="22" t="n"/>
      <c r="AI325" s="22" t="n"/>
      <c r="AJ325" s="22" t="n"/>
      <c r="AK325" s="22" t="n"/>
    </row>
    <row r="326">
      <c r="A326" s="22" t="n"/>
      <c r="B326" s="22" t="n"/>
      <c r="C326" s="22" t="n"/>
      <c r="D326" s="22" t="n"/>
      <c r="E326" s="22" t="n"/>
      <c r="F326" s="22" t="n"/>
      <c r="G326" s="23" t="n"/>
      <c r="H326" s="22" t="n"/>
      <c r="I326" s="23" t="n"/>
      <c r="J326" s="22" t="n"/>
      <c r="K326" s="23" t="n"/>
      <c r="L326" s="22" t="n"/>
      <c r="M326" s="23" t="n"/>
      <c r="N326" s="22" t="n"/>
      <c r="O326" s="22" t="n"/>
      <c r="P326" s="22" t="n"/>
      <c r="Q326" s="23" t="n"/>
      <c r="R326" s="22" t="n"/>
      <c r="S326" s="23" t="n"/>
      <c r="T326" s="22" t="n"/>
      <c r="U326" s="23" t="n"/>
      <c r="V326" s="24" t="n"/>
      <c r="W326" s="25">
        <f>IF(ISNUMBER(U326),U326+IF(ISNUMBER(V326),V326,120),"")</f>
        <v/>
      </c>
      <c r="X326" s="22" t="n"/>
      <c r="Y326" s="23" t="n"/>
      <c r="Z326" s="22" t="n"/>
      <c r="AA326" s="23" t="n"/>
      <c r="AB326" s="24" t="n"/>
      <c r="AC326" s="26">
        <f>IF(ISNUMBER(AD326)=FALSE,"",IF(G326=AD326,"State license",IF(I326=AD326,"DEA registration",IF(K326=AD326,"State CSR",IF(M326=AD326,"Board certification",IF(Q326=AD326,"Malpractice",IF(S326=AD326,"Life support",IF(W326=AD326,"CAQH re-attestation",IF(Y326=AD326,"Privileges reappointment","Payer recredentialing")))))))))</f>
        <v/>
      </c>
      <c r="AD326" s="25">
        <f>IF(OR(AND(LEN(G326)&gt;0,ISNUMBER(G326)=FALSE),AND(LEN(I326)&gt;0,ISNUMBER(I326)=FALSE),AND(LEN(K326)&gt;0,ISNUMBER(K326)=FALSE),AND(LEN(M326)&gt;0,ISNUMBER(M326)=FALSE),AND(LEN(Q326)&gt;0,ISNUMBER(Q326)=FALSE),AND(LEN(S326)&gt;0,ISNUMBER(S326)=FALSE),AND(LEN(Y326)&gt;0,ISNUMBER(Y326)=FALSE),AND(LEN(AA326)&gt;0,ISNUMBER(AA326)=FALSE),AND(LEN(U326)&gt;0,ISNUMBER(U326)=FALSE)),"Check date",IF(COUNT(G326,I326,K326,M326,Q326,S326,W326,Y326,AA326)=0,"",MIN(G326,I326,K326,M326,Q326,S326,W326,Y326,AA326)))</f>
        <v/>
      </c>
      <c r="AE326" s="25">
        <f>IF(ISNUMBER(AD326),AD326-IF(ISNUMBER(AB326),AB326,30),"")</f>
        <v/>
      </c>
      <c r="AF326" s="27">
        <f>IF(AD326="","",IF(ISNUMBER(AD326),AD326-TODAY(),"Check date"))</f>
        <v/>
      </c>
      <c r="AG326" s="28">
        <f>IF(AF326="","",IF(ISNUMBER(AF326),IF(AF326&lt;0,"Expired",IF(AF326&lt;=30,"Due ≤30 days",IF(AF326&lt;=90,"Due ≤90 days","OK"))),"Check date"))</f>
        <v/>
      </c>
      <c r="AH326" s="22" t="n"/>
      <c r="AI326" s="22" t="n"/>
      <c r="AJ326" s="22" t="n"/>
      <c r="AK326" s="22" t="n"/>
    </row>
    <row r="327">
      <c r="A327" s="22" t="n"/>
      <c r="B327" s="22" t="n"/>
      <c r="C327" s="22" t="n"/>
      <c r="D327" s="22" t="n"/>
      <c r="E327" s="22" t="n"/>
      <c r="F327" s="22" t="n"/>
      <c r="G327" s="23" t="n"/>
      <c r="H327" s="22" t="n"/>
      <c r="I327" s="23" t="n"/>
      <c r="J327" s="22" t="n"/>
      <c r="K327" s="23" t="n"/>
      <c r="L327" s="22" t="n"/>
      <c r="M327" s="23" t="n"/>
      <c r="N327" s="22" t="n"/>
      <c r="O327" s="22" t="n"/>
      <c r="P327" s="22" t="n"/>
      <c r="Q327" s="23" t="n"/>
      <c r="R327" s="22" t="n"/>
      <c r="S327" s="23" t="n"/>
      <c r="T327" s="22" t="n"/>
      <c r="U327" s="23" t="n"/>
      <c r="V327" s="24" t="n"/>
      <c r="W327" s="25">
        <f>IF(ISNUMBER(U327),U327+IF(ISNUMBER(V327),V327,120),"")</f>
        <v/>
      </c>
      <c r="X327" s="22" t="n"/>
      <c r="Y327" s="23" t="n"/>
      <c r="Z327" s="22" t="n"/>
      <c r="AA327" s="23" t="n"/>
      <c r="AB327" s="24" t="n"/>
      <c r="AC327" s="26">
        <f>IF(ISNUMBER(AD327)=FALSE,"",IF(G327=AD327,"State license",IF(I327=AD327,"DEA registration",IF(K327=AD327,"State CSR",IF(M327=AD327,"Board certification",IF(Q327=AD327,"Malpractice",IF(S327=AD327,"Life support",IF(W327=AD327,"CAQH re-attestation",IF(Y327=AD327,"Privileges reappointment","Payer recredentialing")))))))))</f>
        <v/>
      </c>
      <c r="AD327" s="25">
        <f>IF(OR(AND(LEN(G327)&gt;0,ISNUMBER(G327)=FALSE),AND(LEN(I327)&gt;0,ISNUMBER(I327)=FALSE),AND(LEN(K327)&gt;0,ISNUMBER(K327)=FALSE),AND(LEN(M327)&gt;0,ISNUMBER(M327)=FALSE),AND(LEN(Q327)&gt;0,ISNUMBER(Q327)=FALSE),AND(LEN(S327)&gt;0,ISNUMBER(S327)=FALSE),AND(LEN(Y327)&gt;0,ISNUMBER(Y327)=FALSE),AND(LEN(AA327)&gt;0,ISNUMBER(AA327)=FALSE),AND(LEN(U327)&gt;0,ISNUMBER(U327)=FALSE)),"Check date",IF(COUNT(G327,I327,K327,M327,Q327,S327,W327,Y327,AA327)=0,"",MIN(G327,I327,K327,M327,Q327,S327,W327,Y327,AA327)))</f>
        <v/>
      </c>
      <c r="AE327" s="25">
        <f>IF(ISNUMBER(AD327),AD327-IF(ISNUMBER(AB327),AB327,30),"")</f>
        <v/>
      </c>
      <c r="AF327" s="27">
        <f>IF(AD327="","",IF(ISNUMBER(AD327),AD327-TODAY(),"Check date"))</f>
        <v/>
      </c>
      <c r="AG327" s="28">
        <f>IF(AF327="","",IF(ISNUMBER(AF327),IF(AF327&lt;0,"Expired",IF(AF327&lt;=30,"Due ≤30 days",IF(AF327&lt;=90,"Due ≤90 days","OK"))),"Check date"))</f>
        <v/>
      </c>
      <c r="AH327" s="22" t="n"/>
      <c r="AI327" s="22" t="n"/>
      <c r="AJ327" s="22" t="n"/>
      <c r="AK327" s="22" t="n"/>
    </row>
    <row r="328">
      <c r="A328" s="22" t="n"/>
      <c r="B328" s="22" t="n"/>
      <c r="C328" s="22" t="n"/>
      <c r="D328" s="22" t="n"/>
      <c r="E328" s="22" t="n"/>
      <c r="F328" s="22" t="n"/>
      <c r="G328" s="23" t="n"/>
      <c r="H328" s="22" t="n"/>
      <c r="I328" s="23" t="n"/>
      <c r="J328" s="22" t="n"/>
      <c r="K328" s="23" t="n"/>
      <c r="L328" s="22" t="n"/>
      <c r="M328" s="23" t="n"/>
      <c r="N328" s="22" t="n"/>
      <c r="O328" s="22" t="n"/>
      <c r="P328" s="22" t="n"/>
      <c r="Q328" s="23" t="n"/>
      <c r="R328" s="22" t="n"/>
      <c r="S328" s="23" t="n"/>
      <c r="T328" s="22" t="n"/>
      <c r="U328" s="23" t="n"/>
      <c r="V328" s="24" t="n"/>
      <c r="W328" s="25">
        <f>IF(ISNUMBER(U328),U328+IF(ISNUMBER(V328),V328,120),"")</f>
        <v/>
      </c>
      <c r="X328" s="22" t="n"/>
      <c r="Y328" s="23" t="n"/>
      <c r="Z328" s="22" t="n"/>
      <c r="AA328" s="23" t="n"/>
      <c r="AB328" s="24" t="n"/>
      <c r="AC328" s="26">
        <f>IF(ISNUMBER(AD328)=FALSE,"",IF(G328=AD328,"State license",IF(I328=AD328,"DEA registration",IF(K328=AD328,"State CSR",IF(M328=AD328,"Board certification",IF(Q328=AD328,"Malpractice",IF(S328=AD328,"Life support",IF(W328=AD328,"CAQH re-attestation",IF(Y328=AD328,"Privileges reappointment","Payer recredentialing")))))))))</f>
        <v/>
      </c>
      <c r="AD328" s="25">
        <f>IF(OR(AND(LEN(G328)&gt;0,ISNUMBER(G328)=FALSE),AND(LEN(I328)&gt;0,ISNUMBER(I328)=FALSE),AND(LEN(K328)&gt;0,ISNUMBER(K328)=FALSE),AND(LEN(M328)&gt;0,ISNUMBER(M328)=FALSE),AND(LEN(Q328)&gt;0,ISNUMBER(Q328)=FALSE),AND(LEN(S328)&gt;0,ISNUMBER(S328)=FALSE),AND(LEN(Y328)&gt;0,ISNUMBER(Y328)=FALSE),AND(LEN(AA328)&gt;0,ISNUMBER(AA328)=FALSE),AND(LEN(U328)&gt;0,ISNUMBER(U328)=FALSE)),"Check date",IF(COUNT(G328,I328,K328,M328,Q328,S328,W328,Y328,AA328)=0,"",MIN(G328,I328,K328,M328,Q328,S328,W328,Y328,AA328)))</f>
        <v/>
      </c>
      <c r="AE328" s="25">
        <f>IF(ISNUMBER(AD328),AD328-IF(ISNUMBER(AB328),AB328,30),"")</f>
        <v/>
      </c>
      <c r="AF328" s="27">
        <f>IF(AD328="","",IF(ISNUMBER(AD328),AD328-TODAY(),"Check date"))</f>
        <v/>
      </c>
      <c r="AG328" s="28">
        <f>IF(AF328="","",IF(ISNUMBER(AF328),IF(AF328&lt;0,"Expired",IF(AF328&lt;=30,"Due ≤30 days",IF(AF328&lt;=90,"Due ≤90 days","OK"))),"Check date"))</f>
        <v/>
      </c>
      <c r="AH328" s="22" t="n"/>
      <c r="AI328" s="22" t="n"/>
      <c r="AJ328" s="22" t="n"/>
      <c r="AK328" s="22" t="n"/>
    </row>
    <row r="329">
      <c r="A329" s="22" t="n"/>
      <c r="B329" s="22" t="n"/>
      <c r="C329" s="22" t="n"/>
      <c r="D329" s="22" t="n"/>
      <c r="E329" s="22" t="n"/>
      <c r="F329" s="22" t="n"/>
      <c r="G329" s="23" t="n"/>
      <c r="H329" s="22" t="n"/>
      <c r="I329" s="23" t="n"/>
      <c r="J329" s="22" t="n"/>
      <c r="K329" s="23" t="n"/>
      <c r="L329" s="22" t="n"/>
      <c r="M329" s="23" t="n"/>
      <c r="N329" s="22" t="n"/>
      <c r="O329" s="22" t="n"/>
      <c r="P329" s="22" t="n"/>
      <c r="Q329" s="23" t="n"/>
      <c r="R329" s="22" t="n"/>
      <c r="S329" s="23" t="n"/>
      <c r="T329" s="22" t="n"/>
      <c r="U329" s="23" t="n"/>
      <c r="V329" s="24" t="n"/>
      <c r="W329" s="25">
        <f>IF(ISNUMBER(U329),U329+IF(ISNUMBER(V329),V329,120),"")</f>
        <v/>
      </c>
      <c r="X329" s="22" t="n"/>
      <c r="Y329" s="23" t="n"/>
      <c r="Z329" s="22" t="n"/>
      <c r="AA329" s="23" t="n"/>
      <c r="AB329" s="24" t="n"/>
      <c r="AC329" s="26">
        <f>IF(ISNUMBER(AD329)=FALSE,"",IF(G329=AD329,"State license",IF(I329=AD329,"DEA registration",IF(K329=AD329,"State CSR",IF(M329=AD329,"Board certification",IF(Q329=AD329,"Malpractice",IF(S329=AD329,"Life support",IF(W329=AD329,"CAQH re-attestation",IF(Y329=AD329,"Privileges reappointment","Payer recredentialing")))))))))</f>
        <v/>
      </c>
      <c r="AD329" s="25">
        <f>IF(OR(AND(LEN(G329)&gt;0,ISNUMBER(G329)=FALSE),AND(LEN(I329)&gt;0,ISNUMBER(I329)=FALSE),AND(LEN(K329)&gt;0,ISNUMBER(K329)=FALSE),AND(LEN(M329)&gt;0,ISNUMBER(M329)=FALSE),AND(LEN(Q329)&gt;0,ISNUMBER(Q329)=FALSE),AND(LEN(S329)&gt;0,ISNUMBER(S329)=FALSE),AND(LEN(Y329)&gt;0,ISNUMBER(Y329)=FALSE),AND(LEN(AA329)&gt;0,ISNUMBER(AA329)=FALSE),AND(LEN(U329)&gt;0,ISNUMBER(U329)=FALSE)),"Check date",IF(COUNT(G329,I329,K329,M329,Q329,S329,W329,Y329,AA329)=0,"",MIN(G329,I329,K329,M329,Q329,S329,W329,Y329,AA329)))</f>
        <v/>
      </c>
      <c r="AE329" s="25">
        <f>IF(ISNUMBER(AD329),AD329-IF(ISNUMBER(AB329),AB329,30),"")</f>
        <v/>
      </c>
      <c r="AF329" s="27">
        <f>IF(AD329="","",IF(ISNUMBER(AD329),AD329-TODAY(),"Check date"))</f>
        <v/>
      </c>
      <c r="AG329" s="28">
        <f>IF(AF329="","",IF(ISNUMBER(AF329),IF(AF329&lt;0,"Expired",IF(AF329&lt;=30,"Due ≤30 days",IF(AF329&lt;=90,"Due ≤90 days","OK"))),"Check date"))</f>
        <v/>
      </c>
      <c r="AH329" s="22" t="n"/>
      <c r="AI329" s="22" t="n"/>
      <c r="AJ329" s="22" t="n"/>
      <c r="AK329" s="22" t="n"/>
    </row>
    <row r="330">
      <c r="A330" s="22" t="n"/>
      <c r="B330" s="22" t="n"/>
      <c r="C330" s="22" t="n"/>
      <c r="D330" s="22" t="n"/>
      <c r="E330" s="22" t="n"/>
      <c r="F330" s="22" t="n"/>
      <c r="G330" s="23" t="n"/>
      <c r="H330" s="22" t="n"/>
      <c r="I330" s="23" t="n"/>
      <c r="J330" s="22" t="n"/>
      <c r="K330" s="23" t="n"/>
      <c r="L330" s="22" t="n"/>
      <c r="M330" s="23" t="n"/>
      <c r="N330" s="22" t="n"/>
      <c r="O330" s="22" t="n"/>
      <c r="P330" s="22" t="n"/>
      <c r="Q330" s="23" t="n"/>
      <c r="R330" s="22" t="n"/>
      <c r="S330" s="23" t="n"/>
      <c r="T330" s="22" t="n"/>
      <c r="U330" s="23" t="n"/>
      <c r="V330" s="24" t="n"/>
      <c r="W330" s="25">
        <f>IF(ISNUMBER(U330),U330+IF(ISNUMBER(V330),V330,120),"")</f>
        <v/>
      </c>
      <c r="X330" s="22" t="n"/>
      <c r="Y330" s="23" t="n"/>
      <c r="Z330" s="22" t="n"/>
      <c r="AA330" s="23" t="n"/>
      <c r="AB330" s="24" t="n"/>
      <c r="AC330" s="26">
        <f>IF(ISNUMBER(AD330)=FALSE,"",IF(G330=AD330,"State license",IF(I330=AD330,"DEA registration",IF(K330=AD330,"State CSR",IF(M330=AD330,"Board certification",IF(Q330=AD330,"Malpractice",IF(S330=AD330,"Life support",IF(W330=AD330,"CAQH re-attestation",IF(Y330=AD330,"Privileges reappointment","Payer recredentialing")))))))))</f>
        <v/>
      </c>
      <c r="AD330" s="25">
        <f>IF(OR(AND(LEN(G330)&gt;0,ISNUMBER(G330)=FALSE),AND(LEN(I330)&gt;0,ISNUMBER(I330)=FALSE),AND(LEN(K330)&gt;0,ISNUMBER(K330)=FALSE),AND(LEN(M330)&gt;0,ISNUMBER(M330)=FALSE),AND(LEN(Q330)&gt;0,ISNUMBER(Q330)=FALSE),AND(LEN(S330)&gt;0,ISNUMBER(S330)=FALSE),AND(LEN(Y330)&gt;0,ISNUMBER(Y330)=FALSE),AND(LEN(AA330)&gt;0,ISNUMBER(AA330)=FALSE),AND(LEN(U330)&gt;0,ISNUMBER(U330)=FALSE)),"Check date",IF(COUNT(G330,I330,K330,M330,Q330,S330,W330,Y330,AA330)=0,"",MIN(G330,I330,K330,M330,Q330,S330,W330,Y330,AA330)))</f>
        <v/>
      </c>
      <c r="AE330" s="25">
        <f>IF(ISNUMBER(AD330),AD330-IF(ISNUMBER(AB330),AB330,30),"")</f>
        <v/>
      </c>
      <c r="AF330" s="27">
        <f>IF(AD330="","",IF(ISNUMBER(AD330),AD330-TODAY(),"Check date"))</f>
        <v/>
      </c>
      <c r="AG330" s="28">
        <f>IF(AF330="","",IF(ISNUMBER(AF330),IF(AF330&lt;0,"Expired",IF(AF330&lt;=30,"Due ≤30 days",IF(AF330&lt;=90,"Due ≤90 days","OK"))),"Check date"))</f>
        <v/>
      </c>
      <c r="AH330" s="22" t="n"/>
      <c r="AI330" s="22" t="n"/>
      <c r="AJ330" s="22" t="n"/>
      <c r="AK330" s="22" t="n"/>
    </row>
    <row r="331">
      <c r="A331" s="22" t="n"/>
      <c r="B331" s="22" t="n"/>
      <c r="C331" s="22" t="n"/>
      <c r="D331" s="22" t="n"/>
      <c r="E331" s="22" t="n"/>
      <c r="F331" s="22" t="n"/>
      <c r="G331" s="23" t="n"/>
      <c r="H331" s="22" t="n"/>
      <c r="I331" s="23" t="n"/>
      <c r="J331" s="22" t="n"/>
      <c r="K331" s="23" t="n"/>
      <c r="L331" s="22" t="n"/>
      <c r="M331" s="23" t="n"/>
      <c r="N331" s="22" t="n"/>
      <c r="O331" s="22" t="n"/>
      <c r="P331" s="22" t="n"/>
      <c r="Q331" s="23" t="n"/>
      <c r="R331" s="22" t="n"/>
      <c r="S331" s="23" t="n"/>
      <c r="T331" s="22" t="n"/>
      <c r="U331" s="23" t="n"/>
      <c r="V331" s="24" t="n"/>
      <c r="W331" s="25">
        <f>IF(ISNUMBER(U331),U331+IF(ISNUMBER(V331),V331,120),"")</f>
        <v/>
      </c>
      <c r="X331" s="22" t="n"/>
      <c r="Y331" s="23" t="n"/>
      <c r="Z331" s="22" t="n"/>
      <c r="AA331" s="23" t="n"/>
      <c r="AB331" s="24" t="n"/>
      <c r="AC331" s="26">
        <f>IF(ISNUMBER(AD331)=FALSE,"",IF(G331=AD331,"State license",IF(I331=AD331,"DEA registration",IF(K331=AD331,"State CSR",IF(M331=AD331,"Board certification",IF(Q331=AD331,"Malpractice",IF(S331=AD331,"Life support",IF(W331=AD331,"CAQH re-attestation",IF(Y331=AD331,"Privileges reappointment","Payer recredentialing")))))))))</f>
        <v/>
      </c>
      <c r="AD331" s="25">
        <f>IF(OR(AND(LEN(G331)&gt;0,ISNUMBER(G331)=FALSE),AND(LEN(I331)&gt;0,ISNUMBER(I331)=FALSE),AND(LEN(K331)&gt;0,ISNUMBER(K331)=FALSE),AND(LEN(M331)&gt;0,ISNUMBER(M331)=FALSE),AND(LEN(Q331)&gt;0,ISNUMBER(Q331)=FALSE),AND(LEN(S331)&gt;0,ISNUMBER(S331)=FALSE),AND(LEN(Y331)&gt;0,ISNUMBER(Y331)=FALSE),AND(LEN(AA331)&gt;0,ISNUMBER(AA331)=FALSE),AND(LEN(U331)&gt;0,ISNUMBER(U331)=FALSE)),"Check date",IF(COUNT(G331,I331,K331,M331,Q331,S331,W331,Y331,AA331)=0,"",MIN(G331,I331,K331,M331,Q331,S331,W331,Y331,AA331)))</f>
        <v/>
      </c>
      <c r="AE331" s="25">
        <f>IF(ISNUMBER(AD331),AD331-IF(ISNUMBER(AB331),AB331,30),"")</f>
        <v/>
      </c>
      <c r="AF331" s="27">
        <f>IF(AD331="","",IF(ISNUMBER(AD331),AD331-TODAY(),"Check date"))</f>
        <v/>
      </c>
      <c r="AG331" s="28">
        <f>IF(AF331="","",IF(ISNUMBER(AF331),IF(AF331&lt;0,"Expired",IF(AF331&lt;=30,"Due ≤30 days",IF(AF331&lt;=90,"Due ≤90 days","OK"))),"Check date"))</f>
        <v/>
      </c>
      <c r="AH331" s="22" t="n"/>
      <c r="AI331" s="22" t="n"/>
      <c r="AJ331" s="22" t="n"/>
      <c r="AK331" s="22" t="n"/>
    </row>
    <row r="332">
      <c r="A332" s="22" t="n"/>
      <c r="B332" s="22" t="n"/>
      <c r="C332" s="22" t="n"/>
      <c r="D332" s="22" t="n"/>
      <c r="E332" s="22" t="n"/>
      <c r="F332" s="22" t="n"/>
      <c r="G332" s="23" t="n"/>
      <c r="H332" s="22" t="n"/>
      <c r="I332" s="23" t="n"/>
      <c r="J332" s="22" t="n"/>
      <c r="K332" s="23" t="n"/>
      <c r="L332" s="22" t="n"/>
      <c r="M332" s="23" t="n"/>
      <c r="N332" s="22" t="n"/>
      <c r="O332" s="22" t="n"/>
      <c r="P332" s="22" t="n"/>
      <c r="Q332" s="23" t="n"/>
      <c r="R332" s="22" t="n"/>
      <c r="S332" s="23" t="n"/>
      <c r="T332" s="22" t="n"/>
      <c r="U332" s="23" t="n"/>
      <c r="V332" s="24" t="n"/>
      <c r="W332" s="25">
        <f>IF(ISNUMBER(U332),U332+IF(ISNUMBER(V332),V332,120),"")</f>
        <v/>
      </c>
      <c r="X332" s="22" t="n"/>
      <c r="Y332" s="23" t="n"/>
      <c r="Z332" s="22" t="n"/>
      <c r="AA332" s="23" t="n"/>
      <c r="AB332" s="24" t="n"/>
      <c r="AC332" s="26">
        <f>IF(ISNUMBER(AD332)=FALSE,"",IF(G332=AD332,"State license",IF(I332=AD332,"DEA registration",IF(K332=AD332,"State CSR",IF(M332=AD332,"Board certification",IF(Q332=AD332,"Malpractice",IF(S332=AD332,"Life support",IF(W332=AD332,"CAQH re-attestation",IF(Y332=AD332,"Privileges reappointment","Payer recredentialing")))))))))</f>
        <v/>
      </c>
      <c r="AD332" s="25">
        <f>IF(OR(AND(LEN(G332)&gt;0,ISNUMBER(G332)=FALSE),AND(LEN(I332)&gt;0,ISNUMBER(I332)=FALSE),AND(LEN(K332)&gt;0,ISNUMBER(K332)=FALSE),AND(LEN(M332)&gt;0,ISNUMBER(M332)=FALSE),AND(LEN(Q332)&gt;0,ISNUMBER(Q332)=FALSE),AND(LEN(S332)&gt;0,ISNUMBER(S332)=FALSE),AND(LEN(Y332)&gt;0,ISNUMBER(Y332)=FALSE),AND(LEN(AA332)&gt;0,ISNUMBER(AA332)=FALSE),AND(LEN(U332)&gt;0,ISNUMBER(U332)=FALSE)),"Check date",IF(COUNT(G332,I332,K332,M332,Q332,S332,W332,Y332,AA332)=0,"",MIN(G332,I332,K332,M332,Q332,S332,W332,Y332,AA332)))</f>
        <v/>
      </c>
      <c r="AE332" s="25">
        <f>IF(ISNUMBER(AD332),AD332-IF(ISNUMBER(AB332),AB332,30),"")</f>
        <v/>
      </c>
      <c r="AF332" s="27">
        <f>IF(AD332="","",IF(ISNUMBER(AD332),AD332-TODAY(),"Check date"))</f>
        <v/>
      </c>
      <c r="AG332" s="28">
        <f>IF(AF332="","",IF(ISNUMBER(AF332),IF(AF332&lt;0,"Expired",IF(AF332&lt;=30,"Due ≤30 days",IF(AF332&lt;=90,"Due ≤90 days","OK"))),"Check date"))</f>
        <v/>
      </c>
      <c r="AH332" s="22" t="n"/>
      <c r="AI332" s="22" t="n"/>
      <c r="AJ332" s="22" t="n"/>
      <c r="AK332" s="22" t="n"/>
    </row>
    <row r="333">
      <c r="A333" s="22" t="n"/>
      <c r="B333" s="22" t="n"/>
      <c r="C333" s="22" t="n"/>
      <c r="D333" s="22" t="n"/>
      <c r="E333" s="22" t="n"/>
      <c r="F333" s="22" t="n"/>
      <c r="G333" s="23" t="n"/>
      <c r="H333" s="22" t="n"/>
      <c r="I333" s="23" t="n"/>
      <c r="J333" s="22" t="n"/>
      <c r="K333" s="23" t="n"/>
      <c r="L333" s="22" t="n"/>
      <c r="M333" s="23" t="n"/>
      <c r="N333" s="22" t="n"/>
      <c r="O333" s="22" t="n"/>
      <c r="P333" s="22" t="n"/>
      <c r="Q333" s="23" t="n"/>
      <c r="R333" s="22" t="n"/>
      <c r="S333" s="23" t="n"/>
      <c r="T333" s="22" t="n"/>
      <c r="U333" s="23" t="n"/>
      <c r="V333" s="24" t="n"/>
      <c r="W333" s="25">
        <f>IF(ISNUMBER(U333),U333+IF(ISNUMBER(V333),V333,120),"")</f>
        <v/>
      </c>
      <c r="X333" s="22" t="n"/>
      <c r="Y333" s="23" t="n"/>
      <c r="Z333" s="22" t="n"/>
      <c r="AA333" s="23" t="n"/>
      <c r="AB333" s="24" t="n"/>
      <c r="AC333" s="26">
        <f>IF(ISNUMBER(AD333)=FALSE,"",IF(G333=AD333,"State license",IF(I333=AD333,"DEA registration",IF(K333=AD333,"State CSR",IF(M333=AD333,"Board certification",IF(Q333=AD333,"Malpractice",IF(S333=AD333,"Life support",IF(W333=AD333,"CAQH re-attestation",IF(Y333=AD333,"Privileges reappointment","Payer recredentialing")))))))))</f>
        <v/>
      </c>
      <c r="AD333" s="25">
        <f>IF(OR(AND(LEN(G333)&gt;0,ISNUMBER(G333)=FALSE),AND(LEN(I333)&gt;0,ISNUMBER(I333)=FALSE),AND(LEN(K333)&gt;0,ISNUMBER(K333)=FALSE),AND(LEN(M333)&gt;0,ISNUMBER(M333)=FALSE),AND(LEN(Q333)&gt;0,ISNUMBER(Q333)=FALSE),AND(LEN(S333)&gt;0,ISNUMBER(S333)=FALSE),AND(LEN(Y333)&gt;0,ISNUMBER(Y333)=FALSE),AND(LEN(AA333)&gt;0,ISNUMBER(AA333)=FALSE),AND(LEN(U333)&gt;0,ISNUMBER(U333)=FALSE)),"Check date",IF(COUNT(G333,I333,K333,M333,Q333,S333,W333,Y333,AA333)=0,"",MIN(G333,I333,K333,M333,Q333,S333,W333,Y333,AA333)))</f>
        <v/>
      </c>
      <c r="AE333" s="25">
        <f>IF(ISNUMBER(AD333),AD333-IF(ISNUMBER(AB333),AB333,30),"")</f>
        <v/>
      </c>
      <c r="AF333" s="27">
        <f>IF(AD333="","",IF(ISNUMBER(AD333),AD333-TODAY(),"Check date"))</f>
        <v/>
      </c>
      <c r="AG333" s="28">
        <f>IF(AF333="","",IF(ISNUMBER(AF333),IF(AF333&lt;0,"Expired",IF(AF333&lt;=30,"Due ≤30 days",IF(AF333&lt;=90,"Due ≤90 days","OK"))),"Check date"))</f>
        <v/>
      </c>
      <c r="AH333" s="22" t="n"/>
      <c r="AI333" s="22" t="n"/>
      <c r="AJ333" s="22" t="n"/>
      <c r="AK333" s="22" t="n"/>
    </row>
    <row r="334">
      <c r="A334" s="22" t="n"/>
      <c r="B334" s="22" t="n"/>
      <c r="C334" s="22" t="n"/>
      <c r="D334" s="22" t="n"/>
      <c r="E334" s="22" t="n"/>
      <c r="F334" s="22" t="n"/>
      <c r="G334" s="23" t="n"/>
      <c r="H334" s="22" t="n"/>
      <c r="I334" s="23" t="n"/>
      <c r="J334" s="22" t="n"/>
      <c r="K334" s="23" t="n"/>
      <c r="L334" s="22" t="n"/>
      <c r="M334" s="23" t="n"/>
      <c r="N334" s="22" t="n"/>
      <c r="O334" s="22" t="n"/>
      <c r="P334" s="22" t="n"/>
      <c r="Q334" s="23" t="n"/>
      <c r="R334" s="22" t="n"/>
      <c r="S334" s="23" t="n"/>
      <c r="T334" s="22" t="n"/>
      <c r="U334" s="23" t="n"/>
      <c r="V334" s="24" t="n"/>
      <c r="W334" s="25">
        <f>IF(ISNUMBER(U334),U334+IF(ISNUMBER(V334),V334,120),"")</f>
        <v/>
      </c>
      <c r="X334" s="22" t="n"/>
      <c r="Y334" s="23" t="n"/>
      <c r="Z334" s="22" t="n"/>
      <c r="AA334" s="23" t="n"/>
      <c r="AB334" s="24" t="n"/>
      <c r="AC334" s="26">
        <f>IF(ISNUMBER(AD334)=FALSE,"",IF(G334=AD334,"State license",IF(I334=AD334,"DEA registration",IF(K334=AD334,"State CSR",IF(M334=AD334,"Board certification",IF(Q334=AD334,"Malpractice",IF(S334=AD334,"Life support",IF(W334=AD334,"CAQH re-attestation",IF(Y334=AD334,"Privileges reappointment","Payer recredentialing")))))))))</f>
        <v/>
      </c>
      <c r="AD334" s="25">
        <f>IF(OR(AND(LEN(G334)&gt;0,ISNUMBER(G334)=FALSE),AND(LEN(I334)&gt;0,ISNUMBER(I334)=FALSE),AND(LEN(K334)&gt;0,ISNUMBER(K334)=FALSE),AND(LEN(M334)&gt;0,ISNUMBER(M334)=FALSE),AND(LEN(Q334)&gt;0,ISNUMBER(Q334)=FALSE),AND(LEN(S334)&gt;0,ISNUMBER(S334)=FALSE),AND(LEN(Y334)&gt;0,ISNUMBER(Y334)=FALSE),AND(LEN(AA334)&gt;0,ISNUMBER(AA334)=FALSE),AND(LEN(U334)&gt;0,ISNUMBER(U334)=FALSE)),"Check date",IF(COUNT(G334,I334,K334,M334,Q334,S334,W334,Y334,AA334)=0,"",MIN(G334,I334,K334,M334,Q334,S334,W334,Y334,AA334)))</f>
        <v/>
      </c>
      <c r="AE334" s="25">
        <f>IF(ISNUMBER(AD334),AD334-IF(ISNUMBER(AB334),AB334,30),"")</f>
        <v/>
      </c>
      <c r="AF334" s="27">
        <f>IF(AD334="","",IF(ISNUMBER(AD334),AD334-TODAY(),"Check date"))</f>
        <v/>
      </c>
      <c r="AG334" s="28">
        <f>IF(AF334="","",IF(ISNUMBER(AF334),IF(AF334&lt;0,"Expired",IF(AF334&lt;=30,"Due ≤30 days",IF(AF334&lt;=90,"Due ≤90 days","OK"))),"Check date"))</f>
        <v/>
      </c>
      <c r="AH334" s="22" t="n"/>
      <c r="AI334" s="22" t="n"/>
      <c r="AJ334" s="22" t="n"/>
      <c r="AK334" s="22" t="n"/>
    </row>
    <row r="335">
      <c r="A335" s="22" t="n"/>
      <c r="B335" s="22" t="n"/>
      <c r="C335" s="22" t="n"/>
      <c r="D335" s="22" t="n"/>
      <c r="E335" s="22" t="n"/>
      <c r="F335" s="22" t="n"/>
      <c r="G335" s="23" t="n"/>
      <c r="H335" s="22" t="n"/>
      <c r="I335" s="23" t="n"/>
      <c r="J335" s="22" t="n"/>
      <c r="K335" s="23" t="n"/>
      <c r="L335" s="22" t="n"/>
      <c r="M335" s="23" t="n"/>
      <c r="N335" s="22" t="n"/>
      <c r="O335" s="22" t="n"/>
      <c r="P335" s="22" t="n"/>
      <c r="Q335" s="23" t="n"/>
      <c r="R335" s="22" t="n"/>
      <c r="S335" s="23" t="n"/>
      <c r="T335" s="22" t="n"/>
      <c r="U335" s="23" t="n"/>
      <c r="V335" s="24" t="n"/>
      <c r="W335" s="25">
        <f>IF(ISNUMBER(U335),U335+IF(ISNUMBER(V335),V335,120),"")</f>
        <v/>
      </c>
      <c r="X335" s="22" t="n"/>
      <c r="Y335" s="23" t="n"/>
      <c r="Z335" s="22" t="n"/>
      <c r="AA335" s="23" t="n"/>
      <c r="AB335" s="24" t="n"/>
      <c r="AC335" s="26">
        <f>IF(ISNUMBER(AD335)=FALSE,"",IF(G335=AD335,"State license",IF(I335=AD335,"DEA registration",IF(K335=AD335,"State CSR",IF(M335=AD335,"Board certification",IF(Q335=AD335,"Malpractice",IF(S335=AD335,"Life support",IF(W335=AD335,"CAQH re-attestation",IF(Y335=AD335,"Privileges reappointment","Payer recredentialing")))))))))</f>
        <v/>
      </c>
      <c r="AD335" s="25">
        <f>IF(OR(AND(LEN(G335)&gt;0,ISNUMBER(G335)=FALSE),AND(LEN(I335)&gt;0,ISNUMBER(I335)=FALSE),AND(LEN(K335)&gt;0,ISNUMBER(K335)=FALSE),AND(LEN(M335)&gt;0,ISNUMBER(M335)=FALSE),AND(LEN(Q335)&gt;0,ISNUMBER(Q335)=FALSE),AND(LEN(S335)&gt;0,ISNUMBER(S335)=FALSE),AND(LEN(Y335)&gt;0,ISNUMBER(Y335)=FALSE),AND(LEN(AA335)&gt;0,ISNUMBER(AA335)=FALSE),AND(LEN(U335)&gt;0,ISNUMBER(U335)=FALSE)),"Check date",IF(COUNT(G335,I335,K335,M335,Q335,S335,W335,Y335,AA335)=0,"",MIN(G335,I335,K335,M335,Q335,S335,W335,Y335,AA335)))</f>
        <v/>
      </c>
      <c r="AE335" s="25">
        <f>IF(ISNUMBER(AD335),AD335-IF(ISNUMBER(AB335),AB335,30),"")</f>
        <v/>
      </c>
      <c r="AF335" s="27">
        <f>IF(AD335="","",IF(ISNUMBER(AD335),AD335-TODAY(),"Check date"))</f>
        <v/>
      </c>
      <c r="AG335" s="28">
        <f>IF(AF335="","",IF(ISNUMBER(AF335),IF(AF335&lt;0,"Expired",IF(AF335&lt;=30,"Due ≤30 days",IF(AF335&lt;=90,"Due ≤90 days","OK"))),"Check date"))</f>
        <v/>
      </c>
      <c r="AH335" s="22" t="n"/>
      <c r="AI335" s="22" t="n"/>
      <c r="AJ335" s="22" t="n"/>
      <c r="AK335" s="22" t="n"/>
    </row>
    <row r="336">
      <c r="A336" s="22" t="n"/>
      <c r="B336" s="22" t="n"/>
      <c r="C336" s="22" t="n"/>
      <c r="D336" s="22" t="n"/>
      <c r="E336" s="22" t="n"/>
      <c r="F336" s="22" t="n"/>
      <c r="G336" s="23" t="n"/>
      <c r="H336" s="22" t="n"/>
      <c r="I336" s="23" t="n"/>
      <c r="J336" s="22" t="n"/>
      <c r="K336" s="23" t="n"/>
      <c r="L336" s="22" t="n"/>
      <c r="M336" s="23" t="n"/>
      <c r="N336" s="22" t="n"/>
      <c r="O336" s="22" t="n"/>
      <c r="P336" s="22" t="n"/>
      <c r="Q336" s="23" t="n"/>
      <c r="R336" s="22" t="n"/>
      <c r="S336" s="23" t="n"/>
      <c r="T336" s="22" t="n"/>
      <c r="U336" s="23" t="n"/>
      <c r="V336" s="24" t="n"/>
      <c r="W336" s="25">
        <f>IF(ISNUMBER(U336),U336+IF(ISNUMBER(V336),V336,120),"")</f>
        <v/>
      </c>
      <c r="X336" s="22" t="n"/>
      <c r="Y336" s="23" t="n"/>
      <c r="Z336" s="22" t="n"/>
      <c r="AA336" s="23" t="n"/>
      <c r="AB336" s="24" t="n"/>
      <c r="AC336" s="26">
        <f>IF(ISNUMBER(AD336)=FALSE,"",IF(G336=AD336,"State license",IF(I336=AD336,"DEA registration",IF(K336=AD336,"State CSR",IF(M336=AD336,"Board certification",IF(Q336=AD336,"Malpractice",IF(S336=AD336,"Life support",IF(W336=AD336,"CAQH re-attestation",IF(Y336=AD336,"Privileges reappointment","Payer recredentialing")))))))))</f>
        <v/>
      </c>
      <c r="AD336" s="25">
        <f>IF(OR(AND(LEN(G336)&gt;0,ISNUMBER(G336)=FALSE),AND(LEN(I336)&gt;0,ISNUMBER(I336)=FALSE),AND(LEN(K336)&gt;0,ISNUMBER(K336)=FALSE),AND(LEN(M336)&gt;0,ISNUMBER(M336)=FALSE),AND(LEN(Q336)&gt;0,ISNUMBER(Q336)=FALSE),AND(LEN(S336)&gt;0,ISNUMBER(S336)=FALSE),AND(LEN(Y336)&gt;0,ISNUMBER(Y336)=FALSE),AND(LEN(AA336)&gt;0,ISNUMBER(AA336)=FALSE),AND(LEN(U336)&gt;0,ISNUMBER(U336)=FALSE)),"Check date",IF(COUNT(G336,I336,K336,M336,Q336,S336,W336,Y336,AA336)=0,"",MIN(G336,I336,K336,M336,Q336,S336,W336,Y336,AA336)))</f>
        <v/>
      </c>
      <c r="AE336" s="25">
        <f>IF(ISNUMBER(AD336),AD336-IF(ISNUMBER(AB336),AB336,30),"")</f>
        <v/>
      </c>
      <c r="AF336" s="27">
        <f>IF(AD336="","",IF(ISNUMBER(AD336),AD336-TODAY(),"Check date"))</f>
        <v/>
      </c>
      <c r="AG336" s="28">
        <f>IF(AF336="","",IF(ISNUMBER(AF336),IF(AF336&lt;0,"Expired",IF(AF336&lt;=30,"Due ≤30 days",IF(AF336&lt;=90,"Due ≤90 days","OK"))),"Check date"))</f>
        <v/>
      </c>
      <c r="AH336" s="22" t="n"/>
      <c r="AI336" s="22" t="n"/>
      <c r="AJ336" s="22" t="n"/>
      <c r="AK336" s="22" t="n"/>
    </row>
    <row r="337">
      <c r="A337" s="22" t="n"/>
      <c r="B337" s="22" t="n"/>
      <c r="C337" s="22" t="n"/>
      <c r="D337" s="22" t="n"/>
      <c r="E337" s="22" t="n"/>
      <c r="F337" s="22" t="n"/>
      <c r="G337" s="23" t="n"/>
      <c r="H337" s="22" t="n"/>
      <c r="I337" s="23" t="n"/>
      <c r="J337" s="22" t="n"/>
      <c r="K337" s="23" t="n"/>
      <c r="L337" s="22" t="n"/>
      <c r="M337" s="23" t="n"/>
      <c r="N337" s="22" t="n"/>
      <c r="O337" s="22" t="n"/>
      <c r="P337" s="22" t="n"/>
      <c r="Q337" s="23" t="n"/>
      <c r="R337" s="22" t="n"/>
      <c r="S337" s="23" t="n"/>
      <c r="T337" s="22" t="n"/>
      <c r="U337" s="23" t="n"/>
      <c r="V337" s="24" t="n"/>
      <c r="W337" s="25">
        <f>IF(ISNUMBER(U337),U337+IF(ISNUMBER(V337),V337,120),"")</f>
        <v/>
      </c>
      <c r="X337" s="22" t="n"/>
      <c r="Y337" s="23" t="n"/>
      <c r="Z337" s="22" t="n"/>
      <c r="AA337" s="23" t="n"/>
      <c r="AB337" s="24" t="n"/>
      <c r="AC337" s="26">
        <f>IF(ISNUMBER(AD337)=FALSE,"",IF(G337=AD337,"State license",IF(I337=AD337,"DEA registration",IF(K337=AD337,"State CSR",IF(M337=AD337,"Board certification",IF(Q337=AD337,"Malpractice",IF(S337=AD337,"Life support",IF(W337=AD337,"CAQH re-attestation",IF(Y337=AD337,"Privileges reappointment","Payer recredentialing")))))))))</f>
        <v/>
      </c>
      <c r="AD337" s="25">
        <f>IF(OR(AND(LEN(G337)&gt;0,ISNUMBER(G337)=FALSE),AND(LEN(I337)&gt;0,ISNUMBER(I337)=FALSE),AND(LEN(K337)&gt;0,ISNUMBER(K337)=FALSE),AND(LEN(M337)&gt;0,ISNUMBER(M337)=FALSE),AND(LEN(Q337)&gt;0,ISNUMBER(Q337)=FALSE),AND(LEN(S337)&gt;0,ISNUMBER(S337)=FALSE),AND(LEN(Y337)&gt;0,ISNUMBER(Y337)=FALSE),AND(LEN(AA337)&gt;0,ISNUMBER(AA337)=FALSE),AND(LEN(U337)&gt;0,ISNUMBER(U337)=FALSE)),"Check date",IF(COUNT(G337,I337,K337,M337,Q337,S337,W337,Y337,AA337)=0,"",MIN(G337,I337,K337,M337,Q337,S337,W337,Y337,AA337)))</f>
        <v/>
      </c>
      <c r="AE337" s="25">
        <f>IF(ISNUMBER(AD337),AD337-IF(ISNUMBER(AB337),AB337,30),"")</f>
        <v/>
      </c>
      <c r="AF337" s="27">
        <f>IF(AD337="","",IF(ISNUMBER(AD337),AD337-TODAY(),"Check date"))</f>
        <v/>
      </c>
      <c r="AG337" s="28">
        <f>IF(AF337="","",IF(ISNUMBER(AF337),IF(AF337&lt;0,"Expired",IF(AF337&lt;=30,"Due ≤30 days",IF(AF337&lt;=90,"Due ≤90 days","OK"))),"Check date"))</f>
        <v/>
      </c>
      <c r="AH337" s="22" t="n"/>
      <c r="AI337" s="22" t="n"/>
      <c r="AJ337" s="22" t="n"/>
      <c r="AK337" s="22" t="n"/>
    </row>
    <row r="338">
      <c r="A338" s="22" t="n"/>
      <c r="B338" s="22" t="n"/>
      <c r="C338" s="22" t="n"/>
      <c r="D338" s="22" t="n"/>
      <c r="E338" s="22" t="n"/>
      <c r="F338" s="22" t="n"/>
      <c r="G338" s="23" t="n"/>
      <c r="H338" s="22" t="n"/>
      <c r="I338" s="23" t="n"/>
      <c r="J338" s="22" t="n"/>
      <c r="K338" s="23" t="n"/>
      <c r="L338" s="22" t="n"/>
      <c r="M338" s="23" t="n"/>
      <c r="N338" s="22" t="n"/>
      <c r="O338" s="22" t="n"/>
      <c r="P338" s="22" t="n"/>
      <c r="Q338" s="23" t="n"/>
      <c r="R338" s="22" t="n"/>
      <c r="S338" s="23" t="n"/>
      <c r="T338" s="22" t="n"/>
      <c r="U338" s="23" t="n"/>
      <c r="V338" s="24" t="n"/>
      <c r="W338" s="25">
        <f>IF(ISNUMBER(U338),U338+IF(ISNUMBER(V338),V338,120),"")</f>
        <v/>
      </c>
      <c r="X338" s="22" t="n"/>
      <c r="Y338" s="23" t="n"/>
      <c r="Z338" s="22" t="n"/>
      <c r="AA338" s="23" t="n"/>
      <c r="AB338" s="24" t="n"/>
      <c r="AC338" s="26">
        <f>IF(ISNUMBER(AD338)=FALSE,"",IF(G338=AD338,"State license",IF(I338=AD338,"DEA registration",IF(K338=AD338,"State CSR",IF(M338=AD338,"Board certification",IF(Q338=AD338,"Malpractice",IF(S338=AD338,"Life support",IF(W338=AD338,"CAQH re-attestation",IF(Y338=AD338,"Privileges reappointment","Payer recredentialing")))))))))</f>
        <v/>
      </c>
      <c r="AD338" s="25">
        <f>IF(OR(AND(LEN(G338)&gt;0,ISNUMBER(G338)=FALSE),AND(LEN(I338)&gt;0,ISNUMBER(I338)=FALSE),AND(LEN(K338)&gt;0,ISNUMBER(K338)=FALSE),AND(LEN(M338)&gt;0,ISNUMBER(M338)=FALSE),AND(LEN(Q338)&gt;0,ISNUMBER(Q338)=FALSE),AND(LEN(S338)&gt;0,ISNUMBER(S338)=FALSE),AND(LEN(Y338)&gt;0,ISNUMBER(Y338)=FALSE),AND(LEN(AA338)&gt;0,ISNUMBER(AA338)=FALSE),AND(LEN(U338)&gt;0,ISNUMBER(U338)=FALSE)),"Check date",IF(COUNT(G338,I338,K338,M338,Q338,S338,W338,Y338,AA338)=0,"",MIN(G338,I338,K338,M338,Q338,S338,W338,Y338,AA338)))</f>
        <v/>
      </c>
      <c r="AE338" s="25">
        <f>IF(ISNUMBER(AD338),AD338-IF(ISNUMBER(AB338),AB338,30),"")</f>
        <v/>
      </c>
      <c r="AF338" s="27">
        <f>IF(AD338="","",IF(ISNUMBER(AD338),AD338-TODAY(),"Check date"))</f>
        <v/>
      </c>
      <c r="AG338" s="28">
        <f>IF(AF338="","",IF(ISNUMBER(AF338),IF(AF338&lt;0,"Expired",IF(AF338&lt;=30,"Due ≤30 days",IF(AF338&lt;=90,"Due ≤90 days","OK"))),"Check date"))</f>
        <v/>
      </c>
      <c r="AH338" s="22" t="n"/>
      <c r="AI338" s="22" t="n"/>
      <c r="AJ338" s="22" t="n"/>
      <c r="AK338" s="22" t="n"/>
    </row>
    <row r="339">
      <c r="A339" s="22" t="n"/>
      <c r="B339" s="22" t="n"/>
      <c r="C339" s="22" t="n"/>
      <c r="D339" s="22" t="n"/>
      <c r="E339" s="22" t="n"/>
      <c r="F339" s="22" t="n"/>
      <c r="G339" s="23" t="n"/>
      <c r="H339" s="22" t="n"/>
      <c r="I339" s="23" t="n"/>
      <c r="J339" s="22" t="n"/>
      <c r="K339" s="23" t="n"/>
      <c r="L339" s="22" t="n"/>
      <c r="M339" s="23" t="n"/>
      <c r="N339" s="22" t="n"/>
      <c r="O339" s="22" t="n"/>
      <c r="P339" s="22" t="n"/>
      <c r="Q339" s="23" t="n"/>
      <c r="R339" s="22" t="n"/>
      <c r="S339" s="23" t="n"/>
      <c r="T339" s="22" t="n"/>
      <c r="U339" s="23" t="n"/>
      <c r="V339" s="24" t="n"/>
      <c r="W339" s="25">
        <f>IF(ISNUMBER(U339),U339+IF(ISNUMBER(V339),V339,120),"")</f>
        <v/>
      </c>
      <c r="X339" s="22" t="n"/>
      <c r="Y339" s="23" t="n"/>
      <c r="Z339" s="22" t="n"/>
      <c r="AA339" s="23" t="n"/>
      <c r="AB339" s="24" t="n"/>
      <c r="AC339" s="26">
        <f>IF(ISNUMBER(AD339)=FALSE,"",IF(G339=AD339,"State license",IF(I339=AD339,"DEA registration",IF(K339=AD339,"State CSR",IF(M339=AD339,"Board certification",IF(Q339=AD339,"Malpractice",IF(S339=AD339,"Life support",IF(W339=AD339,"CAQH re-attestation",IF(Y339=AD339,"Privileges reappointment","Payer recredentialing")))))))))</f>
        <v/>
      </c>
      <c r="AD339" s="25">
        <f>IF(OR(AND(LEN(G339)&gt;0,ISNUMBER(G339)=FALSE),AND(LEN(I339)&gt;0,ISNUMBER(I339)=FALSE),AND(LEN(K339)&gt;0,ISNUMBER(K339)=FALSE),AND(LEN(M339)&gt;0,ISNUMBER(M339)=FALSE),AND(LEN(Q339)&gt;0,ISNUMBER(Q339)=FALSE),AND(LEN(S339)&gt;0,ISNUMBER(S339)=FALSE),AND(LEN(Y339)&gt;0,ISNUMBER(Y339)=FALSE),AND(LEN(AA339)&gt;0,ISNUMBER(AA339)=FALSE),AND(LEN(U339)&gt;0,ISNUMBER(U339)=FALSE)),"Check date",IF(COUNT(G339,I339,K339,M339,Q339,S339,W339,Y339,AA339)=0,"",MIN(G339,I339,K339,M339,Q339,S339,W339,Y339,AA339)))</f>
        <v/>
      </c>
      <c r="AE339" s="25">
        <f>IF(ISNUMBER(AD339),AD339-IF(ISNUMBER(AB339),AB339,30),"")</f>
        <v/>
      </c>
      <c r="AF339" s="27">
        <f>IF(AD339="","",IF(ISNUMBER(AD339),AD339-TODAY(),"Check date"))</f>
        <v/>
      </c>
      <c r="AG339" s="28">
        <f>IF(AF339="","",IF(ISNUMBER(AF339),IF(AF339&lt;0,"Expired",IF(AF339&lt;=30,"Due ≤30 days",IF(AF339&lt;=90,"Due ≤90 days","OK"))),"Check date"))</f>
        <v/>
      </c>
      <c r="AH339" s="22" t="n"/>
      <c r="AI339" s="22" t="n"/>
      <c r="AJ339" s="22" t="n"/>
      <c r="AK339" s="22" t="n"/>
    </row>
    <row r="340">
      <c r="A340" s="22" t="n"/>
      <c r="B340" s="22" t="n"/>
      <c r="C340" s="22" t="n"/>
      <c r="D340" s="22" t="n"/>
      <c r="E340" s="22" t="n"/>
      <c r="F340" s="22" t="n"/>
      <c r="G340" s="23" t="n"/>
      <c r="H340" s="22" t="n"/>
      <c r="I340" s="23" t="n"/>
      <c r="J340" s="22" t="n"/>
      <c r="K340" s="23" t="n"/>
      <c r="L340" s="22" t="n"/>
      <c r="M340" s="23" t="n"/>
      <c r="N340" s="22" t="n"/>
      <c r="O340" s="22" t="n"/>
      <c r="P340" s="22" t="n"/>
      <c r="Q340" s="23" t="n"/>
      <c r="R340" s="22" t="n"/>
      <c r="S340" s="23" t="n"/>
      <c r="T340" s="22" t="n"/>
      <c r="U340" s="23" t="n"/>
      <c r="V340" s="24" t="n"/>
      <c r="W340" s="25">
        <f>IF(ISNUMBER(U340),U340+IF(ISNUMBER(V340),V340,120),"")</f>
        <v/>
      </c>
      <c r="X340" s="22" t="n"/>
      <c r="Y340" s="23" t="n"/>
      <c r="Z340" s="22" t="n"/>
      <c r="AA340" s="23" t="n"/>
      <c r="AB340" s="24" t="n"/>
      <c r="AC340" s="26">
        <f>IF(ISNUMBER(AD340)=FALSE,"",IF(G340=AD340,"State license",IF(I340=AD340,"DEA registration",IF(K340=AD340,"State CSR",IF(M340=AD340,"Board certification",IF(Q340=AD340,"Malpractice",IF(S340=AD340,"Life support",IF(W340=AD340,"CAQH re-attestation",IF(Y340=AD340,"Privileges reappointment","Payer recredentialing")))))))))</f>
        <v/>
      </c>
      <c r="AD340" s="25">
        <f>IF(OR(AND(LEN(G340)&gt;0,ISNUMBER(G340)=FALSE),AND(LEN(I340)&gt;0,ISNUMBER(I340)=FALSE),AND(LEN(K340)&gt;0,ISNUMBER(K340)=FALSE),AND(LEN(M340)&gt;0,ISNUMBER(M340)=FALSE),AND(LEN(Q340)&gt;0,ISNUMBER(Q340)=FALSE),AND(LEN(S340)&gt;0,ISNUMBER(S340)=FALSE),AND(LEN(Y340)&gt;0,ISNUMBER(Y340)=FALSE),AND(LEN(AA340)&gt;0,ISNUMBER(AA340)=FALSE),AND(LEN(U340)&gt;0,ISNUMBER(U340)=FALSE)),"Check date",IF(COUNT(G340,I340,K340,M340,Q340,S340,W340,Y340,AA340)=0,"",MIN(G340,I340,K340,M340,Q340,S340,W340,Y340,AA340)))</f>
        <v/>
      </c>
      <c r="AE340" s="25">
        <f>IF(ISNUMBER(AD340),AD340-IF(ISNUMBER(AB340),AB340,30),"")</f>
        <v/>
      </c>
      <c r="AF340" s="27">
        <f>IF(AD340="","",IF(ISNUMBER(AD340),AD340-TODAY(),"Check date"))</f>
        <v/>
      </c>
      <c r="AG340" s="28">
        <f>IF(AF340="","",IF(ISNUMBER(AF340),IF(AF340&lt;0,"Expired",IF(AF340&lt;=30,"Due ≤30 days",IF(AF340&lt;=90,"Due ≤90 days","OK"))),"Check date"))</f>
        <v/>
      </c>
      <c r="AH340" s="22" t="n"/>
      <c r="AI340" s="22" t="n"/>
      <c r="AJ340" s="22" t="n"/>
      <c r="AK340" s="22" t="n"/>
    </row>
    <row r="341">
      <c r="A341" s="22" t="n"/>
      <c r="B341" s="22" t="n"/>
      <c r="C341" s="22" t="n"/>
      <c r="D341" s="22" t="n"/>
      <c r="E341" s="22" t="n"/>
      <c r="F341" s="22" t="n"/>
      <c r="G341" s="23" t="n"/>
      <c r="H341" s="22" t="n"/>
      <c r="I341" s="23" t="n"/>
      <c r="J341" s="22" t="n"/>
      <c r="K341" s="23" t="n"/>
      <c r="L341" s="22" t="n"/>
      <c r="M341" s="23" t="n"/>
      <c r="N341" s="22" t="n"/>
      <c r="O341" s="22" t="n"/>
      <c r="P341" s="22" t="n"/>
      <c r="Q341" s="23" t="n"/>
      <c r="R341" s="22" t="n"/>
      <c r="S341" s="23" t="n"/>
      <c r="T341" s="22" t="n"/>
      <c r="U341" s="23" t="n"/>
      <c r="V341" s="24" t="n"/>
      <c r="W341" s="25">
        <f>IF(ISNUMBER(U341),U341+IF(ISNUMBER(V341),V341,120),"")</f>
        <v/>
      </c>
      <c r="X341" s="22" t="n"/>
      <c r="Y341" s="23" t="n"/>
      <c r="Z341" s="22" t="n"/>
      <c r="AA341" s="23" t="n"/>
      <c r="AB341" s="24" t="n"/>
      <c r="AC341" s="26">
        <f>IF(ISNUMBER(AD341)=FALSE,"",IF(G341=AD341,"State license",IF(I341=AD341,"DEA registration",IF(K341=AD341,"State CSR",IF(M341=AD341,"Board certification",IF(Q341=AD341,"Malpractice",IF(S341=AD341,"Life support",IF(W341=AD341,"CAQH re-attestation",IF(Y341=AD341,"Privileges reappointment","Payer recredentialing")))))))))</f>
        <v/>
      </c>
      <c r="AD341" s="25">
        <f>IF(OR(AND(LEN(G341)&gt;0,ISNUMBER(G341)=FALSE),AND(LEN(I341)&gt;0,ISNUMBER(I341)=FALSE),AND(LEN(K341)&gt;0,ISNUMBER(K341)=FALSE),AND(LEN(M341)&gt;0,ISNUMBER(M341)=FALSE),AND(LEN(Q341)&gt;0,ISNUMBER(Q341)=FALSE),AND(LEN(S341)&gt;0,ISNUMBER(S341)=FALSE),AND(LEN(Y341)&gt;0,ISNUMBER(Y341)=FALSE),AND(LEN(AA341)&gt;0,ISNUMBER(AA341)=FALSE),AND(LEN(U341)&gt;0,ISNUMBER(U341)=FALSE)),"Check date",IF(COUNT(G341,I341,K341,M341,Q341,S341,W341,Y341,AA341)=0,"",MIN(G341,I341,K341,M341,Q341,S341,W341,Y341,AA341)))</f>
        <v/>
      </c>
      <c r="AE341" s="25">
        <f>IF(ISNUMBER(AD341),AD341-IF(ISNUMBER(AB341),AB341,30),"")</f>
        <v/>
      </c>
      <c r="AF341" s="27">
        <f>IF(AD341="","",IF(ISNUMBER(AD341),AD341-TODAY(),"Check date"))</f>
        <v/>
      </c>
      <c r="AG341" s="28">
        <f>IF(AF341="","",IF(ISNUMBER(AF341),IF(AF341&lt;0,"Expired",IF(AF341&lt;=30,"Due ≤30 days",IF(AF341&lt;=90,"Due ≤90 days","OK"))),"Check date"))</f>
        <v/>
      </c>
      <c r="AH341" s="22" t="n"/>
      <c r="AI341" s="22" t="n"/>
      <c r="AJ341" s="22" t="n"/>
      <c r="AK341" s="22" t="n"/>
    </row>
    <row r="342">
      <c r="A342" s="22" t="n"/>
      <c r="B342" s="22" t="n"/>
      <c r="C342" s="22" t="n"/>
      <c r="D342" s="22" t="n"/>
      <c r="E342" s="22" t="n"/>
      <c r="F342" s="22" t="n"/>
      <c r="G342" s="23" t="n"/>
      <c r="H342" s="22" t="n"/>
      <c r="I342" s="23" t="n"/>
      <c r="J342" s="22" t="n"/>
      <c r="K342" s="23" t="n"/>
      <c r="L342" s="22" t="n"/>
      <c r="M342" s="23" t="n"/>
      <c r="N342" s="22" t="n"/>
      <c r="O342" s="22" t="n"/>
      <c r="P342" s="22" t="n"/>
      <c r="Q342" s="23" t="n"/>
      <c r="R342" s="22" t="n"/>
      <c r="S342" s="23" t="n"/>
      <c r="T342" s="22" t="n"/>
      <c r="U342" s="23" t="n"/>
      <c r="V342" s="24" t="n"/>
      <c r="W342" s="25">
        <f>IF(ISNUMBER(U342),U342+IF(ISNUMBER(V342),V342,120),"")</f>
        <v/>
      </c>
      <c r="X342" s="22" t="n"/>
      <c r="Y342" s="23" t="n"/>
      <c r="Z342" s="22" t="n"/>
      <c r="AA342" s="23" t="n"/>
      <c r="AB342" s="24" t="n"/>
      <c r="AC342" s="26">
        <f>IF(ISNUMBER(AD342)=FALSE,"",IF(G342=AD342,"State license",IF(I342=AD342,"DEA registration",IF(K342=AD342,"State CSR",IF(M342=AD342,"Board certification",IF(Q342=AD342,"Malpractice",IF(S342=AD342,"Life support",IF(W342=AD342,"CAQH re-attestation",IF(Y342=AD342,"Privileges reappointment","Payer recredentialing")))))))))</f>
        <v/>
      </c>
      <c r="AD342" s="25">
        <f>IF(OR(AND(LEN(G342)&gt;0,ISNUMBER(G342)=FALSE),AND(LEN(I342)&gt;0,ISNUMBER(I342)=FALSE),AND(LEN(K342)&gt;0,ISNUMBER(K342)=FALSE),AND(LEN(M342)&gt;0,ISNUMBER(M342)=FALSE),AND(LEN(Q342)&gt;0,ISNUMBER(Q342)=FALSE),AND(LEN(S342)&gt;0,ISNUMBER(S342)=FALSE),AND(LEN(Y342)&gt;0,ISNUMBER(Y342)=FALSE),AND(LEN(AA342)&gt;0,ISNUMBER(AA342)=FALSE),AND(LEN(U342)&gt;0,ISNUMBER(U342)=FALSE)),"Check date",IF(COUNT(G342,I342,K342,M342,Q342,S342,W342,Y342,AA342)=0,"",MIN(G342,I342,K342,M342,Q342,S342,W342,Y342,AA342)))</f>
        <v/>
      </c>
      <c r="AE342" s="25">
        <f>IF(ISNUMBER(AD342),AD342-IF(ISNUMBER(AB342),AB342,30),"")</f>
        <v/>
      </c>
      <c r="AF342" s="27">
        <f>IF(AD342="","",IF(ISNUMBER(AD342),AD342-TODAY(),"Check date"))</f>
        <v/>
      </c>
      <c r="AG342" s="28">
        <f>IF(AF342="","",IF(ISNUMBER(AF342),IF(AF342&lt;0,"Expired",IF(AF342&lt;=30,"Due ≤30 days",IF(AF342&lt;=90,"Due ≤90 days","OK"))),"Check date"))</f>
        <v/>
      </c>
      <c r="AH342" s="22" t="n"/>
      <c r="AI342" s="22" t="n"/>
      <c r="AJ342" s="22" t="n"/>
      <c r="AK342" s="22" t="n"/>
    </row>
    <row r="343">
      <c r="A343" s="22" t="n"/>
      <c r="B343" s="22" t="n"/>
      <c r="C343" s="22" t="n"/>
      <c r="D343" s="22" t="n"/>
      <c r="E343" s="22" t="n"/>
      <c r="F343" s="22" t="n"/>
      <c r="G343" s="23" t="n"/>
      <c r="H343" s="22" t="n"/>
      <c r="I343" s="23" t="n"/>
      <c r="J343" s="22" t="n"/>
      <c r="K343" s="23" t="n"/>
      <c r="L343" s="22" t="n"/>
      <c r="M343" s="23" t="n"/>
      <c r="N343" s="22" t="n"/>
      <c r="O343" s="22" t="n"/>
      <c r="P343" s="22" t="n"/>
      <c r="Q343" s="23" t="n"/>
      <c r="R343" s="22" t="n"/>
      <c r="S343" s="23" t="n"/>
      <c r="T343" s="22" t="n"/>
      <c r="U343" s="23" t="n"/>
      <c r="V343" s="24" t="n"/>
      <c r="W343" s="25">
        <f>IF(ISNUMBER(U343),U343+IF(ISNUMBER(V343),V343,120),"")</f>
        <v/>
      </c>
      <c r="X343" s="22" t="n"/>
      <c r="Y343" s="23" t="n"/>
      <c r="Z343" s="22" t="n"/>
      <c r="AA343" s="23" t="n"/>
      <c r="AB343" s="24" t="n"/>
      <c r="AC343" s="26">
        <f>IF(ISNUMBER(AD343)=FALSE,"",IF(G343=AD343,"State license",IF(I343=AD343,"DEA registration",IF(K343=AD343,"State CSR",IF(M343=AD343,"Board certification",IF(Q343=AD343,"Malpractice",IF(S343=AD343,"Life support",IF(W343=AD343,"CAQH re-attestation",IF(Y343=AD343,"Privileges reappointment","Payer recredentialing")))))))))</f>
        <v/>
      </c>
      <c r="AD343" s="25">
        <f>IF(OR(AND(LEN(G343)&gt;0,ISNUMBER(G343)=FALSE),AND(LEN(I343)&gt;0,ISNUMBER(I343)=FALSE),AND(LEN(K343)&gt;0,ISNUMBER(K343)=FALSE),AND(LEN(M343)&gt;0,ISNUMBER(M343)=FALSE),AND(LEN(Q343)&gt;0,ISNUMBER(Q343)=FALSE),AND(LEN(S343)&gt;0,ISNUMBER(S343)=FALSE),AND(LEN(Y343)&gt;0,ISNUMBER(Y343)=FALSE),AND(LEN(AA343)&gt;0,ISNUMBER(AA343)=FALSE),AND(LEN(U343)&gt;0,ISNUMBER(U343)=FALSE)),"Check date",IF(COUNT(G343,I343,K343,M343,Q343,S343,W343,Y343,AA343)=0,"",MIN(G343,I343,K343,M343,Q343,S343,W343,Y343,AA343)))</f>
        <v/>
      </c>
      <c r="AE343" s="25">
        <f>IF(ISNUMBER(AD343),AD343-IF(ISNUMBER(AB343),AB343,30),"")</f>
        <v/>
      </c>
      <c r="AF343" s="27">
        <f>IF(AD343="","",IF(ISNUMBER(AD343),AD343-TODAY(),"Check date"))</f>
        <v/>
      </c>
      <c r="AG343" s="28">
        <f>IF(AF343="","",IF(ISNUMBER(AF343),IF(AF343&lt;0,"Expired",IF(AF343&lt;=30,"Due ≤30 days",IF(AF343&lt;=90,"Due ≤90 days","OK"))),"Check date"))</f>
        <v/>
      </c>
      <c r="AH343" s="22" t="n"/>
      <c r="AI343" s="22" t="n"/>
      <c r="AJ343" s="22" t="n"/>
      <c r="AK343" s="22" t="n"/>
    </row>
    <row r="344">
      <c r="A344" s="22" t="n"/>
      <c r="B344" s="22" t="n"/>
      <c r="C344" s="22" t="n"/>
      <c r="D344" s="22" t="n"/>
      <c r="E344" s="22" t="n"/>
      <c r="F344" s="22" t="n"/>
      <c r="G344" s="23" t="n"/>
      <c r="H344" s="22" t="n"/>
      <c r="I344" s="23" t="n"/>
      <c r="J344" s="22" t="n"/>
      <c r="K344" s="23" t="n"/>
      <c r="L344" s="22" t="n"/>
      <c r="M344" s="23" t="n"/>
      <c r="N344" s="22" t="n"/>
      <c r="O344" s="22" t="n"/>
      <c r="P344" s="22" t="n"/>
      <c r="Q344" s="23" t="n"/>
      <c r="R344" s="22" t="n"/>
      <c r="S344" s="23" t="n"/>
      <c r="T344" s="22" t="n"/>
      <c r="U344" s="23" t="n"/>
      <c r="V344" s="24" t="n"/>
      <c r="W344" s="25">
        <f>IF(ISNUMBER(U344),U344+IF(ISNUMBER(V344),V344,120),"")</f>
        <v/>
      </c>
      <c r="X344" s="22" t="n"/>
      <c r="Y344" s="23" t="n"/>
      <c r="Z344" s="22" t="n"/>
      <c r="AA344" s="23" t="n"/>
      <c r="AB344" s="24" t="n"/>
      <c r="AC344" s="26">
        <f>IF(ISNUMBER(AD344)=FALSE,"",IF(G344=AD344,"State license",IF(I344=AD344,"DEA registration",IF(K344=AD344,"State CSR",IF(M344=AD344,"Board certification",IF(Q344=AD344,"Malpractice",IF(S344=AD344,"Life support",IF(W344=AD344,"CAQH re-attestation",IF(Y344=AD344,"Privileges reappointment","Payer recredentialing")))))))))</f>
        <v/>
      </c>
      <c r="AD344" s="25">
        <f>IF(OR(AND(LEN(G344)&gt;0,ISNUMBER(G344)=FALSE),AND(LEN(I344)&gt;0,ISNUMBER(I344)=FALSE),AND(LEN(K344)&gt;0,ISNUMBER(K344)=FALSE),AND(LEN(M344)&gt;0,ISNUMBER(M344)=FALSE),AND(LEN(Q344)&gt;0,ISNUMBER(Q344)=FALSE),AND(LEN(S344)&gt;0,ISNUMBER(S344)=FALSE),AND(LEN(Y344)&gt;0,ISNUMBER(Y344)=FALSE),AND(LEN(AA344)&gt;0,ISNUMBER(AA344)=FALSE),AND(LEN(U344)&gt;0,ISNUMBER(U344)=FALSE)),"Check date",IF(COUNT(G344,I344,K344,M344,Q344,S344,W344,Y344,AA344)=0,"",MIN(G344,I344,K344,M344,Q344,S344,W344,Y344,AA344)))</f>
        <v/>
      </c>
      <c r="AE344" s="25">
        <f>IF(ISNUMBER(AD344),AD344-IF(ISNUMBER(AB344),AB344,30),"")</f>
        <v/>
      </c>
      <c r="AF344" s="27">
        <f>IF(AD344="","",IF(ISNUMBER(AD344),AD344-TODAY(),"Check date"))</f>
        <v/>
      </c>
      <c r="AG344" s="28">
        <f>IF(AF344="","",IF(ISNUMBER(AF344),IF(AF344&lt;0,"Expired",IF(AF344&lt;=30,"Due ≤30 days",IF(AF344&lt;=90,"Due ≤90 days","OK"))),"Check date"))</f>
        <v/>
      </c>
      <c r="AH344" s="22" t="n"/>
      <c r="AI344" s="22" t="n"/>
      <c r="AJ344" s="22" t="n"/>
      <c r="AK344" s="22" t="n"/>
    </row>
    <row r="345">
      <c r="A345" s="22" t="n"/>
      <c r="B345" s="22" t="n"/>
      <c r="C345" s="22" t="n"/>
      <c r="D345" s="22" t="n"/>
      <c r="E345" s="22" t="n"/>
      <c r="F345" s="22" t="n"/>
      <c r="G345" s="23" t="n"/>
      <c r="H345" s="22" t="n"/>
      <c r="I345" s="23" t="n"/>
      <c r="J345" s="22" t="n"/>
      <c r="K345" s="23" t="n"/>
      <c r="L345" s="22" t="n"/>
      <c r="M345" s="23" t="n"/>
      <c r="N345" s="22" t="n"/>
      <c r="O345" s="22" t="n"/>
      <c r="P345" s="22" t="n"/>
      <c r="Q345" s="23" t="n"/>
      <c r="R345" s="22" t="n"/>
      <c r="S345" s="23" t="n"/>
      <c r="T345" s="22" t="n"/>
      <c r="U345" s="23" t="n"/>
      <c r="V345" s="24" t="n"/>
      <c r="W345" s="25">
        <f>IF(ISNUMBER(U345),U345+IF(ISNUMBER(V345),V345,120),"")</f>
        <v/>
      </c>
      <c r="X345" s="22" t="n"/>
      <c r="Y345" s="23" t="n"/>
      <c r="Z345" s="22" t="n"/>
      <c r="AA345" s="23" t="n"/>
      <c r="AB345" s="24" t="n"/>
      <c r="AC345" s="26">
        <f>IF(ISNUMBER(AD345)=FALSE,"",IF(G345=AD345,"State license",IF(I345=AD345,"DEA registration",IF(K345=AD345,"State CSR",IF(M345=AD345,"Board certification",IF(Q345=AD345,"Malpractice",IF(S345=AD345,"Life support",IF(W345=AD345,"CAQH re-attestation",IF(Y345=AD345,"Privileges reappointment","Payer recredentialing")))))))))</f>
        <v/>
      </c>
      <c r="AD345" s="25">
        <f>IF(OR(AND(LEN(G345)&gt;0,ISNUMBER(G345)=FALSE),AND(LEN(I345)&gt;0,ISNUMBER(I345)=FALSE),AND(LEN(K345)&gt;0,ISNUMBER(K345)=FALSE),AND(LEN(M345)&gt;0,ISNUMBER(M345)=FALSE),AND(LEN(Q345)&gt;0,ISNUMBER(Q345)=FALSE),AND(LEN(S345)&gt;0,ISNUMBER(S345)=FALSE),AND(LEN(Y345)&gt;0,ISNUMBER(Y345)=FALSE),AND(LEN(AA345)&gt;0,ISNUMBER(AA345)=FALSE),AND(LEN(U345)&gt;0,ISNUMBER(U345)=FALSE)),"Check date",IF(COUNT(G345,I345,K345,M345,Q345,S345,W345,Y345,AA345)=0,"",MIN(G345,I345,K345,M345,Q345,S345,W345,Y345,AA345)))</f>
        <v/>
      </c>
      <c r="AE345" s="25">
        <f>IF(ISNUMBER(AD345),AD345-IF(ISNUMBER(AB345),AB345,30),"")</f>
        <v/>
      </c>
      <c r="AF345" s="27">
        <f>IF(AD345="","",IF(ISNUMBER(AD345),AD345-TODAY(),"Check date"))</f>
        <v/>
      </c>
      <c r="AG345" s="28">
        <f>IF(AF345="","",IF(ISNUMBER(AF345),IF(AF345&lt;0,"Expired",IF(AF345&lt;=30,"Due ≤30 days",IF(AF345&lt;=90,"Due ≤90 days","OK"))),"Check date"))</f>
        <v/>
      </c>
      <c r="AH345" s="22" t="n"/>
      <c r="AI345" s="22" t="n"/>
      <c r="AJ345" s="22" t="n"/>
      <c r="AK345" s="22" t="n"/>
    </row>
    <row r="346">
      <c r="A346" s="22" t="n"/>
      <c r="B346" s="22" t="n"/>
      <c r="C346" s="22" t="n"/>
      <c r="D346" s="22" t="n"/>
      <c r="E346" s="22" t="n"/>
      <c r="F346" s="22" t="n"/>
      <c r="G346" s="23" t="n"/>
      <c r="H346" s="22" t="n"/>
      <c r="I346" s="23" t="n"/>
      <c r="J346" s="22" t="n"/>
      <c r="K346" s="23" t="n"/>
      <c r="L346" s="22" t="n"/>
      <c r="M346" s="23" t="n"/>
      <c r="N346" s="22" t="n"/>
      <c r="O346" s="22" t="n"/>
      <c r="P346" s="22" t="n"/>
      <c r="Q346" s="23" t="n"/>
      <c r="R346" s="22" t="n"/>
      <c r="S346" s="23" t="n"/>
      <c r="T346" s="22" t="n"/>
      <c r="U346" s="23" t="n"/>
      <c r="V346" s="24" t="n"/>
      <c r="W346" s="25">
        <f>IF(ISNUMBER(U346),U346+IF(ISNUMBER(V346),V346,120),"")</f>
        <v/>
      </c>
      <c r="X346" s="22" t="n"/>
      <c r="Y346" s="23" t="n"/>
      <c r="Z346" s="22" t="n"/>
      <c r="AA346" s="23" t="n"/>
      <c r="AB346" s="24" t="n"/>
      <c r="AC346" s="26">
        <f>IF(ISNUMBER(AD346)=FALSE,"",IF(G346=AD346,"State license",IF(I346=AD346,"DEA registration",IF(K346=AD346,"State CSR",IF(M346=AD346,"Board certification",IF(Q346=AD346,"Malpractice",IF(S346=AD346,"Life support",IF(W346=AD346,"CAQH re-attestation",IF(Y346=AD346,"Privileges reappointment","Payer recredentialing")))))))))</f>
        <v/>
      </c>
      <c r="AD346" s="25">
        <f>IF(OR(AND(LEN(G346)&gt;0,ISNUMBER(G346)=FALSE),AND(LEN(I346)&gt;0,ISNUMBER(I346)=FALSE),AND(LEN(K346)&gt;0,ISNUMBER(K346)=FALSE),AND(LEN(M346)&gt;0,ISNUMBER(M346)=FALSE),AND(LEN(Q346)&gt;0,ISNUMBER(Q346)=FALSE),AND(LEN(S346)&gt;0,ISNUMBER(S346)=FALSE),AND(LEN(Y346)&gt;0,ISNUMBER(Y346)=FALSE),AND(LEN(AA346)&gt;0,ISNUMBER(AA346)=FALSE),AND(LEN(U346)&gt;0,ISNUMBER(U346)=FALSE)),"Check date",IF(COUNT(G346,I346,K346,M346,Q346,S346,W346,Y346,AA346)=0,"",MIN(G346,I346,K346,M346,Q346,S346,W346,Y346,AA346)))</f>
        <v/>
      </c>
      <c r="AE346" s="25">
        <f>IF(ISNUMBER(AD346),AD346-IF(ISNUMBER(AB346),AB346,30),"")</f>
        <v/>
      </c>
      <c r="AF346" s="27">
        <f>IF(AD346="","",IF(ISNUMBER(AD346),AD346-TODAY(),"Check date"))</f>
        <v/>
      </c>
      <c r="AG346" s="28">
        <f>IF(AF346="","",IF(ISNUMBER(AF346),IF(AF346&lt;0,"Expired",IF(AF346&lt;=30,"Due ≤30 days",IF(AF346&lt;=90,"Due ≤90 days","OK"))),"Check date"))</f>
        <v/>
      </c>
      <c r="AH346" s="22" t="n"/>
      <c r="AI346" s="22" t="n"/>
      <c r="AJ346" s="22" t="n"/>
      <c r="AK346" s="22" t="n"/>
    </row>
    <row r="347">
      <c r="A347" s="22" t="n"/>
      <c r="B347" s="22" t="n"/>
      <c r="C347" s="22" t="n"/>
      <c r="D347" s="22" t="n"/>
      <c r="E347" s="22" t="n"/>
      <c r="F347" s="22" t="n"/>
      <c r="G347" s="23" t="n"/>
      <c r="H347" s="22" t="n"/>
      <c r="I347" s="23" t="n"/>
      <c r="J347" s="22" t="n"/>
      <c r="K347" s="23" t="n"/>
      <c r="L347" s="22" t="n"/>
      <c r="M347" s="23" t="n"/>
      <c r="N347" s="22" t="n"/>
      <c r="O347" s="22" t="n"/>
      <c r="P347" s="22" t="n"/>
      <c r="Q347" s="23" t="n"/>
      <c r="R347" s="22" t="n"/>
      <c r="S347" s="23" t="n"/>
      <c r="T347" s="22" t="n"/>
      <c r="U347" s="23" t="n"/>
      <c r="V347" s="24" t="n"/>
      <c r="W347" s="25">
        <f>IF(ISNUMBER(U347),U347+IF(ISNUMBER(V347),V347,120),"")</f>
        <v/>
      </c>
      <c r="X347" s="22" t="n"/>
      <c r="Y347" s="23" t="n"/>
      <c r="Z347" s="22" t="n"/>
      <c r="AA347" s="23" t="n"/>
      <c r="AB347" s="24" t="n"/>
      <c r="AC347" s="26">
        <f>IF(ISNUMBER(AD347)=FALSE,"",IF(G347=AD347,"State license",IF(I347=AD347,"DEA registration",IF(K347=AD347,"State CSR",IF(M347=AD347,"Board certification",IF(Q347=AD347,"Malpractice",IF(S347=AD347,"Life support",IF(W347=AD347,"CAQH re-attestation",IF(Y347=AD347,"Privileges reappointment","Payer recredentialing")))))))))</f>
        <v/>
      </c>
      <c r="AD347" s="25">
        <f>IF(OR(AND(LEN(G347)&gt;0,ISNUMBER(G347)=FALSE),AND(LEN(I347)&gt;0,ISNUMBER(I347)=FALSE),AND(LEN(K347)&gt;0,ISNUMBER(K347)=FALSE),AND(LEN(M347)&gt;0,ISNUMBER(M347)=FALSE),AND(LEN(Q347)&gt;0,ISNUMBER(Q347)=FALSE),AND(LEN(S347)&gt;0,ISNUMBER(S347)=FALSE),AND(LEN(Y347)&gt;0,ISNUMBER(Y347)=FALSE),AND(LEN(AA347)&gt;0,ISNUMBER(AA347)=FALSE),AND(LEN(U347)&gt;0,ISNUMBER(U347)=FALSE)),"Check date",IF(COUNT(G347,I347,K347,M347,Q347,S347,W347,Y347,AA347)=0,"",MIN(G347,I347,K347,M347,Q347,S347,W347,Y347,AA347)))</f>
        <v/>
      </c>
      <c r="AE347" s="25">
        <f>IF(ISNUMBER(AD347),AD347-IF(ISNUMBER(AB347),AB347,30),"")</f>
        <v/>
      </c>
      <c r="AF347" s="27">
        <f>IF(AD347="","",IF(ISNUMBER(AD347),AD347-TODAY(),"Check date"))</f>
        <v/>
      </c>
      <c r="AG347" s="28">
        <f>IF(AF347="","",IF(ISNUMBER(AF347),IF(AF347&lt;0,"Expired",IF(AF347&lt;=30,"Due ≤30 days",IF(AF347&lt;=90,"Due ≤90 days","OK"))),"Check date"))</f>
        <v/>
      </c>
      <c r="AH347" s="22" t="n"/>
      <c r="AI347" s="22" t="n"/>
      <c r="AJ347" s="22" t="n"/>
      <c r="AK347" s="22" t="n"/>
    </row>
    <row r="348">
      <c r="A348" s="22" t="n"/>
      <c r="B348" s="22" t="n"/>
      <c r="C348" s="22" t="n"/>
      <c r="D348" s="22" t="n"/>
      <c r="E348" s="22" t="n"/>
      <c r="F348" s="22" t="n"/>
      <c r="G348" s="23" t="n"/>
      <c r="H348" s="22" t="n"/>
      <c r="I348" s="23" t="n"/>
      <c r="J348" s="22" t="n"/>
      <c r="K348" s="23" t="n"/>
      <c r="L348" s="22" t="n"/>
      <c r="M348" s="23" t="n"/>
      <c r="N348" s="22" t="n"/>
      <c r="O348" s="22" t="n"/>
      <c r="P348" s="22" t="n"/>
      <c r="Q348" s="23" t="n"/>
      <c r="R348" s="22" t="n"/>
      <c r="S348" s="23" t="n"/>
      <c r="T348" s="22" t="n"/>
      <c r="U348" s="23" t="n"/>
      <c r="V348" s="24" t="n"/>
      <c r="W348" s="25">
        <f>IF(ISNUMBER(U348),U348+IF(ISNUMBER(V348),V348,120),"")</f>
        <v/>
      </c>
      <c r="X348" s="22" t="n"/>
      <c r="Y348" s="23" t="n"/>
      <c r="Z348" s="22" t="n"/>
      <c r="AA348" s="23" t="n"/>
      <c r="AB348" s="24" t="n"/>
      <c r="AC348" s="26">
        <f>IF(ISNUMBER(AD348)=FALSE,"",IF(G348=AD348,"State license",IF(I348=AD348,"DEA registration",IF(K348=AD348,"State CSR",IF(M348=AD348,"Board certification",IF(Q348=AD348,"Malpractice",IF(S348=AD348,"Life support",IF(W348=AD348,"CAQH re-attestation",IF(Y348=AD348,"Privileges reappointment","Payer recredentialing")))))))))</f>
        <v/>
      </c>
      <c r="AD348" s="25">
        <f>IF(OR(AND(LEN(G348)&gt;0,ISNUMBER(G348)=FALSE),AND(LEN(I348)&gt;0,ISNUMBER(I348)=FALSE),AND(LEN(K348)&gt;0,ISNUMBER(K348)=FALSE),AND(LEN(M348)&gt;0,ISNUMBER(M348)=FALSE),AND(LEN(Q348)&gt;0,ISNUMBER(Q348)=FALSE),AND(LEN(S348)&gt;0,ISNUMBER(S348)=FALSE),AND(LEN(Y348)&gt;0,ISNUMBER(Y348)=FALSE),AND(LEN(AA348)&gt;0,ISNUMBER(AA348)=FALSE),AND(LEN(U348)&gt;0,ISNUMBER(U348)=FALSE)),"Check date",IF(COUNT(G348,I348,K348,M348,Q348,S348,W348,Y348,AA348)=0,"",MIN(G348,I348,K348,M348,Q348,S348,W348,Y348,AA348)))</f>
        <v/>
      </c>
      <c r="AE348" s="25">
        <f>IF(ISNUMBER(AD348),AD348-IF(ISNUMBER(AB348),AB348,30),"")</f>
        <v/>
      </c>
      <c r="AF348" s="27">
        <f>IF(AD348="","",IF(ISNUMBER(AD348),AD348-TODAY(),"Check date"))</f>
        <v/>
      </c>
      <c r="AG348" s="28">
        <f>IF(AF348="","",IF(ISNUMBER(AF348),IF(AF348&lt;0,"Expired",IF(AF348&lt;=30,"Due ≤30 days",IF(AF348&lt;=90,"Due ≤90 days","OK"))),"Check date"))</f>
        <v/>
      </c>
      <c r="AH348" s="22" t="n"/>
      <c r="AI348" s="22" t="n"/>
      <c r="AJ348" s="22" t="n"/>
      <c r="AK348" s="22" t="n"/>
    </row>
    <row r="349">
      <c r="A349" s="22" t="n"/>
      <c r="B349" s="22" t="n"/>
      <c r="C349" s="22" t="n"/>
      <c r="D349" s="22" t="n"/>
      <c r="E349" s="22" t="n"/>
      <c r="F349" s="22" t="n"/>
      <c r="G349" s="23" t="n"/>
      <c r="H349" s="22" t="n"/>
      <c r="I349" s="23" t="n"/>
      <c r="J349" s="22" t="n"/>
      <c r="K349" s="23" t="n"/>
      <c r="L349" s="22" t="n"/>
      <c r="M349" s="23" t="n"/>
      <c r="N349" s="22" t="n"/>
      <c r="O349" s="22" t="n"/>
      <c r="P349" s="22" t="n"/>
      <c r="Q349" s="23" t="n"/>
      <c r="R349" s="22" t="n"/>
      <c r="S349" s="23" t="n"/>
      <c r="T349" s="22" t="n"/>
      <c r="U349" s="23" t="n"/>
      <c r="V349" s="24" t="n"/>
      <c r="W349" s="25">
        <f>IF(ISNUMBER(U349),U349+IF(ISNUMBER(V349),V349,120),"")</f>
        <v/>
      </c>
      <c r="X349" s="22" t="n"/>
      <c r="Y349" s="23" t="n"/>
      <c r="Z349" s="22" t="n"/>
      <c r="AA349" s="23" t="n"/>
      <c r="AB349" s="24" t="n"/>
      <c r="AC349" s="26">
        <f>IF(ISNUMBER(AD349)=FALSE,"",IF(G349=AD349,"State license",IF(I349=AD349,"DEA registration",IF(K349=AD349,"State CSR",IF(M349=AD349,"Board certification",IF(Q349=AD349,"Malpractice",IF(S349=AD349,"Life support",IF(W349=AD349,"CAQH re-attestation",IF(Y349=AD349,"Privileges reappointment","Payer recredentialing")))))))))</f>
        <v/>
      </c>
      <c r="AD349" s="25">
        <f>IF(OR(AND(LEN(G349)&gt;0,ISNUMBER(G349)=FALSE),AND(LEN(I349)&gt;0,ISNUMBER(I349)=FALSE),AND(LEN(K349)&gt;0,ISNUMBER(K349)=FALSE),AND(LEN(M349)&gt;0,ISNUMBER(M349)=FALSE),AND(LEN(Q349)&gt;0,ISNUMBER(Q349)=FALSE),AND(LEN(S349)&gt;0,ISNUMBER(S349)=FALSE),AND(LEN(Y349)&gt;0,ISNUMBER(Y349)=FALSE),AND(LEN(AA349)&gt;0,ISNUMBER(AA349)=FALSE),AND(LEN(U349)&gt;0,ISNUMBER(U349)=FALSE)),"Check date",IF(COUNT(G349,I349,K349,M349,Q349,S349,W349,Y349,AA349)=0,"",MIN(G349,I349,K349,M349,Q349,S349,W349,Y349,AA349)))</f>
        <v/>
      </c>
      <c r="AE349" s="25">
        <f>IF(ISNUMBER(AD349),AD349-IF(ISNUMBER(AB349),AB349,30),"")</f>
        <v/>
      </c>
      <c r="AF349" s="27">
        <f>IF(AD349="","",IF(ISNUMBER(AD349),AD349-TODAY(),"Check date"))</f>
        <v/>
      </c>
      <c r="AG349" s="28">
        <f>IF(AF349="","",IF(ISNUMBER(AF349),IF(AF349&lt;0,"Expired",IF(AF349&lt;=30,"Due ≤30 days",IF(AF349&lt;=90,"Due ≤90 days","OK"))),"Check date"))</f>
        <v/>
      </c>
      <c r="AH349" s="22" t="n"/>
      <c r="AI349" s="22" t="n"/>
      <c r="AJ349" s="22" t="n"/>
      <c r="AK349" s="22" t="n"/>
    </row>
    <row r="350">
      <c r="A350" s="22" t="n"/>
      <c r="B350" s="22" t="n"/>
      <c r="C350" s="22" t="n"/>
      <c r="D350" s="22" t="n"/>
      <c r="E350" s="22" t="n"/>
      <c r="F350" s="22" t="n"/>
      <c r="G350" s="23" t="n"/>
      <c r="H350" s="22" t="n"/>
      <c r="I350" s="23" t="n"/>
      <c r="J350" s="22" t="n"/>
      <c r="K350" s="23" t="n"/>
      <c r="L350" s="22" t="n"/>
      <c r="M350" s="23" t="n"/>
      <c r="N350" s="22" t="n"/>
      <c r="O350" s="22" t="n"/>
      <c r="P350" s="22" t="n"/>
      <c r="Q350" s="23" t="n"/>
      <c r="R350" s="22" t="n"/>
      <c r="S350" s="23" t="n"/>
      <c r="T350" s="22" t="n"/>
      <c r="U350" s="23" t="n"/>
      <c r="V350" s="24" t="n"/>
      <c r="W350" s="25">
        <f>IF(ISNUMBER(U350),U350+IF(ISNUMBER(V350),V350,120),"")</f>
        <v/>
      </c>
      <c r="X350" s="22" t="n"/>
      <c r="Y350" s="23" t="n"/>
      <c r="Z350" s="22" t="n"/>
      <c r="AA350" s="23" t="n"/>
      <c r="AB350" s="24" t="n"/>
      <c r="AC350" s="26">
        <f>IF(ISNUMBER(AD350)=FALSE,"",IF(G350=AD350,"State license",IF(I350=AD350,"DEA registration",IF(K350=AD350,"State CSR",IF(M350=AD350,"Board certification",IF(Q350=AD350,"Malpractice",IF(S350=AD350,"Life support",IF(W350=AD350,"CAQH re-attestation",IF(Y350=AD350,"Privileges reappointment","Payer recredentialing")))))))))</f>
        <v/>
      </c>
      <c r="AD350" s="25">
        <f>IF(OR(AND(LEN(G350)&gt;0,ISNUMBER(G350)=FALSE),AND(LEN(I350)&gt;0,ISNUMBER(I350)=FALSE),AND(LEN(K350)&gt;0,ISNUMBER(K350)=FALSE),AND(LEN(M350)&gt;0,ISNUMBER(M350)=FALSE),AND(LEN(Q350)&gt;0,ISNUMBER(Q350)=FALSE),AND(LEN(S350)&gt;0,ISNUMBER(S350)=FALSE),AND(LEN(Y350)&gt;0,ISNUMBER(Y350)=FALSE),AND(LEN(AA350)&gt;0,ISNUMBER(AA350)=FALSE),AND(LEN(U350)&gt;0,ISNUMBER(U350)=FALSE)),"Check date",IF(COUNT(G350,I350,K350,M350,Q350,S350,W350,Y350,AA350)=0,"",MIN(G350,I350,K350,M350,Q350,S350,W350,Y350,AA350)))</f>
        <v/>
      </c>
      <c r="AE350" s="25">
        <f>IF(ISNUMBER(AD350),AD350-IF(ISNUMBER(AB350),AB350,30),"")</f>
        <v/>
      </c>
      <c r="AF350" s="27">
        <f>IF(AD350="","",IF(ISNUMBER(AD350),AD350-TODAY(),"Check date"))</f>
        <v/>
      </c>
      <c r="AG350" s="28">
        <f>IF(AF350="","",IF(ISNUMBER(AF350),IF(AF350&lt;0,"Expired",IF(AF350&lt;=30,"Due ≤30 days",IF(AF350&lt;=90,"Due ≤90 days","OK"))),"Check date"))</f>
        <v/>
      </c>
      <c r="AH350" s="22" t="n"/>
      <c r="AI350" s="22" t="n"/>
      <c r="AJ350" s="22" t="n"/>
      <c r="AK350" s="22" t="n"/>
    </row>
    <row r="351">
      <c r="A351" s="22" t="n"/>
      <c r="B351" s="22" t="n"/>
      <c r="C351" s="22" t="n"/>
      <c r="D351" s="22" t="n"/>
      <c r="E351" s="22" t="n"/>
      <c r="F351" s="22" t="n"/>
      <c r="G351" s="23" t="n"/>
      <c r="H351" s="22" t="n"/>
      <c r="I351" s="23" t="n"/>
      <c r="J351" s="22" t="n"/>
      <c r="K351" s="23" t="n"/>
      <c r="L351" s="22" t="n"/>
      <c r="M351" s="23" t="n"/>
      <c r="N351" s="22" t="n"/>
      <c r="O351" s="22" t="n"/>
      <c r="P351" s="22" t="n"/>
      <c r="Q351" s="23" t="n"/>
      <c r="R351" s="22" t="n"/>
      <c r="S351" s="23" t="n"/>
      <c r="T351" s="22" t="n"/>
      <c r="U351" s="23" t="n"/>
      <c r="V351" s="24" t="n"/>
      <c r="W351" s="25">
        <f>IF(ISNUMBER(U351),U351+IF(ISNUMBER(V351),V351,120),"")</f>
        <v/>
      </c>
      <c r="X351" s="22" t="n"/>
      <c r="Y351" s="23" t="n"/>
      <c r="Z351" s="22" t="n"/>
      <c r="AA351" s="23" t="n"/>
      <c r="AB351" s="24" t="n"/>
      <c r="AC351" s="26">
        <f>IF(ISNUMBER(AD351)=FALSE,"",IF(G351=AD351,"State license",IF(I351=AD351,"DEA registration",IF(K351=AD351,"State CSR",IF(M351=AD351,"Board certification",IF(Q351=AD351,"Malpractice",IF(S351=AD351,"Life support",IF(W351=AD351,"CAQH re-attestation",IF(Y351=AD351,"Privileges reappointment","Payer recredentialing")))))))))</f>
        <v/>
      </c>
      <c r="AD351" s="25">
        <f>IF(OR(AND(LEN(G351)&gt;0,ISNUMBER(G351)=FALSE),AND(LEN(I351)&gt;0,ISNUMBER(I351)=FALSE),AND(LEN(K351)&gt;0,ISNUMBER(K351)=FALSE),AND(LEN(M351)&gt;0,ISNUMBER(M351)=FALSE),AND(LEN(Q351)&gt;0,ISNUMBER(Q351)=FALSE),AND(LEN(S351)&gt;0,ISNUMBER(S351)=FALSE),AND(LEN(Y351)&gt;0,ISNUMBER(Y351)=FALSE),AND(LEN(AA351)&gt;0,ISNUMBER(AA351)=FALSE),AND(LEN(U351)&gt;0,ISNUMBER(U351)=FALSE)),"Check date",IF(COUNT(G351,I351,K351,M351,Q351,S351,W351,Y351,AA351)=0,"",MIN(G351,I351,K351,M351,Q351,S351,W351,Y351,AA351)))</f>
        <v/>
      </c>
      <c r="AE351" s="25">
        <f>IF(ISNUMBER(AD351),AD351-IF(ISNUMBER(AB351),AB351,30),"")</f>
        <v/>
      </c>
      <c r="AF351" s="27">
        <f>IF(AD351="","",IF(ISNUMBER(AD351),AD351-TODAY(),"Check date"))</f>
        <v/>
      </c>
      <c r="AG351" s="28">
        <f>IF(AF351="","",IF(ISNUMBER(AF351),IF(AF351&lt;0,"Expired",IF(AF351&lt;=30,"Due ≤30 days",IF(AF351&lt;=90,"Due ≤90 days","OK"))),"Check date"))</f>
        <v/>
      </c>
      <c r="AH351" s="22" t="n"/>
      <c r="AI351" s="22" t="n"/>
      <c r="AJ351" s="22" t="n"/>
      <c r="AK351" s="22" t="n"/>
    </row>
    <row r="352">
      <c r="A352" s="22" t="n"/>
      <c r="B352" s="22" t="n"/>
      <c r="C352" s="22" t="n"/>
      <c r="D352" s="22" t="n"/>
      <c r="E352" s="22" t="n"/>
      <c r="F352" s="22" t="n"/>
      <c r="G352" s="23" t="n"/>
      <c r="H352" s="22" t="n"/>
      <c r="I352" s="23" t="n"/>
      <c r="J352" s="22" t="n"/>
      <c r="K352" s="23" t="n"/>
      <c r="L352" s="22" t="n"/>
      <c r="M352" s="23" t="n"/>
      <c r="N352" s="22" t="n"/>
      <c r="O352" s="22" t="n"/>
      <c r="P352" s="22" t="n"/>
      <c r="Q352" s="23" t="n"/>
      <c r="R352" s="22" t="n"/>
      <c r="S352" s="23" t="n"/>
      <c r="T352" s="22" t="n"/>
      <c r="U352" s="23" t="n"/>
      <c r="V352" s="24" t="n"/>
      <c r="W352" s="25">
        <f>IF(ISNUMBER(U352),U352+IF(ISNUMBER(V352),V352,120),"")</f>
        <v/>
      </c>
      <c r="X352" s="22" t="n"/>
      <c r="Y352" s="23" t="n"/>
      <c r="Z352" s="22" t="n"/>
      <c r="AA352" s="23" t="n"/>
      <c r="AB352" s="24" t="n"/>
      <c r="AC352" s="26">
        <f>IF(ISNUMBER(AD352)=FALSE,"",IF(G352=AD352,"State license",IF(I352=AD352,"DEA registration",IF(K352=AD352,"State CSR",IF(M352=AD352,"Board certification",IF(Q352=AD352,"Malpractice",IF(S352=AD352,"Life support",IF(W352=AD352,"CAQH re-attestation",IF(Y352=AD352,"Privileges reappointment","Payer recredentialing")))))))))</f>
        <v/>
      </c>
      <c r="AD352" s="25">
        <f>IF(OR(AND(LEN(G352)&gt;0,ISNUMBER(G352)=FALSE),AND(LEN(I352)&gt;0,ISNUMBER(I352)=FALSE),AND(LEN(K352)&gt;0,ISNUMBER(K352)=FALSE),AND(LEN(M352)&gt;0,ISNUMBER(M352)=FALSE),AND(LEN(Q352)&gt;0,ISNUMBER(Q352)=FALSE),AND(LEN(S352)&gt;0,ISNUMBER(S352)=FALSE),AND(LEN(Y352)&gt;0,ISNUMBER(Y352)=FALSE),AND(LEN(AA352)&gt;0,ISNUMBER(AA352)=FALSE),AND(LEN(U352)&gt;0,ISNUMBER(U352)=FALSE)),"Check date",IF(COUNT(G352,I352,K352,M352,Q352,S352,W352,Y352,AA352)=0,"",MIN(G352,I352,K352,M352,Q352,S352,W352,Y352,AA352)))</f>
        <v/>
      </c>
      <c r="AE352" s="25">
        <f>IF(ISNUMBER(AD352),AD352-IF(ISNUMBER(AB352),AB352,30),"")</f>
        <v/>
      </c>
      <c r="AF352" s="27">
        <f>IF(AD352="","",IF(ISNUMBER(AD352),AD352-TODAY(),"Check date"))</f>
        <v/>
      </c>
      <c r="AG352" s="28">
        <f>IF(AF352="","",IF(ISNUMBER(AF352),IF(AF352&lt;0,"Expired",IF(AF352&lt;=30,"Due ≤30 days",IF(AF352&lt;=90,"Due ≤90 days","OK"))),"Check date"))</f>
        <v/>
      </c>
      <c r="AH352" s="22" t="n"/>
      <c r="AI352" s="22" t="n"/>
      <c r="AJ352" s="22" t="n"/>
      <c r="AK352" s="22" t="n"/>
    </row>
    <row r="353">
      <c r="A353" s="22" t="n"/>
      <c r="B353" s="22" t="n"/>
      <c r="C353" s="22" t="n"/>
      <c r="D353" s="22" t="n"/>
      <c r="E353" s="22" t="n"/>
      <c r="F353" s="22" t="n"/>
      <c r="G353" s="23" t="n"/>
      <c r="H353" s="22" t="n"/>
      <c r="I353" s="23" t="n"/>
      <c r="J353" s="22" t="n"/>
      <c r="K353" s="23" t="n"/>
      <c r="L353" s="22" t="n"/>
      <c r="M353" s="23" t="n"/>
      <c r="N353" s="22" t="n"/>
      <c r="O353" s="22" t="n"/>
      <c r="P353" s="22" t="n"/>
      <c r="Q353" s="23" t="n"/>
      <c r="R353" s="22" t="n"/>
      <c r="S353" s="23" t="n"/>
      <c r="T353" s="22" t="n"/>
      <c r="U353" s="23" t="n"/>
      <c r="V353" s="24" t="n"/>
      <c r="W353" s="25">
        <f>IF(ISNUMBER(U353),U353+IF(ISNUMBER(V353),V353,120),"")</f>
        <v/>
      </c>
      <c r="X353" s="22" t="n"/>
      <c r="Y353" s="23" t="n"/>
      <c r="Z353" s="22" t="n"/>
      <c r="AA353" s="23" t="n"/>
      <c r="AB353" s="24" t="n"/>
      <c r="AC353" s="26">
        <f>IF(ISNUMBER(AD353)=FALSE,"",IF(G353=AD353,"State license",IF(I353=AD353,"DEA registration",IF(K353=AD353,"State CSR",IF(M353=AD353,"Board certification",IF(Q353=AD353,"Malpractice",IF(S353=AD353,"Life support",IF(W353=AD353,"CAQH re-attestation",IF(Y353=AD353,"Privileges reappointment","Payer recredentialing")))))))))</f>
        <v/>
      </c>
      <c r="AD353" s="25">
        <f>IF(OR(AND(LEN(G353)&gt;0,ISNUMBER(G353)=FALSE),AND(LEN(I353)&gt;0,ISNUMBER(I353)=FALSE),AND(LEN(K353)&gt;0,ISNUMBER(K353)=FALSE),AND(LEN(M353)&gt;0,ISNUMBER(M353)=FALSE),AND(LEN(Q353)&gt;0,ISNUMBER(Q353)=FALSE),AND(LEN(S353)&gt;0,ISNUMBER(S353)=FALSE),AND(LEN(Y353)&gt;0,ISNUMBER(Y353)=FALSE),AND(LEN(AA353)&gt;0,ISNUMBER(AA353)=FALSE),AND(LEN(U353)&gt;0,ISNUMBER(U353)=FALSE)),"Check date",IF(COUNT(G353,I353,K353,M353,Q353,S353,W353,Y353,AA353)=0,"",MIN(G353,I353,K353,M353,Q353,S353,W353,Y353,AA353)))</f>
        <v/>
      </c>
      <c r="AE353" s="25">
        <f>IF(ISNUMBER(AD353),AD353-IF(ISNUMBER(AB353),AB353,30),"")</f>
        <v/>
      </c>
      <c r="AF353" s="27">
        <f>IF(AD353="","",IF(ISNUMBER(AD353),AD353-TODAY(),"Check date"))</f>
        <v/>
      </c>
      <c r="AG353" s="28">
        <f>IF(AF353="","",IF(ISNUMBER(AF353),IF(AF353&lt;0,"Expired",IF(AF353&lt;=30,"Due ≤30 days",IF(AF353&lt;=90,"Due ≤90 days","OK"))),"Check date"))</f>
        <v/>
      </c>
      <c r="AH353" s="22" t="n"/>
      <c r="AI353" s="22" t="n"/>
      <c r="AJ353" s="22" t="n"/>
      <c r="AK353" s="22" t="n"/>
    </row>
    <row r="354">
      <c r="A354" s="22" t="n"/>
      <c r="B354" s="22" t="n"/>
      <c r="C354" s="22" t="n"/>
      <c r="D354" s="22" t="n"/>
      <c r="E354" s="22" t="n"/>
      <c r="F354" s="22" t="n"/>
      <c r="G354" s="23" t="n"/>
      <c r="H354" s="22" t="n"/>
      <c r="I354" s="23" t="n"/>
      <c r="J354" s="22" t="n"/>
      <c r="K354" s="23" t="n"/>
      <c r="L354" s="22" t="n"/>
      <c r="M354" s="23" t="n"/>
      <c r="N354" s="22" t="n"/>
      <c r="O354" s="22" t="n"/>
      <c r="P354" s="22" t="n"/>
      <c r="Q354" s="23" t="n"/>
      <c r="R354" s="22" t="n"/>
      <c r="S354" s="23" t="n"/>
      <c r="T354" s="22" t="n"/>
      <c r="U354" s="23" t="n"/>
      <c r="V354" s="24" t="n"/>
      <c r="W354" s="25">
        <f>IF(ISNUMBER(U354),U354+IF(ISNUMBER(V354),V354,120),"")</f>
        <v/>
      </c>
      <c r="X354" s="22" t="n"/>
      <c r="Y354" s="23" t="n"/>
      <c r="Z354" s="22" t="n"/>
      <c r="AA354" s="23" t="n"/>
      <c r="AB354" s="24" t="n"/>
      <c r="AC354" s="26">
        <f>IF(ISNUMBER(AD354)=FALSE,"",IF(G354=AD354,"State license",IF(I354=AD354,"DEA registration",IF(K354=AD354,"State CSR",IF(M354=AD354,"Board certification",IF(Q354=AD354,"Malpractice",IF(S354=AD354,"Life support",IF(W354=AD354,"CAQH re-attestation",IF(Y354=AD354,"Privileges reappointment","Payer recredentialing")))))))))</f>
        <v/>
      </c>
      <c r="AD354" s="25">
        <f>IF(OR(AND(LEN(G354)&gt;0,ISNUMBER(G354)=FALSE),AND(LEN(I354)&gt;0,ISNUMBER(I354)=FALSE),AND(LEN(K354)&gt;0,ISNUMBER(K354)=FALSE),AND(LEN(M354)&gt;0,ISNUMBER(M354)=FALSE),AND(LEN(Q354)&gt;0,ISNUMBER(Q354)=FALSE),AND(LEN(S354)&gt;0,ISNUMBER(S354)=FALSE),AND(LEN(Y354)&gt;0,ISNUMBER(Y354)=FALSE),AND(LEN(AA354)&gt;0,ISNUMBER(AA354)=FALSE),AND(LEN(U354)&gt;0,ISNUMBER(U354)=FALSE)),"Check date",IF(COUNT(G354,I354,K354,M354,Q354,S354,W354,Y354,AA354)=0,"",MIN(G354,I354,K354,M354,Q354,S354,W354,Y354,AA354)))</f>
        <v/>
      </c>
      <c r="AE354" s="25">
        <f>IF(ISNUMBER(AD354),AD354-IF(ISNUMBER(AB354),AB354,30),"")</f>
        <v/>
      </c>
      <c r="AF354" s="27">
        <f>IF(AD354="","",IF(ISNUMBER(AD354),AD354-TODAY(),"Check date"))</f>
        <v/>
      </c>
      <c r="AG354" s="28">
        <f>IF(AF354="","",IF(ISNUMBER(AF354),IF(AF354&lt;0,"Expired",IF(AF354&lt;=30,"Due ≤30 days",IF(AF354&lt;=90,"Due ≤90 days","OK"))),"Check date"))</f>
        <v/>
      </c>
      <c r="AH354" s="22" t="n"/>
      <c r="AI354" s="22" t="n"/>
      <c r="AJ354" s="22" t="n"/>
      <c r="AK354" s="22" t="n"/>
    </row>
    <row r="355">
      <c r="A355" s="22" t="n"/>
      <c r="B355" s="22" t="n"/>
      <c r="C355" s="22" t="n"/>
      <c r="D355" s="22" t="n"/>
      <c r="E355" s="22" t="n"/>
      <c r="F355" s="22" t="n"/>
      <c r="G355" s="23" t="n"/>
      <c r="H355" s="22" t="n"/>
      <c r="I355" s="23" t="n"/>
      <c r="J355" s="22" t="n"/>
      <c r="K355" s="23" t="n"/>
      <c r="L355" s="22" t="n"/>
      <c r="M355" s="23" t="n"/>
      <c r="N355" s="22" t="n"/>
      <c r="O355" s="22" t="n"/>
      <c r="P355" s="22" t="n"/>
      <c r="Q355" s="23" t="n"/>
      <c r="R355" s="22" t="n"/>
      <c r="S355" s="23" t="n"/>
      <c r="T355" s="22" t="n"/>
      <c r="U355" s="23" t="n"/>
      <c r="V355" s="24" t="n"/>
      <c r="W355" s="25">
        <f>IF(ISNUMBER(U355),U355+IF(ISNUMBER(V355),V355,120),"")</f>
        <v/>
      </c>
      <c r="X355" s="22" t="n"/>
      <c r="Y355" s="23" t="n"/>
      <c r="Z355" s="22" t="n"/>
      <c r="AA355" s="23" t="n"/>
      <c r="AB355" s="24" t="n"/>
      <c r="AC355" s="26">
        <f>IF(ISNUMBER(AD355)=FALSE,"",IF(G355=AD355,"State license",IF(I355=AD355,"DEA registration",IF(K355=AD355,"State CSR",IF(M355=AD355,"Board certification",IF(Q355=AD355,"Malpractice",IF(S355=AD355,"Life support",IF(W355=AD355,"CAQH re-attestation",IF(Y355=AD355,"Privileges reappointment","Payer recredentialing")))))))))</f>
        <v/>
      </c>
      <c r="AD355" s="25">
        <f>IF(OR(AND(LEN(G355)&gt;0,ISNUMBER(G355)=FALSE),AND(LEN(I355)&gt;0,ISNUMBER(I355)=FALSE),AND(LEN(K355)&gt;0,ISNUMBER(K355)=FALSE),AND(LEN(M355)&gt;0,ISNUMBER(M355)=FALSE),AND(LEN(Q355)&gt;0,ISNUMBER(Q355)=FALSE),AND(LEN(S355)&gt;0,ISNUMBER(S355)=FALSE),AND(LEN(Y355)&gt;0,ISNUMBER(Y355)=FALSE),AND(LEN(AA355)&gt;0,ISNUMBER(AA355)=FALSE),AND(LEN(U355)&gt;0,ISNUMBER(U355)=FALSE)),"Check date",IF(COUNT(G355,I355,K355,M355,Q355,S355,W355,Y355,AA355)=0,"",MIN(G355,I355,K355,M355,Q355,S355,W355,Y355,AA355)))</f>
        <v/>
      </c>
      <c r="AE355" s="25">
        <f>IF(ISNUMBER(AD355),AD355-IF(ISNUMBER(AB355),AB355,30),"")</f>
        <v/>
      </c>
      <c r="AF355" s="27">
        <f>IF(AD355="","",IF(ISNUMBER(AD355),AD355-TODAY(),"Check date"))</f>
        <v/>
      </c>
      <c r="AG355" s="28">
        <f>IF(AF355="","",IF(ISNUMBER(AF355),IF(AF355&lt;0,"Expired",IF(AF355&lt;=30,"Due ≤30 days",IF(AF355&lt;=90,"Due ≤90 days","OK"))),"Check date"))</f>
        <v/>
      </c>
      <c r="AH355" s="22" t="n"/>
      <c r="AI355" s="22" t="n"/>
      <c r="AJ355" s="22" t="n"/>
      <c r="AK355" s="22" t="n"/>
    </row>
    <row r="356">
      <c r="A356" s="22" t="n"/>
      <c r="B356" s="22" t="n"/>
      <c r="C356" s="22" t="n"/>
      <c r="D356" s="22" t="n"/>
      <c r="E356" s="22" t="n"/>
      <c r="F356" s="22" t="n"/>
      <c r="G356" s="23" t="n"/>
      <c r="H356" s="22" t="n"/>
      <c r="I356" s="23" t="n"/>
      <c r="J356" s="22" t="n"/>
      <c r="K356" s="23" t="n"/>
      <c r="L356" s="22" t="n"/>
      <c r="M356" s="23" t="n"/>
      <c r="N356" s="22" t="n"/>
      <c r="O356" s="22" t="n"/>
      <c r="P356" s="22" t="n"/>
      <c r="Q356" s="23" t="n"/>
      <c r="R356" s="22" t="n"/>
      <c r="S356" s="23" t="n"/>
      <c r="T356" s="22" t="n"/>
      <c r="U356" s="23" t="n"/>
      <c r="V356" s="24" t="n"/>
      <c r="W356" s="25">
        <f>IF(ISNUMBER(U356),U356+IF(ISNUMBER(V356),V356,120),"")</f>
        <v/>
      </c>
      <c r="X356" s="22" t="n"/>
      <c r="Y356" s="23" t="n"/>
      <c r="Z356" s="22" t="n"/>
      <c r="AA356" s="23" t="n"/>
      <c r="AB356" s="24" t="n"/>
      <c r="AC356" s="26">
        <f>IF(ISNUMBER(AD356)=FALSE,"",IF(G356=AD356,"State license",IF(I356=AD356,"DEA registration",IF(K356=AD356,"State CSR",IF(M356=AD356,"Board certification",IF(Q356=AD356,"Malpractice",IF(S356=AD356,"Life support",IF(W356=AD356,"CAQH re-attestation",IF(Y356=AD356,"Privileges reappointment","Payer recredentialing")))))))))</f>
        <v/>
      </c>
      <c r="AD356" s="25">
        <f>IF(OR(AND(LEN(G356)&gt;0,ISNUMBER(G356)=FALSE),AND(LEN(I356)&gt;0,ISNUMBER(I356)=FALSE),AND(LEN(K356)&gt;0,ISNUMBER(K356)=FALSE),AND(LEN(M356)&gt;0,ISNUMBER(M356)=FALSE),AND(LEN(Q356)&gt;0,ISNUMBER(Q356)=FALSE),AND(LEN(S356)&gt;0,ISNUMBER(S356)=FALSE),AND(LEN(Y356)&gt;0,ISNUMBER(Y356)=FALSE),AND(LEN(AA356)&gt;0,ISNUMBER(AA356)=FALSE),AND(LEN(U356)&gt;0,ISNUMBER(U356)=FALSE)),"Check date",IF(COUNT(G356,I356,K356,M356,Q356,S356,W356,Y356,AA356)=0,"",MIN(G356,I356,K356,M356,Q356,S356,W356,Y356,AA356)))</f>
        <v/>
      </c>
      <c r="AE356" s="25">
        <f>IF(ISNUMBER(AD356),AD356-IF(ISNUMBER(AB356),AB356,30),"")</f>
        <v/>
      </c>
      <c r="AF356" s="27">
        <f>IF(AD356="","",IF(ISNUMBER(AD356),AD356-TODAY(),"Check date"))</f>
        <v/>
      </c>
      <c r="AG356" s="28">
        <f>IF(AF356="","",IF(ISNUMBER(AF356),IF(AF356&lt;0,"Expired",IF(AF356&lt;=30,"Due ≤30 days",IF(AF356&lt;=90,"Due ≤90 days","OK"))),"Check date"))</f>
        <v/>
      </c>
      <c r="AH356" s="22" t="n"/>
      <c r="AI356" s="22" t="n"/>
      <c r="AJ356" s="22" t="n"/>
      <c r="AK356" s="22" t="n"/>
    </row>
    <row r="357">
      <c r="A357" s="22" t="n"/>
      <c r="B357" s="22" t="n"/>
      <c r="C357" s="22" t="n"/>
      <c r="D357" s="22" t="n"/>
      <c r="E357" s="22" t="n"/>
      <c r="F357" s="22" t="n"/>
      <c r="G357" s="23" t="n"/>
      <c r="H357" s="22" t="n"/>
      <c r="I357" s="23" t="n"/>
      <c r="J357" s="22" t="n"/>
      <c r="K357" s="23" t="n"/>
      <c r="L357" s="22" t="n"/>
      <c r="M357" s="23" t="n"/>
      <c r="N357" s="22" t="n"/>
      <c r="O357" s="22" t="n"/>
      <c r="P357" s="22" t="n"/>
      <c r="Q357" s="23" t="n"/>
      <c r="R357" s="22" t="n"/>
      <c r="S357" s="23" t="n"/>
      <c r="T357" s="22" t="n"/>
      <c r="U357" s="23" t="n"/>
      <c r="V357" s="24" t="n"/>
      <c r="W357" s="25">
        <f>IF(ISNUMBER(U357),U357+IF(ISNUMBER(V357),V357,120),"")</f>
        <v/>
      </c>
      <c r="X357" s="22" t="n"/>
      <c r="Y357" s="23" t="n"/>
      <c r="Z357" s="22" t="n"/>
      <c r="AA357" s="23" t="n"/>
      <c r="AB357" s="24" t="n"/>
      <c r="AC357" s="26">
        <f>IF(ISNUMBER(AD357)=FALSE,"",IF(G357=AD357,"State license",IF(I357=AD357,"DEA registration",IF(K357=AD357,"State CSR",IF(M357=AD357,"Board certification",IF(Q357=AD357,"Malpractice",IF(S357=AD357,"Life support",IF(W357=AD357,"CAQH re-attestation",IF(Y357=AD357,"Privileges reappointment","Payer recredentialing")))))))))</f>
        <v/>
      </c>
      <c r="AD357" s="25">
        <f>IF(OR(AND(LEN(G357)&gt;0,ISNUMBER(G357)=FALSE),AND(LEN(I357)&gt;0,ISNUMBER(I357)=FALSE),AND(LEN(K357)&gt;0,ISNUMBER(K357)=FALSE),AND(LEN(M357)&gt;0,ISNUMBER(M357)=FALSE),AND(LEN(Q357)&gt;0,ISNUMBER(Q357)=FALSE),AND(LEN(S357)&gt;0,ISNUMBER(S357)=FALSE),AND(LEN(Y357)&gt;0,ISNUMBER(Y357)=FALSE),AND(LEN(AA357)&gt;0,ISNUMBER(AA357)=FALSE),AND(LEN(U357)&gt;0,ISNUMBER(U357)=FALSE)),"Check date",IF(COUNT(G357,I357,K357,M357,Q357,S357,W357,Y357,AA357)=0,"",MIN(G357,I357,K357,M357,Q357,S357,W357,Y357,AA357)))</f>
        <v/>
      </c>
      <c r="AE357" s="25">
        <f>IF(ISNUMBER(AD357),AD357-IF(ISNUMBER(AB357),AB357,30),"")</f>
        <v/>
      </c>
      <c r="AF357" s="27">
        <f>IF(AD357="","",IF(ISNUMBER(AD357),AD357-TODAY(),"Check date"))</f>
        <v/>
      </c>
      <c r="AG357" s="28">
        <f>IF(AF357="","",IF(ISNUMBER(AF357),IF(AF357&lt;0,"Expired",IF(AF357&lt;=30,"Due ≤30 days",IF(AF357&lt;=90,"Due ≤90 days","OK"))),"Check date"))</f>
        <v/>
      </c>
      <c r="AH357" s="22" t="n"/>
      <c r="AI357" s="22" t="n"/>
      <c r="AJ357" s="22" t="n"/>
      <c r="AK357" s="22" t="n"/>
    </row>
    <row r="358">
      <c r="A358" s="22" t="n"/>
      <c r="B358" s="22" t="n"/>
      <c r="C358" s="22" t="n"/>
      <c r="D358" s="22" t="n"/>
      <c r="E358" s="22" t="n"/>
      <c r="F358" s="22" t="n"/>
      <c r="G358" s="23" t="n"/>
      <c r="H358" s="22" t="n"/>
      <c r="I358" s="23" t="n"/>
      <c r="J358" s="22" t="n"/>
      <c r="K358" s="23" t="n"/>
      <c r="L358" s="22" t="n"/>
      <c r="M358" s="23" t="n"/>
      <c r="N358" s="22" t="n"/>
      <c r="O358" s="22" t="n"/>
      <c r="P358" s="22" t="n"/>
      <c r="Q358" s="23" t="n"/>
      <c r="R358" s="22" t="n"/>
      <c r="S358" s="23" t="n"/>
      <c r="T358" s="22" t="n"/>
      <c r="U358" s="23" t="n"/>
      <c r="V358" s="24" t="n"/>
      <c r="W358" s="25">
        <f>IF(ISNUMBER(U358),U358+IF(ISNUMBER(V358),V358,120),"")</f>
        <v/>
      </c>
      <c r="X358" s="22" t="n"/>
      <c r="Y358" s="23" t="n"/>
      <c r="Z358" s="22" t="n"/>
      <c r="AA358" s="23" t="n"/>
      <c r="AB358" s="24" t="n"/>
      <c r="AC358" s="26">
        <f>IF(ISNUMBER(AD358)=FALSE,"",IF(G358=AD358,"State license",IF(I358=AD358,"DEA registration",IF(K358=AD358,"State CSR",IF(M358=AD358,"Board certification",IF(Q358=AD358,"Malpractice",IF(S358=AD358,"Life support",IF(W358=AD358,"CAQH re-attestation",IF(Y358=AD358,"Privileges reappointment","Payer recredentialing")))))))))</f>
        <v/>
      </c>
      <c r="AD358" s="25">
        <f>IF(OR(AND(LEN(G358)&gt;0,ISNUMBER(G358)=FALSE),AND(LEN(I358)&gt;0,ISNUMBER(I358)=FALSE),AND(LEN(K358)&gt;0,ISNUMBER(K358)=FALSE),AND(LEN(M358)&gt;0,ISNUMBER(M358)=FALSE),AND(LEN(Q358)&gt;0,ISNUMBER(Q358)=FALSE),AND(LEN(S358)&gt;0,ISNUMBER(S358)=FALSE),AND(LEN(Y358)&gt;0,ISNUMBER(Y358)=FALSE),AND(LEN(AA358)&gt;0,ISNUMBER(AA358)=FALSE),AND(LEN(U358)&gt;0,ISNUMBER(U358)=FALSE)),"Check date",IF(COUNT(G358,I358,K358,M358,Q358,S358,W358,Y358,AA358)=0,"",MIN(G358,I358,K358,M358,Q358,S358,W358,Y358,AA358)))</f>
        <v/>
      </c>
      <c r="AE358" s="25">
        <f>IF(ISNUMBER(AD358),AD358-IF(ISNUMBER(AB358),AB358,30),"")</f>
        <v/>
      </c>
      <c r="AF358" s="27">
        <f>IF(AD358="","",IF(ISNUMBER(AD358),AD358-TODAY(),"Check date"))</f>
        <v/>
      </c>
      <c r="AG358" s="28">
        <f>IF(AF358="","",IF(ISNUMBER(AF358),IF(AF358&lt;0,"Expired",IF(AF358&lt;=30,"Due ≤30 days",IF(AF358&lt;=90,"Due ≤90 days","OK"))),"Check date"))</f>
        <v/>
      </c>
      <c r="AH358" s="22" t="n"/>
      <c r="AI358" s="22" t="n"/>
      <c r="AJ358" s="22" t="n"/>
      <c r="AK358" s="22" t="n"/>
    </row>
    <row r="359">
      <c r="A359" s="22" t="n"/>
      <c r="B359" s="22" t="n"/>
      <c r="C359" s="22" t="n"/>
      <c r="D359" s="22" t="n"/>
      <c r="E359" s="22" t="n"/>
      <c r="F359" s="22" t="n"/>
      <c r="G359" s="23" t="n"/>
      <c r="H359" s="22" t="n"/>
      <c r="I359" s="23" t="n"/>
      <c r="J359" s="22" t="n"/>
      <c r="K359" s="23" t="n"/>
      <c r="L359" s="22" t="n"/>
      <c r="M359" s="23" t="n"/>
      <c r="N359" s="22" t="n"/>
      <c r="O359" s="22" t="n"/>
      <c r="P359" s="22" t="n"/>
      <c r="Q359" s="23" t="n"/>
      <c r="R359" s="22" t="n"/>
      <c r="S359" s="23" t="n"/>
      <c r="T359" s="22" t="n"/>
      <c r="U359" s="23" t="n"/>
      <c r="V359" s="24" t="n"/>
      <c r="W359" s="25">
        <f>IF(ISNUMBER(U359),U359+IF(ISNUMBER(V359),V359,120),"")</f>
        <v/>
      </c>
      <c r="X359" s="22" t="n"/>
      <c r="Y359" s="23" t="n"/>
      <c r="Z359" s="22" t="n"/>
      <c r="AA359" s="23" t="n"/>
      <c r="AB359" s="24" t="n"/>
      <c r="AC359" s="26">
        <f>IF(ISNUMBER(AD359)=FALSE,"",IF(G359=AD359,"State license",IF(I359=AD359,"DEA registration",IF(K359=AD359,"State CSR",IF(M359=AD359,"Board certification",IF(Q359=AD359,"Malpractice",IF(S359=AD359,"Life support",IF(W359=AD359,"CAQH re-attestation",IF(Y359=AD359,"Privileges reappointment","Payer recredentialing")))))))))</f>
        <v/>
      </c>
      <c r="AD359" s="25">
        <f>IF(OR(AND(LEN(G359)&gt;0,ISNUMBER(G359)=FALSE),AND(LEN(I359)&gt;0,ISNUMBER(I359)=FALSE),AND(LEN(K359)&gt;0,ISNUMBER(K359)=FALSE),AND(LEN(M359)&gt;0,ISNUMBER(M359)=FALSE),AND(LEN(Q359)&gt;0,ISNUMBER(Q359)=FALSE),AND(LEN(S359)&gt;0,ISNUMBER(S359)=FALSE),AND(LEN(Y359)&gt;0,ISNUMBER(Y359)=FALSE),AND(LEN(AA359)&gt;0,ISNUMBER(AA359)=FALSE),AND(LEN(U359)&gt;0,ISNUMBER(U359)=FALSE)),"Check date",IF(COUNT(G359,I359,K359,M359,Q359,S359,W359,Y359,AA359)=0,"",MIN(G359,I359,K359,M359,Q359,S359,W359,Y359,AA359)))</f>
        <v/>
      </c>
      <c r="AE359" s="25">
        <f>IF(ISNUMBER(AD359),AD359-IF(ISNUMBER(AB359),AB359,30),"")</f>
        <v/>
      </c>
      <c r="AF359" s="27">
        <f>IF(AD359="","",IF(ISNUMBER(AD359),AD359-TODAY(),"Check date"))</f>
        <v/>
      </c>
      <c r="AG359" s="28">
        <f>IF(AF359="","",IF(ISNUMBER(AF359),IF(AF359&lt;0,"Expired",IF(AF359&lt;=30,"Due ≤30 days",IF(AF359&lt;=90,"Due ≤90 days","OK"))),"Check date"))</f>
        <v/>
      </c>
      <c r="AH359" s="22" t="n"/>
      <c r="AI359" s="22" t="n"/>
      <c r="AJ359" s="22" t="n"/>
      <c r="AK359" s="22" t="n"/>
    </row>
    <row r="360">
      <c r="A360" s="22" t="n"/>
      <c r="B360" s="22" t="n"/>
      <c r="C360" s="22" t="n"/>
      <c r="D360" s="22" t="n"/>
      <c r="E360" s="22" t="n"/>
      <c r="F360" s="22" t="n"/>
      <c r="G360" s="23" t="n"/>
      <c r="H360" s="22" t="n"/>
      <c r="I360" s="23" t="n"/>
      <c r="J360" s="22" t="n"/>
      <c r="K360" s="23" t="n"/>
      <c r="L360" s="22" t="n"/>
      <c r="M360" s="23" t="n"/>
      <c r="N360" s="22" t="n"/>
      <c r="O360" s="22" t="n"/>
      <c r="P360" s="22" t="n"/>
      <c r="Q360" s="23" t="n"/>
      <c r="R360" s="22" t="n"/>
      <c r="S360" s="23" t="n"/>
      <c r="T360" s="22" t="n"/>
      <c r="U360" s="23" t="n"/>
      <c r="V360" s="24" t="n"/>
      <c r="W360" s="25">
        <f>IF(ISNUMBER(U360),U360+IF(ISNUMBER(V360),V360,120),"")</f>
        <v/>
      </c>
      <c r="X360" s="22" t="n"/>
      <c r="Y360" s="23" t="n"/>
      <c r="Z360" s="22" t="n"/>
      <c r="AA360" s="23" t="n"/>
      <c r="AB360" s="24" t="n"/>
      <c r="AC360" s="26">
        <f>IF(ISNUMBER(AD360)=FALSE,"",IF(G360=AD360,"State license",IF(I360=AD360,"DEA registration",IF(K360=AD360,"State CSR",IF(M360=AD360,"Board certification",IF(Q360=AD360,"Malpractice",IF(S360=AD360,"Life support",IF(W360=AD360,"CAQH re-attestation",IF(Y360=AD360,"Privileges reappointment","Payer recredentialing")))))))))</f>
        <v/>
      </c>
      <c r="AD360" s="25">
        <f>IF(OR(AND(LEN(G360)&gt;0,ISNUMBER(G360)=FALSE),AND(LEN(I360)&gt;0,ISNUMBER(I360)=FALSE),AND(LEN(K360)&gt;0,ISNUMBER(K360)=FALSE),AND(LEN(M360)&gt;0,ISNUMBER(M360)=FALSE),AND(LEN(Q360)&gt;0,ISNUMBER(Q360)=FALSE),AND(LEN(S360)&gt;0,ISNUMBER(S360)=FALSE),AND(LEN(Y360)&gt;0,ISNUMBER(Y360)=FALSE),AND(LEN(AA360)&gt;0,ISNUMBER(AA360)=FALSE),AND(LEN(U360)&gt;0,ISNUMBER(U360)=FALSE)),"Check date",IF(COUNT(G360,I360,K360,M360,Q360,S360,W360,Y360,AA360)=0,"",MIN(G360,I360,K360,M360,Q360,S360,W360,Y360,AA360)))</f>
        <v/>
      </c>
      <c r="AE360" s="25">
        <f>IF(ISNUMBER(AD360),AD360-IF(ISNUMBER(AB360),AB360,30),"")</f>
        <v/>
      </c>
      <c r="AF360" s="27">
        <f>IF(AD360="","",IF(ISNUMBER(AD360),AD360-TODAY(),"Check date"))</f>
        <v/>
      </c>
      <c r="AG360" s="28">
        <f>IF(AF360="","",IF(ISNUMBER(AF360),IF(AF360&lt;0,"Expired",IF(AF360&lt;=30,"Due ≤30 days",IF(AF360&lt;=90,"Due ≤90 days","OK"))),"Check date"))</f>
        <v/>
      </c>
      <c r="AH360" s="22" t="n"/>
      <c r="AI360" s="22" t="n"/>
      <c r="AJ360" s="22" t="n"/>
      <c r="AK360" s="22" t="n"/>
    </row>
    <row r="361">
      <c r="A361" s="22" t="n"/>
      <c r="B361" s="22" t="n"/>
      <c r="C361" s="22" t="n"/>
      <c r="D361" s="22" t="n"/>
      <c r="E361" s="22" t="n"/>
      <c r="F361" s="22" t="n"/>
      <c r="G361" s="23" t="n"/>
      <c r="H361" s="22" t="n"/>
      <c r="I361" s="23" t="n"/>
      <c r="J361" s="22" t="n"/>
      <c r="K361" s="23" t="n"/>
      <c r="L361" s="22" t="n"/>
      <c r="M361" s="23" t="n"/>
      <c r="N361" s="22" t="n"/>
      <c r="O361" s="22" t="n"/>
      <c r="P361" s="22" t="n"/>
      <c r="Q361" s="23" t="n"/>
      <c r="R361" s="22" t="n"/>
      <c r="S361" s="23" t="n"/>
      <c r="T361" s="22" t="n"/>
      <c r="U361" s="23" t="n"/>
      <c r="V361" s="24" t="n"/>
      <c r="W361" s="25">
        <f>IF(ISNUMBER(U361),U361+IF(ISNUMBER(V361),V361,120),"")</f>
        <v/>
      </c>
      <c r="X361" s="22" t="n"/>
      <c r="Y361" s="23" t="n"/>
      <c r="Z361" s="22" t="n"/>
      <c r="AA361" s="23" t="n"/>
      <c r="AB361" s="24" t="n"/>
      <c r="AC361" s="26">
        <f>IF(ISNUMBER(AD361)=FALSE,"",IF(G361=AD361,"State license",IF(I361=AD361,"DEA registration",IF(K361=AD361,"State CSR",IF(M361=AD361,"Board certification",IF(Q361=AD361,"Malpractice",IF(S361=AD361,"Life support",IF(W361=AD361,"CAQH re-attestation",IF(Y361=AD361,"Privileges reappointment","Payer recredentialing")))))))))</f>
        <v/>
      </c>
      <c r="AD361" s="25">
        <f>IF(OR(AND(LEN(G361)&gt;0,ISNUMBER(G361)=FALSE),AND(LEN(I361)&gt;0,ISNUMBER(I361)=FALSE),AND(LEN(K361)&gt;0,ISNUMBER(K361)=FALSE),AND(LEN(M361)&gt;0,ISNUMBER(M361)=FALSE),AND(LEN(Q361)&gt;0,ISNUMBER(Q361)=FALSE),AND(LEN(S361)&gt;0,ISNUMBER(S361)=FALSE),AND(LEN(Y361)&gt;0,ISNUMBER(Y361)=FALSE),AND(LEN(AA361)&gt;0,ISNUMBER(AA361)=FALSE),AND(LEN(U361)&gt;0,ISNUMBER(U361)=FALSE)),"Check date",IF(COUNT(G361,I361,K361,M361,Q361,S361,W361,Y361,AA361)=0,"",MIN(G361,I361,K361,M361,Q361,S361,W361,Y361,AA361)))</f>
        <v/>
      </c>
      <c r="AE361" s="25">
        <f>IF(ISNUMBER(AD361),AD361-IF(ISNUMBER(AB361),AB361,30),"")</f>
        <v/>
      </c>
      <c r="AF361" s="27">
        <f>IF(AD361="","",IF(ISNUMBER(AD361),AD361-TODAY(),"Check date"))</f>
        <v/>
      </c>
      <c r="AG361" s="28">
        <f>IF(AF361="","",IF(ISNUMBER(AF361),IF(AF361&lt;0,"Expired",IF(AF361&lt;=30,"Due ≤30 days",IF(AF361&lt;=90,"Due ≤90 days","OK"))),"Check date"))</f>
        <v/>
      </c>
      <c r="AH361" s="22" t="n"/>
      <c r="AI361" s="22" t="n"/>
      <c r="AJ361" s="22" t="n"/>
      <c r="AK361" s="22" t="n"/>
    </row>
    <row r="362">
      <c r="A362" s="22" t="n"/>
      <c r="B362" s="22" t="n"/>
      <c r="C362" s="22" t="n"/>
      <c r="D362" s="22" t="n"/>
      <c r="E362" s="22" t="n"/>
      <c r="F362" s="22" t="n"/>
      <c r="G362" s="23" t="n"/>
      <c r="H362" s="22" t="n"/>
      <c r="I362" s="23" t="n"/>
      <c r="J362" s="22" t="n"/>
      <c r="K362" s="23" t="n"/>
      <c r="L362" s="22" t="n"/>
      <c r="M362" s="23" t="n"/>
      <c r="N362" s="22" t="n"/>
      <c r="O362" s="22" t="n"/>
      <c r="P362" s="22" t="n"/>
      <c r="Q362" s="23" t="n"/>
      <c r="R362" s="22" t="n"/>
      <c r="S362" s="23" t="n"/>
      <c r="T362" s="22" t="n"/>
      <c r="U362" s="23" t="n"/>
      <c r="V362" s="24" t="n"/>
      <c r="W362" s="25">
        <f>IF(ISNUMBER(U362),U362+IF(ISNUMBER(V362),V362,120),"")</f>
        <v/>
      </c>
      <c r="X362" s="22" t="n"/>
      <c r="Y362" s="23" t="n"/>
      <c r="Z362" s="22" t="n"/>
      <c r="AA362" s="23" t="n"/>
      <c r="AB362" s="24" t="n"/>
      <c r="AC362" s="26">
        <f>IF(ISNUMBER(AD362)=FALSE,"",IF(G362=AD362,"State license",IF(I362=AD362,"DEA registration",IF(K362=AD362,"State CSR",IF(M362=AD362,"Board certification",IF(Q362=AD362,"Malpractice",IF(S362=AD362,"Life support",IF(W362=AD362,"CAQH re-attestation",IF(Y362=AD362,"Privileges reappointment","Payer recredentialing")))))))))</f>
        <v/>
      </c>
      <c r="AD362" s="25">
        <f>IF(OR(AND(LEN(G362)&gt;0,ISNUMBER(G362)=FALSE),AND(LEN(I362)&gt;0,ISNUMBER(I362)=FALSE),AND(LEN(K362)&gt;0,ISNUMBER(K362)=FALSE),AND(LEN(M362)&gt;0,ISNUMBER(M362)=FALSE),AND(LEN(Q362)&gt;0,ISNUMBER(Q362)=FALSE),AND(LEN(S362)&gt;0,ISNUMBER(S362)=FALSE),AND(LEN(Y362)&gt;0,ISNUMBER(Y362)=FALSE),AND(LEN(AA362)&gt;0,ISNUMBER(AA362)=FALSE),AND(LEN(U362)&gt;0,ISNUMBER(U362)=FALSE)),"Check date",IF(COUNT(G362,I362,K362,M362,Q362,S362,W362,Y362,AA362)=0,"",MIN(G362,I362,K362,M362,Q362,S362,W362,Y362,AA362)))</f>
        <v/>
      </c>
      <c r="AE362" s="25">
        <f>IF(ISNUMBER(AD362),AD362-IF(ISNUMBER(AB362),AB362,30),"")</f>
        <v/>
      </c>
      <c r="AF362" s="27">
        <f>IF(AD362="","",IF(ISNUMBER(AD362),AD362-TODAY(),"Check date"))</f>
        <v/>
      </c>
      <c r="AG362" s="28">
        <f>IF(AF362="","",IF(ISNUMBER(AF362),IF(AF362&lt;0,"Expired",IF(AF362&lt;=30,"Due ≤30 days",IF(AF362&lt;=90,"Due ≤90 days","OK"))),"Check date"))</f>
        <v/>
      </c>
      <c r="AH362" s="22" t="n"/>
      <c r="AI362" s="22" t="n"/>
      <c r="AJ362" s="22" t="n"/>
      <c r="AK362" s="22" t="n"/>
    </row>
    <row r="363">
      <c r="A363" s="22" t="n"/>
      <c r="B363" s="22" t="n"/>
      <c r="C363" s="22" t="n"/>
      <c r="D363" s="22" t="n"/>
      <c r="E363" s="22" t="n"/>
      <c r="F363" s="22" t="n"/>
      <c r="G363" s="23" t="n"/>
      <c r="H363" s="22" t="n"/>
      <c r="I363" s="23" t="n"/>
      <c r="J363" s="22" t="n"/>
      <c r="K363" s="23" t="n"/>
      <c r="L363" s="22" t="n"/>
      <c r="M363" s="23" t="n"/>
      <c r="N363" s="22" t="n"/>
      <c r="O363" s="22" t="n"/>
      <c r="P363" s="22" t="n"/>
      <c r="Q363" s="23" t="n"/>
      <c r="R363" s="22" t="n"/>
      <c r="S363" s="23" t="n"/>
      <c r="T363" s="22" t="n"/>
      <c r="U363" s="23" t="n"/>
      <c r="V363" s="24" t="n"/>
      <c r="W363" s="25">
        <f>IF(ISNUMBER(U363),U363+IF(ISNUMBER(V363),V363,120),"")</f>
        <v/>
      </c>
      <c r="X363" s="22" t="n"/>
      <c r="Y363" s="23" t="n"/>
      <c r="Z363" s="22" t="n"/>
      <c r="AA363" s="23" t="n"/>
      <c r="AB363" s="24" t="n"/>
      <c r="AC363" s="26">
        <f>IF(ISNUMBER(AD363)=FALSE,"",IF(G363=AD363,"State license",IF(I363=AD363,"DEA registration",IF(K363=AD363,"State CSR",IF(M363=AD363,"Board certification",IF(Q363=AD363,"Malpractice",IF(S363=AD363,"Life support",IF(W363=AD363,"CAQH re-attestation",IF(Y363=AD363,"Privileges reappointment","Payer recredentialing")))))))))</f>
        <v/>
      </c>
      <c r="AD363" s="25">
        <f>IF(OR(AND(LEN(G363)&gt;0,ISNUMBER(G363)=FALSE),AND(LEN(I363)&gt;0,ISNUMBER(I363)=FALSE),AND(LEN(K363)&gt;0,ISNUMBER(K363)=FALSE),AND(LEN(M363)&gt;0,ISNUMBER(M363)=FALSE),AND(LEN(Q363)&gt;0,ISNUMBER(Q363)=FALSE),AND(LEN(S363)&gt;0,ISNUMBER(S363)=FALSE),AND(LEN(Y363)&gt;0,ISNUMBER(Y363)=FALSE),AND(LEN(AA363)&gt;0,ISNUMBER(AA363)=FALSE),AND(LEN(U363)&gt;0,ISNUMBER(U363)=FALSE)),"Check date",IF(COUNT(G363,I363,K363,M363,Q363,S363,W363,Y363,AA363)=0,"",MIN(G363,I363,K363,M363,Q363,S363,W363,Y363,AA363)))</f>
        <v/>
      </c>
      <c r="AE363" s="25">
        <f>IF(ISNUMBER(AD363),AD363-IF(ISNUMBER(AB363),AB363,30),"")</f>
        <v/>
      </c>
      <c r="AF363" s="27">
        <f>IF(AD363="","",IF(ISNUMBER(AD363),AD363-TODAY(),"Check date"))</f>
        <v/>
      </c>
      <c r="AG363" s="28">
        <f>IF(AF363="","",IF(ISNUMBER(AF363),IF(AF363&lt;0,"Expired",IF(AF363&lt;=30,"Due ≤30 days",IF(AF363&lt;=90,"Due ≤90 days","OK"))),"Check date"))</f>
        <v/>
      </c>
      <c r="AH363" s="22" t="n"/>
      <c r="AI363" s="22" t="n"/>
      <c r="AJ363" s="22" t="n"/>
      <c r="AK363" s="22" t="n"/>
    </row>
    <row r="364">
      <c r="A364" s="22" t="n"/>
      <c r="B364" s="22" t="n"/>
      <c r="C364" s="22" t="n"/>
      <c r="D364" s="22" t="n"/>
      <c r="E364" s="22" t="n"/>
      <c r="F364" s="22" t="n"/>
      <c r="G364" s="23" t="n"/>
      <c r="H364" s="22" t="n"/>
      <c r="I364" s="23" t="n"/>
      <c r="J364" s="22" t="n"/>
      <c r="K364" s="23" t="n"/>
      <c r="L364" s="22" t="n"/>
      <c r="M364" s="23" t="n"/>
      <c r="N364" s="22" t="n"/>
      <c r="O364" s="22" t="n"/>
      <c r="P364" s="22" t="n"/>
      <c r="Q364" s="23" t="n"/>
      <c r="R364" s="22" t="n"/>
      <c r="S364" s="23" t="n"/>
      <c r="T364" s="22" t="n"/>
      <c r="U364" s="23" t="n"/>
      <c r="V364" s="24" t="n"/>
      <c r="W364" s="25">
        <f>IF(ISNUMBER(U364),U364+IF(ISNUMBER(V364),V364,120),"")</f>
        <v/>
      </c>
      <c r="X364" s="22" t="n"/>
      <c r="Y364" s="23" t="n"/>
      <c r="Z364" s="22" t="n"/>
      <c r="AA364" s="23" t="n"/>
      <c r="AB364" s="24" t="n"/>
      <c r="AC364" s="26">
        <f>IF(ISNUMBER(AD364)=FALSE,"",IF(G364=AD364,"State license",IF(I364=AD364,"DEA registration",IF(K364=AD364,"State CSR",IF(M364=AD364,"Board certification",IF(Q364=AD364,"Malpractice",IF(S364=AD364,"Life support",IF(W364=AD364,"CAQH re-attestation",IF(Y364=AD364,"Privileges reappointment","Payer recredentialing")))))))))</f>
        <v/>
      </c>
      <c r="AD364" s="25">
        <f>IF(OR(AND(LEN(G364)&gt;0,ISNUMBER(G364)=FALSE),AND(LEN(I364)&gt;0,ISNUMBER(I364)=FALSE),AND(LEN(K364)&gt;0,ISNUMBER(K364)=FALSE),AND(LEN(M364)&gt;0,ISNUMBER(M364)=FALSE),AND(LEN(Q364)&gt;0,ISNUMBER(Q364)=FALSE),AND(LEN(S364)&gt;0,ISNUMBER(S364)=FALSE),AND(LEN(Y364)&gt;0,ISNUMBER(Y364)=FALSE),AND(LEN(AA364)&gt;0,ISNUMBER(AA364)=FALSE),AND(LEN(U364)&gt;0,ISNUMBER(U364)=FALSE)),"Check date",IF(COUNT(G364,I364,K364,M364,Q364,S364,W364,Y364,AA364)=0,"",MIN(G364,I364,K364,M364,Q364,S364,W364,Y364,AA364)))</f>
        <v/>
      </c>
      <c r="AE364" s="25">
        <f>IF(ISNUMBER(AD364),AD364-IF(ISNUMBER(AB364),AB364,30),"")</f>
        <v/>
      </c>
      <c r="AF364" s="27">
        <f>IF(AD364="","",IF(ISNUMBER(AD364),AD364-TODAY(),"Check date"))</f>
        <v/>
      </c>
      <c r="AG364" s="28">
        <f>IF(AF364="","",IF(ISNUMBER(AF364),IF(AF364&lt;0,"Expired",IF(AF364&lt;=30,"Due ≤30 days",IF(AF364&lt;=90,"Due ≤90 days","OK"))),"Check date"))</f>
        <v/>
      </c>
      <c r="AH364" s="22" t="n"/>
      <c r="AI364" s="22" t="n"/>
      <c r="AJ364" s="22" t="n"/>
      <c r="AK364" s="22" t="n"/>
    </row>
    <row r="365">
      <c r="A365" s="22" t="n"/>
      <c r="B365" s="22" t="n"/>
      <c r="C365" s="22" t="n"/>
      <c r="D365" s="22" t="n"/>
      <c r="E365" s="22" t="n"/>
      <c r="F365" s="22" t="n"/>
      <c r="G365" s="23" t="n"/>
      <c r="H365" s="22" t="n"/>
      <c r="I365" s="23" t="n"/>
      <c r="J365" s="22" t="n"/>
      <c r="K365" s="23" t="n"/>
      <c r="L365" s="22" t="n"/>
      <c r="M365" s="23" t="n"/>
      <c r="N365" s="22" t="n"/>
      <c r="O365" s="22" t="n"/>
      <c r="P365" s="22" t="n"/>
      <c r="Q365" s="23" t="n"/>
      <c r="R365" s="22" t="n"/>
      <c r="S365" s="23" t="n"/>
      <c r="T365" s="22" t="n"/>
      <c r="U365" s="23" t="n"/>
      <c r="V365" s="24" t="n"/>
      <c r="W365" s="25">
        <f>IF(ISNUMBER(U365),U365+IF(ISNUMBER(V365),V365,120),"")</f>
        <v/>
      </c>
      <c r="X365" s="22" t="n"/>
      <c r="Y365" s="23" t="n"/>
      <c r="Z365" s="22" t="n"/>
      <c r="AA365" s="23" t="n"/>
      <c r="AB365" s="24" t="n"/>
      <c r="AC365" s="26">
        <f>IF(ISNUMBER(AD365)=FALSE,"",IF(G365=AD365,"State license",IF(I365=AD365,"DEA registration",IF(K365=AD365,"State CSR",IF(M365=AD365,"Board certification",IF(Q365=AD365,"Malpractice",IF(S365=AD365,"Life support",IF(W365=AD365,"CAQH re-attestation",IF(Y365=AD365,"Privileges reappointment","Payer recredentialing")))))))))</f>
        <v/>
      </c>
      <c r="AD365" s="25">
        <f>IF(OR(AND(LEN(G365)&gt;0,ISNUMBER(G365)=FALSE),AND(LEN(I365)&gt;0,ISNUMBER(I365)=FALSE),AND(LEN(K365)&gt;0,ISNUMBER(K365)=FALSE),AND(LEN(M365)&gt;0,ISNUMBER(M365)=FALSE),AND(LEN(Q365)&gt;0,ISNUMBER(Q365)=FALSE),AND(LEN(S365)&gt;0,ISNUMBER(S365)=FALSE),AND(LEN(Y365)&gt;0,ISNUMBER(Y365)=FALSE),AND(LEN(AA365)&gt;0,ISNUMBER(AA365)=FALSE),AND(LEN(U365)&gt;0,ISNUMBER(U365)=FALSE)),"Check date",IF(COUNT(G365,I365,K365,M365,Q365,S365,W365,Y365,AA365)=0,"",MIN(G365,I365,K365,M365,Q365,S365,W365,Y365,AA365)))</f>
        <v/>
      </c>
      <c r="AE365" s="25">
        <f>IF(ISNUMBER(AD365),AD365-IF(ISNUMBER(AB365),AB365,30),"")</f>
        <v/>
      </c>
      <c r="AF365" s="27">
        <f>IF(AD365="","",IF(ISNUMBER(AD365),AD365-TODAY(),"Check date"))</f>
        <v/>
      </c>
      <c r="AG365" s="28">
        <f>IF(AF365="","",IF(ISNUMBER(AF365),IF(AF365&lt;0,"Expired",IF(AF365&lt;=30,"Due ≤30 days",IF(AF365&lt;=90,"Due ≤90 days","OK"))),"Check date"))</f>
        <v/>
      </c>
      <c r="AH365" s="22" t="n"/>
      <c r="AI365" s="22" t="n"/>
      <c r="AJ365" s="22" t="n"/>
      <c r="AK365" s="22" t="n"/>
    </row>
    <row r="366">
      <c r="A366" s="22" t="n"/>
      <c r="B366" s="22" t="n"/>
      <c r="C366" s="22" t="n"/>
      <c r="D366" s="22" t="n"/>
      <c r="E366" s="22" t="n"/>
      <c r="F366" s="22" t="n"/>
      <c r="G366" s="23" t="n"/>
      <c r="H366" s="22" t="n"/>
      <c r="I366" s="23" t="n"/>
      <c r="J366" s="22" t="n"/>
      <c r="K366" s="23" t="n"/>
      <c r="L366" s="22" t="n"/>
      <c r="M366" s="23" t="n"/>
      <c r="N366" s="22" t="n"/>
      <c r="O366" s="22" t="n"/>
      <c r="P366" s="22" t="n"/>
      <c r="Q366" s="23" t="n"/>
      <c r="R366" s="22" t="n"/>
      <c r="S366" s="23" t="n"/>
      <c r="T366" s="22" t="n"/>
      <c r="U366" s="23" t="n"/>
      <c r="V366" s="24" t="n"/>
      <c r="W366" s="25">
        <f>IF(ISNUMBER(U366),U366+IF(ISNUMBER(V366),V366,120),"")</f>
        <v/>
      </c>
      <c r="X366" s="22" t="n"/>
      <c r="Y366" s="23" t="n"/>
      <c r="Z366" s="22" t="n"/>
      <c r="AA366" s="23" t="n"/>
      <c r="AB366" s="24" t="n"/>
      <c r="AC366" s="26">
        <f>IF(ISNUMBER(AD366)=FALSE,"",IF(G366=AD366,"State license",IF(I366=AD366,"DEA registration",IF(K366=AD366,"State CSR",IF(M366=AD366,"Board certification",IF(Q366=AD366,"Malpractice",IF(S366=AD366,"Life support",IF(W366=AD366,"CAQH re-attestation",IF(Y366=AD366,"Privileges reappointment","Payer recredentialing")))))))))</f>
        <v/>
      </c>
      <c r="AD366" s="25">
        <f>IF(OR(AND(LEN(G366)&gt;0,ISNUMBER(G366)=FALSE),AND(LEN(I366)&gt;0,ISNUMBER(I366)=FALSE),AND(LEN(K366)&gt;0,ISNUMBER(K366)=FALSE),AND(LEN(M366)&gt;0,ISNUMBER(M366)=FALSE),AND(LEN(Q366)&gt;0,ISNUMBER(Q366)=FALSE),AND(LEN(S366)&gt;0,ISNUMBER(S366)=FALSE),AND(LEN(Y366)&gt;0,ISNUMBER(Y366)=FALSE),AND(LEN(AA366)&gt;0,ISNUMBER(AA366)=FALSE),AND(LEN(U366)&gt;0,ISNUMBER(U366)=FALSE)),"Check date",IF(COUNT(G366,I366,K366,M366,Q366,S366,W366,Y366,AA366)=0,"",MIN(G366,I366,K366,M366,Q366,S366,W366,Y366,AA366)))</f>
        <v/>
      </c>
      <c r="AE366" s="25">
        <f>IF(ISNUMBER(AD366),AD366-IF(ISNUMBER(AB366),AB366,30),"")</f>
        <v/>
      </c>
      <c r="AF366" s="27">
        <f>IF(AD366="","",IF(ISNUMBER(AD366),AD366-TODAY(),"Check date"))</f>
        <v/>
      </c>
      <c r="AG366" s="28">
        <f>IF(AF366="","",IF(ISNUMBER(AF366),IF(AF366&lt;0,"Expired",IF(AF366&lt;=30,"Due ≤30 days",IF(AF366&lt;=90,"Due ≤90 days","OK"))),"Check date"))</f>
        <v/>
      </c>
      <c r="AH366" s="22" t="n"/>
      <c r="AI366" s="22" t="n"/>
      <c r="AJ366" s="22" t="n"/>
      <c r="AK366" s="22" t="n"/>
    </row>
    <row r="367">
      <c r="A367" s="22" t="n"/>
      <c r="B367" s="22" t="n"/>
      <c r="C367" s="22" t="n"/>
      <c r="D367" s="22" t="n"/>
      <c r="E367" s="22" t="n"/>
      <c r="F367" s="22" t="n"/>
      <c r="G367" s="23" t="n"/>
      <c r="H367" s="22" t="n"/>
      <c r="I367" s="23" t="n"/>
      <c r="J367" s="22" t="n"/>
      <c r="K367" s="23" t="n"/>
      <c r="L367" s="22" t="n"/>
      <c r="M367" s="23" t="n"/>
      <c r="N367" s="22" t="n"/>
      <c r="O367" s="22" t="n"/>
      <c r="P367" s="22" t="n"/>
      <c r="Q367" s="23" t="n"/>
      <c r="R367" s="22" t="n"/>
      <c r="S367" s="23" t="n"/>
      <c r="T367" s="22" t="n"/>
      <c r="U367" s="23" t="n"/>
      <c r="V367" s="24" t="n"/>
      <c r="W367" s="25">
        <f>IF(ISNUMBER(U367),U367+IF(ISNUMBER(V367),V367,120),"")</f>
        <v/>
      </c>
      <c r="X367" s="22" t="n"/>
      <c r="Y367" s="23" t="n"/>
      <c r="Z367" s="22" t="n"/>
      <c r="AA367" s="23" t="n"/>
      <c r="AB367" s="24" t="n"/>
      <c r="AC367" s="26">
        <f>IF(ISNUMBER(AD367)=FALSE,"",IF(G367=AD367,"State license",IF(I367=AD367,"DEA registration",IF(K367=AD367,"State CSR",IF(M367=AD367,"Board certification",IF(Q367=AD367,"Malpractice",IF(S367=AD367,"Life support",IF(W367=AD367,"CAQH re-attestation",IF(Y367=AD367,"Privileges reappointment","Payer recredentialing")))))))))</f>
        <v/>
      </c>
      <c r="AD367" s="25">
        <f>IF(OR(AND(LEN(G367)&gt;0,ISNUMBER(G367)=FALSE),AND(LEN(I367)&gt;0,ISNUMBER(I367)=FALSE),AND(LEN(K367)&gt;0,ISNUMBER(K367)=FALSE),AND(LEN(M367)&gt;0,ISNUMBER(M367)=FALSE),AND(LEN(Q367)&gt;0,ISNUMBER(Q367)=FALSE),AND(LEN(S367)&gt;0,ISNUMBER(S367)=FALSE),AND(LEN(Y367)&gt;0,ISNUMBER(Y367)=FALSE),AND(LEN(AA367)&gt;0,ISNUMBER(AA367)=FALSE),AND(LEN(U367)&gt;0,ISNUMBER(U367)=FALSE)),"Check date",IF(COUNT(G367,I367,K367,M367,Q367,S367,W367,Y367,AA367)=0,"",MIN(G367,I367,K367,M367,Q367,S367,W367,Y367,AA367)))</f>
        <v/>
      </c>
      <c r="AE367" s="25">
        <f>IF(ISNUMBER(AD367),AD367-IF(ISNUMBER(AB367),AB367,30),"")</f>
        <v/>
      </c>
      <c r="AF367" s="27">
        <f>IF(AD367="","",IF(ISNUMBER(AD367),AD367-TODAY(),"Check date"))</f>
        <v/>
      </c>
      <c r="AG367" s="28">
        <f>IF(AF367="","",IF(ISNUMBER(AF367),IF(AF367&lt;0,"Expired",IF(AF367&lt;=30,"Due ≤30 days",IF(AF367&lt;=90,"Due ≤90 days","OK"))),"Check date"))</f>
        <v/>
      </c>
      <c r="AH367" s="22" t="n"/>
      <c r="AI367" s="22" t="n"/>
      <c r="AJ367" s="22" t="n"/>
      <c r="AK367" s="22" t="n"/>
    </row>
    <row r="368">
      <c r="A368" s="22" t="n"/>
      <c r="B368" s="22" t="n"/>
      <c r="C368" s="22" t="n"/>
      <c r="D368" s="22" t="n"/>
      <c r="E368" s="22" t="n"/>
      <c r="F368" s="22" t="n"/>
      <c r="G368" s="23" t="n"/>
      <c r="H368" s="22" t="n"/>
      <c r="I368" s="23" t="n"/>
      <c r="J368" s="22" t="n"/>
      <c r="K368" s="23" t="n"/>
      <c r="L368" s="22" t="n"/>
      <c r="M368" s="23" t="n"/>
      <c r="N368" s="22" t="n"/>
      <c r="O368" s="22" t="n"/>
      <c r="P368" s="22" t="n"/>
      <c r="Q368" s="23" t="n"/>
      <c r="R368" s="22" t="n"/>
      <c r="S368" s="23" t="n"/>
      <c r="T368" s="22" t="n"/>
      <c r="U368" s="23" t="n"/>
      <c r="V368" s="24" t="n"/>
      <c r="W368" s="25">
        <f>IF(ISNUMBER(U368),U368+IF(ISNUMBER(V368),V368,120),"")</f>
        <v/>
      </c>
      <c r="X368" s="22" t="n"/>
      <c r="Y368" s="23" t="n"/>
      <c r="Z368" s="22" t="n"/>
      <c r="AA368" s="23" t="n"/>
      <c r="AB368" s="24" t="n"/>
      <c r="AC368" s="26">
        <f>IF(ISNUMBER(AD368)=FALSE,"",IF(G368=AD368,"State license",IF(I368=AD368,"DEA registration",IF(K368=AD368,"State CSR",IF(M368=AD368,"Board certification",IF(Q368=AD368,"Malpractice",IF(S368=AD368,"Life support",IF(W368=AD368,"CAQH re-attestation",IF(Y368=AD368,"Privileges reappointment","Payer recredentialing")))))))))</f>
        <v/>
      </c>
      <c r="AD368" s="25">
        <f>IF(OR(AND(LEN(G368)&gt;0,ISNUMBER(G368)=FALSE),AND(LEN(I368)&gt;0,ISNUMBER(I368)=FALSE),AND(LEN(K368)&gt;0,ISNUMBER(K368)=FALSE),AND(LEN(M368)&gt;0,ISNUMBER(M368)=FALSE),AND(LEN(Q368)&gt;0,ISNUMBER(Q368)=FALSE),AND(LEN(S368)&gt;0,ISNUMBER(S368)=FALSE),AND(LEN(Y368)&gt;0,ISNUMBER(Y368)=FALSE),AND(LEN(AA368)&gt;0,ISNUMBER(AA368)=FALSE),AND(LEN(U368)&gt;0,ISNUMBER(U368)=FALSE)),"Check date",IF(COUNT(G368,I368,K368,M368,Q368,S368,W368,Y368,AA368)=0,"",MIN(G368,I368,K368,M368,Q368,S368,W368,Y368,AA368)))</f>
        <v/>
      </c>
      <c r="AE368" s="25">
        <f>IF(ISNUMBER(AD368),AD368-IF(ISNUMBER(AB368),AB368,30),"")</f>
        <v/>
      </c>
      <c r="AF368" s="27">
        <f>IF(AD368="","",IF(ISNUMBER(AD368),AD368-TODAY(),"Check date"))</f>
        <v/>
      </c>
      <c r="AG368" s="28">
        <f>IF(AF368="","",IF(ISNUMBER(AF368),IF(AF368&lt;0,"Expired",IF(AF368&lt;=30,"Due ≤30 days",IF(AF368&lt;=90,"Due ≤90 days","OK"))),"Check date"))</f>
        <v/>
      </c>
      <c r="AH368" s="22" t="n"/>
      <c r="AI368" s="22" t="n"/>
      <c r="AJ368" s="22" t="n"/>
      <c r="AK368" s="22" t="n"/>
    </row>
    <row r="369">
      <c r="A369" s="22" t="n"/>
      <c r="B369" s="22" t="n"/>
      <c r="C369" s="22" t="n"/>
      <c r="D369" s="22" t="n"/>
      <c r="E369" s="22" t="n"/>
      <c r="F369" s="22" t="n"/>
      <c r="G369" s="23" t="n"/>
      <c r="H369" s="22" t="n"/>
      <c r="I369" s="23" t="n"/>
      <c r="J369" s="22" t="n"/>
      <c r="K369" s="23" t="n"/>
      <c r="L369" s="22" t="n"/>
      <c r="M369" s="23" t="n"/>
      <c r="N369" s="22" t="n"/>
      <c r="O369" s="22" t="n"/>
      <c r="P369" s="22" t="n"/>
      <c r="Q369" s="23" t="n"/>
      <c r="R369" s="22" t="n"/>
      <c r="S369" s="23" t="n"/>
      <c r="T369" s="22" t="n"/>
      <c r="U369" s="23" t="n"/>
      <c r="V369" s="24" t="n"/>
      <c r="W369" s="25">
        <f>IF(ISNUMBER(U369),U369+IF(ISNUMBER(V369),V369,120),"")</f>
        <v/>
      </c>
      <c r="X369" s="22" t="n"/>
      <c r="Y369" s="23" t="n"/>
      <c r="Z369" s="22" t="n"/>
      <c r="AA369" s="23" t="n"/>
      <c r="AB369" s="24" t="n"/>
      <c r="AC369" s="26">
        <f>IF(ISNUMBER(AD369)=FALSE,"",IF(G369=AD369,"State license",IF(I369=AD369,"DEA registration",IF(K369=AD369,"State CSR",IF(M369=AD369,"Board certification",IF(Q369=AD369,"Malpractice",IF(S369=AD369,"Life support",IF(W369=AD369,"CAQH re-attestation",IF(Y369=AD369,"Privileges reappointment","Payer recredentialing")))))))))</f>
        <v/>
      </c>
      <c r="AD369" s="25">
        <f>IF(OR(AND(LEN(G369)&gt;0,ISNUMBER(G369)=FALSE),AND(LEN(I369)&gt;0,ISNUMBER(I369)=FALSE),AND(LEN(K369)&gt;0,ISNUMBER(K369)=FALSE),AND(LEN(M369)&gt;0,ISNUMBER(M369)=FALSE),AND(LEN(Q369)&gt;0,ISNUMBER(Q369)=FALSE),AND(LEN(S369)&gt;0,ISNUMBER(S369)=FALSE),AND(LEN(Y369)&gt;0,ISNUMBER(Y369)=FALSE),AND(LEN(AA369)&gt;0,ISNUMBER(AA369)=FALSE),AND(LEN(U369)&gt;0,ISNUMBER(U369)=FALSE)),"Check date",IF(COUNT(G369,I369,K369,M369,Q369,S369,W369,Y369,AA369)=0,"",MIN(G369,I369,K369,M369,Q369,S369,W369,Y369,AA369)))</f>
        <v/>
      </c>
      <c r="AE369" s="25">
        <f>IF(ISNUMBER(AD369),AD369-IF(ISNUMBER(AB369),AB369,30),"")</f>
        <v/>
      </c>
      <c r="AF369" s="27">
        <f>IF(AD369="","",IF(ISNUMBER(AD369),AD369-TODAY(),"Check date"))</f>
        <v/>
      </c>
      <c r="AG369" s="28">
        <f>IF(AF369="","",IF(ISNUMBER(AF369),IF(AF369&lt;0,"Expired",IF(AF369&lt;=30,"Due ≤30 days",IF(AF369&lt;=90,"Due ≤90 days","OK"))),"Check date"))</f>
        <v/>
      </c>
      <c r="AH369" s="22" t="n"/>
      <c r="AI369" s="22" t="n"/>
      <c r="AJ369" s="22" t="n"/>
      <c r="AK369" s="22" t="n"/>
    </row>
    <row r="370">
      <c r="A370" s="22" t="n"/>
      <c r="B370" s="22" t="n"/>
      <c r="C370" s="22" t="n"/>
      <c r="D370" s="22" t="n"/>
      <c r="E370" s="22" t="n"/>
      <c r="F370" s="22" t="n"/>
      <c r="G370" s="23" t="n"/>
      <c r="H370" s="22" t="n"/>
      <c r="I370" s="23" t="n"/>
      <c r="J370" s="22" t="n"/>
      <c r="K370" s="23" t="n"/>
      <c r="L370" s="22" t="n"/>
      <c r="M370" s="23" t="n"/>
      <c r="N370" s="22" t="n"/>
      <c r="O370" s="22" t="n"/>
      <c r="P370" s="22" t="n"/>
      <c r="Q370" s="23" t="n"/>
      <c r="R370" s="22" t="n"/>
      <c r="S370" s="23" t="n"/>
      <c r="T370" s="22" t="n"/>
      <c r="U370" s="23" t="n"/>
      <c r="V370" s="24" t="n"/>
      <c r="W370" s="25">
        <f>IF(ISNUMBER(U370),U370+IF(ISNUMBER(V370),V370,120),"")</f>
        <v/>
      </c>
      <c r="X370" s="22" t="n"/>
      <c r="Y370" s="23" t="n"/>
      <c r="Z370" s="22" t="n"/>
      <c r="AA370" s="23" t="n"/>
      <c r="AB370" s="24" t="n"/>
      <c r="AC370" s="26">
        <f>IF(ISNUMBER(AD370)=FALSE,"",IF(G370=AD370,"State license",IF(I370=AD370,"DEA registration",IF(K370=AD370,"State CSR",IF(M370=AD370,"Board certification",IF(Q370=AD370,"Malpractice",IF(S370=AD370,"Life support",IF(W370=AD370,"CAQH re-attestation",IF(Y370=AD370,"Privileges reappointment","Payer recredentialing")))))))))</f>
        <v/>
      </c>
      <c r="AD370" s="25">
        <f>IF(OR(AND(LEN(G370)&gt;0,ISNUMBER(G370)=FALSE),AND(LEN(I370)&gt;0,ISNUMBER(I370)=FALSE),AND(LEN(K370)&gt;0,ISNUMBER(K370)=FALSE),AND(LEN(M370)&gt;0,ISNUMBER(M370)=FALSE),AND(LEN(Q370)&gt;0,ISNUMBER(Q370)=FALSE),AND(LEN(S370)&gt;0,ISNUMBER(S370)=FALSE),AND(LEN(Y370)&gt;0,ISNUMBER(Y370)=FALSE),AND(LEN(AA370)&gt;0,ISNUMBER(AA370)=FALSE),AND(LEN(U370)&gt;0,ISNUMBER(U370)=FALSE)),"Check date",IF(COUNT(G370,I370,K370,M370,Q370,S370,W370,Y370,AA370)=0,"",MIN(G370,I370,K370,M370,Q370,S370,W370,Y370,AA370)))</f>
        <v/>
      </c>
      <c r="AE370" s="25">
        <f>IF(ISNUMBER(AD370),AD370-IF(ISNUMBER(AB370),AB370,30),"")</f>
        <v/>
      </c>
      <c r="AF370" s="27">
        <f>IF(AD370="","",IF(ISNUMBER(AD370),AD370-TODAY(),"Check date"))</f>
        <v/>
      </c>
      <c r="AG370" s="28">
        <f>IF(AF370="","",IF(ISNUMBER(AF370),IF(AF370&lt;0,"Expired",IF(AF370&lt;=30,"Due ≤30 days",IF(AF370&lt;=90,"Due ≤90 days","OK"))),"Check date"))</f>
        <v/>
      </c>
      <c r="AH370" s="22" t="n"/>
      <c r="AI370" s="22" t="n"/>
      <c r="AJ370" s="22" t="n"/>
      <c r="AK370" s="22" t="n"/>
    </row>
    <row r="371">
      <c r="A371" s="22" t="n"/>
      <c r="B371" s="22" t="n"/>
      <c r="C371" s="22" t="n"/>
      <c r="D371" s="22" t="n"/>
      <c r="E371" s="22" t="n"/>
      <c r="F371" s="22" t="n"/>
      <c r="G371" s="23" t="n"/>
      <c r="H371" s="22" t="n"/>
      <c r="I371" s="23" t="n"/>
      <c r="J371" s="22" t="n"/>
      <c r="K371" s="23" t="n"/>
      <c r="L371" s="22" t="n"/>
      <c r="M371" s="23" t="n"/>
      <c r="N371" s="22" t="n"/>
      <c r="O371" s="22" t="n"/>
      <c r="P371" s="22" t="n"/>
      <c r="Q371" s="23" t="n"/>
      <c r="R371" s="22" t="n"/>
      <c r="S371" s="23" t="n"/>
      <c r="T371" s="22" t="n"/>
      <c r="U371" s="23" t="n"/>
      <c r="V371" s="24" t="n"/>
      <c r="W371" s="25">
        <f>IF(ISNUMBER(U371),U371+IF(ISNUMBER(V371),V371,120),"")</f>
        <v/>
      </c>
      <c r="X371" s="22" t="n"/>
      <c r="Y371" s="23" t="n"/>
      <c r="Z371" s="22" t="n"/>
      <c r="AA371" s="23" t="n"/>
      <c r="AB371" s="24" t="n"/>
      <c r="AC371" s="26">
        <f>IF(ISNUMBER(AD371)=FALSE,"",IF(G371=AD371,"State license",IF(I371=AD371,"DEA registration",IF(K371=AD371,"State CSR",IF(M371=AD371,"Board certification",IF(Q371=AD371,"Malpractice",IF(S371=AD371,"Life support",IF(W371=AD371,"CAQH re-attestation",IF(Y371=AD371,"Privileges reappointment","Payer recredentialing")))))))))</f>
        <v/>
      </c>
      <c r="AD371" s="25">
        <f>IF(OR(AND(LEN(G371)&gt;0,ISNUMBER(G371)=FALSE),AND(LEN(I371)&gt;0,ISNUMBER(I371)=FALSE),AND(LEN(K371)&gt;0,ISNUMBER(K371)=FALSE),AND(LEN(M371)&gt;0,ISNUMBER(M371)=FALSE),AND(LEN(Q371)&gt;0,ISNUMBER(Q371)=FALSE),AND(LEN(S371)&gt;0,ISNUMBER(S371)=FALSE),AND(LEN(Y371)&gt;0,ISNUMBER(Y371)=FALSE),AND(LEN(AA371)&gt;0,ISNUMBER(AA371)=FALSE),AND(LEN(U371)&gt;0,ISNUMBER(U371)=FALSE)),"Check date",IF(COUNT(G371,I371,K371,M371,Q371,S371,W371,Y371,AA371)=0,"",MIN(G371,I371,K371,M371,Q371,S371,W371,Y371,AA371)))</f>
        <v/>
      </c>
      <c r="AE371" s="25">
        <f>IF(ISNUMBER(AD371),AD371-IF(ISNUMBER(AB371),AB371,30),"")</f>
        <v/>
      </c>
      <c r="AF371" s="27">
        <f>IF(AD371="","",IF(ISNUMBER(AD371),AD371-TODAY(),"Check date"))</f>
        <v/>
      </c>
      <c r="AG371" s="28">
        <f>IF(AF371="","",IF(ISNUMBER(AF371),IF(AF371&lt;0,"Expired",IF(AF371&lt;=30,"Due ≤30 days",IF(AF371&lt;=90,"Due ≤90 days","OK"))),"Check date"))</f>
        <v/>
      </c>
      <c r="AH371" s="22" t="n"/>
      <c r="AI371" s="22" t="n"/>
      <c r="AJ371" s="22" t="n"/>
      <c r="AK371" s="22" t="n"/>
    </row>
    <row r="372">
      <c r="A372" s="22" t="n"/>
      <c r="B372" s="22" t="n"/>
      <c r="C372" s="22" t="n"/>
      <c r="D372" s="22" t="n"/>
      <c r="E372" s="22" t="n"/>
      <c r="F372" s="22" t="n"/>
      <c r="G372" s="23" t="n"/>
      <c r="H372" s="22" t="n"/>
      <c r="I372" s="23" t="n"/>
      <c r="J372" s="22" t="n"/>
      <c r="K372" s="23" t="n"/>
      <c r="L372" s="22" t="n"/>
      <c r="M372" s="23" t="n"/>
      <c r="N372" s="22" t="n"/>
      <c r="O372" s="22" t="n"/>
      <c r="P372" s="22" t="n"/>
      <c r="Q372" s="23" t="n"/>
      <c r="R372" s="22" t="n"/>
      <c r="S372" s="23" t="n"/>
      <c r="T372" s="22" t="n"/>
      <c r="U372" s="23" t="n"/>
      <c r="V372" s="24" t="n"/>
      <c r="W372" s="25">
        <f>IF(ISNUMBER(U372),U372+IF(ISNUMBER(V372),V372,120),"")</f>
        <v/>
      </c>
      <c r="X372" s="22" t="n"/>
      <c r="Y372" s="23" t="n"/>
      <c r="Z372" s="22" t="n"/>
      <c r="AA372" s="23" t="n"/>
      <c r="AB372" s="24" t="n"/>
      <c r="AC372" s="26">
        <f>IF(ISNUMBER(AD372)=FALSE,"",IF(G372=AD372,"State license",IF(I372=AD372,"DEA registration",IF(K372=AD372,"State CSR",IF(M372=AD372,"Board certification",IF(Q372=AD372,"Malpractice",IF(S372=AD372,"Life support",IF(W372=AD372,"CAQH re-attestation",IF(Y372=AD372,"Privileges reappointment","Payer recredentialing")))))))))</f>
        <v/>
      </c>
      <c r="AD372" s="25">
        <f>IF(OR(AND(LEN(G372)&gt;0,ISNUMBER(G372)=FALSE),AND(LEN(I372)&gt;0,ISNUMBER(I372)=FALSE),AND(LEN(K372)&gt;0,ISNUMBER(K372)=FALSE),AND(LEN(M372)&gt;0,ISNUMBER(M372)=FALSE),AND(LEN(Q372)&gt;0,ISNUMBER(Q372)=FALSE),AND(LEN(S372)&gt;0,ISNUMBER(S372)=FALSE),AND(LEN(Y372)&gt;0,ISNUMBER(Y372)=FALSE),AND(LEN(AA372)&gt;0,ISNUMBER(AA372)=FALSE),AND(LEN(U372)&gt;0,ISNUMBER(U372)=FALSE)),"Check date",IF(COUNT(G372,I372,K372,M372,Q372,S372,W372,Y372,AA372)=0,"",MIN(G372,I372,K372,M372,Q372,S372,W372,Y372,AA372)))</f>
        <v/>
      </c>
      <c r="AE372" s="25">
        <f>IF(ISNUMBER(AD372),AD372-IF(ISNUMBER(AB372),AB372,30),"")</f>
        <v/>
      </c>
      <c r="AF372" s="27">
        <f>IF(AD372="","",IF(ISNUMBER(AD372),AD372-TODAY(),"Check date"))</f>
        <v/>
      </c>
      <c r="AG372" s="28">
        <f>IF(AF372="","",IF(ISNUMBER(AF372),IF(AF372&lt;0,"Expired",IF(AF372&lt;=30,"Due ≤30 days",IF(AF372&lt;=90,"Due ≤90 days","OK"))),"Check date"))</f>
        <v/>
      </c>
      <c r="AH372" s="22" t="n"/>
      <c r="AI372" s="22" t="n"/>
      <c r="AJ372" s="22" t="n"/>
      <c r="AK372" s="22" t="n"/>
    </row>
    <row r="373">
      <c r="A373" s="22" t="n"/>
      <c r="B373" s="22" t="n"/>
      <c r="C373" s="22" t="n"/>
      <c r="D373" s="22" t="n"/>
      <c r="E373" s="22" t="n"/>
      <c r="F373" s="22" t="n"/>
      <c r="G373" s="23" t="n"/>
      <c r="H373" s="22" t="n"/>
      <c r="I373" s="23" t="n"/>
      <c r="J373" s="22" t="n"/>
      <c r="K373" s="23" t="n"/>
      <c r="L373" s="22" t="n"/>
      <c r="M373" s="23" t="n"/>
      <c r="N373" s="22" t="n"/>
      <c r="O373" s="22" t="n"/>
      <c r="P373" s="22" t="n"/>
      <c r="Q373" s="23" t="n"/>
      <c r="R373" s="22" t="n"/>
      <c r="S373" s="23" t="n"/>
      <c r="T373" s="22" t="n"/>
      <c r="U373" s="23" t="n"/>
      <c r="V373" s="24" t="n"/>
      <c r="W373" s="25">
        <f>IF(ISNUMBER(U373),U373+IF(ISNUMBER(V373),V373,120),"")</f>
        <v/>
      </c>
      <c r="X373" s="22" t="n"/>
      <c r="Y373" s="23" t="n"/>
      <c r="Z373" s="22" t="n"/>
      <c r="AA373" s="23" t="n"/>
      <c r="AB373" s="24" t="n"/>
      <c r="AC373" s="26">
        <f>IF(ISNUMBER(AD373)=FALSE,"",IF(G373=AD373,"State license",IF(I373=AD373,"DEA registration",IF(K373=AD373,"State CSR",IF(M373=AD373,"Board certification",IF(Q373=AD373,"Malpractice",IF(S373=AD373,"Life support",IF(W373=AD373,"CAQH re-attestation",IF(Y373=AD373,"Privileges reappointment","Payer recredentialing")))))))))</f>
        <v/>
      </c>
      <c r="AD373" s="25">
        <f>IF(OR(AND(LEN(G373)&gt;0,ISNUMBER(G373)=FALSE),AND(LEN(I373)&gt;0,ISNUMBER(I373)=FALSE),AND(LEN(K373)&gt;0,ISNUMBER(K373)=FALSE),AND(LEN(M373)&gt;0,ISNUMBER(M373)=FALSE),AND(LEN(Q373)&gt;0,ISNUMBER(Q373)=FALSE),AND(LEN(S373)&gt;0,ISNUMBER(S373)=FALSE),AND(LEN(Y373)&gt;0,ISNUMBER(Y373)=FALSE),AND(LEN(AA373)&gt;0,ISNUMBER(AA373)=FALSE),AND(LEN(U373)&gt;0,ISNUMBER(U373)=FALSE)),"Check date",IF(COUNT(G373,I373,K373,M373,Q373,S373,W373,Y373,AA373)=0,"",MIN(G373,I373,K373,M373,Q373,S373,W373,Y373,AA373)))</f>
        <v/>
      </c>
      <c r="AE373" s="25">
        <f>IF(ISNUMBER(AD373),AD373-IF(ISNUMBER(AB373),AB373,30),"")</f>
        <v/>
      </c>
      <c r="AF373" s="27">
        <f>IF(AD373="","",IF(ISNUMBER(AD373),AD373-TODAY(),"Check date"))</f>
        <v/>
      </c>
      <c r="AG373" s="28">
        <f>IF(AF373="","",IF(ISNUMBER(AF373),IF(AF373&lt;0,"Expired",IF(AF373&lt;=30,"Due ≤30 days",IF(AF373&lt;=90,"Due ≤90 days","OK"))),"Check date"))</f>
        <v/>
      </c>
      <c r="AH373" s="22" t="n"/>
      <c r="AI373" s="22" t="n"/>
      <c r="AJ373" s="22" t="n"/>
      <c r="AK373" s="22" t="n"/>
    </row>
    <row r="374">
      <c r="A374" s="22" t="n"/>
      <c r="B374" s="22" t="n"/>
      <c r="C374" s="22" t="n"/>
      <c r="D374" s="22" t="n"/>
      <c r="E374" s="22" t="n"/>
      <c r="F374" s="22" t="n"/>
      <c r="G374" s="23" t="n"/>
      <c r="H374" s="22" t="n"/>
      <c r="I374" s="23" t="n"/>
      <c r="J374" s="22" t="n"/>
      <c r="K374" s="23" t="n"/>
      <c r="L374" s="22" t="n"/>
      <c r="M374" s="23" t="n"/>
      <c r="N374" s="22" t="n"/>
      <c r="O374" s="22" t="n"/>
      <c r="P374" s="22" t="n"/>
      <c r="Q374" s="23" t="n"/>
      <c r="R374" s="22" t="n"/>
      <c r="S374" s="23" t="n"/>
      <c r="T374" s="22" t="n"/>
      <c r="U374" s="23" t="n"/>
      <c r="V374" s="24" t="n"/>
      <c r="W374" s="25">
        <f>IF(ISNUMBER(U374),U374+IF(ISNUMBER(V374),V374,120),"")</f>
        <v/>
      </c>
      <c r="X374" s="22" t="n"/>
      <c r="Y374" s="23" t="n"/>
      <c r="Z374" s="22" t="n"/>
      <c r="AA374" s="23" t="n"/>
      <c r="AB374" s="24" t="n"/>
      <c r="AC374" s="26">
        <f>IF(ISNUMBER(AD374)=FALSE,"",IF(G374=AD374,"State license",IF(I374=AD374,"DEA registration",IF(K374=AD374,"State CSR",IF(M374=AD374,"Board certification",IF(Q374=AD374,"Malpractice",IF(S374=AD374,"Life support",IF(W374=AD374,"CAQH re-attestation",IF(Y374=AD374,"Privileges reappointment","Payer recredentialing")))))))))</f>
        <v/>
      </c>
      <c r="AD374" s="25">
        <f>IF(OR(AND(LEN(G374)&gt;0,ISNUMBER(G374)=FALSE),AND(LEN(I374)&gt;0,ISNUMBER(I374)=FALSE),AND(LEN(K374)&gt;0,ISNUMBER(K374)=FALSE),AND(LEN(M374)&gt;0,ISNUMBER(M374)=FALSE),AND(LEN(Q374)&gt;0,ISNUMBER(Q374)=FALSE),AND(LEN(S374)&gt;0,ISNUMBER(S374)=FALSE),AND(LEN(Y374)&gt;0,ISNUMBER(Y374)=FALSE),AND(LEN(AA374)&gt;0,ISNUMBER(AA374)=FALSE),AND(LEN(U374)&gt;0,ISNUMBER(U374)=FALSE)),"Check date",IF(COUNT(G374,I374,K374,M374,Q374,S374,W374,Y374,AA374)=0,"",MIN(G374,I374,K374,M374,Q374,S374,W374,Y374,AA374)))</f>
        <v/>
      </c>
      <c r="AE374" s="25">
        <f>IF(ISNUMBER(AD374),AD374-IF(ISNUMBER(AB374),AB374,30),"")</f>
        <v/>
      </c>
      <c r="AF374" s="27">
        <f>IF(AD374="","",IF(ISNUMBER(AD374),AD374-TODAY(),"Check date"))</f>
        <v/>
      </c>
      <c r="AG374" s="28">
        <f>IF(AF374="","",IF(ISNUMBER(AF374),IF(AF374&lt;0,"Expired",IF(AF374&lt;=30,"Due ≤30 days",IF(AF374&lt;=90,"Due ≤90 days","OK"))),"Check date"))</f>
        <v/>
      </c>
      <c r="AH374" s="22" t="n"/>
      <c r="AI374" s="22" t="n"/>
      <c r="AJ374" s="22" t="n"/>
      <c r="AK374" s="22" t="n"/>
    </row>
    <row r="375">
      <c r="A375" s="22" t="n"/>
      <c r="B375" s="22" t="n"/>
      <c r="C375" s="22" t="n"/>
      <c r="D375" s="22" t="n"/>
      <c r="E375" s="22" t="n"/>
      <c r="F375" s="22" t="n"/>
      <c r="G375" s="23" t="n"/>
      <c r="H375" s="22" t="n"/>
      <c r="I375" s="23" t="n"/>
      <c r="J375" s="22" t="n"/>
      <c r="K375" s="23" t="n"/>
      <c r="L375" s="22" t="n"/>
      <c r="M375" s="23" t="n"/>
      <c r="N375" s="22" t="n"/>
      <c r="O375" s="22" t="n"/>
      <c r="P375" s="22" t="n"/>
      <c r="Q375" s="23" t="n"/>
      <c r="R375" s="22" t="n"/>
      <c r="S375" s="23" t="n"/>
      <c r="T375" s="22" t="n"/>
      <c r="U375" s="23" t="n"/>
      <c r="V375" s="24" t="n"/>
      <c r="W375" s="25">
        <f>IF(ISNUMBER(U375),U375+IF(ISNUMBER(V375),V375,120),"")</f>
        <v/>
      </c>
      <c r="X375" s="22" t="n"/>
      <c r="Y375" s="23" t="n"/>
      <c r="Z375" s="22" t="n"/>
      <c r="AA375" s="23" t="n"/>
      <c r="AB375" s="24" t="n"/>
      <c r="AC375" s="26">
        <f>IF(ISNUMBER(AD375)=FALSE,"",IF(G375=AD375,"State license",IF(I375=AD375,"DEA registration",IF(K375=AD375,"State CSR",IF(M375=AD375,"Board certification",IF(Q375=AD375,"Malpractice",IF(S375=AD375,"Life support",IF(W375=AD375,"CAQH re-attestation",IF(Y375=AD375,"Privileges reappointment","Payer recredentialing")))))))))</f>
        <v/>
      </c>
      <c r="AD375" s="25">
        <f>IF(OR(AND(LEN(G375)&gt;0,ISNUMBER(G375)=FALSE),AND(LEN(I375)&gt;0,ISNUMBER(I375)=FALSE),AND(LEN(K375)&gt;0,ISNUMBER(K375)=FALSE),AND(LEN(M375)&gt;0,ISNUMBER(M375)=FALSE),AND(LEN(Q375)&gt;0,ISNUMBER(Q375)=FALSE),AND(LEN(S375)&gt;0,ISNUMBER(S375)=FALSE),AND(LEN(Y375)&gt;0,ISNUMBER(Y375)=FALSE),AND(LEN(AA375)&gt;0,ISNUMBER(AA375)=FALSE),AND(LEN(U375)&gt;0,ISNUMBER(U375)=FALSE)),"Check date",IF(COUNT(G375,I375,K375,M375,Q375,S375,W375,Y375,AA375)=0,"",MIN(G375,I375,K375,M375,Q375,S375,W375,Y375,AA375)))</f>
        <v/>
      </c>
      <c r="AE375" s="25">
        <f>IF(ISNUMBER(AD375),AD375-IF(ISNUMBER(AB375),AB375,30),"")</f>
        <v/>
      </c>
      <c r="AF375" s="27">
        <f>IF(AD375="","",IF(ISNUMBER(AD375),AD375-TODAY(),"Check date"))</f>
        <v/>
      </c>
      <c r="AG375" s="28">
        <f>IF(AF375="","",IF(ISNUMBER(AF375),IF(AF375&lt;0,"Expired",IF(AF375&lt;=30,"Due ≤30 days",IF(AF375&lt;=90,"Due ≤90 days","OK"))),"Check date"))</f>
        <v/>
      </c>
      <c r="AH375" s="22" t="n"/>
      <c r="AI375" s="22" t="n"/>
      <c r="AJ375" s="22" t="n"/>
      <c r="AK375" s="22" t="n"/>
    </row>
    <row r="376">
      <c r="A376" s="22" t="n"/>
      <c r="B376" s="22" t="n"/>
      <c r="C376" s="22" t="n"/>
      <c r="D376" s="22" t="n"/>
      <c r="E376" s="22" t="n"/>
      <c r="F376" s="22" t="n"/>
      <c r="G376" s="23" t="n"/>
      <c r="H376" s="22" t="n"/>
      <c r="I376" s="23" t="n"/>
      <c r="J376" s="22" t="n"/>
      <c r="K376" s="23" t="n"/>
      <c r="L376" s="22" t="n"/>
      <c r="M376" s="23" t="n"/>
      <c r="N376" s="22" t="n"/>
      <c r="O376" s="22" t="n"/>
      <c r="P376" s="22" t="n"/>
      <c r="Q376" s="23" t="n"/>
      <c r="R376" s="22" t="n"/>
      <c r="S376" s="23" t="n"/>
      <c r="T376" s="22" t="n"/>
      <c r="U376" s="23" t="n"/>
      <c r="V376" s="24" t="n"/>
      <c r="W376" s="25">
        <f>IF(ISNUMBER(U376),U376+IF(ISNUMBER(V376),V376,120),"")</f>
        <v/>
      </c>
      <c r="X376" s="22" t="n"/>
      <c r="Y376" s="23" t="n"/>
      <c r="Z376" s="22" t="n"/>
      <c r="AA376" s="23" t="n"/>
      <c r="AB376" s="24" t="n"/>
      <c r="AC376" s="26">
        <f>IF(ISNUMBER(AD376)=FALSE,"",IF(G376=AD376,"State license",IF(I376=AD376,"DEA registration",IF(K376=AD376,"State CSR",IF(M376=AD376,"Board certification",IF(Q376=AD376,"Malpractice",IF(S376=AD376,"Life support",IF(W376=AD376,"CAQH re-attestation",IF(Y376=AD376,"Privileges reappointment","Payer recredentialing")))))))))</f>
        <v/>
      </c>
      <c r="AD376" s="25">
        <f>IF(OR(AND(LEN(G376)&gt;0,ISNUMBER(G376)=FALSE),AND(LEN(I376)&gt;0,ISNUMBER(I376)=FALSE),AND(LEN(K376)&gt;0,ISNUMBER(K376)=FALSE),AND(LEN(M376)&gt;0,ISNUMBER(M376)=FALSE),AND(LEN(Q376)&gt;0,ISNUMBER(Q376)=FALSE),AND(LEN(S376)&gt;0,ISNUMBER(S376)=FALSE),AND(LEN(Y376)&gt;0,ISNUMBER(Y376)=FALSE),AND(LEN(AA376)&gt;0,ISNUMBER(AA376)=FALSE),AND(LEN(U376)&gt;0,ISNUMBER(U376)=FALSE)),"Check date",IF(COUNT(G376,I376,K376,M376,Q376,S376,W376,Y376,AA376)=0,"",MIN(G376,I376,K376,M376,Q376,S376,W376,Y376,AA376)))</f>
        <v/>
      </c>
      <c r="AE376" s="25">
        <f>IF(ISNUMBER(AD376),AD376-IF(ISNUMBER(AB376),AB376,30),"")</f>
        <v/>
      </c>
      <c r="AF376" s="27">
        <f>IF(AD376="","",IF(ISNUMBER(AD376),AD376-TODAY(),"Check date"))</f>
        <v/>
      </c>
      <c r="AG376" s="28">
        <f>IF(AF376="","",IF(ISNUMBER(AF376),IF(AF376&lt;0,"Expired",IF(AF376&lt;=30,"Due ≤30 days",IF(AF376&lt;=90,"Due ≤90 days","OK"))),"Check date"))</f>
        <v/>
      </c>
      <c r="AH376" s="22" t="n"/>
      <c r="AI376" s="22" t="n"/>
      <c r="AJ376" s="22" t="n"/>
      <c r="AK376" s="22" t="n"/>
    </row>
    <row r="377">
      <c r="A377" s="22" t="n"/>
      <c r="B377" s="22" t="n"/>
      <c r="C377" s="22" t="n"/>
      <c r="D377" s="22" t="n"/>
      <c r="E377" s="22" t="n"/>
      <c r="F377" s="22" t="n"/>
      <c r="G377" s="23" t="n"/>
      <c r="H377" s="22" t="n"/>
      <c r="I377" s="23" t="n"/>
      <c r="J377" s="22" t="n"/>
      <c r="K377" s="23" t="n"/>
      <c r="L377" s="22" t="n"/>
      <c r="M377" s="23" t="n"/>
      <c r="N377" s="22" t="n"/>
      <c r="O377" s="22" t="n"/>
      <c r="P377" s="22" t="n"/>
      <c r="Q377" s="23" t="n"/>
      <c r="R377" s="22" t="n"/>
      <c r="S377" s="23" t="n"/>
      <c r="T377" s="22" t="n"/>
      <c r="U377" s="23" t="n"/>
      <c r="V377" s="24" t="n"/>
      <c r="W377" s="25">
        <f>IF(ISNUMBER(U377),U377+IF(ISNUMBER(V377),V377,120),"")</f>
        <v/>
      </c>
      <c r="X377" s="22" t="n"/>
      <c r="Y377" s="23" t="n"/>
      <c r="Z377" s="22" t="n"/>
      <c r="AA377" s="23" t="n"/>
      <c r="AB377" s="24" t="n"/>
      <c r="AC377" s="26">
        <f>IF(ISNUMBER(AD377)=FALSE,"",IF(G377=AD377,"State license",IF(I377=AD377,"DEA registration",IF(K377=AD377,"State CSR",IF(M377=AD377,"Board certification",IF(Q377=AD377,"Malpractice",IF(S377=AD377,"Life support",IF(W377=AD377,"CAQH re-attestation",IF(Y377=AD377,"Privileges reappointment","Payer recredentialing")))))))))</f>
        <v/>
      </c>
      <c r="AD377" s="25">
        <f>IF(OR(AND(LEN(G377)&gt;0,ISNUMBER(G377)=FALSE),AND(LEN(I377)&gt;0,ISNUMBER(I377)=FALSE),AND(LEN(K377)&gt;0,ISNUMBER(K377)=FALSE),AND(LEN(M377)&gt;0,ISNUMBER(M377)=FALSE),AND(LEN(Q377)&gt;0,ISNUMBER(Q377)=FALSE),AND(LEN(S377)&gt;0,ISNUMBER(S377)=FALSE),AND(LEN(Y377)&gt;0,ISNUMBER(Y377)=FALSE),AND(LEN(AA377)&gt;0,ISNUMBER(AA377)=FALSE),AND(LEN(U377)&gt;0,ISNUMBER(U377)=FALSE)),"Check date",IF(COUNT(G377,I377,K377,M377,Q377,S377,W377,Y377,AA377)=0,"",MIN(G377,I377,K377,M377,Q377,S377,W377,Y377,AA377)))</f>
        <v/>
      </c>
      <c r="AE377" s="25">
        <f>IF(ISNUMBER(AD377),AD377-IF(ISNUMBER(AB377),AB377,30),"")</f>
        <v/>
      </c>
      <c r="AF377" s="27">
        <f>IF(AD377="","",IF(ISNUMBER(AD377),AD377-TODAY(),"Check date"))</f>
        <v/>
      </c>
      <c r="AG377" s="28">
        <f>IF(AF377="","",IF(ISNUMBER(AF377),IF(AF377&lt;0,"Expired",IF(AF377&lt;=30,"Due ≤30 days",IF(AF377&lt;=90,"Due ≤90 days","OK"))),"Check date"))</f>
        <v/>
      </c>
      <c r="AH377" s="22" t="n"/>
      <c r="AI377" s="22" t="n"/>
      <c r="AJ377" s="22" t="n"/>
      <c r="AK377" s="22" t="n"/>
    </row>
    <row r="378">
      <c r="A378" s="22" t="n"/>
      <c r="B378" s="22" t="n"/>
      <c r="C378" s="22" t="n"/>
      <c r="D378" s="22" t="n"/>
      <c r="E378" s="22" t="n"/>
      <c r="F378" s="22" t="n"/>
      <c r="G378" s="23" t="n"/>
      <c r="H378" s="22" t="n"/>
      <c r="I378" s="23" t="n"/>
      <c r="J378" s="22" t="n"/>
      <c r="K378" s="23" t="n"/>
      <c r="L378" s="22" t="n"/>
      <c r="M378" s="23" t="n"/>
      <c r="N378" s="22" t="n"/>
      <c r="O378" s="22" t="n"/>
      <c r="P378" s="22" t="n"/>
      <c r="Q378" s="23" t="n"/>
      <c r="R378" s="22" t="n"/>
      <c r="S378" s="23" t="n"/>
      <c r="T378" s="22" t="n"/>
      <c r="U378" s="23" t="n"/>
      <c r="V378" s="24" t="n"/>
      <c r="W378" s="25">
        <f>IF(ISNUMBER(U378),U378+IF(ISNUMBER(V378),V378,120),"")</f>
        <v/>
      </c>
      <c r="X378" s="22" t="n"/>
      <c r="Y378" s="23" t="n"/>
      <c r="Z378" s="22" t="n"/>
      <c r="AA378" s="23" t="n"/>
      <c r="AB378" s="24" t="n"/>
      <c r="AC378" s="26">
        <f>IF(ISNUMBER(AD378)=FALSE,"",IF(G378=AD378,"State license",IF(I378=AD378,"DEA registration",IF(K378=AD378,"State CSR",IF(M378=AD378,"Board certification",IF(Q378=AD378,"Malpractice",IF(S378=AD378,"Life support",IF(W378=AD378,"CAQH re-attestation",IF(Y378=AD378,"Privileges reappointment","Payer recredentialing")))))))))</f>
        <v/>
      </c>
      <c r="AD378" s="25">
        <f>IF(OR(AND(LEN(G378)&gt;0,ISNUMBER(G378)=FALSE),AND(LEN(I378)&gt;0,ISNUMBER(I378)=FALSE),AND(LEN(K378)&gt;0,ISNUMBER(K378)=FALSE),AND(LEN(M378)&gt;0,ISNUMBER(M378)=FALSE),AND(LEN(Q378)&gt;0,ISNUMBER(Q378)=FALSE),AND(LEN(S378)&gt;0,ISNUMBER(S378)=FALSE),AND(LEN(Y378)&gt;0,ISNUMBER(Y378)=FALSE),AND(LEN(AA378)&gt;0,ISNUMBER(AA378)=FALSE),AND(LEN(U378)&gt;0,ISNUMBER(U378)=FALSE)),"Check date",IF(COUNT(G378,I378,K378,M378,Q378,S378,W378,Y378,AA378)=0,"",MIN(G378,I378,K378,M378,Q378,S378,W378,Y378,AA378)))</f>
        <v/>
      </c>
      <c r="AE378" s="25">
        <f>IF(ISNUMBER(AD378),AD378-IF(ISNUMBER(AB378),AB378,30),"")</f>
        <v/>
      </c>
      <c r="AF378" s="27">
        <f>IF(AD378="","",IF(ISNUMBER(AD378),AD378-TODAY(),"Check date"))</f>
        <v/>
      </c>
      <c r="AG378" s="28">
        <f>IF(AF378="","",IF(ISNUMBER(AF378),IF(AF378&lt;0,"Expired",IF(AF378&lt;=30,"Due ≤30 days",IF(AF378&lt;=90,"Due ≤90 days","OK"))),"Check date"))</f>
        <v/>
      </c>
      <c r="AH378" s="22" t="n"/>
      <c r="AI378" s="22" t="n"/>
      <c r="AJ378" s="22" t="n"/>
      <c r="AK378" s="22" t="n"/>
    </row>
    <row r="379">
      <c r="A379" s="22" t="n"/>
      <c r="B379" s="22" t="n"/>
      <c r="C379" s="22" t="n"/>
      <c r="D379" s="22" t="n"/>
      <c r="E379" s="22" t="n"/>
      <c r="F379" s="22" t="n"/>
      <c r="G379" s="23" t="n"/>
      <c r="H379" s="22" t="n"/>
      <c r="I379" s="23" t="n"/>
      <c r="J379" s="22" t="n"/>
      <c r="K379" s="23" t="n"/>
      <c r="L379" s="22" t="n"/>
      <c r="M379" s="23" t="n"/>
      <c r="N379" s="22" t="n"/>
      <c r="O379" s="22" t="n"/>
      <c r="P379" s="22" t="n"/>
      <c r="Q379" s="23" t="n"/>
      <c r="R379" s="22" t="n"/>
      <c r="S379" s="23" t="n"/>
      <c r="T379" s="22" t="n"/>
      <c r="U379" s="23" t="n"/>
      <c r="V379" s="24" t="n"/>
      <c r="W379" s="25">
        <f>IF(ISNUMBER(U379),U379+IF(ISNUMBER(V379),V379,120),"")</f>
        <v/>
      </c>
      <c r="X379" s="22" t="n"/>
      <c r="Y379" s="23" t="n"/>
      <c r="Z379" s="22" t="n"/>
      <c r="AA379" s="23" t="n"/>
      <c r="AB379" s="24" t="n"/>
      <c r="AC379" s="26">
        <f>IF(ISNUMBER(AD379)=FALSE,"",IF(G379=AD379,"State license",IF(I379=AD379,"DEA registration",IF(K379=AD379,"State CSR",IF(M379=AD379,"Board certification",IF(Q379=AD379,"Malpractice",IF(S379=AD379,"Life support",IF(W379=AD379,"CAQH re-attestation",IF(Y379=AD379,"Privileges reappointment","Payer recredentialing")))))))))</f>
        <v/>
      </c>
      <c r="AD379" s="25">
        <f>IF(OR(AND(LEN(G379)&gt;0,ISNUMBER(G379)=FALSE),AND(LEN(I379)&gt;0,ISNUMBER(I379)=FALSE),AND(LEN(K379)&gt;0,ISNUMBER(K379)=FALSE),AND(LEN(M379)&gt;0,ISNUMBER(M379)=FALSE),AND(LEN(Q379)&gt;0,ISNUMBER(Q379)=FALSE),AND(LEN(S379)&gt;0,ISNUMBER(S379)=FALSE),AND(LEN(Y379)&gt;0,ISNUMBER(Y379)=FALSE),AND(LEN(AA379)&gt;0,ISNUMBER(AA379)=FALSE),AND(LEN(U379)&gt;0,ISNUMBER(U379)=FALSE)),"Check date",IF(COUNT(G379,I379,K379,M379,Q379,S379,W379,Y379,AA379)=0,"",MIN(G379,I379,K379,M379,Q379,S379,W379,Y379,AA379)))</f>
        <v/>
      </c>
      <c r="AE379" s="25">
        <f>IF(ISNUMBER(AD379),AD379-IF(ISNUMBER(AB379),AB379,30),"")</f>
        <v/>
      </c>
      <c r="AF379" s="27">
        <f>IF(AD379="","",IF(ISNUMBER(AD379),AD379-TODAY(),"Check date"))</f>
        <v/>
      </c>
      <c r="AG379" s="28">
        <f>IF(AF379="","",IF(ISNUMBER(AF379),IF(AF379&lt;0,"Expired",IF(AF379&lt;=30,"Due ≤30 days",IF(AF379&lt;=90,"Due ≤90 days","OK"))),"Check date"))</f>
        <v/>
      </c>
      <c r="AH379" s="22" t="n"/>
      <c r="AI379" s="22" t="n"/>
      <c r="AJ379" s="22" t="n"/>
      <c r="AK379" s="22" t="n"/>
    </row>
    <row r="380">
      <c r="A380" s="22" t="n"/>
      <c r="B380" s="22" t="n"/>
      <c r="C380" s="22" t="n"/>
      <c r="D380" s="22" t="n"/>
      <c r="E380" s="22" t="n"/>
      <c r="F380" s="22" t="n"/>
      <c r="G380" s="23" t="n"/>
      <c r="H380" s="22" t="n"/>
      <c r="I380" s="23" t="n"/>
      <c r="J380" s="22" t="n"/>
      <c r="K380" s="23" t="n"/>
      <c r="L380" s="22" t="n"/>
      <c r="M380" s="23" t="n"/>
      <c r="N380" s="22" t="n"/>
      <c r="O380" s="22" t="n"/>
      <c r="P380" s="22" t="n"/>
      <c r="Q380" s="23" t="n"/>
      <c r="R380" s="22" t="n"/>
      <c r="S380" s="23" t="n"/>
      <c r="T380" s="22" t="n"/>
      <c r="U380" s="23" t="n"/>
      <c r="V380" s="24" t="n"/>
      <c r="W380" s="25">
        <f>IF(ISNUMBER(U380),U380+IF(ISNUMBER(V380),V380,120),"")</f>
        <v/>
      </c>
      <c r="X380" s="22" t="n"/>
      <c r="Y380" s="23" t="n"/>
      <c r="Z380" s="22" t="n"/>
      <c r="AA380" s="23" t="n"/>
      <c r="AB380" s="24" t="n"/>
      <c r="AC380" s="26">
        <f>IF(ISNUMBER(AD380)=FALSE,"",IF(G380=AD380,"State license",IF(I380=AD380,"DEA registration",IF(K380=AD380,"State CSR",IF(M380=AD380,"Board certification",IF(Q380=AD380,"Malpractice",IF(S380=AD380,"Life support",IF(W380=AD380,"CAQH re-attestation",IF(Y380=AD380,"Privileges reappointment","Payer recredentialing")))))))))</f>
        <v/>
      </c>
      <c r="AD380" s="25">
        <f>IF(OR(AND(LEN(G380)&gt;0,ISNUMBER(G380)=FALSE),AND(LEN(I380)&gt;0,ISNUMBER(I380)=FALSE),AND(LEN(K380)&gt;0,ISNUMBER(K380)=FALSE),AND(LEN(M380)&gt;0,ISNUMBER(M380)=FALSE),AND(LEN(Q380)&gt;0,ISNUMBER(Q380)=FALSE),AND(LEN(S380)&gt;0,ISNUMBER(S380)=FALSE),AND(LEN(Y380)&gt;0,ISNUMBER(Y380)=FALSE),AND(LEN(AA380)&gt;0,ISNUMBER(AA380)=FALSE),AND(LEN(U380)&gt;0,ISNUMBER(U380)=FALSE)),"Check date",IF(COUNT(G380,I380,K380,M380,Q380,S380,W380,Y380,AA380)=0,"",MIN(G380,I380,K380,M380,Q380,S380,W380,Y380,AA380)))</f>
        <v/>
      </c>
      <c r="AE380" s="25">
        <f>IF(ISNUMBER(AD380),AD380-IF(ISNUMBER(AB380),AB380,30),"")</f>
        <v/>
      </c>
      <c r="AF380" s="27">
        <f>IF(AD380="","",IF(ISNUMBER(AD380),AD380-TODAY(),"Check date"))</f>
        <v/>
      </c>
      <c r="AG380" s="28">
        <f>IF(AF380="","",IF(ISNUMBER(AF380),IF(AF380&lt;0,"Expired",IF(AF380&lt;=30,"Due ≤30 days",IF(AF380&lt;=90,"Due ≤90 days","OK"))),"Check date"))</f>
        <v/>
      </c>
      <c r="AH380" s="22" t="n"/>
      <c r="AI380" s="22" t="n"/>
      <c r="AJ380" s="22" t="n"/>
      <c r="AK380" s="22" t="n"/>
    </row>
    <row r="381">
      <c r="A381" s="22" t="n"/>
      <c r="B381" s="22" t="n"/>
      <c r="C381" s="22" t="n"/>
      <c r="D381" s="22" t="n"/>
      <c r="E381" s="22" t="n"/>
      <c r="F381" s="22" t="n"/>
      <c r="G381" s="23" t="n"/>
      <c r="H381" s="22" t="n"/>
      <c r="I381" s="23" t="n"/>
      <c r="J381" s="22" t="n"/>
      <c r="K381" s="23" t="n"/>
      <c r="L381" s="22" t="n"/>
      <c r="M381" s="23" t="n"/>
      <c r="N381" s="22" t="n"/>
      <c r="O381" s="22" t="n"/>
      <c r="P381" s="22" t="n"/>
      <c r="Q381" s="23" t="n"/>
      <c r="R381" s="22" t="n"/>
      <c r="S381" s="23" t="n"/>
      <c r="T381" s="22" t="n"/>
      <c r="U381" s="23" t="n"/>
      <c r="V381" s="24" t="n"/>
      <c r="W381" s="25">
        <f>IF(ISNUMBER(U381),U381+IF(ISNUMBER(V381),V381,120),"")</f>
        <v/>
      </c>
      <c r="X381" s="22" t="n"/>
      <c r="Y381" s="23" t="n"/>
      <c r="Z381" s="22" t="n"/>
      <c r="AA381" s="23" t="n"/>
      <c r="AB381" s="24" t="n"/>
      <c r="AC381" s="26">
        <f>IF(ISNUMBER(AD381)=FALSE,"",IF(G381=AD381,"State license",IF(I381=AD381,"DEA registration",IF(K381=AD381,"State CSR",IF(M381=AD381,"Board certification",IF(Q381=AD381,"Malpractice",IF(S381=AD381,"Life support",IF(W381=AD381,"CAQH re-attestation",IF(Y381=AD381,"Privileges reappointment","Payer recredentialing")))))))))</f>
        <v/>
      </c>
      <c r="AD381" s="25">
        <f>IF(OR(AND(LEN(G381)&gt;0,ISNUMBER(G381)=FALSE),AND(LEN(I381)&gt;0,ISNUMBER(I381)=FALSE),AND(LEN(K381)&gt;0,ISNUMBER(K381)=FALSE),AND(LEN(M381)&gt;0,ISNUMBER(M381)=FALSE),AND(LEN(Q381)&gt;0,ISNUMBER(Q381)=FALSE),AND(LEN(S381)&gt;0,ISNUMBER(S381)=FALSE),AND(LEN(Y381)&gt;0,ISNUMBER(Y381)=FALSE),AND(LEN(AA381)&gt;0,ISNUMBER(AA381)=FALSE),AND(LEN(U381)&gt;0,ISNUMBER(U381)=FALSE)),"Check date",IF(COUNT(G381,I381,K381,M381,Q381,S381,W381,Y381,AA381)=0,"",MIN(G381,I381,K381,M381,Q381,S381,W381,Y381,AA381)))</f>
        <v/>
      </c>
      <c r="AE381" s="25">
        <f>IF(ISNUMBER(AD381),AD381-IF(ISNUMBER(AB381),AB381,30),"")</f>
        <v/>
      </c>
      <c r="AF381" s="27">
        <f>IF(AD381="","",IF(ISNUMBER(AD381),AD381-TODAY(),"Check date"))</f>
        <v/>
      </c>
      <c r="AG381" s="28">
        <f>IF(AF381="","",IF(ISNUMBER(AF381),IF(AF381&lt;0,"Expired",IF(AF381&lt;=30,"Due ≤30 days",IF(AF381&lt;=90,"Due ≤90 days","OK"))),"Check date"))</f>
        <v/>
      </c>
      <c r="AH381" s="22" t="n"/>
      <c r="AI381" s="22" t="n"/>
      <c r="AJ381" s="22" t="n"/>
      <c r="AK381" s="22" t="n"/>
    </row>
    <row r="382">
      <c r="A382" s="22" t="n"/>
      <c r="B382" s="22" t="n"/>
      <c r="C382" s="22" t="n"/>
      <c r="D382" s="22" t="n"/>
      <c r="E382" s="22" t="n"/>
      <c r="F382" s="22" t="n"/>
      <c r="G382" s="23" t="n"/>
      <c r="H382" s="22" t="n"/>
      <c r="I382" s="23" t="n"/>
      <c r="J382" s="22" t="n"/>
      <c r="K382" s="23" t="n"/>
      <c r="L382" s="22" t="n"/>
      <c r="M382" s="23" t="n"/>
      <c r="N382" s="22" t="n"/>
      <c r="O382" s="22" t="n"/>
      <c r="P382" s="22" t="n"/>
      <c r="Q382" s="23" t="n"/>
      <c r="R382" s="22" t="n"/>
      <c r="S382" s="23" t="n"/>
      <c r="T382" s="22" t="n"/>
      <c r="U382" s="23" t="n"/>
      <c r="V382" s="24" t="n"/>
      <c r="W382" s="25">
        <f>IF(ISNUMBER(U382),U382+IF(ISNUMBER(V382),V382,120),"")</f>
        <v/>
      </c>
      <c r="X382" s="22" t="n"/>
      <c r="Y382" s="23" t="n"/>
      <c r="Z382" s="22" t="n"/>
      <c r="AA382" s="23" t="n"/>
      <c r="AB382" s="24" t="n"/>
      <c r="AC382" s="26">
        <f>IF(ISNUMBER(AD382)=FALSE,"",IF(G382=AD382,"State license",IF(I382=AD382,"DEA registration",IF(K382=AD382,"State CSR",IF(M382=AD382,"Board certification",IF(Q382=AD382,"Malpractice",IF(S382=AD382,"Life support",IF(W382=AD382,"CAQH re-attestation",IF(Y382=AD382,"Privileges reappointment","Payer recredentialing")))))))))</f>
        <v/>
      </c>
      <c r="AD382" s="25">
        <f>IF(OR(AND(LEN(G382)&gt;0,ISNUMBER(G382)=FALSE),AND(LEN(I382)&gt;0,ISNUMBER(I382)=FALSE),AND(LEN(K382)&gt;0,ISNUMBER(K382)=FALSE),AND(LEN(M382)&gt;0,ISNUMBER(M382)=FALSE),AND(LEN(Q382)&gt;0,ISNUMBER(Q382)=FALSE),AND(LEN(S382)&gt;0,ISNUMBER(S382)=FALSE),AND(LEN(Y382)&gt;0,ISNUMBER(Y382)=FALSE),AND(LEN(AA382)&gt;0,ISNUMBER(AA382)=FALSE),AND(LEN(U382)&gt;0,ISNUMBER(U382)=FALSE)),"Check date",IF(COUNT(G382,I382,K382,M382,Q382,S382,W382,Y382,AA382)=0,"",MIN(G382,I382,K382,M382,Q382,S382,W382,Y382,AA382)))</f>
        <v/>
      </c>
      <c r="AE382" s="25">
        <f>IF(ISNUMBER(AD382),AD382-IF(ISNUMBER(AB382),AB382,30),"")</f>
        <v/>
      </c>
      <c r="AF382" s="27">
        <f>IF(AD382="","",IF(ISNUMBER(AD382),AD382-TODAY(),"Check date"))</f>
        <v/>
      </c>
      <c r="AG382" s="28">
        <f>IF(AF382="","",IF(ISNUMBER(AF382),IF(AF382&lt;0,"Expired",IF(AF382&lt;=30,"Due ≤30 days",IF(AF382&lt;=90,"Due ≤90 days","OK"))),"Check date"))</f>
        <v/>
      </c>
      <c r="AH382" s="22" t="n"/>
      <c r="AI382" s="22" t="n"/>
      <c r="AJ382" s="22" t="n"/>
      <c r="AK382" s="22" t="n"/>
    </row>
    <row r="383">
      <c r="A383" s="22" t="n"/>
      <c r="B383" s="22" t="n"/>
      <c r="C383" s="22" t="n"/>
      <c r="D383" s="22" t="n"/>
      <c r="E383" s="22" t="n"/>
      <c r="F383" s="22" t="n"/>
      <c r="G383" s="23" t="n"/>
      <c r="H383" s="22" t="n"/>
      <c r="I383" s="23" t="n"/>
      <c r="J383" s="22" t="n"/>
      <c r="K383" s="23" t="n"/>
      <c r="L383" s="22" t="n"/>
      <c r="M383" s="23" t="n"/>
      <c r="N383" s="22" t="n"/>
      <c r="O383" s="22" t="n"/>
      <c r="P383" s="22" t="n"/>
      <c r="Q383" s="23" t="n"/>
      <c r="R383" s="22" t="n"/>
      <c r="S383" s="23" t="n"/>
      <c r="T383" s="22" t="n"/>
      <c r="U383" s="23" t="n"/>
      <c r="V383" s="24" t="n"/>
      <c r="W383" s="25">
        <f>IF(ISNUMBER(U383),U383+IF(ISNUMBER(V383),V383,120),"")</f>
        <v/>
      </c>
      <c r="X383" s="22" t="n"/>
      <c r="Y383" s="23" t="n"/>
      <c r="Z383" s="22" t="n"/>
      <c r="AA383" s="23" t="n"/>
      <c r="AB383" s="24" t="n"/>
      <c r="AC383" s="26">
        <f>IF(ISNUMBER(AD383)=FALSE,"",IF(G383=AD383,"State license",IF(I383=AD383,"DEA registration",IF(K383=AD383,"State CSR",IF(M383=AD383,"Board certification",IF(Q383=AD383,"Malpractice",IF(S383=AD383,"Life support",IF(W383=AD383,"CAQH re-attestation",IF(Y383=AD383,"Privileges reappointment","Payer recredentialing")))))))))</f>
        <v/>
      </c>
      <c r="AD383" s="25">
        <f>IF(OR(AND(LEN(G383)&gt;0,ISNUMBER(G383)=FALSE),AND(LEN(I383)&gt;0,ISNUMBER(I383)=FALSE),AND(LEN(K383)&gt;0,ISNUMBER(K383)=FALSE),AND(LEN(M383)&gt;0,ISNUMBER(M383)=FALSE),AND(LEN(Q383)&gt;0,ISNUMBER(Q383)=FALSE),AND(LEN(S383)&gt;0,ISNUMBER(S383)=FALSE),AND(LEN(Y383)&gt;0,ISNUMBER(Y383)=FALSE),AND(LEN(AA383)&gt;0,ISNUMBER(AA383)=FALSE),AND(LEN(U383)&gt;0,ISNUMBER(U383)=FALSE)),"Check date",IF(COUNT(G383,I383,K383,M383,Q383,S383,W383,Y383,AA383)=0,"",MIN(G383,I383,K383,M383,Q383,S383,W383,Y383,AA383)))</f>
        <v/>
      </c>
      <c r="AE383" s="25">
        <f>IF(ISNUMBER(AD383),AD383-IF(ISNUMBER(AB383),AB383,30),"")</f>
        <v/>
      </c>
      <c r="AF383" s="27">
        <f>IF(AD383="","",IF(ISNUMBER(AD383),AD383-TODAY(),"Check date"))</f>
        <v/>
      </c>
      <c r="AG383" s="28">
        <f>IF(AF383="","",IF(ISNUMBER(AF383),IF(AF383&lt;0,"Expired",IF(AF383&lt;=30,"Due ≤30 days",IF(AF383&lt;=90,"Due ≤90 days","OK"))),"Check date"))</f>
        <v/>
      </c>
      <c r="AH383" s="22" t="n"/>
      <c r="AI383" s="22" t="n"/>
      <c r="AJ383" s="22" t="n"/>
      <c r="AK383" s="22" t="n"/>
    </row>
    <row r="384">
      <c r="A384" s="22" t="n"/>
      <c r="B384" s="22" t="n"/>
      <c r="C384" s="22" t="n"/>
      <c r="D384" s="22" t="n"/>
      <c r="E384" s="22" t="n"/>
      <c r="F384" s="22" t="n"/>
      <c r="G384" s="23" t="n"/>
      <c r="H384" s="22" t="n"/>
      <c r="I384" s="23" t="n"/>
      <c r="J384" s="22" t="n"/>
      <c r="K384" s="23" t="n"/>
      <c r="L384" s="22" t="n"/>
      <c r="M384" s="23" t="n"/>
      <c r="N384" s="22" t="n"/>
      <c r="O384" s="22" t="n"/>
      <c r="P384" s="22" t="n"/>
      <c r="Q384" s="23" t="n"/>
      <c r="R384" s="22" t="n"/>
      <c r="S384" s="23" t="n"/>
      <c r="T384" s="22" t="n"/>
      <c r="U384" s="23" t="n"/>
      <c r="V384" s="24" t="n"/>
      <c r="W384" s="25">
        <f>IF(ISNUMBER(U384),U384+IF(ISNUMBER(V384),V384,120),"")</f>
        <v/>
      </c>
      <c r="X384" s="22" t="n"/>
      <c r="Y384" s="23" t="n"/>
      <c r="Z384" s="22" t="n"/>
      <c r="AA384" s="23" t="n"/>
      <c r="AB384" s="24" t="n"/>
      <c r="AC384" s="26">
        <f>IF(ISNUMBER(AD384)=FALSE,"",IF(G384=AD384,"State license",IF(I384=AD384,"DEA registration",IF(K384=AD384,"State CSR",IF(M384=AD384,"Board certification",IF(Q384=AD384,"Malpractice",IF(S384=AD384,"Life support",IF(W384=AD384,"CAQH re-attestation",IF(Y384=AD384,"Privileges reappointment","Payer recredentialing")))))))))</f>
        <v/>
      </c>
      <c r="AD384" s="25">
        <f>IF(OR(AND(LEN(G384)&gt;0,ISNUMBER(G384)=FALSE),AND(LEN(I384)&gt;0,ISNUMBER(I384)=FALSE),AND(LEN(K384)&gt;0,ISNUMBER(K384)=FALSE),AND(LEN(M384)&gt;0,ISNUMBER(M384)=FALSE),AND(LEN(Q384)&gt;0,ISNUMBER(Q384)=FALSE),AND(LEN(S384)&gt;0,ISNUMBER(S384)=FALSE),AND(LEN(Y384)&gt;0,ISNUMBER(Y384)=FALSE),AND(LEN(AA384)&gt;0,ISNUMBER(AA384)=FALSE),AND(LEN(U384)&gt;0,ISNUMBER(U384)=FALSE)),"Check date",IF(COUNT(G384,I384,K384,M384,Q384,S384,W384,Y384,AA384)=0,"",MIN(G384,I384,K384,M384,Q384,S384,W384,Y384,AA384)))</f>
        <v/>
      </c>
      <c r="AE384" s="25">
        <f>IF(ISNUMBER(AD384),AD384-IF(ISNUMBER(AB384),AB384,30),"")</f>
        <v/>
      </c>
      <c r="AF384" s="27">
        <f>IF(AD384="","",IF(ISNUMBER(AD384),AD384-TODAY(),"Check date"))</f>
        <v/>
      </c>
      <c r="AG384" s="28">
        <f>IF(AF384="","",IF(ISNUMBER(AF384),IF(AF384&lt;0,"Expired",IF(AF384&lt;=30,"Due ≤30 days",IF(AF384&lt;=90,"Due ≤90 days","OK"))),"Check date"))</f>
        <v/>
      </c>
      <c r="AH384" s="22" t="n"/>
      <c r="AI384" s="22" t="n"/>
      <c r="AJ384" s="22" t="n"/>
      <c r="AK384" s="22" t="n"/>
    </row>
    <row r="385">
      <c r="A385" s="22" t="n"/>
      <c r="B385" s="22" t="n"/>
      <c r="C385" s="22" t="n"/>
      <c r="D385" s="22" t="n"/>
      <c r="E385" s="22" t="n"/>
      <c r="F385" s="22" t="n"/>
      <c r="G385" s="23" t="n"/>
      <c r="H385" s="22" t="n"/>
      <c r="I385" s="23" t="n"/>
      <c r="J385" s="22" t="n"/>
      <c r="K385" s="23" t="n"/>
      <c r="L385" s="22" t="n"/>
      <c r="M385" s="23" t="n"/>
      <c r="N385" s="22" t="n"/>
      <c r="O385" s="22" t="n"/>
      <c r="P385" s="22" t="n"/>
      <c r="Q385" s="23" t="n"/>
      <c r="R385" s="22" t="n"/>
      <c r="S385" s="23" t="n"/>
      <c r="T385" s="22" t="n"/>
      <c r="U385" s="23" t="n"/>
      <c r="V385" s="24" t="n"/>
      <c r="W385" s="25">
        <f>IF(ISNUMBER(U385),U385+IF(ISNUMBER(V385),V385,120),"")</f>
        <v/>
      </c>
      <c r="X385" s="22" t="n"/>
      <c r="Y385" s="23" t="n"/>
      <c r="Z385" s="22" t="n"/>
      <c r="AA385" s="23" t="n"/>
      <c r="AB385" s="24" t="n"/>
      <c r="AC385" s="26">
        <f>IF(ISNUMBER(AD385)=FALSE,"",IF(G385=AD385,"State license",IF(I385=AD385,"DEA registration",IF(K385=AD385,"State CSR",IF(M385=AD385,"Board certification",IF(Q385=AD385,"Malpractice",IF(S385=AD385,"Life support",IF(W385=AD385,"CAQH re-attestation",IF(Y385=AD385,"Privileges reappointment","Payer recredentialing")))))))))</f>
        <v/>
      </c>
      <c r="AD385" s="25">
        <f>IF(OR(AND(LEN(G385)&gt;0,ISNUMBER(G385)=FALSE),AND(LEN(I385)&gt;0,ISNUMBER(I385)=FALSE),AND(LEN(K385)&gt;0,ISNUMBER(K385)=FALSE),AND(LEN(M385)&gt;0,ISNUMBER(M385)=FALSE),AND(LEN(Q385)&gt;0,ISNUMBER(Q385)=FALSE),AND(LEN(S385)&gt;0,ISNUMBER(S385)=FALSE),AND(LEN(Y385)&gt;0,ISNUMBER(Y385)=FALSE),AND(LEN(AA385)&gt;0,ISNUMBER(AA385)=FALSE),AND(LEN(U385)&gt;0,ISNUMBER(U385)=FALSE)),"Check date",IF(COUNT(G385,I385,K385,M385,Q385,S385,W385,Y385,AA385)=0,"",MIN(G385,I385,K385,M385,Q385,S385,W385,Y385,AA385)))</f>
        <v/>
      </c>
      <c r="AE385" s="25">
        <f>IF(ISNUMBER(AD385),AD385-IF(ISNUMBER(AB385),AB385,30),"")</f>
        <v/>
      </c>
      <c r="AF385" s="27">
        <f>IF(AD385="","",IF(ISNUMBER(AD385),AD385-TODAY(),"Check date"))</f>
        <v/>
      </c>
      <c r="AG385" s="28">
        <f>IF(AF385="","",IF(ISNUMBER(AF385),IF(AF385&lt;0,"Expired",IF(AF385&lt;=30,"Due ≤30 days",IF(AF385&lt;=90,"Due ≤90 days","OK"))),"Check date"))</f>
        <v/>
      </c>
      <c r="AH385" s="22" t="n"/>
      <c r="AI385" s="22" t="n"/>
      <c r="AJ385" s="22" t="n"/>
      <c r="AK385" s="22" t="n"/>
    </row>
    <row r="386">
      <c r="A386" s="22" t="n"/>
      <c r="B386" s="22" t="n"/>
      <c r="C386" s="22" t="n"/>
      <c r="D386" s="22" t="n"/>
      <c r="E386" s="22" t="n"/>
      <c r="F386" s="22" t="n"/>
      <c r="G386" s="23" t="n"/>
      <c r="H386" s="22" t="n"/>
      <c r="I386" s="23" t="n"/>
      <c r="J386" s="22" t="n"/>
      <c r="K386" s="23" t="n"/>
      <c r="L386" s="22" t="n"/>
      <c r="M386" s="23" t="n"/>
      <c r="N386" s="22" t="n"/>
      <c r="O386" s="22" t="n"/>
      <c r="P386" s="22" t="n"/>
      <c r="Q386" s="23" t="n"/>
      <c r="R386" s="22" t="n"/>
      <c r="S386" s="23" t="n"/>
      <c r="T386" s="22" t="n"/>
      <c r="U386" s="23" t="n"/>
      <c r="V386" s="24" t="n"/>
      <c r="W386" s="25">
        <f>IF(ISNUMBER(U386),U386+IF(ISNUMBER(V386),V386,120),"")</f>
        <v/>
      </c>
      <c r="X386" s="22" t="n"/>
      <c r="Y386" s="23" t="n"/>
      <c r="Z386" s="22" t="n"/>
      <c r="AA386" s="23" t="n"/>
      <c r="AB386" s="24" t="n"/>
      <c r="AC386" s="26">
        <f>IF(ISNUMBER(AD386)=FALSE,"",IF(G386=AD386,"State license",IF(I386=AD386,"DEA registration",IF(K386=AD386,"State CSR",IF(M386=AD386,"Board certification",IF(Q386=AD386,"Malpractice",IF(S386=AD386,"Life support",IF(W386=AD386,"CAQH re-attestation",IF(Y386=AD386,"Privileges reappointment","Payer recredentialing")))))))))</f>
        <v/>
      </c>
      <c r="AD386" s="25">
        <f>IF(OR(AND(LEN(G386)&gt;0,ISNUMBER(G386)=FALSE),AND(LEN(I386)&gt;0,ISNUMBER(I386)=FALSE),AND(LEN(K386)&gt;0,ISNUMBER(K386)=FALSE),AND(LEN(M386)&gt;0,ISNUMBER(M386)=FALSE),AND(LEN(Q386)&gt;0,ISNUMBER(Q386)=FALSE),AND(LEN(S386)&gt;0,ISNUMBER(S386)=FALSE),AND(LEN(Y386)&gt;0,ISNUMBER(Y386)=FALSE),AND(LEN(AA386)&gt;0,ISNUMBER(AA386)=FALSE),AND(LEN(U386)&gt;0,ISNUMBER(U386)=FALSE)),"Check date",IF(COUNT(G386,I386,K386,M386,Q386,S386,W386,Y386,AA386)=0,"",MIN(G386,I386,K386,M386,Q386,S386,W386,Y386,AA386)))</f>
        <v/>
      </c>
      <c r="AE386" s="25">
        <f>IF(ISNUMBER(AD386),AD386-IF(ISNUMBER(AB386),AB386,30),"")</f>
        <v/>
      </c>
      <c r="AF386" s="27">
        <f>IF(AD386="","",IF(ISNUMBER(AD386),AD386-TODAY(),"Check date"))</f>
        <v/>
      </c>
      <c r="AG386" s="28">
        <f>IF(AF386="","",IF(ISNUMBER(AF386),IF(AF386&lt;0,"Expired",IF(AF386&lt;=30,"Due ≤30 days",IF(AF386&lt;=90,"Due ≤90 days","OK"))),"Check date"))</f>
        <v/>
      </c>
      <c r="AH386" s="22" t="n"/>
      <c r="AI386" s="22" t="n"/>
      <c r="AJ386" s="22" t="n"/>
      <c r="AK386" s="22" t="n"/>
    </row>
    <row r="387">
      <c r="A387" s="22" t="n"/>
      <c r="B387" s="22" t="n"/>
      <c r="C387" s="22" t="n"/>
      <c r="D387" s="22" t="n"/>
      <c r="E387" s="22" t="n"/>
      <c r="F387" s="22" t="n"/>
      <c r="G387" s="23" t="n"/>
      <c r="H387" s="22" t="n"/>
      <c r="I387" s="23" t="n"/>
      <c r="J387" s="22" t="n"/>
      <c r="K387" s="23" t="n"/>
      <c r="L387" s="22" t="n"/>
      <c r="M387" s="23" t="n"/>
      <c r="N387" s="22" t="n"/>
      <c r="O387" s="22" t="n"/>
      <c r="P387" s="22" t="n"/>
      <c r="Q387" s="23" t="n"/>
      <c r="R387" s="22" t="n"/>
      <c r="S387" s="23" t="n"/>
      <c r="T387" s="22" t="n"/>
      <c r="U387" s="23" t="n"/>
      <c r="V387" s="24" t="n"/>
      <c r="W387" s="25">
        <f>IF(ISNUMBER(U387),U387+IF(ISNUMBER(V387),V387,120),"")</f>
        <v/>
      </c>
      <c r="X387" s="22" t="n"/>
      <c r="Y387" s="23" t="n"/>
      <c r="Z387" s="22" t="n"/>
      <c r="AA387" s="23" t="n"/>
      <c r="AB387" s="24" t="n"/>
      <c r="AC387" s="26">
        <f>IF(ISNUMBER(AD387)=FALSE,"",IF(G387=AD387,"State license",IF(I387=AD387,"DEA registration",IF(K387=AD387,"State CSR",IF(M387=AD387,"Board certification",IF(Q387=AD387,"Malpractice",IF(S387=AD387,"Life support",IF(W387=AD387,"CAQH re-attestation",IF(Y387=AD387,"Privileges reappointment","Payer recredentialing")))))))))</f>
        <v/>
      </c>
      <c r="AD387" s="25">
        <f>IF(OR(AND(LEN(G387)&gt;0,ISNUMBER(G387)=FALSE),AND(LEN(I387)&gt;0,ISNUMBER(I387)=FALSE),AND(LEN(K387)&gt;0,ISNUMBER(K387)=FALSE),AND(LEN(M387)&gt;0,ISNUMBER(M387)=FALSE),AND(LEN(Q387)&gt;0,ISNUMBER(Q387)=FALSE),AND(LEN(S387)&gt;0,ISNUMBER(S387)=FALSE),AND(LEN(Y387)&gt;0,ISNUMBER(Y387)=FALSE),AND(LEN(AA387)&gt;0,ISNUMBER(AA387)=FALSE),AND(LEN(U387)&gt;0,ISNUMBER(U387)=FALSE)),"Check date",IF(COUNT(G387,I387,K387,M387,Q387,S387,W387,Y387,AA387)=0,"",MIN(G387,I387,K387,M387,Q387,S387,W387,Y387,AA387)))</f>
        <v/>
      </c>
      <c r="AE387" s="25">
        <f>IF(ISNUMBER(AD387),AD387-IF(ISNUMBER(AB387),AB387,30),"")</f>
        <v/>
      </c>
      <c r="AF387" s="27">
        <f>IF(AD387="","",IF(ISNUMBER(AD387),AD387-TODAY(),"Check date"))</f>
        <v/>
      </c>
      <c r="AG387" s="28">
        <f>IF(AF387="","",IF(ISNUMBER(AF387),IF(AF387&lt;0,"Expired",IF(AF387&lt;=30,"Due ≤30 days",IF(AF387&lt;=90,"Due ≤90 days","OK"))),"Check date"))</f>
        <v/>
      </c>
      <c r="AH387" s="22" t="n"/>
      <c r="AI387" s="22" t="n"/>
      <c r="AJ387" s="22" t="n"/>
      <c r="AK387" s="22" t="n"/>
    </row>
    <row r="388">
      <c r="A388" s="22" t="n"/>
      <c r="B388" s="22" t="n"/>
      <c r="C388" s="22" t="n"/>
      <c r="D388" s="22" t="n"/>
      <c r="E388" s="22" t="n"/>
      <c r="F388" s="22" t="n"/>
      <c r="G388" s="23" t="n"/>
      <c r="H388" s="22" t="n"/>
      <c r="I388" s="23" t="n"/>
      <c r="J388" s="22" t="n"/>
      <c r="K388" s="23" t="n"/>
      <c r="L388" s="22" t="n"/>
      <c r="M388" s="23" t="n"/>
      <c r="N388" s="22" t="n"/>
      <c r="O388" s="22" t="n"/>
      <c r="P388" s="22" t="n"/>
      <c r="Q388" s="23" t="n"/>
      <c r="R388" s="22" t="n"/>
      <c r="S388" s="23" t="n"/>
      <c r="T388" s="22" t="n"/>
      <c r="U388" s="23" t="n"/>
      <c r="V388" s="24" t="n"/>
      <c r="W388" s="25">
        <f>IF(ISNUMBER(U388),U388+IF(ISNUMBER(V388),V388,120),"")</f>
        <v/>
      </c>
      <c r="X388" s="22" t="n"/>
      <c r="Y388" s="23" t="n"/>
      <c r="Z388" s="22" t="n"/>
      <c r="AA388" s="23" t="n"/>
      <c r="AB388" s="24" t="n"/>
      <c r="AC388" s="26">
        <f>IF(ISNUMBER(AD388)=FALSE,"",IF(G388=AD388,"State license",IF(I388=AD388,"DEA registration",IF(K388=AD388,"State CSR",IF(M388=AD388,"Board certification",IF(Q388=AD388,"Malpractice",IF(S388=AD388,"Life support",IF(W388=AD388,"CAQH re-attestation",IF(Y388=AD388,"Privileges reappointment","Payer recredentialing")))))))))</f>
        <v/>
      </c>
      <c r="AD388" s="25">
        <f>IF(OR(AND(LEN(G388)&gt;0,ISNUMBER(G388)=FALSE),AND(LEN(I388)&gt;0,ISNUMBER(I388)=FALSE),AND(LEN(K388)&gt;0,ISNUMBER(K388)=FALSE),AND(LEN(M388)&gt;0,ISNUMBER(M388)=FALSE),AND(LEN(Q388)&gt;0,ISNUMBER(Q388)=FALSE),AND(LEN(S388)&gt;0,ISNUMBER(S388)=FALSE),AND(LEN(Y388)&gt;0,ISNUMBER(Y388)=FALSE),AND(LEN(AA388)&gt;0,ISNUMBER(AA388)=FALSE),AND(LEN(U388)&gt;0,ISNUMBER(U388)=FALSE)),"Check date",IF(COUNT(G388,I388,K388,M388,Q388,S388,W388,Y388,AA388)=0,"",MIN(G388,I388,K388,M388,Q388,S388,W388,Y388,AA388)))</f>
        <v/>
      </c>
      <c r="AE388" s="25">
        <f>IF(ISNUMBER(AD388),AD388-IF(ISNUMBER(AB388),AB388,30),"")</f>
        <v/>
      </c>
      <c r="AF388" s="27">
        <f>IF(AD388="","",IF(ISNUMBER(AD388),AD388-TODAY(),"Check date"))</f>
        <v/>
      </c>
      <c r="AG388" s="28">
        <f>IF(AF388="","",IF(ISNUMBER(AF388),IF(AF388&lt;0,"Expired",IF(AF388&lt;=30,"Due ≤30 days",IF(AF388&lt;=90,"Due ≤90 days","OK"))),"Check date"))</f>
        <v/>
      </c>
      <c r="AH388" s="22" t="n"/>
      <c r="AI388" s="22" t="n"/>
      <c r="AJ388" s="22" t="n"/>
      <c r="AK388" s="22" t="n"/>
    </row>
    <row r="389">
      <c r="A389" s="22" t="n"/>
      <c r="B389" s="22" t="n"/>
      <c r="C389" s="22" t="n"/>
      <c r="D389" s="22" t="n"/>
      <c r="E389" s="22" t="n"/>
      <c r="F389" s="22" t="n"/>
      <c r="G389" s="23" t="n"/>
      <c r="H389" s="22" t="n"/>
      <c r="I389" s="23" t="n"/>
      <c r="J389" s="22" t="n"/>
      <c r="K389" s="23" t="n"/>
      <c r="L389" s="22" t="n"/>
      <c r="M389" s="23" t="n"/>
      <c r="N389" s="22" t="n"/>
      <c r="O389" s="22" t="n"/>
      <c r="P389" s="22" t="n"/>
      <c r="Q389" s="23" t="n"/>
      <c r="R389" s="22" t="n"/>
      <c r="S389" s="23" t="n"/>
      <c r="T389" s="22" t="n"/>
      <c r="U389" s="23" t="n"/>
      <c r="V389" s="24" t="n"/>
      <c r="W389" s="25">
        <f>IF(ISNUMBER(U389),U389+IF(ISNUMBER(V389),V389,120),"")</f>
        <v/>
      </c>
      <c r="X389" s="22" t="n"/>
      <c r="Y389" s="23" t="n"/>
      <c r="Z389" s="22" t="n"/>
      <c r="AA389" s="23" t="n"/>
      <c r="AB389" s="24" t="n"/>
      <c r="AC389" s="26">
        <f>IF(ISNUMBER(AD389)=FALSE,"",IF(G389=AD389,"State license",IF(I389=AD389,"DEA registration",IF(K389=AD389,"State CSR",IF(M389=AD389,"Board certification",IF(Q389=AD389,"Malpractice",IF(S389=AD389,"Life support",IF(W389=AD389,"CAQH re-attestation",IF(Y389=AD389,"Privileges reappointment","Payer recredentialing")))))))))</f>
        <v/>
      </c>
      <c r="AD389" s="25">
        <f>IF(OR(AND(LEN(G389)&gt;0,ISNUMBER(G389)=FALSE),AND(LEN(I389)&gt;0,ISNUMBER(I389)=FALSE),AND(LEN(K389)&gt;0,ISNUMBER(K389)=FALSE),AND(LEN(M389)&gt;0,ISNUMBER(M389)=FALSE),AND(LEN(Q389)&gt;0,ISNUMBER(Q389)=FALSE),AND(LEN(S389)&gt;0,ISNUMBER(S389)=FALSE),AND(LEN(Y389)&gt;0,ISNUMBER(Y389)=FALSE),AND(LEN(AA389)&gt;0,ISNUMBER(AA389)=FALSE),AND(LEN(U389)&gt;0,ISNUMBER(U389)=FALSE)),"Check date",IF(COUNT(G389,I389,K389,M389,Q389,S389,W389,Y389,AA389)=0,"",MIN(G389,I389,K389,M389,Q389,S389,W389,Y389,AA389)))</f>
        <v/>
      </c>
      <c r="AE389" s="25">
        <f>IF(ISNUMBER(AD389),AD389-IF(ISNUMBER(AB389),AB389,30),"")</f>
        <v/>
      </c>
      <c r="AF389" s="27">
        <f>IF(AD389="","",IF(ISNUMBER(AD389),AD389-TODAY(),"Check date"))</f>
        <v/>
      </c>
      <c r="AG389" s="28">
        <f>IF(AF389="","",IF(ISNUMBER(AF389),IF(AF389&lt;0,"Expired",IF(AF389&lt;=30,"Due ≤30 days",IF(AF389&lt;=90,"Due ≤90 days","OK"))),"Check date"))</f>
        <v/>
      </c>
      <c r="AH389" s="22" t="n"/>
      <c r="AI389" s="22" t="n"/>
      <c r="AJ389" s="22" t="n"/>
      <c r="AK389" s="22" t="n"/>
    </row>
    <row r="390">
      <c r="A390" s="22" t="n"/>
      <c r="B390" s="22" t="n"/>
      <c r="C390" s="22" t="n"/>
      <c r="D390" s="22" t="n"/>
      <c r="E390" s="22" t="n"/>
      <c r="F390" s="22" t="n"/>
      <c r="G390" s="23" t="n"/>
      <c r="H390" s="22" t="n"/>
      <c r="I390" s="23" t="n"/>
      <c r="J390" s="22" t="n"/>
      <c r="K390" s="23" t="n"/>
      <c r="L390" s="22" t="n"/>
      <c r="M390" s="23" t="n"/>
      <c r="N390" s="22" t="n"/>
      <c r="O390" s="22" t="n"/>
      <c r="P390" s="22" t="n"/>
      <c r="Q390" s="23" t="n"/>
      <c r="R390" s="22" t="n"/>
      <c r="S390" s="23" t="n"/>
      <c r="T390" s="22" t="n"/>
      <c r="U390" s="23" t="n"/>
      <c r="V390" s="24" t="n"/>
      <c r="W390" s="25">
        <f>IF(ISNUMBER(U390),U390+IF(ISNUMBER(V390),V390,120),"")</f>
        <v/>
      </c>
      <c r="X390" s="22" t="n"/>
      <c r="Y390" s="23" t="n"/>
      <c r="Z390" s="22" t="n"/>
      <c r="AA390" s="23" t="n"/>
      <c r="AB390" s="24" t="n"/>
      <c r="AC390" s="26">
        <f>IF(ISNUMBER(AD390)=FALSE,"",IF(G390=AD390,"State license",IF(I390=AD390,"DEA registration",IF(K390=AD390,"State CSR",IF(M390=AD390,"Board certification",IF(Q390=AD390,"Malpractice",IF(S390=AD390,"Life support",IF(W390=AD390,"CAQH re-attestation",IF(Y390=AD390,"Privileges reappointment","Payer recredentialing")))))))))</f>
        <v/>
      </c>
      <c r="AD390" s="25">
        <f>IF(OR(AND(LEN(G390)&gt;0,ISNUMBER(G390)=FALSE),AND(LEN(I390)&gt;0,ISNUMBER(I390)=FALSE),AND(LEN(K390)&gt;0,ISNUMBER(K390)=FALSE),AND(LEN(M390)&gt;0,ISNUMBER(M390)=FALSE),AND(LEN(Q390)&gt;0,ISNUMBER(Q390)=FALSE),AND(LEN(S390)&gt;0,ISNUMBER(S390)=FALSE),AND(LEN(Y390)&gt;0,ISNUMBER(Y390)=FALSE),AND(LEN(AA390)&gt;0,ISNUMBER(AA390)=FALSE),AND(LEN(U390)&gt;0,ISNUMBER(U390)=FALSE)),"Check date",IF(COUNT(G390,I390,K390,M390,Q390,S390,W390,Y390,AA390)=0,"",MIN(G390,I390,K390,M390,Q390,S390,W390,Y390,AA390)))</f>
        <v/>
      </c>
      <c r="AE390" s="25">
        <f>IF(ISNUMBER(AD390),AD390-IF(ISNUMBER(AB390),AB390,30),"")</f>
        <v/>
      </c>
      <c r="AF390" s="27">
        <f>IF(AD390="","",IF(ISNUMBER(AD390),AD390-TODAY(),"Check date"))</f>
        <v/>
      </c>
      <c r="AG390" s="28">
        <f>IF(AF390="","",IF(ISNUMBER(AF390),IF(AF390&lt;0,"Expired",IF(AF390&lt;=30,"Due ≤30 days",IF(AF390&lt;=90,"Due ≤90 days","OK"))),"Check date"))</f>
        <v/>
      </c>
      <c r="AH390" s="22" t="n"/>
      <c r="AI390" s="22" t="n"/>
      <c r="AJ390" s="22" t="n"/>
      <c r="AK390" s="22" t="n"/>
    </row>
    <row r="391">
      <c r="A391" s="22" t="n"/>
      <c r="B391" s="22" t="n"/>
      <c r="C391" s="22" t="n"/>
      <c r="D391" s="22" t="n"/>
      <c r="E391" s="22" t="n"/>
      <c r="F391" s="22" t="n"/>
      <c r="G391" s="23" t="n"/>
      <c r="H391" s="22" t="n"/>
      <c r="I391" s="23" t="n"/>
      <c r="J391" s="22" t="n"/>
      <c r="K391" s="23" t="n"/>
      <c r="L391" s="22" t="n"/>
      <c r="M391" s="23" t="n"/>
      <c r="N391" s="22" t="n"/>
      <c r="O391" s="22" t="n"/>
      <c r="P391" s="22" t="n"/>
      <c r="Q391" s="23" t="n"/>
      <c r="R391" s="22" t="n"/>
      <c r="S391" s="23" t="n"/>
      <c r="T391" s="22" t="n"/>
      <c r="U391" s="23" t="n"/>
      <c r="V391" s="24" t="n"/>
      <c r="W391" s="25">
        <f>IF(ISNUMBER(U391),U391+IF(ISNUMBER(V391),V391,120),"")</f>
        <v/>
      </c>
      <c r="X391" s="22" t="n"/>
      <c r="Y391" s="23" t="n"/>
      <c r="Z391" s="22" t="n"/>
      <c r="AA391" s="23" t="n"/>
      <c r="AB391" s="24" t="n"/>
      <c r="AC391" s="26">
        <f>IF(ISNUMBER(AD391)=FALSE,"",IF(G391=AD391,"State license",IF(I391=AD391,"DEA registration",IF(K391=AD391,"State CSR",IF(M391=AD391,"Board certification",IF(Q391=AD391,"Malpractice",IF(S391=AD391,"Life support",IF(W391=AD391,"CAQH re-attestation",IF(Y391=AD391,"Privileges reappointment","Payer recredentialing")))))))))</f>
        <v/>
      </c>
      <c r="AD391" s="25">
        <f>IF(OR(AND(LEN(G391)&gt;0,ISNUMBER(G391)=FALSE),AND(LEN(I391)&gt;0,ISNUMBER(I391)=FALSE),AND(LEN(K391)&gt;0,ISNUMBER(K391)=FALSE),AND(LEN(M391)&gt;0,ISNUMBER(M391)=FALSE),AND(LEN(Q391)&gt;0,ISNUMBER(Q391)=FALSE),AND(LEN(S391)&gt;0,ISNUMBER(S391)=FALSE),AND(LEN(Y391)&gt;0,ISNUMBER(Y391)=FALSE),AND(LEN(AA391)&gt;0,ISNUMBER(AA391)=FALSE),AND(LEN(U391)&gt;0,ISNUMBER(U391)=FALSE)),"Check date",IF(COUNT(G391,I391,K391,M391,Q391,S391,W391,Y391,AA391)=0,"",MIN(G391,I391,K391,M391,Q391,S391,W391,Y391,AA391)))</f>
        <v/>
      </c>
      <c r="AE391" s="25">
        <f>IF(ISNUMBER(AD391),AD391-IF(ISNUMBER(AB391),AB391,30),"")</f>
        <v/>
      </c>
      <c r="AF391" s="27">
        <f>IF(AD391="","",IF(ISNUMBER(AD391),AD391-TODAY(),"Check date"))</f>
        <v/>
      </c>
      <c r="AG391" s="28">
        <f>IF(AF391="","",IF(ISNUMBER(AF391),IF(AF391&lt;0,"Expired",IF(AF391&lt;=30,"Due ≤30 days",IF(AF391&lt;=90,"Due ≤90 days","OK"))),"Check date"))</f>
        <v/>
      </c>
      <c r="AH391" s="22" t="n"/>
      <c r="AI391" s="22" t="n"/>
      <c r="AJ391" s="22" t="n"/>
      <c r="AK391" s="22" t="n"/>
    </row>
    <row r="392">
      <c r="A392" s="22" t="n"/>
      <c r="B392" s="22" t="n"/>
      <c r="C392" s="22" t="n"/>
      <c r="D392" s="22" t="n"/>
      <c r="E392" s="22" t="n"/>
      <c r="F392" s="22" t="n"/>
      <c r="G392" s="23" t="n"/>
      <c r="H392" s="22" t="n"/>
      <c r="I392" s="23" t="n"/>
      <c r="J392" s="22" t="n"/>
      <c r="K392" s="23" t="n"/>
      <c r="L392" s="22" t="n"/>
      <c r="M392" s="23" t="n"/>
      <c r="N392" s="22" t="n"/>
      <c r="O392" s="22" t="n"/>
      <c r="P392" s="22" t="n"/>
      <c r="Q392" s="23" t="n"/>
      <c r="R392" s="22" t="n"/>
      <c r="S392" s="23" t="n"/>
      <c r="T392" s="22" t="n"/>
      <c r="U392" s="23" t="n"/>
      <c r="V392" s="24" t="n"/>
      <c r="W392" s="25">
        <f>IF(ISNUMBER(U392),U392+IF(ISNUMBER(V392),V392,120),"")</f>
        <v/>
      </c>
      <c r="X392" s="22" t="n"/>
      <c r="Y392" s="23" t="n"/>
      <c r="Z392" s="22" t="n"/>
      <c r="AA392" s="23" t="n"/>
      <c r="AB392" s="24" t="n"/>
      <c r="AC392" s="26">
        <f>IF(ISNUMBER(AD392)=FALSE,"",IF(G392=AD392,"State license",IF(I392=AD392,"DEA registration",IF(K392=AD392,"State CSR",IF(M392=AD392,"Board certification",IF(Q392=AD392,"Malpractice",IF(S392=AD392,"Life support",IF(W392=AD392,"CAQH re-attestation",IF(Y392=AD392,"Privileges reappointment","Payer recredentialing")))))))))</f>
        <v/>
      </c>
      <c r="AD392" s="25">
        <f>IF(OR(AND(LEN(G392)&gt;0,ISNUMBER(G392)=FALSE),AND(LEN(I392)&gt;0,ISNUMBER(I392)=FALSE),AND(LEN(K392)&gt;0,ISNUMBER(K392)=FALSE),AND(LEN(M392)&gt;0,ISNUMBER(M392)=FALSE),AND(LEN(Q392)&gt;0,ISNUMBER(Q392)=FALSE),AND(LEN(S392)&gt;0,ISNUMBER(S392)=FALSE),AND(LEN(Y392)&gt;0,ISNUMBER(Y392)=FALSE),AND(LEN(AA392)&gt;0,ISNUMBER(AA392)=FALSE),AND(LEN(U392)&gt;0,ISNUMBER(U392)=FALSE)),"Check date",IF(COUNT(G392,I392,K392,M392,Q392,S392,W392,Y392,AA392)=0,"",MIN(G392,I392,K392,M392,Q392,S392,W392,Y392,AA392)))</f>
        <v/>
      </c>
      <c r="AE392" s="25">
        <f>IF(ISNUMBER(AD392),AD392-IF(ISNUMBER(AB392),AB392,30),"")</f>
        <v/>
      </c>
      <c r="AF392" s="27">
        <f>IF(AD392="","",IF(ISNUMBER(AD392),AD392-TODAY(),"Check date"))</f>
        <v/>
      </c>
      <c r="AG392" s="28">
        <f>IF(AF392="","",IF(ISNUMBER(AF392),IF(AF392&lt;0,"Expired",IF(AF392&lt;=30,"Due ≤30 days",IF(AF392&lt;=90,"Due ≤90 days","OK"))),"Check date"))</f>
        <v/>
      </c>
      <c r="AH392" s="22" t="n"/>
      <c r="AI392" s="22" t="n"/>
      <c r="AJ392" s="22" t="n"/>
      <c r="AK392" s="22" t="n"/>
    </row>
    <row r="393">
      <c r="A393" s="22" t="n"/>
      <c r="B393" s="22" t="n"/>
      <c r="C393" s="22" t="n"/>
      <c r="D393" s="22" t="n"/>
      <c r="E393" s="22" t="n"/>
      <c r="F393" s="22" t="n"/>
      <c r="G393" s="23" t="n"/>
      <c r="H393" s="22" t="n"/>
      <c r="I393" s="23" t="n"/>
      <c r="J393" s="22" t="n"/>
      <c r="K393" s="23" t="n"/>
      <c r="L393" s="22" t="n"/>
      <c r="M393" s="23" t="n"/>
      <c r="N393" s="22" t="n"/>
      <c r="O393" s="22" t="n"/>
      <c r="P393" s="22" t="n"/>
      <c r="Q393" s="23" t="n"/>
      <c r="R393" s="22" t="n"/>
      <c r="S393" s="23" t="n"/>
      <c r="T393" s="22" t="n"/>
      <c r="U393" s="23" t="n"/>
      <c r="V393" s="24" t="n"/>
      <c r="W393" s="25">
        <f>IF(ISNUMBER(U393),U393+IF(ISNUMBER(V393),V393,120),"")</f>
        <v/>
      </c>
      <c r="X393" s="22" t="n"/>
      <c r="Y393" s="23" t="n"/>
      <c r="Z393" s="22" t="n"/>
      <c r="AA393" s="23" t="n"/>
      <c r="AB393" s="24" t="n"/>
      <c r="AC393" s="26">
        <f>IF(ISNUMBER(AD393)=FALSE,"",IF(G393=AD393,"State license",IF(I393=AD393,"DEA registration",IF(K393=AD393,"State CSR",IF(M393=AD393,"Board certification",IF(Q393=AD393,"Malpractice",IF(S393=AD393,"Life support",IF(W393=AD393,"CAQH re-attestation",IF(Y393=AD393,"Privileges reappointment","Payer recredentialing")))))))))</f>
        <v/>
      </c>
      <c r="AD393" s="25">
        <f>IF(OR(AND(LEN(G393)&gt;0,ISNUMBER(G393)=FALSE),AND(LEN(I393)&gt;0,ISNUMBER(I393)=FALSE),AND(LEN(K393)&gt;0,ISNUMBER(K393)=FALSE),AND(LEN(M393)&gt;0,ISNUMBER(M393)=FALSE),AND(LEN(Q393)&gt;0,ISNUMBER(Q393)=FALSE),AND(LEN(S393)&gt;0,ISNUMBER(S393)=FALSE),AND(LEN(Y393)&gt;0,ISNUMBER(Y393)=FALSE),AND(LEN(AA393)&gt;0,ISNUMBER(AA393)=FALSE),AND(LEN(U393)&gt;0,ISNUMBER(U393)=FALSE)),"Check date",IF(COUNT(G393,I393,K393,M393,Q393,S393,W393,Y393,AA393)=0,"",MIN(G393,I393,K393,M393,Q393,S393,W393,Y393,AA393)))</f>
        <v/>
      </c>
      <c r="AE393" s="25">
        <f>IF(ISNUMBER(AD393),AD393-IF(ISNUMBER(AB393),AB393,30),"")</f>
        <v/>
      </c>
      <c r="AF393" s="27">
        <f>IF(AD393="","",IF(ISNUMBER(AD393),AD393-TODAY(),"Check date"))</f>
        <v/>
      </c>
      <c r="AG393" s="28">
        <f>IF(AF393="","",IF(ISNUMBER(AF393),IF(AF393&lt;0,"Expired",IF(AF393&lt;=30,"Due ≤30 days",IF(AF393&lt;=90,"Due ≤90 days","OK"))),"Check date"))</f>
        <v/>
      </c>
      <c r="AH393" s="22" t="n"/>
      <c r="AI393" s="22" t="n"/>
      <c r="AJ393" s="22" t="n"/>
      <c r="AK393" s="22" t="n"/>
    </row>
    <row r="394">
      <c r="A394" s="22" t="n"/>
      <c r="B394" s="22" t="n"/>
      <c r="C394" s="22" t="n"/>
      <c r="D394" s="22" t="n"/>
      <c r="E394" s="22" t="n"/>
      <c r="F394" s="22" t="n"/>
      <c r="G394" s="23" t="n"/>
      <c r="H394" s="22" t="n"/>
      <c r="I394" s="23" t="n"/>
      <c r="J394" s="22" t="n"/>
      <c r="K394" s="23" t="n"/>
      <c r="L394" s="22" t="n"/>
      <c r="M394" s="23" t="n"/>
      <c r="N394" s="22" t="n"/>
      <c r="O394" s="22" t="n"/>
      <c r="P394" s="22" t="n"/>
      <c r="Q394" s="23" t="n"/>
      <c r="R394" s="22" t="n"/>
      <c r="S394" s="23" t="n"/>
      <c r="T394" s="22" t="n"/>
      <c r="U394" s="23" t="n"/>
      <c r="V394" s="24" t="n"/>
      <c r="W394" s="25">
        <f>IF(ISNUMBER(U394),U394+IF(ISNUMBER(V394),V394,120),"")</f>
        <v/>
      </c>
      <c r="X394" s="22" t="n"/>
      <c r="Y394" s="23" t="n"/>
      <c r="Z394" s="22" t="n"/>
      <c r="AA394" s="23" t="n"/>
      <c r="AB394" s="24" t="n"/>
      <c r="AC394" s="26">
        <f>IF(ISNUMBER(AD394)=FALSE,"",IF(G394=AD394,"State license",IF(I394=AD394,"DEA registration",IF(K394=AD394,"State CSR",IF(M394=AD394,"Board certification",IF(Q394=AD394,"Malpractice",IF(S394=AD394,"Life support",IF(W394=AD394,"CAQH re-attestation",IF(Y394=AD394,"Privileges reappointment","Payer recredentialing")))))))))</f>
        <v/>
      </c>
      <c r="AD394" s="25">
        <f>IF(OR(AND(LEN(G394)&gt;0,ISNUMBER(G394)=FALSE),AND(LEN(I394)&gt;0,ISNUMBER(I394)=FALSE),AND(LEN(K394)&gt;0,ISNUMBER(K394)=FALSE),AND(LEN(M394)&gt;0,ISNUMBER(M394)=FALSE),AND(LEN(Q394)&gt;0,ISNUMBER(Q394)=FALSE),AND(LEN(S394)&gt;0,ISNUMBER(S394)=FALSE),AND(LEN(Y394)&gt;0,ISNUMBER(Y394)=FALSE),AND(LEN(AA394)&gt;0,ISNUMBER(AA394)=FALSE),AND(LEN(U394)&gt;0,ISNUMBER(U394)=FALSE)),"Check date",IF(COUNT(G394,I394,K394,M394,Q394,S394,W394,Y394,AA394)=0,"",MIN(G394,I394,K394,M394,Q394,S394,W394,Y394,AA394)))</f>
        <v/>
      </c>
      <c r="AE394" s="25">
        <f>IF(ISNUMBER(AD394),AD394-IF(ISNUMBER(AB394),AB394,30),"")</f>
        <v/>
      </c>
      <c r="AF394" s="27">
        <f>IF(AD394="","",IF(ISNUMBER(AD394),AD394-TODAY(),"Check date"))</f>
        <v/>
      </c>
      <c r="AG394" s="28">
        <f>IF(AF394="","",IF(ISNUMBER(AF394),IF(AF394&lt;0,"Expired",IF(AF394&lt;=30,"Due ≤30 days",IF(AF394&lt;=90,"Due ≤90 days","OK"))),"Check date"))</f>
        <v/>
      </c>
      <c r="AH394" s="22" t="n"/>
      <c r="AI394" s="22" t="n"/>
      <c r="AJ394" s="22" t="n"/>
      <c r="AK394" s="22" t="n"/>
    </row>
    <row r="395">
      <c r="A395" s="22" t="n"/>
      <c r="B395" s="22" t="n"/>
      <c r="C395" s="22" t="n"/>
      <c r="D395" s="22" t="n"/>
      <c r="E395" s="22" t="n"/>
      <c r="F395" s="22" t="n"/>
      <c r="G395" s="23" t="n"/>
      <c r="H395" s="22" t="n"/>
      <c r="I395" s="23" t="n"/>
      <c r="J395" s="22" t="n"/>
      <c r="K395" s="23" t="n"/>
      <c r="L395" s="22" t="n"/>
      <c r="M395" s="23" t="n"/>
      <c r="N395" s="22" t="n"/>
      <c r="O395" s="22" t="n"/>
      <c r="P395" s="22" t="n"/>
      <c r="Q395" s="23" t="n"/>
      <c r="R395" s="22" t="n"/>
      <c r="S395" s="23" t="n"/>
      <c r="T395" s="22" t="n"/>
      <c r="U395" s="23" t="n"/>
      <c r="V395" s="24" t="n"/>
      <c r="W395" s="25">
        <f>IF(ISNUMBER(U395),U395+IF(ISNUMBER(V395),V395,120),"")</f>
        <v/>
      </c>
      <c r="X395" s="22" t="n"/>
      <c r="Y395" s="23" t="n"/>
      <c r="Z395" s="22" t="n"/>
      <c r="AA395" s="23" t="n"/>
      <c r="AB395" s="24" t="n"/>
      <c r="AC395" s="26">
        <f>IF(ISNUMBER(AD395)=FALSE,"",IF(G395=AD395,"State license",IF(I395=AD395,"DEA registration",IF(K395=AD395,"State CSR",IF(M395=AD395,"Board certification",IF(Q395=AD395,"Malpractice",IF(S395=AD395,"Life support",IF(W395=AD395,"CAQH re-attestation",IF(Y395=AD395,"Privileges reappointment","Payer recredentialing")))))))))</f>
        <v/>
      </c>
      <c r="AD395" s="25">
        <f>IF(OR(AND(LEN(G395)&gt;0,ISNUMBER(G395)=FALSE),AND(LEN(I395)&gt;0,ISNUMBER(I395)=FALSE),AND(LEN(K395)&gt;0,ISNUMBER(K395)=FALSE),AND(LEN(M395)&gt;0,ISNUMBER(M395)=FALSE),AND(LEN(Q395)&gt;0,ISNUMBER(Q395)=FALSE),AND(LEN(S395)&gt;0,ISNUMBER(S395)=FALSE),AND(LEN(Y395)&gt;0,ISNUMBER(Y395)=FALSE),AND(LEN(AA395)&gt;0,ISNUMBER(AA395)=FALSE),AND(LEN(U395)&gt;0,ISNUMBER(U395)=FALSE)),"Check date",IF(COUNT(G395,I395,K395,M395,Q395,S395,W395,Y395,AA395)=0,"",MIN(G395,I395,K395,M395,Q395,S395,W395,Y395,AA395)))</f>
        <v/>
      </c>
      <c r="AE395" s="25">
        <f>IF(ISNUMBER(AD395),AD395-IF(ISNUMBER(AB395),AB395,30),"")</f>
        <v/>
      </c>
      <c r="AF395" s="27">
        <f>IF(AD395="","",IF(ISNUMBER(AD395),AD395-TODAY(),"Check date"))</f>
        <v/>
      </c>
      <c r="AG395" s="28">
        <f>IF(AF395="","",IF(ISNUMBER(AF395),IF(AF395&lt;0,"Expired",IF(AF395&lt;=30,"Due ≤30 days",IF(AF395&lt;=90,"Due ≤90 days","OK"))),"Check date"))</f>
        <v/>
      </c>
      <c r="AH395" s="22" t="n"/>
      <c r="AI395" s="22" t="n"/>
      <c r="AJ395" s="22" t="n"/>
      <c r="AK395" s="22" t="n"/>
    </row>
    <row r="396">
      <c r="A396" s="22" t="n"/>
      <c r="B396" s="22" t="n"/>
      <c r="C396" s="22" t="n"/>
      <c r="D396" s="22" t="n"/>
      <c r="E396" s="22" t="n"/>
      <c r="F396" s="22" t="n"/>
      <c r="G396" s="23" t="n"/>
      <c r="H396" s="22" t="n"/>
      <c r="I396" s="23" t="n"/>
      <c r="J396" s="22" t="n"/>
      <c r="K396" s="23" t="n"/>
      <c r="L396" s="22" t="n"/>
      <c r="M396" s="23" t="n"/>
      <c r="N396" s="22" t="n"/>
      <c r="O396" s="22" t="n"/>
      <c r="P396" s="22" t="n"/>
      <c r="Q396" s="23" t="n"/>
      <c r="R396" s="22" t="n"/>
      <c r="S396" s="23" t="n"/>
      <c r="T396" s="22" t="n"/>
      <c r="U396" s="23" t="n"/>
      <c r="V396" s="24" t="n"/>
      <c r="W396" s="25">
        <f>IF(ISNUMBER(U396),U396+IF(ISNUMBER(V396),V396,120),"")</f>
        <v/>
      </c>
      <c r="X396" s="22" t="n"/>
      <c r="Y396" s="23" t="n"/>
      <c r="Z396" s="22" t="n"/>
      <c r="AA396" s="23" t="n"/>
      <c r="AB396" s="24" t="n"/>
      <c r="AC396" s="26">
        <f>IF(ISNUMBER(AD396)=FALSE,"",IF(G396=AD396,"State license",IF(I396=AD396,"DEA registration",IF(K396=AD396,"State CSR",IF(M396=AD396,"Board certification",IF(Q396=AD396,"Malpractice",IF(S396=AD396,"Life support",IF(W396=AD396,"CAQH re-attestation",IF(Y396=AD396,"Privileges reappointment","Payer recredentialing")))))))))</f>
        <v/>
      </c>
      <c r="AD396" s="25">
        <f>IF(OR(AND(LEN(G396)&gt;0,ISNUMBER(G396)=FALSE),AND(LEN(I396)&gt;0,ISNUMBER(I396)=FALSE),AND(LEN(K396)&gt;0,ISNUMBER(K396)=FALSE),AND(LEN(M396)&gt;0,ISNUMBER(M396)=FALSE),AND(LEN(Q396)&gt;0,ISNUMBER(Q396)=FALSE),AND(LEN(S396)&gt;0,ISNUMBER(S396)=FALSE),AND(LEN(Y396)&gt;0,ISNUMBER(Y396)=FALSE),AND(LEN(AA396)&gt;0,ISNUMBER(AA396)=FALSE),AND(LEN(U396)&gt;0,ISNUMBER(U396)=FALSE)),"Check date",IF(COUNT(G396,I396,K396,M396,Q396,S396,W396,Y396,AA396)=0,"",MIN(G396,I396,K396,M396,Q396,S396,W396,Y396,AA396)))</f>
        <v/>
      </c>
      <c r="AE396" s="25">
        <f>IF(ISNUMBER(AD396),AD396-IF(ISNUMBER(AB396),AB396,30),"")</f>
        <v/>
      </c>
      <c r="AF396" s="27">
        <f>IF(AD396="","",IF(ISNUMBER(AD396),AD396-TODAY(),"Check date"))</f>
        <v/>
      </c>
      <c r="AG396" s="28">
        <f>IF(AF396="","",IF(ISNUMBER(AF396),IF(AF396&lt;0,"Expired",IF(AF396&lt;=30,"Due ≤30 days",IF(AF396&lt;=90,"Due ≤90 days","OK"))),"Check date"))</f>
        <v/>
      </c>
      <c r="AH396" s="22" t="n"/>
      <c r="AI396" s="22" t="n"/>
      <c r="AJ396" s="22" t="n"/>
      <c r="AK396" s="22" t="n"/>
    </row>
    <row r="397">
      <c r="A397" s="22" t="n"/>
      <c r="B397" s="22" t="n"/>
      <c r="C397" s="22" t="n"/>
      <c r="D397" s="22" t="n"/>
      <c r="E397" s="22" t="n"/>
      <c r="F397" s="22" t="n"/>
      <c r="G397" s="23" t="n"/>
      <c r="H397" s="22" t="n"/>
      <c r="I397" s="23" t="n"/>
      <c r="J397" s="22" t="n"/>
      <c r="K397" s="23" t="n"/>
      <c r="L397" s="22" t="n"/>
      <c r="M397" s="23" t="n"/>
      <c r="N397" s="22" t="n"/>
      <c r="O397" s="22" t="n"/>
      <c r="P397" s="22" t="n"/>
      <c r="Q397" s="23" t="n"/>
      <c r="R397" s="22" t="n"/>
      <c r="S397" s="23" t="n"/>
      <c r="T397" s="22" t="n"/>
      <c r="U397" s="23" t="n"/>
      <c r="V397" s="24" t="n"/>
      <c r="W397" s="25">
        <f>IF(ISNUMBER(U397),U397+IF(ISNUMBER(V397),V397,120),"")</f>
        <v/>
      </c>
      <c r="X397" s="22" t="n"/>
      <c r="Y397" s="23" t="n"/>
      <c r="Z397" s="22" t="n"/>
      <c r="AA397" s="23" t="n"/>
      <c r="AB397" s="24" t="n"/>
      <c r="AC397" s="26">
        <f>IF(ISNUMBER(AD397)=FALSE,"",IF(G397=AD397,"State license",IF(I397=AD397,"DEA registration",IF(K397=AD397,"State CSR",IF(M397=AD397,"Board certification",IF(Q397=AD397,"Malpractice",IF(S397=AD397,"Life support",IF(W397=AD397,"CAQH re-attestation",IF(Y397=AD397,"Privileges reappointment","Payer recredentialing")))))))))</f>
        <v/>
      </c>
      <c r="AD397" s="25">
        <f>IF(OR(AND(LEN(G397)&gt;0,ISNUMBER(G397)=FALSE),AND(LEN(I397)&gt;0,ISNUMBER(I397)=FALSE),AND(LEN(K397)&gt;0,ISNUMBER(K397)=FALSE),AND(LEN(M397)&gt;0,ISNUMBER(M397)=FALSE),AND(LEN(Q397)&gt;0,ISNUMBER(Q397)=FALSE),AND(LEN(S397)&gt;0,ISNUMBER(S397)=FALSE),AND(LEN(Y397)&gt;0,ISNUMBER(Y397)=FALSE),AND(LEN(AA397)&gt;0,ISNUMBER(AA397)=FALSE),AND(LEN(U397)&gt;0,ISNUMBER(U397)=FALSE)),"Check date",IF(COUNT(G397,I397,K397,M397,Q397,S397,W397,Y397,AA397)=0,"",MIN(G397,I397,K397,M397,Q397,S397,W397,Y397,AA397)))</f>
        <v/>
      </c>
      <c r="AE397" s="25">
        <f>IF(ISNUMBER(AD397),AD397-IF(ISNUMBER(AB397),AB397,30),"")</f>
        <v/>
      </c>
      <c r="AF397" s="27">
        <f>IF(AD397="","",IF(ISNUMBER(AD397),AD397-TODAY(),"Check date"))</f>
        <v/>
      </c>
      <c r="AG397" s="28">
        <f>IF(AF397="","",IF(ISNUMBER(AF397),IF(AF397&lt;0,"Expired",IF(AF397&lt;=30,"Due ≤30 days",IF(AF397&lt;=90,"Due ≤90 days","OK"))),"Check date"))</f>
        <v/>
      </c>
      <c r="AH397" s="22" t="n"/>
      <c r="AI397" s="22" t="n"/>
      <c r="AJ397" s="22" t="n"/>
      <c r="AK397" s="22" t="n"/>
    </row>
    <row r="398">
      <c r="A398" s="22" t="n"/>
      <c r="B398" s="22" t="n"/>
      <c r="C398" s="22" t="n"/>
      <c r="D398" s="22" t="n"/>
      <c r="E398" s="22" t="n"/>
      <c r="F398" s="22" t="n"/>
      <c r="G398" s="23" t="n"/>
      <c r="H398" s="22" t="n"/>
      <c r="I398" s="23" t="n"/>
      <c r="J398" s="22" t="n"/>
      <c r="K398" s="23" t="n"/>
      <c r="L398" s="22" t="n"/>
      <c r="M398" s="23" t="n"/>
      <c r="N398" s="22" t="n"/>
      <c r="O398" s="22" t="n"/>
      <c r="P398" s="22" t="n"/>
      <c r="Q398" s="23" t="n"/>
      <c r="R398" s="22" t="n"/>
      <c r="S398" s="23" t="n"/>
      <c r="T398" s="22" t="n"/>
      <c r="U398" s="23" t="n"/>
      <c r="V398" s="24" t="n"/>
      <c r="W398" s="25">
        <f>IF(ISNUMBER(U398),U398+IF(ISNUMBER(V398),V398,120),"")</f>
        <v/>
      </c>
      <c r="X398" s="22" t="n"/>
      <c r="Y398" s="23" t="n"/>
      <c r="Z398" s="22" t="n"/>
      <c r="AA398" s="23" t="n"/>
      <c r="AB398" s="24" t="n"/>
      <c r="AC398" s="26">
        <f>IF(ISNUMBER(AD398)=FALSE,"",IF(G398=AD398,"State license",IF(I398=AD398,"DEA registration",IF(K398=AD398,"State CSR",IF(M398=AD398,"Board certification",IF(Q398=AD398,"Malpractice",IF(S398=AD398,"Life support",IF(W398=AD398,"CAQH re-attestation",IF(Y398=AD398,"Privileges reappointment","Payer recredentialing")))))))))</f>
        <v/>
      </c>
      <c r="AD398" s="25">
        <f>IF(OR(AND(LEN(G398)&gt;0,ISNUMBER(G398)=FALSE),AND(LEN(I398)&gt;0,ISNUMBER(I398)=FALSE),AND(LEN(K398)&gt;0,ISNUMBER(K398)=FALSE),AND(LEN(M398)&gt;0,ISNUMBER(M398)=FALSE),AND(LEN(Q398)&gt;0,ISNUMBER(Q398)=FALSE),AND(LEN(S398)&gt;0,ISNUMBER(S398)=FALSE),AND(LEN(Y398)&gt;0,ISNUMBER(Y398)=FALSE),AND(LEN(AA398)&gt;0,ISNUMBER(AA398)=FALSE),AND(LEN(U398)&gt;0,ISNUMBER(U398)=FALSE)),"Check date",IF(COUNT(G398,I398,K398,M398,Q398,S398,W398,Y398,AA398)=0,"",MIN(G398,I398,K398,M398,Q398,S398,W398,Y398,AA398)))</f>
        <v/>
      </c>
      <c r="AE398" s="25">
        <f>IF(ISNUMBER(AD398),AD398-IF(ISNUMBER(AB398),AB398,30),"")</f>
        <v/>
      </c>
      <c r="AF398" s="27">
        <f>IF(AD398="","",IF(ISNUMBER(AD398),AD398-TODAY(),"Check date"))</f>
        <v/>
      </c>
      <c r="AG398" s="28">
        <f>IF(AF398="","",IF(ISNUMBER(AF398),IF(AF398&lt;0,"Expired",IF(AF398&lt;=30,"Due ≤30 days",IF(AF398&lt;=90,"Due ≤90 days","OK"))),"Check date"))</f>
        <v/>
      </c>
      <c r="AH398" s="22" t="n"/>
      <c r="AI398" s="22" t="n"/>
      <c r="AJ398" s="22" t="n"/>
      <c r="AK398" s="22" t="n"/>
    </row>
    <row r="399">
      <c r="A399" s="22" t="n"/>
      <c r="B399" s="22" t="n"/>
      <c r="C399" s="22" t="n"/>
      <c r="D399" s="22" t="n"/>
      <c r="E399" s="22" t="n"/>
      <c r="F399" s="22" t="n"/>
      <c r="G399" s="23" t="n"/>
      <c r="H399" s="22" t="n"/>
      <c r="I399" s="23" t="n"/>
      <c r="J399" s="22" t="n"/>
      <c r="K399" s="23" t="n"/>
      <c r="L399" s="22" t="n"/>
      <c r="M399" s="23" t="n"/>
      <c r="N399" s="22" t="n"/>
      <c r="O399" s="22" t="n"/>
      <c r="P399" s="22" t="n"/>
      <c r="Q399" s="23" t="n"/>
      <c r="R399" s="22" t="n"/>
      <c r="S399" s="23" t="n"/>
      <c r="T399" s="22" t="n"/>
      <c r="U399" s="23" t="n"/>
      <c r="V399" s="24" t="n"/>
      <c r="W399" s="25">
        <f>IF(ISNUMBER(U399),U399+IF(ISNUMBER(V399),V399,120),"")</f>
        <v/>
      </c>
      <c r="X399" s="22" t="n"/>
      <c r="Y399" s="23" t="n"/>
      <c r="Z399" s="22" t="n"/>
      <c r="AA399" s="23" t="n"/>
      <c r="AB399" s="24" t="n"/>
      <c r="AC399" s="26">
        <f>IF(ISNUMBER(AD399)=FALSE,"",IF(G399=AD399,"State license",IF(I399=AD399,"DEA registration",IF(K399=AD399,"State CSR",IF(M399=AD399,"Board certification",IF(Q399=AD399,"Malpractice",IF(S399=AD399,"Life support",IF(W399=AD399,"CAQH re-attestation",IF(Y399=AD399,"Privileges reappointment","Payer recredentialing")))))))))</f>
        <v/>
      </c>
      <c r="AD399" s="25">
        <f>IF(OR(AND(LEN(G399)&gt;0,ISNUMBER(G399)=FALSE),AND(LEN(I399)&gt;0,ISNUMBER(I399)=FALSE),AND(LEN(K399)&gt;0,ISNUMBER(K399)=FALSE),AND(LEN(M399)&gt;0,ISNUMBER(M399)=FALSE),AND(LEN(Q399)&gt;0,ISNUMBER(Q399)=FALSE),AND(LEN(S399)&gt;0,ISNUMBER(S399)=FALSE),AND(LEN(Y399)&gt;0,ISNUMBER(Y399)=FALSE),AND(LEN(AA399)&gt;0,ISNUMBER(AA399)=FALSE),AND(LEN(U399)&gt;0,ISNUMBER(U399)=FALSE)),"Check date",IF(COUNT(G399,I399,K399,M399,Q399,S399,W399,Y399,AA399)=0,"",MIN(G399,I399,K399,M399,Q399,S399,W399,Y399,AA399)))</f>
        <v/>
      </c>
      <c r="AE399" s="25">
        <f>IF(ISNUMBER(AD399),AD399-IF(ISNUMBER(AB399),AB399,30),"")</f>
        <v/>
      </c>
      <c r="AF399" s="27">
        <f>IF(AD399="","",IF(ISNUMBER(AD399),AD399-TODAY(),"Check date"))</f>
        <v/>
      </c>
      <c r="AG399" s="28">
        <f>IF(AF399="","",IF(ISNUMBER(AF399),IF(AF399&lt;0,"Expired",IF(AF399&lt;=30,"Due ≤30 days",IF(AF399&lt;=90,"Due ≤90 days","OK"))),"Check date"))</f>
        <v/>
      </c>
      <c r="AH399" s="22" t="n"/>
      <c r="AI399" s="22" t="n"/>
      <c r="AJ399" s="22" t="n"/>
      <c r="AK399" s="22" t="n"/>
    </row>
    <row r="400">
      <c r="A400" s="22" t="n"/>
      <c r="B400" s="22" t="n"/>
      <c r="C400" s="22" t="n"/>
      <c r="D400" s="22" t="n"/>
      <c r="E400" s="22" t="n"/>
      <c r="F400" s="22" t="n"/>
      <c r="G400" s="23" t="n"/>
      <c r="H400" s="22" t="n"/>
      <c r="I400" s="23" t="n"/>
      <c r="J400" s="22" t="n"/>
      <c r="K400" s="23" t="n"/>
      <c r="L400" s="22" t="n"/>
      <c r="M400" s="23" t="n"/>
      <c r="N400" s="22" t="n"/>
      <c r="O400" s="22" t="n"/>
      <c r="P400" s="22" t="n"/>
      <c r="Q400" s="23" t="n"/>
      <c r="R400" s="22" t="n"/>
      <c r="S400" s="23" t="n"/>
      <c r="T400" s="22" t="n"/>
      <c r="U400" s="23" t="n"/>
      <c r="V400" s="24" t="n"/>
      <c r="W400" s="25">
        <f>IF(ISNUMBER(U400),U400+IF(ISNUMBER(V400),V400,120),"")</f>
        <v/>
      </c>
      <c r="X400" s="22" t="n"/>
      <c r="Y400" s="23" t="n"/>
      <c r="Z400" s="22" t="n"/>
      <c r="AA400" s="23" t="n"/>
      <c r="AB400" s="24" t="n"/>
      <c r="AC400" s="26">
        <f>IF(ISNUMBER(AD400)=FALSE,"",IF(G400=AD400,"State license",IF(I400=AD400,"DEA registration",IF(K400=AD400,"State CSR",IF(M400=AD400,"Board certification",IF(Q400=AD400,"Malpractice",IF(S400=AD400,"Life support",IF(W400=AD400,"CAQH re-attestation",IF(Y400=AD400,"Privileges reappointment","Payer recredentialing")))))))))</f>
        <v/>
      </c>
      <c r="AD400" s="25">
        <f>IF(OR(AND(LEN(G400)&gt;0,ISNUMBER(G400)=FALSE),AND(LEN(I400)&gt;0,ISNUMBER(I400)=FALSE),AND(LEN(K400)&gt;0,ISNUMBER(K400)=FALSE),AND(LEN(M400)&gt;0,ISNUMBER(M400)=FALSE),AND(LEN(Q400)&gt;0,ISNUMBER(Q400)=FALSE),AND(LEN(S400)&gt;0,ISNUMBER(S400)=FALSE),AND(LEN(Y400)&gt;0,ISNUMBER(Y400)=FALSE),AND(LEN(AA400)&gt;0,ISNUMBER(AA400)=FALSE),AND(LEN(U400)&gt;0,ISNUMBER(U400)=FALSE)),"Check date",IF(COUNT(G400,I400,K400,M400,Q400,S400,W400,Y400,AA400)=0,"",MIN(G400,I400,K400,M400,Q400,S400,W400,Y400,AA400)))</f>
        <v/>
      </c>
      <c r="AE400" s="25">
        <f>IF(ISNUMBER(AD400),AD400-IF(ISNUMBER(AB400),AB400,30),"")</f>
        <v/>
      </c>
      <c r="AF400" s="27">
        <f>IF(AD400="","",IF(ISNUMBER(AD400),AD400-TODAY(),"Check date"))</f>
        <v/>
      </c>
      <c r="AG400" s="28">
        <f>IF(AF400="","",IF(ISNUMBER(AF400),IF(AF400&lt;0,"Expired",IF(AF400&lt;=30,"Due ≤30 days",IF(AF400&lt;=90,"Due ≤90 days","OK"))),"Check date"))</f>
        <v/>
      </c>
      <c r="AH400" s="22" t="n"/>
      <c r="AI400" s="22" t="n"/>
      <c r="AJ400" s="22" t="n"/>
      <c r="AK400" s="22" t="n"/>
    </row>
    <row r="401">
      <c r="A401" s="22" t="n"/>
      <c r="B401" s="22" t="n"/>
      <c r="C401" s="22" t="n"/>
      <c r="D401" s="22" t="n"/>
      <c r="E401" s="22" t="n"/>
      <c r="F401" s="22" t="n"/>
      <c r="G401" s="23" t="n"/>
      <c r="H401" s="22" t="n"/>
      <c r="I401" s="23" t="n"/>
      <c r="J401" s="22" t="n"/>
      <c r="K401" s="23" t="n"/>
      <c r="L401" s="22" t="n"/>
      <c r="M401" s="23" t="n"/>
      <c r="N401" s="22" t="n"/>
      <c r="O401" s="22" t="n"/>
      <c r="P401" s="22" t="n"/>
      <c r="Q401" s="23" t="n"/>
      <c r="R401" s="22" t="n"/>
      <c r="S401" s="23" t="n"/>
      <c r="T401" s="22" t="n"/>
      <c r="U401" s="23" t="n"/>
      <c r="V401" s="24" t="n"/>
      <c r="W401" s="25">
        <f>IF(ISNUMBER(U401),U401+IF(ISNUMBER(V401),V401,120),"")</f>
        <v/>
      </c>
      <c r="X401" s="22" t="n"/>
      <c r="Y401" s="23" t="n"/>
      <c r="Z401" s="22" t="n"/>
      <c r="AA401" s="23" t="n"/>
      <c r="AB401" s="24" t="n"/>
      <c r="AC401" s="26">
        <f>IF(ISNUMBER(AD401)=FALSE,"",IF(G401=AD401,"State license",IF(I401=AD401,"DEA registration",IF(K401=AD401,"State CSR",IF(M401=AD401,"Board certification",IF(Q401=AD401,"Malpractice",IF(S401=AD401,"Life support",IF(W401=AD401,"CAQH re-attestation",IF(Y401=AD401,"Privileges reappointment","Payer recredentialing")))))))))</f>
        <v/>
      </c>
      <c r="AD401" s="25">
        <f>IF(OR(AND(LEN(G401)&gt;0,ISNUMBER(G401)=FALSE),AND(LEN(I401)&gt;0,ISNUMBER(I401)=FALSE),AND(LEN(K401)&gt;0,ISNUMBER(K401)=FALSE),AND(LEN(M401)&gt;0,ISNUMBER(M401)=FALSE),AND(LEN(Q401)&gt;0,ISNUMBER(Q401)=FALSE),AND(LEN(S401)&gt;0,ISNUMBER(S401)=FALSE),AND(LEN(Y401)&gt;0,ISNUMBER(Y401)=FALSE),AND(LEN(AA401)&gt;0,ISNUMBER(AA401)=FALSE),AND(LEN(U401)&gt;0,ISNUMBER(U401)=FALSE)),"Check date",IF(COUNT(G401,I401,K401,M401,Q401,S401,W401,Y401,AA401)=0,"",MIN(G401,I401,K401,M401,Q401,S401,W401,Y401,AA401)))</f>
        <v/>
      </c>
      <c r="AE401" s="25">
        <f>IF(ISNUMBER(AD401),AD401-IF(ISNUMBER(AB401),AB401,30),"")</f>
        <v/>
      </c>
      <c r="AF401" s="27">
        <f>IF(AD401="","",IF(ISNUMBER(AD401),AD401-TODAY(),"Check date"))</f>
        <v/>
      </c>
      <c r="AG401" s="28">
        <f>IF(AF401="","",IF(ISNUMBER(AF401),IF(AF401&lt;0,"Expired",IF(AF401&lt;=30,"Due ≤30 days",IF(AF401&lt;=90,"Due ≤90 days","OK"))),"Check date"))</f>
        <v/>
      </c>
      <c r="AH401" s="22" t="n"/>
      <c r="AI401" s="22" t="n"/>
      <c r="AJ401" s="22" t="n"/>
      <c r="AK401" s="22" t="n"/>
    </row>
    <row r="402">
      <c r="A402" s="22" t="n"/>
      <c r="B402" s="22" t="n"/>
      <c r="C402" s="22" t="n"/>
      <c r="D402" s="22" t="n"/>
      <c r="E402" s="22" t="n"/>
      <c r="F402" s="22" t="n"/>
      <c r="G402" s="23" t="n"/>
      <c r="H402" s="22" t="n"/>
      <c r="I402" s="23" t="n"/>
      <c r="J402" s="22" t="n"/>
      <c r="K402" s="23" t="n"/>
      <c r="L402" s="22" t="n"/>
      <c r="M402" s="23" t="n"/>
      <c r="N402" s="22" t="n"/>
      <c r="O402" s="22" t="n"/>
      <c r="P402" s="22" t="n"/>
      <c r="Q402" s="23" t="n"/>
      <c r="R402" s="22" t="n"/>
      <c r="S402" s="23" t="n"/>
      <c r="T402" s="22" t="n"/>
      <c r="U402" s="23" t="n"/>
      <c r="V402" s="24" t="n"/>
      <c r="W402" s="25">
        <f>IF(ISNUMBER(U402),U402+IF(ISNUMBER(V402),V402,120),"")</f>
        <v/>
      </c>
      <c r="X402" s="22" t="n"/>
      <c r="Y402" s="23" t="n"/>
      <c r="Z402" s="22" t="n"/>
      <c r="AA402" s="23" t="n"/>
      <c r="AB402" s="24" t="n"/>
      <c r="AC402" s="26">
        <f>IF(ISNUMBER(AD402)=FALSE,"",IF(G402=AD402,"State license",IF(I402=AD402,"DEA registration",IF(K402=AD402,"State CSR",IF(M402=AD402,"Board certification",IF(Q402=AD402,"Malpractice",IF(S402=AD402,"Life support",IF(W402=AD402,"CAQH re-attestation",IF(Y402=AD402,"Privileges reappointment","Payer recredentialing")))))))))</f>
        <v/>
      </c>
      <c r="AD402" s="25">
        <f>IF(OR(AND(LEN(G402)&gt;0,ISNUMBER(G402)=FALSE),AND(LEN(I402)&gt;0,ISNUMBER(I402)=FALSE),AND(LEN(K402)&gt;0,ISNUMBER(K402)=FALSE),AND(LEN(M402)&gt;0,ISNUMBER(M402)=FALSE),AND(LEN(Q402)&gt;0,ISNUMBER(Q402)=FALSE),AND(LEN(S402)&gt;0,ISNUMBER(S402)=FALSE),AND(LEN(Y402)&gt;0,ISNUMBER(Y402)=FALSE),AND(LEN(AA402)&gt;0,ISNUMBER(AA402)=FALSE),AND(LEN(U402)&gt;0,ISNUMBER(U402)=FALSE)),"Check date",IF(COUNT(G402,I402,K402,M402,Q402,S402,W402,Y402,AA402)=0,"",MIN(G402,I402,K402,M402,Q402,S402,W402,Y402,AA402)))</f>
        <v/>
      </c>
      <c r="AE402" s="25">
        <f>IF(ISNUMBER(AD402),AD402-IF(ISNUMBER(AB402),AB402,30),"")</f>
        <v/>
      </c>
      <c r="AF402" s="27">
        <f>IF(AD402="","",IF(ISNUMBER(AD402),AD402-TODAY(),"Check date"))</f>
        <v/>
      </c>
      <c r="AG402" s="28">
        <f>IF(AF402="","",IF(ISNUMBER(AF402),IF(AF402&lt;0,"Expired",IF(AF402&lt;=30,"Due ≤30 days",IF(AF402&lt;=90,"Due ≤90 days","OK"))),"Check date"))</f>
        <v/>
      </c>
      <c r="AH402" s="22" t="n"/>
      <c r="AI402" s="22" t="n"/>
      <c r="AJ402" s="22" t="n"/>
      <c r="AK402" s="22" t="n"/>
    </row>
    <row r="403">
      <c r="A403" s="22" t="n"/>
      <c r="B403" s="22" t="n"/>
      <c r="C403" s="22" t="n"/>
      <c r="D403" s="22" t="n"/>
      <c r="E403" s="22" t="n"/>
      <c r="F403" s="22" t="n"/>
      <c r="G403" s="23" t="n"/>
      <c r="H403" s="22" t="n"/>
      <c r="I403" s="23" t="n"/>
      <c r="J403" s="22" t="n"/>
      <c r="K403" s="23" t="n"/>
      <c r="L403" s="22" t="n"/>
      <c r="M403" s="23" t="n"/>
      <c r="N403" s="22" t="n"/>
      <c r="O403" s="22" t="n"/>
      <c r="P403" s="22" t="n"/>
      <c r="Q403" s="23" t="n"/>
      <c r="R403" s="22" t="n"/>
      <c r="S403" s="23" t="n"/>
      <c r="T403" s="22" t="n"/>
      <c r="U403" s="23" t="n"/>
      <c r="V403" s="24" t="n"/>
      <c r="W403" s="25">
        <f>IF(ISNUMBER(U403),U403+IF(ISNUMBER(V403),V403,120),"")</f>
        <v/>
      </c>
      <c r="X403" s="22" t="n"/>
      <c r="Y403" s="23" t="n"/>
      <c r="Z403" s="22" t="n"/>
      <c r="AA403" s="23" t="n"/>
      <c r="AB403" s="24" t="n"/>
      <c r="AC403" s="26">
        <f>IF(ISNUMBER(AD403)=FALSE,"",IF(G403=AD403,"State license",IF(I403=AD403,"DEA registration",IF(K403=AD403,"State CSR",IF(M403=AD403,"Board certification",IF(Q403=AD403,"Malpractice",IF(S403=AD403,"Life support",IF(W403=AD403,"CAQH re-attestation",IF(Y403=AD403,"Privileges reappointment","Payer recredentialing")))))))))</f>
        <v/>
      </c>
      <c r="AD403" s="25">
        <f>IF(OR(AND(LEN(G403)&gt;0,ISNUMBER(G403)=FALSE),AND(LEN(I403)&gt;0,ISNUMBER(I403)=FALSE),AND(LEN(K403)&gt;0,ISNUMBER(K403)=FALSE),AND(LEN(M403)&gt;0,ISNUMBER(M403)=FALSE),AND(LEN(Q403)&gt;0,ISNUMBER(Q403)=FALSE),AND(LEN(S403)&gt;0,ISNUMBER(S403)=FALSE),AND(LEN(Y403)&gt;0,ISNUMBER(Y403)=FALSE),AND(LEN(AA403)&gt;0,ISNUMBER(AA403)=FALSE),AND(LEN(U403)&gt;0,ISNUMBER(U403)=FALSE)),"Check date",IF(COUNT(G403,I403,K403,M403,Q403,S403,W403,Y403,AA403)=0,"",MIN(G403,I403,K403,M403,Q403,S403,W403,Y403,AA403)))</f>
        <v/>
      </c>
      <c r="AE403" s="25">
        <f>IF(ISNUMBER(AD403),AD403-IF(ISNUMBER(AB403),AB403,30),"")</f>
        <v/>
      </c>
      <c r="AF403" s="27">
        <f>IF(AD403="","",IF(ISNUMBER(AD403),AD403-TODAY(),"Check date"))</f>
        <v/>
      </c>
      <c r="AG403" s="28">
        <f>IF(AF403="","",IF(ISNUMBER(AF403),IF(AF403&lt;0,"Expired",IF(AF403&lt;=30,"Due ≤30 days",IF(AF403&lt;=90,"Due ≤90 days","OK"))),"Check date"))</f>
        <v/>
      </c>
      <c r="AH403" s="22" t="n"/>
      <c r="AI403" s="22" t="n"/>
      <c r="AJ403" s="22" t="n"/>
      <c r="AK403" s="22" t="n"/>
    </row>
    <row r="404">
      <c r="A404" s="22" t="n"/>
      <c r="B404" s="22" t="n"/>
      <c r="C404" s="22" t="n"/>
      <c r="D404" s="22" t="n"/>
      <c r="E404" s="22" t="n"/>
      <c r="F404" s="22" t="n"/>
      <c r="G404" s="23" t="n"/>
      <c r="H404" s="22" t="n"/>
      <c r="I404" s="23" t="n"/>
      <c r="J404" s="22" t="n"/>
      <c r="K404" s="23" t="n"/>
      <c r="L404" s="22" t="n"/>
      <c r="M404" s="23" t="n"/>
      <c r="N404" s="22" t="n"/>
      <c r="O404" s="22" t="n"/>
      <c r="P404" s="22" t="n"/>
      <c r="Q404" s="23" t="n"/>
      <c r="R404" s="22" t="n"/>
      <c r="S404" s="23" t="n"/>
      <c r="T404" s="22" t="n"/>
      <c r="U404" s="23" t="n"/>
      <c r="V404" s="24" t="n"/>
      <c r="W404" s="25">
        <f>IF(ISNUMBER(U404),U404+IF(ISNUMBER(V404),V404,120),"")</f>
        <v/>
      </c>
      <c r="X404" s="22" t="n"/>
      <c r="Y404" s="23" t="n"/>
      <c r="Z404" s="22" t="n"/>
      <c r="AA404" s="23" t="n"/>
      <c r="AB404" s="24" t="n"/>
      <c r="AC404" s="26">
        <f>IF(ISNUMBER(AD404)=FALSE,"",IF(G404=AD404,"State license",IF(I404=AD404,"DEA registration",IF(K404=AD404,"State CSR",IF(M404=AD404,"Board certification",IF(Q404=AD404,"Malpractice",IF(S404=AD404,"Life support",IF(W404=AD404,"CAQH re-attestation",IF(Y404=AD404,"Privileges reappointment","Payer recredentialing")))))))))</f>
        <v/>
      </c>
      <c r="AD404" s="25">
        <f>IF(OR(AND(LEN(G404)&gt;0,ISNUMBER(G404)=FALSE),AND(LEN(I404)&gt;0,ISNUMBER(I404)=FALSE),AND(LEN(K404)&gt;0,ISNUMBER(K404)=FALSE),AND(LEN(M404)&gt;0,ISNUMBER(M404)=FALSE),AND(LEN(Q404)&gt;0,ISNUMBER(Q404)=FALSE),AND(LEN(S404)&gt;0,ISNUMBER(S404)=FALSE),AND(LEN(Y404)&gt;0,ISNUMBER(Y404)=FALSE),AND(LEN(AA404)&gt;0,ISNUMBER(AA404)=FALSE),AND(LEN(U404)&gt;0,ISNUMBER(U404)=FALSE)),"Check date",IF(COUNT(G404,I404,K404,M404,Q404,S404,W404,Y404,AA404)=0,"",MIN(G404,I404,K404,M404,Q404,S404,W404,Y404,AA404)))</f>
        <v/>
      </c>
      <c r="AE404" s="25">
        <f>IF(ISNUMBER(AD404),AD404-IF(ISNUMBER(AB404),AB404,30),"")</f>
        <v/>
      </c>
      <c r="AF404" s="27">
        <f>IF(AD404="","",IF(ISNUMBER(AD404),AD404-TODAY(),"Check date"))</f>
        <v/>
      </c>
      <c r="AG404" s="28">
        <f>IF(AF404="","",IF(ISNUMBER(AF404),IF(AF404&lt;0,"Expired",IF(AF404&lt;=30,"Due ≤30 days",IF(AF404&lt;=90,"Due ≤90 days","OK"))),"Check date"))</f>
        <v/>
      </c>
      <c r="AH404" s="22" t="n"/>
      <c r="AI404" s="22" t="n"/>
      <c r="AJ404" s="22" t="n"/>
      <c r="AK404" s="22" t="n"/>
    </row>
    <row r="405">
      <c r="A405" s="22" t="n"/>
      <c r="B405" s="22" t="n"/>
      <c r="C405" s="22" t="n"/>
      <c r="D405" s="22" t="n"/>
      <c r="E405" s="22" t="n"/>
      <c r="F405" s="22" t="n"/>
      <c r="G405" s="23" t="n"/>
      <c r="H405" s="22" t="n"/>
      <c r="I405" s="23" t="n"/>
      <c r="J405" s="22" t="n"/>
      <c r="K405" s="23" t="n"/>
      <c r="L405" s="22" t="n"/>
      <c r="M405" s="23" t="n"/>
      <c r="N405" s="22" t="n"/>
      <c r="O405" s="22" t="n"/>
      <c r="P405" s="22" t="n"/>
      <c r="Q405" s="23" t="n"/>
      <c r="R405" s="22" t="n"/>
      <c r="S405" s="23" t="n"/>
      <c r="T405" s="22" t="n"/>
      <c r="U405" s="23" t="n"/>
      <c r="V405" s="24" t="n"/>
      <c r="W405" s="25">
        <f>IF(ISNUMBER(U405),U405+IF(ISNUMBER(V405),V405,120),"")</f>
        <v/>
      </c>
      <c r="X405" s="22" t="n"/>
      <c r="Y405" s="23" t="n"/>
      <c r="Z405" s="22" t="n"/>
      <c r="AA405" s="23" t="n"/>
      <c r="AB405" s="24" t="n"/>
      <c r="AC405" s="26">
        <f>IF(ISNUMBER(AD405)=FALSE,"",IF(G405=AD405,"State license",IF(I405=AD405,"DEA registration",IF(K405=AD405,"State CSR",IF(M405=AD405,"Board certification",IF(Q405=AD405,"Malpractice",IF(S405=AD405,"Life support",IF(W405=AD405,"CAQH re-attestation",IF(Y405=AD405,"Privileges reappointment","Payer recredentialing")))))))))</f>
        <v/>
      </c>
      <c r="AD405" s="25">
        <f>IF(OR(AND(LEN(G405)&gt;0,ISNUMBER(G405)=FALSE),AND(LEN(I405)&gt;0,ISNUMBER(I405)=FALSE),AND(LEN(K405)&gt;0,ISNUMBER(K405)=FALSE),AND(LEN(M405)&gt;0,ISNUMBER(M405)=FALSE),AND(LEN(Q405)&gt;0,ISNUMBER(Q405)=FALSE),AND(LEN(S405)&gt;0,ISNUMBER(S405)=FALSE),AND(LEN(Y405)&gt;0,ISNUMBER(Y405)=FALSE),AND(LEN(AA405)&gt;0,ISNUMBER(AA405)=FALSE),AND(LEN(U405)&gt;0,ISNUMBER(U405)=FALSE)),"Check date",IF(COUNT(G405,I405,K405,M405,Q405,S405,W405,Y405,AA405)=0,"",MIN(G405,I405,K405,M405,Q405,S405,W405,Y405,AA405)))</f>
        <v/>
      </c>
      <c r="AE405" s="25">
        <f>IF(ISNUMBER(AD405),AD405-IF(ISNUMBER(AB405),AB405,30),"")</f>
        <v/>
      </c>
      <c r="AF405" s="27">
        <f>IF(AD405="","",IF(ISNUMBER(AD405),AD405-TODAY(),"Check date"))</f>
        <v/>
      </c>
      <c r="AG405" s="28">
        <f>IF(AF405="","",IF(ISNUMBER(AF405),IF(AF405&lt;0,"Expired",IF(AF405&lt;=30,"Due ≤30 days",IF(AF405&lt;=90,"Due ≤90 days","OK"))),"Check date"))</f>
        <v/>
      </c>
      <c r="AH405" s="22" t="n"/>
      <c r="AI405" s="22" t="n"/>
      <c r="AJ405" s="22" t="n"/>
      <c r="AK405" s="22" t="n"/>
    </row>
    <row r="406">
      <c r="A406" s="22" t="n"/>
      <c r="B406" s="22" t="n"/>
      <c r="C406" s="22" t="n"/>
      <c r="D406" s="22" t="n"/>
      <c r="E406" s="22" t="n"/>
      <c r="F406" s="22" t="n"/>
      <c r="G406" s="23" t="n"/>
      <c r="H406" s="22" t="n"/>
      <c r="I406" s="23" t="n"/>
      <c r="J406" s="22" t="n"/>
      <c r="K406" s="23" t="n"/>
      <c r="L406" s="22" t="n"/>
      <c r="M406" s="23" t="n"/>
      <c r="N406" s="22" t="n"/>
      <c r="O406" s="22" t="n"/>
      <c r="P406" s="22" t="n"/>
      <c r="Q406" s="23" t="n"/>
      <c r="R406" s="22" t="n"/>
      <c r="S406" s="23" t="n"/>
      <c r="T406" s="22" t="n"/>
      <c r="U406" s="23" t="n"/>
      <c r="V406" s="24" t="n"/>
      <c r="W406" s="25">
        <f>IF(ISNUMBER(U406),U406+IF(ISNUMBER(V406),V406,120),"")</f>
        <v/>
      </c>
      <c r="X406" s="22" t="n"/>
      <c r="Y406" s="23" t="n"/>
      <c r="Z406" s="22" t="n"/>
      <c r="AA406" s="23" t="n"/>
      <c r="AB406" s="24" t="n"/>
      <c r="AC406" s="26">
        <f>IF(ISNUMBER(AD406)=FALSE,"",IF(G406=AD406,"State license",IF(I406=AD406,"DEA registration",IF(K406=AD406,"State CSR",IF(M406=AD406,"Board certification",IF(Q406=AD406,"Malpractice",IF(S406=AD406,"Life support",IF(W406=AD406,"CAQH re-attestation",IF(Y406=AD406,"Privileges reappointment","Payer recredentialing")))))))))</f>
        <v/>
      </c>
      <c r="AD406" s="25">
        <f>IF(OR(AND(LEN(G406)&gt;0,ISNUMBER(G406)=FALSE),AND(LEN(I406)&gt;0,ISNUMBER(I406)=FALSE),AND(LEN(K406)&gt;0,ISNUMBER(K406)=FALSE),AND(LEN(M406)&gt;0,ISNUMBER(M406)=FALSE),AND(LEN(Q406)&gt;0,ISNUMBER(Q406)=FALSE),AND(LEN(S406)&gt;0,ISNUMBER(S406)=FALSE),AND(LEN(Y406)&gt;0,ISNUMBER(Y406)=FALSE),AND(LEN(AA406)&gt;0,ISNUMBER(AA406)=FALSE),AND(LEN(U406)&gt;0,ISNUMBER(U406)=FALSE)),"Check date",IF(COUNT(G406,I406,K406,M406,Q406,S406,W406,Y406,AA406)=0,"",MIN(G406,I406,K406,M406,Q406,S406,W406,Y406,AA406)))</f>
        <v/>
      </c>
      <c r="AE406" s="25">
        <f>IF(ISNUMBER(AD406),AD406-IF(ISNUMBER(AB406),AB406,30),"")</f>
        <v/>
      </c>
      <c r="AF406" s="27">
        <f>IF(AD406="","",IF(ISNUMBER(AD406),AD406-TODAY(),"Check date"))</f>
        <v/>
      </c>
      <c r="AG406" s="28">
        <f>IF(AF406="","",IF(ISNUMBER(AF406),IF(AF406&lt;0,"Expired",IF(AF406&lt;=30,"Due ≤30 days",IF(AF406&lt;=90,"Due ≤90 days","OK"))),"Check date"))</f>
        <v/>
      </c>
      <c r="AH406" s="22" t="n"/>
      <c r="AI406" s="22" t="n"/>
      <c r="AJ406" s="22" t="n"/>
      <c r="AK406" s="22" t="n"/>
    </row>
    <row r="407">
      <c r="A407" s="22" t="n"/>
      <c r="B407" s="22" t="n"/>
      <c r="C407" s="22" t="n"/>
      <c r="D407" s="22" t="n"/>
      <c r="E407" s="22" t="n"/>
      <c r="F407" s="22" t="n"/>
      <c r="G407" s="23" t="n"/>
      <c r="H407" s="22" t="n"/>
      <c r="I407" s="23" t="n"/>
      <c r="J407" s="22" t="n"/>
      <c r="K407" s="23" t="n"/>
      <c r="L407" s="22" t="n"/>
      <c r="M407" s="23" t="n"/>
      <c r="N407" s="22" t="n"/>
      <c r="O407" s="22" t="n"/>
      <c r="P407" s="22" t="n"/>
      <c r="Q407" s="23" t="n"/>
      <c r="R407" s="22" t="n"/>
      <c r="S407" s="23" t="n"/>
      <c r="T407" s="22" t="n"/>
      <c r="U407" s="23" t="n"/>
      <c r="V407" s="24" t="n"/>
      <c r="W407" s="25">
        <f>IF(ISNUMBER(U407),U407+IF(ISNUMBER(V407),V407,120),"")</f>
        <v/>
      </c>
      <c r="X407" s="22" t="n"/>
      <c r="Y407" s="23" t="n"/>
      <c r="Z407" s="22" t="n"/>
      <c r="AA407" s="23" t="n"/>
      <c r="AB407" s="24" t="n"/>
      <c r="AC407" s="26">
        <f>IF(ISNUMBER(AD407)=FALSE,"",IF(G407=AD407,"State license",IF(I407=AD407,"DEA registration",IF(K407=AD407,"State CSR",IF(M407=AD407,"Board certification",IF(Q407=AD407,"Malpractice",IF(S407=AD407,"Life support",IF(W407=AD407,"CAQH re-attestation",IF(Y407=AD407,"Privileges reappointment","Payer recredentialing")))))))))</f>
        <v/>
      </c>
      <c r="AD407" s="25">
        <f>IF(OR(AND(LEN(G407)&gt;0,ISNUMBER(G407)=FALSE),AND(LEN(I407)&gt;0,ISNUMBER(I407)=FALSE),AND(LEN(K407)&gt;0,ISNUMBER(K407)=FALSE),AND(LEN(M407)&gt;0,ISNUMBER(M407)=FALSE),AND(LEN(Q407)&gt;0,ISNUMBER(Q407)=FALSE),AND(LEN(S407)&gt;0,ISNUMBER(S407)=FALSE),AND(LEN(Y407)&gt;0,ISNUMBER(Y407)=FALSE),AND(LEN(AA407)&gt;0,ISNUMBER(AA407)=FALSE),AND(LEN(U407)&gt;0,ISNUMBER(U407)=FALSE)),"Check date",IF(COUNT(G407,I407,K407,M407,Q407,S407,W407,Y407,AA407)=0,"",MIN(G407,I407,K407,M407,Q407,S407,W407,Y407,AA407)))</f>
        <v/>
      </c>
      <c r="AE407" s="25">
        <f>IF(ISNUMBER(AD407),AD407-IF(ISNUMBER(AB407),AB407,30),"")</f>
        <v/>
      </c>
      <c r="AF407" s="27">
        <f>IF(AD407="","",IF(ISNUMBER(AD407),AD407-TODAY(),"Check date"))</f>
        <v/>
      </c>
      <c r="AG407" s="28">
        <f>IF(AF407="","",IF(ISNUMBER(AF407),IF(AF407&lt;0,"Expired",IF(AF407&lt;=30,"Due ≤30 days",IF(AF407&lt;=90,"Due ≤90 days","OK"))),"Check date"))</f>
        <v/>
      </c>
      <c r="AH407" s="22" t="n"/>
      <c r="AI407" s="22" t="n"/>
      <c r="AJ407" s="22" t="n"/>
      <c r="AK407" s="22" t="n"/>
    </row>
    <row r="408">
      <c r="A408" s="22" t="n"/>
      <c r="B408" s="22" t="n"/>
      <c r="C408" s="22" t="n"/>
      <c r="D408" s="22" t="n"/>
      <c r="E408" s="22" t="n"/>
      <c r="F408" s="22" t="n"/>
      <c r="G408" s="23" t="n"/>
      <c r="H408" s="22" t="n"/>
      <c r="I408" s="23" t="n"/>
      <c r="J408" s="22" t="n"/>
      <c r="K408" s="23" t="n"/>
      <c r="L408" s="22" t="n"/>
      <c r="M408" s="23" t="n"/>
      <c r="N408" s="22" t="n"/>
      <c r="O408" s="22" t="n"/>
      <c r="P408" s="22" t="n"/>
      <c r="Q408" s="23" t="n"/>
      <c r="R408" s="22" t="n"/>
      <c r="S408" s="23" t="n"/>
      <c r="T408" s="22" t="n"/>
      <c r="U408" s="23" t="n"/>
      <c r="V408" s="24" t="n"/>
      <c r="W408" s="25">
        <f>IF(ISNUMBER(U408),U408+IF(ISNUMBER(V408),V408,120),"")</f>
        <v/>
      </c>
      <c r="X408" s="22" t="n"/>
      <c r="Y408" s="23" t="n"/>
      <c r="Z408" s="22" t="n"/>
      <c r="AA408" s="23" t="n"/>
      <c r="AB408" s="24" t="n"/>
      <c r="AC408" s="26">
        <f>IF(ISNUMBER(AD408)=FALSE,"",IF(G408=AD408,"State license",IF(I408=AD408,"DEA registration",IF(K408=AD408,"State CSR",IF(M408=AD408,"Board certification",IF(Q408=AD408,"Malpractice",IF(S408=AD408,"Life support",IF(W408=AD408,"CAQH re-attestation",IF(Y408=AD408,"Privileges reappointment","Payer recredentialing")))))))))</f>
        <v/>
      </c>
      <c r="AD408" s="25">
        <f>IF(OR(AND(LEN(G408)&gt;0,ISNUMBER(G408)=FALSE),AND(LEN(I408)&gt;0,ISNUMBER(I408)=FALSE),AND(LEN(K408)&gt;0,ISNUMBER(K408)=FALSE),AND(LEN(M408)&gt;0,ISNUMBER(M408)=FALSE),AND(LEN(Q408)&gt;0,ISNUMBER(Q408)=FALSE),AND(LEN(S408)&gt;0,ISNUMBER(S408)=FALSE),AND(LEN(Y408)&gt;0,ISNUMBER(Y408)=FALSE),AND(LEN(AA408)&gt;0,ISNUMBER(AA408)=FALSE),AND(LEN(U408)&gt;0,ISNUMBER(U408)=FALSE)),"Check date",IF(COUNT(G408,I408,K408,M408,Q408,S408,W408,Y408,AA408)=0,"",MIN(G408,I408,K408,M408,Q408,S408,W408,Y408,AA408)))</f>
        <v/>
      </c>
      <c r="AE408" s="25">
        <f>IF(ISNUMBER(AD408),AD408-IF(ISNUMBER(AB408),AB408,30),"")</f>
        <v/>
      </c>
      <c r="AF408" s="27">
        <f>IF(AD408="","",IF(ISNUMBER(AD408),AD408-TODAY(),"Check date"))</f>
        <v/>
      </c>
      <c r="AG408" s="28">
        <f>IF(AF408="","",IF(ISNUMBER(AF408),IF(AF408&lt;0,"Expired",IF(AF408&lt;=30,"Due ≤30 days",IF(AF408&lt;=90,"Due ≤90 days","OK"))),"Check date"))</f>
        <v/>
      </c>
      <c r="AH408" s="22" t="n"/>
      <c r="AI408" s="22" t="n"/>
      <c r="AJ408" s="22" t="n"/>
      <c r="AK408" s="22" t="n"/>
    </row>
    <row r="409">
      <c r="A409" s="22" t="n"/>
      <c r="B409" s="22" t="n"/>
      <c r="C409" s="22" t="n"/>
      <c r="D409" s="22" t="n"/>
      <c r="E409" s="22" t="n"/>
      <c r="F409" s="22" t="n"/>
      <c r="G409" s="23" t="n"/>
      <c r="H409" s="22" t="n"/>
      <c r="I409" s="23" t="n"/>
      <c r="J409" s="22" t="n"/>
      <c r="K409" s="23" t="n"/>
      <c r="L409" s="22" t="n"/>
      <c r="M409" s="23" t="n"/>
      <c r="N409" s="22" t="n"/>
      <c r="O409" s="22" t="n"/>
      <c r="P409" s="22" t="n"/>
      <c r="Q409" s="23" t="n"/>
      <c r="R409" s="22" t="n"/>
      <c r="S409" s="23" t="n"/>
      <c r="T409" s="22" t="n"/>
      <c r="U409" s="23" t="n"/>
      <c r="V409" s="24" t="n"/>
      <c r="W409" s="25">
        <f>IF(ISNUMBER(U409),U409+IF(ISNUMBER(V409),V409,120),"")</f>
        <v/>
      </c>
      <c r="X409" s="22" t="n"/>
      <c r="Y409" s="23" t="n"/>
      <c r="Z409" s="22" t="n"/>
      <c r="AA409" s="23" t="n"/>
      <c r="AB409" s="24" t="n"/>
      <c r="AC409" s="26">
        <f>IF(ISNUMBER(AD409)=FALSE,"",IF(G409=AD409,"State license",IF(I409=AD409,"DEA registration",IF(K409=AD409,"State CSR",IF(M409=AD409,"Board certification",IF(Q409=AD409,"Malpractice",IF(S409=AD409,"Life support",IF(W409=AD409,"CAQH re-attestation",IF(Y409=AD409,"Privileges reappointment","Payer recredentialing")))))))))</f>
        <v/>
      </c>
      <c r="AD409" s="25">
        <f>IF(OR(AND(LEN(G409)&gt;0,ISNUMBER(G409)=FALSE),AND(LEN(I409)&gt;0,ISNUMBER(I409)=FALSE),AND(LEN(K409)&gt;0,ISNUMBER(K409)=FALSE),AND(LEN(M409)&gt;0,ISNUMBER(M409)=FALSE),AND(LEN(Q409)&gt;0,ISNUMBER(Q409)=FALSE),AND(LEN(S409)&gt;0,ISNUMBER(S409)=FALSE),AND(LEN(Y409)&gt;0,ISNUMBER(Y409)=FALSE),AND(LEN(AA409)&gt;0,ISNUMBER(AA409)=FALSE),AND(LEN(U409)&gt;0,ISNUMBER(U409)=FALSE)),"Check date",IF(COUNT(G409,I409,K409,M409,Q409,S409,W409,Y409,AA409)=0,"",MIN(G409,I409,K409,M409,Q409,S409,W409,Y409,AA409)))</f>
        <v/>
      </c>
      <c r="AE409" s="25">
        <f>IF(ISNUMBER(AD409),AD409-IF(ISNUMBER(AB409),AB409,30),"")</f>
        <v/>
      </c>
      <c r="AF409" s="27">
        <f>IF(AD409="","",IF(ISNUMBER(AD409),AD409-TODAY(),"Check date"))</f>
        <v/>
      </c>
      <c r="AG409" s="28">
        <f>IF(AF409="","",IF(ISNUMBER(AF409),IF(AF409&lt;0,"Expired",IF(AF409&lt;=30,"Due ≤30 days",IF(AF409&lt;=90,"Due ≤90 days","OK"))),"Check date"))</f>
        <v/>
      </c>
      <c r="AH409" s="22" t="n"/>
      <c r="AI409" s="22" t="n"/>
      <c r="AJ409" s="22" t="n"/>
      <c r="AK409" s="22" t="n"/>
    </row>
    <row r="410">
      <c r="A410" s="22" t="n"/>
      <c r="B410" s="22" t="n"/>
      <c r="C410" s="22" t="n"/>
      <c r="D410" s="22" t="n"/>
      <c r="E410" s="22" t="n"/>
      <c r="F410" s="22" t="n"/>
      <c r="G410" s="23" t="n"/>
      <c r="H410" s="22" t="n"/>
      <c r="I410" s="23" t="n"/>
      <c r="J410" s="22" t="n"/>
      <c r="K410" s="23" t="n"/>
      <c r="L410" s="22" t="n"/>
      <c r="M410" s="23" t="n"/>
      <c r="N410" s="22" t="n"/>
      <c r="O410" s="22" t="n"/>
      <c r="P410" s="22" t="n"/>
      <c r="Q410" s="23" t="n"/>
      <c r="R410" s="22" t="n"/>
      <c r="S410" s="23" t="n"/>
      <c r="T410" s="22" t="n"/>
      <c r="U410" s="23" t="n"/>
      <c r="V410" s="24" t="n"/>
      <c r="W410" s="25">
        <f>IF(ISNUMBER(U410),U410+IF(ISNUMBER(V410),V410,120),"")</f>
        <v/>
      </c>
      <c r="X410" s="22" t="n"/>
      <c r="Y410" s="23" t="n"/>
      <c r="Z410" s="22" t="n"/>
      <c r="AA410" s="23" t="n"/>
      <c r="AB410" s="24" t="n"/>
      <c r="AC410" s="26">
        <f>IF(ISNUMBER(AD410)=FALSE,"",IF(G410=AD410,"State license",IF(I410=AD410,"DEA registration",IF(K410=AD410,"State CSR",IF(M410=AD410,"Board certification",IF(Q410=AD410,"Malpractice",IF(S410=AD410,"Life support",IF(W410=AD410,"CAQH re-attestation",IF(Y410=AD410,"Privileges reappointment","Payer recredentialing")))))))))</f>
        <v/>
      </c>
      <c r="AD410" s="25">
        <f>IF(OR(AND(LEN(G410)&gt;0,ISNUMBER(G410)=FALSE),AND(LEN(I410)&gt;0,ISNUMBER(I410)=FALSE),AND(LEN(K410)&gt;0,ISNUMBER(K410)=FALSE),AND(LEN(M410)&gt;0,ISNUMBER(M410)=FALSE),AND(LEN(Q410)&gt;0,ISNUMBER(Q410)=FALSE),AND(LEN(S410)&gt;0,ISNUMBER(S410)=FALSE),AND(LEN(Y410)&gt;0,ISNUMBER(Y410)=FALSE),AND(LEN(AA410)&gt;0,ISNUMBER(AA410)=FALSE),AND(LEN(U410)&gt;0,ISNUMBER(U410)=FALSE)),"Check date",IF(COUNT(G410,I410,K410,M410,Q410,S410,W410,Y410,AA410)=0,"",MIN(G410,I410,K410,M410,Q410,S410,W410,Y410,AA410)))</f>
        <v/>
      </c>
      <c r="AE410" s="25">
        <f>IF(ISNUMBER(AD410),AD410-IF(ISNUMBER(AB410),AB410,30),"")</f>
        <v/>
      </c>
      <c r="AF410" s="27">
        <f>IF(AD410="","",IF(ISNUMBER(AD410),AD410-TODAY(),"Check date"))</f>
        <v/>
      </c>
      <c r="AG410" s="28">
        <f>IF(AF410="","",IF(ISNUMBER(AF410),IF(AF410&lt;0,"Expired",IF(AF410&lt;=30,"Due ≤30 days",IF(AF410&lt;=90,"Due ≤90 days","OK"))),"Check date"))</f>
        <v/>
      </c>
      <c r="AH410" s="22" t="n"/>
      <c r="AI410" s="22" t="n"/>
      <c r="AJ410" s="22" t="n"/>
      <c r="AK410" s="22" t="n"/>
    </row>
    <row r="411">
      <c r="A411" s="22" t="n"/>
      <c r="B411" s="22" t="n"/>
      <c r="C411" s="22" t="n"/>
      <c r="D411" s="22" t="n"/>
      <c r="E411" s="22" t="n"/>
      <c r="F411" s="22" t="n"/>
      <c r="G411" s="23" t="n"/>
      <c r="H411" s="22" t="n"/>
      <c r="I411" s="23" t="n"/>
      <c r="J411" s="22" t="n"/>
      <c r="K411" s="23" t="n"/>
      <c r="L411" s="22" t="n"/>
      <c r="M411" s="23" t="n"/>
      <c r="N411" s="22" t="n"/>
      <c r="O411" s="22" t="n"/>
      <c r="P411" s="22" t="n"/>
      <c r="Q411" s="23" t="n"/>
      <c r="R411" s="22" t="n"/>
      <c r="S411" s="23" t="n"/>
      <c r="T411" s="22" t="n"/>
      <c r="U411" s="23" t="n"/>
      <c r="V411" s="24" t="n"/>
      <c r="W411" s="25">
        <f>IF(ISNUMBER(U411),U411+IF(ISNUMBER(V411),V411,120),"")</f>
        <v/>
      </c>
      <c r="X411" s="22" t="n"/>
      <c r="Y411" s="23" t="n"/>
      <c r="Z411" s="22" t="n"/>
      <c r="AA411" s="23" t="n"/>
      <c r="AB411" s="24" t="n"/>
      <c r="AC411" s="26">
        <f>IF(ISNUMBER(AD411)=FALSE,"",IF(G411=AD411,"State license",IF(I411=AD411,"DEA registration",IF(K411=AD411,"State CSR",IF(M411=AD411,"Board certification",IF(Q411=AD411,"Malpractice",IF(S411=AD411,"Life support",IF(W411=AD411,"CAQH re-attestation",IF(Y411=AD411,"Privileges reappointment","Payer recredentialing")))))))))</f>
        <v/>
      </c>
      <c r="AD411" s="25">
        <f>IF(OR(AND(LEN(G411)&gt;0,ISNUMBER(G411)=FALSE),AND(LEN(I411)&gt;0,ISNUMBER(I411)=FALSE),AND(LEN(K411)&gt;0,ISNUMBER(K411)=FALSE),AND(LEN(M411)&gt;0,ISNUMBER(M411)=FALSE),AND(LEN(Q411)&gt;0,ISNUMBER(Q411)=FALSE),AND(LEN(S411)&gt;0,ISNUMBER(S411)=FALSE),AND(LEN(Y411)&gt;0,ISNUMBER(Y411)=FALSE),AND(LEN(AA411)&gt;0,ISNUMBER(AA411)=FALSE),AND(LEN(U411)&gt;0,ISNUMBER(U411)=FALSE)),"Check date",IF(COUNT(G411,I411,K411,M411,Q411,S411,W411,Y411,AA411)=0,"",MIN(G411,I411,K411,M411,Q411,S411,W411,Y411,AA411)))</f>
        <v/>
      </c>
      <c r="AE411" s="25">
        <f>IF(ISNUMBER(AD411),AD411-IF(ISNUMBER(AB411),AB411,30),"")</f>
        <v/>
      </c>
      <c r="AF411" s="27">
        <f>IF(AD411="","",IF(ISNUMBER(AD411),AD411-TODAY(),"Check date"))</f>
        <v/>
      </c>
      <c r="AG411" s="28">
        <f>IF(AF411="","",IF(ISNUMBER(AF411),IF(AF411&lt;0,"Expired",IF(AF411&lt;=30,"Due ≤30 days",IF(AF411&lt;=90,"Due ≤90 days","OK"))),"Check date"))</f>
        <v/>
      </c>
      <c r="AH411" s="22" t="n"/>
      <c r="AI411" s="22" t="n"/>
      <c r="AJ411" s="22" t="n"/>
      <c r="AK411" s="22" t="n"/>
    </row>
    <row r="412">
      <c r="A412" s="22" t="n"/>
      <c r="B412" s="22" t="n"/>
      <c r="C412" s="22" t="n"/>
      <c r="D412" s="22" t="n"/>
      <c r="E412" s="22" t="n"/>
      <c r="F412" s="22" t="n"/>
      <c r="G412" s="23" t="n"/>
      <c r="H412" s="22" t="n"/>
      <c r="I412" s="23" t="n"/>
      <c r="J412" s="22" t="n"/>
      <c r="K412" s="23" t="n"/>
      <c r="L412" s="22" t="n"/>
      <c r="M412" s="23" t="n"/>
      <c r="N412" s="22" t="n"/>
      <c r="O412" s="22" t="n"/>
      <c r="P412" s="22" t="n"/>
      <c r="Q412" s="23" t="n"/>
      <c r="R412" s="22" t="n"/>
      <c r="S412" s="23" t="n"/>
      <c r="T412" s="22" t="n"/>
      <c r="U412" s="23" t="n"/>
      <c r="V412" s="24" t="n"/>
      <c r="W412" s="25">
        <f>IF(ISNUMBER(U412),U412+IF(ISNUMBER(V412),V412,120),"")</f>
        <v/>
      </c>
      <c r="X412" s="22" t="n"/>
      <c r="Y412" s="23" t="n"/>
      <c r="Z412" s="22" t="n"/>
      <c r="AA412" s="23" t="n"/>
      <c r="AB412" s="24" t="n"/>
      <c r="AC412" s="26">
        <f>IF(ISNUMBER(AD412)=FALSE,"",IF(G412=AD412,"State license",IF(I412=AD412,"DEA registration",IF(K412=AD412,"State CSR",IF(M412=AD412,"Board certification",IF(Q412=AD412,"Malpractice",IF(S412=AD412,"Life support",IF(W412=AD412,"CAQH re-attestation",IF(Y412=AD412,"Privileges reappointment","Payer recredentialing")))))))))</f>
        <v/>
      </c>
      <c r="AD412" s="25">
        <f>IF(OR(AND(LEN(G412)&gt;0,ISNUMBER(G412)=FALSE),AND(LEN(I412)&gt;0,ISNUMBER(I412)=FALSE),AND(LEN(K412)&gt;0,ISNUMBER(K412)=FALSE),AND(LEN(M412)&gt;0,ISNUMBER(M412)=FALSE),AND(LEN(Q412)&gt;0,ISNUMBER(Q412)=FALSE),AND(LEN(S412)&gt;0,ISNUMBER(S412)=FALSE),AND(LEN(Y412)&gt;0,ISNUMBER(Y412)=FALSE),AND(LEN(AA412)&gt;0,ISNUMBER(AA412)=FALSE),AND(LEN(U412)&gt;0,ISNUMBER(U412)=FALSE)),"Check date",IF(COUNT(G412,I412,K412,M412,Q412,S412,W412,Y412,AA412)=0,"",MIN(G412,I412,K412,M412,Q412,S412,W412,Y412,AA412)))</f>
        <v/>
      </c>
      <c r="AE412" s="25">
        <f>IF(ISNUMBER(AD412),AD412-IF(ISNUMBER(AB412),AB412,30),"")</f>
        <v/>
      </c>
      <c r="AF412" s="27">
        <f>IF(AD412="","",IF(ISNUMBER(AD412),AD412-TODAY(),"Check date"))</f>
        <v/>
      </c>
      <c r="AG412" s="28">
        <f>IF(AF412="","",IF(ISNUMBER(AF412),IF(AF412&lt;0,"Expired",IF(AF412&lt;=30,"Due ≤30 days",IF(AF412&lt;=90,"Due ≤90 days","OK"))),"Check date"))</f>
        <v/>
      </c>
      <c r="AH412" s="22" t="n"/>
      <c r="AI412" s="22" t="n"/>
      <c r="AJ412" s="22" t="n"/>
      <c r="AK412" s="22" t="n"/>
    </row>
    <row r="413">
      <c r="A413" s="22" t="n"/>
      <c r="B413" s="22" t="n"/>
      <c r="C413" s="22" t="n"/>
      <c r="D413" s="22" t="n"/>
      <c r="E413" s="22" t="n"/>
      <c r="F413" s="22" t="n"/>
      <c r="G413" s="23" t="n"/>
      <c r="H413" s="22" t="n"/>
      <c r="I413" s="23" t="n"/>
      <c r="J413" s="22" t="n"/>
      <c r="K413" s="23" t="n"/>
      <c r="L413" s="22" t="n"/>
      <c r="M413" s="23" t="n"/>
      <c r="N413" s="22" t="n"/>
      <c r="O413" s="22" t="n"/>
      <c r="P413" s="22" t="n"/>
      <c r="Q413" s="23" t="n"/>
      <c r="R413" s="22" t="n"/>
      <c r="S413" s="23" t="n"/>
      <c r="T413" s="22" t="n"/>
      <c r="U413" s="23" t="n"/>
      <c r="V413" s="24" t="n"/>
      <c r="W413" s="25">
        <f>IF(ISNUMBER(U413),U413+IF(ISNUMBER(V413),V413,120),"")</f>
        <v/>
      </c>
      <c r="X413" s="22" t="n"/>
      <c r="Y413" s="23" t="n"/>
      <c r="Z413" s="22" t="n"/>
      <c r="AA413" s="23" t="n"/>
      <c r="AB413" s="24" t="n"/>
      <c r="AC413" s="26">
        <f>IF(ISNUMBER(AD413)=FALSE,"",IF(G413=AD413,"State license",IF(I413=AD413,"DEA registration",IF(K413=AD413,"State CSR",IF(M413=AD413,"Board certification",IF(Q413=AD413,"Malpractice",IF(S413=AD413,"Life support",IF(W413=AD413,"CAQH re-attestation",IF(Y413=AD413,"Privileges reappointment","Payer recredentialing")))))))))</f>
        <v/>
      </c>
      <c r="AD413" s="25">
        <f>IF(OR(AND(LEN(G413)&gt;0,ISNUMBER(G413)=FALSE),AND(LEN(I413)&gt;0,ISNUMBER(I413)=FALSE),AND(LEN(K413)&gt;0,ISNUMBER(K413)=FALSE),AND(LEN(M413)&gt;0,ISNUMBER(M413)=FALSE),AND(LEN(Q413)&gt;0,ISNUMBER(Q413)=FALSE),AND(LEN(S413)&gt;0,ISNUMBER(S413)=FALSE),AND(LEN(Y413)&gt;0,ISNUMBER(Y413)=FALSE),AND(LEN(AA413)&gt;0,ISNUMBER(AA413)=FALSE),AND(LEN(U413)&gt;0,ISNUMBER(U413)=FALSE)),"Check date",IF(COUNT(G413,I413,K413,M413,Q413,S413,W413,Y413,AA413)=0,"",MIN(G413,I413,K413,M413,Q413,S413,W413,Y413,AA413)))</f>
        <v/>
      </c>
      <c r="AE413" s="25">
        <f>IF(ISNUMBER(AD413),AD413-IF(ISNUMBER(AB413),AB413,30),"")</f>
        <v/>
      </c>
      <c r="AF413" s="27">
        <f>IF(AD413="","",IF(ISNUMBER(AD413),AD413-TODAY(),"Check date"))</f>
        <v/>
      </c>
      <c r="AG413" s="28">
        <f>IF(AF413="","",IF(ISNUMBER(AF413),IF(AF413&lt;0,"Expired",IF(AF413&lt;=30,"Due ≤30 days",IF(AF413&lt;=90,"Due ≤90 days","OK"))),"Check date"))</f>
        <v/>
      </c>
      <c r="AH413" s="22" t="n"/>
      <c r="AI413" s="22" t="n"/>
      <c r="AJ413" s="22" t="n"/>
      <c r="AK413" s="22" t="n"/>
    </row>
    <row r="414">
      <c r="A414" s="22" t="n"/>
      <c r="B414" s="22" t="n"/>
      <c r="C414" s="22" t="n"/>
      <c r="D414" s="22" t="n"/>
      <c r="E414" s="22" t="n"/>
      <c r="F414" s="22" t="n"/>
      <c r="G414" s="23" t="n"/>
      <c r="H414" s="22" t="n"/>
      <c r="I414" s="23" t="n"/>
      <c r="J414" s="22" t="n"/>
      <c r="K414" s="23" t="n"/>
      <c r="L414" s="22" t="n"/>
      <c r="M414" s="23" t="n"/>
      <c r="N414" s="22" t="n"/>
      <c r="O414" s="22" t="n"/>
      <c r="P414" s="22" t="n"/>
      <c r="Q414" s="23" t="n"/>
      <c r="R414" s="22" t="n"/>
      <c r="S414" s="23" t="n"/>
      <c r="T414" s="22" t="n"/>
      <c r="U414" s="23" t="n"/>
      <c r="V414" s="24" t="n"/>
      <c r="W414" s="25">
        <f>IF(ISNUMBER(U414),U414+IF(ISNUMBER(V414),V414,120),"")</f>
        <v/>
      </c>
      <c r="X414" s="22" t="n"/>
      <c r="Y414" s="23" t="n"/>
      <c r="Z414" s="22" t="n"/>
      <c r="AA414" s="23" t="n"/>
      <c r="AB414" s="24" t="n"/>
      <c r="AC414" s="26">
        <f>IF(ISNUMBER(AD414)=FALSE,"",IF(G414=AD414,"State license",IF(I414=AD414,"DEA registration",IF(K414=AD414,"State CSR",IF(M414=AD414,"Board certification",IF(Q414=AD414,"Malpractice",IF(S414=AD414,"Life support",IF(W414=AD414,"CAQH re-attestation",IF(Y414=AD414,"Privileges reappointment","Payer recredentialing")))))))))</f>
        <v/>
      </c>
      <c r="AD414" s="25">
        <f>IF(OR(AND(LEN(G414)&gt;0,ISNUMBER(G414)=FALSE),AND(LEN(I414)&gt;0,ISNUMBER(I414)=FALSE),AND(LEN(K414)&gt;0,ISNUMBER(K414)=FALSE),AND(LEN(M414)&gt;0,ISNUMBER(M414)=FALSE),AND(LEN(Q414)&gt;0,ISNUMBER(Q414)=FALSE),AND(LEN(S414)&gt;0,ISNUMBER(S414)=FALSE),AND(LEN(Y414)&gt;0,ISNUMBER(Y414)=FALSE),AND(LEN(AA414)&gt;0,ISNUMBER(AA414)=FALSE),AND(LEN(U414)&gt;0,ISNUMBER(U414)=FALSE)),"Check date",IF(COUNT(G414,I414,K414,M414,Q414,S414,W414,Y414,AA414)=0,"",MIN(G414,I414,K414,M414,Q414,S414,W414,Y414,AA414)))</f>
        <v/>
      </c>
      <c r="AE414" s="25">
        <f>IF(ISNUMBER(AD414),AD414-IF(ISNUMBER(AB414),AB414,30),"")</f>
        <v/>
      </c>
      <c r="AF414" s="27">
        <f>IF(AD414="","",IF(ISNUMBER(AD414),AD414-TODAY(),"Check date"))</f>
        <v/>
      </c>
      <c r="AG414" s="28">
        <f>IF(AF414="","",IF(ISNUMBER(AF414),IF(AF414&lt;0,"Expired",IF(AF414&lt;=30,"Due ≤30 days",IF(AF414&lt;=90,"Due ≤90 days","OK"))),"Check date"))</f>
        <v/>
      </c>
      <c r="AH414" s="22" t="n"/>
      <c r="AI414" s="22" t="n"/>
      <c r="AJ414" s="22" t="n"/>
      <c r="AK414" s="22" t="n"/>
    </row>
    <row r="415">
      <c r="A415" s="22" t="n"/>
      <c r="B415" s="22" t="n"/>
      <c r="C415" s="22" t="n"/>
      <c r="D415" s="22" t="n"/>
      <c r="E415" s="22" t="n"/>
      <c r="F415" s="22" t="n"/>
      <c r="G415" s="23" t="n"/>
      <c r="H415" s="22" t="n"/>
      <c r="I415" s="23" t="n"/>
      <c r="J415" s="22" t="n"/>
      <c r="K415" s="23" t="n"/>
      <c r="L415" s="22" t="n"/>
      <c r="M415" s="23" t="n"/>
      <c r="N415" s="22" t="n"/>
      <c r="O415" s="22" t="n"/>
      <c r="P415" s="22" t="n"/>
      <c r="Q415" s="23" t="n"/>
      <c r="R415" s="22" t="n"/>
      <c r="S415" s="23" t="n"/>
      <c r="T415" s="22" t="n"/>
      <c r="U415" s="23" t="n"/>
      <c r="V415" s="24" t="n"/>
      <c r="W415" s="25">
        <f>IF(ISNUMBER(U415),U415+IF(ISNUMBER(V415),V415,120),"")</f>
        <v/>
      </c>
      <c r="X415" s="22" t="n"/>
      <c r="Y415" s="23" t="n"/>
      <c r="Z415" s="22" t="n"/>
      <c r="AA415" s="23" t="n"/>
      <c r="AB415" s="24" t="n"/>
      <c r="AC415" s="26">
        <f>IF(ISNUMBER(AD415)=FALSE,"",IF(G415=AD415,"State license",IF(I415=AD415,"DEA registration",IF(K415=AD415,"State CSR",IF(M415=AD415,"Board certification",IF(Q415=AD415,"Malpractice",IF(S415=AD415,"Life support",IF(W415=AD415,"CAQH re-attestation",IF(Y415=AD415,"Privileges reappointment","Payer recredentialing")))))))))</f>
        <v/>
      </c>
      <c r="AD415" s="25">
        <f>IF(OR(AND(LEN(G415)&gt;0,ISNUMBER(G415)=FALSE),AND(LEN(I415)&gt;0,ISNUMBER(I415)=FALSE),AND(LEN(K415)&gt;0,ISNUMBER(K415)=FALSE),AND(LEN(M415)&gt;0,ISNUMBER(M415)=FALSE),AND(LEN(Q415)&gt;0,ISNUMBER(Q415)=FALSE),AND(LEN(S415)&gt;0,ISNUMBER(S415)=FALSE),AND(LEN(Y415)&gt;0,ISNUMBER(Y415)=FALSE),AND(LEN(AA415)&gt;0,ISNUMBER(AA415)=FALSE),AND(LEN(U415)&gt;0,ISNUMBER(U415)=FALSE)),"Check date",IF(COUNT(G415,I415,K415,M415,Q415,S415,W415,Y415,AA415)=0,"",MIN(G415,I415,K415,M415,Q415,S415,W415,Y415,AA415)))</f>
        <v/>
      </c>
      <c r="AE415" s="25">
        <f>IF(ISNUMBER(AD415),AD415-IF(ISNUMBER(AB415),AB415,30),"")</f>
        <v/>
      </c>
      <c r="AF415" s="27">
        <f>IF(AD415="","",IF(ISNUMBER(AD415),AD415-TODAY(),"Check date"))</f>
        <v/>
      </c>
      <c r="AG415" s="28">
        <f>IF(AF415="","",IF(ISNUMBER(AF415),IF(AF415&lt;0,"Expired",IF(AF415&lt;=30,"Due ≤30 days",IF(AF415&lt;=90,"Due ≤90 days","OK"))),"Check date"))</f>
        <v/>
      </c>
      <c r="AH415" s="22" t="n"/>
      <c r="AI415" s="22" t="n"/>
      <c r="AJ415" s="22" t="n"/>
      <c r="AK415" s="22" t="n"/>
    </row>
    <row r="416">
      <c r="A416" s="22" t="n"/>
      <c r="B416" s="22" t="n"/>
      <c r="C416" s="22" t="n"/>
      <c r="D416" s="22" t="n"/>
      <c r="E416" s="22" t="n"/>
      <c r="F416" s="22" t="n"/>
      <c r="G416" s="23" t="n"/>
      <c r="H416" s="22" t="n"/>
      <c r="I416" s="23" t="n"/>
      <c r="J416" s="22" t="n"/>
      <c r="K416" s="23" t="n"/>
      <c r="L416" s="22" t="n"/>
      <c r="M416" s="23" t="n"/>
      <c r="N416" s="22" t="n"/>
      <c r="O416" s="22" t="n"/>
      <c r="P416" s="22" t="n"/>
      <c r="Q416" s="23" t="n"/>
      <c r="R416" s="22" t="n"/>
      <c r="S416" s="23" t="n"/>
      <c r="T416" s="22" t="n"/>
      <c r="U416" s="23" t="n"/>
      <c r="V416" s="24" t="n"/>
      <c r="W416" s="25">
        <f>IF(ISNUMBER(U416),U416+IF(ISNUMBER(V416),V416,120),"")</f>
        <v/>
      </c>
      <c r="X416" s="22" t="n"/>
      <c r="Y416" s="23" t="n"/>
      <c r="Z416" s="22" t="n"/>
      <c r="AA416" s="23" t="n"/>
      <c r="AB416" s="24" t="n"/>
      <c r="AC416" s="26">
        <f>IF(ISNUMBER(AD416)=FALSE,"",IF(G416=AD416,"State license",IF(I416=AD416,"DEA registration",IF(K416=AD416,"State CSR",IF(M416=AD416,"Board certification",IF(Q416=AD416,"Malpractice",IF(S416=AD416,"Life support",IF(W416=AD416,"CAQH re-attestation",IF(Y416=AD416,"Privileges reappointment","Payer recredentialing")))))))))</f>
        <v/>
      </c>
      <c r="AD416" s="25">
        <f>IF(OR(AND(LEN(G416)&gt;0,ISNUMBER(G416)=FALSE),AND(LEN(I416)&gt;0,ISNUMBER(I416)=FALSE),AND(LEN(K416)&gt;0,ISNUMBER(K416)=FALSE),AND(LEN(M416)&gt;0,ISNUMBER(M416)=FALSE),AND(LEN(Q416)&gt;0,ISNUMBER(Q416)=FALSE),AND(LEN(S416)&gt;0,ISNUMBER(S416)=FALSE),AND(LEN(Y416)&gt;0,ISNUMBER(Y416)=FALSE),AND(LEN(AA416)&gt;0,ISNUMBER(AA416)=FALSE),AND(LEN(U416)&gt;0,ISNUMBER(U416)=FALSE)),"Check date",IF(COUNT(G416,I416,K416,M416,Q416,S416,W416,Y416,AA416)=0,"",MIN(G416,I416,K416,M416,Q416,S416,W416,Y416,AA416)))</f>
        <v/>
      </c>
      <c r="AE416" s="25">
        <f>IF(ISNUMBER(AD416),AD416-IF(ISNUMBER(AB416),AB416,30),"")</f>
        <v/>
      </c>
      <c r="AF416" s="27">
        <f>IF(AD416="","",IF(ISNUMBER(AD416),AD416-TODAY(),"Check date"))</f>
        <v/>
      </c>
      <c r="AG416" s="28">
        <f>IF(AF416="","",IF(ISNUMBER(AF416),IF(AF416&lt;0,"Expired",IF(AF416&lt;=30,"Due ≤30 days",IF(AF416&lt;=90,"Due ≤90 days","OK"))),"Check date"))</f>
        <v/>
      </c>
      <c r="AH416" s="22" t="n"/>
      <c r="AI416" s="22" t="n"/>
      <c r="AJ416" s="22" t="n"/>
      <c r="AK416" s="22" t="n"/>
    </row>
    <row r="417">
      <c r="A417" s="22" t="n"/>
      <c r="B417" s="22" t="n"/>
      <c r="C417" s="22" t="n"/>
      <c r="D417" s="22" t="n"/>
      <c r="E417" s="22" t="n"/>
      <c r="F417" s="22" t="n"/>
      <c r="G417" s="23" t="n"/>
      <c r="H417" s="22" t="n"/>
      <c r="I417" s="23" t="n"/>
      <c r="J417" s="22" t="n"/>
      <c r="K417" s="23" t="n"/>
      <c r="L417" s="22" t="n"/>
      <c r="M417" s="23" t="n"/>
      <c r="N417" s="22" t="n"/>
      <c r="O417" s="22" t="n"/>
      <c r="P417" s="22" t="n"/>
      <c r="Q417" s="23" t="n"/>
      <c r="R417" s="22" t="n"/>
      <c r="S417" s="23" t="n"/>
      <c r="T417" s="22" t="n"/>
      <c r="U417" s="23" t="n"/>
      <c r="V417" s="24" t="n"/>
      <c r="W417" s="25">
        <f>IF(ISNUMBER(U417),U417+IF(ISNUMBER(V417),V417,120),"")</f>
        <v/>
      </c>
      <c r="X417" s="22" t="n"/>
      <c r="Y417" s="23" t="n"/>
      <c r="Z417" s="22" t="n"/>
      <c r="AA417" s="23" t="n"/>
      <c r="AB417" s="24" t="n"/>
      <c r="AC417" s="26">
        <f>IF(ISNUMBER(AD417)=FALSE,"",IF(G417=AD417,"State license",IF(I417=AD417,"DEA registration",IF(K417=AD417,"State CSR",IF(M417=AD417,"Board certification",IF(Q417=AD417,"Malpractice",IF(S417=AD417,"Life support",IF(W417=AD417,"CAQH re-attestation",IF(Y417=AD417,"Privileges reappointment","Payer recredentialing")))))))))</f>
        <v/>
      </c>
      <c r="AD417" s="25">
        <f>IF(OR(AND(LEN(G417)&gt;0,ISNUMBER(G417)=FALSE),AND(LEN(I417)&gt;0,ISNUMBER(I417)=FALSE),AND(LEN(K417)&gt;0,ISNUMBER(K417)=FALSE),AND(LEN(M417)&gt;0,ISNUMBER(M417)=FALSE),AND(LEN(Q417)&gt;0,ISNUMBER(Q417)=FALSE),AND(LEN(S417)&gt;0,ISNUMBER(S417)=FALSE),AND(LEN(Y417)&gt;0,ISNUMBER(Y417)=FALSE),AND(LEN(AA417)&gt;0,ISNUMBER(AA417)=FALSE),AND(LEN(U417)&gt;0,ISNUMBER(U417)=FALSE)),"Check date",IF(COUNT(G417,I417,K417,M417,Q417,S417,W417,Y417,AA417)=0,"",MIN(G417,I417,K417,M417,Q417,S417,W417,Y417,AA417)))</f>
        <v/>
      </c>
      <c r="AE417" s="25">
        <f>IF(ISNUMBER(AD417),AD417-IF(ISNUMBER(AB417),AB417,30),"")</f>
        <v/>
      </c>
      <c r="AF417" s="27">
        <f>IF(AD417="","",IF(ISNUMBER(AD417),AD417-TODAY(),"Check date"))</f>
        <v/>
      </c>
      <c r="AG417" s="28">
        <f>IF(AF417="","",IF(ISNUMBER(AF417),IF(AF417&lt;0,"Expired",IF(AF417&lt;=30,"Due ≤30 days",IF(AF417&lt;=90,"Due ≤90 days","OK"))),"Check date"))</f>
        <v/>
      </c>
      <c r="AH417" s="22" t="n"/>
      <c r="AI417" s="22" t="n"/>
      <c r="AJ417" s="22" t="n"/>
      <c r="AK417" s="22" t="n"/>
    </row>
    <row r="418">
      <c r="A418" s="22" t="n"/>
      <c r="B418" s="22" t="n"/>
      <c r="C418" s="22" t="n"/>
      <c r="D418" s="22" t="n"/>
      <c r="E418" s="22" t="n"/>
      <c r="F418" s="22" t="n"/>
      <c r="G418" s="23" t="n"/>
      <c r="H418" s="22" t="n"/>
      <c r="I418" s="23" t="n"/>
      <c r="J418" s="22" t="n"/>
      <c r="K418" s="23" t="n"/>
      <c r="L418" s="22" t="n"/>
      <c r="M418" s="23" t="n"/>
      <c r="N418" s="22" t="n"/>
      <c r="O418" s="22" t="n"/>
      <c r="P418" s="22" t="n"/>
      <c r="Q418" s="23" t="n"/>
      <c r="R418" s="22" t="n"/>
      <c r="S418" s="23" t="n"/>
      <c r="T418" s="22" t="n"/>
      <c r="U418" s="23" t="n"/>
      <c r="V418" s="24" t="n"/>
      <c r="W418" s="25">
        <f>IF(ISNUMBER(U418),U418+IF(ISNUMBER(V418),V418,120),"")</f>
        <v/>
      </c>
      <c r="X418" s="22" t="n"/>
      <c r="Y418" s="23" t="n"/>
      <c r="Z418" s="22" t="n"/>
      <c r="AA418" s="23" t="n"/>
      <c r="AB418" s="24" t="n"/>
      <c r="AC418" s="26">
        <f>IF(ISNUMBER(AD418)=FALSE,"",IF(G418=AD418,"State license",IF(I418=AD418,"DEA registration",IF(K418=AD418,"State CSR",IF(M418=AD418,"Board certification",IF(Q418=AD418,"Malpractice",IF(S418=AD418,"Life support",IF(W418=AD418,"CAQH re-attestation",IF(Y418=AD418,"Privileges reappointment","Payer recredentialing")))))))))</f>
        <v/>
      </c>
      <c r="AD418" s="25">
        <f>IF(OR(AND(LEN(G418)&gt;0,ISNUMBER(G418)=FALSE),AND(LEN(I418)&gt;0,ISNUMBER(I418)=FALSE),AND(LEN(K418)&gt;0,ISNUMBER(K418)=FALSE),AND(LEN(M418)&gt;0,ISNUMBER(M418)=FALSE),AND(LEN(Q418)&gt;0,ISNUMBER(Q418)=FALSE),AND(LEN(S418)&gt;0,ISNUMBER(S418)=FALSE),AND(LEN(Y418)&gt;0,ISNUMBER(Y418)=FALSE),AND(LEN(AA418)&gt;0,ISNUMBER(AA418)=FALSE),AND(LEN(U418)&gt;0,ISNUMBER(U418)=FALSE)),"Check date",IF(COUNT(G418,I418,K418,M418,Q418,S418,W418,Y418,AA418)=0,"",MIN(G418,I418,K418,M418,Q418,S418,W418,Y418,AA418)))</f>
        <v/>
      </c>
      <c r="AE418" s="25">
        <f>IF(ISNUMBER(AD418),AD418-IF(ISNUMBER(AB418),AB418,30),"")</f>
        <v/>
      </c>
      <c r="AF418" s="27">
        <f>IF(AD418="","",IF(ISNUMBER(AD418),AD418-TODAY(),"Check date"))</f>
        <v/>
      </c>
      <c r="AG418" s="28">
        <f>IF(AF418="","",IF(ISNUMBER(AF418),IF(AF418&lt;0,"Expired",IF(AF418&lt;=30,"Due ≤30 days",IF(AF418&lt;=90,"Due ≤90 days","OK"))),"Check date"))</f>
        <v/>
      </c>
      <c r="AH418" s="22" t="n"/>
      <c r="AI418" s="22" t="n"/>
      <c r="AJ418" s="22" t="n"/>
      <c r="AK418" s="22" t="n"/>
    </row>
    <row r="419">
      <c r="A419" s="22" t="n"/>
      <c r="B419" s="22" t="n"/>
      <c r="C419" s="22" t="n"/>
      <c r="D419" s="22" t="n"/>
      <c r="E419" s="22" t="n"/>
      <c r="F419" s="22" t="n"/>
      <c r="G419" s="23" t="n"/>
      <c r="H419" s="22" t="n"/>
      <c r="I419" s="23" t="n"/>
      <c r="J419" s="22" t="n"/>
      <c r="K419" s="23" t="n"/>
      <c r="L419" s="22" t="n"/>
      <c r="M419" s="23" t="n"/>
      <c r="N419" s="22" t="n"/>
      <c r="O419" s="22" t="n"/>
      <c r="P419" s="22" t="n"/>
      <c r="Q419" s="23" t="n"/>
      <c r="R419" s="22" t="n"/>
      <c r="S419" s="23" t="n"/>
      <c r="T419" s="22" t="n"/>
      <c r="U419" s="23" t="n"/>
      <c r="V419" s="24" t="n"/>
      <c r="W419" s="25">
        <f>IF(ISNUMBER(U419),U419+IF(ISNUMBER(V419),V419,120),"")</f>
        <v/>
      </c>
      <c r="X419" s="22" t="n"/>
      <c r="Y419" s="23" t="n"/>
      <c r="Z419" s="22" t="n"/>
      <c r="AA419" s="23" t="n"/>
      <c r="AB419" s="24" t="n"/>
      <c r="AC419" s="26">
        <f>IF(ISNUMBER(AD419)=FALSE,"",IF(G419=AD419,"State license",IF(I419=AD419,"DEA registration",IF(K419=AD419,"State CSR",IF(M419=AD419,"Board certification",IF(Q419=AD419,"Malpractice",IF(S419=AD419,"Life support",IF(W419=AD419,"CAQH re-attestation",IF(Y419=AD419,"Privileges reappointment","Payer recredentialing")))))))))</f>
        <v/>
      </c>
      <c r="AD419" s="25">
        <f>IF(OR(AND(LEN(G419)&gt;0,ISNUMBER(G419)=FALSE),AND(LEN(I419)&gt;0,ISNUMBER(I419)=FALSE),AND(LEN(K419)&gt;0,ISNUMBER(K419)=FALSE),AND(LEN(M419)&gt;0,ISNUMBER(M419)=FALSE),AND(LEN(Q419)&gt;0,ISNUMBER(Q419)=FALSE),AND(LEN(S419)&gt;0,ISNUMBER(S419)=FALSE),AND(LEN(Y419)&gt;0,ISNUMBER(Y419)=FALSE),AND(LEN(AA419)&gt;0,ISNUMBER(AA419)=FALSE),AND(LEN(U419)&gt;0,ISNUMBER(U419)=FALSE)),"Check date",IF(COUNT(G419,I419,K419,M419,Q419,S419,W419,Y419,AA419)=0,"",MIN(G419,I419,K419,M419,Q419,S419,W419,Y419,AA419)))</f>
        <v/>
      </c>
      <c r="AE419" s="25">
        <f>IF(ISNUMBER(AD419),AD419-IF(ISNUMBER(AB419),AB419,30),"")</f>
        <v/>
      </c>
      <c r="AF419" s="27">
        <f>IF(AD419="","",IF(ISNUMBER(AD419),AD419-TODAY(),"Check date"))</f>
        <v/>
      </c>
      <c r="AG419" s="28">
        <f>IF(AF419="","",IF(ISNUMBER(AF419),IF(AF419&lt;0,"Expired",IF(AF419&lt;=30,"Due ≤30 days",IF(AF419&lt;=90,"Due ≤90 days","OK"))),"Check date"))</f>
        <v/>
      </c>
      <c r="AH419" s="22" t="n"/>
      <c r="AI419" s="22" t="n"/>
      <c r="AJ419" s="22" t="n"/>
      <c r="AK419" s="22" t="n"/>
    </row>
    <row r="420">
      <c r="A420" s="22" t="n"/>
      <c r="B420" s="22" t="n"/>
      <c r="C420" s="22" t="n"/>
      <c r="D420" s="22" t="n"/>
      <c r="E420" s="22" t="n"/>
      <c r="F420" s="22" t="n"/>
      <c r="G420" s="23" t="n"/>
      <c r="H420" s="22" t="n"/>
      <c r="I420" s="23" t="n"/>
      <c r="J420" s="22" t="n"/>
      <c r="K420" s="23" t="n"/>
      <c r="L420" s="22" t="n"/>
      <c r="M420" s="23" t="n"/>
      <c r="N420" s="22" t="n"/>
      <c r="O420" s="22" t="n"/>
      <c r="P420" s="22" t="n"/>
      <c r="Q420" s="23" t="n"/>
      <c r="R420" s="22" t="n"/>
      <c r="S420" s="23" t="n"/>
      <c r="T420" s="22" t="n"/>
      <c r="U420" s="23" t="n"/>
      <c r="V420" s="24" t="n"/>
      <c r="W420" s="25">
        <f>IF(ISNUMBER(U420),U420+IF(ISNUMBER(V420),V420,120),"")</f>
        <v/>
      </c>
      <c r="X420" s="22" t="n"/>
      <c r="Y420" s="23" t="n"/>
      <c r="Z420" s="22" t="n"/>
      <c r="AA420" s="23" t="n"/>
      <c r="AB420" s="24" t="n"/>
      <c r="AC420" s="26">
        <f>IF(ISNUMBER(AD420)=FALSE,"",IF(G420=AD420,"State license",IF(I420=AD420,"DEA registration",IF(K420=AD420,"State CSR",IF(M420=AD420,"Board certification",IF(Q420=AD420,"Malpractice",IF(S420=AD420,"Life support",IF(W420=AD420,"CAQH re-attestation",IF(Y420=AD420,"Privileges reappointment","Payer recredentialing")))))))))</f>
        <v/>
      </c>
      <c r="AD420" s="25">
        <f>IF(OR(AND(LEN(G420)&gt;0,ISNUMBER(G420)=FALSE),AND(LEN(I420)&gt;0,ISNUMBER(I420)=FALSE),AND(LEN(K420)&gt;0,ISNUMBER(K420)=FALSE),AND(LEN(M420)&gt;0,ISNUMBER(M420)=FALSE),AND(LEN(Q420)&gt;0,ISNUMBER(Q420)=FALSE),AND(LEN(S420)&gt;0,ISNUMBER(S420)=FALSE),AND(LEN(Y420)&gt;0,ISNUMBER(Y420)=FALSE),AND(LEN(AA420)&gt;0,ISNUMBER(AA420)=FALSE),AND(LEN(U420)&gt;0,ISNUMBER(U420)=FALSE)),"Check date",IF(COUNT(G420,I420,K420,M420,Q420,S420,W420,Y420,AA420)=0,"",MIN(G420,I420,K420,M420,Q420,S420,W420,Y420,AA420)))</f>
        <v/>
      </c>
      <c r="AE420" s="25">
        <f>IF(ISNUMBER(AD420),AD420-IF(ISNUMBER(AB420),AB420,30),"")</f>
        <v/>
      </c>
      <c r="AF420" s="27">
        <f>IF(AD420="","",IF(ISNUMBER(AD420),AD420-TODAY(),"Check date"))</f>
        <v/>
      </c>
      <c r="AG420" s="28">
        <f>IF(AF420="","",IF(ISNUMBER(AF420),IF(AF420&lt;0,"Expired",IF(AF420&lt;=30,"Due ≤30 days",IF(AF420&lt;=90,"Due ≤90 days","OK"))),"Check date"))</f>
        <v/>
      </c>
      <c r="AH420" s="22" t="n"/>
      <c r="AI420" s="22" t="n"/>
      <c r="AJ420" s="22" t="n"/>
      <c r="AK420" s="22" t="n"/>
    </row>
    <row r="421">
      <c r="A421" s="22" t="n"/>
      <c r="B421" s="22" t="n"/>
      <c r="C421" s="22" t="n"/>
      <c r="D421" s="22" t="n"/>
      <c r="E421" s="22" t="n"/>
      <c r="F421" s="22" t="n"/>
      <c r="G421" s="23" t="n"/>
      <c r="H421" s="22" t="n"/>
      <c r="I421" s="23" t="n"/>
      <c r="J421" s="22" t="n"/>
      <c r="K421" s="23" t="n"/>
      <c r="L421" s="22" t="n"/>
      <c r="M421" s="23" t="n"/>
      <c r="N421" s="22" t="n"/>
      <c r="O421" s="22" t="n"/>
      <c r="P421" s="22" t="n"/>
      <c r="Q421" s="23" t="n"/>
      <c r="R421" s="22" t="n"/>
      <c r="S421" s="23" t="n"/>
      <c r="T421" s="22" t="n"/>
      <c r="U421" s="23" t="n"/>
      <c r="V421" s="24" t="n"/>
      <c r="W421" s="25">
        <f>IF(ISNUMBER(U421),U421+IF(ISNUMBER(V421),V421,120),"")</f>
        <v/>
      </c>
      <c r="X421" s="22" t="n"/>
      <c r="Y421" s="23" t="n"/>
      <c r="Z421" s="22" t="n"/>
      <c r="AA421" s="23" t="n"/>
      <c r="AB421" s="24" t="n"/>
      <c r="AC421" s="26">
        <f>IF(ISNUMBER(AD421)=FALSE,"",IF(G421=AD421,"State license",IF(I421=AD421,"DEA registration",IF(K421=AD421,"State CSR",IF(M421=AD421,"Board certification",IF(Q421=AD421,"Malpractice",IF(S421=AD421,"Life support",IF(W421=AD421,"CAQH re-attestation",IF(Y421=AD421,"Privileges reappointment","Payer recredentialing")))))))))</f>
        <v/>
      </c>
      <c r="AD421" s="25">
        <f>IF(OR(AND(LEN(G421)&gt;0,ISNUMBER(G421)=FALSE),AND(LEN(I421)&gt;0,ISNUMBER(I421)=FALSE),AND(LEN(K421)&gt;0,ISNUMBER(K421)=FALSE),AND(LEN(M421)&gt;0,ISNUMBER(M421)=FALSE),AND(LEN(Q421)&gt;0,ISNUMBER(Q421)=FALSE),AND(LEN(S421)&gt;0,ISNUMBER(S421)=FALSE),AND(LEN(Y421)&gt;0,ISNUMBER(Y421)=FALSE),AND(LEN(AA421)&gt;0,ISNUMBER(AA421)=FALSE),AND(LEN(U421)&gt;0,ISNUMBER(U421)=FALSE)),"Check date",IF(COUNT(G421,I421,K421,M421,Q421,S421,W421,Y421,AA421)=0,"",MIN(G421,I421,K421,M421,Q421,S421,W421,Y421,AA421)))</f>
        <v/>
      </c>
      <c r="AE421" s="25">
        <f>IF(ISNUMBER(AD421),AD421-IF(ISNUMBER(AB421),AB421,30),"")</f>
        <v/>
      </c>
      <c r="AF421" s="27">
        <f>IF(AD421="","",IF(ISNUMBER(AD421),AD421-TODAY(),"Check date"))</f>
        <v/>
      </c>
      <c r="AG421" s="28">
        <f>IF(AF421="","",IF(ISNUMBER(AF421),IF(AF421&lt;0,"Expired",IF(AF421&lt;=30,"Due ≤30 days",IF(AF421&lt;=90,"Due ≤90 days","OK"))),"Check date"))</f>
        <v/>
      </c>
      <c r="AH421" s="22" t="n"/>
      <c r="AI421" s="22" t="n"/>
      <c r="AJ421" s="22" t="n"/>
      <c r="AK421" s="22" t="n"/>
    </row>
    <row r="422">
      <c r="A422" s="22" t="n"/>
      <c r="B422" s="22" t="n"/>
      <c r="C422" s="22" t="n"/>
      <c r="D422" s="22" t="n"/>
      <c r="E422" s="22" t="n"/>
      <c r="F422" s="22" t="n"/>
      <c r="G422" s="23" t="n"/>
      <c r="H422" s="22" t="n"/>
      <c r="I422" s="23" t="n"/>
      <c r="J422" s="22" t="n"/>
      <c r="K422" s="23" t="n"/>
      <c r="L422" s="22" t="n"/>
      <c r="M422" s="23" t="n"/>
      <c r="N422" s="22" t="n"/>
      <c r="O422" s="22" t="n"/>
      <c r="P422" s="22" t="n"/>
      <c r="Q422" s="23" t="n"/>
      <c r="R422" s="22" t="n"/>
      <c r="S422" s="23" t="n"/>
      <c r="T422" s="22" t="n"/>
      <c r="U422" s="23" t="n"/>
      <c r="V422" s="24" t="n"/>
      <c r="W422" s="25">
        <f>IF(ISNUMBER(U422),U422+IF(ISNUMBER(V422),V422,120),"")</f>
        <v/>
      </c>
      <c r="X422" s="22" t="n"/>
      <c r="Y422" s="23" t="n"/>
      <c r="Z422" s="22" t="n"/>
      <c r="AA422" s="23" t="n"/>
      <c r="AB422" s="24" t="n"/>
      <c r="AC422" s="26">
        <f>IF(ISNUMBER(AD422)=FALSE,"",IF(G422=AD422,"State license",IF(I422=AD422,"DEA registration",IF(K422=AD422,"State CSR",IF(M422=AD422,"Board certification",IF(Q422=AD422,"Malpractice",IF(S422=AD422,"Life support",IF(W422=AD422,"CAQH re-attestation",IF(Y422=AD422,"Privileges reappointment","Payer recredentialing")))))))))</f>
        <v/>
      </c>
      <c r="AD422" s="25">
        <f>IF(OR(AND(LEN(G422)&gt;0,ISNUMBER(G422)=FALSE),AND(LEN(I422)&gt;0,ISNUMBER(I422)=FALSE),AND(LEN(K422)&gt;0,ISNUMBER(K422)=FALSE),AND(LEN(M422)&gt;0,ISNUMBER(M422)=FALSE),AND(LEN(Q422)&gt;0,ISNUMBER(Q422)=FALSE),AND(LEN(S422)&gt;0,ISNUMBER(S422)=FALSE),AND(LEN(Y422)&gt;0,ISNUMBER(Y422)=FALSE),AND(LEN(AA422)&gt;0,ISNUMBER(AA422)=FALSE),AND(LEN(U422)&gt;0,ISNUMBER(U422)=FALSE)),"Check date",IF(COUNT(G422,I422,K422,M422,Q422,S422,W422,Y422,AA422)=0,"",MIN(G422,I422,K422,M422,Q422,S422,W422,Y422,AA422)))</f>
        <v/>
      </c>
      <c r="AE422" s="25">
        <f>IF(ISNUMBER(AD422),AD422-IF(ISNUMBER(AB422),AB422,30),"")</f>
        <v/>
      </c>
      <c r="AF422" s="27">
        <f>IF(AD422="","",IF(ISNUMBER(AD422),AD422-TODAY(),"Check date"))</f>
        <v/>
      </c>
      <c r="AG422" s="28">
        <f>IF(AF422="","",IF(ISNUMBER(AF422),IF(AF422&lt;0,"Expired",IF(AF422&lt;=30,"Due ≤30 days",IF(AF422&lt;=90,"Due ≤90 days","OK"))),"Check date"))</f>
        <v/>
      </c>
      <c r="AH422" s="22" t="n"/>
      <c r="AI422" s="22" t="n"/>
      <c r="AJ422" s="22" t="n"/>
      <c r="AK422" s="22" t="n"/>
    </row>
    <row r="423">
      <c r="A423" s="22" t="n"/>
      <c r="B423" s="22" t="n"/>
      <c r="C423" s="22" t="n"/>
      <c r="D423" s="22" t="n"/>
      <c r="E423" s="22" t="n"/>
      <c r="F423" s="22" t="n"/>
      <c r="G423" s="23" t="n"/>
      <c r="H423" s="22" t="n"/>
      <c r="I423" s="23" t="n"/>
      <c r="J423" s="22" t="n"/>
      <c r="K423" s="23" t="n"/>
      <c r="L423" s="22" t="n"/>
      <c r="M423" s="23" t="n"/>
      <c r="N423" s="22" t="n"/>
      <c r="O423" s="22" t="n"/>
      <c r="P423" s="22" t="n"/>
      <c r="Q423" s="23" t="n"/>
      <c r="R423" s="22" t="n"/>
      <c r="S423" s="23" t="n"/>
      <c r="T423" s="22" t="n"/>
      <c r="U423" s="23" t="n"/>
      <c r="V423" s="24" t="n"/>
      <c r="W423" s="25">
        <f>IF(ISNUMBER(U423),U423+IF(ISNUMBER(V423),V423,120),"")</f>
        <v/>
      </c>
      <c r="X423" s="22" t="n"/>
      <c r="Y423" s="23" t="n"/>
      <c r="Z423" s="22" t="n"/>
      <c r="AA423" s="23" t="n"/>
      <c r="AB423" s="24" t="n"/>
      <c r="AC423" s="26">
        <f>IF(ISNUMBER(AD423)=FALSE,"",IF(G423=AD423,"State license",IF(I423=AD423,"DEA registration",IF(K423=AD423,"State CSR",IF(M423=AD423,"Board certification",IF(Q423=AD423,"Malpractice",IF(S423=AD423,"Life support",IF(W423=AD423,"CAQH re-attestation",IF(Y423=AD423,"Privileges reappointment","Payer recredentialing")))))))))</f>
        <v/>
      </c>
      <c r="AD423" s="25">
        <f>IF(OR(AND(LEN(G423)&gt;0,ISNUMBER(G423)=FALSE),AND(LEN(I423)&gt;0,ISNUMBER(I423)=FALSE),AND(LEN(K423)&gt;0,ISNUMBER(K423)=FALSE),AND(LEN(M423)&gt;0,ISNUMBER(M423)=FALSE),AND(LEN(Q423)&gt;0,ISNUMBER(Q423)=FALSE),AND(LEN(S423)&gt;0,ISNUMBER(S423)=FALSE),AND(LEN(Y423)&gt;0,ISNUMBER(Y423)=FALSE),AND(LEN(AA423)&gt;0,ISNUMBER(AA423)=FALSE),AND(LEN(U423)&gt;0,ISNUMBER(U423)=FALSE)),"Check date",IF(COUNT(G423,I423,K423,M423,Q423,S423,W423,Y423,AA423)=0,"",MIN(G423,I423,K423,M423,Q423,S423,W423,Y423,AA423)))</f>
        <v/>
      </c>
      <c r="AE423" s="25">
        <f>IF(ISNUMBER(AD423),AD423-IF(ISNUMBER(AB423),AB423,30),"")</f>
        <v/>
      </c>
      <c r="AF423" s="27">
        <f>IF(AD423="","",IF(ISNUMBER(AD423),AD423-TODAY(),"Check date"))</f>
        <v/>
      </c>
      <c r="AG423" s="28">
        <f>IF(AF423="","",IF(ISNUMBER(AF423),IF(AF423&lt;0,"Expired",IF(AF423&lt;=30,"Due ≤30 days",IF(AF423&lt;=90,"Due ≤90 days","OK"))),"Check date"))</f>
        <v/>
      </c>
      <c r="AH423" s="22" t="n"/>
      <c r="AI423" s="22" t="n"/>
      <c r="AJ423" s="22" t="n"/>
      <c r="AK423" s="22" t="n"/>
    </row>
    <row r="424">
      <c r="A424" s="22" t="n"/>
      <c r="B424" s="22" t="n"/>
      <c r="C424" s="22" t="n"/>
      <c r="D424" s="22" t="n"/>
      <c r="E424" s="22" t="n"/>
      <c r="F424" s="22" t="n"/>
      <c r="G424" s="23" t="n"/>
      <c r="H424" s="22" t="n"/>
      <c r="I424" s="23" t="n"/>
      <c r="J424" s="22" t="n"/>
      <c r="K424" s="23" t="n"/>
      <c r="L424" s="22" t="n"/>
      <c r="M424" s="23" t="n"/>
      <c r="N424" s="22" t="n"/>
      <c r="O424" s="22" t="n"/>
      <c r="P424" s="22" t="n"/>
      <c r="Q424" s="23" t="n"/>
      <c r="R424" s="22" t="n"/>
      <c r="S424" s="23" t="n"/>
      <c r="T424" s="22" t="n"/>
      <c r="U424" s="23" t="n"/>
      <c r="V424" s="24" t="n"/>
      <c r="W424" s="25">
        <f>IF(ISNUMBER(U424),U424+IF(ISNUMBER(V424),V424,120),"")</f>
        <v/>
      </c>
      <c r="X424" s="22" t="n"/>
      <c r="Y424" s="23" t="n"/>
      <c r="Z424" s="22" t="n"/>
      <c r="AA424" s="23" t="n"/>
      <c r="AB424" s="24" t="n"/>
      <c r="AC424" s="26">
        <f>IF(ISNUMBER(AD424)=FALSE,"",IF(G424=AD424,"State license",IF(I424=AD424,"DEA registration",IF(K424=AD424,"State CSR",IF(M424=AD424,"Board certification",IF(Q424=AD424,"Malpractice",IF(S424=AD424,"Life support",IF(W424=AD424,"CAQH re-attestation",IF(Y424=AD424,"Privileges reappointment","Payer recredentialing")))))))))</f>
        <v/>
      </c>
      <c r="AD424" s="25">
        <f>IF(OR(AND(LEN(G424)&gt;0,ISNUMBER(G424)=FALSE),AND(LEN(I424)&gt;0,ISNUMBER(I424)=FALSE),AND(LEN(K424)&gt;0,ISNUMBER(K424)=FALSE),AND(LEN(M424)&gt;0,ISNUMBER(M424)=FALSE),AND(LEN(Q424)&gt;0,ISNUMBER(Q424)=FALSE),AND(LEN(S424)&gt;0,ISNUMBER(S424)=FALSE),AND(LEN(Y424)&gt;0,ISNUMBER(Y424)=FALSE),AND(LEN(AA424)&gt;0,ISNUMBER(AA424)=FALSE),AND(LEN(U424)&gt;0,ISNUMBER(U424)=FALSE)),"Check date",IF(COUNT(G424,I424,K424,M424,Q424,S424,W424,Y424,AA424)=0,"",MIN(G424,I424,K424,M424,Q424,S424,W424,Y424,AA424)))</f>
        <v/>
      </c>
      <c r="AE424" s="25">
        <f>IF(ISNUMBER(AD424),AD424-IF(ISNUMBER(AB424),AB424,30),"")</f>
        <v/>
      </c>
      <c r="AF424" s="27">
        <f>IF(AD424="","",IF(ISNUMBER(AD424),AD424-TODAY(),"Check date"))</f>
        <v/>
      </c>
      <c r="AG424" s="28">
        <f>IF(AF424="","",IF(ISNUMBER(AF424),IF(AF424&lt;0,"Expired",IF(AF424&lt;=30,"Due ≤30 days",IF(AF424&lt;=90,"Due ≤90 days","OK"))),"Check date"))</f>
        <v/>
      </c>
      <c r="AH424" s="22" t="n"/>
      <c r="AI424" s="22" t="n"/>
      <c r="AJ424" s="22" t="n"/>
      <c r="AK424" s="22" t="n"/>
    </row>
    <row r="425">
      <c r="A425" s="22" t="n"/>
      <c r="B425" s="22" t="n"/>
      <c r="C425" s="22" t="n"/>
      <c r="D425" s="22" t="n"/>
      <c r="E425" s="22" t="n"/>
      <c r="F425" s="22" t="n"/>
      <c r="G425" s="23" t="n"/>
      <c r="H425" s="22" t="n"/>
      <c r="I425" s="23" t="n"/>
      <c r="J425" s="22" t="n"/>
      <c r="K425" s="23" t="n"/>
      <c r="L425" s="22" t="n"/>
      <c r="M425" s="23" t="n"/>
      <c r="N425" s="22" t="n"/>
      <c r="O425" s="22" t="n"/>
      <c r="P425" s="22" t="n"/>
      <c r="Q425" s="23" t="n"/>
      <c r="R425" s="22" t="n"/>
      <c r="S425" s="23" t="n"/>
      <c r="T425" s="22" t="n"/>
      <c r="U425" s="23" t="n"/>
      <c r="V425" s="24" t="n"/>
      <c r="W425" s="25">
        <f>IF(ISNUMBER(U425),U425+IF(ISNUMBER(V425),V425,120),"")</f>
        <v/>
      </c>
      <c r="X425" s="22" t="n"/>
      <c r="Y425" s="23" t="n"/>
      <c r="Z425" s="22" t="n"/>
      <c r="AA425" s="23" t="n"/>
      <c r="AB425" s="24" t="n"/>
      <c r="AC425" s="26">
        <f>IF(ISNUMBER(AD425)=FALSE,"",IF(G425=AD425,"State license",IF(I425=AD425,"DEA registration",IF(K425=AD425,"State CSR",IF(M425=AD425,"Board certification",IF(Q425=AD425,"Malpractice",IF(S425=AD425,"Life support",IF(W425=AD425,"CAQH re-attestation",IF(Y425=AD425,"Privileges reappointment","Payer recredentialing")))))))))</f>
        <v/>
      </c>
      <c r="AD425" s="25">
        <f>IF(OR(AND(LEN(G425)&gt;0,ISNUMBER(G425)=FALSE),AND(LEN(I425)&gt;0,ISNUMBER(I425)=FALSE),AND(LEN(K425)&gt;0,ISNUMBER(K425)=FALSE),AND(LEN(M425)&gt;0,ISNUMBER(M425)=FALSE),AND(LEN(Q425)&gt;0,ISNUMBER(Q425)=FALSE),AND(LEN(S425)&gt;0,ISNUMBER(S425)=FALSE),AND(LEN(Y425)&gt;0,ISNUMBER(Y425)=FALSE),AND(LEN(AA425)&gt;0,ISNUMBER(AA425)=FALSE),AND(LEN(U425)&gt;0,ISNUMBER(U425)=FALSE)),"Check date",IF(COUNT(G425,I425,K425,M425,Q425,S425,W425,Y425,AA425)=0,"",MIN(G425,I425,K425,M425,Q425,S425,W425,Y425,AA425)))</f>
        <v/>
      </c>
      <c r="AE425" s="25">
        <f>IF(ISNUMBER(AD425),AD425-IF(ISNUMBER(AB425),AB425,30),"")</f>
        <v/>
      </c>
      <c r="AF425" s="27">
        <f>IF(AD425="","",IF(ISNUMBER(AD425),AD425-TODAY(),"Check date"))</f>
        <v/>
      </c>
      <c r="AG425" s="28">
        <f>IF(AF425="","",IF(ISNUMBER(AF425),IF(AF425&lt;0,"Expired",IF(AF425&lt;=30,"Due ≤30 days",IF(AF425&lt;=90,"Due ≤90 days","OK"))),"Check date"))</f>
        <v/>
      </c>
      <c r="AH425" s="22" t="n"/>
      <c r="AI425" s="22" t="n"/>
      <c r="AJ425" s="22" t="n"/>
      <c r="AK425" s="22" t="n"/>
    </row>
    <row r="426">
      <c r="A426" s="22" t="n"/>
      <c r="B426" s="22" t="n"/>
      <c r="C426" s="22" t="n"/>
      <c r="D426" s="22" t="n"/>
      <c r="E426" s="22" t="n"/>
      <c r="F426" s="22" t="n"/>
      <c r="G426" s="23" t="n"/>
      <c r="H426" s="22" t="n"/>
      <c r="I426" s="23" t="n"/>
      <c r="J426" s="22" t="n"/>
      <c r="K426" s="23" t="n"/>
      <c r="L426" s="22" t="n"/>
      <c r="M426" s="23" t="n"/>
      <c r="N426" s="22" t="n"/>
      <c r="O426" s="22" t="n"/>
      <c r="P426" s="22" t="n"/>
      <c r="Q426" s="23" t="n"/>
      <c r="R426" s="22" t="n"/>
      <c r="S426" s="23" t="n"/>
      <c r="T426" s="22" t="n"/>
      <c r="U426" s="23" t="n"/>
      <c r="V426" s="24" t="n"/>
      <c r="W426" s="25">
        <f>IF(ISNUMBER(U426),U426+IF(ISNUMBER(V426),V426,120),"")</f>
        <v/>
      </c>
      <c r="X426" s="22" t="n"/>
      <c r="Y426" s="23" t="n"/>
      <c r="Z426" s="22" t="n"/>
      <c r="AA426" s="23" t="n"/>
      <c r="AB426" s="24" t="n"/>
      <c r="AC426" s="26">
        <f>IF(ISNUMBER(AD426)=FALSE,"",IF(G426=AD426,"State license",IF(I426=AD426,"DEA registration",IF(K426=AD426,"State CSR",IF(M426=AD426,"Board certification",IF(Q426=AD426,"Malpractice",IF(S426=AD426,"Life support",IF(W426=AD426,"CAQH re-attestation",IF(Y426=AD426,"Privileges reappointment","Payer recredentialing")))))))))</f>
        <v/>
      </c>
      <c r="AD426" s="25">
        <f>IF(OR(AND(LEN(G426)&gt;0,ISNUMBER(G426)=FALSE),AND(LEN(I426)&gt;0,ISNUMBER(I426)=FALSE),AND(LEN(K426)&gt;0,ISNUMBER(K426)=FALSE),AND(LEN(M426)&gt;0,ISNUMBER(M426)=FALSE),AND(LEN(Q426)&gt;0,ISNUMBER(Q426)=FALSE),AND(LEN(S426)&gt;0,ISNUMBER(S426)=FALSE),AND(LEN(Y426)&gt;0,ISNUMBER(Y426)=FALSE),AND(LEN(AA426)&gt;0,ISNUMBER(AA426)=FALSE),AND(LEN(U426)&gt;0,ISNUMBER(U426)=FALSE)),"Check date",IF(COUNT(G426,I426,K426,M426,Q426,S426,W426,Y426,AA426)=0,"",MIN(G426,I426,K426,M426,Q426,S426,W426,Y426,AA426)))</f>
        <v/>
      </c>
      <c r="AE426" s="25">
        <f>IF(ISNUMBER(AD426),AD426-IF(ISNUMBER(AB426),AB426,30),"")</f>
        <v/>
      </c>
      <c r="AF426" s="27">
        <f>IF(AD426="","",IF(ISNUMBER(AD426),AD426-TODAY(),"Check date"))</f>
        <v/>
      </c>
      <c r="AG426" s="28">
        <f>IF(AF426="","",IF(ISNUMBER(AF426),IF(AF426&lt;0,"Expired",IF(AF426&lt;=30,"Due ≤30 days",IF(AF426&lt;=90,"Due ≤90 days","OK"))),"Check date"))</f>
        <v/>
      </c>
      <c r="AH426" s="22" t="n"/>
      <c r="AI426" s="22" t="n"/>
      <c r="AJ426" s="22" t="n"/>
      <c r="AK426" s="22" t="n"/>
    </row>
    <row r="427">
      <c r="A427" s="22" t="n"/>
      <c r="B427" s="22" t="n"/>
      <c r="C427" s="22" t="n"/>
      <c r="D427" s="22" t="n"/>
      <c r="E427" s="22" t="n"/>
      <c r="F427" s="22" t="n"/>
      <c r="G427" s="23" t="n"/>
      <c r="H427" s="22" t="n"/>
      <c r="I427" s="23" t="n"/>
      <c r="J427" s="22" t="n"/>
      <c r="K427" s="23" t="n"/>
      <c r="L427" s="22" t="n"/>
      <c r="M427" s="23" t="n"/>
      <c r="N427" s="22" t="n"/>
      <c r="O427" s="22" t="n"/>
      <c r="P427" s="22" t="n"/>
      <c r="Q427" s="23" t="n"/>
      <c r="R427" s="22" t="n"/>
      <c r="S427" s="23" t="n"/>
      <c r="T427" s="22" t="n"/>
      <c r="U427" s="23" t="n"/>
      <c r="V427" s="24" t="n"/>
      <c r="W427" s="25">
        <f>IF(ISNUMBER(U427),U427+IF(ISNUMBER(V427),V427,120),"")</f>
        <v/>
      </c>
      <c r="X427" s="22" t="n"/>
      <c r="Y427" s="23" t="n"/>
      <c r="Z427" s="22" t="n"/>
      <c r="AA427" s="23" t="n"/>
      <c r="AB427" s="24" t="n"/>
      <c r="AC427" s="26">
        <f>IF(ISNUMBER(AD427)=FALSE,"",IF(G427=AD427,"State license",IF(I427=AD427,"DEA registration",IF(K427=AD427,"State CSR",IF(M427=AD427,"Board certification",IF(Q427=AD427,"Malpractice",IF(S427=AD427,"Life support",IF(W427=AD427,"CAQH re-attestation",IF(Y427=AD427,"Privileges reappointment","Payer recredentialing")))))))))</f>
        <v/>
      </c>
      <c r="AD427" s="25">
        <f>IF(OR(AND(LEN(G427)&gt;0,ISNUMBER(G427)=FALSE),AND(LEN(I427)&gt;0,ISNUMBER(I427)=FALSE),AND(LEN(K427)&gt;0,ISNUMBER(K427)=FALSE),AND(LEN(M427)&gt;0,ISNUMBER(M427)=FALSE),AND(LEN(Q427)&gt;0,ISNUMBER(Q427)=FALSE),AND(LEN(S427)&gt;0,ISNUMBER(S427)=FALSE),AND(LEN(Y427)&gt;0,ISNUMBER(Y427)=FALSE),AND(LEN(AA427)&gt;0,ISNUMBER(AA427)=FALSE),AND(LEN(U427)&gt;0,ISNUMBER(U427)=FALSE)),"Check date",IF(COUNT(G427,I427,K427,M427,Q427,S427,W427,Y427,AA427)=0,"",MIN(G427,I427,K427,M427,Q427,S427,W427,Y427,AA427)))</f>
        <v/>
      </c>
      <c r="AE427" s="25">
        <f>IF(ISNUMBER(AD427),AD427-IF(ISNUMBER(AB427),AB427,30),"")</f>
        <v/>
      </c>
      <c r="AF427" s="27">
        <f>IF(AD427="","",IF(ISNUMBER(AD427),AD427-TODAY(),"Check date"))</f>
        <v/>
      </c>
      <c r="AG427" s="28">
        <f>IF(AF427="","",IF(ISNUMBER(AF427),IF(AF427&lt;0,"Expired",IF(AF427&lt;=30,"Due ≤30 days",IF(AF427&lt;=90,"Due ≤90 days","OK"))),"Check date"))</f>
        <v/>
      </c>
      <c r="AH427" s="22" t="n"/>
      <c r="AI427" s="22" t="n"/>
      <c r="AJ427" s="22" t="n"/>
      <c r="AK427" s="22" t="n"/>
    </row>
    <row r="428">
      <c r="A428" s="22" t="n"/>
      <c r="B428" s="22" t="n"/>
      <c r="C428" s="22" t="n"/>
      <c r="D428" s="22" t="n"/>
      <c r="E428" s="22" t="n"/>
      <c r="F428" s="22" t="n"/>
      <c r="G428" s="23" t="n"/>
      <c r="H428" s="22" t="n"/>
      <c r="I428" s="23" t="n"/>
      <c r="J428" s="22" t="n"/>
      <c r="K428" s="23" t="n"/>
      <c r="L428" s="22" t="n"/>
      <c r="M428" s="23" t="n"/>
      <c r="N428" s="22" t="n"/>
      <c r="O428" s="22" t="n"/>
      <c r="P428" s="22" t="n"/>
      <c r="Q428" s="23" t="n"/>
      <c r="R428" s="22" t="n"/>
      <c r="S428" s="23" t="n"/>
      <c r="T428" s="22" t="n"/>
      <c r="U428" s="23" t="n"/>
      <c r="V428" s="24" t="n"/>
      <c r="W428" s="25">
        <f>IF(ISNUMBER(U428),U428+IF(ISNUMBER(V428),V428,120),"")</f>
        <v/>
      </c>
      <c r="X428" s="22" t="n"/>
      <c r="Y428" s="23" t="n"/>
      <c r="Z428" s="22" t="n"/>
      <c r="AA428" s="23" t="n"/>
      <c r="AB428" s="24" t="n"/>
      <c r="AC428" s="26">
        <f>IF(ISNUMBER(AD428)=FALSE,"",IF(G428=AD428,"State license",IF(I428=AD428,"DEA registration",IF(K428=AD428,"State CSR",IF(M428=AD428,"Board certification",IF(Q428=AD428,"Malpractice",IF(S428=AD428,"Life support",IF(W428=AD428,"CAQH re-attestation",IF(Y428=AD428,"Privileges reappointment","Payer recredentialing")))))))))</f>
        <v/>
      </c>
      <c r="AD428" s="25">
        <f>IF(OR(AND(LEN(G428)&gt;0,ISNUMBER(G428)=FALSE),AND(LEN(I428)&gt;0,ISNUMBER(I428)=FALSE),AND(LEN(K428)&gt;0,ISNUMBER(K428)=FALSE),AND(LEN(M428)&gt;0,ISNUMBER(M428)=FALSE),AND(LEN(Q428)&gt;0,ISNUMBER(Q428)=FALSE),AND(LEN(S428)&gt;0,ISNUMBER(S428)=FALSE),AND(LEN(Y428)&gt;0,ISNUMBER(Y428)=FALSE),AND(LEN(AA428)&gt;0,ISNUMBER(AA428)=FALSE),AND(LEN(U428)&gt;0,ISNUMBER(U428)=FALSE)),"Check date",IF(COUNT(G428,I428,K428,M428,Q428,S428,W428,Y428,AA428)=0,"",MIN(G428,I428,K428,M428,Q428,S428,W428,Y428,AA428)))</f>
        <v/>
      </c>
      <c r="AE428" s="25">
        <f>IF(ISNUMBER(AD428),AD428-IF(ISNUMBER(AB428),AB428,30),"")</f>
        <v/>
      </c>
      <c r="AF428" s="27">
        <f>IF(AD428="","",IF(ISNUMBER(AD428),AD428-TODAY(),"Check date"))</f>
        <v/>
      </c>
      <c r="AG428" s="28">
        <f>IF(AF428="","",IF(ISNUMBER(AF428),IF(AF428&lt;0,"Expired",IF(AF428&lt;=30,"Due ≤30 days",IF(AF428&lt;=90,"Due ≤90 days","OK"))),"Check date"))</f>
        <v/>
      </c>
      <c r="AH428" s="22" t="n"/>
      <c r="AI428" s="22" t="n"/>
      <c r="AJ428" s="22" t="n"/>
      <c r="AK428" s="22" t="n"/>
    </row>
    <row r="429">
      <c r="A429" s="22" t="n"/>
      <c r="B429" s="22" t="n"/>
      <c r="C429" s="22" t="n"/>
      <c r="D429" s="22" t="n"/>
      <c r="E429" s="22" t="n"/>
      <c r="F429" s="22" t="n"/>
      <c r="G429" s="23" t="n"/>
      <c r="H429" s="22" t="n"/>
      <c r="I429" s="23" t="n"/>
      <c r="J429" s="22" t="n"/>
      <c r="K429" s="23" t="n"/>
      <c r="L429" s="22" t="n"/>
      <c r="M429" s="23" t="n"/>
      <c r="N429" s="22" t="n"/>
      <c r="O429" s="22" t="n"/>
      <c r="P429" s="22" t="n"/>
      <c r="Q429" s="23" t="n"/>
      <c r="R429" s="22" t="n"/>
      <c r="S429" s="23" t="n"/>
      <c r="T429" s="22" t="n"/>
      <c r="U429" s="23" t="n"/>
      <c r="V429" s="24" t="n"/>
      <c r="W429" s="25">
        <f>IF(ISNUMBER(U429),U429+IF(ISNUMBER(V429),V429,120),"")</f>
        <v/>
      </c>
      <c r="X429" s="22" t="n"/>
      <c r="Y429" s="23" t="n"/>
      <c r="Z429" s="22" t="n"/>
      <c r="AA429" s="23" t="n"/>
      <c r="AB429" s="24" t="n"/>
      <c r="AC429" s="26">
        <f>IF(ISNUMBER(AD429)=FALSE,"",IF(G429=AD429,"State license",IF(I429=AD429,"DEA registration",IF(K429=AD429,"State CSR",IF(M429=AD429,"Board certification",IF(Q429=AD429,"Malpractice",IF(S429=AD429,"Life support",IF(W429=AD429,"CAQH re-attestation",IF(Y429=AD429,"Privileges reappointment","Payer recredentialing")))))))))</f>
        <v/>
      </c>
      <c r="AD429" s="25">
        <f>IF(OR(AND(LEN(G429)&gt;0,ISNUMBER(G429)=FALSE),AND(LEN(I429)&gt;0,ISNUMBER(I429)=FALSE),AND(LEN(K429)&gt;0,ISNUMBER(K429)=FALSE),AND(LEN(M429)&gt;0,ISNUMBER(M429)=FALSE),AND(LEN(Q429)&gt;0,ISNUMBER(Q429)=FALSE),AND(LEN(S429)&gt;0,ISNUMBER(S429)=FALSE),AND(LEN(Y429)&gt;0,ISNUMBER(Y429)=FALSE),AND(LEN(AA429)&gt;0,ISNUMBER(AA429)=FALSE),AND(LEN(U429)&gt;0,ISNUMBER(U429)=FALSE)),"Check date",IF(COUNT(G429,I429,K429,M429,Q429,S429,W429,Y429,AA429)=0,"",MIN(G429,I429,K429,M429,Q429,S429,W429,Y429,AA429)))</f>
        <v/>
      </c>
      <c r="AE429" s="25">
        <f>IF(ISNUMBER(AD429),AD429-IF(ISNUMBER(AB429),AB429,30),"")</f>
        <v/>
      </c>
      <c r="AF429" s="27">
        <f>IF(AD429="","",IF(ISNUMBER(AD429),AD429-TODAY(),"Check date"))</f>
        <v/>
      </c>
      <c r="AG429" s="28">
        <f>IF(AF429="","",IF(ISNUMBER(AF429),IF(AF429&lt;0,"Expired",IF(AF429&lt;=30,"Due ≤30 days",IF(AF429&lt;=90,"Due ≤90 days","OK"))),"Check date"))</f>
        <v/>
      </c>
      <c r="AH429" s="22" t="n"/>
      <c r="AI429" s="22" t="n"/>
      <c r="AJ429" s="22" t="n"/>
      <c r="AK429" s="22" t="n"/>
    </row>
    <row r="430">
      <c r="A430" s="22" t="n"/>
      <c r="B430" s="22" t="n"/>
      <c r="C430" s="22" t="n"/>
      <c r="D430" s="22" t="n"/>
      <c r="E430" s="22" t="n"/>
      <c r="F430" s="22" t="n"/>
      <c r="G430" s="23" t="n"/>
      <c r="H430" s="22" t="n"/>
      <c r="I430" s="23" t="n"/>
      <c r="J430" s="22" t="n"/>
      <c r="K430" s="23" t="n"/>
      <c r="L430" s="22" t="n"/>
      <c r="M430" s="23" t="n"/>
      <c r="N430" s="22" t="n"/>
      <c r="O430" s="22" t="n"/>
      <c r="P430" s="22" t="n"/>
      <c r="Q430" s="23" t="n"/>
      <c r="R430" s="22" t="n"/>
      <c r="S430" s="23" t="n"/>
      <c r="T430" s="22" t="n"/>
      <c r="U430" s="23" t="n"/>
      <c r="V430" s="24" t="n"/>
      <c r="W430" s="25">
        <f>IF(ISNUMBER(U430),U430+IF(ISNUMBER(V430),V430,120),"")</f>
        <v/>
      </c>
      <c r="X430" s="22" t="n"/>
      <c r="Y430" s="23" t="n"/>
      <c r="Z430" s="22" t="n"/>
      <c r="AA430" s="23" t="n"/>
      <c r="AB430" s="24" t="n"/>
      <c r="AC430" s="26">
        <f>IF(ISNUMBER(AD430)=FALSE,"",IF(G430=AD430,"State license",IF(I430=AD430,"DEA registration",IF(K430=AD430,"State CSR",IF(M430=AD430,"Board certification",IF(Q430=AD430,"Malpractice",IF(S430=AD430,"Life support",IF(W430=AD430,"CAQH re-attestation",IF(Y430=AD430,"Privileges reappointment","Payer recredentialing")))))))))</f>
        <v/>
      </c>
      <c r="AD430" s="25">
        <f>IF(OR(AND(LEN(G430)&gt;0,ISNUMBER(G430)=FALSE),AND(LEN(I430)&gt;0,ISNUMBER(I430)=FALSE),AND(LEN(K430)&gt;0,ISNUMBER(K430)=FALSE),AND(LEN(M430)&gt;0,ISNUMBER(M430)=FALSE),AND(LEN(Q430)&gt;0,ISNUMBER(Q430)=FALSE),AND(LEN(S430)&gt;0,ISNUMBER(S430)=FALSE),AND(LEN(Y430)&gt;0,ISNUMBER(Y430)=FALSE),AND(LEN(AA430)&gt;0,ISNUMBER(AA430)=FALSE),AND(LEN(U430)&gt;0,ISNUMBER(U430)=FALSE)),"Check date",IF(COUNT(G430,I430,K430,M430,Q430,S430,W430,Y430,AA430)=0,"",MIN(G430,I430,K430,M430,Q430,S430,W430,Y430,AA430)))</f>
        <v/>
      </c>
      <c r="AE430" s="25">
        <f>IF(ISNUMBER(AD430),AD430-IF(ISNUMBER(AB430),AB430,30),"")</f>
        <v/>
      </c>
      <c r="AF430" s="27">
        <f>IF(AD430="","",IF(ISNUMBER(AD430),AD430-TODAY(),"Check date"))</f>
        <v/>
      </c>
      <c r="AG430" s="28">
        <f>IF(AF430="","",IF(ISNUMBER(AF430),IF(AF430&lt;0,"Expired",IF(AF430&lt;=30,"Due ≤30 days",IF(AF430&lt;=90,"Due ≤90 days","OK"))),"Check date"))</f>
        <v/>
      </c>
      <c r="AH430" s="22" t="n"/>
      <c r="AI430" s="22" t="n"/>
      <c r="AJ430" s="22" t="n"/>
      <c r="AK430" s="22" t="n"/>
    </row>
    <row r="431">
      <c r="A431" s="22" t="n"/>
      <c r="B431" s="22" t="n"/>
      <c r="C431" s="22" t="n"/>
      <c r="D431" s="22" t="n"/>
      <c r="E431" s="22" t="n"/>
      <c r="F431" s="22" t="n"/>
      <c r="G431" s="23" t="n"/>
      <c r="H431" s="22" t="n"/>
      <c r="I431" s="23" t="n"/>
      <c r="J431" s="22" t="n"/>
      <c r="K431" s="23" t="n"/>
      <c r="L431" s="22" t="n"/>
      <c r="M431" s="23" t="n"/>
      <c r="N431" s="22" t="n"/>
      <c r="O431" s="22" t="n"/>
      <c r="P431" s="22" t="n"/>
      <c r="Q431" s="23" t="n"/>
      <c r="R431" s="22" t="n"/>
      <c r="S431" s="23" t="n"/>
      <c r="T431" s="22" t="n"/>
      <c r="U431" s="23" t="n"/>
      <c r="V431" s="24" t="n"/>
      <c r="W431" s="25">
        <f>IF(ISNUMBER(U431),U431+IF(ISNUMBER(V431),V431,120),"")</f>
        <v/>
      </c>
      <c r="X431" s="22" t="n"/>
      <c r="Y431" s="23" t="n"/>
      <c r="Z431" s="22" t="n"/>
      <c r="AA431" s="23" t="n"/>
      <c r="AB431" s="24" t="n"/>
      <c r="AC431" s="26">
        <f>IF(ISNUMBER(AD431)=FALSE,"",IF(G431=AD431,"State license",IF(I431=AD431,"DEA registration",IF(K431=AD431,"State CSR",IF(M431=AD431,"Board certification",IF(Q431=AD431,"Malpractice",IF(S431=AD431,"Life support",IF(W431=AD431,"CAQH re-attestation",IF(Y431=AD431,"Privileges reappointment","Payer recredentialing")))))))))</f>
        <v/>
      </c>
      <c r="AD431" s="25">
        <f>IF(OR(AND(LEN(G431)&gt;0,ISNUMBER(G431)=FALSE),AND(LEN(I431)&gt;0,ISNUMBER(I431)=FALSE),AND(LEN(K431)&gt;0,ISNUMBER(K431)=FALSE),AND(LEN(M431)&gt;0,ISNUMBER(M431)=FALSE),AND(LEN(Q431)&gt;0,ISNUMBER(Q431)=FALSE),AND(LEN(S431)&gt;0,ISNUMBER(S431)=FALSE),AND(LEN(Y431)&gt;0,ISNUMBER(Y431)=FALSE),AND(LEN(AA431)&gt;0,ISNUMBER(AA431)=FALSE),AND(LEN(U431)&gt;0,ISNUMBER(U431)=FALSE)),"Check date",IF(COUNT(G431,I431,K431,M431,Q431,S431,W431,Y431,AA431)=0,"",MIN(G431,I431,K431,M431,Q431,S431,W431,Y431,AA431)))</f>
        <v/>
      </c>
      <c r="AE431" s="25">
        <f>IF(ISNUMBER(AD431),AD431-IF(ISNUMBER(AB431),AB431,30),"")</f>
        <v/>
      </c>
      <c r="AF431" s="27">
        <f>IF(AD431="","",IF(ISNUMBER(AD431),AD431-TODAY(),"Check date"))</f>
        <v/>
      </c>
      <c r="AG431" s="28">
        <f>IF(AF431="","",IF(ISNUMBER(AF431),IF(AF431&lt;0,"Expired",IF(AF431&lt;=30,"Due ≤30 days",IF(AF431&lt;=90,"Due ≤90 days","OK"))),"Check date"))</f>
        <v/>
      </c>
      <c r="AH431" s="22" t="n"/>
      <c r="AI431" s="22" t="n"/>
      <c r="AJ431" s="22" t="n"/>
      <c r="AK431" s="22" t="n"/>
    </row>
    <row r="432">
      <c r="A432" s="22" t="n"/>
      <c r="B432" s="22" t="n"/>
      <c r="C432" s="22" t="n"/>
      <c r="D432" s="22" t="n"/>
      <c r="E432" s="22" t="n"/>
      <c r="F432" s="22" t="n"/>
      <c r="G432" s="23" t="n"/>
      <c r="H432" s="22" t="n"/>
      <c r="I432" s="23" t="n"/>
      <c r="J432" s="22" t="n"/>
      <c r="K432" s="23" t="n"/>
      <c r="L432" s="22" t="n"/>
      <c r="M432" s="23" t="n"/>
      <c r="N432" s="22" t="n"/>
      <c r="O432" s="22" t="n"/>
      <c r="P432" s="22" t="n"/>
      <c r="Q432" s="23" t="n"/>
      <c r="R432" s="22" t="n"/>
      <c r="S432" s="23" t="n"/>
      <c r="T432" s="22" t="n"/>
      <c r="U432" s="23" t="n"/>
      <c r="V432" s="24" t="n"/>
      <c r="W432" s="25">
        <f>IF(ISNUMBER(U432),U432+IF(ISNUMBER(V432),V432,120),"")</f>
        <v/>
      </c>
      <c r="X432" s="22" t="n"/>
      <c r="Y432" s="23" t="n"/>
      <c r="Z432" s="22" t="n"/>
      <c r="AA432" s="23" t="n"/>
      <c r="AB432" s="24" t="n"/>
      <c r="AC432" s="26">
        <f>IF(ISNUMBER(AD432)=FALSE,"",IF(G432=AD432,"State license",IF(I432=AD432,"DEA registration",IF(K432=AD432,"State CSR",IF(M432=AD432,"Board certification",IF(Q432=AD432,"Malpractice",IF(S432=AD432,"Life support",IF(W432=AD432,"CAQH re-attestation",IF(Y432=AD432,"Privileges reappointment","Payer recredentialing")))))))))</f>
        <v/>
      </c>
      <c r="AD432" s="25">
        <f>IF(OR(AND(LEN(G432)&gt;0,ISNUMBER(G432)=FALSE),AND(LEN(I432)&gt;0,ISNUMBER(I432)=FALSE),AND(LEN(K432)&gt;0,ISNUMBER(K432)=FALSE),AND(LEN(M432)&gt;0,ISNUMBER(M432)=FALSE),AND(LEN(Q432)&gt;0,ISNUMBER(Q432)=FALSE),AND(LEN(S432)&gt;0,ISNUMBER(S432)=FALSE),AND(LEN(Y432)&gt;0,ISNUMBER(Y432)=FALSE),AND(LEN(AA432)&gt;0,ISNUMBER(AA432)=FALSE),AND(LEN(U432)&gt;0,ISNUMBER(U432)=FALSE)),"Check date",IF(COUNT(G432,I432,K432,M432,Q432,S432,W432,Y432,AA432)=0,"",MIN(G432,I432,K432,M432,Q432,S432,W432,Y432,AA432)))</f>
        <v/>
      </c>
      <c r="AE432" s="25">
        <f>IF(ISNUMBER(AD432),AD432-IF(ISNUMBER(AB432),AB432,30),"")</f>
        <v/>
      </c>
      <c r="AF432" s="27">
        <f>IF(AD432="","",IF(ISNUMBER(AD432),AD432-TODAY(),"Check date"))</f>
        <v/>
      </c>
      <c r="AG432" s="28">
        <f>IF(AF432="","",IF(ISNUMBER(AF432),IF(AF432&lt;0,"Expired",IF(AF432&lt;=30,"Due ≤30 days",IF(AF432&lt;=90,"Due ≤90 days","OK"))),"Check date"))</f>
        <v/>
      </c>
      <c r="AH432" s="22" t="n"/>
      <c r="AI432" s="22" t="n"/>
      <c r="AJ432" s="22" t="n"/>
      <c r="AK432" s="22" t="n"/>
    </row>
    <row r="433">
      <c r="A433" s="22" t="n"/>
      <c r="B433" s="22" t="n"/>
      <c r="C433" s="22" t="n"/>
      <c r="D433" s="22" t="n"/>
      <c r="E433" s="22" t="n"/>
      <c r="F433" s="22" t="n"/>
      <c r="G433" s="23" t="n"/>
      <c r="H433" s="22" t="n"/>
      <c r="I433" s="23" t="n"/>
      <c r="J433" s="22" t="n"/>
      <c r="K433" s="23" t="n"/>
      <c r="L433" s="22" t="n"/>
      <c r="M433" s="23" t="n"/>
      <c r="N433" s="22" t="n"/>
      <c r="O433" s="22" t="n"/>
      <c r="P433" s="22" t="n"/>
      <c r="Q433" s="23" t="n"/>
      <c r="R433" s="22" t="n"/>
      <c r="S433" s="23" t="n"/>
      <c r="T433" s="22" t="n"/>
      <c r="U433" s="23" t="n"/>
      <c r="V433" s="24" t="n"/>
      <c r="W433" s="25">
        <f>IF(ISNUMBER(U433),U433+IF(ISNUMBER(V433),V433,120),"")</f>
        <v/>
      </c>
      <c r="X433" s="22" t="n"/>
      <c r="Y433" s="23" t="n"/>
      <c r="Z433" s="22" t="n"/>
      <c r="AA433" s="23" t="n"/>
      <c r="AB433" s="24" t="n"/>
      <c r="AC433" s="26">
        <f>IF(ISNUMBER(AD433)=FALSE,"",IF(G433=AD433,"State license",IF(I433=AD433,"DEA registration",IF(K433=AD433,"State CSR",IF(M433=AD433,"Board certification",IF(Q433=AD433,"Malpractice",IF(S433=AD433,"Life support",IF(W433=AD433,"CAQH re-attestation",IF(Y433=AD433,"Privileges reappointment","Payer recredentialing")))))))))</f>
        <v/>
      </c>
      <c r="AD433" s="25">
        <f>IF(OR(AND(LEN(G433)&gt;0,ISNUMBER(G433)=FALSE),AND(LEN(I433)&gt;0,ISNUMBER(I433)=FALSE),AND(LEN(K433)&gt;0,ISNUMBER(K433)=FALSE),AND(LEN(M433)&gt;0,ISNUMBER(M433)=FALSE),AND(LEN(Q433)&gt;0,ISNUMBER(Q433)=FALSE),AND(LEN(S433)&gt;0,ISNUMBER(S433)=FALSE),AND(LEN(Y433)&gt;0,ISNUMBER(Y433)=FALSE),AND(LEN(AA433)&gt;0,ISNUMBER(AA433)=FALSE),AND(LEN(U433)&gt;0,ISNUMBER(U433)=FALSE)),"Check date",IF(COUNT(G433,I433,K433,M433,Q433,S433,W433,Y433,AA433)=0,"",MIN(G433,I433,K433,M433,Q433,S433,W433,Y433,AA433)))</f>
        <v/>
      </c>
      <c r="AE433" s="25">
        <f>IF(ISNUMBER(AD433),AD433-IF(ISNUMBER(AB433),AB433,30),"")</f>
        <v/>
      </c>
      <c r="AF433" s="27">
        <f>IF(AD433="","",IF(ISNUMBER(AD433),AD433-TODAY(),"Check date"))</f>
        <v/>
      </c>
      <c r="AG433" s="28">
        <f>IF(AF433="","",IF(ISNUMBER(AF433),IF(AF433&lt;0,"Expired",IF(AF433&lt;=30,"Due ≤30 days",IF(AF433&lt;=90,"Due ≤90 days","OK"))),"Check date"))</f>
        <v/>
      </c>
      <c r="AH433" s="22" t="n"/>
      <c r="AI433" s="22" t="n"/>
      <c r="AJ433" s="22" t="n"/>
      <c r="AK433" s="22" t="n"/>
    </row>
    <row r="434">
      <c r="A434" s="22" t="n"/>
      <c r="B434" s="22" t="n"/>
      <c r="C434" s="22" t="n"/>
      <c r="D434" s="22" t="n"/>
      <c r="E434" s="22" t="n"/>
      <c r="F434" s="22" t="n"/>
      <c r="G434" s="23" t="n"/>
      <c r="H434" s="22" t="n"/>
      <c r="I434" s="23" t="n"/>
      <c r="J434" s="22" t="n"/>
      <c r="K434" s="23" t="n"/>
      <c r="L434" s="22" t="n"/>
      <c r="M434" s="23" t="n"/>
      <c r="N434" s="22" t="n"/>
      <c r="O434" s="22" t="n"/>
      <c r="P434" s="22" t="n"/>
      <c r="Q434" s="23" t="n"/>
      <c r="R434" s="22" t="n"/>
      <c r="S434" s="23" t="n"/>
      <c r="T434" s="22" t="n"/>
      <c r="U434" s="23" t="n"/>
      <c r="V434" s="24" t="n"/>
      <c r="W434" s="25">
        <f>IF(ISNUMBER(U434),U434+IF(ISNUMBER(V434),V434,120),"")</f>
        <v/>
      </c>
      <c r="X434" s="22" t="n"/>
      <c r="Y434" s="23" t="n"/>
      <c r="Z434" s="22" t="n"/>
      <c r="AA434" s="23" t="n"/>
      <c r="AB434" s="24" t="n"/>
      <c r="AC434" s="26">
        <f>IF(ISNUMBER(AD434)=FALSE,"",IF(G434=AD434,"State license",IF(I434=AD434,"DEA registration",IF(K434=AD434,"State CSR",IF(M434=AD434,"Board certification",IF(Q434=AD434,"Malpractice",IF(S434=AD434,"Life support",IF(W434=AD434,"CAQH re-attestation",IF(Y434=AD434,"Privileges reappointment","Payer recredentialing")))))))))</f>
        <v/>
      </c>
      <c r="AD434" s="25">
        <f>IF(OR(AND(LEN(G434)&gt;0,ISNUMBER(G434)=FALSE),AND(LEN(I434)&gt;0,ISNUMBER(I434)=FALSE),AND(LEN(K434)&gt;0,ISNUMBER(K434)=FALSE),AND(LEN(M434)&gt;0,ISNUMBER(M434)=FALSE),AND(LEN(Q434)&gt;0,ISNUMBER(Q434)=FALSE),AND(LEN(S434)&gt;0,ISNUMBER(S434)=FALSE),AND(LEN(Y434)&gt;0,ISNUMBER(Y434)=FALSE),AND(LEN(AA434)&gt;0,ISNUMBER(AA434)=FALSE),AND(LEN(U434)&gt;0,ISNUMBER(U434)=FALSE)),"Check date",IF(COUNT(G434,I434,K434,M434,Q434,S434,W434,Y434,AA434)=0,"",MIN(G434,I434,K434,M434,Q434,S434,W434,Y434,AA434)))</f>
        <v/>
      </c>
      <c r="AE434" s="25">
        <f>IF(ISNUMBER(AD434),AD434-IF(ISNUMBER(AB434),AB434,30),"")</f>
        <v/>
      </c>
      <c r="AF434" s="27">
        <f>IF(AD434="","",IF(ISNUMBER(AD434),AD434-TODAY(),"Check date"))</f>
        <v/>
      </c>
      <c r="AG434" s="28">
        <f>IF(AF434="","",IF(ISNUMBER(AF434),IF(AF434&lt;0,"Expired",IF(AF434&lt;=30,"Due ≤30 days",IF(AF434&lt;=90,"Due ≤90 days","OK"))),"Check date"))</f>
        <v/>
      </c>
      <c r="AH434" s="22" t="n"/>
      <c r="AI434" s="22" t="n"/>
      <c r="AJ434" s="22" t="n"/>
      <c r="AK434" s="22" t="n"/>
    </row>
    <row r="435">
      <c r="A435" s="22" t="n"/>
      <c r="B435" s="22" t="n"/>
      <c r="C435" s="22" t="n"/>
      <c r="D435" s="22" t="n"/>
      <c r="E435" s="22" t="n"/>
      <c r="F435" s="22" t="n"/>
      <c r="G435" s="23" t="n"/>
      <c r="H435" s="22" t="n"/>
      <c r="I435" s="23" t="n"/>
      <c r="J435" s="22" t="n"/>
      <c r="K435" s="23" t="n"/>
      <c r="L435" s="22" t="n"/>
      <c r="M435" s="23" t="n"/>
      <c r="N435" s="22" t="n"/>
      <c r="O435" s="22" t="n"/>
      <c r="P435" s="22" t="n"/>
      <c r="Q435" s="23" t="n"/>
      <c r="R435" s="22" t="n"/>
      <c r="S435" s="23" t="n"/>
      <c r="T435" s="22" t="n"/>
      <c r="U435" s="23" t="n"/>
      <c r="V435" s="24" t="n"/>
      <c r="W435" s="25">
        <f>IF(ISNUMBER(U435),U435+IF(ISNUMBER(V435),V435,120),"")</f>
        <v/>
      </c>
      <c r="X435" s="22" t="n"/>
      <c r="Y435" s="23" t="n"/>
      <c r="Z435" s="22" t="n"/>
      <c r="AA435" s="23" t="n"/>
      <c r="AB435" s="24" t="n"/>
      <c r="AC435" s="26">
        <f>IF(ISNUMBER(AD435)=FALSE,"",IF(G435=AD435,"State license",IF(I435=AD435,"DEA registration",IF(K435=AD435,"State CSR",IF(M435=AD435,"Board certification",IF(Q435=AD435,"Malpractice",IF(S435=AD435,"Life support",IF(W435=AD435,"CAQH re-attestation",IF(Y435=AD435,"Privileges reappointment","Payer recredentialing")))))))))</f>
        <v/>
      </c>
      <c r="AD435" s="25">
        <f>IF(OR(AND(LEN(G435)&gt;0,ISNUMBER(G435)=FALSE),AND(LEN(I435)&gt;0,ISNUMBER(I435)=FALSE),AND(LEN(K435)&gt;0,ISNUMBER(K435)=FALSE),AND(LEN(M435)&gt;0,ISNUMBER(M435)=FALSE),AND(LEN(Q435)&gt;0,ISNUMBER(Q435)=FALSE),AND(LEN(S435)&gt;0,ISNUMBER(S435)=FALSE),AND(LEN(Y435)&gt;0,ISNUMBER(Y435)=FALSE),AND(LEN(AA435)&gt;0,ISNUMBER(AA435)=FALSE),AND(LEN(U435)&gt;0,ISNUMBER(U435)=FALSE)),"Check date",IF(COUNT(G435,I435,K435,M435,Q435,S435,W435,Y435,AA435)=0,"",MIN(G435,I435,K435,M435,Q435,S435,W435,Y435,AA435)))</f>
        <v/>
      </c>
      <c r="AE435" s="25">
        <f>IF(ISNUMBER(AD435),AD435-IF(ISNUMBER(AB435),AB435,30),"")</f>
        <v/>
      </c>
      <c r="AF435" s="27">
        <f>IF(AD435="","",IF(ISNUMBER(AD435),AD435-TODAY(),"Check date"))</f>
        <v/>
      </c>
      <c r="AG435" s="28">
        <f>IF(AF435="","",IF(ISNUMBER(AF435),IF(AF435&lt;0,"Expired",IF(AF435&lt;=30,"Due ≤30 days",IF(AF435&lt;=90,"Due ≤90 days","OK"))),"Check date"))</f>
        <v/>
      </c>
      <c r="AH435" s="22" t="n"/>
      <c r="AI435" s="22" t="n"/>
      <c r="AJ435" s="22" t="n"/>
      <c r="AK435" s="22" t="n"/>
    </row>
    <row r="436">
      <c r="A436" s="22" t="n"/>
      <c r="B436" s="22" t="n"/>
      <c r="C436" s="22" t="n"/>
      <c r="D436" s="22" t="n"/>
      <c r="E436" s="22" t="n"/>
      <c r="F436" s="22" t="n"/>
      <c r="G436" s="23" t="n"/>
      <c r="H436" s="22" t="n"/>
      <c r="I436" s="23" t="n"/>
      <c r="J436" s="22" t="n"/>
      <c r="K436" s="23" t="n"/>
      <c r="L436" s="22" t="n"/>
      <c r="M436" s="23" t="n"/>
      <c r="N436" s="22" t="n"/>
      <c r="O436" s="22" t="n"/>
      <c r="P436" s="22" t="n"/>
      <c r="Q436" s="23" t="n"/>
      <c r="R436" s="22" t="n"/>
      <c r="S436" s="23" t="n"/>
      <c r="T436" s="22" t="n"/>
      <c r="U436" s="23" t="n"/>
      <c r="V436" s="24" t="n"/>
      <c r="W436" s="25">
        <f>IF(ISNUMBER(U436),U436+IF(ISNUMBER(V436),V436,120),"")</f>
        <v/>
      </c>
      <c r="X436" s="22" t="n"/>
      <c r="Y436" s="23" t="n"/>
      <c r="Z436" s="22" t="n"/>
      <c r="AA436" s="23" t="n"/>
      <c r="AB436" s="24" t="n"/>
      <c r="AC436" s="26">
        <f>IF(ISNUMBER(AD436)=FALSE,"",IF(G436=AD436,"State license",IF(I436=AD436,"DEA registration",IF(K436=AD436,"State CSR",IF(M436=AD436,"Board certification",IF(Q436=AD436,"Malpractice",IF(S436=AD436,"Life support",IF(W436=AD436,"CAQH re-attestation",IF(Y436=AD436,"Privileges reappointment","Payer recredentialing")))))))))</f>
        <v/>
      </c>
      <c r="AD436" s="25">
        <f>IF(OR(AND(LEN(G436)&gt;0,ISNUMBER(G436)=FALSE),AND(LEN(I436)&gt;0,ISNUMBER(I436)=FALSE),AND(LEN(K436)&gt;0,ISNUMBER(K436)=FALSE),AND(LEN(M436)&gt;0,ISNUMBER(M436)=FALSE),AND(LEN(Q436)&gt;0,ISNUMBER(Q436)=FALSE),AND(LEN(S436)&gt;0,ISNUMBER(S436)=FALSE),AND(LEN(Y436)&gt;0,ISNUMBER(Y436)=FALSE),AND(LEN(AA436)&gt;0,ISNUMBER(AA436)=FALSE),AND(LEN(U436)&gt;0,ISNUMBER(U436)=FALSE)),"Check date",IF(COUNT(G436,I436,K436,M436,Q436,S436,W436,Y436,AA436)=0,"",MIN(G436,I436,K436,M436,Q436,S436,W436,Y436,AA436)))</f>
        <v/>
      </c>
      <c r="AE436" s="25">
        <f>IF(ISNUMBER(AD436),AD436-IF(ISNUMBER(AB436),AB436,30),"")</f>
        <v/>
      </c>
      <c r="AF436" s="27">
        <f>IF(AD436="","",IF(ISNUMBER(AD436),AD436-TODAY(),"Check date"))</f>
        <v/>
      </c>
      <c r="AG436" s="28">
        <f>IF(AF436="","",IF(ISNUMBER(AF436),IF(AF436&lt;0,"Expired",IF(AF436&lt;=30,"Due ≤30 days",IF(AF436&lt;=90,"Due ≤90 days","OK"))),"Check date"))</f>
        <v/>
      </c>
      <c r="AH436" s="22" t="n"/>
      <c r="AI436" s="22" t="n"/>
      <c r="AJ436" s="22" t="n"/>
      <c r="AK436" s="22" t="n"/>
    </row>
    <row r="437">
      <c r="A437" s="22" t="n"/>
      <c r="B437" s="22" t="n"/>
      <c r="C437" s="22" t="n"/>
      <c r="D437" s="22" t="n"/>
      <c r="E437" s="22" t="n"/>
      <c r="F437" s="22" t="n"/>
      <c r="G437" s="23" t="n"/>
      <c r="H437" s="22" t="n"/>
      <c r="I437" s="23" t="n"/>
      <c r="J437" s="22" t="n"/>
      <c r="K437" s="23" t="n"/>
      <c r="L437" s="22" t="n"/>
      <c r="M437" s="23" t="n"/>
      <c r="N437" s="22" t="n"/>
      <c r="O437" s="22" t="n"/>
      <c r="P437" s="22" t="n"/>
      <c r="Q437" s="23" t="n"/>
      <c r="R437" s="22" t="n"/>
      <c r="S437" s="23" t="n"/>
      <c r="T437" s="22" t="n"/>
      <c r="U437" s="23" t="n"/>
      <c r="V437" s="24" t="n"/>
      <c r="W437" s="25">
        <f>IF(ISNUMBER(U437),U437+IF(ISNUMBER(V437),V437,120),"")</f>
        <v/>
      </c>
      <c r="X437" s="22" t="n"/>
      <c r="Y437" s="23" t="n"/>
      <c r="Z437" s="22" t="n"/>
      <c r="AA437" s="23" t="n"/>
      <c r="AB437" s="24" t="n"/>
      <c r="AC437" s="26">
        <f>IF(ISNUMBER(AD437)=FALSE,"",IF(G437=AD437,"State license",IF(I437=AD437,"DEA registration",IF(K437=AD437,"State CSR",IF(M437=AD437,"Board certification",IF(Q437=AD437,"Malpractice",IF(S437=AD437,"Life support",IF(W437=AD437,"CAQH re-attestation",IF(Y437=AD437,"Privileges reappointment","Payer recredentialing")))))))))</f>
        <v/>
      </c>
      <c r="AD437" s="25">
        <f>IF(OR(AND(LEN(G437)&gt;0,ISNUMBER(G437)=FALSE),AND(LEN(I437)&gt;0,ISNUMBER(I437)=FALSE),AND(LEN(K437)&gt;0,ISNUMBER(K437)=FALSE),AND(LEN(M437)&gt;0,ISNUMBER(M437)=FALSE),AND(LEN(Q437)&gt;0,ISNUMBER(Q437)=FALSE),AND(LEN(S437)&gt;0,ISNUMBER(S437)=FALSE),AND(LEN(Y437)&gt;0,ISNUMBER(Y437)=FALSE),AND(LEN(AA437)&gt;0,ISNUMBER(AA437)=FALSE),AND(LEN(U437)&gt;0,ISNUMBER(U437)=FALSE)),"Check date",IF(COUNT(G437,I437,K437,M437,Q437,S437,W437,Y437,AA437)=0,"",MIN(G437,I437,K437,M437,Q437,S437,W437,Y437,AA437)))</f>
        <v/>
      </c>
      <c r="AE437" s="25">
        <f>IF(ISNUMBER(AD437),AD437-IF(ISNUMBER(AB437),AB437,30),"")</f>
        <v/>
      </c>
      <c r="AF437" s="27">
        <f>IF(AD437="","",IF(ISNUMBER(AD437),AD437-TODAY(),"Check date"))</f>
        <v/>
      </c>
      <c r="AG437" s="28">
        <f>IF(AF437="","",IF(ISNUMBER(AF437),IF(AF437&lt;0,"Expired",IF(AF437&lt;=30,"Due ≤30 days",IF(AF437&lt;=90,"Due ≤90 days","OK"))),"Check date"))</f>
        <v/>
      </c>
      <c r="AH437" s="22" t="n"/>
      <c r="AI437" s="22" t="n"/>
      <c r="AJ437" s="22" t="n"/>
      <c r="AK437" s="22" t="n"/>
    </row>
    <row r="438">
      <c r="A438" s="22" t="n"/>
      <c r="B438" s="22" t="n"/>
      <c r="C438" s="22" t="n"/>
      <c r="D438" s="22" t="n"/>
      <c r="E438" s="22" t="n"/>
      <c r="F438" s="22" t="n"/>
      <c r="G438" s="23" t="n"/>
      <c r="H438" s="22" t="n"/>
      <c r="I438" s="23" t="n"/>
      <c r="J438" s="22" t="n"/>
      <c r="K438" s="23" t="n"/>
      <c r="L438" s="22" t="n"/>
      <c r="M438" s="23" t="n"/>
      <c r="N438" s="22" t="n"/>
      <c r="O438" s="22" t="n"/>
      <c r="P438" s="22" t="n"/>
      <c r="Q438" s="23" t="n"/>
      <c r="R438" s="22" t="n"/>
      <c r="S438" s="23" t="n"/>
      <c r="T438" s="22" t="n"/>
      <c r="U438" s="23" t="n"/>
      <c r="V438" s="24" t="n"/>
      <c r="W438" s="25">
        <f>IF(ISNUMBER(U438),U438+IF(ISNUMBER(V438),V438,120),"")</f>
        <v/>
      </c>
      <c r="X438" s="22" t="n"/>
      <c r="Y438" s="23" t="n"/>
      <c r="Z438" s="22" t="n"/>
      <c r="AA438" s="23" t="n"/>
      <c r="AB438" s="24" t="n"/>
      <c r="AC438" s="26">
        <f>IF(ISNUMBER(AD438)=FALSE,"",IF(G438=AD438,"State license",IF(I438=AD438,"DEA registration",IF(K438=AD438,"State CSR",IF(M438=AD438,"Board certification",IF(Q438=AD438,"Malpractice",IF(S438=AD438,"Life support",IF(W438=AD438,"CAQH re-attestation",IF(Y438=AD438,"Privileges reappointment","Payer recredentialing")))))))))</f>
        <v/>
      </c>
      <c r="AD438" s="25">
        <f>IF(OR(AND(LEN(G438)&gt;0,ISNUMBER(G438)=FALSE),AND(LEN(I438)&gt;0,ISNUMBER(I438)=FALSE),AND(LEN(K438)&gt;0,ISNUMBER(K438)=FALSE),AND(LEN(M438)&gt;0,ISNUMBER(M438)=FALSE),AND(LEN(Q438)&gt;0,ISNUMBER(Q438)=FALSE),AND(LEN(S438)&gt;0,ISNUMBER(S438)=FALSE),AND(LEN(Y438)&gt;0,ISNUMBER(Y438)=FALSE),AND(LEN(AA438)&gt;0,ISNUMBER(AA438)=FALSE),AND(LEN(U438)&gt;0,ISNUMBER(U438)=FALSE)),"Check date",IF(COUNT(G438,I438,K438,M438,Q438,S438,W438,Y438,AA438)=0,"",MIN(G438,I438,K438,M438,Q438,S438,W438,Y438,AA438)))</f>
        <v/>
      </c>
      <c r="AE438" s="25">
        <f>IF(ISNUMBER(AD438),AD438-IF(ISNUMBER(AB438),AB438,30),"")</f>
        <v/>
      </c>
      <c r="AF438" s="27">
        <f>IF(AD438="","",IF(ISNUMBER(AD438),AD438-TODAY(),"Check date"))</f>
        <v/>
      </c>
      <c r="AG438" s="28">
        <f>IF(AF438="","",IF(ISNUMBER(AF438),IF(AF438&lt;0,"Expired",IF(AF438&lt;=30,"Due ≤30 days",IF(AF438&lt;=90,"Due ≤90 days","OK"))),"Check date"))</f>
        <v/>
      </c>
      <c r="AH438" s="22" t="n"/>
      <c r="AI438" s="22" t="n"/>
      <c r="AJ438" s="22" t="n"/>
      <c r="AK438" s="22" t="n"/>
    </row>
    <row r="439">
      <c r="A439" s="22" t="n"/>
      <c r="B439" s="22" t="n"/>
      <c r="C439" s="22" t="n"/>
      <c r="D439" s="22" t="n"/>
      <c r="E439" s="22" t="n"/>
      <c r="F439" s="22" t="n"/>
      <c r="G439" s="23" t="n"/>
      <c r="H439" s="22" t="n"/>
      <c r="I439" s="23" t="n"/>
      <c r="J439" s="22" t="n"/>
      <c r="K439" s="23" t="n"/>
      <c r="L439" s="22" t="n"/>
      <c r="M439" s="23" t="n"/>
      <c r="N439" s="22" t="n"/>
      <c r="O439" s="22" t="n"/>
      <c r="P439" s="22" t="n"/>
      <c r="Q439" s="23" t="n"/>
      <c r="R439" s="22" t="n"/>
      <c r="S439" s="23" t="n"/>
      <c r="T439" s="22" t="n"/>
      <c r="U439" s="23" t="n"/>
      <c r="V439" s="24" t="n"/>
      <c r="W439" s="25">
        <f>IF(ISNUMBER(U439),U439+IF(ISNUMBER(V439),V439,120),"")</f>
        <v/>
      </c>
      <c r="X439" s="22" t="n"/>
      <c r="Y439" s="23" t="n"/>
      <c r="Z439" s="22" t="n"/>
      <c r="AA439" s="23" t="n"/>
      <c r="AB439" s="24" t="n"/>
      <c r="AC439" s="26">
        <f>IF(ISNUMBER(AD439)=FALSE,"",IF(G439=AD439,"State license",IF(I439=AD439,"DEA registration",IF(K439=AD439,"State CSR",IF(M439=AD439,"Board certification",IF(Q439=AD439,"Malpractice",IF(S439=AD439,"Life support",IF(W439=AD439,"CAQH re-attestation",IF(Y439=AD439,"Privileges reappointment","Payer recredentialing")))))))))</f>
        <v/>
      </c>
      <c r="AD439" s="25">
        <f>IF(OR(AND(LEN(G439)&gt;0,ISNUMBER(G439)=FALSE),AND(LEN(I439)&gt;0,ISNUMBER(I439)=FALSE),AND(LEN(K439)&gt;0,ISNUMBER(K439)=FALSE),AND(LEN(M439)&gt;0,ISNUMBER(M439)=FALSE),AND(LEN(Q439)&gt;0,ISNUMBER(Q439)=FALSE),AND(LEN(S439)&gt;0,ISNUMBER(S439)=FALSE),AND(LEN(Y439)&gt;0,ISNUMBER(Y439)=FALSE),AND(LEN(AA439)&gt;0,ISNUMBER(AA439)=FALSE),AND(LEN(U439)&gt;0,ISNUMBER(U439)=FALSE)),"Check date",IF(COUNT(G439,I439,K439,M439,Q439,S439,W439,Y439,AA439)=0,"",MIN(G439,I439,K439,M439,Q439,S439,W439,Y439,AA439)))</f>
        <v/>
      </c>
      <c r="AE439" s="25">
        <f>IF(ISNUMBER(AD439),AD439-IF(ISNUMBER(AB439),AB439,30),"")</f>
        <v/>
      </c>
      <c r="AF439" s="27">
        <f>IF(AD439="","",IF(ISNUMBER(AD439),AD439-TODAY(),"Check date"))</f>
        <v/>
      </c>
      <c r="AG439" s="28">
        <f>IF(AF439="","",IF(ISNUMBER(AF439),IF(AF439&lt;0,"Expired",IF(AF439&lt;=30,"Due ≤30 days",IF(AF439&lt;=90,"Due ≤90 days","OK"))),"Check date"))</f>
        <v/>
      </c>
      <c r="AH439" s="22" t="n"/>
      <c r="AI439" s="22" t="n"/>
      <c r="AJ439" s="22" t="n"/>
      <c r="AK439" s="22" t="n"/>
    </row>
    <row r="440">
      <c r="A440" s="22" t="n"/>
      <c r="B440" s="22" t="n"/>
      <c r="C440" s="22" t="n"/>
      <c r="D440" s="22" t="n"/>
      <c r="E440" s="22" t="n"/>
      <c r="F440" s="22" t="n"/>
      <c r="G440" s="23" t="n"/>
      <c r="H440" s="22" t="n"/>
      <c r="I440" s="23" t="n"/>
      <c r="J440" s="22" t="n"/>
      <c r="K440" s="23" t="n"/>
      <c r="L440" s="22" t="n"/>
      <c r="M440" s="23" t="n"/>
      <c r="N440" s="22" t="n"/>
      <c r="O440" s="22" t="n"/>
      <c r="P440" s="22" t="n"/>
      <c r="Q440" s="23" t="n"/>
      <c r="R440" s="22" t="n"/>
      <c r="S440" s="23" t="n"/>
      <c r="T440" s="22" t="n"/>
      <c r="U440" s="23" t="n"/>
      <c r="V440" s="24" t="n"/>
      <c r="W440" s="25">
        <f>IF(ISNUMBER(U440),U440+IF(ISNUMBER(V440),V440,120),"")</f>
        <v/>
      </c>
      <c r="X440" s="22" t="n"/>
      <c r="Y440" s="23" t="n"/>
      <c r="Z440" s="22" t="n"/>
      <c r="AA440" s="23" t="n"/>
      <c r="AB440" s="24" t="n"/>
      <c r="AC440" s="26">
        <f>IF(ISNUMBER(AD440)=FALSE,"",IF(G440=AD440,"State license",IF(I440=AD440,"DEA registration",IF(K440=AD440,"State CSR",IF(M440=AD440,"Board certification",IF(Q440=AD440,"Malpractice",IF(S440=AD440,"Life support",IF(W440=AD440,"CAQH re-attestation",IF(Y440=AD440,"Privileges reappointment","Payer recredentialing")))))))))</f>
        <v/>
      </c>
      <c r="AD440" s="25">
        <f>IF(OR(AND(LEN(G440)&gt;0,ISNUMBER(G440)=FALSE),AND(LEN(I440)&gt;0,ISNUMBER(I440)=FALSE),AND(LEN(K440)&gt;0,ISNUMBER(K440)=FALSE),AND(LEN(M440)&gt;0,ISNUMBER(M440)=FALSE),AND(LEN(Q440)&gt;0,ISNUMBER(Q440)=FALSE),AND(LEN(S440)&gt;0,ISNUMBER(S440)=FALSE),AND(LEN(Y440)&gt;0,ISNUMBER(Y440)=FALSE),AND(LEN(AA440)&gt;0,ISNUMBER(AA440)=FALSE),AND(LEN(U440)&gt;0,ISNUMBER(U440)=FALSE)),"Check date",IF(COUNT(G440,I440,K440,M440,Q440,S440,W440,Y440,AA440)=0,"",MIN(G440,I440,K440,M440,Q440,S440,W440,Y440,AA440)))</f>
        <v/>
      </c>
      <c r="AE440" s="25">
        <f>IF(ISNUMBER(AD440),AD440-IF(ISNUMBER(AB440),AB440,30),"")</f>
        <v/>
      </c>
      <c r="AF440" s="27">
        <f>IF(AD440="","",IF(ISNUMBER(AD440),AD440-TODAY(),"Check date"))</f>
        <v/>
      </c>
      <c r="AG440" s="28">
        <f>IF(AF440="","",IF(ISNUMBER(AF440),IF(AF440&lt;0,"Expired",IF(AF440&lt;=30,"Due ≤30 days",IF(AF440&lt;=90,"Due ≤90 days","OK"))),"Check date"))</f>
        <v/>
      </c>
      <c r="AH440" s="22" t="n"/>
      <c r="AI440" s="22" t="n"/>
      <c r="AJ440" s="22" t="n"/>
      <c r="AK440" s="22" t="n"/>
    </row>
    <row r="441">
      <c r="A441" s="22" t="n"/>
      <c r="B441" s="22" t="n"/>
      <c r="C441" s="22" t="n"/>
      <c r="D441" s="22" t="n"/>
      <c r="E441" s="22" t="n"/>
      <c r="F441" s="22" t="n"/>
      <c r="G441" s="23" t="n"/>
      <c r="H441" s="22" t="n"/>
      <c r="I441" s="23" t="n"/>
      <c r="J441" s="22" t="n"/>
      <c r="K441" s="23" t="n"/>
      <c r="L441" s="22" t="n"/>
      <c r="M441" s="23" t="n"/>
      <c r="N441" s="22" t="n"/>
      <c r="O441" s="22" t="n"/>
      <c r="P441" s="22" t="n"/>
      <c r="Q441" s="23" t="n"/>
      <c r="R441" s="22" t="n"/>
      <c r="S441" s="23" t="n"/>
      <c r="T441" s="22" t="n"/>
      <c r="U441" s="23" t="n"/>
      <c r="V441" s="24" t="n"/>
      <c r="W441" s="25">
        <f>IF(ISNUMBER(U441),U441+IF(ISNUMBER(V441),V441,120),"")</f>
        <v/>
      </c>
      <c r="X441" s="22" t="n"/>
      <c r="Y441" s="23" t="n"/>
      <c r="Z441" s="22" t="n"/>
      <c r="AA441" s="23" t="n"/>
      <c r="AB441" s="24" t="n"/>
      <c r="AC441" s="26">
        <f>IF(ISNUMBER(AD441)=FALSE,"",IF(G441=AD441,"State license",IF(I441=AD441,"DEA registration",IF(K441=AD441,"State CSR",IF(M441=AD441,"Board certification",IF(Q441=AD441,"Malpractice",IF(S441=AD441,"Life support",IF(W441=AD441,"CAQH re-attestation",IF(Y441=AD441,"Privileges reappointment","Payer recredentialing")))))))))</f>
        <v/>
      </c>
      <c r="AD441" s="25">
        <f>IF(OR(AND(LEN(G441)&gt;0,ISNUMBER(G441)=FALSE),AND(LEN(I441)&gt;0,ISNUMBER(I441)=FALSE),AND(LEN(K441)&gt;0,ISNUMBER(K441)=FALSE),AND(LEN(M441)&gt;0,ISNUMBER(M441)=FALSE),AND(LEN(Q441)&gt;0,ISNUMBER(Q441)=FALSE),AND(LEN(S441)&gt;0,ISNUMBER(S441)=FALSE),AND(LEN(Y441)&gt;0,ISNUMBER(Y441)=FALSE),AND(LEN(AA441)&gt;0,ISNUMBER(AA441)=FALSE),AND(LEN(U441)&gt;0,ISNUMBER(U441)=FALSE)),"Check date",IF(COUNT(G441,I441,K441,M441,Q441,S441,W441,Y441,AA441)=0,"",MIN(G441,I441,K441,M441,Q441,S441,W441,Y441,AA441)))</f>
        <v/>
      </c>
      <c r="AE441" s="25">
        <f>IF(ISNUMBER(AD441),AD441-IF(ISNUMBER(AB441),AB441,30),"")</f>
        <v/>
      </c>
      <c r="AF441" s="27">
        <f>IF(AD441="","",IF(ISNUMBER(AD441),AD441-TODAY(),"Check date"))</f>
        <v/>
      </c>
      <c r="AG441" s="28">
        <f>IF(AF441="","",IF(ISNUMBER(AF441),IF(AF441&lt;0,"Expired",IF(AF441&lt;=30,"Due ≤30 days",IF(AF441&lt;=90,"Due ≤90 days","OK"))),"Check date"))</f>
        <v/>
      </c>
      <c r="AH441" s="22" t="n"/>
      <c r="AI441" s="22" t="n"/>
      <c r="AJ441" s="22" t="n"/>
      <c r="AK441" s="22" t="n"/>
    </row>
    <row r="442">
      <c r="A442" s="22" t="n"/>
      <c r="B442" s="22" t="n"/>
      <c r="C442" s="22" t="n"/>
      <c r="D442" s="22" t="n"/>
      <c r="E442" s="22" t="n"/>
      <c r="F442" s="22" t="n"/>
      <c r="G442" s="23" t="n"/>
      <c r="H442" s="22" t="n"/>
      <c r="I442" s="23" t="n"/>
      <c r="J442" s="22" t="n"/>
      <c r="K442" s="23" t="n"/>
      <c r="L442" s="22" t="n"/>
      <c r="M442" s="23" t="n"/>
      <c r="N442" s="22" t="n"/>
      <c r="O442" s="22" t="n"/>
      <c r="P442" s="22" t="n"/>
      <c r="Q442" s="23" t="n"/>
      <c r="R442" s="22" t="n"/>
      <c r="S442" s="23" t="n"/>
      <c r="T442" s="22" t="n"/>
      <c r="U442" s="23" t="n"/>
      <c r="V442" s="24" t="n"/>
      <c r="W442" s="25">
        <f>IF(ISNUMBER(U442),U442+IF(ISNUMBER(V442),V442,120),"")</f>
        <v/>
      </c>
      <c r="X442" s="22" t="n"/>
      <c r="Y442" s="23" t="n"/>
      <c r="Z442" s="22" t="n"/>
      <c r="AA442" s="23" t="n"/>
      <c r="AB442" s="24" t="n"/>
      <c r="AC442" s="26">
        <f>IF(ISNUMBER(AD442)=FALSE,"",IF(G442=AD442,"State license",IF(I442=AD442,"DEA registration",IF(K442=AD442,"State CSR",IF(M442=AD442,"Board certification",IF(Q442=AD442,"Malpractice",IF(S442=AD442,"Life support",IF(W442=AD442,"CAQH re-attestation",IF(Y442=AD442,"Privileges reappointment","Payer recredentialing")))))))))</f>
        <v/>
      </c>
      <c r="AD442" s="25">
        <f>IF(OR(AND(LEN(G442)&gt;0,ISNUMBER(G442)=FALSE),AND(LEN(I442)&gt;0,ISNUMBER(I442)=FALSE),AND(LEN(K442)&gt;0,ISNUMBER(K442)=FALSE),AND(LEN(M442)&gt;0,ISNUMBER(M442)=FALSE),AND(LEN(Q442)&gt;0,ISNUMBER(Q442)=FALSE),AND(LEN(S442)&gt;0,ISNUMBER(S442)=FALSE),AND(LEN(Y442)&gt;0,ISNUMBER(Y442)=FALSE),AND(LEN(AA442)&gt;0,ISNUMBER(AA442)=FALSE),AND(LEN(U442)&gt;0,ISNUMBER(U442)=FALSE)),"Check date",IF(COUNT(G442,I442,K442,M442,Q442,S442,W442,Y442,AA442)=0,"",MIN(G442,I442,K442,M442,Q442,S442,W442,Y442,AA442)))</f>
        <v/>
      </c>
      <c r="AE442" s="25">
        <f>IF(ISNUMBER(AD442),AD442-IF(ISNUMBER(AB442),AB442,30),"")</f>
        <v/>
      </c>
      <c r="AF442" s="27">
        <f>IF(AD442="","",IF(ISNUMBER(AD442),AD442-TODAY(),"Check date"))</f>
        <v/>
      </c>
      <c r="AG442" s="28">
        <f>IF(AF442="","",IF(ISNUMBER(AF442),IF(AF442&lt;0,"Expired",IF(AF442&lt;=30,"Due ≤30 days",IF(AF442&lt;=90,"Due ≤90 days","OK"))),"Check date"))</f>
        <v/>
      </c>
      <c r="AH442" s="22" t="n"/>
      <c r="AI442" s="22" t="n"/>
      <c r="AJ442" s="22" t="n"/>
      <c r="AK442" s="22" t="n"/>
    </row>
    <row r="443">
      <c r="A443" s="22" t="n"/>
      <c r="B443" s="22" t="n"/>
      <c r="C443" s="22" t="n"/>
      <c r="D443" s="22" t="n"/>
      <c r="E443" s="22" t="n"/>
      <c r="F443" s="22" t="n"/>
      <c r="G443" s="23" t="n"/>
      <c r="H443" s="22" t="n"/>
      <c r="I443" s="23" t="n"/>
      <c r="J443" s="22" t="n"/>
      <c r="K443" s="23" t="n"/>
      <c r="L443" s="22" t="n"/>
      <c r="M443" s="23" t="n"/>
      <c r="N443" s="22" t="n"/>
      <c r="O443" s="22" t="n"/>
      <c r="P443" s="22" t="n"/>
      <c r="Q443" s="23" t="n"/>
      <c r="R443" s="22" t="n"/>
      <c r="S443" s="23" t="n"/>
      <c r="T443" s="22" t="n"/>
      <c r="U443" s="23" t="n"/>
      <c r="V443" s="24" t="n"/>
      <c r="W443" s="25">
        <f>IF(ISNUMBER(U443),U443+IF(ISNUMBER(V443),V443,120),"")</f>
        <v/>
      </c>
      <c r="X443" s="22" t="n"/>
      <c r="Y443" s="23" t="n"/>
      <c r="Z443" s="22" t="n"/>
      <c r="AA443" s="23" t="n"/>
      <c r="AB443" s="24" t="n"/>
      <c r="AC443" s="26">
        <f>IF(ISNUMBER(AD443)=FALSE,"",IF(G443=AD443,"State license",IF(I443=AD443,"DEA registration",IF(K443=AD443,"State CSR",IF(M443=AD443,"Board certification",IF(Q443=AD443,"Malpractice",IF(S443=AD443,"Life support",IF(W443=AD443,"CAQH re-attestation",IF(Y443=AD443,"Privileges reappointment","Payer recredentialing")))))))))</f>
        <v/>
      </c>
      <c r="AD443" s="25">
        <f>IF(OR(AND(LEN(G443)&gt;0,ISNUMBER(G443)=FALSE),AND(LEN(I443)&gt;0,ISNUMBER(I443)=FALSE),AND(LEN(K443)&gt;0,ISNUMBER(K443)=FALSE),AND(LEN(M443)&gt;0,ISNUMBER(M443)=FALSE),AND(LEN(Q443)&gt;0,ISNUMBER(Q443)=FALSE),AND(LEN(S443)&gt;0,ISNUMBER(S443)=FALSE),AND(LEN(Y443)&gt;0,ISNUMBER(Y443)=FALSE),AND(LEN(AA443)&gt;0,ISNUMBER(AA443)=FALSE),AND(LEN(U443)&gt;0,ISNUMBER(U443)=FALSE)),"Check date",IF(COUNT(G443,I443,K443,M443,Q443,S443,W443,Y443,AA443)=0,"",MIN(G443,I443,K443,M443,Q443,S443,W443,Y443,AA443)))</f>
        <v/>
      </c>
      <c r="AE443" s="25">
        <f>IF(ISNUMBER(AD443),AD443-IF(ISNUMBER(AB443),AB443,30),"")</f>
        <v/>
      </c>
      <c r="AF443" s="27">
        <f>IF(AD443="","",IF(ISNUMBER(AD443),AD443-TODAY(),"Check date"))</f>
        <v/>
      </c>
      <c r="AG443" s="28">
        <f>IF(AF443="","",IF(ISNUMBER(AF443),IF(AF443&lt;0,"Expired",IF(AF443&lt;=30,"Due ≤30 days",IF(AF443&lt;=90,"Due ≤90 days","OK"))),"Check date"))</f>
        <v/>
      </c>
      <c r="AH443" s="22" t="n"/>
      <c r="AI443" s="22" t="n"/>
      <c r="AJ443" s="22" t="n"/>
      <c r="AK443" s="22" t="n"/>
    </row>
    <row r="444">
      <c r="A444" s="22" t="n"/>
      <c r="B444" s="22" t="n"/>
      <c r="C444" s="22" t="n"/>
      <c r="D444" s="22" t="n"/>
      <c r="E444" s="22" t="n"/>
      <c r="F444" s="22" t="n"/>
      <c r="G444" s="23" t="n"/>
      <c r="H444" s="22" t="n"/>
      <c r="I444" s="23" t="n"/>
      <c r="J444" s="22" t="n"/>
      <c r="K444" s="23" t="n"/>
      <c r="L444" s="22" t="n"/>
      <c r="M444" s="23" t="n"/>
      <c r="N444" s="22" t="n"/>
      <c r="O444" s="22" t="n"/>
      <c r="P444" s="22" t="n"/>
      <c r="Q444" s="23" t="n"/>
      <c r="R444" s="22" t="n"/>
      <c r="S444" s="23" t="n"/>
      <c r="T444" s="22" t="n"/>
      <c r="U444" s="23" t="n"/>
      <c r="V444" s="24" t="n"/>
      <c r="W444" s="25">
        <f>IF(ISNUMBER(U444),U444+IF(ISNUMBER(V444),V444,120),"")</f>
        <v/>
      </c>
      <c r="X444" s="22" t="n"/>
      <c r="Y444" s="23" t="n"/>
      <c r="Z444" s="22" t="n"/>
      <c r="AA444" s="23" t="n"/>
      <c r="AB444" s="24" t="n"/>
      <c r="AC444" s="26">
        <f>IF(ISNUMBER(AD444)=FALSE,"",IF(G444=AD444,"State license",IF(I444=AD444,"DEA registration",IF(K444=AD444,"State CSR",IF(M444=AD444,"Board certification",IF(Q444=AD444,"Malpractice",IF(S444=AD444,"Life support",IF(W444=AD444,"CAQH re-attestation",IF(Y444=AD444,"Privileges reappointment","Payer recredentialing")))))))))</f>
        <v/>
      </c>
      <c r="AD444" s="25">
        <f>IF(OR(AND(LEN(G444)&gt;0,ISNUMBER(G444)=FALSE),AND(LEN(I444)&gt;0,ISNUMBER(I444)=FALSE),AND(LEN(K444)&gt;0,ISNUMBER(K444)=FALSE),AND(LEN(M444)&gt;0,ISNUMBER(M444)=FALSE),AND(LEN(Q444)&gt;0,ISNUMBER(Q444)=FALSE),AND(LEN(S444)&gt;0,ISNUMBER(S444)=FALSE),AND(LEN(Y444)&gt;0,ISNUMBER(Y444)=FALSE),AND(LEN(AA444)&gt;0,ISNUMBER(AA444)=FALSE),AND(LEN(U444)&gt;0,ISNUMBER(U444)=FALSE)),"Check date",IF(COUNT(G444,I444,K444,M444,Q444,S444,W444,Y444,AA444)=0,"",MIN(G444,I444,K444,M444,Q444,S444,W444,Y444,AA444)))</f>
        <v/>
      </c>
      <c r="AE444" s="25">
        <f>IF(ISNUMBER(AD444),AD444-IF(ISNUMBER(AB444),AB444,30),"")</f>
        <v/>
      </c>
      <c r="AF444" s="27">
        <f>IF(AD444="","",IF(ISNUMBER(AD444),AD444-TODAY(),"Check date"))</f>
        <v/>
      </c>
      <c r="AG444" s="28">
        <f>IF(AF444="","",IF(ISNUMBER(AF444),IF(AF444&lt;0,"Expired",IF(AF444&lt;=30,"Due ≤30 days",IF(AF444&lt;=90,"Due ≤90 days","OK"))),"Check date"))</f>
        <v/>
      </c>
      <c r="AH444" s="22" t="n"/>
      <c r="AI444" s="22" t="n"/>
      <c r="AJ444" s="22" t="n"/>
      <c r="AK444" s="22" t="n"/>
    </row>
    <row r="445">
      <c r="A445" s="22" t="n"/>
      <c r="B445" s="22" t="n"/>
      <c r="C445" s="22" t="n"/>
      <c r="D445" s="22" t="n"/>
      <c r="E445" s="22" t="n"/>
      <c r="F445" s="22" t="n"/>
      <c r="G445" s="23" t="n"/>
      <c r="H445" s="22" t="n"/>
      <c r="I445" s="23" t="n"/>
      <c r="J445" s="22" t="n"/>
      <c r="K445" s="23" t="n"/>
      <c r="L445" s="22" t="n"/>
      <c r="M445" s="23" t="n"/>
      <c r="N445" s="22" t="n"/>
      <c r="O445" s="22" t="n"/>
      <c r="P445" s="22" t="n"/>
      <c r="Q445" s="23" t="n"/>
      <c r="R445" s="22" t="n"/>
      <c r="S445" s="23" t="n"/>
      <c r="T445" s="22" t="n"/>
      <c r="U445" s="23" t="n"/>
      <c r="V445" s="24" t="n"/>
      <c r="W445" s="25">
        <f>IF(ISNUMBER(U445),U445+IF(ISNUMBER(V445),V445,120),"")</f>
        <v/>
      </c>
      <c r="X445" s="22" t="n"/>
      <c r="Y445" s="23" t="n"/>
      <c r="Z445" s="22" t="n"/>
      <c r="AA445" s="23" t="n"/>
      <c r="AB445" s="24" t="n"/>
      <c r="AC445" s="26">
        <f>IF(ISNUMBER(AD445)=FALSE,"",IF(G445=AD445,"State license",IF(I445=AD445,"DEA registration",IF(K445=AD445,"State CSR",IF(M445=AD445,"Board certification",IF(Q445=AD445,"Malpractice",IF(S445=AD445,"Life support",IF(W445=AD445,"CAQH re-attestation",IF(Y445=AD445,"Privileges reappointment","Payer recredentialing")))))))))</f>
        <v/>
      </c>
      <c r="AD445" s="25">
        <f>IF(OR(AND(LEN(G445)&gt;0,ISNUMBER(G445)=FALSE),AND(LEN(I445)&gt;0,ISNUMBER(I445)=FALSE),AND(LEN(K445)&gt;0,ISNUMBER(K445)=FALSE),AND(LEN(M445)&gt;0,ISNUMBER(M445)=FALSE),AND(LEN(Q445)&gt;0,ISNUMBER(Q445)=FALSE),AND(LEN(S445)&gt;0,ISNUMBER(S445)=FALSE),AND(LEN(Y445)&gt;0,ISNUMBER(Y445)=FALSE),AND(LEN(AA445)&gt;0,ISNUMBER(AA445)=FALSE),AND(LEN(U445)&gt;0,ISNUMBER(U445)=FALSE)),"Check date",IF(COUNT(G445,I445,K445,M445,Q445,S445,W445,Y445,AA445)=0,"",MIN(G445,I445,K445,M445,Q445,S445,W445,Y445,AA445)))</f>
        <v/>
      </c>
      <c r="AE445" s="25">
        <f>IF(ISNUMBER(AD445),AD445-IF(ISNUMBER(AB445),AB445,30),"")</f>
        <v/>
      </c>
      <c r="AF445" s="27">
        <f>IF(AD445="","",IF(ISNUMBER(AD445),AD445-TODAY(),"Check date"))</f>
        <v/>
      </c>
      <c r="AG445" s="28">
        <f>IF(AF445="","",IF(ISNUMBER(AF445),IF(AF445&lt;0,"Expired",IF(AF445&lt;=30,"Due ≤30 days",IF(AF445&lt;=90,"Due ≤90 days","OK"))),"Check date"))</f>
        <v/>
      </c>
      <c r="AH445" s="22" t="n"/>
      <c r="AI445" s="22" t="n"/>
      <c r="AJ445" s="22" t="n"/>
      <c r="AK445" s="22" t="n"/>
    </row>
    <row r="446">
      <c r="A446" s="22" t="n"/>
      <c r="B446" s="22" t="n"/>
      <c r="C446" s="22" t="n"/>
      <c r="D446" s="22" t="n"/>
      <c r="E446" s="22" t="n"/>
      <c r="F446" s="22" t="n"/>
      <c r="G446" s="23" t="n"/>
      <c r="H446" s="22" t="n"/>
      <c r="I446" s="23" t="n"/>
      <c r="J446" s="22" t="n"/>
      <c r="K446" s="23" t="n"/>
      <c r="L446" s="22" t="n"/>
      <c r="M446" s="23" t="n"/>
      <c r="N446" s="22" t="n"/>
      <c r="O446" s="22" t="n"/>
      <c r="P446" s="22" t="n"/>
      <c r="Q446" s="23" t="n"/>
      <c r="R446" s="22" t="n"/>
      <c r="S446" s="23" t="n"/>
      <c r="T446" s="22" t="n"/>
      <c r="U446" s="23" t="n"/>
      <c r="V446" s="24" t="n"/>
      <c r="W446" s="25">
        <f>IF(ISNUMBER(U446),U446+IF(ISNUMBER(V446),V446,120),"")</f>
        <v/>
      </c>
      <c r="X446" s="22" t="n"/>
      <c r="Y446" s="23" t="n"/>
      <c r="Z446" s="22" t="n"/>
      <c r="AA446" s="23" t="n"/>
      <c r="AB446" s="24" t="n"/>
      <c r="AC446" s="26">
        <f>IF(ISNUMBER(AD446)=FALSE,"",IF(G446=AD446,"State license",IF(I446=AD446,"DEA registration",IF(K446=AD446,"State CSR",IF(M446=AD446,"Board certification",IF(Q446=AD446,"Malpractice",IF(S446=AD446,"Life support",IF(W446=AD446,"CAQH re-attestation",IF(Y446=AD446,"Privileges reappointment","Payer recredentialing")))))))))</f>
        <v/>
      </c>
      <c r="AD446" s="25">
        <f>IF(OR(AND(LEN(G446)&gt;0,ISNUMBER(G446)=FALSE),AND(LEN(I446)&gt;0,ISNUMBER(I446)=FALSE),AND(LEN(K446)&gt;0,ISNUMBER(K446)=FALSE),AND(LEN(M446)&gt;0,ISNUMBER(M446)=FALSE),AND(LEN(Q446)&gt;0,ISNUMBER(Q446)=FALSE),AND(LEN(S446)&gt;0,ISNUMBER(S446)=FALSE),AND(LEN(Y446)&gt;0,ISNUMBER(Y446)=FALSE),AND(LEN(AA446)&gt;0,ISNUMBER(AA446)=FALSE),AND(LEN(U446)&gt;0,ISNUMBER(U446)=FALSE)),"Check date",IF(COUNT(G446,I446,K446,M446,Q446,S446,W446,Y446,AA446)=0,"",MIN(G446,I446,K446,M446,Q446,S446,W446,Y446,AA446)))</f>
        <v/>
      </c>
      <c r="AE446" s="25">
        <f>IF(ISNUMBER(AD446),AD446-IF(ISNUMBER(AB446),AB446,30),"")</f>
        <v/>
      </c>
      <c r="AF446" s="27">
        <f>IF(AD446="","",IF(ISNUMBER(AD446),AD446-TODAY(),"Check date"))</f>
        <v/>
      </c>
      <c r="AG446" s="28">
        <f>IF(AF446="","",IF(ISNUMBER(AF446),IF(AF446&lt;0,"Expired",IF(AF446&lt;=30,"Due ≤30 days",IF(AF446&lt;=90,"Due ≤90 days","OK"))),"Check date"))</f>
        <v/>
      </c>
      <c r="AH446" s="22" t="n"/>
      <c r="AI446" s="22" t="n"/>
      <c r="AJ446" s="22" t="n"/>
      <c r="AK446" s="22" t="n"/>
    </row>
    <row r="447">
      <c r="A447" s="22" t="n"/>
      <c r="B447" s="22" t="n"/>
      <c r="C447" s="22" t="n"/>
      <c r="D447" s="22" t="n"/>
      <c r="E447" s="22" t="n"/>
      <c r="F447" s="22" t="n"/>
      <c r="G447" s="23" t="n"/>
      <c r="H447" s="22" t="n"/>
      <c r="I447" s="23" t="n"/>
      <c r="J447" s="22" t="n"/>
      <c r="K447" s="23" t="n"/>
      <c r="L447" s="22" t="n"/>
      <c r="M447" s="23" t="n"/>
      <c r="N447" s="22" t="n"/>
      <c r="O447" s="22" t="n"/>
      <c r="P447" s="22" t="n"/>
      <c r="Q447" s="23" t="n"/>
      <c r="R447" s="22" t="n"/>
      <c r="S447" s="23" t="n"/>
      <c r="T447" s="22" t="n"/>
      <c r="U447" s="23" t="n"/>
      <c r="V447" s="24" t="n"/>
      <c r="W447" s="25">
        <f>IF(ISNUMBER(U447),U447+IF(ISNUMBER(V447),V447,120),"")</f>
        <v/>
      </c>
      <c r="X447" s="22" t="n"/>
      <c r="Y447" s="23" t="n"/>
      <c r="Z447" s="22" t="n"/>
      <c r="AA447" s="23" t="n"/>
      <c r="AB447" s="24" t="n"/>
      <c r="AC447" s="26">
        <f>IF(ISNUMBER(AD447)=FALSE,"",IF(G447=AD447,"State license",IF(I447=AD447,"DEA registration",IF(K447=AD447,"State CSR",IF(M447=AD447,"Board certification",IF(Q447=AD447,"Malpractice",IF(S447=AD447,"Life support",IF(W447=AD447,"CAQH re-attestation",IF(Y447=AD447,"Privileges reappointment","Payer recredentialing")))))))))</f>
        <v/>
      </c>
      <c r="AD447" s="25">
        <f>IF(OR(AND(LEN(G447)&gt;0,ISNUMBER(G447)=FALSE),AND(LEN(I447)&gt;0,ISNUMBER(I447)=FALSE),AND(LEN(K447)&gt;0,ISNUMBER(K447)=FALSE),AND(LEN(M447)&gt;0,ISNUMBER(M447)=FALSE),AND(LEN(Q447)&gt;0,ISNUMBER(Q447)=FALSE),AND(LEN(S447)&gt;0,ISNUMBER(S447)=FALSE),AND(LEN(Y447)&gt;0,ISNUMBER(Y447)=FALSE),AND(LEN(AA447)&gt;0,ISNUMBER(AA447)=FALSE),AND(LEN(U447)&gt;0,ISNUMBER(U447)=FALSE)),"Check date",IF(COUNT(G447,I447,K447,M447,Q447,S447,W447,Y447,AA447)=0,"",MIN(G447,I447,K447,M447,Q447,S447,W447,Y447,AA447)))</f>
        <v/>
      </c>
      <c r="AE447" s="25">
        <f>IF(ISNUMBER(AD447),AD447-IF(ISNUMBER(AB447),AB447,30),"")</f>
        <v/>
      </c>
      <c r="AF447" s="27">
        <f>IF(AD447="","",IF(ISNUMBER(AD447),AD447-TODAY(),"Check date"))</f>
        <v/>
      </c>
      <c r="AG447" s="28">
        <f>IF(AF447="","",IF(ISNUMBER(AF447),IF(AF447&lt;0,"Expired",IF(AF447&lt;=30,"Due ≤30 days",IF(AF447&lt;=90,"Due ≤90 days","OK"))),"Check date"))</f>
        <v/>
      </c>
      <c r="AH447" s="22" t="n"/>
      <c r="AI447" s="22" t="n"/>
      <c r="AJ447" s="22" t="n"/>
      <c r="AK447" s="22" t="n"/>
    </row>
    <row r="448">
      <c r="A448" s="22" t="n"/>
      <c r="B448" s="22" t="n"/>
      <c r="C448" s="22" t="n"/>
      <c r="D448" s="22" t="n"/>
      <c r="E448" s="22" t="n"/>
      <c r="F448" s="22" t="n"/>
      <c r="G448" s="23" t="n"/>
      <c r="H448" s="22" t="n"/>
      <c r="I448" s="23" t="n"/>
      <c r="J448" s="22" t="n"/>
      <c r="K448" s="23" t="n"/>
      <c r="L448" s="22" t="n"/>
      <c r="M448" s="23" t="n"/>
      <c r="N448" s="22" t="n"/>
      <c r="O448" s="22" t="n"/>
      <c r="P448" s="22" t="n"/>
      <c r="Q448" s="23" t="n"/>
      <c r="R448" s="22" t="n"/>
      <c r="S448" s="23" t="n"/>
      <c r="T448" s="22" t="n"/>
      <c r="U448" s="23" t="n"/>
      <c r="V448" s="24" t="n"/>
      <c r="W448" s="25">
        <f>IF(ISNUMBER(U448),U448+IF(ISNUMBER(V448),V448,120),"")</f>
        <v/>
      </c>
      <c r="X448" s="22" t="n"/>
      <c r="Y448" s="23" t="n"/>
      <c r="Z448" s="22" t="n"/>
      <c r="AA448" s="23" t="n"/>
      <c r="AB448" s="24" t="n"/>
      <c r="AC448" s="26">
        <f>IF(ISNUMBER(AD448)=FALSE,"",IF(G448=AD448,"State license",IF(I448=AD448,"DEA registration",IF(K448=AD448,"State CSR",IF(M448=AD448,"Board certification",IF(Q448=AD448,"Malpractice",IF(S448=AD448,"Life support",IF(W448=AD448,"CAQH re-attestation",IF(Y448=AD448,"Privileges reappointment","Payer recredentialing")))))))))</f>
        <v/>
      </c>
      <c r="AD448" s="25">
        <f>IF(OR(AND(LEN(G448)&gt;0,ISNUMBER(G448)=FALSE),AND(LEN(I448)&gt;0,ISNUMBER(I448)=FALSE),AND(LEN(K448)&gt;0,ISNUMBER(K448)=FALSE),AND(LEN(M448)&gt;0,ISNUMBER(M448)=FALSE),AND(LEN(Q448)&gt;0,ISNUMBER(Q448)=FALSE),AND(LEN(S448)&gt;0,ISNUMBER(S448)=FALSE),AND(LEN(Y448)&gt;0,ISNUMBER(Y448)=FALSE),AND(LEN(AA448)&gt;0,ISNUMBER(AA448)=FALSE),AND(LEN(U448)&gt;0,ISNUMBER(U448)=FALSE)),"Check date",IF(COUNT(G448,I448,K448,M448,Q448,S448,W448,Y448,AA448)=0,"",MIN(G448,I448,K448,M448,Q448,S448,W448,Y448,AA448)))</f>
        <v/>
      </c>
      <c r="AE448" s="25">
        <f>IF(ISNUMBER(AD448),AD448-IF(ISNUMBER(AB448),AB448,30),"")</f>
        <v/>
      </c>
      <c r="AF448" s="27">
        <f>IF(AD448="","",IF(ISNUMBER(AD448),AD448-TODAY(),"Check date"))</f>
        <v/>
      </c>
      <c r="AG448" s="28">
        <f>IF(AF448="","",IF(ISNUMBER(AF448),IF(AF448&lt;0,"Expired",IF(AF448&lt;=30,"Due ≤30 days",IF(AF448&lt;=90,"Due ≤90 days","OK"))),"Check date"))</f>
        <v/>
      </c>
      <c r="AH448" s="22" t="n"/>
      <c r="AI448" s="22" t="n"/>
      <c r="AJ448" s="22" t="n"/>
      <c r="AK448" s="22" t="n"/>
    </row>
    <row r="449">
      <c r="A449" s="22" t="n"/>
      <c r="B449" s="22" t="n"/>
      <c r="C449" s="22" t="n"/>
      <c r="D449" s="22" t="n"/>
      <c r="E449" s="22" t="n"/>
      <c r="F449" s="22" t="n"/>
      <c r="G449" s="23" t="n"/>
      <c r="H449" s="22" t="n"/>
      <c r="I449" s="23" t="n"/>
      <c r="J449" s="22" t="n"/>
      <c r="K449" s="23" t="n"/>
      <c r="L449" s="22" t="n"/>
      <c r="M449" s="23" t="n"/>
      <c r="N449" s="22" t="n"/>
      <c r="O449" s="22" t="n"/>
      <c r="P449" s="22" t="n"/>
      <c r="Q449" s="23" t="n"/>
      <c r="R449" s="22" t="n"/>
      <c r="S449" s="23" t="n"/>
      <c r="T449" s="22" t="n"/>
      <c r="U449" s="23" t="n"/>
      <c r="V449" s="24" t="n"/>
      <c r="W449" s="25">
        <f>IF(ISNUMBER(U449),U449+IF(ISNUMBER(V449),V449,120),"")</f>
        <v/>
      </c>
      <c r="X449" s="22" t="n"/>
      <c r="Y449" s="23" t="n"/>
      <c r="Z449" s="22" t="n"/>
      <c r="AA449" s="23" t="n"/>
      <c r="AB449" s="24" t="n"/>
      <c r="AC449" s="26">
        <f>IF(ISNUMBER(AD449)=FALSE,"",IF(G449=AD449,"State license",IF(I449=AD449,"DEA registration",IF(K449=AD449,"State CSR",IF(M449=AD449,"Board certification",IF(Q449=AD449,"Malpractice",IF(S449=AD449,"Life support",IF(W449=AD449,"CAQH re-attestation",IF(Y449=AD449,"Privileges reappointment","Payer recredentialing")))))))))</f>
        <v/>
      </c>
      <c r="AD449" s="25">
        <f>IF(OR(AND(LEN(G449)&gt;0,ISNUMBER(G449)=FALSE),AND(LEN(I449)&gt;0,ISNUMBER(I449)=FALSE),AND(LEN(K449)&gt;0,ISNUMBER(K449)=FALSE),AND(LEN(M449)&gt;0,ISNUMBER(M449)=FALSE),AND(LEN(Q449)&gt;0,ISNUMBER(Q449)=FALSE),AND(LEN(S449)&gt;0,ISNUMBER(S449)=FALSE),AND(LEN(Y449)&gt;0,ISNUMBER(Y449)=FALSE),AND(LEN(AA449)&gt;0,ISNUMBER(AA449)=FALSE),AND(LEN(U449)&gt;0,ISNUMBER(U449)=FALSE)),"Check date",IF(COUNT(G449,I449,K449,M449,Q449,S449,W449,Y449,AA449)=0,"",MIN(G449,I449,K449,M449,Q449,S449,W449,Y449,AA449)))</f>
        <v/>
      </c>
      <c r="AE449" s="25">
        <f>IF(ISNUMBER(AD449),AD449-IF(ISNUMBER(AB449),AB449,30),"")</f>
        <v/>
      </c>
      <c r="AF449" s="27">
        <f>IF(AD449="","",IF(ISNUMBER(AD449),AD449-TODAY(),"Check date"))</f>
        <v/>
      </c>
      <c r="AG449" s="28">
        <f>IF(AF449="","",IF(ISNUMBER(AF449),IF(AF449&lt;0,"Expired",IF(AF449&lt;=30,"Due ≤30 days",IF(AF449&lt;=90,"Due ≤90 days","OK"))),"Check date"))</f>
        <v/>
      </c>
      <c r="AH449" s="22" t="n"/>
      <c r="AI449" s="22" t="n"/>
      <c r="AJ449" s="22" t="n"/>
      <c r="AK449" s="22" t="n"/>
    </row>
    <row r="450">
      <c r="A450" s="22" t="n"/>
      <c r="B450" s="22" t="n"/>
      <c r="C450" s="22" t="n"/>
      <c r="D450" s="22" t="n"/>
      <c r="E450" s="22" t="n"/>
      <c r="F450" s="22" t="n"/>
      <c r="G450" s="23" t="n"/>
      <c r="H450" s="22" t="n"/>
      <c r="I450" s="23" t="n"/>
      <c r="J450" s="22" t="n"/>
      <c r="K450" s="23" t="n"/>
      <c r="L450" s="22" t="n"/>
      <c r="M450" s="23" t="n"/>
      <c r="N450" s="22" t="n"/>
      <c r="O450" s="22" t="n"/>
      <c r="P450" s="22" t="n"/>
      <c r="Q450" s="23" t="n"/>
      <c r="R450" s="22" t="n"/>
      <c r="S450" s="23" t="n"/>
      <c r="T450" s="22" t="n"/>
      <c r="U450" s="23" t="n"/>
      <c r="V450" s="24" t="n"/>
      <c r="W450" s="25">
        <f>IF(ISNUMBER(U450),U450+IF(ISNUMBER(V450),V450,120),"")</f>
        <v/>
      </c>
      <c r="X450" s="22" t="n"/>
      <c r="Y450" s="23" t="n"/>
      <c r="Z450" s="22" t="n"/>
      <c r="AA450" s="23" t="n"/>
      <c r="AB450" s="24" t="n"/>
      <c r="AC450" s="26">
        <f>IF(ISNUMBER(AD450)=FALSE,"",IF(G450=AD450,"State license",IF(I450=AD450,"DEA registration",IF(K450=AD450,"State CSR",IF(M450=AD450,"Board certification",IF(Q450=AD450,"Malpractice",IF(S450=AD450,"Life support",IF(W450=AD450,"CAQH re-attestation",IF(Y450=AD450,"Privileges reappointment","Payer recredentialing")))))))))</f>
        <v/>
      </c>
      <c r="AD450" s="25">
        <f>IF(OR(AND(LEN(G450)&gt;0,ISNUMBER(G450)=FALSE),AND(LEN(I450)&gt;0,ISNUMBER(I450)=FALSE),AND(LEN(K450)&gt;0,ISNUMBER(K450)=FALSE),AND(LEN(M450)&gt;0,ISNUMBER(M450)=FALSE),AND(LEN(Q450)&gt;0,ISNUMBER(Q450)=FALSE),AND(LEN(S450)&gt;0,ISNUMBER(S450)=FALSE),AND(LEN(Y450)&gt;0,ISNUMBER(Y450)=FALSE),AND(LEN(AA450)&gt;0,ISNUMBER(AA450)=FALSE),AND(LEN(U450)&gt;0,ISNUMBER(U450)=FALSE)),"Check date",IF(COUNT(G450,I450,K450,M450,Q450,S450,W450,Y450,AA450)=0,"",MIN(G450,I450,K450,M450,Q450,S450,W450,Y450,AA450)))</f>
        <v/>
      </c>
      <c r="AE450" s="25">
        <f>IF(ISNUMBER(AD450),AD450-IF(ISNUMBER(AB450),AB450,30),"")</f>
        <v/>
      </c>
      <c r="AF450" s="27">
        <f>IF(AD450="","",IF(ISNUMBER(AD450),AD450-TODAY(),"Check date"))</f>
        <v/>
      </c>
      <c r="AG450" s="28">
        <f>IF(AF450="","",IF(ISNUMBER(AF450),IF(AF450&lt;0,"Expired",IF(AF450&lt;=30,"Due ≤30 days",IF(AF450&lt;=90,"Due ≤90 days","OK"))),"Check date"))</f>
        <v/>
      </c>
      <c r="AH450" s="22" t="n"/>
      <c r="AI450" s="22" t="n"/>
      <c r="AJ450" s="22" t="n"/>
      <c r="AK450" s="22" t="n"/>
    </row>
    <row r="451">
      <c r="A451" s="22" t="n"/>
      <c r="B451" s="22" t="n"/>
      <c r="C451" s="22" t="n"/>
      <c r="D451" s="22" t="n"/>
      <c r="E451" s="22" t="n"/>
      <c r="F451" s="22" t="n"/>
      <c r="G451" s="23" t="n"/>
      <c r="H451" s="22" t="n"/>
      <c r="I451" s="23" t="n"/>
      <c r="J451" s="22" t="n"/>
      <c r="K451" s="23" t="n"/>
      <c r="L451" s="22" t="n"/>
      <c r="M451" s="23" t="n"/>
      <c r="N451" s="22" t="n"/>
      <c r="O451" s="22" t="n"/>
      <c r="P451" s="22" t="n"/>
      <c r="Q451" s="23" t="n"/>
      <c r="R451" s="22" t="n"/>
      <c r="S451" s="23" t="n"/>
      <c r="T451" s="22" t="n"/>
      <c r="U451" s="23" t="n"/>
      <c r="V451" s="24" t="n"/>
      <c r="W451" s="25">
        <f>IF(ISNUMBER(U451),U451+IF(ISNUMBER(V451),V451,120),"")</f>
        <v/>
      </c>
      <c r="X451" s="22" t="n"/>
      <c r="Y451" s="23" t="n"/>
      <c r="Z451" s="22" t="n"/>
      <c r="AA451" s="23" t="n"/>
      <c r="AB451" s="24" t="n"/>
      <c r="AC451" s="26">
        <f>IF(ISNUMBER(AD451)=FALSE,"",IF(G451=AD451,"State license",IF(I451=AD451,"DEA registration",IF(K451=AD451,"State CSR",IF(M451=AD451,"Board certification",IF(Q451=AD451,"Malpractice",IF(S451=AD451,"Life support",IF(W451=AD451,"CAQH re-attestation",IF(Y451=AD451,"Privileges reappointment","Payer recredentialing")))))))))</f>
        <v/>
      </c>
      <c r="AD451" s="25">
        <f>IF(OR(AND(LEN(G451)&gt;0,ISNUMBER(G451)=FALSE),AND(LEN(I451)&gt;0,ISNUMBER(I451)=FALSE),AND(LEN(K451)&gt;0,ISNUMBER(K451)=FALSE),AND(LEN(M451)&gt;0,ISNUMBER(M451)=FALSE),AND(LEN(Q451)&gt;0,ISNUMBER(Q451)=FALSE),AND(LEN(S451)&gt;0,ISNUMBER(S451)=FALSE),AND(LEN(Y451)&gt;0,ISNUMBER(Y451)=FALSE),AND(LEN(AA451)&gt;0,ISNUMBER(AA451)=FALSE),AND(LEN(U451)&gt;0,ISNUMBER(U451)=FALSE)),"Check date",IF(COUNT(G451,I451,K451,M451,Q451,S451,W451,Y451,AA451)=0,"",MIN(G451,I451,K451,M451,Q451,S451,W451,Y451,AA451)))</f>
        <v/>
      </c>
      <c r="AE451" s="25">
        <f>IF(ISNUMBER(AD451),AD451-IF(ISNUMBER(AB451),AB451,30),"")</f>
        <v/>
      </c>
      <c r="AF451" s="27">
        <f>IF(AD451="","",IF(ISNUMBER(AD451),AD451-TODAY(),"Check date"))</f>
        <v/>
      </c>
      <c r="AG451" s="28">
        <f>IF(AF451="","",IF(ISNUMBER(AF451),IF(AF451&lt;0,"Expired",IF(AF451&lt;=30,"Due ≤30 days",IF(AF451&lt;=90,"Due ≤90 days","OK"))),"Check date"))</f>
        <v/>
      </c>
      <c r="AH451" s="22" t="n"/>
      <c r="AI451" s="22" t="n"/>
      <c r="AJ451" s="22" t="n"/>
      <c r="AK451" s="22" t="n"/>
    </row>
    <row r="452">
      <c r="A452" s="22" t="n"/>
      <c r="B452" s="22" t="n"/>
      <c r="C452" s="22" t="n"/>
      <c r="D452" s="22" t="n"/>
      <c r="E452" s="22" t="n"/>
      <c r="F452" s="22" t="n"/>
      <c r="G452" s="23" t="n"/>
      <c r="H452" s="22" t="n"/>
      <c r="I452" s="23" t="n"/>
      <c r="J452" s="22" t="n"/>
      <c r="K452" s="23" t="n"/>
      <c r="L452" s="22" t="n"/>
      <c r="M452" s="23" t="n"/>
      <c r="N452" s="22" t="n"/>
      <c r="O452" s="22" t="n"/>
      <c r="P452" s="22" t="n"/>
      <c r="Q452" s="23" t="n"/>
      <c r="R452" s="22" t="n"/>
      <c r="S452" s="23" t="n"/>
      <c r="T452" s="22" t="n"/>
      <c r="U452" s="23" t="n"/>
      <c r="V452" s="24" t="n"/>
      <c r="W452" s="25">
        <f>IF(ISNUMBER(U452),U452+IF(ISNUMBER(V452),V452,120),"")</f>
        <v/>
      </c>
      <c r="X452" s="22" t="n"/>
      <c r="Y452" s="23" t="n"/>
      <c r="Z452" s="22" t="n"/>
      <c r="AA452" s="23" t="n"/>
      <c r="AB452" s="24" t="n"/>
      <c r="AC452" s="26">
        <f>IF(ISNUMBER(AD452)=FALSE,"",IF(G452=AD452,"State license",IF(I452=AD452,"DEA registration",IF(K452=AD452,"State CSR",IF(M452=AD452,"Board certification",IF(Q452=AD452,"Malpractice",IF(S452=AD452,"Life support",IF(W452=AD452,"CAQH re-attestation",IF(Y452=AD452,"Privileges reappointment","Payer recredentialing")))))))))</f>
        <v/>
      </c>
      <c r="AD452" s="25">
        <f>IF(OR(AND(LEN(G452)&gt;0,ISNUMBER(G452)=FALSE),AND(LEN(I452)&gt;0,ISNUMBER(I452)=FALSE),AND(LEN(K452)&gt;0,ISNUMBER(K452)=FALSE),AND(LEN(M452)&gt;0,ISNUMBER(M452)=FALSE),AND(LEN(Q452)&gt;0,ISNUMBER(Q452)=FALSE),AND(LEN(S452)&gt;0,ISNUMBER(S452)=FALSE),AND(LEN(Y452)&gt;0,ISNUMBER(Y452)=FALSE),AND(LEN(AA452)&gt;0,ISNUMBER(AA452)=FALSE),AND(LEN(U452)&gt;0,ISNUMBER(U452)=FALSE)),"Check date",IF(COUNT(G452,I452,K452,M452,Q452,S452,W452,Y452,AA452)=0,"",MIN(G452,I452,K452,M452,Q452,S452,W452,Y452,AA452)))</f>
        <v/>
      </c>
      <c r="AE452" s="25">
        <f>IF(ISNUMBER(AD452),AD452-IF(ISNUMBER(AB452),AB452,30),"")</f>
        <v/>
      </c>
      <c r="AF452" s="27">
        <f>IF(AD452="","",IF(ISNUMBER(AD452),AD452-TODAY(),"Check date"))</f>
        <v/>
      </c>
      <c r="AG452" s="28">
        <f>IF(AF452="","",IF(ISNUMBER(AF452),IF(AF452&lt;0,"Expired",IF(AF452&lt;=30,"Due ≤30 days",IF(AF452&lt;=90,"Due ≤90 days","OK"))),"Check date"))</f>
        <v/>
      </c>
      <c r="AH452" s="22" t="n"/>
      <c r="AI452" s="22" t="n"/>
      <c r="AJ452" s="22" t="n"/>
      <c r="AK452" s="22" t="n"/>
    </row>
    <row r="453">
      <c r="A453" s="22" t="n"/>
      <c r="B453" s="22" t="n"/>
      <c r="C453" s="22" t="n"/>
      <c r="D453" s="22" t="n"/>
      <c r="E453" s="22" t="n"/>
      <c r="F453" s="22" t="n"/>
      <c r="G453" s="23" t="n"/>
      <c r="H453" s="22" t="n"/>
      <c r="I453" s="23" t="n"/>
      <c r="J453" s="22" t="n"/>
      <c r="K453" s="23" t="n"/>
      <c r="L453" s="22" t="n"/>
      <c r="M453" s="23" t="n"/>
      <c r="N453" s="22" t="n"/>
      <c r="O453" s="22" t="n"/>
      <c r="P453" s="22" t="n"/>
      <c r="Q453" s="23" t="n"/>
      <c r="R453" s="22" t="n"/>
      <c r="S453" s="23" t="n"/>
      <c r="T453" s="22" t="n"/>
      <c r="U453" s="23" t="n"/>
      <c r="V453" s="24" t="n"/>
      <c r="W453" s="25">
        <f>IF(ISNUMBER(U453),U453+IF(ISNUMBER(V453),V453,120),"")</f>
        <v/>
      </c>
      <c r="X453" s="22" t="n"/>
      <c r="Y453" s="23" t="n"/>
      <c r="Z453" s="22" t="n"/>
      <c r="AA453" s="23" t="n"/>
      <c r="AB453" s="24" t="n"/>
      <c r="AC453" s="26">
        <f>IF(ISNUMBER(AD453)=FALSE,"",IF(G453=AD453,"State license",IF(I453=AD453,"DEA registration",IF(K453=AD453,"State CSR",IF(M453=AD453,"Board certification",IF(Q453=AD453,"Malpractice",IF(S453=AD453,"Life support",IF(W453=AD453,"CAQH re-attestation",IF(Y453=AD453,"Privileges reappointment","Payer recredentialing")))))))))</f>
        <v/>
      </c>
      <c r="AD453" s="25">
        <f>IF(OR(AND(LEN(G453)&gt;0,ISNUMBER(G453)=FALSE),AND(LEN(I453)&gt;0,ISNUMBER(I453)=FALSE),AND(LEN(K453)&gt;0,ISNUMBER(K453)=FALSE),AND(LEN(M453)&gt;0,ISNUMBER(M453)=FALSE),AND(LEN(Q453)&gt;0,ISNUMBER(Q453)=FALSE),AND(LEN(S453)&gt;0,ISNUMBER(S453)=FALSE),AND(LEN(Y453)&gt;0,ISNUMBER(Y453)=FALSE),AND(LEN(AA453)&gt;0,ISNUMBER(AA453)=FALSE),AND(LEN(U453)&gt;0,ISNUMBER(U453)=FALSE)),"Check date",IF(COUNT(G453,I453,K453,M453,Q453,S453,W453,Y453,AA453)=0,"",MIN(G453,I453,K453,M453,Q453,S453,W453,Y453,AA453)))</f>
        <v/>
      </c>
      <c r="AE453" s="25">
        <f>IF(ISNUMBER(AD453),AD453-IF(ISNUMBER(AB453),AB453,30),"")</f>
        <v/>
      </c>
      <c r="AF453" s="27">
        <f>IF(AD453="","",IF(ISNUMBER(AD453),AD453-TODAY(),"Check date"))</f>
        <v/>
      </c>
      <c r="AG453" s="28">
        <f>IF(AF453="","",IF(ISNUMBER(AF453),IF(AF453&lt;0,"Expired",IF(AF453&lt;=30,"Due ≤30 days",IF(AF453&lt;=90,"Due ≤90 days","OK"))),"Check date"))</f>
        <v/>
      </c>
      <c r="AH453" s="22" t="n"/>
      <c r="AI453" s="22" t="n"/>
      <c r="AJ453" s="22" t="n"/>
      <c r="AK453" s="22" t="n"/>
    </row>
    <row r="454">
      <c r="A454" s="22" t="n"/>
      <c r="B454" s="22" t="n"/>
      <c r="C454" s="22" t="n"/>
      <c r="D454" s="22" t="n"/>
      <c r="E454" s="22" t="n"/>
      <c r="F454" s="22" t="n"/>
      <c r="G454" s="23" t="n"/>
      <c r="H454" s="22" t="n"/>
      <c r="I454" s="23" t="n"/>
      <c r="J454" s="22" t="n"/>
      <c r="K454" s="23" t="n"/>
      <c r="L454" s="22" t="n"/>
      <c r="M454" s="23" t="n"/>
      <c r="N454" s="22" t="n"/>
      <c r="O454" s="22" t="n"/>
      <c r="P454" s="22" t="n"/>
      <c r="Q454" s="23" t="n"/>
      <c r="R454" s="22" t="n"/>
      <c r="S454" s="23" t="n"/>
      <c r="T454" s="22" t="n"/>
      <c r="U454" s="23" t="n"/>
      <c r="V454" s="24" t="n"/>
      <c r="W454" s="25">
        <f>IF(ISNUMBER(U454),U454+IF(ISNUMBER(V454),V454,120),"")</f>
        <v/>
      </c>
      <c r="X454" s="22" t="n"/>
      <c r="Y454" s="23" t="n"/>
      <c r="Z454" s="22" t="n"/>
      <c r="AA454" s="23" t="n"/>
      <c r="AB454" s="24" t="n"/>
      <c r="AC454" s="26">
        <f>IF(ISNUMBER(AD454)=FALSE,"",IF(G454=AD454,"State license",IF(I454=AD454,"DEA registration",IF(K454=AD454,"State CSR",IF(M454=AD454,"Board certification",IF(Q454=AD454,"Malpractice",IF(S454=AD454,"Life support",IF(W454=AD454,"CAQH re-attestation",IF(Y454=AD454,"Privileges reappointment","Payer recredentialing")))))))))</f>
        <v/>
      </c>
      <c r="AD454" s="25">
        <f>IF(OR(AND(LEN(G454)&gt;0,ISNUMBER(G454)=FALSE),AND(LEN(I454)&gt;0,ISNUMBER(I454)=FALSE),AND(LEN(K454)&gt;0,ISNUMBER(K454)=FALSE),AND(LEN(M454)&gt;0,ISNUMBER(M454)=FALSE),AND(LEN(Q454)&gt;0,ISNUMBER(Q454)=FALSE),AND(LEN(S454)&gt;0,ISNUMBER(S454)=FALSE),AND(LEN(Y454)&gt;0,ISNUMBER(Y454)=FALSE),AND(LEN(AA454)&gt;0,ISNUMBER(AA454)=FALSE),AND(LEN(U454)&gt;0,ISNUMBER(U454)=FALSE)),"Check date",IF(COUNT(G454,I454,K454,M454,Q454,S454,W454,Y454,AA454)=0,"",MIN(G454,I454,K454,M454,Q454,S454,W454,Y454,AA454)))</f>
        <v/>
      </c>
      <c r="AE454" s="25">
        <f>IF(ISNUMBER(AD454),AD454-IF(ISNUMBER(AB454),AB454,30),"")</f>
        <v/>
      </c>
      <c r="AF454" s="27">
        <f>IF(AD454="","",IF(ISNUMBER(AD454),AD454-TODAY(),"Check date"))</f>
        <v/>
      </c>
      <c r="AG454" s="28">
        <f>IF(AF454="","",IF(ISNUMBER(AF454),IF(AF454&lt;0,"Expired",IF(AF454&lt;=30,"Due ≤30 days",IF(AF454&lt;=90,"Due ≤90 days","OK"))),"Check date"))</f>
        <v/>
      </c>
      <c r="AH454" s="22" t="n"/>
      <c r="AI454" s="22" t="n"/>
      <c r="AJ454" s="22" t="n"/>
      <c r="AK454" s="22" t="n"/>
    </row>
    <row r="455">
      <c r="A455" s="22" t="n"/>
      <c r="B455" s="22" t="n"/>
      <c r="C455" s="22" t="n"/>
      <c r="D455" s="22" t="n"/>
      <c r="E455" s="22" t="n"/>
      <c r="F455" s="22" t="n"/>
      <c r="G455" s="23" t="n"/>
      <c r="H455" s="22" t="n"/>
      <c r="I455" s="23" t="n"/>
      <c r="J455" s="22" t="n"/>
      <c r="K455" s="23" t="n"/>
      <c r="L455" s="22" t="n"/>
      <c r="M455" s="23" t="n"/>
      <c r="N455" s="22" t="n"/>
      <c r="O455" s="22" t="n"/>
      <c r="P455" s="22" t="n"/>
      <c r="Q455" s="23" t="n"/>
      <c r="R455" s="22" t="n"/>
      <c r="S455" s="23" t="n"/>
      <c r="T455" s="22" t="n"/>
      <c r="U455" s="23" t="n"/>
      <c r="V455" s="24" t="n"/>
      <c r="W455" s="25">
        <f>IF(ISNUMBER(U455),U455+IF(ISNUMBER(V455),V455,120),"")</f>
        <v/>
      </c>
      <c r="X455" s="22" t="n"/>
      <c r="Y455" s="23" t="n"/>
      <c r="Z455" s="22" t="n"/>
      <c r="AA455" s="23" t="n"/>
      <c r="AB455" s="24" t="n"/>
      <c r="AC455" s="26">
        <f>IF(ISNUMBER(AD455)=FALSE,"",IF(G455=AD455,"State license",IF(I455=AD455,"DEA registration",IF(K455=AD455,"State CSR",IF(M455=AD455,"Board certification",IF(Q455=AD455,"Malpractice",IF(S455=AD455,"Life support",IF(W455=AD455,"CAQH re-attestation",IF(Y455=AD455,"Privileges reappointment","Payer recredentialing")))))))))</f>
        <v/>
      </c>
      <c r="AD455" s="25">
        <f>IF(OR(AND(LEN(G455)&gt;0,ISNUMBER(G455)=FALSE),AND(LEN(I455)&gt;0,ISNUMBER(I455)=FALSE),AND(LEN(K455)&gt;0,ISNUMBER(K455)=FALSE),AND(LEN(M455)&gt;0,ISNUMBER(M455)=FALSE),AND(LEN(Q455)&gt;0,ISNUMBER(Q455)=FALSE),AND(LEN(S455)&gt;0,ISNUMBER(S455)=FALSE),AND(LEN(Y455)&gt;0,ISNUMBER(Y455)=FALSE),AND(LEN(AA455)&gt;0,ISNUMBER(AA455)=FALSE),AND(LEN(U455)&gt;0,ISNUMBER(U455)=FALSE)),"Check date",IF(COUNT(G455,I455,K455,M455,Q455,S455,W455,Y455,AA455)=0,"",MIN(G455,I455,K455,M455,Q455,S455,W455,Y455,AA455)))</f>
        <v/>
      </c>
      <c r="AE455" s="25">
        <f>IF(ISNUMBER(AD455),AD455-IF(ISNUMBER(AB455),AB455,30),"")</f>
        <v/>
      </c>
      <c r="AF455" s="27">
        <f>IF(AD455="","",IF(ISNUMBER(AD455),AD455-TODAY(),"Check date"))</f>
        <v/>
      </c>
      <c r="AG455" s="28">
        <f>IF(AF455="","",IF(ISNUMBER(AF455),IF(AF455&lt;0,"Expired",IF(AF455&lt;=30,"Due ≤30 days",IF(AF455&lt;=90,"Due ≤90 days","OK"))),"Check date"))</f>
        <v/>
      </c>
      <c r="AH455" s="22" t="n"/>
      <c r="AI455" s="22" t="n"/>
      <c r="AJ455" s="22" t="n"/>
      <c r="AK455" s="22" t="n"/>
    </row>
    <row r="456">
      <c r="A456" s="22" t="n"/>
      <c r="B456" s="22" t="n"/>
      <c r="C456" s="22" t="n"/>
      <c r="D456" s="22" t="n"/>
      <c r="E456" s="22" t="n"/>
      <c r="F456" s="22" t="n"/>
      <c r="G456" s="23" t="n"/>
      <c r="H456" s="22" t="n"/>
      <c r="I456" s="23" t="n"/>
      <c r="J456" s="22" t="n"/>
      <c r="K456" s="23" t="n"/>
      <c r="L456" s="22" t="n"/>
      <c r="M456" s="23" t="n"/>
      <c r="N456" s="22" t="n"/>
      <c r="O456" s="22" t="n"/>
      <c r="P456" s="22" t="n"/>
      <c r="Q456" s="23" t="n"/>
      <c r="R456" s="22" t="n"/>
      <c r="S456" s="23" t="n"/>
      <c r="T456" s="22" t="n"/>
      <c r="U456" s="23" t="n"/>
      <c r="V456" s="24" t="n"/>
      <c r="W456" s="25">
        <f>IF(ISNUMBER(U456),U456+IF(ISNUMBER(V456),V456,120),"")</f>
        <v/>
      </c>
      <c r="X456" s="22" t="n"/>
      <c r="Y456" s="23" t="n"/>
      <c r="Z456" s="22" t="n"/>
      <c r="AA456" s="23" t="n"/>
      <c r="AB456" s="24" t="n"/>
      <c r="AC456" s="26">
        <f>IF(ISNUMBER(AD456)=FALSE,"",IF(G456=AD456,"State license",IF(I456=AD456,"DEA registration",IF(K456=AD456,"State CSR",IF(M456=AD456,"Board certification",IF(Q456=AD456,"Malpractice",IF(S456=AD456,"Life support",IF(W456=AD456,"CAQH re-attestation",IF(Y456=AD456,"Privileges reappointment","Payer recredentialing")))))))))</f>
        <v/>
      </c>
      <c r="AD456" s="25">
        <f>IF(OR(AND(LEN(G456)&gt;0,ISNUMBER(G456)=FALSE),AND(LEN(I456)&gt;0,ISNUMBER(I456)=FALSE),AND(LEN(K456)&gt;0,ISNUMBER(K456)=FALSE),AND(LEN(M456)&gt;0,ISNUMBER(M456)=FALSE),AND(LEN(Q456)&gt;0,ISNUMBER(Q456)=FALSE),AND(LEN(S456)&gt;0,ISNUMBER(S456)=FALSE),AND(LEN(Y456)&gt;0,ISNUMBER(Y456)=FALSE),AND(LEN(AA456)&gt;0,ISNUMBER(AA456)=FALSE),AND(LEN(U456)&gt;0,ISNUMBER(U456)=FALSE)),"Check date",IF(COUNT(G456,I456,K456,M456,Q456,S456,W456,Y456,AA456)=0,"",MIN(G456,I456,K456,M456,Q456,S456,W456,Y456,AA456)))</f>
        <v/>
      </c>
      <c r="AE456" s="25">
        <f>IF(ISNUMBER(AD456),AD456-IF(ISNUMBER(AB456),AB456,30),"")</f>
        <v/>
      </c>
      <c r="AF456" s="27">
        <f>IF(AD456="","",IF(ISNUMBER(AD456),AD456-TODAY(),"Check date"))</f>
        <v/>
      </c>
      <c r="AG456" s="28">
        <f>IF(AF456="","",IF(ISNUMBER(AF456),IF(AF456&lt;0,"Expired",IF(AF456&lt;=30,"Due ≤30 days",IF(AF456&lt;=90,"Due ≤90 days","OK"))),"Check date"))</f>
        <v/>
      </c>
      <c r="AH456" s="22" t="n"/>
      <c r="AI456" s="22" t="n"/>
      <c r="AJ456" s="22" t="n"/>
      <c r="AK456" s="22" t="n"/>
    </row>
    <row r="457">
      <c r="A457" s="22" t="n"/>
      <c r="B457" s="22" t="n"/>
      <c r="C457" s="22" t="n"/>
      <c r="D457" s="22" t="n"/>
      <c r="E457" s="22" t="n"/>
      <c r="F457" s="22" t="n"/>
      <c r="G457" s="23" t="n"/>
      <c r="H457" s="22" t="n"/>
      <c r="I457" s="23" t="n"/>
      <c r="J457" s="22" t="n"/>
      <c r="K457" s="23" t="n"/>
      <c r="L457" s="22" t="n"/>
      <c r="M457" s="23" t="n"/>
      <c r="N457" s="22" t="n"/>
      <c r="O457" s="22" t="n"/>
      <c r="P457" s="22" t="n"/>
      <c r="Q457" s="23" t="n"/>
      <c r="R457" s="22" t="n"/>
      <c r="S457" s="23" t="n"/>
      <c r="T457" s="22" t="n"/>
      <c r="U457" s="23" t="n"/>
      <c r="V457" s="24" t="n"/>
      <c r="W457" s="25">
        <f>IF(ISNUMBER(U457),U457+IF(ISNUMBER(V457),V457,120),"")</f>
        <v/>
      </c>
      <c r="X457" s="22" t="n"/>
      <c r="Y457" s="23" t="n"/>
      <c r="Z457" s="22" t="n"/>
      <c r="AA457" s="23" t="n"/>
      <c r="AB457" s="24" t="n"/>
      <c r="AC457" s="26">
        <f>IF(ISNUMBER(AD457)=FALSE,"",IF(G457=AD457,"State license",IF(I457=AD457,"DEA registration",IF(K457=AD457,"State CSR",IF(M457=AD457,"Board certification",IF(Q457=AD457,"Malpractice",IF(S457=AD457,"Life support",IF(W457=AD457,"CAQH re-attestation",IF(Y457=AD457,"Privileges reappointment","Payer recredentialing")))))))))</f>
        <v/>
      </c>
      <c r="AD457" s="25">
        <f>IF(OR(AND(LEN(G457)&gt;0,ISNUMBER(G457)=FALSE),AND(LEN(I457)&gt;0,ISNUMBER(I457)=FALSE),AND(LEN(K457)&gt;0,ISNUMBER(K457)=FALSE),AND(LEN(M457)&gt;0,ISNUMBER(M457)=FALSE),AND(LEN(Q457)&gt;0,ISNUMBER(Q457)=FALSE),AND(LEN(S457)&gt;0,ISNUMBER(S457)=FALSE),AND(LEN(Y457)&gt;0,ISNUMBER(Y457)=FALSE),AND(LEN(AA457)&gt;0,ISNUMBER(AA457)=FALSE),AND(LEN(U457)&gt;0,ISNUMBER(U457)=FALSE)),"Check date",IF(COUNT(G457,I457,K457,M457,Q457,S457,W457,Y457,AA457)=0,"",MIN(G457,I457,K457,M457,Q457,S457,W457,Y457,AA457)))</f>
        <v/>
      </c>
      <c r="AE457" s="25">
        <f>IF(ISNUMBER(AD457),AD457-IF(ISNUMBER(AB457),AB457,30),"")</f>
        <v/>
      </c>
      <c r="AF457" s="27">
        <f>IF(AD457="","",IF(ISNUMBER(AD457),AD457-TODAY(),"Check date"))</f>
        <v/>
      </c>
      <c r="AG457" s="28">
        <f>IF(AF457="","",IF(ISNUMBER(AF457),IF(AF457&lt;0,"Expired",IF(AF457&lt;=30,"Due ≤30 days",IF(AF457&lt;=90,"Due ≤90 days","OK"))),"Check date"))</f>
        <v/>
      </c>
      <c r="AH457" s="22" t="n"/>
      <c r="AI457" s="22" t="n"/>
      <c r="AJ457" s="22" t="n"/>
      <c r="AK457" s="22" t="n"/>
    </row>
    <row r="458">
      <c r="A458" s="22" t="n"/>
      <c r="B458" s="22" t="n"/>
      <c r="C458" s="22" t="n"/>
      <c r="D458" s="22" t="n"/>
      <c r="E458" s="22" t="n"/>
      <c r="F458" s="22" t="n"/>
      <c r="G458" s="23" t="n"/>
      <c r="H458" s="22" t="n"/>
      <c r="I458" s="23" t="n"/>
      <c r="J458" s="22" t="n"/>
      <c r="K458" s="23" t="n"/>
      <c r="L458" s="22" t="n"/>
      <c r="M458" s="23" t="n"/>
      <c r="N458" s="22" t="n"/>
      <c r="O458" s="22" t="n"/>
      <c r="P458" s="22" t="n"/>
      <c r="Q458" s="23" t="n"/>
      <c r="R458" s="22" t="n"/>
      <c r="S458" s="23" t="n"/>
      <c r="T458" s="22" t="n"/>
      <c r="U458" s="23" t="n"/>
      <c r="V458" s="24" t="n"/>
      <c r="W458" s="25">
        <f>IF(ISNUMBER(U458),U458+IF(ISNUMBER(V458),V458,120),"")</f>
        <v/>
      </c>
      <c r="X458" s="22" t="n"/>
      <c r="Y458" s="23" t="n"/>
      <c r="Z458" s="22" t="n"/>
      <c r="AA458" s="23" t="n"/>
      <c r="AB458" s="24" t="n"/>
      <c r="AC458" s="26">
        <f>IF(ISNUMBER(AD458)=FALSE,"",IF(G458=AD458,"State license",IF(I458=AD458,"DEA registration",IF(K458=AD458,"State CSR",IF(M458=AD458,"Board certification",IF(Q458=AD458,"Malpractice",IF(S458=AD458,"Life support",IF(W458=AD458,"CAQH re-attestation",IF(Y458=AD458,"Privileges reappointment","Payer recredentialing")))))))))</f>
        <v/>
      </c>
      <c r="AD458" s="25">
        <f>IF(OR(AND(LEN(G458)&gt;0,ISNUMBER(G458)=FALSE),AND(LEN(I458)&gt;0,ISNUMBER(I458)=FALSE),AND(LEN(K458)&gt;0,ISNUMBER(K458)=FALSE),AND(LEN(M458)&gt;0,ISNUMBER(M458)=FALSE),AND(LEN(Q458)&gt;0,ISNUMBER(Q458)=FALSE),AND(LEN(S458)&gt;0,ISNUMBER(S458)=FALSE),AND(LEN(Y458)&gt;0,ISNUMBER(Y458)=FALSE),AND(LEN(AA458)&gt;0,ISNUMBER(AA458)=FALSE),AND(LEN(U458)&gt;0,ISNUMBER(U458)=FALSE)),"Check date",IF(COUNT(G458,I458,K458,M458,Q458,S458,W458,Y458,AA458)=0,"",MIN(G458,I458,K458,M458,Q458,S458,W458,Y458,AA458)))</f>
        <v/>
      </c>
      <c r="AE458" s="25">
        <f>IF(ISNUMBER(AD458),AD458-IF(ISNUMBER(AB458),AB458,30),"")</f>
        <v/>
      </c>
      <c r="AF458" s="27">
        <f>IF(AD458="","",IF(ISNUMBER(AD458),AD458-TODAY(),"Check date"))</f>
        <v/>
      </c>
      <c r="AG458" s="28">
        <f>IF(AF458="","",IF(ISNUMBER(AF458),IF(AF458&lt;0,"Expired",IF(AF458&lt;=30,"Due ≤30 days",IF(AF458&lt;=90,"Due ≤90 days","OK"))),"Check date"))</f>
        <v/>
      </c>
      <c r="AH458" s="22" t="n"/>
      <c r="AI458" s="22" t="n"/>
      <c r="AJ458" s="22" t="n"/>
      <c r="AK458" s="22" t="n"/>
    </row>
    <row r="459">
      <c r="A459" s="22" t="n"/>
      <c r="B459" s="22" t="n"/>
      <c r="C459" s="22" t="n"/>
      <c r="D459" s="22" t="n"/>
      <c r="E459" s="22" t="n"/>
      <c r="F459" s="22" t="n"/>
      <c r="G459" s="23" t="n"/>
      <c r="H459" s="22" t="n"/>
      <c r="I459" s="23" t="n"/>
      <c r="J459" s="22" t="n"/>
      <c r="K459" s="23" t="n"/>
      <c r="L459" s="22" t="n"/>
      <c r="M459" s="23" t="n"/>
      <c r="N459" s="22" t="n"/>
      <c r="O459" s="22" t="n"/>
      <c r="P459" s="22" t="n"/>
      <c r="Q459" s="23" t="n"/>
      <c r="R459" s="22" t="n"/>
      <c r="S459" s="23" t="n"/>
      <c r="T459" s="22" t="n"/>
      <c r="U459" s="23" t="n"/>
      <c r="V459" s="24" t="n"/>
      <c r="W459" s="25">
        <f>IF(ISNUMBER(U459),U459+IF(ISNUMBER(V459),V459,120),"")</f>
        <v/>
      </c>
      <c r="X459" s="22" t="n"/>
      <c r="Y459" s="23" t="n"/>
      <c r="Z459" s="22" t="n"/>
      <c r="AA459" s="23" t="n"/>
      <c r="AB459" s="24" t="n"/>
      <c r="AC459" s="26">
        <f>IF(ISNUMBER(AD459)=FALSE,"",IF(G459=AD459,"State license",IF(I459=AD459,"DEA registration",IF(K459=AD459,"State CSR",IF(M459=AD459,"Board certification",IF(Q459=AD459,"Malpractice",IF(S459=AD459,"Life support",IF(W459=AD459,"CAQH re-attestation",IF(Y459=AD459,"Privileges reappointment","Payer recredentialing")))))))))</f>
        <v/>
      </c>
      <c r="AD459" s="25">
        <f>IF(OR(AND(LEN(G459)&gt;0,ISNUMBER(G459)=FALSE),AND(LEN(I459)&gt;0,ISNUMBER(I459)=FALSE),AND(LEN(K459)&gt;0,ISNUMBER(K459)=FALSE),AND(LEN(M459)&gt;0,ISNUMBER(M459)=FALSE),AND(LEN(Q459)&gt;0,ISNUMBER(Q459)=FALSE),AND(LEN(S459)&gt;0,ISNUMBER(S459)=FALSE),AND(LEN(Y459)&gt;0,ISNUMBER(Y459)=FALSE),AND(LEN(AA459)&gt;0,ISNUMBER(AA459)=FALSE),AND(LEN(U459)&gt;0,ISNUMBER(U459)=FALSE)),"Check date",IF(COUNT(G459,I459,K459,M459,Q459,S459,W459,Y459,AA459)=0,"",MIN(G459,I459,K459,M459,Q459,S459,W459,Y459,AA459)))</f>
        <v/>
      </c>
      <c r="AE459" s="25">
        <f>IF(ISNUMBER(AD459),AD459-IF(ISNUMBER(AB459),AB459,30),"")</f>
        <v/>
      </c>
      <c r="AF459" s="27">
        <f>IF(AD459="","",IF(ISNUMBER(AD459),AD459-TODAY(),"Check date"))</f>
        <v/>
      </c>
      <c r="AG459" s="28">
        <f>IF(AF459="","",IF(ISNUMBER(AF459),IF(AF459&lt;0,"Expired",IF(AF459&lt;=30,"Due ≤30 days",IF(AF459&lt;=90,"Due ≤90 days","OK"))),"Check date"))</f>
        <v/>
      </c>
      <c r="AH459" s="22" t="n"/>
      <c r="AI459" s="22" t="n"/>
      <c r="AJ459" s="22" t="n"/>
      <c r="AK459" s="22" t="n"/>
    </row>
    <row r="460">
      <c r="A460" s="22" t="n"/>
      <c r="B460" s="22" t="n"/>
      <c r="C460" s="22" t="n"/>
      <c r="D460" s="22" t="n"/>
      <c r="E460" s="22" t="n"/>
      <c r="F460" s="22" t="n"/>
      <c r="G460" s="23" t="n"/>
      <c r="H460" s="22" t="n"/>
      <c r="I460" s="23" t="n"/>
      <c r="J460" s="22" t="n"/>
      <c r="K460" s="23" t="n"/>
      <c r="L460" s="22" t="n"/>
      <c r="M460" s="23" t="n"/>
      <c r="N460" s="22" t="n"/>
      <c r="O460" s="22" t="n"/>
      <c r="P460" s="22" t="n"/>
      <c r="Q460" s="23" t="n"/>
      <c r="R460" s="22" t="n"/>
      <c r="S460" s="23" t="n"/>
      <c r="T460" s="22" t="n"/>
      <c r="U460" s="23" t="n"/>
      <c r="V460" s="24" t="n"/>
      <c r="W460" s="25">
        <f>IF(ISNUMBER(U460),U460+IF(ISNUMBER(V460),V460,120),"")</f>
        <v/>
      </c>
      <c r="X460" s="22" t="n"/>
      <c r="Y460" s="23" t="n"/>
      <c r="Z460" s="22" t="n"/>
      <c r="AA460" s="23" t="n"/>
      <c r="AB460" s="24" t="n"/>
      <c r="AC460" s="26">
        <f>IF(ISNUMBER(AD460)=FALSE,"",IF(G460=AD460,"State license",IF(I460=AD460,"DEA registration",IF(K460=AD460,"State CSR",IF(M460=AD460,"Board certification",IF(Q460=AD460,"Malpractice",IF(S460=AD460,"Life support",IF(W460=AD460,"CAQH re-attestation",IF(Y460=AD460,"Privileges reappointment","Payer recredentialing")))))))))</f>
        <v/>
      </c>
      <c r="AD460" s="25">
        <f>IF(OR(AND(LEN(G460)&gt;0,ISNUMBER(G460)=FALSE),AND(LEN(I460)&gt;0,ISNUMBER(I460)=FALSE),AND(LEN(K460)&gt;0,ISNUMBER(K460)=FALSE),AND(LEN(M460)&gt;0,ISNUMBER(M460)=FALSE),AND(LEN(Q460)&gt;0,ISNUMBER(Q460)=FALSE),AND(LEN(S460)&gt;0,ISNUMBER(S460)=FALSE),AND(LEN(Y460)&gt;0,ISNUMBER(Y460)=FALSE),AND(LEN(AA460)&gt;0,ISNUMBER(AA460)=FALSE),AND(LEN(U460)&gt;0,ISNUMBER(U460)=FALSE)),"Check date",IF(COUNT(G460,I460,K460,M460,Q460,S460,W460,Y460,AA460)=0,"",MIN(G460,I460,K460,M460,Q460,S460,W460,Y460,AA460)))</f>
        <v/>
      </c>
      <c r="AE460" s="25">
        <f>IF(ISNUMBER(AD460),AD460-IF(ISNUMBER(AB460),AB460,30),"")</f>
        <v/>
      </c>
      <c r="AF460" s="27">
        <f>IF(AD460="","",IF(ISNUMBER(AD460),AD460-TODAY(),"Check date"))</f>
        <v/>
      </c>
      <c r="AG460" s="28">
        <f>IF(AF460="","",IF(ISNUMBER(AF460),IF(AF460&lt;0,"Expired",IF(AF460&lt;=30,"Due ≤30 days",IF(AF460&lt;=90,"Due ≤90 days","OK"))),"Check date"))</f>
        <v/>
      </c>
      <c r="AH460" s="22" t="n"/>
      <c r="AI460" s="22" t="n"/>
      <c r="AJ460" s="22" t="n"/>
      <c r="AK460" s="22" t="n"/>
    </row>
    <row r="461">
      <c r="A461" s="22" t="n"/>
      <c r="B461" s="22" t="n"/>
      <c r="C461" s="22" t="n"/>
      <c r="D461" s="22" t="n"/>
      <c r="E461" s="22" t="n"/>
      <c r="F461" s="22" t="n"/>
      <c r="G461" s="23" t="n"/>
      <c r="H461" s="22" t="n"/>
      <c r="I461" s="23" t="n"/>
      <c r="J461" s="22" t="n"/>
      <c r="K461" s="23" t="n"/>
      <c r="L461" s="22" t="n"/>
      <c r="M461" s="23" t="n"/>
      <c r="N461" s="22" t="n"/>
      <c r="O461" s="22" t="n"/>
      <c r="P461" s="22" t="n"/>
      <c r="Q461" s="23" t="n"/>
      <c r="R461" s="22" t="n"/>
      <c r="S461" s="23" t="n"/>
      <c r="T461" s="22" t="n"/>
      <c r="U461" s="23" t="n"/>
      <c r="V461" s="24" t="n"/>
      <c r="W461" s="25">
        <f>IF(ISNUMBER(U461),U461+IF(ISNUMBER(V461),V461,120),"")</f>
        <v/>
      </c>
      <c r="X461" s="22" t="n"/>
      <c r="Y461" s="23" t="n"/>
      <c r="Z461" s="22" t="n"/>
      <c r="AA461" s="23" t="n"/>
      <c r="AB461" s="24" t="n"/>
      <c r="AC461" s="26">
        <f>IF(ISNUMBER(AD461)=FALSE,"",IF(G461=AD461,"State license",IF(I461=AD461,"DEA registration",IF(K461=AD461,"State CSR",IF(M461=AD461,"Board certification",IF(Q461=AD461,"Malpractice",IF(S461=AD461,"Life support",IF(W461=AD461,"CAQH re-attestation",IF(Y461=AD461,"Privileges reappointment","Payer recredentialing")))))))))</f>
        <v/>
      </c>
      <c r="AD461" s="25">
        <f>IF(OR(AND(LEN(G461)&gt;0,ISNUMBER(G461)=FALSE),AND(LEN(I461)&gt;0,ISNUMBER(I461)=FALSE),AND(LEN(K461)&gt;0,ISNUMBER(K461)=FALSE),AND(LEN(M461)&gt;0,ISNUMBER(M461)=FALSE),AND(LEN(Q461)&gt;0,ISNUMBER(Q461)=FALSE),AND(LEN(S461)&gt;0,ISNUMBER(S461)=FALSE),AND(LEN(Y461)&gt;0,ISNUMBER(Y461)=FALSE),AND(LEN(AA461)&gt;0,ISNUMBER(AA461)=FALSE),AND(LEN(U461)&gt;0,ISNUMBER(U461)=FALSE)),"Check date",IF(COUNT(G461,I461,K461,M461,Q461,S461,W461,Y461,AA461)=0,"",MIN(G461,I461,K461,M461,Q461,S461,W461,Y461,AA461)))</f>
        <v/>
      </c>
      <c r="AE461" s="25">
        <f>IF(ISNUMBER(AD461),AD461-IF(ISNUMBER(AB461),AB461,30),"")</f>
        <v/>
      </c>
      <c r="AF461" s="27">
        <f>IF(AD461="","",IF(ISNUMBER(AD461),AD461-TODAY(),"Check date"))</f>
        <v/>
      </c>
      <c r="AG461" s="28">
        <f>IF(AF461="","",IF(ISNUMBER(AF461),IF(AF461&lt;0,"Expired",IF(AF461&lt;=30,"Due ≤30 days",IF(AF461&lt;=90,"Due ≤90 days","OK"))),"Check date"))</f>
        <v/>
      </c>
      <c r="AH461" s="22" t="n"/>
      <c r="AI461" s="22" t="n"/>
      <c r="AJ461" s="22" t="n"/>
      <c r="AK461" s="22" t="n"/>
    </row>
    <row r="462">
      <c r="A462" s="22" t="n"/>
      <c r="B462" s="22" t="n"/>
      <c r="C462" s="22" t="n"/>
      <c r="D462" s="22" t="n"/>
      <c r="E462" s="22" t="n"/>
      <c r="F462" s="22" t="n"/>
      <c r="G462" s="23" t="n"/>
      <c r="H462" s="22" t="n"/>
      <c r="I462" s="23" t="n"/>
      <c r="J462" s="22" t="n"/>
      <c r="K462" s="23" t="n"/>
      <c r="L462" s="22" t="n"/>
      <c r="M462" s="23" t="n"/>
      <c r="N462" s="22" t="n"/>
      <c r="O462" s="22" t="n"/>
      <c r="P462" s="22" t="n"/>
      <c r="Q462" s="23" t="n"/>
      <c r="R462" s="22" t="n"/>
      <c r="S462" s="23" t="n"/>
      <c r="T462" s="22" t="n"/>
      <c r="U462" s="23" t="n"/>
      <c r="V462" s="24" t="n"/>
      <c r="W462" s="25">
        <f>IF(ISNUMBER(U462),U462+IF(ISNUMBER(V462),V462,120),"")</f>
        <v/>
      </c>
      <c r="X462" s="22" t="n"/>
      <c r="Y462" s="23" t="n"/>
      <c r="Z462" s="22" t="n"/>
      <c r="AA462" s="23" t="n"/>
      <c r="AB462" s="24" t="n"/>
      <c r="AC462" s="26">
        <f>IF(ISNUMBER(AD462)=FALSE,"",IF(G462=AD462,"State license",IF(I462=AD462,"DEA registration",IF(K462=AD462,"State CSR",IF(M462=AD462,"Board certification",IF(Q462=AD462,"Malpractice",IF(S462=AD462,"Life support",IF(W462=AD462,"CAQH re-attestation",IF(Y462=AD462,"Privileges reappointment","Payer recredentialing")))))))))</f>
        <v/>
      </c>
      <c r="AD462" s="25">
        <f>IF(OR(AND(LEN(G462)&gt;0,ISNUMBER(G462)=FALSE),AND(LEN(I462)&gt;0,ISNUMBER(I462)=FALSE),AND(LEN(K462)&gt;0,ISNUMBER(K462)=FALSE),AND(LEN(M462)&gt;0,ISNUMBER(M462)=FALSE),AND(LEN(Q462)&gt;0,ISNUMBER(Q462)=FALSE),AND(LEN(S462)&gt;0,ISNUMBER(S462)=FALSE),AND(LEN(Y462)&gt;0,ISNUMBER(Y462)=FALSE),AND(LEN(AA462)&gt;0,ISNUMBER(AA462)=FALSE),AND(LEN(U462)&gt;0,ISNUMBER(U462)=FALSE)),"Check date",IF(COUNT(G462,I462,K462,M462,Q462,S462,W462,Y462,AA462)=0,"",MIN(G462,I462,K462,M462,Q462,S462,W462,Y462,AA462)))</f>
        <v/>
      </c>
      <c r="AE462" s="25">
        <f>IF(ISNUMBER(AD462),AD462-IF(ISNUMBER(AB462),AB462,30),"")</f>
        <v/>
      </c>
      <c r="AF462" s="27">
        <f>IF(AD462="","",IF(ISNUMBER(AD462),AD462-TODAY(),"Check date"))</f>
        <v/>
      </c>
      <c r="AG462" s="28">
        <f>IF(AF462="","",IF(ISNUMBER(AF462),IF(AF462&lt;0,"Expired",IF(AF462&lt;=30,"Due ≤30 days",IF(AF462&lt;=90,"Due ≤90 days","OK"))),"Check date"))</f>
        <v/>
      </c>
      <c r="AH462" s="22" t="n"/>
      <c r="AI462" s="22" t="n"/>
      <c r="AJ462" s="22" t="n"/>
      <c r="AK462" s="22" t="n"/>
    </row>
    <row r="463">
      <c r="A463" s="22" t="n"/>
      <c r="B463" s="22" t="n"/>
      <c r="C463" s="22" t="n"/>
      <c r="D463" s="22" t="n"/>
      <c r="E463" s="22" t="n"/>
      <c r="F463" s="22" t="n"/>
      <c r="G463" s="23" t="n"/>
      <c r="H463" s="22" t="n"/>
      <c r="I463" s="23" t="n"/>
      <c r="J463" s="22" t="n"/>
      <c r="K463" s="23" t="n"/>
      <c r="L463" s="22" t="n"/>
      <c r="M463" s="23" t="n"/>
      <c r="N463" s="22" t="n"/>
      <c r="O463" s="22" t="n"/>
      <c r="P463" s="22" t="n"/>
      <c r="Q463" s="23" t="n"/>
      <c r="R463" s="22" t="n"/>
      <c r="S463" s="23" t="n"/>
      <c r="T463" s="22" t="n"/>
      <c r="U463" s="23" t="n"/>
      <c r="V463" s="24" t="n"/>
      <c r="W463" s="25">
        <f>IF(ISNUMBER(U463),U463+IF(ISNUMBER(V463),V463,120),"")</f>
        <v/>
      </c>
      <c r="X463" s="22" t="n"/>
      <c r="Y463" s="23" t="n"/>
      <c r="Z463" s="22" t="n"/>
      <c r="AA463" s="23" t="n"/>
      <c r="AB463" s="24" t="n"/>
      <c r="AC463" s="26">
        <f>IF(ISNUMBER(AD463)=FALSE,"",IF(G463=AD463,"State license",IF(I463=AD463,"DEA registration",IF(K463=AD463,"State CSR",IF(M463=AD463,"Board certification",IF(Q463=AD463,"Malpractice",IF(S463=AD463,"Life support",IF(W463=AD463,"CAQH re-attestation",IF(Y463=AD463,"Privileges reappointment","Payer recredentialing")))))))))</f>
        <v/>
      </c>
      <c r="AD463" s="25">
        <f>IF(OR(AND(LEN(G463)&gt;0,ISNUMBER(G463)=FALSE),AND(LEN(I463)&gt;0,ISNUMBER(I463)=FALSE),AND(LEN(K463)&gt;0,ISNUMBER(K463)=FALSE),AND(LEN(M463)&gt;0,ISNUMBER(M463)=FALSE),AND(LEN(Q463)&gt;0,ISNUMBER(Q463)=FALSE),AND(LEN(S463)&gt;0,ISNUMBER(S463)=FALSE),AND(LEN(Y463)&gt;0,ISNUMBER(Y463)=FALSE),AND(LEN(AA463)&gt;0,ISNUMBER(AA463)=FALSE),AND(LEN(U463)&gt;0,ISNUMBER(U463)=FALSE)),"Check date",IF(COUNT(G463,I463,K463,M463,Q463,S463,W463,Y463,AA463)=0,"",MIN(G463,I463,K463,M463,Q463,S463,W463,Y463,AA463)))</f>
        <v/>
      </c>
      <c r="AE463" s="25">
        <f>IF(ISNUMBER(AD463),AD463-IF(ISNUMBER(AB463),AB463,30),"")</f>
        <v/>
      </c>
      <c r="AF463" s="27">
        <f>IF(AD463="","",IF(ISNUMBER(AD463),AD463-TODAY(),"Check date"))</f>
        <v/>
      </c>
      <c r="AG463" s="28">
        <f>IF(AF463="","",IF(ISNUMBER(AF463),IF(AF463&lt;0,"Expired",IF(AF463&lt;=30,"Due ≤30 days",IF(AF463&lt;=90,"Due ≤90 days","OK"))),"Check date"))</f>
        <v/>
      </c>
      <c r="AH463" s="22" t="n"/>
      <c r="AI463" s="22" t="n"/>
      <c r="AJ463" s="22" t="n"/>
      <c r="AK463" s="22" t="n"/>
    </row>
    <row r="464">
      <c r="A464" s="22" t="n"/>
      <c r="B464" s="22" t="n"/>
      <c r="C464" s="22" t="n"/>
      <c r="D464" s="22" t="n"/>
      <c r="E464" s="22" t="n"/>
      <c r="F464" s="22" t="n"/>
      <c r="G464" s="23" t="n"/>
      <c r="H464" s="22" t="n"/>
      <c r="I464" s="23" t="n"/>
      <c r="J464" s="22" t="n"/>
      <c r="K464" s="23" t="n"/>
      <c r="L464" s="22" t="n"/>
      <c r="M464" s="23" t="n"/>
      <c r="N464" s="22" t="n"/>
      <c r="O464" s="22" t="n"/>
      <c r="P464" s="22" t="n"/>
      <c r="Q464" s="23" t="n"/>
      <c r="R464" s="22" t="n"/>
      <c r="S464" s="23" t="n"/>
      <c r="T464" s="22" t="n"/>
      <c r="U464" s="23" t="n"/>
      <c r="V464" s="24" t="n"/>
      <c r="W464" s="25">
        <f>IF(ISNUMBER(U464),U464+IF(ISNUMBER(V464),V464,120),"")</f>
        <v/>
      </c>
      <c r="X464" s="22" t="n"/>
      <c r="Y464" s="23" t="n"/>
      <c r="Z464" s="22" t="n"/>
      <c r="AA464" s="23" t="n"/>
      <c r="AB464" s="24" t="n"/>
      <c r="AC464" s="26">
        <f>IF(ISNUMBER(AD464)=FALSE,"",IF(G464=AD464,"State license",IF(I464=AD464,"DEA registration",IF(K464=AD464,"State CSR",IF(M464=AD464,"Board certification",IF(Q464=AD464,"Malpractice",IF(S464=AD464,"Life support",IF(W464=AD464,"CAQH re-attestation",IF(Y464=AD464,"Privileges reappointment","Payer recredentialing")))))))))</f>
        <v/>
      </c>
      <c r="AD464" s="25">
        <f>IF(OR(AND(LEN(G464)&gt;0,ISNUMBER(G464)=FALSE),AND(LEN(I464)&gt;0,ISNUMBER(I464)=FALSE),AND(LEN(K464)&gt;0,ISNUMBER(K464)=FALSE),AND(LEN(M464)&gt;0,ISNUMBER(M464)=FALSE),AND(LEN(Q464)&gt;0,ISNUMBER(Q464)=FALSE),AND(LEN(S464)&gt;0,ISNUMBER(S464)=FALSE),AND(LEN(Y464)&gt;0,ISNUMBER(Y464)=FALSE),AND(LEN(AA464)&gt;0,ISNUMBER(AA464)=FALSE),AND(LEN(U464)&gt;0,ISNUMBER(U464)=FALSE)),"Check date",IF(COUNT(G464,I464,K464,M464,Q464,S464,W464,Y464,AA464)=0,"",MIN(G464,I464,K464,M464,Q464,S464,W464,Y464,AA464)))</f>
        <v/>
      </c>
      <c r="AE464" s="25">
        <f>IF(ISNUMBER(AD464),AD464-IF(ISNUMBER(AB464),AB464,30),"")</f>
        <v/>
      </c>
      <c r="AF464" s="27">
        <f>IF(AD464="","",IF(ISNUMBER(AD464),AD464-TODAY(),"Check date"))</f>
        <v/>
      </c>
      <c r="AG464" s="28">
        <f>IF(AF464="","",IF(ISNUMBER(AF464),IF(AF464&lt;0,"Expired",IF(AF464&lt;=30,"Due ≤30 days",IF(AF464&lt;=90,"Due ≤90 days","OK"))),"Check date"))</f>
        <v/>
      </c>
      <c r="AH464" s="22" t="n"/>
      <c r="AI464" s="22" t="n"/>
      <c r="AJ464" s="22" t="n"/>
      <c r="AK464" s="22" t="n"/>
    </row>
    <row r="465">
      <c r="A465" s="22" t="n"/>
      <c r="B465" s="22" t="n"/>
      <c r="C465" s="22" t="n"/>
      <c r="D465" s="22" t="n"/>
      <c r="E465" s="22" t="n"/>
      <c r="F465" s="22" t="n"/>
      <c r="G465" s="23" t="n"/>
      <c r="H465" s="22" t="n"/>
      <c r="I465" s="23" t="n"/>
      <c r="J465" s="22" t="n"/>
      <c r="K465" s="23" t="n"/>
      <c r="L465" s="22" t="n"/>
      <c r="M465" s="23" t="n"/>
      <c r="N465" s="22" t="n"/>
      <c r="O465" s="22" t="n"/>
      <c r="P465" s="22" t="n"/>
      <c r="Q465" s="23" t="n"/>
      <c r="R465" s="22" t="n"/>
      <c r="S465" s="23" t="n"/>
      <c r="T465" s="22" t="n"/>
      <c r="U465" s="23" t="n"/>
      <c r="V465" s="24" t="n"/>
      <c r="W465" s="25">
        <f>IF(ISNUMBER(U465),U465+IF(ISNUMBER(V465),V465,120),"")</f>
        <v/>
      </c>
      <c r="X465" s="22" t="n"/>
      <c r="Y465" s="23" t="n"/>
      <c r="Z465" s="22" t="n"/>
      <c r="AA465" s="23" t="n"/>
      <c r="AB465" s="24" t="n"/>
      <c r="AC465" s="26">
        <f>IF(ISNUMBER(AD465)=FALSE,"",IF(G465=AD465,"State license",IF(I465=AD465,"DEA registration",IF(K465=AD465,"State CSR",IF(M465=AD465,"Board certification",IF(Q465=AD465,"Malpractice",IF(S465=AD465,"Life support",IF(W465=AD465,"CAQH re-attestation",IF(Y465=AD465,"Privileges reappointment","Payer recredentialing")))))))))</f>
        <v/>
      </c>
      <c r="AD465" s="25">
        <f>IF(OR(AND(LEN(G465)&gt;0,ISNUMBER(G465)=FALSE),AND(LEN(I465)&gt;0,ISNUMBER(I465)=FALSE),AND(LEN(K465)&gt;0,ISNUMBER(K465)=FALSE),AND(LEN(M465)&gt;0,ISNUMBER(M465)=FALSE),AND(LEN(Q465)&gt;0,ISNUMBER(Q465)=FALSE),AND(LEN(S465)&gt;0,ISNUMBER(S465)=FALSE),AND(LEN(Y465)&gt;0,ISNUMBER(Y465)=FALSE),AND(LEN(AA465)&gt;0,ISNUMBER(AA465)=FALSE),AND(LEN(U465)&gt;0,ISNUMBER(U465)=FALSE)),"Check date",IF(COUNT(G465,I465,K465,M465,Q465,S465,W465,Y465,AA465)=0,"",MIN(G465,I465,K465,M465,Q465,S465,W465,Y465,AA465)))</f>
        <v/>
      </c>
      <c r="AE465" s="25">
        <f>IF(ISNUMBER(AD465),AD465-IF(ISNUMBER(AB465),AB465,30),"")</f>
        <v/>
      </c>
      <c r="AF465" s="27">
        <f>IF(AD465="","",IF(ISNUMBER(AD465),AD465-TODAY(),"Check date"))</f>
        <v/>
      </c>
      <c r="AG465" s="28">
        <f>IF(AF465="","",IF(ISNUMBER(AF465),IF(AF465&lt;0,"Expired",IF(AF465&lt;=30,"Due ≤30 days",IF(AF465&lt;=90,"Due ≤90 days","OK"))),"Check date"))</f>
        <v/>
      </c>
      <c r="AH465" s="22" t="n"/>
      <c r="AI465" s="22" t="n"/>
      <c r="AJ465" s="22" t="n"/>
      <c r="AK465" s="22" t="n"/>
    </row>
    <row r="466">
      <c r="A466" s="22" t="n"/>
      <c r="B466" s="22" t="n"/>
      <c r="C466" s="22" t="n"/>
      <c r="D466" s="22" t="n"/>
      <c r="E466" s="22" t="n"/>
      <c r="F466" s="22" t="n"/>
      <c r="G466" s="23" t="n"/>
      <c r="H466" s="22" t="n"/>
      <c r="I466" s="23" t="n"/>
      <c r="J466" s="22" t="n"/>
      <c r="K466" s="23" t="n"/>
      <c r="L466" s="22" t="n"/>
      <c r="M466" s="23" t="n"/>
      <c r="N466" s="22" t="n"/>
      <c r="O466" s="22" t="n"/>
      <c r="P466" s="22" t="n"/>
      <c r="Q466" s="23" t="n"/>
      <c r="R466" s="22" t="n"/>
      <c r="S466" s="23" t="n"/>
      <c r="T466" s="22" t="n"/>
      <c r="U466" s="23" t="n"/>
      <c r="V466" s="24" t="n"/>
      <c r="W466" s="25">
        <f>IF(ISNUMBER(U466),U466+IF(ISNUMBER(V466),V466,120),"")</f>
        <v/>
      </c>
      <c r="X466" s="22" t="n"/>
      <c r="Y466" s="23" t="n"/>
      <c r="Z466" s="22" t="n"/>
      <c r="AA466" s="23" t="n"/>
      <c r="AB466" s="24" t="n"/>
      <c r="AC466" s="26">
        <f>IF(ISNUMBER(AD466)=FALSE,"",IF(G466=AD466,"State license",IF(I466=AD466,"DEA registration",IF(K466=AD466,"State CSR",IF(M466=AD466,"Board certification",IF(Q466=AD466,"Malpractice",IF(S466=AD466,"Life support",IF(W466=AD466,"CAQH re-attestation",IF(Y466=AD466,"Privileges reappointment","Payer recredentialing")))))))))</f>
        <v/>
      </c>
      <c r="AD466" s="25">
        <f>IF(OR(AND(LEN(G466)&gt;0,ISNUMBER(G466)=FALSE),AND(LEN(I466)&gt;0,ISNUMBER(I466)=FALSE),AND(LEN(K466)&gt;0,ISNUMBER(K466)=FALSE),AND(LEN(M466)&gt;0,ISNUMBER(M466)=FALSE),AND(LEN(Q466)&gt;0,ISNUMBER(Q466)=FALSE),AND(LEN(S466)&gt;0,ISNUMBER(S466)=FALSE),AND(LEN(Y466)&gt;0,ISNUMBER(Y466)=FALSE),AND(LEN(AA466)&gt;0,ISNUMBER(AA466)=FALSE),AND(LEN(U466)&gt;0,ISNUMBER(U466)=FALSE)),"Check date",IF(COUNT(G466,I466,K466,M466,Q466,S466,W466,Y466,AA466)=0,"",MIN(G466,I466,K466,M466,Q466,S466,W466,Y466,AA466)))</f>
        <v/>
      </c>
      <c r="AE466" s="25">
        <f>IF(ISNUMBER(AD466),AD466-IF(ISNUMBER(AB466),AB466,30),"")</f>
        <v/>
      </c>
      <c r="AF466" s="27">
        <f>IF(AD466="","",IF(ISNUMBER(AD466),AD466-TODAY(),"Check date"))</f>
        <v/>
      </c>
      <c r="AG466" s="28">
        <f>IF(AF466="","",IF(ISNUMBER(AF466),IF(AF466&lt;0,"Expired",IF(AF466&lt;=30,"Due ≤30 days",IF(AF466&lt;=90,"Due ≤90 days","OK"))),"Check date"))</f>
        <v/>
      </c>
      <c r="AH466" s="22" t="n"/>
      <c r="AI466" s="22" t="n"/>
      <c r="AJ466" s="22" t="n"/>
      <c r="AK466" s="22" t="n"/>
    </row>
    <row r="467">
      <c r="A467" s="22" t="n"/>
      <c r="B467" s="22" t="n"/>
      <c r="C467" s="22" t="n"/>
      <c r="D467" s="22" t="n"/>
      <c r="E467" s="22" t="n"/>
      <c r="F467" s="22" t="n"/>
      <c r="G467" s="23" t="n"/>
      <c r="H467" s="22" t="n"/>
      <c r="I467" s="23" t="n"/>
      <c r="J467" s="22" t="n"/>
      <c r="K467" s="23" t="n"/>
      <c r="L467" s="22" t="n"/>
      <c r="M467" s="23" t="n"/>
      <c r="N467" s="22" t="n"/>
      <c r="O467" s="22" t="n"/>
      <c r="P467" s="22" t="n"/>
      <c r="Q467" s="23" t="n"/>
      <c r="R467" s="22" t="n"/>
      <c r="S467" s="23" t="n"/>
      <c r="T467" s="22" t="n"/>
      <c r="U467" s="23" t="n"/>
      <c r="V467" s="24" t="n"/>
      <c r="W467" s="25">
        <f>IF(ISNUMBER(U467),U467+IF(ISNUMBER(V467),V467,120),"")</f>
        <v/>
      </c>
      <c r="X467" s="22" t="n"/>
      <c r="Y467" s="23" t="n"/>
      <c r="Z467" s="22" t="n"/>
      <c r="AA467" s="23" t="n"/>
      <c r="AB467" s="24" t="n"/>
      <c r="AC467" s="26">
        <f>IF(ISNUMBER(AD467)=FALSE,"",IF(G467=AD467,"State license",IF(I467=AD467,"DEA registration",IF(K467=AD467,"State CSR",IF(M467=AD467,"Board certification",IF(Q467=AD467,"Malpractice",IF(S467=AD467,"Life support",IF(W467=AD467,"CAQH re-attestation",IF(Y467=AD467,"Privileges reappointment","Payer recredentialing")))))))))</f>
        <v/>
      </c>
      <c r="AD467" s="25">
        <f>IF(OR(AND(LEN(G467)&gt;0,ISNUMBER(G467)=FALSE),AND(LEN(I467)&gt;0,ISNUMBER(I467)=FALSE),AND(LEN(K467)&gt;0,ISNUMBER(K467)=FALSE),AND(LEN(M467)&gt;0,ISNUMBER(M467)=FALSE),AND(LEN(Q467)&gt;0,ISNUMBER(Q467)=FALSE),AND(LEN(S467)&gt;0,ISNUMBER(S467)=FALSE),AND(LEN(Y467)&gt;0,ISNUMBER(Y467)=FALSE),AND(LEN(AA467)&gt;0,ISNUMBER(AA467)=FALSE),AND(LEN(U467)&gt;0,ISNUMBER(U467)=FALSE)),"Check date",IF(COUNT(G467,I467,K467,M467,Q467,S467,W467,Y467,AA467)=0,"",MIN(G467,I467,K467,M467,Q467,S467,W467,Y467,AA467)))</f>
        <v/>
      </c>
      <c r="AE467" s="25">
        <f>IF(ISNUMBER(AD467),AD467-IF(ISNUMBER(AB467),AB467,30),"")</f>
        <v/>
      </c>
      <c r="AF467" s="27">
        <f>IF(AD467="","",IF(ISNUMBER(AD467),AD467-TODAY(),"Check date"))</f>
        <v/>
      </c>
      <c r="AG467" s="28">
        <f>IF(AF467="","",IF(ISNUMBER(AF467),IF(AF467&lt;0,"Expired",IF(AF467&lt;=30,"Due ≤30 days",IF(AF467&lt;=90,"Due ≤90 days","OK"))),"Check date"))</f>
        <v/>
      </c>
      <c r="AH467" s="22" t="n"/>
      <c r="AI467" s="22" t="n"/>
      <c r="AJ467" s="22" t="n"/>
      <c r="AK467" s="22" t="n"/>
    </row>
    <row r="468">
      <c r="A468" s="22" t="n"/>
      <c r="B468" s="22" t="n"/>
      <c r="C468" s="22" t="n"/>
      <c r="D468" s="22" t="n"/>
      <c r="E468" s="22" t="n"/>
      <c r="F468" s="22" t="n"/>
      <c r="G468" s="23" t="n"/>
      <c r="H468" s="22" t="n"/>
      <c r="I468" s="23" t="n"/>
      <c r="J468" s="22" t="n"/>
      <c r="K468" s="23" t="n"/>
      <c r="L468" s="22" t="n"/>
      <c r="M468" s="23" t="n"/>
      <c r="N468" s="22" t="n"/>
      <c r="O468" s="22" t="n"/>
      <c r="P468" s="22" t="n"/>
      <c r="Q468" s="23" t="n"/>
      <c r="R468" s="22" t="n"/>
      <c r="S468" s="23" t="n"/>
      <c r="T468" s="22" t="n"/>
      <c r="U468" s="23" t="n"/>
      <c r="V468" s="24" t="n"/>
      <c r="W468" s="25">
        <f>IF(ISNUMBER(U468),U468+IF(ISNUMBER(V468),V468,120),"")</f>
        <v/>
      </c>
      <c r="X468" s="22" t="n"/>
      <c r="Y468" s="23" t="n"/>
      <c r="Z468" s="22" t="n"/>
      <c r="AA468" s="23" t="n"/>
      <c r="AB468" s="24" t="n"/>
      <c r="AC468" s="26">
        <f>IF(ISNUMBER(AD468)=FALSE,"",IF(G468=AD468,"State license",IF(I468=AD468,"DEA registration",IF(K468=AD468,"State CSR",IF(M468=AD468,"Board certification",IF(Q468=AD468,"Malpractice",IF(S468=AD468,"Life support",IF(W468=AD468,"CAQH re-attestation",IF(Y468=AD468,"Privileges reappointment","Payer recredentialing")))))))))</f>
        <v/>
      </c>
      <c r="AD468" s="25">
        <f>IF(OR(AND(LEN(G468)&gt;0,ISNUMBER(G468)=FALSE),AND(LEN(I468)&gt;0,ISNUMBER(I468)=FALSE),AND(LEN(K468)&gt;0,ISNUMBER(K468)=FALSE),AND(LEN(M468)&gt;0,ISNUMBER(M468)=FALSE),AND(LEN(Q468)&gt;0,ISNUMBER(Q468)=FALSE),AND(LEN(S468)&gt;0,ISNUMBER(S468)=FALSE),AND(LEN(Y468)&gt;0,ISNUMBER(Y468)=FALSE),AND(LEN(AA468)&gt;0,ISNUMBER(AA468)=FALSE),AND(LEN(U468)&gt;0,ISNUMBER(U468)=FALSE)),"Check date",IF(COUNT(G468,I468,K468,M468,Q468,S468,W468,Y468,AA468)=0,"",MIN(G468,I468,K468,M468,Q468,S468,W468,Y468,AA468)))</f>
        <v/>
      </c>
      <c r="AE468" s="25">
        <f>IF(ISNUMBER(AD468),AD468-IF(ISNUMBER(AB468),AB468,30),"")</f>
        <v/>
      </c>
      <c r="AF468" s="27">
        <f>IF(AD468="","",IF(ISNUMBER(AD468),AD468-TODAY(),"Check date"))</f>
        <v/>
      </c>
      <c r="AG468" s="28">
        <f>IF(AF468="","",IF(ISNUMBER(AF468),IF(AF468&lt;0,"Expired",IF(AF468&lt;=30,"Due ≤30 days",IF(AF468&lt;=90,"Due ≤90 days","OK"))),"Check date"))</f>
        <v/>
      </c>
      <c r="AH468" s="22" t="n"/>
      <c r="AI468" s="22" t="n"/>
      <c r="AJ468" s="22" t="n"/>
      <c r="AK468" s="22" t="n"/>
    </row>
    <row r="469">
      <c r="A469" s="22" t="n"/>
      <c r="B469" s="22" t="n"/>
      <c r="C469" s="22" t="n"/>
      <c r="D469" s="22" t="n"/>
      <c r="E469" s="22" t="n"/>
      <c r="F469" s="22" t="n"/>
      <c r="G469" s="23" t="n"/>
      <c r="H469" s="22" t="n"/>
      <c r="I469" s="23" t="n"/>
      <c r="J469" s="22" t="n"/>
      <c r="K469" s="23" t="n"/>
      <c r="L469" s="22" t="n"/>
      <c r="M469" s="23" t="n"/>
      <c r="N469" s="22" t="n"/>
      <c r="O469" s="22" t="n"/>
      <c r="P469" s="22" t="n"/>
      <c r="Q469" s="23" t="n"/>
      <c r="R469" s="22" t="n"/>
      <c r="S469" s="23" t="n"/>
      <c r="T469" s="22" t="n"/>
      <c r="U469" s="23" t="n"/>
      <c r="V469" s="24" t="n"/>
      <c r="W469" s="25">
        <f>IF(ISNUMBER(U469),U469+IF(ISNUMBER(V469),V469,120),"")</f>
        <v/>
      </c>
      <c r="X469" s="22" t="n"/>
      <c r="Y469" s="23" t="n"/>
      <c r="Z469" s="22" t="n"/>
      <c r="AA469" s="23" t="n"/>
      <c r="AB469" s="24" t="n"/>
      <c r="AC469" s="26">
        <f>IF(ISNUMBER(AD469)=FALSE,"",IF(G469=AD469,"State license",IF(I469=AD469,"DEA registration",IF(K469=AD469,"State CSR",IF(M469=AD469,"Board certification",IF(Q469=AD469,"Malpractice",IF(S469=AD469,"Life support",IF(W469=AD469,"CAQH re-attestation",IF(Y469=AD469,"Privileges reappointment","Payer recredentialing")))))))))</f>
        <v/>
      </c>
      <c r="AD469" s="25">
        <f>IF(OR(AND(LEN(G469)&gt;0,ISNUMBER(G469)=FALSE),AND(LEN(I469)&gt;0,ISNUMBER(I469)=FALSE),AND(LEN(K469)&gt;0,ISNUMBER(K469)=FALSE),AND(LEN(M469)&gt;0,ISNUMBER(M469)=FALSE),AND(LEN(Q469)&gt;0,ISNUMBER(Q469)=FALSE),AND(LEN(S469)&gt;0,ISNUMBER(S469)=FALSE),AND(LEN(Y469)&gt;0,ISNUMBER(Y469)=FALSE),AND(LEN(AA469)&gt;0,ISNUMBER(AA469)=FALSE),AND(LEN(U469)&gt;0,ISNUMBER(U469)=FALSE)),"Check date",IF(COUNT(G469,I469,K469,M469,Q469,S469,W469,Y469,AA469)=0,"",MIN(G469,I469,K469,M469,Q469,S469,W469,Y469,AA469)))</f>
        <v/>
      </c>
      <c r="AE469" s="25">
        <f>IF(ISNUMBER(AD469),AD469-IF(ISNUMBER(AB469),AB469,30),"")</f>
        <v/>
      </c>
      <c r="AF469" s="27">
        <f>IF(AD469="","",IF(ISNUMBER(AD469),AD469-TODAY(),"Check date"))</f>
        <v/>
      </c>
      <c r="AG469" s="28">
        <f>IF(AF469="","",IF(ISNUMBER(AF469),IF(AF469&lt;0,"Expired",IF(AF469&lt;=30,"Due ≤30 days",IF(AF469&lt;=90,"Due ≤90 days","OK"))),"Check date"))</f>
        <v/>
      </c>
      <c r="AH469" s="22" t="n"/>
      <c r="AI469" s="22" t="n"/>
      <c r="AJ469" s="22" t="n"/>
      <c r="AK469" s="22" t="n"/>
    </row>
    <row r="470">
      <c r="A470" s="22" t="n"/>
      <c r="B470" s="22" t="n"/>
      <c r="C470" s="22" t="n"/>
      <c r="D470" s="22" t="n"/>
      <c r="E470" s="22" t="n"/>
      <c r="F470" s="22" t="n"/>
      <c r="G470" s="23" t="n"/>
      <c r="H470" s="22" t="n"/>
      <c r="I470" s="23" t="n"/>
      <c r="J470" s="22" t="n"/>
      <c r="K470" s="23" t="n"/>
      <c r="L470" s="22" t="n"/>
      <c r="M470" s="23" t="n"/>
      <c r="N470" s="22" t="n"/>
      <c r="O470" s="22" t="n"/>
      <c r="P470" s="22" t="n"/>
      <c r="Q470" s="23" t="n"/>
      <c r="R470" s="22" t="n"/>
      <c r="S470" s="23" t="n"/>
      <c r="T470" s="22" t="n"/>
      <c r="U470" s="23" t="n"/>
      <c r="V470" s="24" t="n"/>
      <c r="W470" s="25">
        <f>IF(ISNUMBER(U470),U470+IF(ISNUMBER(V470),V470,120),"")</f>
        <v/>
      </c>
      <c r="X470" s="22" t="n"/>
      <c r="Y470" s="23" t="n"/>
      <c r="Z470" s="22" t="n"/>
      <c r="AA470" s="23" t="n"/>
      <c r="AB470" s="24" t="n"/>
      <c r="AC470" s="26">
        <f>IF(ISNUMBER(AD470)=FALSE,"",IF(G470=AD470,"State license",IF(I470=AD470,"DEA registration",IF(K470=AD470,"State CSR",IF(M470=AD470,"Board certification",IF(Q470=AD470,"Malpractice",IF(S470=AD470,"Life support",IF(W470=AD470,"CAQH re-attestation",IF(Y470=AD470,"Privileges reappointment","Payer recredentialing")))))))))</f>
        <v/>
      </c>
      <c r="AD470" s="25">
        <f>IF(OR(AND(LEN(G470)&gt;0,ISNUMBER(G470)=FALSE),AND(LEN(I470)&gt;0,ISNUMBER(I470)=FALSE),AND(LEN(K470)&gt;0,ISNUMBER(K470)=FALSE),AND(LEN(M470)&gt;0,ISNUMBER(M470)=FALSE),AND(LEN(Q470)&gt;0,ISNUMBER(Q470)=FALSE),AND(LEN(S470)&gt;0,ISNUMBER(S470)=FALSE),AND(LEN(Y470)&gt;0,ISNUMBER(Y470)=FALSE),AND(LEN(AA470)&gt;0,ISNUMBER(AA470)=FALSE),AND(LEN(U470)&gt;0,ISNUMBER(U470)=FALSE)),"Check date",IF(COUNT(G470,I470,K470,M470,Q470,S470,W470,Y470,AA470)=0,"",MIN(G470,I470,K470,M470,Q470,S470,W470,Y470,AA470)))</f>
        <v/>
      </c>
      <c r="AE470" s="25">
        <f>IF(ISNUMBER(AD470),AD470-IF(ISNUMBER(AB470),AB470,30),"")</f>
        <v/>
      </c>
      <c r="AF470" s="27">
        <f>IF(AD470="","",IF(ISNUMBER(AD470),AD470-TODAY(),"Check date"))</f>
        <v/>
      </c>
      <c r="AG470" s="28">
        <f>IF(AF470="","",IF(ISNUMBER(AF470),IF(AF470&lt;0,"Expired",IF(AF470&lt;=30,"Due ≤30 days",IF(AF470&lt;=90,"Due ≤90 days","OK"))),"Check date"))</f>
        <v/>
      </c>
      <c r="AH470" s="22" t="n"/>
      <c r="AI470" s="22" t="n"/>
      <c r="AJ470" s="22" t="n"/>
      <c r="AK470" s="22" t="n"/>
    </row>
    <row r="471">
      <c r="A471" s="22" t="n"/>
      <c r="B471" s="22" t="n"/>
      <c r="C471" s="22" t="n"/>
      <c r="D471" s="22" t="n"/>
      <c r="E471" s="22" t="n"/>
      <c r="F471" s="22" t="n"/>
      <c r="G471" s="23" t="n"/>
      <c r="H471" s="22" t="n"/>
      <c r="I471" s="23" t="n"/>
      <c r="J471" s="22" t="n"/>
      <c r="K471" s="23" t="n"/>
      <c r="L471" s="22" t="n"/>
      <c r="M471" s="23" t="n"/>
      <c r="N471" s="22" t="n"/>
      <c r="O471" s="22" t="n"/>
      <c r="P471" s="22" t="n"/>
      <c r="Q471" s="23" t="n"/>
      <c r="R471" s="22" t="n"/>
      <c r="S471" s="23" t="n"/>
      <c r="T471" s="22" t="n"/>
      <c r="U471" s="23" t="n"/>
      <c r="V471" s="24" t="n"/>
      <c r="W471" s="25">
        <f>IF(ISNUMBER(U471),U471+IF(ISNUMBER(V471),V471,120),"")</f>
        <v/>
      </c>
      <c r="X471" s="22" t="n"/>
      <c r="Y471" s="23" t="n"/>
      <c r="Z471" s="22" t="n"/>
      <c r="AA471" s="23" t="n"/>
      <c r="AB471" s="24" t="n"/>
      <c r="AC471" s="26">
        <f>IF(ISNUMBER(AD471)=FALSE,"",IF(G471=AD471,"State license",IF(I471=AD471,"DEA registration",IF(K471=AD471,"State CSR",IF(M471=AD471,"Board certification",IF(Q471=AD471,"Malpractice",IF(S471=AD471,"Life support",IF(W471=AD471,"CAQH re-attestation",IF(Y471=AD471,"Privileges reappointment","Payer recredentialing")))))))))</f>
        <v/>
      </c>
      <c r="AD471" s="25">
        <f>IF(OR(AND(LEN(G471)&gt;0,ISNUMBER(G471)=FALSE),AND(LEN(I471)&gt;0,ISNUMBER(I471)=FALSE),AND(LEN(K471)&gt;0,ISNUMBER(K471)=FALSE),AND(LEN(M471)&gt;0,ISNUMBER(M471)=FALSE),AND(LEN(Q471)&gt;0,ISNUMBER(Q471)=FALSE),AND(LEN(S471)&gt;0,ISNUMBER(S471)=FALSE),AND(LEN(Y471)&gt;0,ISNUMBER(Y471)=FALSE),AND(LEN(AA471)&gt;0,ISNUMBER(AA471)=FALSE),AND(LEN(U471)&gt;0,ISNUMBER(U471)=FALSE)),"Check date",IF(COUNT(G471,I471,K471,M471,Q471,S471,W471,Y471,AA471)=0,"",MIN(G471,I471,K471,M471,Q471,S471,W471,Y471,AA471)))</f>
        <v/>
      </c>
      <c r="AE471" s="25">
        <f>IF(ISNUMBER(AD471),AD471-IF(ISNUMBER(AB471),AB471,30),"")</f>
        <v/>
      </c>
      <c r="AF471" s="27">
        <f>IF(AD471="","",IF(ISNUMBER(AD471),AD471-TODAY(),"Check date"))</f>
        <v/>
      </c>
      <c r="AG471" s="28">
        <f>IF(AF471="","",IF(ISNUMBER(AF471),IF(AF471&lt;0,"Expired",IF(AF471&lt;=30,"Due ≤30 days",IF(AF471&lt;=90,"Due ≤90 days","OK"))),"Check date"))</f>
        <v/>
      </c>
      <c r="AH471" s="22" t="n"/>
      <c r="AI471" s="22" t="n"/>
      <c r="AJ471" s="22" t="n"/>
      <c r="AK471" s="22" t="n"/>
    </row>
    <row r="472">
      <c r="A472" s="22" t="n"/>
      <c r="B472" s="22" t="n"/>
      <c r="C472" s="22" t="n"/>
      <c r="D472" s="22" t="n"/>
      <c r="E472" s="22" t="n"/>
      <c r="F472" s="22" t="n"/>
      <c r="G472" s="23" t="n"/>
      <c r="H472" s="22" t="n"/>
      <c r="I472" s="23" t="n"/>
      <c r="J472" s="22" t="n"/>
      <c r="K472" s="23" t="n"/>
      <c r="L472" s="22" t="n"/>
      <c r="M472" s="23" t="n"/>
      <c r="N472" s="22" t="n"/>
      <c r="O472" s="22" t="n"/>
      <c r="P472" s="22" t="n"/>
      <c r="Q472" s="23" t="n"/>
      <c r="R472" s="22" t="n"/>
      <c r="S472" s="23" t="n"/>
      <c r="T472" s="22" t="n"/>
      <c r="U472" s="23" t="n"/>
      <c r="V472" s="24" t="n"/>
      <c r="W472" s="25">
        <f>IF(ISNUMBER(U472),U472+IF(ISNUMBER(V472),V472,120),"")</f>
        <v/>
      </c>
      <c r="X472" s="22" t="n"/>
      <c r="Y472" s="23" t="n"/>
      <c r="Z472" s="22" t="n"/>
      <c r="AA472" s="23" t="n"/>
      <c r="AB472" s="24" t="n"/>
      <c r="AC472" s="26">
        <f>IF(ISNUMBER(AD472)=FALSE,"",IF(G472=AD472,"State license",IF(I472=AD472,"DEA registration",IF(K472=AD472,"State CSR",IF(M472=AD472,"Board certification",IF(Q472=AD472,"Malpractice",IF(S472=AD472,"Life support",IF(W472=AD472,"CAQH re-attestation",IF(Y472=AD472,"Privileges reappointment","Payer recredentialing")))))))))</f>
        <v/>
      </c>
      <c r="AD472" s="25">
        <f>IF(OR(AND(LEN(G472)&gt;0,ISNUMBER(G472)=FALSE),AND(LEN(I472)&gt;0,ISNUMBER(I472)=FALSE),AND(LEN(K472)&gt;0,ISNUMBER(K472)=FALSE),AND(LEN(M472)&gt;0,ISNUMBER(M472)=FALSE),AND(LEN(Q472)&gt;0,ISNUMBER(Q472)=FALSE),AND(LEN(S472)&gt;0,ISNUMBER(S472)=FALSE),AND(LEN(Y472)&gt;0,ISNUMBER(Y472)=FALSE),AND(LEN(AA472)&gt;0,ISNUMBER(AA472)=FALSE),AND(LEN(U472)&gt;0,ISNUMBER(U472)=FALSE)),"Check date",IF(COUNT(G472,I472,K472,M472,Q472,S472,W472,Y472,AA472)=0,"",MIN(G472,I472,K472,M472,Q472,S472,W472,Y472,AA472)))</f>
        <v/>
      </c>
      <c r="AE472" s="25">
        <f>IF(ISNUMBER(AD472),AD472-IF(ISNUMBER(AB472),AB472,30),"")</f>
        <v/>
      </c>
      <c r="AF472" s="27">
        <f>IF(AD472="","",IF(ISNUMBER(AD472),AD472-TODAY(),"Check date"))</f>
        <v/>
      </c>
      <c r="AG472" s="28">
        <f>IF(AF472="","",IF(ISNUMBER(AF472),IF(AF472&lt;0,"Expired",IF(AF472&lt;=30,"Due ≤30 days",IF(AF472&lt;=90,"Due ≤90 days","OK"))),"Check date"))</f>
        <v/>
      </c>
      <c r="AH472" s="22" t="n"/>
      <c r="AI472" s="22" t="n"/>
      <c r="AJ472" s="22" t="n"/>
      <c r="AK472" s="22" t="n"/>
    </row>
    <row r="473">
      <c r="A473" s="22" t="n"/>
      <c r="B473" s="22" t="n"/>
      <c r="C473" s="22" t="n"/>
      <c r="D473" s="22" t="n"/>
      <c r="E473" s="22" t="n"/>
      <c r="F473" s="22" t="n"/>
      <c r="G473" s="23" t="n"/>
      <c r="H473" s="22" t="n"/>
      <c r="I473" s="23" t="n"/>
      <c r="J473" s="22" t="n"/>
      <c r="K473" s="23" t="n"/>
      <c r="L473" s="22" t="n"/>
      <c r="M473" s="23" t="n"/>
      <c r="N473" s="22" t="n"/>
      <c r="O473" s="22" t="n"/>
      <c r="P473" s="22" t="n"/>
      <c r="Q473" s="23" t="n"/>
      <c r="R473" s="22" t="n"/>
      <c r="S473" s="23" t="n"/>
      <c r="T473" s="22" t="n"/>
      <c r="U473" s="23" t="n"/>
      <c r="V473" s="24" t="n"/>
      <c r="W473" s="25">
        <f>IF(ISNUMBER(U473),U473+IF(ISNUMBER(V473),V473,120),"")</f>
        <v/>
      </c>
      <c r="X473" s="22" t="n"/>
      <c r="Y473" s="23" t="n"/>
      <c r="Z473" s="22" t="n"/>
      <c r="AA473" s="23" t="n"/>
      <c r="AB473" s="24" t="n"/>
      <c r="AC473" s="26">
        <f>IF(ISNUMBER(AD473)=FALSE,"",IF(G473=AD473,"State license",IF(I473=AD473,"DEA registration",IF(K473=AD473,"State CSR",IF(M473=AD473,"Board certification",IF(Q473=AD473,"Malpractice",IF(S473=AD473,"Life support",IF(W473=AD473,"CAQH re-attestation",IF(Y473=AD473,"Privileges reappointment","Payer recredentialing")))))))))</f>
        <v/>
      </c>
      <c r="AD473" s="25">
        <f>IF(OR(AND(LEN(G473)&gt;0,ISNUMBER(G473)=FALSE),AND(LEN(I473)&gt;0,ISNUMBER(I473)=FALSE),AND(LEN(K473)&gt;0,ISNUMBER(K473)=FALSE),AND(LEN(M473)&gt;0,ISNUMBER(M473)=FALSE),AND(LEN(Q473)&gt;0,ISNUMBER(Q473)=FALSE),AND(LEN(S473)&gt;0,ISNUMBER(S473)=FALSE),AND(LEN(Y473)&gt;0,ISNUMBER(Y473)=FALSE),AND(LEN(AA473)&gt;0,ISNUMBER(AA473)=FALSE),AND(LEN(U473)&gt;0,ISNUMBER(U473)=FALSE)),"Check date",IF(COUNT(G473,I473,K473,M473,Q473,S473,W473,Y473,AA473)=0,"",MIN(G473,I473,K473,M473,Q473,S473,W473,Y473,AA473)))</f>
        <v/>
      </c>
      <c r="AE473" s="25">
        <f>IF(ISNUMBER(AD473),AD473-IF(ISNUMBER(AB473),AB473,30),"")</f>
        <v/>
      </c>
      <c r="AF473" s="27">
        <f>IF(AD473="","",IF(ISNUMBER(AD473),AD473-TODAY(),"Check date"))</f>
        <v/>
      </c>
      <c r="AG473" s="28">
        <f>IF(AF473="","",IF(ISNUMBER(AF473),IF(AF473&lt;0,"Expired",IF(AF473&lt;=30,"Due ≤30 days",IF(AF473&lt;=90,"Due ≤90 days","OK"))),"Check date"))</f>
        <v/>
      </c>
      <c r="AH473" s="22" t="n"/>
      <c r="AI473" s="22" t="n"/>
      <c r="AJ473" s="22" t="n"/>
      <c r="AK473" s="22" t="n"/>
    </row>
    <row r="474">
      <c r="A474" s="22" t="n"/>
      <c r="B474" s="22" t="n"/>
      <c r="C474" s="22" t="n"/>
      <c r="D474" s="22" t="n"/>
      <c r="E474" s="22" t="n"/>
      <c r="F474" s="22" t="n"/>
      <c r="G474" s="23" t="n"/>
      <c r="H474" s="22" t="n"/>
      <c r="I474" s="23" t="n"/>
      <c r="J474" s="22" t="n"/>
      <c r="K474" s="23" t="n"/>
      <c r="L474" s="22" t="n"/>
      <c r="M474" s="23" t="n"/>
      <c r="N474" s="22" t="n"/>
      <c r="O474" s="22" t="n"/>
      <c r="P474" s="22" t="n"/>
      <c r="Q474" s="23" t="n"/>
      <c r="R474" s="22" t="n"/>
      <c r="S474" s="23" t="n"/>
      <c r="T474" s="22" t="n"/>
      <c r="U474" s="23" t="n"/>
      <c r="V474" s="24" t="n"/>
      <c r="W474" s="25">
        <f>IF(ISNUMBER(U474),U474+IF(ISNUMBER(V474),V474,120),"")</f>
        <v/>
      </c>
      <c r="X474" s="22" t="n"/>
      <c r="Y474" s="23" t="n"/>
      <c r="Z474" s="22" t="n"/>
      <c r="AA474" s="23" t="n"/>
      <c r="AB474" s="24" t="n"/>
      <c r="AC474" s="26">
        <f>IF(ISNUMBER(AD474)=FALSE,"",IF(G474=AD474,"State license",IF(I474=AD474,"DEA registration",IF(K474=AD474,"State CSR",IF(M474=AD474,"Board certification",IF(Q474=AD474,"Malpractice",IF(S474=AD474,"Life support",IF(W474=AD474,"CAQH re-attestation",IF(Y474=AD474,"Privileges reappointment","Payer recredentialing")))))))))</f>
        <v/>
      </c>
      <c r="AD474" s="25">
        <f>IF(OR(AND(LEN(G474)&gt;0,ISNUMBER(G474)=FALSE),AND(LEN(I474)&gt;0,ISNUMBER(I474)=FALSE),AND(LEN(K474)&gt;0,ISNUMBER(K474)=FALSE),AND(LEN(M474)&gt;0,ISNUMBER(M474)=FALSE),AND(LEN(Q474)&gt;0,ISNUMBER(Q474)=FALSE),AND(LEN(S474)&gt;0,ISNUMBER(S474)=FALSE),AND(LEN(Y474)&gt;0,ISNUMBER(Y474)=FALSE),AND(LEN(AA474)&gt;0,ISNUMBER(AA474)=FALSE),AND(LEN(U474)&gt;0,ISNUMBER(U474)=FALSE)),"Check date",IF(COUNT(G474,I474,K474,M474,Q474,S474,W474,Y474,AA474)=0,"",MIN(G474,I474,K474,M474,Q474,S474,W474,Y474,AA474)))</f>
        <v/>
      </c>
      <c r="AE474" s="25">
        <f>IF(ISNUMBER(AD474),AD474-IF(ISNUMBER(AB474),AB474,30),"")</f>
        <v/>
      </c>
      <c r="AF474" s="27">
        <f>IF(AD474="","",IF(ISNUMBER(AD474),AD474-TODAY(),"Check date"))</f>
        <v/>
      </c>
      <c r="AG474" s="28">
        <f>IF(AF474="","",IF(ISNUMBER(AF474),IF(AF474&lt;0,"Expired",IF(AF474&lt;=30,"Due ≤30 days",IF(AF474&lt;=90,"Due ≤90 days","OK"))),"Check date"))</f>
        <v/>
      </c>
      <c r="AH474" s="22" t="n"/>
      <c r="AI474" s="22" t="n"/>
      <c r="AJ474" s="22" t="n"/>
      <c r="AK474" s="22" t="n"/>
    </row>
    <row r="475">
      <c r="A475" s="22" t="n"/>
      <c r="B475" s="22" t="n"/>
      <c r="C475" s="22" t="n"/>
      <c r="D475" s="22" t="n"/>
      <c r="E475" s="22" t="n"/>
      <c r="F475" s="22" t="n"/>
      <c r="G475" s="23" t="n"/>
      <c r="H475" s="22" t="n"/>
      <c r="I475" s="23" t="n"/>
      <c r="J475" s="22" t="n"/>
      <c r="K475" s="23" t="n"/>
      <c r="L475" s="22" t="n"/>
      <c r="M475" s="23" t="n"/>
      <c r="N475" s="22" t="n"/>
      <c r="O475" s="22" t="n"/>
      <c r="P475" s="22" t="n"/>
      <c r="Q475" s="23" t="n"/>
      <c r="R475" s="22" t="n"/>
      <c r="S475" s="23" t="n"/>
      <c r="T475" s="22" t="n"/>
      <c r="U475" s="23" t="n"/>
      <c r="V475" s="24" t="n"/>
      <c r="W475" s="25">
        <f>IF(ISNUMBER(U475),U475+IF(ISNUMBER(V475),V475,120),"")</f>
        <v/>
      </c>
      <c r="X475" s="22" t="n"/>
      <c r="Y475" s="23" t="n"/>
      <c r="Z475" s="22" t="n"/>
      <c r="AA475" s="23" t="n"/>
      <c r="AB475" s="24" t="n"/>
      <c r="AC475" s="26">
        <f>IF(ISNUMBER(AD475)=FALSE,"",IF(G475=AD475,"State license",IF(I475=AD475,"DEA registration",IF(K475=AD475,"State CSR",IF(M475=AD475,"Board certification",IF(Q475=AD475,"Malpractice",IF(S475=AD475,"Life support",IF(W475=AD475,"CAQH re-attestation",IF(Y475=AD475,"Privileges reappointment","Payer recredentialing")))))))))</f>
        <v/>
      </c>
      <c r="AD475" s="25">
        <f>IF(OR(AND(LEN(G475)&gt;0,ISNUMBER(G475)=FALSE),AND(LEN(I475)&gt;0,ISNUMBER(I475)=FALSE),AND(LEN(K475)&gt;0,ISNUMBER(K475)=FALSE),AND(LEN(M475)&gt;0,ISNUMBER(M475)=FALSE),AND(LEN(Q475)&gt;0,ISNUMBER(Q475)=FALSE),AND(LEN(S475)&gt;0,ISNUMBER(S475)=FALSE),AND(LEN(Y475)&gt;0,ISNUMBER(Y475)=FALSE),AND(LEN(AA475)&gt;0,ISNUMBER(AA475)=FALSE),AND(LEN(U475)&gt;0,ISNUMBER(U475)=FALSE)),"Check date",IF(COUNT(G475,I475,K475,M475,Q475,S475,W475,Y475,AA475)=0,"",MIN(G475,I475,K475,M475,Q475,S475,W475,Y475,AA475)))</f>
        <v/>
      </c>
      <c r="AE475" s="25">
        <f>IF(ISNUMBER(AD475),AD475-IF(ISNUMBER(AB475),AB475,30),"")</f>
        <v/>
      </c>
      <c r="AF475" s="27">
        <f>IF(AD475="","",IF(ISNUMBER(AD475),AD475-TODAY(),"Check date"))</f>
        <v/>
      </c>
      <c r="AG475" s="28">
        <f>IF(AF475="","",IF(ISNUMBER(AF475),IF(AF475&lt;0,"Expired",IF(AF475&lt;=30,"Due ≤30 days",IF(AF475&lt;=90,"Due ≤90 days","OK"))),"Check date"))</f>
        <v/>
      </c>
      <c r="AH475" s="22" t="n"/>
      <c r="AI475" s="22" t="n"/>
      <c r="AJ475" s="22" t="n"/>
      <c r="AK475" s="22" t="n"/>
    </row>
    <row r="476">
      <c r="A476" s="22" t="n"/>
      <c r="B476" s="22" t="n"/>
      <c r="C476" s="22" t="n"/>
      <c r="D476" s="22" t="n"/>
      <c r="E476" s="22" t="n"/>
      <c r="F476" s="22" t="n"/>
      <c r="G476" s="23" t="n"/>
      <c r="H476" s="22" t="n"/>
      <c r="I476" s="23" t="n"/>
      <c r="J476" s="22" t="n"/>
      <c r="K476" s="23" t="n"/>
      <c r="L476" s="22" t="n"/>
      <c r="M476" s="23" t="n"/>
      <c r="N476" s="22" t="n"/>
      <c r="O476" s="22" t="n"/>
      <c r="P476" s="22" t="n"/>
      <c r="Q476" s="23" t="n"/>
      <c r="R476" s="22" t="n"/>
      <c r="S476" s="23" t="n"/>
      <c r="T476" s="22" t="n"/>
      <c r="U476" s="23" t="n"/>
      <c r="V476" s="24" t="n"/>
      <c r="W476" s="25">
        <f>IF(ISNUMBER(U476),U476+IF(ISNUMBER(V476),V476,120),"")</f>
        <v/>
      </c>
      <c r="X476" s="22" t="n"/>
      <c r="Y476" s="23" t="n"/>
      <c r="Z476" s="22" t="n"/>
      <c r="AA476" s="23" t="n"/>
      <c r="AB476" s="24" t="n"/>
      <c r="AC476" s="26">
        <f>IF(ISNUMBER(AD476)=FALSE,"",IF(G476=AD476,"State license",IF(I476=AD476,"DEA registration",IF(K476=AD476,"State CSR",IF(M476=AD476,"Board certification",IF(Q476=AD476,"Malpractice",IF(S476=AD476,"Life support",IF(W476=AD476,"CAQH re-attestation",IF(Y476=AD476,"Privileges reappointment","Payer recredentialing")))))))))</f>
        <v/>
      </c>
      <c r="AD476" s="25">
        <f>IF(OR(AND(LEN(G476)&gt;0,ISNUMBER(G476)=FALSE),AND(LEN(I476)&gt;0,ISNUMBER(I476)=FALSE),AND(LEN(K476)&gt;0,ISNUMBER(K476)=FALSE),AND(LEN(M476)&gt;0,ISNUMBER(M476)=FALSE),AND(LEN(Q476)&gt;0,ISNUMBER(Q476)=FALSE),AND(LEN(S476)&gt;0,ISNUMBER(S476)=FALSE),AND(LEN(Y476)&gt;0,ISNUMBER(Y476)=FALSE),AND(LEN(AA476)&gt;0,ISNUMBER(AA476)=FALSE),AND(LEN(U476)&gt;0,ISNUMBER(U476)=FALSE)),"Check date",IF(COUNT(G476,I476,K476,M476,Q476,S476,W476,Y476,AA476)=0,"",MIN(G476,I476,K476,M476,Q476,S476,W476,Y476,AA476)))</f>
        <v/>
      </c>
      <c r="AE476" s="25">
        <f>IF(ISNUMBER(AD476),AD476-IF(ISNUMBER(AB476),AB476,30),"")</f>
        <v/>
      </c>
      <c r="AF476" s="27">
        <f>IF(AD476="","",IF(ISNUMBER(AD476),AD476-TODAY(),"Check date"))</f>
        <v/>
      </c>
      <c r="AG476" s="28">
        <f>IF(AF476="","",IF(ISNUMBER(AF476),IF(AF476&lt;0,"Expired",IF(AF476&lt;=30,"Due ≤30 days",IF(AF476&lt;=90,"Due ≤90 days","OK"))),"Check date"))</f>
        <v/>
      </c>
      <c r="AH476" s="22" t="n"/>
      <c r="AI476" s="22" t="n"/>
      <c r="AJ476" s="22" t="n"/>
      <c r="AK476" s="22" t="n"/>
    </row>
    <row r="477">
      <c r="A477" s="22" t="n"/>
      <c r="B477" s="22" t="n"/>
      <c r="C477" s="22" t="n"/>
      <c r="D477" s="22" t="n"/>
      <c r="E477" s="22" t="n"/>
      <c r="F477" s="22" t="n"/>
      <c r="G477" s="23" t="n"/>
      <c r="H477" s="22" t="n"/>
      <c r="I477" s="23" t="n"/>
      <c r="J477" s="22" t="n"/>
      <c r="K477" s="23" t="n"/>
      <c r="L477" s="22" t="n"/>
      <c r="M477" s="23" t="n"/>
      <c r="N477" s="22" t="n"/>
      <c r="O477" s="22" t="n"/>
      <c r="P477" s="22" t="n"/>
      <c r="Q477" s="23" t="n"/>
      <c r="R477" s="22" t="n"/>
      <c r="S477" s="23" t="n"/>
      <c r="T477" s="22" t="n"/>
      <c r="U477" s="23" t="n"/>
      <c r="V477" s="24" t="n"/>
      <c r="W477" s="25">
        <f>IF(ISNUMBER(U477),U477+IF(ISNUMBER(V477),V477,120),"")</f>
        <v/>
      </c>
      <c r="X477" s="22" t="n"/>
      <c r="Y477" s="23" t="n"/>
      <c r="Z477" s="22" t="n"/>
      <c r="AA477" s="23" t="n"/>
      <c r="AB477" s="24" t="n"/>
      <c r="AC477" s="26">
        <f>IF(ISNUMBER(AD477)=FALSE,"",IF(G477=AD477,"State license",IF(I477=AD477,"DEA registration",IF(K477=AD477,"State CSR",IF(M477=AD477,"Board certification",IF(Q477=AD477,"Malpractice",IF(S477=AD477,"Life support",IF(W477=AD477,"CAQH re-attestation",IF(Y477=AD477,"Privileges reappointment","Payer recredentialing")))))))))</f>
        <v/>
      </c>
      <c r="AD477" s="25">
        <f>IF(OR(AND(LEN(G477)&gt;0,ISNUMBER(G477)=FALSE),AND(LEN(I477)&gt;0,ISNUMBER(I477)=FALSE),AND(LEN(K477)&gt;0,ISNUMBER(K477)=FALSE),AND(LEN(M477)&gt;0,ISNUMBER(M477)=FALSE),AND(LEN(Q477)&gt;0,ISNUMBER(Q477)=FALSE),AND(LEN(S477)&gt;0,ISNUMBER(S477)=FALSE),AND(LEN(Y477)&gt;0,ISNUMBER(Y477)=FALSE),AND(LEN(AA477)&gt;0,ISNUMBER(AA477)=FALSE),AND(LEN(U477)&gt;0,ISNUMBER(U477)=FALSE)),"Check date",IF(COUNT(G477,I477,K477,M477,Q477,S477,W477,Y477,AA477)=0,"",MIN(G477,I477,K477,M477,Q477,S477,W477,Y477,AA477)))</f>
        <v/>
      </c>
      <c r="AE477" s="25">
        <f>IF(ISNUMBER(AD477),AD477-IF(ISNUMBER(AB477),AB477,30),"")</f>
        <v/>
      </c>
      <c r="AF477" s="27">
        <f>IF(AD477="","",IF(ISNUMBER(AD477),AD477-TODAY(),"Check date"))</f>
        <v/>
      </c>
      <c r="AG477" s="28">
        <f>IF(AF477="","",IF(ISNUMBER(AF477),IF(AF477&lt;0,"Expired",IF(AF477&lt;=30,"Due ≤30 days",IF(AF477&lt;=90,"Due ≤90 days","OK"))),"Check date"))</f>
        <v/>
      </c>
      <c r="AH477" s="22" t="n"/>
      <c r="AI477" s="22" t="n"/>
      <c r="AJ477" s="22" t="n"/>
      <c r="AK477" s="22" t="n"/>
    </row>
    <row r="478">
      <c r="A478" s="22" t="n"/>
      <c r="B478" s="22" t="n"/>
      <c r="C478" s="22" t="n"/>
      <c r="D478" s="22" t="n"/>
      <c r="E478" s="22" t="n"/>
      <c r="F478" s="22" t="n"/>
      <c r="G478" s="23" t="n"/>
      <c r="H478" s="22" t="n"/>
      <c r="I478" s="23" t="n"/>
      <c r="J478" s="22" t="n"/>
      <c r="K478" s="23" t="n"/>
      <c r="L478" s="22" t="n"/>
      <c r="M478" s="23" t="n"/>
      <c r="N478" s="22" t="n"/>
      <c r="O478" s="22" t="n"/>
      <c r="P478" s="22" t="n"/>
      <c r="Q478" s="23" t="n"/>
      <c r="R478" s="22" t="n"/>
      <c r="S478" s="23" t="n"/>
      <c r="T478" s="22" t="n"/>
      <c r="U478" s="23" t="n"/>
      <c r="V478" s="24" t="n"/>
      <c r="W478" s="25">
        <f>IF(ISNUMBER(U478),U478+IF(ISNUMBER(V478),V478,120),"")</f>
        <v/>
      </c>
      <c r="X478" s="22" t="n"/>
      <c r="Y478" s="23" t="n"/>
      <c r="Z478" s="22" t="n"/>
      <c r="AA478" s="23" t="n"/>
      <c r="AB478" s="24" t="n"/>
      <c r="AC478" s="26">
        <f>IF(ISNUMBER(AD478)=FALSE,"",IF(G478=AD478,"State license",IF(I478=AD478,"DEA registration",IF(K478=AD478,"State CSR",IF(M478=AD478,"Board certification",IF(Q478=AD478,"Malpractice",IF(S478=AD478,"Life support",IF(W478=AD478,"CAQH re-attestation",IF(Y478=AD478,"Privileges reappointment","Payer recredentialing")))))))))</f>
        <v/>
      </c>
      <c r="AD478" s="25">
        <f>IF(OR(AND(LEN(G478)&gt;0,ISNUMBER(G478)=FALSE),AND(LEN(I478)&gt;0,ISNUMBER(I478)=FALSE),AND(LEN(K478)&gt;0,ISNUMBER(K478)=FALSE),AND(LEN(M478)&gt;0,ISNUMBER(M478)=FALSE),AND(LEN(Q478)&gt;0,ISNUMBER(Q478)=FALSE),AND(LEN(S478)&gt;0,ISNUMBER(S478)=FALSE),AND(LEN(Y478)&gt;0,ISNUMBER(Y478)=FALSE),AND(LEN(AA478)&gt;0,ISNUMBER(AA478)=FALSE),AND(LEN(U478)&gt;0,ISNUMBER(U478)=FALSE)),"Check date",IF(COUNT(G478,I478,K478,M478,Q478,S478,W478,Y478,AA478)=0,"",MIN(G478,I478,K478,M478,Q478,S478,W478,Y478,AA478)))</f>
        <v/>
      </c>
      <c r="AE478" s="25">
        <f>IF(ISNUMBER(AD478),AD478-IF(ISNUMBER(AB478),AB478,30),"")</f>
        <v/>
      </c>
      <c r="AF478" s="27">
        <f>IF(AD478="","",IF(ISNUMBER(AD478),AD478-TODAY(),"Check date"))</f>
        <v/>
      </c>
      <c r="AG478" s="28">
        <f>IF(AF478="","",IF(ISNUMBER(AF478),IF(AF478&lt;0,"Expired",IF(AF478&lt;=30,"Due ≤30 days",IF(AF478&lt;=90,"Due ≤90 days","OK"))),"Check date"))</f>
        <v/>
      </c>
      <c r="AH478" s="22" t="n"/>
      <c r="AI478" s="22" t="n"/>
      <c r="AJ478" s="22" t="n"/>
      <c r="AK478" s="22" t="n"/>
    </row>
    <row r="479">
      <c r="A479" s="22" t="n"/>
      <c r="B479" s="22" t="n"/>
      <c r="C479" s="22" t="n"/>
      <c r="D479" s="22" t="n"/>
      <c r="E479" s="22" t="n"/>
      <c r="F479" s="22" t="n"/>
      <c r="G479" s="23" t="n"/>
      <c r="H479" s="22" t="n"/>
      <c r="I479" s="23" t="n"/>
      <c r="J479" s="22" t="n"/>
      <c r="K479" s="23" t="n"/>
      <c r="L479" s="22" t="n"/>
      <c r="M479" s="23" t="n"/>
      <c r="N479" s="22" t="n"/>
      <c r="O479" s="22" t="n"/>
      <c r="P479" s="22" t="n"/>
      <c r="Q479" s="23" t="n"/>
      <c r="R479" s="22" t="n"/>
      <c r="S479" s="23" t="n"/>
      <c r="T479" s="22" t="n"/>
      <c r="U479" s="23" t="n"/>
      <c r="V479" s="24" t="n"/>
      <c r="W479" s="25">
        <f>IF(ISNUMBER(U479),U479+IF(ISNUMBER(V479),V479,120),"")</f>
        <v/>
      </c>
      <c r="X479" s="22" t="n"/>
      <c r="Y479" s="23" t="n"/>
      <c r="Z479" s="22" t="n"/>
      <c r="AA479" s="23" t="n"/>
      <c r="AB479" s="24" t="n"/>
      <c r="AC479" s="26">
        <f>IF(ISNUMBER(AD479)=FALSE,"",IF(G479=AD479,"State license",IF(I479=AD479,"DEA registration",IF(K479=AD479,"State CSR",IF(M479=AD479,"Board certification",IF(Q479=AD479,"Malpractice",IF(S479=AD479,"Life support",IF(W479=AD479,"CAQH re-attestation",IF(Y479=AD479,"Privileges reappointment","Payer recredentialing")))))))))</f>
        <v/>
      </c>
      <c r="AD479" s="25">
        <f>IF(OR(AND(LEN(G479)&gt;0,ISNUMBER(G479)=FALSE),AND(LEN(I479)&gt;0,ISNUMBER(I479)=FALSE),AND(LEN(K479)&gt;0,ISNUMBER(K479)=FALSE),AND(LEN(M479)&gt;0,ISNUMBER(M479)=FALSE),AND(LEN(Q479)&gt;0,ISNUMBER(Q479)=FALSE),AND(LEN(S479)&gt;0,ISNUMBER(S479)=FALSE),AND(LEN(Y479)&gt;0,ISNUMBER(Y479)=FALSE),AND(LEN(AA479)&gt;0,ISNUMBER(AA479)=FALSE),AND(LEN(U479)&gt;0,ISNUMBER(U479)=FALSE)),"Check date",IF(COUNT(G479,I479,K479,M479,Q479,S479,W479,Y479,AA479)=0,"",MIN(G479,I479,K479,M479,Q479,S479,W479,Y479,AA479)))</f>
        <v/>
      </c>
      <c r="AE479" s="25">
        <f>IF(ISNUMBER(AD479),AD479-IF(ISNUMBER(AB479),AB479,30),"")</f>
        <v/>
      </c>
      <c r="AF479" s="27">
        <f>IF(AD479="","",IF(ISNUMBER(AD479),AD479-TODAY(),"Check date"))</f>
        <v/>
      </c>
      <c r="AG479" s="28">
        <f>IF(AF479="","",IF(ISNUMBER(AF479),IF(AF479&lt;0,"Expired",IF(AF479&lt;=30,"Due ≤30 days",IF(AF479&lt;=90,"Due ≤90 days","OK"))),"Check date"))</f>
        <v/>
      </c>
      <c r="AH479" s="22" t="n"/>
      <c r="AI479" s="22" t="n"/>
      <c r="AJ479" s="22" t="n"/>
      <c r="AK479" s="22" t="n"/>
    </row>
    <row r="480">
      <c r="A480" s="22" t="n"/>
      <c r="B480" s="22" t="n"/>
      <c r="C480" s="22" t="n"/>
      <c r="D480" s="22" t="n"/>
      <c r="E480" s="22" t="n"/>
      <c r="F480" s="22" t="n"/>
      <c r="G480" s="23" t="n"/>
      <c r="H480" s="22" t="n"/>
      <c r="I480" s="23" t="n"/>
      <c r="J480" s="22" t="n"/>
      <c r="K480" s="23" t="n"/>
      <c r="L480" s="22" t="n"/>
      <c r="M480" s="23" t="n"/>
      <c r="N480" s="22" t="n"/>
      <c r="O480" s="22" t="n"/>
      <c r="P480" s="22" t="n"/>
      <c r="Q480" s="23" t="n"/>
      <c r="R480" s="22" t="n"/>
      <c r="S480" s="23" t="n"/>
      <c r="T480" s="22" t="n"/>
      <c r="U480" s="23" t="n"/>
      <c r="V480" s="24" t="n"/>
      <c r="W480" s="25">
        <f>IF(ISNUMBER(U480),U480+IF(ISNUMBER(V480),V480,120),"")</f>
        <v/>
      </c>
      <c r="X480" s="22" t="n"/>
      <c r="Y480" s="23" t="n"/>
      <c r="Z480" s="22" t="n"/>
      <c r="AA480" s="23" t="n"/>
      <c r="AB480" s="24" t="n"/>
      <c r="AC480" s="26">
        <f>IF(ISNUMBER(AD480)=FALSE,"",IF(G480=AD480,"State license",IF(I480=AD480,"DEA registration",IF(K480=AD480,"State CSR",IF(M480=AD480,"Board certification",IF(Q480=AD480,"Malpractice",IF(S480=AD480,"Life support",IF(W480=AD480,"CAQH re-attestation",IF(Y480=AD480,"Privileges reappointment","Payer recredentialing")))))))))</f>
        <v/>
      </c>
      <c r="AD480" s="25">
        <f>IF(OR(AND(LEN(G480)&gt;0,ISNUMBER(G480)=FALSE),AND(LEN(I480)&gt;0,ISNUMBER(I480)=FALSE),AND(LEN(K480)&gt;0,ISNUMBER(K480)=FALSE),AND(LEN(M480)&gt;0,ISNUMBER(M480)=FALSE),AND(LEN(Q480)&gt;0,ISNUMBER(Q480)=FALSE),AND(LEN(S480)&gt;0,ISNUMBER(S480)=FALSE),AND(LEN(Y480)&gt;0,ISNUMBER(Y480)=FALSE),AND(LEN(AA480)&gt;0,ISNUMBER(AA480)=FALSE),AND(LEN(U480)&gt;0,ISNUMBER(U480)=FALSE)),"Check date",IF(COUNT(G480,I480,K480,M480,Q480,S480,W480,Y480,AA480)=0,"",MIN(G480,I480,K480,M480,Q480,S480,W480,Y480,AA480)))</f>
        <v/>
      </c>
      <c r="AE480" s="25">
        <f>IF(ISNUMBER(AD480),AD480-IF(ISNUMBER(AB480),AB480,30),"")</f>
        <v/>
      </c>
      <c r="AF480" s="27">
        <f>IF(AD480="","",IF(ISNUMBER(AD480),AD480-TODAY(),"Check date"))</f>
        <v/>
      </c>
      <c r="AG480" s="28">
        <f>IF(AF480="","",IF(ISNUMBER(AF480),IF(AF480&lt;0,"Expired",IF(AF480&lt;=30,"Due ≤30 days",IF(AF480&lt;=90,"Due ≤90 days","OK"))),"Check date"))</f>
        <v/>
      </c>
      <c r="AH480" s="22" t="n"/>
      <c r="AI480" s="22" t="n"/>
      <c r="AJ480" s="22" t="n"/>
      <c r="AK480" s="22" t="n"/>
    </row>
    <row r="481">
      <c r="A481" s="22" t="n"/>
      <c r="B481" s="22" t="n"/>
      <c r="C481" s="22" t="n"/>
      <c r="D481" s="22" t="n"/>
      <c r="E481" s="22" t="n"/>
      <c r="F481" s="22" t="n"/>
      <c r="G481" s="23" t="n"/>
      <c r="H481" s="22" t="n"/>
      <c r="I481" s="23" t="n"/>
      <c r="J481" s="22" t="n"/>
      <c r="K481" s="23" t="n"/>
      <c r="L481" s="22" t="n"/>
      <c r="M481" s="23" t="n"/>
      <c r="N481" s="22" t="n"/>
      <c r="O481" s="22" t="n"/>
      <c r="P481" s="22" t="n"/>
      <c r="Q481" s="23" t="n"/>
      <c r="R481" s="22" t="n"/>
      <c r="S481" s="23" t="n"/>
      <c r="T481" s="22" t="n"/>
      <c r="U481" s="23" t="n"/>
      <c r="V481" s="24" t="n"/>
      <c r="W481" s="25">
        <f>IF(ISNUMBER(U481),U481+IF(ISNUMBER(V481),V481,120),"")</f>
        <v/>
      </c>
      <c r="X481" s="22" t="n"/>
      <c r="Y481" s="23" t="n"/>
      <c r="Z481" s="22" t="n"/>
      <c r="AA481" s="23" t="n"/>
      <c r="AB481" s="24" t="n"/>
      <c r="AC481" s="26">
        <f>IF(ISNUMBER(AD481)=FALSE,"",IF(G481=AD481,"State license",IF(I481=AD481,"DEA registration",IF(K481=AD481,"State CSR",IF(M481=AD481,"Board certification",IF(Q481=AD481,"Malpractice",IF(S481=AD481,"Life support",IF(W481=AD481,"CAQH re-attestation",IF(Y481=AD481,"Privileges reappointment","Payer recredentialing")))))))))</f>
        <v/>
      </c>
      <c r="AD481" s="25">
        <f>IF(OR(AND(LEN(G481)&gt;0,ISNUMBER(G481)=FALSE),AND(LEN(I481)&gt;0,ISNUMBER(I481)=FALSE),AND(LEN(K481)&gt;0,ISNUMBER(K481)=FALSE),AND(LEN(M481)&gt;0,ISNUMBER(M481)=FALSE),AND(LEN(Q481)&gt;0,ISNUMBER(Q481)=FALSE),AND(LEN(S481)&gt;0,ISNUMBER(S481)=FALSE),AND(LEN(Y481)&gt;0,ISNUMBER(Y481)=FALSE),AND(LEN(AA481)&gt;0,ISNUMBER(AA481)=FALSE),AND(LEN(U481)&gt;0,ISNUMBER(U481)=FALSE)),"Check date",IF(COUNT(G481,I481,K481,M481,Q481,S481,W481,Y481,AA481)=0,"",MIN(G481,I481,K481,M481,Q481,S481,W481,Y481,AA481)))</f>
        <v/>
      </c>
      <c r="AE481" s="25">
        <f>IF(ISNUMBER(AD481),AD481-IF(ISNUMBER(AB481),AB481,30),"")</f>
        <v/>
      </c>
      <c r="AF481" s="27">
        <f>IF(AD481="","",IF(ISNUMBER(AD481),AD481-TODAY(),"Check date"))</f>
        <v/>
      </c>
      <c r="AG481" s="28">
        <f>IF(AF481="","",IF(ISNUMBER(AF481),IF(AF481&lt;0,"Expired",IF(AF481&lt;=30,"Due ≤30 days",IF(AF481&lt;=90,"Due ≤90 days","OK"))),"Check date"))</f>
        <v/>
      </c>
      <c r="AH481" s="22" t="n"/>
      <c r="AI481" s="22" t="n"/>
      <c r="AJ481" s="22" t="n"/>
      <c r="AK481" s="22" t="n"/>
    </row>
    <row r="482">
      <c r="A482" s="22" t="n"/>
      <c r="B482" s="22" t="n"/>
      <c r="C482" s="22" t="n"/>
      <c r="D482" s="22" t="n"/>
      <c r="E482" s="22" t="n"/>
      <c r="F482" s="22" t="n"/>
      <c r="G482" s="23" t="n"/>
      <c r="H482" s="22" t="n"/>
      <c r="I482" s="23" t="n"/>
      <c r="J482" s="22" t="n"/>
      <c r="K482" s="23" t="n"/>
      <c r="L482" s="22" t="n"/>
      <c r="M482" s="23" t="n"/>
      <c r="N482" s="22" t="n"/>
      <c r="O482" s="22" t="n"/>
      <c r="P482" s="22" t="n"/>
      <c r="Q482" s="23" t="n"/>
      <c r="R482" s="22" t="n"/>
      <c r="S482" s="23" t="n"/>
      <c r="T482" s="22" t="n"/>
      <c r="U482" s="23" t="n"/>
      <c r="V482" s="24" t="n"/>
      <c r="W482" s="25">
        <f>IF(ISNUMBER(U482),U482+IF(ISNUMBER(V482),V482,120),"")</f>
        <v/>
      </c>
      <c r="X482" s="22" t="n"/>
      <c r="Y482" s="23" t="n"/>
      <c r="Z482" s="22" t="n"/>
      <c r="AA482" s="23" t="n"/>
      <c r="AB482" s="24" t="n"/>
      <c r="AC482" s="26">
        <f>IF(ISNUMBER(AD482)=FALSE,"",IF(G482=AD482,"State license",IF(I482=AD482,"DEA registration",IF(K482=AD482,"State CSR",IF(M482=AD482,"Board certification",IF(Q482=AD482,"Malpractice",IF(S482=AD482,"Life support",IF(W482=AD482,"CAQH re-attestation",IF(Y482=AD482,"Privileges reappointment","Payer recredentialing")))))))))</f>
        <v/>
      </c>
      <c r="AD482" s="25">
        <f>IF(OR(AND(LEN(G482)&gt;0,ISNUMBER(G482)=FALSE),AND(LEN(I482)&gt;0,ISNUMBER(I482)=FALSE),AND(LEN(K482)&gt;0,ISNUMBER(K482)=FALSE),AND(LEN(M482)&gt;0,ISNUMBER(M482)=FALSE),AND(LEN(Q482)&gt;0,ISNUMBER(Q482)=FALSE),AND(LEN(S482)&gt;0,ISNUMBER(S482)=FALSE),AND(LEN(Y482)&gt;0,ISNUMBER(Y482)=FALSE),AND(LEN(AA482)&gt;0,ISNUMBER(AA482)=FALSE),AND(LEN(U482)&gt;0,ISNUMBER(U482)=FALSE)),"Check date",IF(COUNT(G482,I482,K482,M482,Q482,S482,W482,Y482,AA482)=0,"",MIN(G482,I482,K482,M482,Q482,S482,W482,Y482,AA482)))</f>
        <v/>
      </c>
      <c r="AE482" s="25">
        <f>IF(ISNUMBER(AD482),AD482-IF(ISNUMBER(AB482),AB482,30),"")</f>
        <v/>
      </c>
      <c r="AF482" s="27">
        <f>IF(AD482="","",IF(ISNUMBER(AD482),AD482-TODAY(),"Check date"))</f>
        <v/>
      </c>
      <c r="AG482" s="28">
        <f>IF(AF482="","",IF(ISNUMBER(AF482),IF(AF482&lt;0,"Expired",IF(AF482&lt;=30,"Due ≤30 days",IF(AF482&lt;=90,"Due ≤90 days","OK"))),"Check date"))</f>
        <v/>
      </c>
      <c r="AH482" s="22" t="n"/>
      <c r="AI482" s="22" t="n"/>
      <c r="AJ482" s="22" t="n"/>
      <c r="AK482" s="22" t="n"/>
    </row>
    <row r="483">
      <c r="A483" s="22" t="n"/>
      <c r="B483" s="22" t="n"/>
      <c r="C483" s="22" t="n"/>
      <c r="D483" s="22" t="n"/>
      <c r="E483" s="22" t="n"/>
      <c r="F483" s="22" t="n"/>
      <c r="G483" s="23" t="n"/>
      <c r="H483" s="22" t="n"/>
      <c r="I483" s="23" t="n"/>
      <c r="J483" s="22" t="n"/>
      <c r="K483" s="23" t="n"/>
      <c r="L483" s="22" t="n"/>
      <c r="M483" s="23" t="n"/>
      <c r="N483" s="22" t="n"/>
      <c r="O483" s="22" t="n"/>
      <c r="P483" s="22" t="n"/>
      <c r="Q483" s="23" t="n"/>
      <c r="R483" s="22" t="n"/>
      <c r="S483" s="23" t="n"/>
      <c r="T483" s="22" t="n"/>
      <c r="U483" s="23" t="n"/>
      <c r="V483" s="24" t="n"/>
      <c r="W483" s="25">
        <f>IF(ISNUMBER(U483),U483+IF(ISNUMBER(V483),V483,120),"")</f>
        <v/>
      </c>
      <c r="X483" s="22" t="n"/>
      <c r="Y483" s="23" t="n"/>
      <c r="Z483" s="22" t="n"/>
      <c r="AA483" s="23" t="n"/>
      <c r="AB483" s="24" t="n"/>
      <c r="AC483" s="26">
        <f>IF(ISNUMBER(AD483)=FALSE,"",IF(G483=AD483,"State license",IF(I483=AD483,"DEA registration",IF(K483=AD483,"State CSR",IF(M483=AD483,"Board certification",IF(Q483=AD483,"Malpractice",IF(S483=AD483,"Life support",IF(W483=AD483,"CAQH re-attestation",IF(Y483=AD483,"Privileges reappointment","Payer recredentialing")))))))))</f>
        <v/>
      </c>
      <c r="AD483" s="25">
        <f>IF(OR(AND(LEN(G483)&gt;0,ISNUMBER(G483)=FALSE),AND(LEN(I483)&gt;0,ISNUMBER(I483)=FALSE),AND(LEN(K483)&gt;0,ISNUMBER(K483)=FALSE),AND(LEN(M483)&gt;0,ISNUMBER(M483)=FALSE),AND(LEN(Q483)&gt;0,ISNUMBER(Q483)=FALSE),AND(LEN(S483)&gt;0,ISNUMBER(S483)=FALSE),AND(LEN(Y483)&gt;0,ISNUMBER(Y483)=FALSE),AND(LEN(AA483)&gt;0,ISNUMBER(AA483)=FALSE),AND(LEN(U483)&gt;0,ISNUMBER(U483)=FALSE)),"Check date",IF(COUNT(G483,I483,K483,M483,Q483,S483,W483,Y483,AA483)=0,"",MIN(G483,I483,K483,M483,Q483,S483,W483,Y483,AA483)))</f>
        <v/>
      </c>
      <c r="AE483" s="25">
        <f>IF(ISNUMBER(AD483),AD483-IF(ISNUMBER(AB483),AB483,30),"")</f>
        <v/>
      </c>
      <c r="AF483" s="27">
        <f>IF(AD483="","",IF(ISNUMBER(AD483),AD483-TODAY(),"Check date"))</f>
        <v/>
      </c>
      <c r="AG483" s="28">
        <f>IF(AF483="","",IF(ISNUMBER(AF483),IF(AF483&lt;0,"Expired",IF(AF483&lt;=30,"Due ≤30 days",IF(AF483&lt;=90,"Due ≤90 days","OK"))),"Check date"))</f>
        <v/>
      </c>
      <c r="AH483" s="22" t="n"/>
      <c r="AI483" s="22" t="n"/>
      <c r="AJ483" s="22" t="n"/>
      <c r="AK483" s="22" t="n"/>
    </row>
    <row r="484">
      <c r="A484" s="22" t="n"/>
      <c r="B484" s="22" t="n"/>
      <c r="C484" s="22" t="n"/>
      <c r="D484" s="22" t="n"/>
      <c r="E484" s="22" t="n"/>
      <c r="F484" s="22" t="n"/>
      <c r="G484" s="23" t="n"/>
      <c r="H484" s="22" t="n"/>
      <c r="I484" s="23" t="n"/>
      <c r="J484" s="22" t="n"/>
      <c r="K484" s="23" t="n"/>
      <c r="L484" s="22" t="n"/>
      <c r="M484" s="23" t="n"/>
      <c r="N484" s="22" t="n"/>
      <c r="O484" s="22" t="n"/>
      <c r="P484" s="22" t="n"/>
      <c r="Q484" s="23" t="n"/>
      <c r="R484" s="22" t="n"/>
      <c r="S484" s="23" t="n"/>
      <c r="T484" s="22" t="n"/>
      <c r="U484" s="23" t="n"/>
      <c r="V484" s="24" t="n"/>
      <c r="W484" s="25">
        <f>IF(ISNUMBER(U484),U484+IF(ISNUMBER(V484),V484,120),"")</f>
        <v/>
      </c>
      <c r="X484" s="22" t="n"/>
      <c r="Y484" s="23" t="n"/>
      <c r="Z484" s="22" t="n"/>
      <c r="AA484" s="23" t="n"/>
      <c r="AB484" s="24" t="n"/>
      <c r="AC484" s="26">
        <f>IF(ISNUMBER(AD484)=FALSE,"",IF(G484=AD484,"State license",IF(I484=AD484,"DEA registration",IF(K484=AD484,"State CSR",IF(M484=AD484,"Board certification",IF(Q484=AD484,"Malpractice",IF(S484=AD484,"Life support",IF(W484=AD484,"CAQH re-attestation",IF(Y484=AD484,"Privileges reappointment","Payer recredentialing")))))))))</f>
        <v/>
      </c>
      <c r="AD484" s="25">
        <f>IF(OR(AND(LEN(G484)&gt;0,ISNUMBER(G484)=FALSE),AND(LEN(I484)&gt;0,ISNUMBER(I484)=FALSE),AND(LEN(K484)&gt;0,ISNUMBER(K484)=FALSE),AND(LEN(M484)&gt;0,ISNUMBER(M484)=FALSE),AND(LEN(Q484)&gt;0,ISNUMBER(Q484)=FALSE),AND(LEN(S484)&gt;0,ISNUMBER(S484)=FALSE),AND(LEN(Y484)&gt;0,ISNUMBER(Y484)=FALSE),AND(LEN(AA484)&gt;0,ISNUMBER(AA484)=FALSE),AND(LEN(U484)&gt;0,ISNUMBER(U484)=FALSE)),"Check date",IF(COUNT(G484,I484,K484,M484,Q484,S484,W484,Y484,AA484)=0,"",MIN(G484,I484,K484,M484,Q484,S484,W484,Y484,AA484)))</f>
        <v/>
      </c>
      <c r="AE484" s="25">
        <f>IF(ISNUMBER(AD484),AD484-IF(ISNUMBER(AB484),AB484,30),"")</f>
        <v/>
      </c>
      <c r="AF484" s="27">
        <f>IF(AD484="","",IF(ISNUMBER(AD484),AD484-TODAY(),"Check date"))</f>
        <v/>
      </c>
      <c r="AG484" s="28">
        <f>IF(AF484="","",IF(ISNUMBER(AF484),IF(AF484&lt;0,"Expired",IF(AF484&lt;=30,"Due ≤30 days",IF(AF484&lt;=90,"Due ≤90 days","OK"))),"Check date"))</f>
        <v/>
      </c>
      <c r="AH484" s="22" t="n"/>
      <c r="AI484" s="22" t="n"/>
      <c r="AJ484" s="22" t="n"/>
      <c r="AK484" s="22" t="n"/>
    </row>
    <row r="485">
      <c r="A485" s="22" t="n"/>
      <c r="B485" s="22" t="n"/>
      <c r="C485" s="22" t="n"/>
      <c r="D485" s="22" t="n"/>
      <c r="E485" s="22" t="n"/>
      <c r="F485" s="22" t="n"/>
      <c r="G485" s="23" t="n"/>
      <c r="H485" s="22" t="n"/>
      <c r="I485" s="23" t="n"/>
      <c r="J485" s="22" t="n"/>
      <c r="K485" s="23" t="n"/>
      <c r="L485" s="22" t="n"/>
      <c r="M485" s="23" t="n"/>
      <c r="N485" s="22" t="n"/>
      <c r="O485" s="22" t="n"/>
      <c r="P485" s="22" t="n"/>
      <c r="Q485" s="23" t="n"/>
      <c r="R485" s="22" t="n"/>
      <c r="S485" s="23" t="n"/>
      <c r="T485" s="22" t="n"/>
      <c r="U485" s="23" t="n"/>
      <c r="V485" s="24" t="n"/>
      <c r="W485" s="25">
        <f>IF(ISNUMBER(U485),U485+IF(ISNUMBER(V485),V485,120),"")</f>
        <v/>
      </c>
      <c r="X485" s="22" t="n"/>
      <c r="Y485" s="23" t="n"/>
      <c r="Z485" s="22" t="n"/>
      <c r="AA485" s="23" t="n"/>
      <c r="AB485" s="24" t="n"/>
      <c r="AC485" s="26">
        <f>IF(ISNUMBER(AD485)=FALSE,"",IF(G485=AD485,"State license",IF(I485=AD485,"DEA registration",IF(K485=AD485,"State CSR",IF(M485=AD485,"Board certification",IF(Q485=AD485,"Malpractice",IF(S485=AD485,"Life support",IF(W485=AD485,"CAQH re-attestation",IF(Y485=AD485,"Privileges reappointment","Payer recredentialing")))))))))</f>
        <v/>
      </c>
      <c r="AD485" s="25">
        <f>IF(OR(AND(LEN(G485)&gt;0,ISNUMBER(G485)=FALSE),AND(LEN(I485)&gt;0,ISNUMBER(I485)=FALSE),AND(LEN(K485)&gt;0,ISNUMBER(K485)=FALSE),AND(LEN(M485)&gt;0,ISNUMBER(M485)=FALSE),AND(LEN(Q485)&gt;0,ISNUMBER(Q485)=FALSE),AND(LEN(S485)&gt;0,ISNUMBER(S485)=FALSE),AND(LEN(Y485)&gt;0,ISNUMBER(Y485)=FALSE),AND(LEN(AA485)&gt;0,ISNUMBER(AA485)=FALSE),AND(LEN(U485)&gt;0,ISNUMBER(U485)=FALSE)),"Check date",IF(COUNT(G485,I485,K485,M485,Q485,S485,W485,Y485,AA485)=0,"",MIN(G485,I485,K485,M485,Q485,S485,W485,Y485,AA485)))</f>
        <v/>
      </c>
      <c r="AE485" s="25">
        <f>IF(ISNUMBER(AD485),AD485-IF(ISNUMBER(AB485),AB485,30),"")</f>
        <v/>
      </c>
      <c r="AF485" s="27">
        <f>IF(AD485="","",IF(ISNUMBER(AD485),AD485-TODAY(),"Check date"))</f>
        <v/>
      </c>
      <c r="AG485" s="28">
        <f>IF(AF485="","",IF(ISNUMBER(AF485),IF(AF485&lt;0,"Expired",IF(AF485&lt;=30,"Due ≤30 days",IF(AF485&lt;=90,"Due ≤90 days","OK"))),"Check date"))</f>
        <v/>
      </c>
      <c r="AH485" s="22" t="n"/>
      <c r="AI485" s="22" t="n"/>
      <c r="AJ485" s="22" t="n"/>
      <c r="AK485" s="22" t="n"/>
    </row>
    <row r="486">
      <c r="A486" s="22" t="n"/>
      <c r="B486" s="22" t="n"/>
      <c r="C486" s="22" t="n"/>
      <c r="D486" s="22" t="n"/>
      <c r="E486" s="22" t="n"/>
      <c r="F486" s="22" t="n"/>
      <c r="G486" s="23" t="n"/>
      <c r="H486" s="22" t="n"/>
      <c r="I486" s="23" t="n"/>
      <c r="J486" s="22" t="n"/>
      <c r="K486" s="23" t="n"/>
      <c r="L486" s="22" t="n"/>
      <c r="M486" s="23" t="n"/>
      <c r="N486" s="22" t="n"/>
      <c r="O486" s="22" t="n"/>
      <c r="P486" s="22" t="n"/>
      <c r="Q486" s="23" t="n"/>
      <c r="R486" s="22" t="n"/>
      <c r="S486" s="23" t="n"/>
      <c r="T486" s="22" t="n"/>
      <c r="U486" s="23" t="n"/>
      <c r="V486" s="24" t="n"/>
      <c r="W486" s="25">
        <f>IF(ISNUMBER(U486),U486+IF(ISNUMBER(V486),V486,120),"")</f>
        <v/>
      </c>
      <c r="X486" s="22" t="n"/>
      <c r="Y486" s="23" t="n"/>
      <c r="Z486" s="22" t="n"/>
      <c r="AA486" s="23" t="n"/>
      <c r="AB486" s="24" t="n"/>
      <c r="AC486" s="26">
        <f>IF(ISNUMBER(AD486)=FALSE,"",IF(G486=AD486,"State license",IF(I486=AD486,"DEA registration",IF(K486=AD486,"State CSR",IF(M486=AD486,"Board certification",IF(Q486=AD486,"Malpractice",IF(S486=AD486,"Life support",IF(W486=AD486,"CAQH re-attestation",IF(Y486=AD486,"Privileges reappointment","Payer recredentialing")))))))))</f>
        <v/>
      </c>
      <c r="AD486" s="25">
        <f>IF(OR(AND(LEN(G486)&gt;0,ISNUMBER(G486)=FALSE),AND(LEN(I486)&gt;0,ISNUMBER(I486)=FALSE),AND(LEN(K486)&gt;0,ISNUMBER(K486)=FALSE),AND(LEN(M486)&gt;0,ISNUMBER(M486)=FALSE),AND(LEN(Q486)&gt;0,ISNUMBER(Q486)=FALSE),AND(LEN(S486)&gt;0,ISNUMBER(S486)=FALSE),AND(LEN(Y486)&gt;0,ISNUMBER(Y486)=FALSE),AND(LEN(AA486)&gt;0,ISNUMBER(AA486)=FALSE),AND(LEN(U486)&gt;0,ISNUMBER(U486)=FALSE)),"Check date",IF(COUNT(G486,I486,K486,M486,Q486,S486,W486,Y486,AA486)=0,"",MIN(G486,I486,K486,M486,Q486,S486,W486,Y486,AA486)))</f>
        <v/>
      </c>
      <c r="AE486" s="25">
        <f>IF(ISNUMBER(AD486),AD486-IF(ISNUMBER(AB486),AB486,30),"")</f>
        <v/>
      </c>
      <c r="AF486" s="27">
        <f>IF(AD486="","",IF(ISNUMBER(AD486),AD486-TODAY(),"Check date"))</f>
        <v/>
      </c>
      <c r="AG486" s="28">
        <f>IF(AF486="","",IF(ISNUMBER(AF486),IF(AF486&lt;0,"Expired",IF(AF486&lt;=30,"Due ≤30 days",IF(AF486&lt;=90,"Due ≤90 days","OK"))),"Check date"))</f>
        <v/>
      </c>
      <c r="AH486" s="22" t="n"/>
      <c r="AI486" s="22" t="n"/>
      <c r="AJ486" s="22" t="n"/>
      <c r="AK486" s="22" t="n"/>
    </row>
    <row r="487">
      <c r="A487" s="22" t="n"/>
      <c r="B487" s="22" t="n"/>
      <c r="C487" s="22" t="n"/>
      <c r="D487" s="22" t="n"/>
      <c r="E487" s="22" t="n"/>
      <c r="F487" s="22" t="n"/>
      <c r="G487" s="23" t="n"/>
      <c r="H487" s="22" t="n"/>
      <c r="I487" s="23" t="n"/>
      <c r="J487" s="22" t="n"/>
      <c r="K487" s="23" t="n"/>
      <c r="L487" s="22" t="n"/>
      <c r="M487" s="23" t="n"/>
      <c r="N487" s="22" t="n"/>
      <c r="O487" s="22" t="n"/>
      <c r="P487" s="22" t="n"/>
      <c r="Q487" s="23" t="n"/>
      <c r="R487" s="22" t="n"/>
      <c r="S487" s="23" t="n"/>
      <c r="T487" s="22" t="n"/>
      <c r="U487" s="23" t="n"/>
      <c r="V487" s="24" t="n"/>
      <c r="W487" s="25">
        <f>IF(ISNUMBER(U487),U487+IF(ISNUMBER(V487),V487,120),"")</f>
        <v/>
      </c>
      <c r="X487" s="22" t="n"/>
      <c r="Y487" s="23" t="n"/>
      <c r="Z487" s="22" t="n"/>
      <c r="AA487" s="23" t="n"/>
      <c r="AB487" s="24" t="n"/>
      <c r="AC487" s="26">
        <f>IF(ISNUMBER(AD487)=FALSE,"",IF(G487=AD487,"State license",IF(I487=AD487,"DEA registration",IF(K487=AD487,"State CSR",IF(M487=AD487,"Board certification",IF(Q487=AD487,"Malpractice",IF(S487=AD487,"Life support",IF(W487=AD487,"CAQH re-attestation",IF(Y487=AD487,"Privileges reappointment","Payer recredentialing")))))))))</f>
        <v/>
      </c>
      <c r="AD487" s="25">
        <f>IF(OR(AND(LEN(G487)&gt;0,ISNUMBER(G487)=FALSE),AND(LEN(I487)&gt;0,ISNUMBER(I487)=FALSE),AND(LEN(K487)&gt;0,ISNUMBER(K487)=FALSE),AND(LEN(M487)&gt;0,ISNUMBER(M487)=FALSE),AND(LEN(Q487)&gt;0,ISNUMBER(Q487)=FALSE),AND(LEN(S487)&gt;0,ISNUMBER(S487)=FALSE),AND(LEN(Y487)&gt;0,ISNUMBER(Y487)=FALSE),AND(LEN(AA487)&gt;0,ISNUMBER(AA487)=FALSE),AND(LEN(U487)&gt;0,ISNUMBER(U487)=FALSE)),"Check date",IF(COUNT(G487,I487,K487,M487,Q487,S487,W487,Y487,AA487)=0,"",MIN(G487,I487,K487,M487,Q487,S487,W487,Y487,AA487)))</f>
        <v/>
      </c>
      <c r="AE487" s="25">
        <f>IF(ISNUMBER(AD487),AD487-IF(ISNUMBER(AB487),AB487,30),"")</f>
        <v/>
      </c>
      <c r="AF487" s="27">
        <f>IF(AD487="","",IF(ISNUMBER(AD487),AD487-TODAY(),"Check date"))</f>
        <v/>
      </c>
      <c r="AG487" s="28">
        <f>IF(AF487="","",IF(ISNUMBER(AF487),IF(AF487&lt;0,"Expired",IF(AF487&lt;=30,"Due ≤30 days",IF(AF487&lt;=90,"Due ≤90 days","OK"))),"Check date"))</f>
        <v/>
      </c>
      <c r="AH487" s="22" t="n"/>
      <c r="AI487" s="22" t="n"/>
      <c r="AJ487" s="22" t="n"/>
      <c r="AK487" s="22" t="n"/>
    </row>
    <row r="488">
      <c r="A488" s="22" t="n"/>
      <c r="B488" s="22" t="n"/>
      <c r="C488" s="22" t="n"/>
      <c r="D488" s="22" t="n"/>
      <c r="E488" s="22" t="n"/>
      <c r="F488" s="22" t="n"/>
      <c r="G488" s="23" t="n"/>
      <c r="H488" s="22" t="n"/>
      <c r="I488" s="23" t="n"/>
      <c r="J488" s="22" t="n"/>
      <c r="K488" s="23" t="n"/>
      <c r="L488" s="22" t="n"/>
      <c r="M488" s="23" t="n"/>
      <c r="N488" s="22" t="n"/>
      <c r="O488" s="22" t="n"/>
      <c r="P488" s="22" t="n"/>
      <c r="Q488" s="23" t="n"/>
      <c r="R488" s="22" t="n"/>
      <c r="S488" s="23" t="n"/>
      <c r="T488" s="22" t="n"/>
      <c r="U488" s="23" t="n"/>
      <c r="V488" s="24" t="n"/>
      <c r="W488" s="25">
        <f>IF(ISNUMBER(U488),U488+IF(ISNUMBER(V488),V488,120),"")</f>
        <v/>
      </c>
      <c r="X488" s="22" t="n"/>
      <c r="Y488" s="23" t="n"/>
      <c r="Z488" s="22" t="n"/>
      <c r="AA488" s="23" t="n"/>
      <c r="AB488" s="24" t="n"/>
      <c r="AC488" s="26">
        <f>IF(ISNUMBER(AD488)=FALSE,"",IF(G488=AD488,"State license",IF(I488=AD488,"DEA registration",IF(K488=AD488,"State CSR",IF(M488=AD488,"Board certification",IF(Q488=AD488,"Malpractice",IF(S488=AD488,"Life support",IF(W488=AD488,"CAQH re-attestation",IF(Y488=AD488,"Privileges reappointment","Payer recredentialing")))))))))</f>
        <v/>
      </c>
      <c r="AD488" s="25">
        <f>IF(OR(AND(LEN(G488)&gt;0,ISNUMBER(G488)=FALSE),AND(LEN(I488)&gt;0,ISNUMBER(I488)=FALSE),AND(LEN(K488)&gt;0,ISNUMBER(K488)=FALSE),AND(LEN(M488)&gt;0,ISNUMBER(M488)=FALSE),AND(LEN(Q488)&gt;0,ISNUMBER(Q488)=FALSE),AND(LEN(S488)&gt;0,ISNUMBER(S488)=FALSE),AND(LEN(Y488)&gt;0,ISNUMBER(Y488)=FALSE),AND(LEN(AA488)&gt;0,ISNUMBER(AA488)=FALSE),AND(LEN(U488)&gt;0,ISNUMBER(U488)=FALSE)),"Check date",IF(COUNT(G488,I488,K488,M488,Q488,S488,W488,Y488,AA488)=0,"",MIN(G488,I488,K488,M488,Q488,S488,W488,Y488,AA488)))</f>
        <v/>
      </c>
      <c r="AE488" s="25">
        <f>IF(ISNUMBER(AD488),AD488-IF(ISNUMBER(AB488),AB488,30),"")</f>
        <v/>
      </c>
      <c r="AF488" s="27">
        <f>IF(AD488="","",IF(ISNUMBER(AD488),AD488-TODAY(),"Check date"))</f>
        <v/>
      </c>
      <c r="AG488" s="28">
        <f>IF(AF488="","",IF(ISNUMBER(AF488),IF(AF488&lt;0,"Expired",IF(AF488&lt;=30,"Due ≤30 days",IF(AF488&lt;=90,"Due ≤90 days","OK"))),"Check date"))</f>
        <v/>
      </c>
      <c r="AH488" s="22" t="n"/>
      <c r="AI488" s="22" t="n"/>
      <c r="AJ488" s="22" t="n"/>
      <c r="AK488" s="22" t="n"/>
    </row>
    <row r="489">
      <c r="A489" s="22" t="n"/>
      <c r="B489" s="22" t="n"/>
      <c r="C489" s="22" t="n"/>
      <c r="D489" s="22" t="n"/>
      <c r="E489" s="22" t="n"/>
      <c r="F489" s="22" t="n"/>
      <c r="G489" s="23" t="n"/>
      <c r="H489" s="22" t="n"/>
      <c r="I489" s="23" t="n"/>
      <c r="J489" s="22" t="n"/>
      <c r="K489" s="23" t="n"/>
      <c r="L489" s="22" t="n"/>
      <c r="M489" s="23" t="n"/>
      <c r="N489" s="22" t="n"/>
      <c r="O489" s="22" t="n"/>
      <c r="P489" s="22" t="n"/>
      <c r="Q489" s="23" t="n"/>
      <c r="R489" s="22" t="n"/>
      <c r="S489" s="23" t="n"/>
      <c r="T489" s="22" t="n"/>
      <c r="U489" s="23" t="n"/>
      <c r="V489" s="24" t="n"/>
      <c r="W489" s="25">
        <f>IF(ISNUMBER(U489),U489+IF(ISNUMBER(V489),V489,120),"")</f>
        <v/>
      </c>
      <c r="X489" s="22" t="n"/>
      <c r="Y489" s="23" t="n"/>
      <c r="Z489" s="22" t="n"/>
      <c r="AA489" s="23" t="n"/>
      <c r="AB489" s="24" t="n"/>
      <c r="AC489" s="26">
        <f>IF(ISNUMBER(AD489)=FALSE,"",IF(G489=AD489,"State license",IF(I489=AD489,"DEA registration",IF(K489=AD489,"State CSR",IF(M489=AD489,"Board certification",IF(Q489=AD489,"Malpractice",IF(S489=AD489,"Life support",IF(W489=AD489,"CAQH re-attestation",IF(Y489=AD489,"Privileges reappointment","Payer recredentialing")))))))))</f>
        <v/>
      </c>
      <c r="AD489" s="25">
        <f>IF(OR(AND(LEN(G489)&gt;0,ISNUMBER(G489)=FALSE),AND(LEN(I489)&gt;0,ISNUMBER(I489)=FALSE),AND(LEN(K489)&gt;0,ISNUMBER(K489)=FALSE),AND(LEN(M489)&gt;0,ISNUMBER(M489)=FALSE),AND(LEN(Q489)&gt;0,ISNUMBER(Q489)=FALSE),AND(LEN(S489)&gt;0,ISNUMBER(S489)=FALSE),AND(LEN(Y489)&gt;0,ISNUMBER(Y489)=FALSE),AND(LEN(AA489)&gt;0,ISNUMBER(AA489)=FALSE),AND(LEN(U489)&gt;0,ISNUMBER(U489)=FALSE)),"Check date",IF(COUNT(G489,I489,K489,M489,Q489,S489,W489,Y489,AA489)=0,"",MIN(G489,I489,K489,M489,Q489,S489,W489,Y489,AA489)))</f>
        <v/>
      </c>
      <c r="AE489" s="25">
        <f>IF(ISNUMBER(AD489),AD489-IF(ISNUMBER(AB489),AB489,30),"")</f>
        <v/>
      </c>
      <c r="AF489" s="27">
        <f>IF(AD489="","",IF(ISNUMBER(AD489),AD489-TODAY(),"Check date"))</f>
        <v/>
      </c>
      <c r="AG489" s="28">
        <f>IF(AF489="","",IF(ISNUMBER(AF489),IF(AF489&lt;0,"Expired",IF(AF489&lt;=30,"Due ≤30 days",IF(AF489&lt;=90,"Due ≤90 days","OK"))),"Check date"))</f>
        <v/>
      </c>
      <c r="AH489" s="22" t="n"/>
      <c r="AI489" s="22" t="n"/>
      <c r="AJ489" s="22" t="n"/>
      <c r="AK489" s="22" t="n"/>
    </row>
    <row r="490">
      <c r="A490" s="22" t="n"/>
      <c r="B490" s="22" t="n"/>
      <c r="C490" s="22" t="n"/>
      <c r="D490" s="22" t="n"/>
      <c r="E490" s="22" t="n"/>
      <c r="F490" s="22" t="n"/>
      <c r="G490" s="23" t="n"/>
      <c r="H490" s="22" t="n"/>
      <c r="I490" s="23" t="n"/>
      <c r="J490" s="22" t="n"/>
      <c r="K490" s="23" t="n"/>
      <c r="L490" s="22" t="n"/>
      <c r="M490" s="23" t="n"/>
      <c r="N490" s="22" t="n"/>
      <c r="O490" s="22" t="n"/>
      <c r="P490" s="22" t="n"/>
      <c r="Q490" s="23" t="n"/>
      <c r="R490" s="22" t="n"/>
      <c r="S490" s="23" t="n"/>
      <c r="T490" s="22" t="n"/>
      <c r="U490" s="23" t="n"/>
      <c r="V490" s="24" t="n"/>
      <c r="W490" s="25">
        <f>IF(ISNUMBER(U490),U490+IF(ISNUMBER(V490),V490,120),"")</f>
        <v/>
      </c>
      <c r="X490" s="22" t="n"/>
      <c r="Y490" s="23" t="n"/>
      <c r="Z490" s="22" t="n"/>
      <c r="AA490" s="23" t="n"/>
      <c r="AB490" s="24" t="n"/>
      <c r="AC490" s="26">
        <f>IF(ISNUMBER(AD490)=FALSE,"",IF(G490=AD490,"State license",IF(I490=AD490,"DEA registration",IF(K490=AD490,"State CSR",IF(M490=AD490,"Board certification",IF(Q490=AD490,"Malpractice",IF(S490=AD490,"Life support",IF(W490=AD490,"CAQH re-attestation",IF(Y490=AD490,"Privileges reappointment","Payer recredentialing")))))))))</f>
        <v/>
      </c>
      <c r="AD490" s="25">
        <f>IF(OR(AND(LEN(G490)&gt;0,ISNUMBER(G490)=FALSE),AND(LEN(I490)&gt;0,ISNUMBER(I490)=FALSE),AND(LEN(K490)&gt;0,ISNUMBER(K490)=FALSE),AND(LEN(M490)&gt;0,ISNUMBER(M490)=FALSE),AND(LEN(Q490)&gt;0,ISNUMBER(Q490)=FALSE),AND(LEN(S490)&gt;0,ISNUMBER(S490)=FALSE),AND(LEN(Y490)&gt;0,ISNUMBER(Y490)=FALSE),AND(LEN(AA490)&gt;0,ISNUMBER(AA490)=FALSE),AND(LEN(U490)&gt;0,ISNUMBER(U490)=FALSE)),"Check date",IF(COUNT(G490,I490,K490,M490,Q490,S490,W490,Y490,AA490)=0,"",MIN(G490,I490,K490,M490,Q490,S490,W490,Y490,AA490)))</f>
        <v/>
      </c>
      <c r="AE490" s="25">
        <f>IF(ISNUMBER(AD490),AD490-IF(ISNUMBER(AB490),AB490,30),"")</f>
        <v/>
      </c>
      <c r="AF490" s="27">
        <f>IF(AD490="","",IF(ISNUMBER(AD490),AD490-TODAY(),"Check date"))</f>
        <v/>
      </c>
      <c r="AG490" s="28">
        <f>IF(AF490="","",IF(ISNUMBER(AF490),IF(AF490&lt;0,"Expired",IF(AF490&lt;=30,"Due ≤30 days",IF(AF490&lt;=90,"Due ≤90 days","OK"))),"Check date"))</f>
        <v/>
      </c>
      <c r="AH490" s="22" t="n"/>
      <c r="AI490" s="22" t="n"/>
      <c r="AJ490" s="22" t="n"/>
      <c r="AK490" s="22" t="n"/>
    </row>
    <row r="491">
      <c r="A491" s="22" t="n"/>
      <c r="B491" s="22" t="n"/>
      <c r="C491" s="22" t="n"/>
      <c r="D491" s="22" t="n"/>
      <c r="E491" s="22" t="n"/>
      <c r="F491" s="22" t="n"/>
      <c r="G491" s="23" t="n"/>
      <c r="H491" s="22" t="n"/>
      <c r="I491" s="23" t="n"/>
      <c r="J491" s="22" t="n"/>
      <c r="K491" s="23" t="n"/>
      <c r="L491" s="22" t="n"/>
      <c r="M491" s="23" t="n"/>
      <c r="N491" s="22" t="n"/>
      <c r="O491" s="22" t="n"/>
      <c r="P491" s="22" t="n"/>
      <c r="Q491" s="23" t="n"/>
      <c r="R491" s="22" t="n"/>
      <c r="S491" s="23" t="n"/>
      <c r="T491" s="22" t="n"/>
      <c r="U491" s="23" t="n"/>
      <c r="V491" s="24" t="n"/>
      <c r="W491" s="25">
        <f>IF(ISNUMBER(U491),U491+IF(ISNUMBER(V491),V491,120),"")</f>
        <v/>
      </c>
      <c r="X491" s="22" t="n"/>
      <c r="Y491" s="23" t="n"/>
      <c r="Z491" s="22" t="n"/>
      <c r="AA491" s="23" t="n"/>
      <c r="AB491" s="24" t="n"/>
      <c r="AC491" s="26">
        <f>IF(ISNUMBER(AD491)=FALSE,"",IF(G491=AD491,"State license",IF(I491=AD491,"DEA registration",IF(K491=AD491,"State CSR",IF(M491=AD491,"Board certification",IF(Q491=AD491,"Malpractice",IF(S491=AD491,"Life support",IF(W491=AD491,"CAQH re-attestation",IF(Y491=AD491,"Privileges reappointment","Payer recredentialing")))))))))</f>
        <v/>
      </c>
      <c r="AD491" s="25">
        <f>IF(OR(AND(LEN(G491)&gt;0,ISNUMBER(G491)=FALSE),AND(LEN(I491)&gt;0,ISNUMBER(I491)=FALSE),AND(LEN(K491)&gt;0,ISNUMBER(K491)=FALSE),AND(LEN(M491)&gt;0,ISNUMBER(M491)=FALSE),AND(LEN(Q491)&gt;0,ISNUMBER(Q491)=FALSE),AND(LEN(S491)&gt;0,ISNUMBER(S491)=FALSE),AND(LEN(Y491)&gt;0,ISNUMBER(Y491)=FALSE),AND(LEN(AA491)&gt;0,ISNUMBER(AA491)=FALSE),AND(LEN(U491)&gt;0,ISNUMBER(U491)=FALSE)),"Check date",IF(COUNT(G491,I491,K491,M491,Q491,S491,W491,Y491,AA491)=0,"",MIN(G491,I491,K491,M491,Q491,S491,W491,Y491,AA491)))</f>
        <v/>
      </c>
      <c r="AE491" s="25">
        <f>IF(ISNUMBER(AD491),AD491-IF(ISNUMBER(AB491),AB491,30),"")</f>
        <v/>
      </c>
      <c r="AF491" s="27">
        <f>IF(AD491="","",IF(ISNUMBER(AD491),AD491-TODAY(),"Check date"))</f>
        <v/>
      </c>
      <c r="AG491" s="28">
        <f>IF(AF491="","",IF(ISNUMBER(AF491),IF(AF491&lt;0,"Expired",IF(AF491&lt;=30,"Due ≤30 days",IF(AF491&lt;=90,"Due ≤90 days","OK"))),"Check date"))</f>
        <v/>
      </c>
      <c r="AH491" s="22" t="n"/>
      <c r="AI491" s="22" t="n"/>
      <c r="AJ491" s="22" t="n"/>
      <c r="AK491" s="22" t="n"/>
    </row>
    <row r="492">
      <c r="A492" s="22" t="n"/>
      <c r="B492" s="22" t="n"/>
      <c r="C492" s="22" t="n"/>
      <c r="D492" s="22" t="n"/>
      <c r="E492" s="22" t="n"/>
      <c r="F492" s="22" t="n"/>
      <c r="G492" s="23" t="n"/>
      <c r="H492" s="22" t="n"/>
      <c r="I492" s="23" t="n"/>
      <c r="J492" s="22" t="n"/>
      <c r="K492" s="23" t="n"/>
      <c r="L492" s="22" t="n"/>
      <c r="M492" s="23" t="n"/>
      <c r="N492" s="22" t="n"/>
      <c r="O492" s="22" t="n"/>
      <c r="P492" s="22" t="n"/>
      <c r="Q492" s="23" t="n"/>
      <c r="R492" s="22" t="n"/>
      <c r="S492" s="23" t="n"/>
      <c r="T492" s="22" t="n"/>
      <c r="U492" s="23" t="n"/>
      <c r="V492" s="24" t="n"/>
      <c r="W492" s="25">
        <f>IF(ISNUMBER(U492),U492+IF(ISNUMBER(V492),V492,120),"")</f>
        <v/>
      </c>
      <c r="X492" s="22" t="n"/>
      <c r="Y492" s="23" t="n"/>
      <c r="Z492" s="22" t="n"/>
      <c r="AA492" s="23" t="n"/>
      <c r="AB492" s="24" t="n"/>
      <c r="AC492" s="26">
        <f>IF(ISNUMBER(AD492)=FALSE,"",IF(G492=AD492,"State license",IF(I492=AD492,"DEA registration",IF(K492=AD492,"State CSR",IF(M492=AD492,"Board certification",IF(Q492=AD492,"Malpractice",IF(S492=AD492,"Life support",IF(W492=AD492,"CAQH re-attestation",IF(Y492=AD492,"Privileges reappointment","Payer recredentialing")))))))))</f>
        <v/>
      </c>
      <c r="AD492" s="25">
        <f>IF(OR(AND(LEN(G492)&gt;0,ISNUMBER(G492)=FALSE),AND(LEN(I492)&gt;0,ISNUMBER(I492)=FALSE),AND(LEN(K492)&gt;0,ISNUMBER(K492)=FALSE),AND(LEN(M492)&gt;0,ISNUMBER(M492)=FALSE),AND(LEN(Q492)&gt;0,ISNUMBER(Q492)=FALSE),AND(LEN(S492)&gt;0,ISNUMBER(S492)=FALSE),AND(LEN(Y492)&gt;0,ISNUMBER(Y492)=FALSE),AND(LEN(AA492)&gt;0,ISNUMBER(AA492)=FALSE),AND(LEN(U492)&gt;0,ISNUMBER(U492)=FALSE)),"Check date",IF(COUNT(G492,I492,K492,M492,Q492,S492,W492,Y492,AA492)=0,"",MIN(G492,I492,K492,M492,Q492,S492,W492,Y492,AA492)))</f>
        <v/>
      </c>
      <c r="AE492" s="25">
        <f>IF(ISNUMBER(AD492),AD492-IF(ISNUMBER(AB492),AB492,30),"")</f>
        <v/>
      </c>
      <c r="AF492" s="27">
        <f>IF(AD492="","",IF(ISNUMBER(AD492),AD492-TODAY(),"Check date"))</f>
        <v/>
      </c>
      <c r="AG492" s="28">
        <f>IF(AF492="","",IF(ISNUMBER(AF492),IF(AF492&lt;0,"Expired",IF(AF492&lt;=30,"Due ≤30 days",IF(AF492&lt;=90,"Due ≤90 days","OK"))),"Check date"))</f>
        <v/>
      </c>
      <c r="AH492" s="22" t="n"/>
      <c r="AI492" s="22" t="n"/>
      <c r="AJ492" s="22" t="n"/>
      <c r="AK492" s="22" t="n"/>
    </row>
    <row r="493">
      <c r="A493" s="22" t="n"/>
      <c r="B493" s="22" t="n"/>
      <c r="C493" s="22" t="n"/>
      <c r="D493" s="22" t="n"/>
      <c r="E493" s="22" t="n"/>
      <c r="F493" s="22" t="n"/>
      <c r="G493" s="23" t="n"/>
      <c r="H493" s="22" t="n"/>
      <c r="I493" s="23" t="n"/>
      <c r="J493" s="22" t="n"/>
      <c r="K493" s="23" t="n"/>
      <c r="L493" s="22" t="n"/>
      <c r="M493" s="23" t="n"/>
      <c r="N493" s="22" t="n"/>
      <c r="O493" s="22" t="n"/>
      <c r="P493" s="22" t="n"/>
      <c r="Q493" s="23" t="n"/>
      <c r="R493" s="22" t="n"/>
      <c r="S493" s="23" t="n"/>
      <c r="T493" s="22" t="n"/>
      <c r="U493" s="23" t="n"/>
      <c r="V493" s="24" t="n"/>
      <c r="W493" s="25">
        <f>IF(ISNUMBER(U493),U493+IF(ISNUMBER(V493),V493,120),"")</f>
        <v/>
      </c>
      <c r="X493" s="22" t="n"/>
      <c r="Y493" s="23" t="n"/>
      <c r="Z493" s="22" t="n"/>
      <c r="AA493" s="23" t="n"/>
      <c r="AB493" s="24" t="n"/>
      <c r="AC493" s="26">
        <f>IF(ISNUMBER(AD493)=FALSE,"",IF(G493=AD493,"State license",IF(I493=AD493,"DEA registration",IF(K493=AD493,"State CSR",IF(M493=AD493,"Board certification",IF(Q493=AD493,"Malpractice",IF(S493=AD493,"Life support",IF(W493=AD493,"CAQH re-attestation",IF(Y493=AD493,"Privileges reappointment","Payer recredentialing")))))))))</f>
        <v/>
      </c>
      <c r="AD493" s="25">
        <f>IF(OR(AND(LEN(G493)&gt;0,ISNUMBER(G493)=FALSE),AND(LEN(I493)&gt;0,ISNUMBER(I493)=FALSE),AND(LEN(K493)&gt;0,ISNUMBER(K493)=FALSE),AND(LEN(M493)&gt;0,ISNUMBER(M493)=FALSE),AND(LEN(Q493)&gt;0,ISNUMBER(Q493)=FALSE),AND(LEN(S493)&gt;0,ISNUMBER(S493)=FALSE),AND(LEN(Y493)&gt;0,ISNUMBER(Y493)=FALSE),AND(LEN(AA493)&gt;0,ISNUMBER(AA493)=FALSE),AND(LEN(U493)&gt;0,ISNUMBER(U493)=FALSE)),"Check date",IF(COUNT(G493,I493,K493,M493,Q493,S493,W493,Y493,AA493)=0,"",MIN(G493,I493,K493,M493,Q493,S493,W493,Y493,AA493)))</f>
        <v/>
      </c>
      <c r="AE493" s="25">
        <f>IF(ISNUMBER(AD493),AD493-IF(ISNUMBER(AB493),AB493,30),"")</f>
        <v/>
      </c>
      <c r="AF493" s="27">
        <f>IF(AD493="","",IF(ISNUMBER(AD493),AD493-TODAY(),"Check date"))</f>
        <v/>
      </c>
      <c r="AG493" s="28">
        <f>IF(AF493="","",IF(ISNUMBER(AF493),IF(AF493&lt;0,"Expired",IF(AF493&lt;=30,"Due ≤30 days",IF(AF493&lt;=90,"Due ≤90 days","OK"))),"Check date"))</f>
        <v/>
      </c>
      <c r="AH493" s="22" t="n"/>
      <c r="AI493" s="22" t="n"/>
      <c r="AJ493" s="22" t="n"/>
      <c r="AK493" s="22" t="n"/>
    </row>
    <row r="494">
      <c r="A494" s="22" t="n"/>
      <c r="B494" s="22" t="n"/>
      <c r="C494" s="22" t="n"/>
      <c r="D494" s="22" t="n"/>
      <c r="E494" s="22" t="n"/>
      <c r="F494" s="22" t="n"/>
      <c r="G494" s="23" t="n"/>
      <c r="H494" s="22" t="n"/>
      <c r="I494" s="23" t="n"/>
      <c r="J494" s="22" t="n"/>
      <c r="K494" s="23" t="n"/>
      <c r="L494" s="22" t="n"/>
      <c r="M494" s="23" t="n"/>
      <c r="N494" s="22" t="n"/>
      <c r="O494" s="22" t="n"/>
      <c r="P494" s="22" t="n"/>
      <c r="Q494" s="23" t="n"/>
      <c r="R494" s="22" t="n"/>
      <c r="S494" s="23" t="n"/>
      <c r="T494" s="22" t="n"/>
      <c r="U494" s="23" t="n"/>
      <c r="V494" s="24" t="n"/>
      <c r="W494" s="25">
        <f>IF(ISNUMBER(U494),U494+IF(ISNUMBER(V494),V494,120),"")</f>
        <v/>
      </c>
      <c r="X494" s="22" t="n"/>
      <c r="Y494" s="23" t="n"/>
      <c r="Z494" s="22" t="n"/>
      <c r="AA494" s="23" t="n"/>
      <c r="AB494" s="24" t="n"/>
      <c r="AC494" s="26">
        <f>IF(ISNUMBER(AD494)=FALSE,"",IF(G494=AD494,"State license",IF(I494=AD494,"DEA registration",IF(K494=AD494,"State CSR",IF(M494=AD494,"Board certification",IF(Q494=AD494,"Malpractice",IF(S494=AD494,"Life support",IF(W494=AD494,"CAQH re-attestation",IF(Y494=AD494,"Privileges reappointment","Payer recredentialing")))))))))</f>
        <v/>
      </c>
      <c r="AD494" s="25">
        <f>IF(OR(AND(LEN(G494)&gt;0,ISNUMBER(G494)=FALSE),AND(LEN(I494)&gt;0,ISNUMBER(I494)=FALSE),AND(LEN(K494)&gt;0,ISNUMBER(K494)=FALSE),AND(LEN(M494)&gt;0,ISNUMBER(M494)=FALSE),AND(LEN(Q494)&gt;0,ISNUMBER(Q494)=FALSE),AND(LEN(S494)&gt;0,ISNUMBER(S494)=FALSE),AND(LEN(Y494)&gt;0,ISNUMBER(Y494)=FALSE),AND(LEN(AA494)&gt;0,ISNUMBER(AA494)=FALSE),AND(LEN(U494)&gt;0,ISNUMBER(U494)=FALSE)),"Check date",IF(COUNT(G494,I494,K494,M494,Q494,S494,W494,Y494,AA494)=0,"",MIN(G494,I494,K494,M494,Q494,S494,W494,Y494,AA494)))</f>
        <v/>
      </c>
      <c r="AE494" s="25">
        <f>IF(ISNUMBER(AD494),AD494-IF(ISNUMBER(AB494),AB494,30),"")</f>
        <v/>
      </c>
      <c r="AF494" s="27">
        <f>IF(AD494="","",IF(ISNUMBER(AD494),AD494-TODAY(),"Check date"))</f>
        <v/>
      </c>
      <c r="AG494" s="28">
        <f>IF(AF494="","",IF(ISNUMBER(AF494),IF(AF494&lt;0,"Expired",IF(AF494&lt;=30,"Due ≤30 days",IF(AF494&lt;=90,"Due ≤90 days","OK"))),"Check date"))</f>
        <v/>
      </c>
      <c r="AH494" s="22" t="n"/>
      <c r="AI494" s="22" t="n"/>
      <c r="AJ494" s="22" t="n"/>
      <c r="AK494" s="22" t="n"/>
    </row>
    <row r="495">
      <c r="A495" s="22" t="n"/>
      <c r="B495" s="22" t="n"/>
      <c r="C495" s="22" t="n"/>
      <c r="D495" s="22" t="n"/>
      <c r="E495" s="22" t="n"/>
      <c r="F495" s="22" t="n"/>
      <c r="G495" s="23" t="n"/>
      <c r="H495" s="22" t="n"/>
      <c r="I495" s="23" t="n"/>
      <c r="J495" s="22" t="n"/>
      <c r="K495" s="23" t="n"/>
      <c r="L495" s="22" t="n"/>
      <c r="M495" s="23" t="n"/>
      <c r="N495" s="22" t="n"/>
      <c r="O495" s="22" t="n"/>
      <c r="P495" s="22" t="n"/>
      <c r="Q495" s="23" t="n"/>
      <c r="R495" s="22" t="n"/>
      <c r="S495" s="23" t="n"/>
      <c r="T495" s="22" t="n"/>
      <c r="U495" s="23" t="n"/>
      <c r="V495" s="24" t="n"/>
      <c r="W495" s="25">
        <f>IF(ISNUMBER(U495),U495+IF(ISNUMBER(V495),V495,120),"")</f>
        <v/>
      </c>
      <c r="X495" s="22" t="n"/>
      <c r="Y495" s="23" t="n"/>
      <c r="Z495" s="22" t="n"/>
      <c r="AA495" s="23" t="n"/>
      <c r="AB495" s="24" t="n"/>
      <c r="AC495" s="26">
        <f>IF(ISNUMBER(AD495)=FALSE,"",IF(G495=AD495,"State license",IF(I495=AD495,"DEA registration",IF(K495=AD495,"State CSR",IF(M495=AD495,"Board certification",IF(Q495=AD495,"Malpractice",IF(S495=AD495,"Life support",IF(W495=AD495,"CAQH re-attestation",IF(Y495=AD495,"Privileges reappointment","Payer recredentialing")))))))))</f>
        <v/>
      </c>
      <c r="AD495" s="25">
        <f>IF(OR(AND(LEN(G495)&gt;0,ISNUMBER(G495)=FALSE),AND(LEN(I495)&gt;0,ISNUMBER(I495)=FALSE),AND(LEN(K495)&gt;0,ISNUMBER(K495)=FALSE),AND(LEN(M495)&gt;0,ISNUMBER(M495)=FALSE),AND(LEN(Q495)&gt;0,ISNUMBER(Q495)=FALSE),AND(LEN(S495)&gt;0,ISNUMBER(S495)=FALSE),AND(LEN(Y495)&gt;0,ISNUMBER(Y495)=FALSE),AND(LEN(AA495)&gt;0,ISNUMBER(AA495)=FALSE),AND(LEN(U495)&gt;0,ISNUMBER(U495)=FALSE)),"Check date",IF(COUNT(G495,I495,K495,M495,Q495,S495,W495,Y495,AA495)=0,"",MIN(G495,I495,K495,M495,Q495,S495,W495,Y495,AA495)))</f>
        <v/>
      </c>
      <c r="AE495" s="25">
        <f>IF(ISNUMBER(AD495),AD495-IF(ISNUMBER(AB495),AB495,30),"")</f>
        <v/>
      </c>
      <c r="AF495" s="27">
        <f>IF(AD495="","",IF(ISNUMBER(AD495),AD495-TODAY(),"Check date"))</f>
        <v/>
      </c>
      <c r="AG495" s="28">
        <f>IF(AF495="","",IF(ISNUMBER(AF495),IF(AF495&lt;0,"Expired",IF(AF495&lt;=30,"Due ≤30 days",IF(AF495&lt;=90,"Due ≤90 days","OK"))),"Check date"))</f>
        <v/>
      </c>
      <c r="AH495" s="22" t="n"/>
      <c r="AI495" s="22" t="n"/>
      <c r="AJ495" s="22" t="n"/>
      <c r="AK495" s="22" t="n"/>
    </row>
    <row r="496">
      <c r="A496" s="22" t="n"/>
      <c r="B496" s="22" t="n"/>
      <c r="C496" s="22" t="n"/>
      <c r="D496" s="22" t="n"/>
      <c r="E496" s="22" t="n"/>
      <c r="F496" s="22" t="n"/>
      <c r="G496" s="23" t="n"/>
      <c r="H496" s="22" t="n"/>
      <c r="I496" s="23" t="n"/>
      <c r="J496" s="22" t="n"/>
      <c r="K496" s="23" t="n"/>
      <c r="L496" s="22" t="n"/>
      <c r="M496" s="23" t="n"/>
      <c r="N496" s="22" t="n"/>
      <c r="O496" s="22" t="n"/>
      <c r="P496" s="22" t="n"/>
      <c r="Q496" s="23" t="n"/>
      <c r="R496" s="22" t="n"/>
      <c r="S496" s="23" t="n"/>
      <c r="T496" s="22" t="n"/>
      <c r="U496" s="23" t="n"/>
      <c r="V496" s="24" t="n"/>
      <c r="W496" s="25">
        <f>IF(ISNUMBER(U496),U496+IF(ISNUMBER(V496),V496,120),"")</f>
        <v/>
      </c>
      <c r="X496" s="22" t="n"/>
      <c r="Y496" s="23" t="n"/>
      <c r="Z496" s="22" t="n"/>
      <c r="AA496" s="23" t="n"/>
      <c r="AB496" s="24" t="n"/>
      <c r="AC496" s="26">
        <f>IF(ISNUMBER(AD496)=FALSE,"",IF(G496=AD496,"State license",IF(I496=AD496,"DEA registration",IF(K496=AD496,"State CSR",IF(M496=AD496,"Board certification",IF(Q496=AD496,"Malpractice",IF(S496=AD496,"Life support",IF(W496=AD496,"CAQH re-attestation",IF(Y496=AD496,"Privileges reappointment","Payer recredentialing")))))))))</f>
        <v/>
      </c>
      <c r="AD496" s="25">
        <f>IF(OR(AND(LEN(G496)&gt;0,ISNUMBER(G496)=FALSE),AND(LEN(I496)&gt;0,ISNUMBER(I496)=FALSE),AND(LEN(K496)&gt;0,ISNUMBER(K496)=FALSE),AND(LEN(M496)&gt;0,ISNUMBER(M496)=FALSE),AND(LEN(Q496)&gt;0,ISNUMBER(Q496)=FALSE),AND(LEN(S496)&gt;0,ISNUMBER(S496)=FALSE),AND(LEN(Y496)&gt;0,ISNUMBER(Y496)=FALSE),AND(LEN(AA496)&gt;0,ISNUMBER(AA496)=FALSE),AND(LEN(U496)&gt;0,ISNUMBER(U496)=FALSE)),"Check date",IF(COUNT(G496,I496,K496,M496,Q496,S496,W496,Y496,AA496)=0,"",MIN(G496,I496,K496,M496,Q496,S496,W496,Y496,AA496)))</f>
        <v/>
      </c>
      <c r="AE496" s="25">
        <f>IF(ISNUMBER(AD496),AD496-IF(ISNUMBER(AB496),AB496,30),"")</f>
        <v/>
      </c>
      <c r="AF496" s="27">
        <f>IF(AD496="","",IF(ISNUMBER(AD496),AD496-TODAY(),"Check date"))</f>
        <v/>
      </c>
      <c r="AG496" s="28">
        <f>IF(AF496="","",IF(ISNUMBER(AF496),IF(AF496&lt;0,"Expired",IF(AF496&lt;=30,"Due ≤30 days",IF(AF496&lt;=90,"Due ≤90 days","OK"))),"Check date"))</f>
        <v/>
      </c>
      <c r="AH496" s="22" t="n"/>
      <c r="AI496" s="22" t="n"/>
      <c r="AJ496" s="22" t="n"/>
      <c r="AK496" s="22" t="n"/>
    </row>
    <row r="497">
      <c r="A497" s="22" t="n"/>
      <c r="B497" s="22" t="n"/>
      <c r="C497" s="22" t="n"/>
      <c r="D497" s="22" t="n"/>
      <c r="E497" s="22" t="n"/>
      <c r="F497" s="22" t="n"/>
      <c r="G497" s="23" t="n"/>
      <c r="H497" s="22" t="n"/>
      <c r="I497" s="23" t="n"/>
      <c r="J497" s="22" t="n"/>
      <c r="K497" s="23" t="n"/>
      <c r="L497" s="22" t="n"/>
      <c r="M497" s="23" t="n"/>
      <c r="N497" s="22" t="n"/>
      <c r="O497" s="22" t="n"/>
      <c r="P497" s="22" t="n"/>
      <c r="Q497" s="23" t="n"/>
      <c r="R497" s="22" t="n"/>
      <c r="S497" s="23" t="n"/>
      <c r="T497" s="22" t="n"/>
      <c r="U497" s="23" t="n"/>
      <c r="V497" s="24" t="n"/>
      <c r="W497" s="25">
        <f>IF(ISNUMBER(U497),U497+IF(ISNUMBER(V497),V497,120),"")</f>
        <v/>
      </c>
      <c r="X497" s="22" t="n"/>
      <c r="Y497" s="23" t="n"/>
      <c r="Z497" s="22" t="n"/>
      <c r="AA497" s="23" t="n"/>
      <c r="AB497" s="24" t="n"/>
      <c r="AC497" s="26">
        <f>IF(ISNUMBER(AD497)=FALSE,"",IF(G497=AD497,"State license",IF(I497=AD497,"DEA registration",IF(K497=AD497,"State CSR",IF(M497=AD497,"Board certification",IF(Q497=AD497,"Malpractice",IF(S497=AD497,"Life support",IF(W497=AD497,"CAQH re-attestation",IF(Y497=AD497,"Privileges reappointment","Payer recredentialing")))))))))</f>
        <v/>
      </c>
      <c r="AD497" s="25">
        <f>IF(OR(AND(LEN(G497)&gt;0,ISNUMBER(G497)=FALSE),AND(LEN(I497)&gt;0,ISNUMBER(I497)=FALSE),AND(LEN(K497)&gt;0,ISNUMBER(K497)=FALSE),AND(LEN(M497)&gt;0,ISNUMBER(M497)=FALSE),AND(LEN(Q497)&gt;0,ISNUMBER(Q497)=FALSE),AND(LEN(S497)&gt;0,ISNUMBER(S497)=FALSE),AND(LEN(Y497)&gt;0,ISNUMBER(Y497)=FALSE),AND(LEN(AA497)&gt;0,ISNUMBER(AA497)=FALSE),AND(LEN(U497)&gt;0,ISNUMBER(U497)=FALSE)),"Check date",IF(COUNT(G497,I497,K497,M497,Q497,S497,W497,Y497,AA497)=0,"",MIN(G497,I497,K497,M497,Q497,S497,W497,Y497,AA497)))</f>
        <v/>
      </c>
      <c r="AE497" s="25">
        <f>IF(ISNUMBER(AD497),AD497-IF(ISNUMBER(AB497),AB497,30),"")</f>
        <v/>
      </c>
      <c r="AF497" s="27">
        <f>IF(AD497="","",IF(ISNUMBER(AD497),AD497-TODAY(),"Check date"))</f>
        <v/>
      </c>
      <c r="AG497" s="28">
        <f>IF(AF497="","",IF(ISNUMBER(AF497),IF(AF497&lt;0,"Expired",IF(AF497&lt;=30,"Due ≤30 days",IF(AF497&lt;=90,"Due ≤90 days","OK"))),"Check date"))</f>
        <v/>
      </c>
      <c r="AH497" s="22" t="n"/>
      <c r="AI497" s="22" t="n"/>
      <c r="AJ497" s="22" t="n"/>
      <c r="AK497" s="22" t="n"/>
    </row>
    <row r="498">
      <c r="A498" s="22" t="n"/>
      <c r="B498" s="22" t="n"/>
      <c r="C498" s="22" t="n"/>
      <c r="D498" s="22" t="n"/>
      <c r="E498" s="22" t="n"/>
      <c r="F498" s="22" t="n"/>
      <c r="G498" s="23" t="n"/>
      <c r="H498" s="22" t="n"/>
      <c r="I498" s="23" t="n"/>
      <c r="J498" s="22" t="n"/>
      <c r="K498" s="23" t="n"/>
      <c r="L498" s="22" t="n"/>
      <c r="M498" s="23" t="n"/>
      <c r="N498" s="22" t="n"/>
      <c r="O498" s="22" t="n"/>
      <c r="P498" s="22" t="n"/>
      <c r="Q498" s="23" t="n"/>
      <c r="R498" s="22" t="n"/>
      <c r="S498" s="23" t="n"/>
      <c r="T498" s="22" t="n"/>
      <c r="U498" s="23" t="n"/>
      <c r="V498" s="24" t="n"/>
      <c r="W498" s="25">
        <f>IF(ISNUMBER(U498),U498+IF(ISNUMBER(V498),V498,120),"")</f>
        <v/>
      </c>
      <c r="X498" s="22" t="n"/>
      <c r="Y498" s="23" t="n"/>
      <c r="Z498" s="22" t="n"/>
      <c r="AA498" s="23" t="n"/>
      <c r="AB498" s="24" t="n"/>
      <c r="AC498" s="26">
        <f>IF(ISNUMBER(AD498)=FALSE,"",IF(G498=AD498,"State license",IF(I498=AD498,"DEA registration",IF(K498=AD498,"State CSR",IF(M498=AD498,"Board certification",IF(Q498=AD498,"Malpractice",IF(S498=AD498,"Life support",IF(W498=AD498,"CAQH re-attestation",IF(Y498=AD498,"Privileges reappointment","Payer recredentialing")))))))))</f>
        <v/>
      </c>
      <c r="AD498" s="25">
        <f>IF(OR(AND(LEN(G498)&gt;0,ISNUMBER(G498)=FALSE),AND(LEN(I498)&gt;0,ISNUMBER(I498)=FALSE),AND(LEN(K498)&gt;0,ISNUMBER(K498)=FALSE),AND(LEN(M498)&gt;0,ISNUMBER(M498)=FALSE),AND(LEN(Q498)&gt;0,ISNUMBER(Q498)=FALSE),AND(LEN(S498)&gt;0,ISNUMBER(S498)=FALSE),AND(LEN(Y498)&gt;0,ISNUMBER(Y498)=FALSE),AND(LEN(AA498)&gt;0,ISNUMBER(AA498)=FALSE),AND(LEN(U498)&gt;0,ISNUMBER(U498)=FALSE)),"Check date",IF(COUNT(G498,I498,K498,M498,Q498,S498,W498,Y498,AA498)=0,"",MIN(G498,I498,K498,M498,Q498,S498,W498,Y498,AA498)))</f>
        <v/>
      </c>
      <c r="AE498" s="25">
        <f>IF(ISNUMBER(AD498),AD498-IF(ISNUMBER(AB498),AB498,30),"")</f>
        <v/>
      </c>
      <c r="AF498" s="27">
        <f>IF(AD498="","",IF(ISNUMBER(AD498),AD498-TODAY(),"Check date"))</f>
        <v/>
      </c>
      <c r="AG498" s="28">
        <f>IF(AF498="","",IF(ISNUMBER(AF498),IF(AF498&lt;0,"Expired",IF(AF498&lt;=30,"Due ≤30 days",IF(AF498&lt;=90,"Due ≤90 days","OK"))),"Check date"))</f>
        <v/>
      </c>
      <c r="AH498" s="22" t="n"/>
      <c r="AI498" s="22" t="n"/>
      <c r="AJ498" s="22" t="n"/>
      <c r="AK498" s="22" t="n"/>
    </row>
    <row r="499">
      <c r="A499" s="22" t="n"/>
      <c r="B499" s="22" t="n"/>
      <c r="C499" s="22" t="n"/>
      <c r="D499" s="22" t="n"/>
      <c r="E499" s="22" t="n"/>
      <c r="F499" s="22" t="n"/>
      <c r="G499" s="23" t="n"/>
      <c r="H499" s="22" t="n"/>
      <c r="I499" s="23" t="n"/>
      <c r="J499" s="22" t="n"/>
      <c r="K499" s="23" t="n"/>
      <c r="L499" s="22" t="n"/>
      <c r="M499" s="23" t="n"/>
      <c r="N499" s="22" t="n"/>
      <c r="O499" s="22" t="n"/>
      <c r="P499" s="22" t="n"/>
      <c r="Q499" s="23" t="n"/>
      <c r="R499" s="22" t="n"/>
      <c r="S499" s="23" t="n"/>
      <c r="T499" s="22" t="n"/>
      <c r="U499" s="23" t="n"/>
      <c r="V499" s="24" t="n"/>
      <c r="W499" s="25">
        <f>IF(ISNUMBER(U499),U499+IF(ISNUMBER(V499),V499,120),"")</f>
        <v/>
      </c>
      <c r="X499" s="22" t="n"/>
      <c r="Y499" s="23" t="n"/>
      <c r="Z499" s="22" t="n"/>
      <c r="AA499" s="23" t="n"/>
      <c r="AB499" s="24" t="n"/>
      <c r="AC499" s="26">
        <f>IF(ISNUMBER(AD499)=FALSE,"",IF(G499=AD499,"State license",IF(I499=AD499,"DEA registration",IF(K499=AD499,"State CSR",IF(M499=AD499,"Board certification",IF(Q499=AD499,"Malpractice",IF(S499=AD499,"Life support",IF(W499=AD499,"CAQH re-attestation",IF(Y499=AD499,"Privileges reappointment","Payer recredentialing")))))))))</f>
        <v/>
      </c>
      <c r="AD499" s="25">
        <f>IF(OR(AND(LEN(G499)&gt;0,ISNUMBER(G499)=FALSE),AND(LEN(I499)&gt;0,ISNUMBER(I499)=FALSE),AND(LEN(K499)&gt;0,ISNUMBER(K499)=FALSE),AND(LEN(M499)&gt;0,ISNUMBER(M499)=FALSE),AND(LEN(Q499)&gt;0,ISNUMBER(Q499)=FALSE),AND(LEN(S499)&gt;0,ISNUMBER(S499)=FALSE),AND(LEN(Y499)&gt;0,ISNUMBER(Y499)=FALSE),AND(LEN(AA499)&gt;0,ISNUMBER(AA499)=FALSE),AND(LEN(U499)&gt;0,ISNUMBER(U499)=FALSE)),"Check date",IF(COUNT(G499,I499,K499,M499,Q499,S499,W499,Y499,AA499)=0,"",MIN(G499,I499,K499,M499,Q499,S499,W499,Y499,AA499)))</f>
        <v/>
      </c>
      <c r="AE499" s="25">
        <f>IF(ISNUMBER(AD499),AD499-IF(ISNUMBER(AB499),AB499,30),"")</f>
        <v/>
      </c>
      <c r="AF499" s="27">
        <f>IF(AD499="","",IF(ISNUMBER(AD499),AD499-TODAY(),"Check date"))</f>
        <v/>
      </c>
      <c r="AG499" s="28">
        <f>IF(AF499="","",IF(ISNUMBER(AF499),IF(AF499&lt;0,"Expired",IF(AF499&lt;=30,"Due ≤30 days",IF(AF499&lt;=90,"Due ≤90 days","OK"))),"Check date"))</f>
        <v/>
      </c>
      <c r="AH499" s="22" t="n"/>
      <c r="AI499" s="22" t="n"/>
      <c r="AJ499" s="22" t="n"/>
      <c r="AK499" s="22" t="n"/>
    </row>
    <row r="500">
      <c r="A500" s="22" t="n"/>
      <c r="B500" s="22" t="n"/>
      <c r="C500" s="22" t="n"/>
      <c r="D500" s="22" t="n"/>
      <c r="E500" s="22" t="n"/>
      <c r="F500" s="22" t="n"/>
      <c r="G500" s="23" t="n"/>
      <c r="H500" s="22" t="n"/>
      <c r="I500" s="23" t="n"/>
      <c r="J500" s="22" t="n"/>
      <c r="K500" s="23" t="n"/>
      <c r="L500" s="22" t="n"/>
      <c r="M500" s="23" t="n"/>
      <c r="N500" s="22" t="n"/>
      <c r="O500" s="22" t="n"/>
      <c r="P500" s="22" t="n"/>
      <c r="Q500" s="23" t="n"/>
      <c r="R500" s="22" t="n"/>
      <c r="S500" s="23" t="n"/>
      <c r="T500" s="22" t="n"/>
      <c r="U500" s="23" t="n"/>
      <c r="V500" s="24" t="n"/>
      <c r="W500" s="25">
        <f>IF(ISNUMBER(U500),U500+IF(ISNUMBER(V500),V500,120),"")</f>
        <v/>
      </c>
      <c r="X500" s="22" t="n"/>
      <c r="Y500" s="23" t="n"/>
      <c r="Z500" s="22" t="n"/>
      <c r="AA500" s="23" t="n"/>
      <c r="AB500" s="24" t="n"/>
      <c r="AC500" s="26">
        <f>IF(ISNUMBER(AD500)=FALSE,"",IF(G500=AD500,"State license",IF(I500=AD500,"DEA registration",IF(K500=AD500,"State CSR",IF(M500=AD500,"Board certification",IF(Q500=AD500,"Malpractice",IF(S500=AD500,"Life support",IF(W500=AD500,"CAQH re-attestation",IF(Y500=AD500,"Privileges reappointment","Payer recredentialing")))))))))</f>
        <v/>
      </c>
      <c r="AD500" s="25">
        <f>IF(OR(AND(LEN(G500)&gt;0,ISNUMBER(G500)=FALSE),AND(LEN(I500)&gt;0,ISNUMBER(I500)=FALSE),AND(LEN(K500)&gt;0,ISNUMBER(K500)=FALSE),AND(LEN(M500)&gt;0,ISNUMBER(M500)=FALSE),AND(LEN(Q500)&gt;0,ISNUMBER(Q500)=FALSE),AND(LEN(S500)&gt;0,ISNUMBER(S500)=FALSE),AND(LEN(Y500)&gt;0,ISNUMBER(Y500)=FALSE),AND(LEN(AA500)&gt;0,ISNUMBER(AA500)=FALSE),AND(LEN(U500)&gt;0,ISNUMBER(U500)=FALSE)),"Check date",IF(COUNT(G500,I500,K500,M500,Q500,S500,W500,Y500,AA500)=0,"",MIN(G500,I500,K500,M500,Q500,S500,W500,Y500,AA500)))</f>
        <v/>
      </c>
      <c r="AE500" s="25">
        <f>IF(ISNUMBER(AD500),AD500-IF(ISNUMBER(AB500),AB500,30),"")</f>
        <v/>
      </c>
      <c r="AF500" s="27">
        <f>IF(AD500="","",IF(ISNUMBER(AD500),AD500-TODAY(),"Check date"))</f>
        <v/>
      </c>
      <c r="AG500" s="28">
        <f>IF(AF500="","",IF(ISNUMBER(AF500),IF(AF500&lt;0,"Expired",IF(AF500&lt;=30,"Due ≤30 days",IF(AF500&lt;=90,"Due ≤90 days","OK"))),"Check date"))</f>
        <v/>
      </c>
      <c r="AH500" s="22" t="n"/>
      <c r="AI500" s="22" t="n"/>
      <c r="AJ500" s="22" t="n"/>
      <c r="AK500" s="22" t="n"/>
    </row>
    <row r="501">
      <c r="A501" s="22" t="n"/>
      <c r="B501" s="22" t="n"/>
      <c r="C501" s="22" t="n"/>
      <c r="D501" s="22" t="n"/>
      <c r="E501" s="22" t="n"/>
      <c r="F501" s="22" t="n"/>
      <c r="G501" s="23" t="n"/>
      <c r="H501" s="22" t="n"/>
      <c r="I501" s="23" t="n"/>
      <c r="J501" s="22" t="n"/>
      <c r="K501" s="23" t="n"/>
      <c r="L501" s="22" t="n"/>
      <c r="M501" s="23" t="n"/>
      <c r="N501" s="22" t="n"/>
      <c r="O501" s="22" t="n"/>
      <c r="P501" s="22" t="n"/>
      <c r="Q501" s="23" t="n"/>
      <c r="R501" s="22" t="n"/>
      <c r="S501" s="23" t="n"/>
      <c r="T501" s="22" t="n"/>
      <c r="U501" s="23" t="n"/>
      <c r="V501" s="24" t="n"/>
      <c r="W501" s="25">
        <f>IF(ISNUMBER(U501),U501+IF(ISNUMBER(V501),V501,120),"")</f>
        <v/>
      </c>
      <c r="X501" s="22" t="n"/>
      <c r="Y501" s="23" t="n"/>
      <c r="Z501" s="22" t="n"/>
      <c r="AA501" s="23" t="n"/>
      <c r="AB501" s="24" t="n"/>
      <c r="AC501" s="26">
        <f>IF(ISNUMBER(AD501)=FALSE,"",IF(G501=AD501,"State license",IF(I501=AD501,"DEA registration",IF(K501=AD501,"State CSR",IF(M501=AD501,"Board certification",IF(Q501=AD501,"Malpractice",IF(S501=AD501,"Life support",IF(W501=AD501,"CAQH re-attestation",IF(Y501=AD501,"Privileges reappointment","Payer recredentialing")))))))))</f>
        <v/>
      </c>
      <c r="AD501" s="25">
        <f>IF(OR(AND(LEN(G501)&gt;0,ISNUMBER(G501)=FALSE),AND(LEN(I501)&gt;0,ISNUMBER(I501)=FALSE),AND(LEN(K501)&gt;0,ISNUMBER(K501)=FALSE),AND(LEN(M501)&gt;0,ISNUMBER(M501)=FALSE),AND(LEN(Q501)&gt;0,ISNUMBER(Q501)=FALSE),AND(LEN(S501)&gt;0,ISNUMBER(S501)=FALSE),AND(LEN(Y501)&gt;0,ISNUMBER(Y501)=FALSE),AND(LEN(AA501)&gt;0,ISNUMBER(AA501)=FALSE),AND(LEN(U501)&gt;0,ISNUMBER(U501)=FALSE)),"Check date",IF(COUNT(G501,I501,K501,M501,Q501,S501,W501,Y501,AA501)=0,"",MIN(G501,I501,K501,M501,Q501,S501,W501,Y501,AA501)))</f>
        <v/>
      </c>
      <c r="AE501" s="25">
        <f>IF(ISNUMBER(AD501),AD501-IF(ISNUMBER(AB501),AB501,30),"")</f>
        <v/>
      </c>
      <c r="AF501" s="27">
        <f>IF(AD501="","",IF(ISNUMBER(AD501),AD501-TODAY(),"Check date"))</f>
        <v/>
      </c>
      <c r="AG501" s="28">
        <f>IF(AF501="","",IF(ISNUMBER(AF501),IF(AF501&lt;0,"Expired",IF(AF501&lt;=30,"Due ≤30 days",IF(AF501&lt;=90,"Due ≤90 days","OK"))),"Check date"))</f>
        <v/>
      </c>
      <c r="AH501" s="22" t="n"/>
      <c r="AI501" s="22" t="n"/>
      <c r="AJ501" s="22" t="n"/>
      <c r="AK501" s="22" t="n"/>
    </row>
    <row r="502">
      <c r="A502" s="22" t="n"/>
      <c r="B502" s="22" t="n"/>
      <c r="C502" s="22" t="n"/>
      <c r="D502" s="22" t="n"/>
      <c r="E502" s="22" t="n"/>
      <c r="F502" s="22" t="n"/>
      <c r="G502" s="23" t="n"/>
      <c r="H502" s="22" t="n"/>
      <c r="I502" s="23" t="n"/>
      <c r="J502" s="22" t="n"/>
      <c r="K502" s="23" t="n"/>
      <c r="L502" s="22" t="n"/>
      <c r="M502" s="23" t="n"/>
      <c r="N502" s="22" t="n"/>
      <c r="O502" s="22" t="n"/>
      <c r="P502" s="22" t="n"/>
      <c r="Q502" s="23" t="n"/>
      <c r="R502" s="22" t="n"/>
      <c r="S502" s="23" t="n"/>
      <c r="T502" s="22" t="n"/>
      <c r="U502" s="23" t="n"/>
      <c r="V502" s="24" t="n"/>
      <c r="W502" s="25">
        <f>IF(ISNUMBER(U502),U502+IF(ISNUMBER(V502),V502,120),"")</f>
        <v/>
      </c>
      <c r="X502" s="22" t="n"/>
      <c r="Y502" s="23" t="n"/>
      <c r="Z502" s="22" t="n"/>
      <c r="AA502" s="23" t="n"/>
      <c r="AB502" s="24" t="n"/>
      <c r="AC502" s="26">
        <f>IF(ISNUMBER(AD502)=FALSE,"",IF(G502=AD502,"State license",IF(I502=AD502,"DEA registration",IF(K502=AD502,"State CSR",IF(M502=AD502,"Board certification",IF(Q502=AD502,"Malpractice",IF(S502=AD502,"Life support",IF(W502=AD502,"CAQH re-attestation",IF(Y502=AD502,"Privileges reappointment","Payer recredentialing")))))))))</f>
        <v/>
      </c>
      <c r="AD502" s="25">
        <f>IF(OR(AND(LEN(G502)&gt;0,ISNUMBER(G502)=FALSE),AND(LEN(I502)&gt;0,ISNUMBER(I502)=FALSE),AND(LEN(K502)&gt;0,ISNUMBER(K502)=FALSE),AND(LEN(M502)&gt;0,ISNUMBER(M502)=FALSE),AND(LEN(Q502)&gt;0,ISNUMBER(Q502)=FALSE),AND(LEN(S502)&gt;0,ISNUMBER(S502)=FALSE),AND(LEN(Y502)&gt;0,ISNUMBER(Y502)=FALSE),AND(LEN(AA502)&gt;0,ISNUMBER(AA502)=FALSE),AND(LEN(U502)&gt;0,ISNUMBER(U502)=FALSE)),"Check date",IF(COUNT(G502,I502,K502,M502,Q502,S502,W502,Y502,AA502)=0,"",MIN(G502,I502,K502,M502,Q502,S502,W502,Y502,AA502)))</f>
        <v/>
      </c>
      <c r="AE502" s="25">
        <f>IF(ISNUMBER(AD502),AD502-IF(ISNUMBER(AB502),AB502,30),"")</f>
        <v/>
      </c>
      <c r="AF502" s="27">
        <f>IF(AD502="","",IF(ISNUMBER(AD502),AD502-TODAY(),"Check date"))</f>
        <v/>
      </c>
      <c r="AG502" s="28">
        <f>IF(AF502="","",IF(ISNUMBER(AF502),IF(AF502&lt;0,"Expired",IF(AF502&lt;=30,"Due ≤30 days",IF(AF502&lt;=90,"Due ≤90 days","OK"))),"Check date"))</f>
        <v/>
      </c>
      <c r="AH502" s="22" t="n"/>
      <c r="AI502" s="22" t="n"/>
      <c r="AJ502" s="22" t="n"/>
      <c r="AK502" s="22" t="n"/>
    </row>
    <row r="503">
      <c r="A503" s="22" t="n"/>
      <c r="B503" s="22" t="n"/>
      <c r="C503" s="22" t="n"/>
      <c r="D503" s="22" t="n"/>
      <c r="E503" s="22" t="n"/>
      <c r="F503" s="22" t="n"/>
      <c r="G503" s="23" t="n"/>
      <c r="H503" s="22" t="n"/>
      <c r="I503" s="23" t="n"/>
      <c r="J503" s="22" t="n"/>
      <c r="K503" s="23" t="n"/>
      <c r="L503" s="22" t="n"/>
      <c r="M503" s="23" t="n"/>
      <c r="N503" s="22" t="n"/>
      <c r="O503" s="22" t="n"/>
      <c r="P503" s="22" t="n"/>
      <c r="Q503" s="23" t="n"/>
      <c r="R503" s="22" t="n"/>
      <c r="S503" s="23" t="n"/>
      <c r="T503" s="22" t="n"/>
      <c r="U503" s="23" t="n"/>
      <c r="V503" s="24" t="n"/>
      <c r="W503" s="25">
        <f>IF(ISNUMBER(U503),U503+IF(ISNUMBER(V503),V503,120),"")</f>
        <v/>
      </c>
      <c r="X503" s="22" t="n"/>
      <c r="Y503" s="23" t="n"/>
      <c r="Z503" s="22" t="n"/>
      <c r="AA503" s="23" t="n"/>
      <c r="AB503" s="24" t="n"/>
      <c r="AC503" s="26">
        <f>IF(ISNUMBER(AD503)=FALSE,"",IF(G503=AD503,"State license",IF(I503=AD503,"DEA registration",IF(K503=AD503,"State CSR",IF(M503=AD503,"Board certification",IF(Q503=AD503,"Malpractice",IF(S503=AD503,"Life support",IF(W503=AD503,"CAQH re-attestation",IF(Y503=AD503,"Privileges reappointment","Payer recredentialing")))))))))</f>
        <v/>
      </c>
      <c r="AD503" s="25">
        <f>IF(OR(AND(LEN(G503)&gt;0,ISNUMBER(G503)=FALSE),AND(LEN(I503)&gt;0,ISNUMBER(I503)=FALSE),AND(LEN(K503)&gt;0,ISNUMBER(K503)=FALSE),AND(LEN(M503)&gt;0,ISNUMBER(M503)=FALSE),AND(LEN(Q503)&gt;0,ISNUMBER(Q503)=FALSE),AND(LEN(S503)&gt;0,ISNUMBER(S503)=FALSE),AND(LEN(Y503)&gt;0,ISNUMBER(Y503)=FALSE),AND(LEN(AA503)&gt;0,ISNUMBER(AA503)=FALSE),AND(LEN(U503)&gt;0,ISNUMBER(U503)=FALSE)),"Check date",IF(COUNT(G503,I503,K503,M503,Q503,S503,W503,Y503,AA503)=0,"",MIN(G503,I503,K503,M503,Q503,S503,W503,Y503,AA503)))</f>
        <v/>
      </c>
      <c r="AE503" s="25">
        <f>IF(ISNUMBER(AD503),AD503-IF(ISNUMBER(AB503),AB503,30),"")</f>
        <v/>
      </c>
      <c r="AF503" s="27">
        <f>IF(AD503="","",IF(ISNUMBER(AD503),AD503-TODAY(),"Check date"))</f>
        <v/>
      </c>
      <c r="AG503" s="28">
        <f>IF(AF503="","",IF(ISNUMBER(AF503),IF(AF503&lt;0,"Expired",IF(AF503&lt;=30,"Due ≤30 days",IF(AF503&lt;=90,"Due ≤90 days","OK"))),"Check date"))</f>
        <v/>
      </c>
      <c r="AH503" s="22" t="n"/>
      <c r="AI503" s="22" t="n"/>
      <c r="AJ503" s="22" t="n"/>
      <c r="AK503" s="22" t="n"/>
    </row>
  </sheetData>
  <conditionalFormatting sqref="AD4:AD503 AF4:AF503 AG4:AG503">
    <cfRule type="expression" priority="37" dxfId="0" stopIfTrue="1">
      <formula>AND(ISNUMBER($AF4),$AF4&lt;0)</formula>
    </cfRule>
    <cfRule type="expression" priority="38" dxfId="1" stopIfTrue="1">
      <formula>AND(ISNUMBER($AF4),$AF4&lt;=30)</formula>
    </cfRule>
    <cfRule type="expression" priority="39" dxfId="2" stopIfTrue="1">
      <formula>AND(ISNUMBER($AF4),$AF4&lt;=90)</formula>
    </cfRule>
    <cfRule type="expression" priority="40" dxfId="3" stopIfTrue="1">
      <formula>ISNUMBER($AF4)</formula>
    </cfRule>
  </conditionalFormatting>
  <conditionalFormatting sqref="A4:A503 B4:B503 C4:C503 D4:D503 E4:E503 F4:F503 G4:G503 H4:H503 I4:I503 J4:J503 K4:K503 L4:L503 M4:M503 N4:N503 O4:O503 P4:P503 Q4:Q503 R4:R503 S4:S503 T4:T503 U4:U503 V4:V503 X4:X503 Y4:Y503 Z4:Z503 AA4:AA503 AB4:AB503 AH4:AH503 AI4:AI503 AJ4:AJ503 AK4:AK503">
    <cfRule type="expression" priority="41" dxfId="4">
      <formula>LEFT($A4,9)="Example –"</formula>
    </cfRule>
    <cfRule type="expression" priority="42" dxfId="5">
      <formula>MOD(ROW(),2)=0</formula>
    </cfRule>
  </conditionalFormatting>
  <conditionalFormatting sqref="G4:G503">
    <cfRule type="expression" priority="1" dxfId="0" stopIfTrue="1">
      <formula>AND(ISNUMBER(G4),G4&lt;TODAY())</formula>
    </cfRule>
    <cfRule type="expression" priority="2" dxfId="1" stopIfTrue="1">
      <formula>AND(ISNUMBER(G4),G4&lt;=TODAY()+30)</formula>
    </cfRule>
    <cfRule type="expression" priority="3" dxfId="2" stopIfTrue="1">
      <formula>AND(ISNUMBER(G4),G4&lt;=TODAY()+90)</formula>
    </cfRule>
    <cfRule type="expression" priority="4" dxfId="3" stopIfTrue="1">
      <formula>ISNUMBER(G4)</formula>
    </cfRule>
  </conditionalFormatting>
  <conditionalFormatting sqref="I4:I503">
    <cfRule type="expression" priority="5" dxfId="0" stopIfTrue="1">
      <formula>AND(ISNUMBER(I4),I4&lt;TODAY())</formula>
    </cfRule>
    <cfRule type="expression" priority="6" dxfId="1" stopIfTrue="1">
      <formula>AND(ISNUMBER(I4),I4&lt;=TODAY()+30)</formula>
    </cfRule>
    <cfRule type="expression" priority="7" dxfId="2" stopIfTrue="1">
      <formula>AND(ISNUMBER(I4),I4&lt;=TODAY()+90)</formula>
    </cfRule>
    <cfRule type="expression" priority="8" dxfId="3" stopIfTrue="1">
      <formula>ISNUMBER(I4)</formula>
    </cfRule>
  </conditionalFormatting>
  <conditionalFormatting sqref="K4:K503">
    <cfRule type="expression" priority="9" dxfId="0" stopIfTrue="1">
      <formula>AND(ISNUMBER(K4),K4&lt;TODAY())</formula>
    </cfRule>
    <cfRule type="expression" priority="10" dxfId="1" stopIfTrue="1">
      <formula>AND(ISNUMBER(K4),K4&lt;=TODAY()+30)</formula>
    </cfRule>
    <cfRule type="expression" priority="11" dxfId="2" stopIfTrue="1">
      <formula>AND(ISNUMBER(K4),K4&lt;=TODAY()+90)</formula>
    </cfRule>
    <cfRule type="expression" priority="12" dxfId="3" stopIfTrue="1">
      <formula>ISNUMBER(K4)</formula>
    </cfRule>
  </conditionalFormatting>
  <conditionalFormatting sqref="M4:M503">
    <cfRule type="expression" priority="13" dxfId="0" stopIfTrue="1">
      <formula>AND(ISNUMBER(M4),M4&lt;TODAY())</formula>
    </cfRule>
    <cfRule type="expression" priority="14" dxfId="1" stopIfTrue="1">
      <formula>AND(ISNUMBER(M4),M4&lt;=TODAY()+30)</formula>
    </cfRule>
    <cfRule type="expression" priority="15" dxfId="2" stopIfTrue="1">
      <formula>AND(ISNUMBER(M4),M4&lt;=TODAY()+90)</formula>
    </cfRule>
    <cfRule type="expression" priority="16" dxfId="3" stopIfTrue="1">
      <formula>ISNUMBER(M4)</formula>
    </cfRule>
  </conditionalFormatting>
  <conditionalFormatting sqref="Q4:Q503">
    <cfRule type="expression" priority="17" dxfId="0" stopIfTrue="1">
      <formula>AND(ISNUMBER(Q4),Q4&lt;TODAY())</formula>
    </cfRule>
    <cfRule type="expression" priority="18" dxfId="1" stopIfTrue="1">
      <formula>AND(ISNUMBER(Q4),Q4&lt;=TODAY()+30)</formula>
    </cfRule>
    <cfRule type="expression" priority="19" dxfId="2" stopIfTrue="1">
      <formula>AND(ISNUMBER(Q4),Q4&lt;=TODAY()+90)</formula>
    </cfRule>
    <cfRule type="expression" priority="20" dxfId="3" stopIfTrue="1">
      <formula>ISNUMBER(Q4)</formula>
    </cfRule>
  </conditionalFormatting>
  <conditionalFormatting sqref="S4:S503">
    <cfRule type="expression" priority="21" dxfId="0" stopIfTrue="1">
      <formula>AND(ISNUMBER(S4),S4&lt;TODAY())</formula>
    </cfRule>
    <cfRule type="expression" priority="22" dxfId="1" stopIfTrue="1">
      <formula>AND(ISNUMBER(S4),S4&lt;=TODAY()+30)</formula>
    </cfRule>
    <cfRule type="expression" priority="23" dxfId="2" stopIfTrue="1">
      <formula>AND(ISNUMBER(S4),S4&lt;=TODAY()+90)</formula>
    </cfRule>
    <cfRule type="expression" priority="24" dxfId="3" stopIfTrue="1">
      <formula>ISNUMBER(S4)</formula>
    </cfRule>
  </conditionalFormatting>
  <conditionalFormatting sqref="W4:W503">
    <cfRule type="expression" priority="25" dxfId="0" stopIfTrue="1">
      <formula>AND(ISNUMBER(W4),W4&lt;TODAY())</formula>
    </cfRule>
    <cfRule type="expression" priority="26" dxfId="1" stopIfTrue="1">
      <formula>AND(ISNUMBER(W4),W4&lt;=TODAY()+30)</formula>
    </cfRule>
    <cfRule type="expression" priority="27" dxfId="2" stopIfTrue="1">
      <formula>AND(ISNUMBER(W4),W4&lt;=TODAY()+90)</formula>
    </cfRule>
    <cfRule type="expression" priority="28" dxfId="3" stopIfTrue="1">
      <formula>ISNUMBER(W4)</formula>
    </cfRule>
  </conditionalFormatting>
  <conditionalFormatting sqref="Y4:Y503">
    <cfRule type="expression" priority="29" dxfId="0" stopIfTrue="1">
      <formula>AND(ISNUMBER(Y4),Y4&lt;TODAY())</formula>
    </cfRule>
    <cfRule type="expression" priority="30" dxfId="1" stopIfTrue="1">
      <formula>AND(ISNUMBER(Y4),Y4&lt;=TODAY()+30)</formula>
    </cfRule>
    <cfRule type="expression" priority="31" dxfId="2" stopIfTrue="1">
      <formula>AND(ISNUMBER(Y4),Y4&lt;=TODAY()+90)</formula>
    </cfRule>
    <cfRule type="expression" priority="32" dxfId="3" stopIfTrue="1">
      <formula>ISNUMBER(Y4)</formula>
    </cfRule>
  </conditionalFormatting>
  <conditionalFormatting sqref="AA4:AA503">
    <cfRule type="expression" priority="33" dxfId="0" stopIfTrue="1">
      <formula>AND(ISNUMBER(AA4),AA4&lt;TODAY())</formula>
    </cfRule>
    <cfRule type="expression" priority="34" dxfId="1" stopIfTrue="1">
      <formula>AND(ISNUMBER(AA4),AA4&lt;=TODAY()+30)</formula>
    </cfRule>
    <cfRule type="expression" priority="35" dxfId="2" stopIfTrue="1">
      <formula>AND(ISNUMBER(AA4),AA4&lt;=TODAY()+90)</formula>
    </cfRule>
    <cfRule type="expression" priority="36" dxfId="3" stopIfTrue="1">
      <formula>ISNUMBER(AA4)</formula>
    </cfRule>
  </conditionalFormatting>
  <dataValidations count="15">
    <dataValidation sqref="B4:B503" showDropDown="0" showInputMessage="0" showErrorMessage="1" allowBlank="1" errorTitle="Provider type" error="That is not on the list. Keep it anyway, or add it to the Lists sheet." type="list" errorStyle="warning">
      <formula1>=Lists!$A$2:$A$13</formula1>
    </dataValidation>
    <dataValidation sqref="E4:E503" showDropDown="0" showInputMessage="0" showErrorMessage="1" allowBlank="1" errorTitle="License state" error="That is not on the list. Keep it anyway, or add it to the Lists sheet." type="list" errorStyle="warning">
      <formula1>=Lists!$C$2:$C$52</formula1>
    </dataValidation>
    <dataValidation sqref="G4:G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I4:I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K4:K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M4:M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P4:P503" showDropDown="0" showInputMessage="0" showErrorMessage="1" allowBlank="1" errorTitle="Coverage form" error="Pick one of: Claims-made, Occurrence." type="list" errorStyle="stop">
      <formula1>"Claims-made,Occurrence"</formula1>
    </dataValidation>
    <dataValidation sqref="Q4:Q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R4:R503" showDropDown="0" showInputMessage="0" showErrorMessage="1" allowBlank="1" errorTitle="Life support" error="That is not on the list. Keep it anyway, or add it to the Lists sheet." type="list" errorStyle="warning">
      <formula1>=Lists!$E$2:$E$7</formula1>
    </dataValidation>
    <dataValidation sqref="S4:S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U4:U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V4:V503" showDropDown="0" showInputMessage="0" showErrorMessage="1" allowBlank="1" errorTitle="Number expected" error="Type a number (no currency symbol)." type="decimal" errorStyle="warning" operator="greaterThanOrEqual">
      <formula1>0</formula1>
    </dataValidation>
    <dataValidation sqref="Y4:Y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AA4:AA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AB4:AB503" showDropDown="0" showInputMessage="0" showErrorMessage="1" allowBlank="1" errorTitle="Number expected" error="Type a number (no currency symbol)." type="decimal" errorStyle="warning" operator="greaterThanOrEqual">
      <formula1>0</formula1>
    </dataValidation>
  </dataValidation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N504"/>
  <sheetViews>
    <sheetView showGridLines="0" tabSelected="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2"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4" customWidth="1" min="14" max="14"/>
  </cols>
  <sheetData>
    <row r="1">
      <c r="A1" s="19" t="inlineStr">
        <is>
          <t>Credential matrix: every provider and credential on one screen</t>
        </is>
      </c>
    </row>
    <row r="2">
      <c r="A2" s="3" t="inlineStr">
        <is>
          <t>One line per row of the Providers sheet. Each cell is that credential’s date, colored by how close it is. Blank means no date recorded, which may be fine (not every provider needs every credential) or may be a gap. This sheet fills itself: edit the Providers sheet instead.</t>
        </is>
      </c>
    </row>
    <row r="4" ht="44" customHeight="1">
      <c r="A4" s="29" t="inlineStr">
        <is>
          <t>Provider</t>
        </is>
      </c>
      <c r="B4" s="29" t="inlineStr">
        <is>
          <t>Type</t>
        </is>
      </c>
      <c r="C4" s="29" t="inlineStr">
        <is>
          <t>State</t>
        </is>
      </c>
      <c r="D4" s="30" t="inlineStr">
        <is>
          <t>State license</t>
        </is>
      </c>
      <c r="E4" s="30" t="inlineStr">
        <is>
          <t>DEA registration</t>
        </is>
      </c>
      <c r="F4" s="30" t="inlineStr">
        <is>
          <t>State CSR</t>
        </is>
      </c>
      <c r="G4" s="30" t="inlineStr">
        <is>
          <t>Board certification</t>
        </is>
      </c>
      <c r="H4" s="30" t="inlineStr">
        <is>
          <t>Malpractice</t>
        </is>
      </c>
      <c r="I4" s="30" t="inlineStr">
        <is>
          <t>Life support</t>
        </is>
      </c>
      <c r="J4" s="30" t="inlineStr">
        <is>
          <t>CAQH re-attestation</t>
        </is>
      </c>
      <c r="K4" s="30" t="inlineStr">
        <is>
          <t>Privileges reappointment</t>
        </is>
      </c>
      <c r="L4" s="30" t="inlineStr">
        <is>
          <t>Payer recredentialing</t>
        </is>
      </c>
      <c r="M4" s="30" t="inlineStr">
        <is>
          <t>Next due</t>
        </is>
      </c>
      <c r="N4" s="31" t="inlineStr">
        <is>
          <t>Overall status</t>
        </is>
      </c>
    </row>
    <row r="5">
      <c r="A5" s="32">
        <f>IF(LEN('Providers'!A4)=0,"",IF(LEN('Providers'!A4)=0,"",'Providers'!A4))</f>
        <v/>
      </c>
      <c r="B5" s="33">
        <f>IF(LEN('Providers'!A4)=0,"",IF(LEN('Providers'!B4)=0,"",'Providers'!B4))</f>
        <v/>
      </c>
      <c r="C5" s="33">
        <f>IF(LEN('Providers'!A4)=0,"",IF(LEN('Providers'!E4)=0,"",'Providers'!E4))</f>
        <v/>
      </c>
      <c r="D5" s="34">
        <f>IF(LEN('Providers'!A4)=0,"",IF(ISNUMBER('Providers'!G4),'Providers'!G4,""))</f>
        <v/>
      </c>
      <c r="E5" s="34">
        <f>IF(LEN('Providers'!A4)=0,"",IF(ISNUMBER('Providers'!I4),'Providers'!I4,""))</f>
        <v/>
      </c>
      <c r="F5" s="34">
        <f>IF(LEN('Providers'!A4)=0,"",IF(ISNUMBER('Providers'!K4),'Providers'!K4,""))</f>
        <v/>
      </c>
      <c r="G5" s="34">
        <f>IF(LEN('Providers'!A4)=0,"",IF(ISNUMBER('Providers'!M4),'Providers'!M4,""))</f>
        <v/>
      </c>
      <c r="H5" s="34">
        <f>IF(LEN('Providers'!A4)=0,"",IF(ISNUMBER('Providers'!Q4),'Providers'!Q4,""))</f>
        <v/>
      </c>
      <c r="I5" s="34">
        <f>IF(LEN('Providers'!A4)=0,"",IF(ISNUMBER('Providers'!S4),'Providers'!S4,""))</f>
        <v/>
      </c>
      <c r="J5" s="34">
        <f>IF(LEN('Providers'!A4)=0,"",IF(ISNUMBER('Providers'!W4),'Providers'!W4,""))</f>
        <v/>
      </c>
      <c r="K5" s="34">
        <f>IF(LEN('Providers'!A4)=0,"",IF(ISNUMBER('Providers'!Y4),'Providers'!Y4,""))</f>
        <v/>
      </c>
      <c r="L5" s="34">
        <f>IF(LEN('Providers'!A4)=0,"",IF(ISNUMBER('Providers'!AA4),'Providers'!AA4,""))</f>
        <v/>
      </c>
      <c r="M5" s="34">
        <f>IF(LEN('Providers'!A4)=0,"",IF(ISNUMBER('Providers'!AD4),'Providers'!AD4,""))</f>
        <v/>
      </c>
      <c r="N5" s="35">
        <f>IF(LEN('Providers'!A4)=0,"",IF(LEN('Providers'!AG4)=0,"",'Providers'!AG4))</f>
        <v/>
      </c>
    </row>
    <row r="6">
      <c r="A6" s="32">
        <f>IF(LEN('Providers'!A5)=0,"",IF(LEN('Providers'!A5)=0,"",'Providers'!A5))</f>
        <v/>
      </c>
      <c r="B6" s="33">
        <f>IF(LEN('Providers'!A5)=0,"",IF(LEN('Providers'!B5)=0,"",'Providers'!B5))</f>
        <v/>
      </c>
      <c r="C6" s="33">
        <f>IF(LEN('Providers'!A5)=0,"",IF(LEN('Providers'!E5)=0,"",'Providers'!E5))</f>
        <v/>
      </c>
      <c r="D6" s="34">
        <f>IF(LEN('Providers'!A5)=0,"",IF(ISNUMBER('Providers'!G5),'Providers'!G5,""))</f>
        <v/>
      </c>
      <c r="E6" s="34">
        <f>IF(LEN('Providers'!A5)=0,"",IF(ISNUMBER('Providers'!I5),'Providers'!I5,""))</f>
        <v/>
      </c>
      <c r="F6" s="34">
        <f>IF(LEN('Providers'!A5)=0,"",IF(ISNUMBER('Providers'!K5),'Providers'!K5,""))</f>
        <v/>
      </c>
      <c r="G6" s="34">
        <f>IF(LEN('Providers'!A5)=0,"",IF(ISNUMBER('Providers'!M5),'Providers'!M5,""))</f>
        <v/>
      </c>
      <c r="H6" s="34">
        <f>IF(LEN('Providers'!A5)=0,"",IF(ISNUMBER('Providers'!Q5),'Providers'!Q5,""))</f>
        <v/>
      </c>
      <c r="I6" s="34">
        <f>IF(LEN('Providers'!A5)=0,"",IF(ISNUMBER('Providers'!S5),'Providers'!S5,""))</f>
        <v/>
      </c>
      <c r="J6" s="34">
        <f>IF(LEN('Providers'!A5)=0,"",IF(ISNUMBER('Providers'!W5),'Providers'!W5,""))</f>
        <v/>
      </c>
      <c r="K6" s="34">
        <f>IF(LEN('Providers'!A5)=0,"",IF(ISNUMBER('Providers'!Y5),'Providers'!Y5,""))</f>
        <v/>
      </c>
      <c r="L6" s="34">
        <f>IF(LEN('Providers'!A5)=0,"",IF(ISNUMBER('Providers'!AA5),'Providers'!AA5,""))</f>
        <v/>
      </c>
      <c r="M6" s="34">
        <f>IF(LEN('Providers'!A5)=0,"",IF(ISNUMBER('Providers'!AD5),'Providers'!AD5,""))</f>
        <v/>
      </c>
      <c r="N6" s="35">
        <f>IF(LEN('Providers'!A5)=0,"",IF(LEN('Providers'!AG5)=0,"",'Providers'!AG5))</f>
        <v/>
      </c>
    </row>
    <row r="7">
      <c r="A7" s="32">
        <f>IF(LEN('Providers'!A6)=0,"",IF(LEN('Providers'!A6)=0,"",'Providers'!A6))</f>
        <v/>
      </c>
      <c r="B7" s="33">
        <f>IF(LEN('Providers'!A6)=0,"",IF(LEN('Providers'!B6)=0,"",'Providers'!B6))</f>
        <v/>
      </c>
      <c r="C7" s="33">
        <f>IF(LEN('Providers'!A6)=0,"",IF(LEN('Providers'!E6)=0,"",'Providers'!E6))</f>
        <v/>
      </c>
      <c r="D7" s="34">
        <f>IF(LEN('Providers'!A6)=0,"",IF(ISNUMBER('Providers'!G6),'Providers'!G6,""))</f>
        <v/>
      </c>
      <c r="E7" s="34">
        <f>IF(LEN('Providers'!A6)=0,"",IF(ISNUMBER('Providers'!I6),'Providers'!I6,""))</f>
        <v/>
      </c>
      <c r="F7" s="34">
        <f>IF(LEN('Providers'!A6)=0,"",IF(ISNUMBER('Providers'!K6),'Providers'!K6,""))</f>
        <v/>
      </c>
      <c r="G7" s="34">
        <f>IF(LEN('Providers'!A6)=0,"",IF(ISNUMBER('Providers'!M6),'Providers'!M6,""))</f>
        <v/>
      </c>
      <c r="H7" s="34">
        <f>IF(LEN('Providers'!A6)=0,"",IF(ISNUMBER('Providers'!Q6),'Providers'!Q6,""))</f>
        <v/>
      </c>
      <c r="I7" s="34">
        <f>IF(LEN('Providers'!A6)=0,"",IF(ISNUMBER('Providers'!S6),'Providers'!S6,""))</f>
        <v/>
      </c>
      <c r="J7" s="34">
        <f>IF(LEN('Providers'!A6)=0,"",IF(ISNUMBER('Providers'!W6),'Providers'!W6,""))</f>
        <v/>
      </c>
      <c r="K7" s="34">
        <f>IF(LEN('Providers'!A6)=0,"",IF(ISNUMBER('Providers'!Y6),'Providers'!Y6,""))</f>
        <v/>
      </c>
      <c r="L7" s="34">
        <f>IF(LEN('Providers'!A6)=0,"",IF(ISNUMBER('Providers'!AA6),'Providers'!AA6,""))</f>
        <v/>
      </c>
      <c r="M7" s="34">
        <f>IF(LEN('Providers'!A6)=0,"",IF(ISNUMBER('Providers'!AD6),'Providers'!AD6,""))</f>
        <v/>
      </c>
      <c r="N7" s="35">
        <f>IF(LEN('Providers'!A6)=0,"",IF(LEN('Providers'!AG6)=0,"",'Providers'!AG6))</f>
        <v/>
      </c>
    </row>
    <row r="8">
      <c r="A8" s="32">
        <f>IF(LEN('Providers'!A7)=0,"",IF(LEN('Providers'!A7)=0,"",'Providers'!A7))</f>
        <v/>
      </c>
      <c r="B8" s="33">
        <f>IF(LEN('Providers'!A7)=0,"",IF(LEN('Providers'!B7)=0,"",'Providers'!B7))</f>
        <v/>
      </c>
      <c r="C8" s="33">
        <f>IF(LEN('Providers'!A7)=0,"",IF(LEN('Providers'!E7)=0,"",'Providers'!E7))</f>
        <v/>
      </c>
      <c r="D8" s="34">
        <f>IF(LEN('Providers'!A7)=0,"",IF(ISNUMBER('Providers'!G7),'Providers'!G7,""))</f>
        <v/>
      </c>
      <c r="E8" s="34">
        <f>IF(LEN('Providers'!A7)=0,"",IF(ISNUMBER('Providers'!I7),'Providers'!I7,""))</f>
        <v/>
      </c>
      <c r="F8" s="34">
        <f>IF(LEN('Providers'!A7)=0,"",IF(ISNUMBER('Providers'!K7),'Providers'!K7,""))</f>
        <v/>
      </c>
      <c r="G8" s="34">
        <f>IF(LEN('Providers'!A7)=0,"",IF(ISNUMBER('Providers'!M7),'Providers'!M7,""))</f>
        <v/>
      </c>
      <c r="H8" s="34">
        <f>IF(LEN('Providers'!A7)=0,"",IF(ISNUMBER('Providers'!Q7),'Providers'!Q7,""))</f>
        <v/>
      </c>
      <c r="I8" s="34">
        <f>IF(LEN('Providers'!A7)=0,"",IF(ISNUMBER('Providers'!S7),'Providers'!S7,""))</f>
        <v/>
      </c>
      <c r="J8" s="34">
        <f>IF(LEN('Providers'!A7)=0,"",IF(ISNUMBER('Providers'!W7),'Providers'!W7,""))</f>
        <v/>
      </c>
      <c r="K8" s="34">
        <f>IF(LEN('Providers'!A7)=0,"",IF(ISNUMBER('Providers'!Y7),'Providers'!Y7,""))</f>
        <v/>
      </c>
      <c r="L8" s="34">
        <f>IF(LEN('Providers'!A7)=0,"",IF(ISNUMBER('Providers'!AA7),'Providers'!AA7,""))</f>
        <v/>
      </c>
      <c r="M8" s="34">
        <f>IF(LEN('Providers'!A7)=0,"",IF(ISNUMBER('Providers'!AD7),'Providers'!AD7,""))</f>
        <v/>
      </c>
      <c r="N8" s="35">
        <f>IF(LEN('Providers'!A7)=0,"",IF(LEN('Providers'!AG7)=0,"",'Providers'!AG7))</f>
        <v/>
      </c>
    </row>
    <row r="9">
      <c r="A9" s="32">
        <f>IF(LEN('Providers'!A8)=0,"",IF(LEN('Providers'!A8)=0,"",'Providers'!A8))</f>
        <v/>
      </c>
      <c r="B9" s="33">
        <f>IF(LEN('Providers'!A8)=0,"",IF(LEN('Providers'!B8)=0,"",'Providers'!B8))</f>
        <v/>
      </c>
      <c r="C9" s="33">
        <f>IF(LEN('Providers'!A8)=0,"",IF(LEN('Providers'!E8)=0,"",'Providers'!E8))</f>
        <v/>
      </c>
      <c r="D9" s="34">
        <f>IF(LEN('Providers'!A8)=0,"",IF(ISNUMBER('Providers'!G8),'Providers'!G8,""))</f>
        <v/>
      </c>
      <c r="E9" s="34">
        <f>IF(LEN('Providers'!A8)=0,"",IF(ISNUMBER('Providers'!I8),'Providers'!I8,""))</f>
        <v/>
      </c>
      <c r="F9" s="34">
        <f>IF(LEN('Providers'!A8)=0,"",IF(ISNUMBER('Providers'!K8),'Providers'!K8,""))</f>
        <v/>
      </c>
      <c r="G9" s="34">
        <f>IF(LEN('Providers'!A8)=0,"",IF(ISNUMBER('Providers'!M8),'Providers'!M8,""))</f>
        <v/>
      </c>
      <c r="H9" s="34">
        <f>IF(LEN('Providers'!A8)=0,"",IF(ISNUMBER('Providers'!Q8),'Providers'!Q8,""))</f>
        <v/>
      </c>
      <c r="I9" s="34">
        <f>IF(LEN('Providers'!A8)=0,"",IF(ISNUMBER('Providers'!S8),'Providers'!S8,""))</f>
        <v/>
      </c>
      <c r="J9" s="34">
        <f>IF(LEN('Providers'!A8)=0,"",IF(ISNUMBER('Providers'!W8),'Providers'!W8,""))</f>
        <v/>
      </c>
      <c r="K9" s="34">
        <f>IF(LEN('Providers'!A8)=0,"",IF(ISNUMBER('Providers'!Y8),'Providers'!Y8,""))</f>
        <v/>
      </c>
      <c r="L9" s="34">
        <f>IF(LEN('Providers'!A8)=0,"",IF(ISNUMBER('Providers'!AA8),'Providers'!AA8,""))</f>
        <v/>
      </c>
      <c r="M9" s="34">
        <f>IF(LEN('Providers'!A8)=0,"",IF(ISNUMBER('Providers'!AD8),'Providers'!AD8,""))</f>
        <v/>
      </c>
      <c r="N9" s="35">
        <f>IF(LEN('Providers'!A8)=0,"",IF(LEN('Providers'!AG8)=0,"",'Providers'!AG8))</f>
        <v/>
      </c>
    </row>
    <row r="10">
      <c r="A10" s="32">
        <f>IF(LEN('Providers'!A9)=0,"",IF(LEN('Providers'!A9)=0,"",'Providers'!A9))</f>
        <v/>
      </c>
      <c r="B10" s="33">
        <f>IF(LEN('Providers'!A9)=0,"",IF(LEN('Providers'!B9)=0,"",'Providers'!B9))</f>
        <v/>
      </c>
      <c r="C10" s="33">
        <f>IF(LEN('Providers'!A9)=0,"",IF(LEN('Providers'!E9)=0,"",'Providers'!E9))</f>
        <v/>
      </c>
      <c r="D10" s="34">
        <f>IF(LEN('Providers'!A9)=0,"",IF(ISNUMBER('Providers'!G9),'Providers'!G9,""))</f>
        <v/>
      </c>
      <c r="E10" s="34">
        <f>IF(LEN('Providers'!A9)=0,"",IF(ISNUMBER('Providers'!I9),'Providers'!I9,""))</f>
        <v/>
      </c>
      <c r="F10" s="34">
        <f>IF(LEN('Providers'!A9)=0,"",IF(ISNUMBER('Providers'!K9),'Providers'!K9,""))</f>
        <v/>
      </c>
      <c r="G10" s="34">
        <f>IF(LEN('Providers'!A9)=0,"",IF(ISNUMBER('Providers'!M9),'Providers'!M9,""))</f>
        <v/>
      </c>
      <c r="H10" s="34">
        <f>IF(LEN('Providers'!A9)=0,"",IF(ISNUMBER('Providers'!Q9),'Providers'!Q9,""))</f>
        <v/>
      </c>
      <c r="I10" s="34">
        <f>IF(LEN('Providers'!A9)=0,"",IF(ISNUMBER('Providers'!S9),'Providers'!S9,""))</f>
        <v/>
      </c>
      <c r="J10" s="34">
        <f>IF(LEN('Providers'!A9)=0,"",IF(ISNUMBER('Providers'!W9),'Providers'!W9,""))</f>
        <v/>
      </c>
      <c r="K10" s="34">
        <f>IF(LEN('Providers'!A9)=0,"",IF(ISNUMBER('Providers'!Y9),'Providers'!Y9,""))</f>
        <v/>
      </c>
      <c r="L10" s="34">
        <f>IF(LEN('Providers'!A9)=0,"",IF(ISNUMBER('Providers'!AA9),'Providers'!AA9,""))</f>
        <v/>
      </c>
      <c r="M10" s="34">
        <f>IF(LEN('Providers'!A9)=0,"",IF(ISNUMBER('Providers'!AD9),'Providers'!AD9,""))</f>
        <v/>
      </c>
      <c r="N10" s="35">
        <f>IF(LEN('Providers'!A9)=0,"",IF(LEN('Providers'!AG9)=0,"",'Providers'!AG9))</f>
        <v/>
      </c>
    </row>
    <row r="11">
      <c r="A11" s="32">
        <f>IF(LEN('Providers'!A10)=0,"",IF(LEN('Providers'!A10)=0,"",'Providers'!A10))</f>
        <v/>
      </c>
      <c r="B11" s="33">
        <f>IF(LEN('Providers'!A10)=0,"",IF(LEN('Providers'!B10)=0,"",'Providers'!B10))</f>
        <v/>
      </c>
      <c r="C11" s="33">
        <f>IF(LEN('Providers'!A10)=0,"",IF(LEN('Providers'!E10)=0,"",'Providers'!E10))</f>
        <v/>
      </c>
      <c r="D11" s="34">
        <f>IF(LEN('Providers'!A10)=0,"",IF(ISNUMBER('Providers'!G10),'Providers'!G10,""))</f>
        <v/>
      </c>
      <c r="E11" s="34">
        <f>IF(LEN('Providers'!A10)=0,"",IF(ISNUMBER('Providers'!I10),'Providers'!I10,""))</f>
        <v/>
      </c>
      <c r="F11" s="34">
        <f>IF(LEN('Providers'!A10)=0,"",IF(ISNUMBER('Providers'!K10),'Providers'!K10,""))</f>
        <v/>
      </c>
      <c r="G11" s="34">
        <f>IF(LEN('Providers'!A10)=0,"",IF(ISNUMBER('Providers'!M10),'Providers'!M10,""))</f>
        <v/>
      </c>
      <c r="H11" s="34">
        <f>IF(LEN('Providers'!A10)=0,"",IF(ISNUMBER('Providers'!Q10),'Providers'!Q10,""))</f>
        <v/>
      </c>
      <c r="I11" s="34">
        <f>IF(LEN('Providers'!A10)=0,"",IF(ISNUMBER('Providers'!S10),'Providers'!S10,""))</f>
        <v/>
      </c>
      <c r="J11" s="34">
        <f>IF(LEN('Providers'!A10)=0,"",IF(ISNUMBER('Providers'!W10),'Providers'!W10,""))</f>
        <v/>
      </c>
      <c r="K11" s="34">
        <f>IF(LEN('Providers'!A10)=0,"",IF(ISNUMBER('Providers'!Y10),'Providers'!Y10,""))</f>
        <v/>
      </c>
      <c r="L11" s="34">
        <f>IF(LEN('Providers'!A10)=0,"",IF(ISNUMBER('Providers'!AA10),'Providers'!AA10,""))</f>
        <v/>
      </c>
      <c r="M11" s="34">
        <f>IF(LEN('Providers'!A10)=0,"",IF(ISNUMBER('Providers'!AD10),'Providers'!AD10,""))</f>
        <v/>
      </c>
      <c r="N11" s="35">
        <f>IF(LEN('Providers'!A10)=0,"",IF(LEN('Providers'!AG10)=0,"",'Providers'!AG10))</f>
        <v/>
      </c>
    </row>
    <row r="12">
      <c r="A12" s="32">
        <f>IF(LEN('Providers'!A11)=0,"",IF(LEN('Providers'!A11)=0,"",'Providers'!A11))</f>
        <v/>
      </c>
      <c r="B12" s="33">
        <f>IF(LEN('Providers'!A11)=0,"",IF(LEN('Providers'!B11)=0,"",'Providers'!B11))</f>
        <v/>
      </c>
      <c r="C12" s="33">
        <f>IF(LEN('Providers'!A11)=0,"",IF(LEN('Providers'!E11)=0,"",'Providers'!E11))</f>
        <v/>
      </c>
      <c r="D12" s="34">
        <f>IF(LEN('Providers'!A11)=0,"",IF(ISNUMBER('Providers'!G11),'Providers'!G11,""))</f>
        <v/>
      </c>
      <c r="E12" s="34">
        <f>IF(LEN('Providers'!A11)=0,"",IF(ISNUMBER('Providers'!I11),'Providers'!I11,""))</f>
        <v/>
      </c>
      <c r="F12" s="34">
        <f>IF(LEN('Providers'!A11)=0,"",IF(ISNUMBER('Providers'!K11),'Providers'!K11,""))</f>
        <v/>
      </c>
      <c r="G12" s="34">
        <f>IF(LEN('Providers'!A11)=0,"",IF(ISNUMBER('Providers'!M11),'Providers'!M11,""))</f>
        <v/>
      </c>
      <c r="H12" s="34">
        <f>IF(LEN('Providers'!A11)=0,"",IF(ISNUMBER('Providers'!Q11),'Providers'!Q11,""))</f>
        <v/>
      </c>
      <c r="I12" s="34">
        <f>IF(LEN('Providers'!A11)=0,"",IF(ISNUMBER('Providers'!S11),'Providers'!S11,""))</f>
        <v/>
      </c>
      <c r="J12" s="34">
        <f>IF(LEN('Providers'!A11)=0,"",IF(ISNUMBER('Providers'!W11),'Providers'!W11,""))</f>
        <v/>
      </c>
      <c r="K12" s="34">
        <f>IF(LEN('Providers'!A11)=0,"",IF(ISNUMBER('Providers'!Y11),'Providers'!Y11,""))</f>
        <v/>
      </c>
      <c r="L12" s="34">
        <f>IF(LEN('Providers'!A11)=0,"",IF(ISNUMBER('Providers'!AA11),'Providers'!AA11,""))</f>
        <v/>
      </c>
      <c r="M12" s="34">
        <f>IF(LEN('Providers'!A11)=0,"",IF(ISNUMBER('Providers'!AD11),'Providers'!AD11,""))</f>
        <v/>
      </c>
      <c r="N12" s="35">
        <f>IF(LEN('Providers'!A11)=0,"",IF(LEN('Providers'!AG11)=0,"",'Providers'!AG11))</f>
        <v/>
      </c>
    </row>
    <row r="13">
      <c r="A13" s="32">
        <f>IF(LEN('Providers'!A12)=0,"",IF(LEN('Providers'!A12)=0,"",'Providers'!A12))</f>
        <v/>
      </c>
      <c r="B13" s="33">
        <f>IF(LEN('Providers'!A12)=0,"",IF(LEN('Providers'!B12)=0,"",'Providers'!B12))</f>
        <v/>
      </c>
      <c r="C13" s="33">
        <f>IF(LEN('Providers'!A12)=0,"",IF(LEN('Providers'!E12)=0,"",'Providers'!E12))</f>
        <v/>
      </c>
      <c r="D13" s="34">
        <f>IF(LEN('Providers'!A12)=0,"",IF(ISNUMBER('Providers'!G12),'Providers'!G12,""))</f>
        <v/>
      </c>
      <c r="E13" s="34">
        <f>IF(LEN('Providers'!A12)=0,"",IF(ISNUMBER('Providers'!I12),'Providers'!I12,""))</f>
        <v/>
      </c>
      <c r="F13" s="34">
        <f>IF(LEN('Providers'!A12)=0,"",IF(ISNUMBER('Providers'!K12),'Providers'!K12,""))</f>
        <v/>
      </c>
      <c r="G13" s="34">
        <f>IF(LEN('Providers'!A12)=0,"",IF(ISNUMBER('Providers'!M12),'Providers'!M12,""))</f>
        <v/>
      </c>
      <c r="H13" s="34">
        <f>IF(LEN('Providers'!A12)=0,"",IF(ISNUMBER('Providers'!Q12),'Providers'!Q12,""))</f>
        <v/>
      </c>
      <c r="I13" s="34">
        <f>IF(LEN('Providers'!A12)=0,"",IF(ISNUMBER('Providers'!S12),'Providers'!S12,""))</f>
        <v/>
      </c>
      <c r="J13" s="34">
        <f>IF(LEN('Providers'!A12)=0,"",IF(ISNUMBER('Providers'!W12),'Providers'!W12,""))</f>
        <v/>
      </c>
      <c r="K13" s="34">
        <f>IF(LEN('Providers'!A12)=0,"",IF(ISNUMBER('Providers'!Y12),'Providers'!Y12,""))</f>
        <v/>
      </c>
      <c r="L13" s="34">
        <f>IF(LEN('Providers'!A12)=0,"",IF(ISNUMBER('Providers'!AA12),'Providers'!AA12,""))</f>
        <v/>
      </c>
      <c r="M13" s="34">
        <f>IF(LEN('Providers'!A12)=0,"",IF(ISNUMBER('Providers'!AD12),'Providers'!AD12,""))</f>
        <v/>
      </c>
      <c r="N13" s="35">
        <f>IF(LEN('Providers'!A12)=0,"",IF(LEN('Providers'!AG12)=0,"",'Providers'!AG12))</f>
        <v/>
      </c>
    </row>
    <row r="14">
      <c r="A14" s="32">
        <f>IF(LEN('Providers'!A13)=0,"",IF(LEN('Providers'!A13)=0,"",'Providers'!A13))</f>
        <v/>
      </c>
      <c r="B14" s="33">
        <f>IF(LEN('Providers'!A13)=0,"",IF(LEN('Providers'!B13)=0,"",'Providers'!B13))</f>
        <v/>
      </c>
      <c r="C14" s="33">
        <f>IF(LEN('Providers'!A13)=0,"",IF(LEN('Providers'!E13)=0,"",'Providers'!E13))</f>
        <v/>
      </c>
      <c r="D14" s="34">
        <f>IF(LEN('Providers'!A13)=0,"",IF(ISNUMBER('Providers'!G13),'Providers'!G13,""))</f>
        <v/>
      </c>
      <c r="E14" s="34">
        <f>IF(LEN('Providers'!A13)=0,"",IF(ISNUMBER('Providers'!I13),'Providers'!I13,""))</f>
        <v/>
      </c>
      <c r="F14" s="34">
        <f>IF(LEN('Providers'!A13)=0,"",IF(ISNUMBER('Providers'!K13),'Providers'!K13,""))</f>
        <v/>
      </c>
      <c r="G14" s="34">
        <f>IF(LEN('Providers'!A13)=0,"",IF(ISNUMBER('Providers'!M13),'Providers'!M13,""))</f>
        <v/>
      </c>
      <c r="H14" s="34">
        <f>IF(LEN('Providers'!A13)=0,"",IF(ISNUMBER('Providers'!Q13),'Providers'!Q13,""))</f>
        <v/>
      </c>
      <c r="I14" s="34">
        <f>IF(LEN('Providers'!A13)=0,"",IF(ISNUMBER('Providers'!S13),'Providers'!S13,""))</f>
        <v/>
      </c>
      <c r="J14" s="34">
        <f>IF(LEN('Providers'!A13)=0,"",IF(ISNUMBER('Providers'!W13),'Providers'!W13,""))</f>
        <v/>
      </c>
      <c r="K14" s="34">
        <f>IF(LEN('Providers'!A13)=0,"",IF(ISNUMBER('Providers'!Y13),'Providers'!Y13,""))</f>
        <v/>
      </c>
      <c r="L14" s="34">
        <f>IF(LEN('Providers'!A13)=0,"",IF(ISNUMBER('Providers'!AA13),'Providers'!AA13,""))</f>
        <v/>
      </c>
      <c r="M14" s="34">
        <f>IF(LEN('Providers'!A13)=0,"",IF(ISNUMBER('Providers'!AD13),'Providers'!AD13,""))</f>
        <v/>
      </c>
      <c r="N14" s="35">
        <f>IF(LEN('Providers'!A13)=0,"",IF(LEN('Providers'!AG13)=0,"",'Providers'!AG13))</f>
        <v/>
      </c>
    </row>
    <row r="15">
      <c r="A15" s="32">
        <f>IF(LEN('Providers'!A14)=0,"",IF(LEN('Providers'!A14)=0,"",'Providers'!A14))</f>
        <v/>
      </c>
      <c r="B15" s="33">
        <f>IF(LEN('Providers'!A14)=0,"",IF(LEN('Providers'!B14)=0,"",'Providers'!B14))</f>
        <v/>
      </c>
      <c r="C15" s="33">
        <f>IF(LEN('Providers'!A14)=0,"",IF(LEN('Providers'!E14)=0,"",'Providers'!E14))</f>
        <v/>
      </c>
      <c r="D15" s="34">
        <f>IF(LEN('Providers'!A14)=0,"",IF(ISNUMBER('Providers'!G14),'Providers'!G14,""))</f>
        <v/>
      </c>
      <c r="E15" s="34">
        <f>IF(LEN('Providers'!A14)=0,"",IF(ISNUMBER('Providers'!I14),'Providers'!I14,""))</f>
        <v/>
      </c>
      <c r="F15" s="34">
        <f>IF(LEN('Providers'!A14)=0,"",IF(ISNUMBER('Providers'!K14),'Providers'!K14,""))</f>
        <v/>
      </c>
      <c r="G15" s="34">
        <f>IF(LEN('Providers'!A14)=0,"",IF(ISNUMBER('Providers'!M14),'Providers'!M14,""))</f>
        <v/>
      </c>
      <c r="H15" s="34">
        <f>IF(LEN('Providers'!A14)=0,"",IF(ISNUMBER('Providers'!Q14),'Providers'!Q14,""))</f>
        <v/>
      </c>
      <c r="I15" s="34">
        <f>IF(LEN('Providers'!A14)=0,"",IF(ISNUMBER('Providers'!S14),'Providers'!S14,""))</f>
        <v/>
      </c>
      <c r="J15" s="34">
        <f>IF(LEN('Providers'!A14)=0,"",IF(ISNUMBER('Providers'!W14),'Providers'!W14,""))</f>
        <v/>
      </c>
      <c r="K15" s="34">
        <f>IF(LEN('Providers'!A14)=0,"",IF(ISNUMBER('Providers'!Y14),'Providers'!Y14,""))</f>
        <v/>
      </c>
      <c r="L15" s="34">
        <f>IF(LEN('Providers'!A14)=0,"",IF(ISNUMBER('Providers'!AA14),'Providers'!AA14,""))</f>
        <v/>
      </c>
      <c r="M15" s="34">
        <f>IF(LEN('Providers'!A14)=0,"",IF(ISNUMBER('Providers'!AD14),'Providers'!AD14,""))</f>
        <v/>
      </c>
      <c r="N15" s="35">
        <f>IF(LEN('Providers'!A14)=0,"",IF(LEN('Providers'!AG14)=0,"",'Providers'!AG14))</f>
        <v/>
      </c>
    </row>
    <row r="16">
      <c r="A16" s="32">
        <f>IF(LEN('Providers'!A15)=0,"",IF(LEN('Providers'!A15)=0,"",'Providers'!A15))</f>
        <v/>
      </c>
      <c r="B16" s="33">
        <f>IF(LEN('Providers'!A15)=0,"",IF(LEN('Providers'!B15)=0,"",'Providers'!B15))</f>
        <v/>
      </c>
      <c r="C16" s="33">
        <f>IF(LEN('Providers'!A15)=0,"",IF(LEN('Providers'!E15)=0,"",'Providers'!E15))</f>
        <v/>
      </c>
      <c r="D16" s="34">
        <f>IF(LEN('Providers'!A15)=0,"",IF(ISNUMBER('Providers'!G15),'Providers'!G15,""))</f>
        <v/>
      </c>
      <c r="E16" s="34">
        <f>IF(LEN('Providers'!A15)=0,"",IF(ISNUMBER('Providers'!I15),'Providers'!I15,""))</f>
        <v/>
      </c>
      <c r="F16" s="34">
        <f>IF(LEN('Providers'!A15)=0,"",IF(ISNUMBER('Providers'!K15),'Providers'!K15,""))</f>
        <v/>
      </c>
      <c r="G16" s="34">
        <f>IF(LEN('Providers'!A15)=0,"",IF(ISNUMBER('Providers'!M15),'Providers'!M15,""))</f>
        <v/>
      </c>
      <c r="H16" s="34">
        <f>IF(LEN('Providers'!A15)=0,"",IF(ISNUMBER('Providers'!Q15),'Providers'!Q15,""))</f>
        <v/>
      </c>
      <c r="I16" s="34">
        <f>IF(LEN('Providers'!A15)=0,"",IF(ISNUMBER('Providers'!S15),'Providers'!S15,""))</f>
        <v/>
      </c>
      <c r="J16" s="34">
        <f>IF(LEN('Providers'!A15)=0,"",IF(ISNUMBER('Providers'!W15),'Providers'!W15,""))</f>
        <v/>
      </c>
      <c r="K16" s="34">
        <f>IF(LEN('Providers'!A15)=0,"",IF(ISNUMBER('Providers'!Y15),'Providers'!Y15,""))</f>
        <v/>
      </c>
      <c r="L16" s="34">
        <f>IF(LEN('Providers'!A15)=0,"",IF(ISNUMBER('Providers'!AA15),'Providers'!AA15,""))</f>
        <v/>
      </c>
      <c r="M16" s="34">
        <f>IF(LEN('Providers'!A15)=0,"",IF(ISNUMBER('Providers'!AD15),'Providers'!AD15,""))</f>
        <v/>
      </c>
      <c r="N16" s="35">
        <f>IF(LEN('Providers'!A15)=0,"",IF(LEN('Providers'!AG15)=0,"",'Providers'!AG15))</f>
        <v/>
      </c>
    </row>
    <row r="17">
      <c r="A17" s="32">
        <f>IF(LEN('Providers'!A16)=0,"",IF(LEN('Providers'!A16)=0,"",'Providers'!A16))</f>
        <v/>
      </c>
      <c r="B17" s="33">
        <f>IF(LEN('Providers'!A16)=0,"",IF(LEN('Providers'!B16)=0,"",'Providers'!B16))</f>
        <v/>
      </c>
      <c r="C17" s="33">
        <f>IF(LEN('Providers'!A16)=0,"",IF(LEN('Providers'!E16)=0,"",'Providers'!E16))</f>
        <v/>
      </c>
      <c r="D17" s="34">
        <f>IF(LEN('Providers'!A16)=0,"",IF(ISNUMBER('Providers'!G16),'Providers'!G16,""))</f>
        <v/>
      </c>
      <c r="E17" s="34">
        <f>IF(LEN('Providers'!A16)=0,"",IF(ISNUMBER('Providers'!I16),'Providers'!I16,""))</f>
        <v/>
      </c>
      <c r="F17" s="34">
        <f>IF(LEN('Providers'!A16)=0,"",IF(ISNUMBER('Providers'!K16),'Providers'!K16,""))</f>
        <v/>
      </c>
      <c r="G17" s="34">
        <f>IF(LEN('Providers'!A16)=0,"",IF(ISNUMBER('Providers'!M16),'Providers'!M16,""))</f>
        <v/>
      </c>
      <c r="H17" s="34">
        <f>IF(LEN('Providers'!A16)=0,"",IF(ISNUMBER('Providers'!Q16),'Providers'!Q16,""))</f>
        <v/>
      </c>
      <c r="I17" s="34">
        <f>IF(LEN('Providers'!A16)=0,"",IF(ISNUMBER('Providers'!S16),'Providers'!S16,""))</f>
        <v/>
      </c>
      <c r="J17" s="34">
        <f>IF(LEN('Providers'!A16)=0,"",IF(ISNUMBER('Providers'!W16),'Providers'!W16,""))</f>
        <v/>
      </c>
      <c r="K17" s="34">
        <f>IF(LEN('Providers'!A16)=0,"",IF(ISNUMBER('Providers'!Y16),'Providers'!Y16,""))</f>
        <v/>
      </c>
      <c r="L17" s="34">
        <f>IF(LEN('Providers'!A16)=0,"",IF(ISNUMBER('Providers'!AA16),'Providers'!AA16,""))</f>
        <v/>
      </c>
      <c r="M17" s="34">
        <f>IF(LEN('Providers'!A16)=0,"",IF(ISNUMBER('Providers'!AD16),'Providers'!AD16,""))</f>
        <v/>
      </c>
      <c r="N17" s="35">
        <f>IF(LEN('Providers'!A16)=0,"",IF(LEN('Providers'!AG16)=0,"",'Providers'!AG16))</f>
        <v/>
      </c>
    </row>
    <row r="18">
      <c r="A18" s="32">
        <f>IF(LEN('Providers'!A17)=0,"",IF(LEN('Providers'!A17)=0,"",'Providers'!A17))</f>
        <v/>
      </c>
      <c r="B18" s="33">
        <f>IF(LEN('Providers'!A17)=0,"",IF(LEN('Providers'!B17)=0,"",'Providers'!B17))</f>
        <v/>
      </c>
      <c r="C18" s="33">
        <f>IF(LEN('Providers'!A17)=0,"",IF(LEN('Providers'!E17)=0,"",'Providers'!E17))</f>
        <v/>
      </c>
      <c r="D18" s="34">
        <f>IF(LEN('Providers'!A17)=0,"",IF(ISNUMBER('Providers'!G17),'Providers'!G17,""))</f>
        <v/>
      </c>
      <c r="E18" s="34">
        <f>IF(LEN('Providers'!A17)=0,"",IF(ISNUMBER('Providers'!I17),'Providers'!I17,""))</f>
        <v/>
      </c>
      <c r="F18" s="34">
        <f>IF(LEN('Providers'!A17)=0,"",IF(ISNUMBER('Providers'!K17),'Providers'!K17,""))</f>
        <v/>
      </c>
      <c r="G18" s="34">
        <f>IF(LEN('Providers'!A17)=0,"",IF(ISNUMBER('Providers'!M17),'Providers'!M17,""))</f>
        <v/>
      </c>
      <c r="H18" s="34">
        <f>IF(LEN('Providers'!A17)=0,"",IF(ISNUMBER('Providers'!Q17),'Providers'!Q17,""))</f>
        <v/>
      </c>
      <c r="I18" s="34">
        <f>IF(LEN('Providers'!A17)=0,"",IF(ISNUMBER('Providers'!S17),'Providers'!S17,""))</f>
        <v/>
      </c>
      <c r="J18" s="34">
        <f>IF(LEN('Providers'!A17)=0,"",IF(ISNUMBER('Providers'!W17),'Providers'!W17,""))</f>
        <v/>
      </c>
      <c r="K18" s="34">
        <f>IF(LEN('Providers'!A17)=0,"",IF(ISNUMBER('Providers'!Y17),'Providers'!Y17,""))</f>
        <v/>
      </c>
      <c r="L18" s="34">
        <f>IF(LEN('Providers'!A17)=0,"",IF(ISNUMBER('Providers'!AA17),'Providers'!AA17,""))</f>
        <v/>
      </c>
      <c r="M18" s="34">
        <f>IF(LEN('Providers'!A17)=0,"",IF(ISNUMBER('Providers'!AD17),'Providers'!AD17,""))</f>
        <v/>
      </c>
      <c r="N18" s="35">
        <f>IF(LEN('Providers'!A17)=0,"",IF(LEN('Providers'!AG17)=0,"",'Providers'!AG17))</f>
        <v/>
      </c>
    </row>
    <row r="19">
      <c r="A19" s="32">
        <f>IF(LEN('Providers'!A18)=0,"",IF(LEN('Providers'!A18)=0,"",'Providers'!A18))</f>
        <v/>
      </c>
      <c r="B19" s="33">
        <f>IF(LEN('Providers'!A18)=0,"",IF(LEN('Providers'!B18)=0,"",'Providers'!B18))</f>
        <v/>
      </c>
      <c r="C19" s="33">
        <f>IF(LEN('Providers'!A18)=0,"",IF(LEN('Providers'!E18)=0,"",'Providers'!E18))</f>
        <v/>
      </c>
      <c r="D19" s="34">
        <f>IF(LEN('Providers'!A18)=0,"",IF(ISNUMBER('Providers'!G18),'Providers'!G18,""))</f>
        <v/>
      </c>
      <c r="E19" s="34">
        <f>IF(LEN('Providers'!A18)=0,"",IF(ISNUMBER('Providers'!I18),'Providers'!I18,""))</f>
        <v/>
      </c>
      <c r="F19" s="34">
        <f>IF(LEN('Providers'!A18)=0,"",IF(ISNUMBER('Providers'!K18),'Providers'!K18,""))</f>
        <v/>
      </c>
      <c r="G19" s="34">
        <f>IF(LEN('Providers'!A18)=0,"",IF(ISNUMBER('Providers'!M18),'Providers'!M18,""))</f>
        <v/>
      </c>
      <c r="H19" s="34">
        <f>IF(LEN('Providers'!A18)=0,"",IF(ISNUMBER('Providers'!Q18),'Providers'!Q18,""))</f>
        <v/>
      </c>
      <c r="I19" s="34">
        <f>IF(LEN('Providers'!A18)=0,"",IF(ISNUMBER('Providers'!S18),'Providers'!S18,""))</f>
        <v/>
      </c>
      <c r="J19" s="34">
        <f>IF(LEN('Providers'!A18)=0,"",IF(ISNUMBER('Providers'!W18),'Providers'!W18,""))</f>
        <v/>
      </c>
      <c r="K19" s="34">
        <f>IF(LEN('Providers'!A18)=0,"",IF(ISNUMBER('Providers'!Y18),'Providers'!Y18,""))</f>
        <v/>
      </c>
      <c r="L19" s="34">
        <f>IF(LEN('Providers'!A18)=0,"",IF(ISNUMBER('Providers'!AA18),'Providers'!AA18,""))</f>
        <v/>
      </c>
      <c r="M19" s="34">
        <f>IF(LEN('Providers'!A18)=0,"",IF(ISNUMBER('Providers'!AD18),'Providers'!AD18,""))</f>
        <v/>
      </c>
      <c r="N19" s="35">
        <f>IF(LEN('Providers'!A18)=0,"",IF(LEN('Providers'!AG18)=0,"",'Providers'!AG18))</f>
        <v/>
      </c>
    </row>
    <row r="20">
      <c r="A20" s="32">
        <f>IF(LEN('Providers'!A19)=0,"",IF(LEN('Providers'!A19)=0,"",'Providers'!A19))</f>
        <v/>
      </c>
      <c r="B20" s="33">
        <f>IF(LEN('Providers'!A19)=0,"",IF(LEN('Providers'!B19)=0,"",'Providers'!B19))</f>
        <v/>
      </c>
      <c r="C20" s="33">
        <f>IF(LEN('Providers'!A19)=0,"",IF(LEN('Providers'!E19)=0,"",'Providers'!E19))</f>
        <v/>
      </c>
      <c r="D20" s="34">
        <f>IF(LEN('Providers'!A19)=0,"",IF(ISNUMBER('Providers'!G19),'Providers'!G19,""))</f>
        <v/>
      </c>
      <c r="E20" s="34">
        <f>IF(LEN('Providers'!A19)=0,"",IF(ISNUMBER('Providers'!I19),'Providers'!I19,""))</f>
        <v/>
      </c>
      <c r="F20" s="34">
        <f>IF(LEN('Providers'!A19)=0,"",IF(ISNUMBER('Providers'!K19),'Providers'!K19,""))</f>
        <v/>
      </c>
      <c r="G20" s="34">
        <f>IF(LEN('Providers'!A19)=0,"",IF(ISNUMBER('Providers'!M19),'Providers'!M19,""))</f>
        <v/>
      </c>
      <c r="H20" s="34">
        <f>IF(LEN('Providers'!A19)=0,"",IF(ISNUMBER('Providers'!Q19),'Providers'!Q19,""))</f>
        <v/>
      </c>
      <c r="I20" s="34">
        <f>IF(LEN('Providers'!A19)=0,"",IF(ISNUMBER('Providers'!S19),'Providers'!S19,""))</f>
        <v/>
      </c>
      <c r="J20" s="34">
        <f>IF(LEN('Providers'!A19)=0,"",IF(ISNUMBER('Providers'!W19),'Providers'!W19,""))</f>
        <v/>
      </c>
      <c r="K20" s="34">
        <f>IF(LEN('Providers'!A19)=0,"",IF(ISNUMBER('Providers'!Y19),'Providers'!Y19,""))</f>
        <v/>
      </c>
      <c r="L20" s="34">
        <f>IF(LEN('Providers'!A19)=0,"",IF(ISNUMBER('Providers'!AA19),'Providers'!AA19,""))</f>
        <v/>
      </c>
      <c r="M20" s="34">
        <f>IF(LEN('Providers'!A19)=0,"",IF(ISNUMBER('Providers'!AD19),'Providers'!AD19,""))</f>
        <v/>
      </c>
      <c r="N20" s="35">
        <f>IF(LEN('Providers'!A19)=0,"",IF(LEN('Providers'!AG19)=0,"",'Providers'!AG19))</f>
        <v/>
      </c>
    </row>
    <row r="21">
      <c r="A21" s="32">
        <f>IF(LEN('Providers'!A20)=0,"",IF(LEN('Providers'!A20)=0,"",'Providers'!A20))</f>
        <v/>
      </c>
      <c r="B21" s="33">
        <f>IF(LEN('Providers'!A20)=0,"",IF(LEN('Providers'!B20)=0,"",'Providers'!B20))</f>
        <v/>
      </c>
      <c r="C21" s="33">
        <f>IF(LEN('Providers'!A20)=0,"",IF(LEN('Providers'!E20)=0,"",'Providers'!E20))</f>
        <v/>
      </c>
      <c r="D21" s="34">
        <f>IF(LEN('Providers'!A20)=0,"",IF(ISNUMBER('Providers'!G20),'Providers'!G20,""))</f>
        <v/>
      </c>
      <c r="E21" s="34">
        <f>IF(LEN('Providers'!A20)=0,"",IF(ISNUMBER('Providers'!I20),'Providers'!I20,""))</f>
        <v/>
      </c>
      <c r="F21" s="34">
        <f>IF(LEN('Providers'!A20)=0,"",IF(ISNUMBER('Providers'!K20),'Providers'!K20,""))</f>
        <v/>
      </c>
      <c r="G21" s="34">
        <f>IF(LEN('Providers'!A20)=0,"",IF(ISNUMBER('Providers'!M20),'Providers'!M20,""))</f>
        <v/>
      </c>
      <c r="H21" s="34">
        <f>IF(LEN('Providers'!A20)=0,"",IF(ISNUMBER('Providers'!Q20),'Providers'!Q20,""))</f>
        <v/>
      </c>
      <c r="I21" s="34">
        <f>IF(LEN('Providers'!A20)=0,"",IF(ISNUMBER('Providers'!S20),'Providers'!S20,""))</f>
        <v/>
      </c>
      <c r="J21" s="34">
        <f>IF(LEN('Providers'!A20)=0,"",IF(ISNUMBER('Providers'!W20),'Providers'!W20,""))</f>
        <v/>
      </c>
      <c r="K21" s="34">
        <f>IF(LEN('Providers'!A20)=0,"",IF(ISNUMBER('Providers'!Y20),'Providers'!Y20,""))</f>
        <v/>
      </c>
      <c r="L21" s="34">
        <f>IF(LEN('Providers'!A20)=0,"",IF(ISNUMBER('Providers'!AA20),'Providers'!AA20,""))</f>
        <v/>
      </c>
      <c r="M21" s="34">
        <f>IF(LEN('Providers'!A20)=0,"",IF(ISNUMBER('Providers'!AD20),'Providers'!AD20,""))</f>
        <v/>
      </c>
      <c r="N21" s="35">
        <f>IF(LEN('Providers'!A20)=0,"",IF(LEN('Providers'!AG20)=0,"",'Providers'!AG20))</f>
        <v/>
      </c>
    </row>
    <row r="22">
      <c r="A22" s="32">
        <f>IF(LEN('Providers'!A21)=0,"",IF(LEN('Providers'!A21)=0,"",'Providers'!A21))</f>
        <v/>
      </c>
      <c r="B22" s="33">
        <f>IF(LEN('Providers'!A21)=0,"",IF(LEN('Providers'!B21)=0,"",'Providers'!B21))</f>
        <v/>
      </c>
      <c r="C22" s="33">
        <f>IF(LEN('Providers'!A21)=0,"",IF(LEN('Providers'!E21)=0,"",'Providers'!E21))</f>
        <v/>
      </c>
      <c r="D22" s="34">
        <f>IF(LEN('Providers'!A21)=0,"",IF(ISNUMBER('Providers'!G21),'Providers'!G21,""))</f>
        <v/>
      </c>
      <c r="E22" s="34">
        <f>IF(LEN('Providers'!A21)=0,"",IF(ISNUMBER('Providers'!I21),'Providers'!I21,""))</f>
        <v/>
      </c>
      <c r="F22" s="34">
        <f>IF(LEN('Providers'!A21)=0,"",IF(ISNUMBER('Providers'!K21),'Providers'!K21,""))</f>
        <v/>
      </c>
      <c r="G22" s="34">
        <f>IF(LEN('Providers'!A21)=0,"",IF(ISNUMBER('Providers'!M21),'Providers'!M21,""))</f>
        <v/>
      </c>
      <c r="H22" s="34">
        <f>IF(LEN('Providers'!A21)=0,"",IF(ISNUMBER('Providers'!Q21),'Providers'!Q21,""))</f>
        <v/>
      </c>
      <c r="I22" s="34">
        <f>IF(LEN('Providers'!A21)=0,"",IF(ISNUMBER('Providers'!S21),'Providers'!S21,""))</f>
        <v/>
      </c>
      <c r="J22" s="34">
        <f>IF(LEN('Providers'!A21)=0,"",IF(ISNUMBER('Providers'!W21),'Providers'!W21,""))</f>
        <v/>
      </c>
      <c r="K22" s="34">
        <f>IF(LEN('Providers'!A21)=0,"",IF(ISNUMBER('Providers'!Y21),'Providers'!Y21,""))</f>
        <v/>
      </c>
      <c r="L22" s="34">
        <f>IF(LEN('Providers'!A21)=0,"",IF(ISNUMBER('Providers'!AA21),'Providers'!AA21,""))</f>
        <v/>
      </c>
      <c r="M22" s="34">
        <f>IF(LEN('Providers'!A21)=0,"",IF(ISNUMBER('Providers'!AD21),'Providers'!AD21,""))</f>
        <v/>
      </c>
      <c r="N22" s="35">
        <f>IF(LEN('Providers'!A21)=0,"",IF(LEN('Providers'!AG21)=0,"",'Providers'!AG21))</f>
        <v/>
      </c>
    </row>
    <row r="23">
      <c r="A23" s="32">
        <f>IF(LEN('Providers'!A22)=0,"",IF(LEN('Providers'!A22)=0,"",'Providers'!A22))</f>
        <v/>
      </c>
      <c r="B23" s="33">
        <f>IF(LEN('Providers'!A22)=0,"",IF(LEN('Providers'!B22)=0,"",'Providers'!B22))</f>
        <v/>
      </c>
      <c r="C23" s="33">
        <f>IF(LEN('Providers'!A22)=0,"",IF(LEN('Providers'!E22)=0,"",'Providers'!E22))</f>
        <v/>
      </c>
      <c r="D23" s="34">
        <f>IF(LEN('Providers'!A22)=0,"",IF(ISNUMBER('Providers'!G22),'Providers'!G22,""))</f>
        <v/>
      </c>
      <c r="E23" s="34">
        <f>IF(LEN('Providers'!A22)=0,"",IF(ISNUMBER('Providers'!I22),'Providers'!I22,""))</f>
        <v/>
      </c>
      <c r="F23" s="34">
        <f>IF(LEN('Providers'!A22)=0,"",IF(ISNUMBER('Providers'!K22),'Providers'!K22,""))</f>
        <v/>
      </c>
      <c r="G23" s="34">
        <f>IF(LEN('Providers'!A22)=0,"",IF(ISNUMBER('Providers'!M22),'Providers'!M22,""))</f>
        <v/>
      </c>
      <c r="H23" s="34">
        <f>IF(LEN('Providers'!A22)=0,"",IF(ISNUMBER('Providers'!Q22),'Providers'!Q22,""))</f>
        <v/>
      </c>
      <c r="I23" s="34">
        <f>IF(LEN('Providers'!A22)=0,"",IF(ISNUMBER('Providers'!S22),'Providers'!S22,""))</f>
        <v/>
      </c>
      <c r="J23" s="34">
        <f>IF(LEN('Providers'!A22)=0,"",IF(ISNUMBER('Providers'!W22),'Providers'!W22,""))</f>
        <v/>
      </c>
      <c r="K23" s="34">
        <f>IF(LEN('Providers'!A22)=0,"",IF(ISNUMBER('Providers'!Y22),'Providers'!Y22,""))</f>
        <v/>
      </c>
      <c r="L23" s="34">
        <f>IF(LEN('Providers'!A22)=0,"",IF(ISNUMBER('Providers'!AA22),'Providers'!AA22,""))</f>
        <v/>
      </c>
      <c r="M23" s="34">
        <f>IF(LEN('Providers'!A22)=0,"",IF(ISNUMBER('Providers'!AD22),'Providers'!AD22,""))</f>
        <v/>
      </c>
      <c r="N23" s="35">
        <f>IF(LEN('Providers'!A22)=0,"",IF(LEN('Providers'!AG22)=0,"",'Providers'!AG22))</f>
        <v/>
      </c>
    </row>
    <row r="24">
      <c r="A24" s="32">
        <f>IF(LEN('Providers'!A23)=0,"",IF(LEN('Providers'!A23)=0,"",'Providers'!A23))</f>
        <v/>
      </c>
      <c r="B24" s="33">
        <f>IF(LEN('Providers'!A23)=0,"",IF(LEN('Providers'!B23)=0,"",'Providers'!B23))</f>
        <v/>
      </c>
      <c r="C24" s="33">
        <f>IF(LEN('Providers'!A23)=0,"",IF(LEN('Providers'!E23)=0,"",'Providers'!E23))</f>
        <v/>
      </c>
      <c r="D24" s="34">
        <f>IF(LEN('Providers'!A23)=0,"",IF(ISNUMBER('Providers'!G23),'Providers'!G23,""))</f>
        <v/>
      </c>
      <c r="E24" s="34">
        <f>IF(LEN('Providers'!A23)=0,"",IF(ISNUMBER('Providers'!I23),'Providers'!I23,""))</f>
        <v/>
      </c>
      <c r="F24" s="34">
        <f>IF(LEN('Providers'!A23)=0,"",IF(ISNUMBER('Providers'!K23),'Providers'!K23,""))</f>
        <v/>
      </c>
      <c r="G24" s="34">
        <f>IF(LEN('Providers'!A23)=0,"",IF(ISNUMBER('Providers'!M23),'Providers'!M23,""))</f>
        <v/>
      </c>
      <c r="H24" s="34">
        <f>IF(LEN('Providers'!A23)=0,"",IF(ISNUMBER('Providers'!Q23),'Providers'!Q23,""))</f>
        <v/>
      </c>
      <c r="I24" s="34">
        <f>IF(LEN('Providers'!A23)=0,"",IF(ISNUMBER('Providers'!S23),'Providers'!S23,""))</f>
        <v/>
      </c>
      <c r="J24" s="34">
        <f>IF(LEN('Providers'!A23)=0,"",IF(ISNUMBER('Providers'!W23),'Providers'!W23,""))</f>
        <v/>
      </c>
      <c r="K24" s="34">
        <f>IF(LEN('Providers'!A23)=0,"",IF(ISNUMBER('Providers'!Y23),'Providers'!Y23,""))</f>
        <v/>
      </c>
      <c r="L24" s="34">
        <f>IF(LEN('Providers'!A23)=0,"",IF(ISNUMBER('Providers'!AA23),'Providers'!AA23,""))</f>
        <v/>
      </c>
      <c r="M24" s="34">
        <f>IF(LEN('Providers'!A23)=0,"",IF(ISNUMBER('Providers'!AD23),'Providers'!AD23,""))</f>
        <v/>
      </c>
      <c r="N24" s="35">
        <f>IF(LEN('Providers'!A23)=0,"",IF(LEN('Providers'!AG23)=0,"",'Providers'!AG23))</f>
        <v/>
      </c>
    </row>
    <row r="25">
      <c r="A25" s="32">
        <f>IF(LEN('Providers'!A24)=0,"",IF(LEN('Providers'!A24)=0,"",'Providers'!A24))</f>
        <v/>
      </c>
      <c r="B25" s="33">
        <f>IF(LEN('Providers'!A24)=0,"",IF(LEN('Providers'!B24)=0,"",'Providers'!B24))</f>
        <v/>
      </c>
      <c r="C25" s="33">
        <f>IF(LEN('Providers'!A24)=0,"",IF(LEN('Providers'!E24)=0,"",'Providers'!E24))</f>
        <v/>
      </c>
      <c r="D25" s="34">
        <f>IF(LEN('Providers'!A24)=0,"",IF(ISNUMBER('Providers'!G24),'Providers'!G24,""))</f>
        <v/>
      </c>
      <c r="E25" s="34">
        <f>IF(LEN('Providers'!A24)=0,"",IF(ISNUMBER('Providers'!I24),'Providers'!I24,""))</f>
        <v/>
      </c>
      <c r="F25" s="34">
        <f>IF(LEN('Providers'!A24)=0,"",IF(ISNUMBER('Providers'!K24),'Providers'!K24,""))</f>
        <v/>
      </c>
      <c r="G25" s="34">
        <f>IF(LEN('Providers'!A24)=0,"",IF(ISNUMBER('Providers'!M24),'Providers'!M24,""))</f>
        <v/>
      </c>
      <c r="H25" s="34">
        <f>IF(LEN('Providers'!A24)=0,"",IF(ISNUMBER('Providers'!Q24),'Providers'!Q24,""))</f>
        <v/>
      </c>
      <c r="I25" s="34">
        <f>IF(LEN('Providers'!A24)=0,"",IF(ISNUMBER('Providers'!S24),'Providers'!S24,""))</f>
        <v/>
      </c>
      <c r="J25" s="34">
        <f>IF(LEN('Providers'!A24)=0,"",IF(ISNUMBER('Providers'!W24),'Providers'!W24,""))</f>
        <v/>
      </c>
      <c r="K25" s="34">
        <f>IF(LEN('Providers'!A24)=0,"",IF(ISNUMBER('Providers'!Y24),'Providers'!Y24,""))</f>
        <v/>
      </c>
      <c r="L25" s="34">
        <f>IF(LEN('Providers'!A24)=0,"",IF(ISNUMBER('Providers'!AA24),'Providers'!AA24,""))</f>
        <v/>
      </c>
      <c r="M25" s="34">
        <f>IF(LEN('Providers'!A24)=0,"",IF(ISNUMBER('Providers'!AD24),'Providers'!AD24,""))</f>
        <v/>
      </c>
      <c r="N25" s="35">
        <f>IF(LEN('Providers'!A24)=0,"",IF(LEN('Providers'!AG24)=0,"",'Providers'!AG24))</f>
        <v/>
      </c>
    </row>
    <row r="26">
      <c r="A26" s="32">
        <f>IF(LEN('Providers'!A25)=0,"",IF(LEN('Providers'!A25)=0,"",'Providers'!A25))</f>
        <v/>
      </c>
      <c r="B26" s="33">
        <f>IF(LEN('Providers'!A25)=0,"",IF(LEN('Providers'!B25)=0,"",'Providers'!B25))</f>
        <v/>
      </c>
      <c r="C26" s="33">
        <f>IF(LEN('Providers'!A25)=0,"",IF(LEN('Providers'!E25)=0,"",'Providers'!E25))</f>
        <v/>
      </c>
      <c r="D26" s="34">
        <f>IF(LEN('Providers'!A25)=0,"",IF(ISNUMBER('Providers'!G25),'Providers'!G25,""))</f>
        <v/>
      </c>
      <c r="E26" s="34">
        <f>IF(LEN('Providers'!A25)=0,"",IF(ISNUMBER('Providers'!I25),'Providers'!I25,""))</f>
        <v/>
      </c>
      <c r="F26" s="34">
        <f>IF(LEN('Providers'!A25)=0,"",IF(ISNUMBER('Providers'!K25),'Providers'!K25,""))</f>
        <v/>
      </c>
      <c r="G26" s="34">
        <f>IF(LEN('Providers'!A25)=0,"",IF(ISNUMBER('Providers'!M25),'Providers'!M25,""))</f>
        <v/>
      </c>
      <c r="H26" s="34">
        <f>IF(LEN('Providers'!A25)=0,"",IF(ISNUMBER('Providers'!Q25),'Providers'!Q25,""))</f>
        <v/>
      </c>
      <c r="I26" s="34">
        <f>IF(LEN('Providers'!A25)=0,"",IF(ISNUMBER('Providers'!S25),'Providers'!S25,""))</f>
        <v/>
      </c>
      <c r="J26" s="34">
        <f>IF(LEN('Providers'!A25)=0,"",IF(ISNUMBER('Providers'!W25),'Providers'!W25,""))</f>
        <v/>
      </c>
      <c r="K26" s="34">
        <f>IF(LEN('Providers'!A25)=0,"",IF(ISNUMBER('Providers'!Y25),'Providers'!Y25,""))</f>
        <v/>
      </c>
      <c r="L26" s="34">
        <f>IF(LEN('Providers'!A25)=0,"",IF(ISNUMBER('Providers'!AA25),'Providers'!AA25,""))</f>
        <v/>
      </c>
      <c r="M26" s="34">
        <f>IF(LEN('Providers'!A25)=0,"",IF(ISNUMBER('Providers'!AD25),'Providers'!AD25,""))</f>
        <v/>
      </c>
      <c r="N26" s="35">
        <f>IF(LEN('Providers'!A25)=0,"",IF(LEN('Providers'!AG25)=0,"",'Providers'!AG25))</f>
        <v/>
      </c>
    </row>
    <row r="27">
      <c r="A27" s="32">
        <f>IF(LEN('Providers'!A26)=0,"",IF(LEN('Providers'!A26)=0,"",'Providers'!A26))</f>
        <v/>
      </c>
      <c r="B27" s="33">
        <f>IF(LEN('Providers'!A26)=0,"",IF(LEN('Providers'!B26)=0,"",'Providers'!B26))</f>
        <v/>
      </c>
      <c r="C27" s="33">
        <f>IF(LEN('Providers'!A26)=0,"",IF(LEN('Providers'!E26)=0,"",'Providers'!E26))</f>
        <v/>
      </c>
      <c r="D27" s="34">
        <f>IF(LEN('Providers'!A26)=0,"",IF(ISNUMBER('Providers'!G26),'Providers'!G26,""))</f>
        <v/>
      </c>
      <c r="E27" s="34">
        <f>IF(LEN('Providers'!A26)=0,"",IF(ISNUMBER('Providers'!I26),'Providers'!I26,""))</f>
        <v/>
      </c>
      <c r="F27" s="34">
        <f>IF(LEN('Providers'!A26)=0,"",IF(ISNUMBER('Providers'!K26),'Providers'!K26,""))</f>
        <v/>
      </c>
      <c r="G27" s="34">
        <f>IF(LEN('Providers'!A26)=0,"",IF(ISNUMBER('Providers'!M26),'Providers'!M26,""))</f>
        <v/>
      </c>
      <c r="H27" s="34">
        <f>IF(LEN('Providers'!A26)=0,"",IF(ISNUMBER('Providers'!Q26),'Providers'!Q26,""))</f>
        <v/>
      </c>
      <c r="I27" s="34">
        <f>IF(LEN('Providers'!A26)=0,"",IF(ISNUMBER('Providers'!S26),'Providers'!S26,""))</f>
        <v/>
      </c>
      <c r="J27" s="34">
        <f>IF(LEN('Providers'!A26)=0,"",IF(ISNUMBER('Providers'!W26),'Providers'!W26,""))</f>
        <v/>
      </c>
      <c r="K27" s="34">
        <f>IF(LEN('Providers'!A26)=0,"",IF(ISNUMBER('Providers'!Y26),'Providers'!Y26,""))</f>
        <v/>
      </c>
      <c r="L27" s="34">
        <f>IF(LEN('Providers'!A26)=0,"",IF(ISNUMBER('Providers'!AA26),'Providers'!AA26,""))</f>
        <v/>
      </c>
      <c r="M27" s="34">
        <f>IF(LEN('Providers'!A26)=0,"",IF(ISNUMBER('Providers'!AD26),'Providers'!AD26,""))</f>
        <v/>
      </c>
      <c r="N27" s="35">
        <f>IF(LEN('Providers'!A26)=0,"",IF(LEN('Providers'!AG26)=0,"",'Providers'!AG26))</f>
        <v/>
      </c>
    </row>
    <row r="28">
      <c r="A28" s="32">
        <f>IF(LEN('Providers'!A27)=0,"",IF(LEN('Providers'!A27)=0,"",'Providers'!A27))</f>
        <v/>
      </c>
      <c r="B28" s="33">
        <f>IF(LEN('Providers'!A27)=0,"",IF(LEN('Providers'!B27)=0,"",'Providers'!B27))</f>
        <v/>
      </c>
      <c r="C28" s="33">
        <f>IF(LEN('Providers'!A27)=0,"",IF(LEN('Providers'!E27)=0,"",'Providers'!E27))</f>
        <v/>
      </c>
      <c r="D28" s="34">
        <f>IF(LEN('Providers'!A27)=0,"",IF(ISNUMBER('Providers'!G27),'Providers'!G27,""))</f>
        <v/>
      </c>
      <c r="E28" s="34">
        <f>IF(LEN('Providers'!A27)=0,"",IF(ISNUMBER('Providers'!I27),'Providers'!I27,""))</f>
        <v/>
      </c>
      <c r="F28" s="34">
        <f>IF(LEN('Providers'!A27)=0,"",IF(ISNUMBER('Providers'!K27),'Providers'!K27,""))</f>
        <v/>
      </c>
      <c r="G28" s="34">
        <f>IF(LEN('Providers'!A27)=0,"",IF(ISNUMBER('Providers'!M27),'Providers'!M27,""))</f>
        <v/>
      </c>
      <c r="H28" s="34">
        <f>IF(LEN('Providers'!A27)=0,"",IF(ISNUMBER('Providers'!Q27),'Providers'!Q27,""))</f>
        <v/>
      </c>
      <c r="I28" s="34">
        <f>IF(LEN('Providers'!A27)=0,"",IF(ISNUMBER('Providers'!S27),'Providers'!S27,""))</f>
        <v/>
      </c>
      <c r="J28" s="34">
        <f>IF(LEN('Providers'!A27)=0,"",IF(ISNUMBER('Providers'!W27),'Providers'!W27,""))</f>
        <v/>
      </c>
      <c r="K28" s="34">
        <f>IF(LEN('Providers'!A27)=0,"",IF(ISNUMBER('Providers'!Y27),'Providers'!Y27,""))</f>
        <v/>
      </c>
      <c r="L28" s="34">
        <f>IF(LEN('Providers'!A27)=0,"",IF(ISNUMBER('Providers'!AA27),'Providers'!AA27,""))</f>
        <v/>
      </c>
      <c r="M28" s="34">
        <f>IF(LEN('Providers'!A27)=0,"",IF(ISNUMBER('Providers'!AD27),'Providers'!AD27,""))</f>
        <v/>
      </c>
      <c r="N28" s="35">
        <f>IF(LEN('Providers'!A27)=0,"",IF(LEN('Providers'!AG27)=0,"",'Providers'!AG27))</f>
        <v/>
      </c>
    </row>
    <row r="29">
      <c r="A29" s="32">
        <f>IF(LEN('Providers'!A28)=0,"",IF(LEN('Providers'!A28)=0,"",'Providers'!A28))</f>
        <v/>
      </c>
      <c r="B29" s="33">
        <f>IF(LEN('Providers'!A28)=0,"",IF(LEN('Providers'!B28)=0,"",'Providers'!B28))</f>
        <v/>
      </c>
      <c r="C29" s="33">
        <f>IF(LEN('Providers'!A28)=0,"",IF(LEN('Providers'!E28)=0,"",'Providers'!E28))</f>
        <v/>
      </c>
      <c r="D29" s="34">
        <f>IF(LEN('Providers'!A28)=0,"",IF(ISNUMBER('Providers'!G28),'Providers'!G28,""))</f>
        <v/>
      </c>
      <c r="E29" s="34">
        <f>IF(LEN('Providers'!A28)=0,"",IF(ISNUMBER('Providers'!I28),'Providers'!I28,""))</f>
        <v/>
      </c>
      <c r="F29" s="34">
        <f>IF(LEN('Providers'!A28)=0,"",IF(ISNUMBER('Providers'!K28),'Providers'!K28,""))</f>
        <v/>
      </c>
      <c r="G29" s="34">
        <f>IF(LEN('Providers'!A28)=0,"",IF(ISNUMBER('Providers'!M28),'Providers'!M28,""))</f>
        <v/>
      </c>
      <c r="H29" s="34">
        <f>IF(LEN('Providers'!A28)=0,"",IF(ISNUMBER('Providers'!Q28),'Providers'!Q28,""))</f>
        <v/>
      </c>
      <c r="I29" s="34">
        <f>IF(LEN('Providers'!A28)=0,"",IF(ISNUMBER('Providers'!S28),'Providers'!S28,""))</f>
        <v/>
      </c>
      <c r="J29" s="34">
        <f>IF(LEN('Providers'!A28)=0,"",IF(ISNUMBER('Providers'!W28),'Providers'!W28,""))</f>
        <v/>
      </c>
      <c r="K29" s="34">
        <f>IF(LEN('Providers'!A28)=0,"",IF(ISNUMBER('Providers'!Y28),'Providers'!Y28,""))</f>
        <v/>
      </c>
      <c r="L29" s="34">
        <f>IF(LEN('Providers'!A28)=0,"",IF(ISNUMBER('Providers'!AA28),'Providers'!AA28,""))</f>
        <v/>
      </c>
      <c r="M29" s="34">
        <f>IF(LEN('Providers'!A28)=0,"",IF(ISNUMBER('Providers'!AD28),'Providers'!AD28,""))</f>
        <v/>
      </c>
      <c r="N29" s="35">
        <f>IF(LEN('Providers'!A28)=0,"",IF(LEN('Providers'!AG28)=0,"",'Providers'!AG28))</f>
        <v/>
      </c>
    </row>
    <row r="30">
      <c r="A30" s="32">
        <f>IF(LEN('Providers'!A29)=0,"",IF(LEN('Providers'!A29)=0,"",'Providers'!A29))</f>
        <v/>
      </c>
      <c r="B30" s="33">
        <f>IF(LEN('Providers'!A29)=0,"",IF(LEN('Providers'!B29)=0,"",'Providers'!B29))</f>
        <v/>
      </c>
      <c r="C30" s="33">
        <f>IF(LEN('Providers'!A29)=0,"",IF(LEN('Providers'!E29)=0,"",'Providers'!E29))</f>
        <v/>
      </c>
      <c r="D30" s="34">
        <f>IF(LEN('Providers'!A29)=0,"",IF(ISNUMBER('Providers'!G29),'Providers'!G29,""))</f>
        <v/>
      </c>
      <c r="E30" s="34">
        <f>IF(LEN('Providers'!A29)=0,"",IF(ISNUMBER('Providers'!I29),'Providers'!I29,""))</f>
        <v/>
      </c>
      <c r="F30" s="34">
        <f>IF(LEN('Providers'!A29)=0,"",IF(ISNUMBER('Providers'!K29),'Providers'!K29,""))</f>
        <v/>
      </c>
      <c r="G30" s="34">
        <f>IF(LEN('Providers'!A29)=0,"",IF(ISNUMBER('Providers'!M29),'Providers'!M29,""))</f>
        <v/>
      </c>
      <c r="H30" s="34">
        <f>IF(LEN('Providers'!A29)=0,"",IF(ISNUMBER('Providers'!Q29),'Providers'!Q29,""))</f>
        <v/>
      </c>
      <c r="I30" s="34">
        <f>IF(LEN('Providers'!A29)=0,"",IF(ISNUMBER('Providers'!S29),'Providers'!S29,""))</f>
        <v/>
      </c>
      <c r="J30" s="34">
        <f>IF(LEN('Providers'!A29)=0,"",IF(ISNUMBER('Providers'!W29),'Providers'!W29,""))</f>
        <v/>
      </c>
      <c r="K30" s="34">
        <f>IF(LEN('Providers'!A29)=0,"",IF(ISNUMBER('Providers'!Y29),'Providers'!Y29,""))</f>
        <v/>
      </c>
      <c r="L30" s="34">
        <f>IF(LEN('Providers'!A29)=0,"",IF(ISNUMBER('Providers'!AA29),'Providers'!AA29,""))</f>
        <v/>
      </c>
      <c r="M30" s="34">
        <f>IF(LEN('Providers'!A29)=0,"",IF(ISNUMBER('Providers'!AD29),'Providers'!AD29,""))</f>
        <v/>
      </c>
      <c r="N30" s="35">
        <f>IF(LEN('Providers'!A29)=0,"",IF(LEN('Providers'!AG29)=0,"",'Providers'!AG29))</f>
        <v/>
      </c>
    </row>
    <row r="31">
      <c r="A31" s="32">
        <f>IF(LEN('Providers'!A30)=0,"",IF(LEN('Providers'!A30)=0,"",'Providers'!A30))</f>
        <v/>
      </c>
      <c r="B31" s="33">
        <f>IF(LEN('Providers'!A30)=0,"",IF(LEN('Providers'!B30)=0,"",'Providers'!B30))</f>
        <v/>
      </c>
      <c r="C31" s="33">
        <f>IF(LEN('Providers'!A30)=0,"",IF(LEN('Providers'!E30)=0,"",'Providers'!E30))</f>
        <v/>
      </c>
      <c r="D31" s="34">
        <f>IF(LEN('Providers'!A30)=0,"",IF(ISNUMBER('Providers'!G30),'Providers'!G30,""))</f>
        <v/>
      </c>
      <c r="E31" s="34">
        <f>IF(LEN('Providers'!A30)=0,"",IF(ISNUMBER('Providers'!I30),'Providers'!I30,""))</f>
        <v/>
      </c>
      <c r="F31" s="34">
        <f>IF(LEN('Providers'!A30)=0,"",IF(ISNUMBER('Providers'!K30),'Providers'!K30,""))</f>
        <v/>
      </c>
      <c r="G31" s="34">
        <f>IF(LEN('Providers'!A30)=0,"",IF(ISNUMBER('Providers'!M30),'Providers'!M30,""))</f>
        <v/>
      </c>
      <c r="H31" s="34">
        <f>IF(LEN('Providers'!A30)=0,"",IF(ISNUMBER('Providers'!Q30),'Providers'!Q30,""))</f>
        <v/>
      </c>
      <c r="I31" s="34">
        <f>IF(LEN('Providers'!A30)=0,"",IF(ISNUMBER('Providers'!S30),'Providers'!S30,""))</f>
        <v/>
      </c>
      <c r="J31" s="34">
        <f>IF(LEN('Providers'!A30)=0,"",IF(ISNUMBER('Providers'!W30),'Providers'!W30,""))</f>
        <v/>
      </c>
      <c r="K31" s="34">
        <f>IF(LEN('Providers'!A30)=0,"",IF(ISNUMBER('Providers'!Y30),'Providers'!Y30,""))</f>
        <v/>
      </c>
      <c r="L31" s="34">
        <f>IF(LEN('Providers'!A30)=0,"",IF(ISNUMBER('Providers'!AA30),'Providers'!AA30,""))</f>
        <v/>
      </c>
      <c r="M31" s="34">
        <f>IF(LEN('Providers'!A30)=0,"",IF(ISNUMBER('Providers'!AD30),'Providers'!AD30,""))</f>
        <v/>
      </c>
      <c r="N31" s="35">
        <f>IF(LEN('Providers'!A30)=0,"",IF(LEN('Providers'!AG30)=0,"",'Providers'!AG30))</f>
        <v/>
      </c>
    </row>
    <row r="32">
      <c r="A32" s="32">
        <f>IF(LEN('Providers'!A31)=0,"",IF(LEN('Providers'!A31)=0,"",'Providers'!A31))</f>
        <v/>
      </c>
      <c r="B32" s="33">
        <f>IF(LEN('Providers'!A31)=0,"",IF(LEN('Providers'!B31)=0,"",'Providers'!B31))</f>
        <v/>
      </c>
      <c r="C32" s="33">
        <f>IF(LEN('Providers'!A31)=0,"",IF(LEN('Providers'!E31)=0,"",'Providers'!E31))</f>
        <v/>
      </c>
      <c r="D32" s="34">
        <f>IF(LEN('Providers'!A31)=0,"",IF(ISNUMBER('Providers'!G31),'Providers'!G31,""))</f>
        <v/>
      </c>
      <c r="E32" s="34">
        <f>IF(LEN('Providers'!A31)=0,"",IF(ISNUMBER('Providers'!I31),'Providers'!I31,""))</f>
        <v/>
      </c>
      <c r="F32" s="34">
        <f>IF(LEN('Providers'!A31)=0,"",IF(ISNUMBER('Providers'!K31),'Providers'!K31,""))</f>
        <v/>
      </c>
      <c r="G32" s="34">
        <f>IF(LEN('Providers'!A31)=0,"",IF(ISNUMBER('Providers'!M31),'Providers'!M31,""))</f>
        <v/>
      </c>
      <c r="H32" s="34">
        <f>IF(LEN('Providers'!A31)=0,"",IF(ISNUMBER('Providers'!Q31),'Providers'!Q31,""))</f>
        <v/>
      </c>
      <c r="I32" s="34">
        <f>IF(LEN('Providers'!A31)=0,"",IF(ISNUMBER('Providers'!S31),'Providers'!S31,""))</f>
        <v/>
      </c>
      <c r="J32" s="34">
        <f>IF(LEN('Providers'!A31)=0,"",IF(ISNUMBER('Providers'!W31),'Providers'!W31,""))</f>
        <v/>
      </c>
      <c r="K32" s="34">
        <f>IF(LEN('Providers'!A31)=0,"",IF(ISNUMBER('Providers'!Y31),'Providers'!Y31,""))</f>
        <v/>
      </c>
      <c r="L32" s="34">
        <f>IF(LEN('Providers'!A31)=0,"",IF(ISNUMBER('Providers'!AA31),'Providers'!AA31,""))</f>
        <v/>
      </c>
      <c r="M32" s="34">
        <f>IF(LEN('Providers'!A31)=0,"",IF(ISNUMBER('Providers'!AD31),'Providers'!AD31,""))</f>
        <v/>
      </c>
      <c r="N32" s="35">
        <f>IF(LEN('Providers'!A31)=0,"",IF(LEN('Providers'!AG31)=0,"",'Providers'!AG31))</f>
        <v/>
      </c>
    </row>
    <row r="33">
      <c r="A33" s="32">
        <f>IF(LEN('Providers'!A32)=0,"",IF(LEN('Providers'!A32)=0,"",'Providers'!A32))</f>
        <v/>
      </c>
      <c r="B33" s="33">
        <f>IF(LEN('Providers'!A32)=0,"",IF(LEN('Providers'!B32)=0,"",'Providers'!B32))</f>
        <v/>
      </c>
      <c r="C33" s="33">
        <f>IF(LEN('Providers'!A32)=0,"",IF(LEN('Providers'!E32)=0,"",'Providers'!E32))</f>
        <v/>
      </c>
      <c r="D33" s="34">
        <f>IF(LEN('Providers'!A32)=0,"",IF(ISNUMBER('Providers'!G32),'Providers'!G32,""))</f>
        <v/>
      </c>
      <c r="E33" s="34">
        <f>IF(LEN('Providers'!A32)=0,"",IF(ISNUMBER('Providers'!I32),'Providers'!I32,""))</f>
        <v/>
      </c>
      <c r="F33" s="34">
        <f>IF(LEN('Providers'!A32)=0,"",IF(ISNUMBER('Providers'!K32),'Providers'!K32,""))</f>
        <v/>
      </c>
      <c r="G33" s="34">
        <f>IF(LEN('Providers'!A32)=0,"",IF(ISNUMBER('Providers'!M32),'Providers'!M32,""))</f>
        <v/>
      </c>
      <c r="H33" s="34">
        <f>IF(LEN('Providers'!A32)=0,"",IF(ISNUMBER('Providers'!Q32),'Providers'!Q32,""))</f>
        <v/>
      </c>
      <c r="I33" s="34">
        <f>IF(LEN('Providers'!A32)=0,"",IF(ISNUMBER('Providers'!S32),'Providers'!S32,""))</f>
        <v/>
      </c>
      <c r="J33" s="34">
        <f>IF(LEN('Providers'!A32)=0,"",IF(ISNUMBER('Providers'!W32),'Providers'!W32,""))</f>
        <v/>
      </c>
      <c r="K33" s="34">
        <f>IF(LEN('Providers'!A32)=0,"",IF(ISNUMBER('Providers'!Y32),'Providers'!Y32,""))</f>
        <v/>
      </c>
      <c r="L33" s="34">
        <f>IF(LEN('Providers'!A32)=0,"",IF(ISNUMBER('Providers'!AA32),'Providers'!AA32,""))</f>
        <v/>
      </c>
      <c r="M33" s="34">
        <f>IF(LEN('Providers'!A32)=0,"",IF(ISNUMBER('Providers'!AD32),'Providers'!AD32,""))</f>
        <v/>
      </c>
      <c r="N33" s="35">
        <f>IF(LEN('Providers'!A32)=0,"",IF(LEN('Providers'!AG32)=0,"",'Providers'!AG32))</f>
        <v/>
      </c>
    </row>
    <row r="34">
      <c r="A34" s="32">
        <f>IF(LEN('Providers'!A33)=0,"",IF(LEN('Providers'!A33)=0,"",'Providers'!A33))</f>
        <v/>
      </c>
      <c r="B34" s="33">
        <f>IF(LEN('Providers'!A33)=0,"",IF(LEN('Providers'!B33)=0,"",'Providers'!B33))</f>
        <v/>
      </c>
      <c r="C34" s="33">
        <f>IF(LEN('Providers'!A33)=0,"",IF(LEN('Providers'!E33)=0,"",'Providers'!E33))</f>
        <v/>
      </c>
      <c r="D34" s="34">
        <f>IF(LEN('Providers'!A33)=0,"",IF(ISNUMBER('Providers'!G33),'Providers'!G33,""))</f>
        <v/>
      </c>
      <c r="E34" s="34">
        <f>IF(LEN('Providers'!A33)=0,"",IF(ISNUMBER('Providers'!I33),'Providers'!I33,""))</f>
        <v/>
      </c>
      <c r="F34" s="34">
        <f>IF(LEN('Providers'!A33)=0,"",IF(ISNUMBER('Providers'!K33),'Providers'!K33,""))</f>
        <v/>
      </c>
      <c r="G34" s="34">
        <f>IF(LEN('Providers'!A33)=0,"",IF(ISNUMBER('Providers'!M33),'Providers'!M33,""))</f>
        <v/>
      </c>
      <c r="H34" s="34">
        <f>IF(LEN('Providers'!A33)=0,"",IF(ISNUMBER('Providers'!Q33),'Providers'!Q33,""))</f>
        <v/>
      </c>
      <c r="I34" s="34">
        <f>IF(LEN('Providers'!A33)=0,"",IF(ISNUMBER('Providers'!S33),'Providers'!S33,""))</f>
        <v/>
      </c>
      <c r="J34" s="34">
        <f>IF(LEN('Providers'!A33)=0,"",IF(ISNUMBER('Providers'!W33),'Providers'!W33,""))</f>
        <v/>
      </c>
      <c r="K34" s="34">
        <f>IF(LEN('Providers'!A33)=0,"",IF(ISNUMBER('Providers'!Y33),'Providers'!Y33,""))</f>
        <v/>
      </c>
      <c r="L34" s="34">
        <f>IF(LEN('Providers'!A33)=0,"",IF(ISNUMBER('Providers'!AA33),'Providers'!AA33,""))</f>
        <v/>
      </c>
      <c r="M34" s="34">
        <f>IF(LEN('Providers'!A33)=0,"",IF(ISNUMBER('Providers'!AD33),'Providers'!AD33,""))</f>
        <v/>
      </c>
      <c r="N34" s="35">
        <f>IF(LEN('Providers'!A33)=0,"",IF(LEN('Providers'!AG33)=0,"",'Providers'!AG33))</f>
        <v/>
      </c>
    </row>
    <row r="35">
      <c r="A35" s="32">
        <f>IF(LEN('Providers'!A34)=0,"",IF(LEN('Providers'!A34)=0,"",'Providers'!A34))</f>
        <v/>
      </c>
      <c r="B35" s="33">
        <f>IF(LEN('Providers'!A34)=0,"",IF(LEN('Providers'!B34)=0,"",'Providers'!B34))</f>
        <v/>
      </c>
      <c r="C35" s="33">
        <f>IF(LEN('Providers'!A34)=0,"",IF(LEN('Providers'!E34)=0,"",'Providers'!E34))</f>
        <v/>
      </c>
      <c r="D35" s="34">
        <f>IF(LEN('Providers'!A34)=0,"",IF(ISNUMBER('Providers'!G34),'Providers'!G34,""))</f>
        <v/>
      </c>
      <c r="E35" s="34">
        <f>IF(LEN('Providers'!A34)=0,"",IF(ISNUMBER('Providers'!I34),'Providers'!I34,""))</f>
        <v/>
      </c>
      <c r="F35" s="34">
        <f>IF(LEN('Providers'!A34)=0,"",IF(ISNUMBER('Providers'!K34),'Providers'!K34,""))</f>
        <v/>
      </c>
      <c r="G35" s="34">
        <f>IF(LEN('Providers'!A34)=0,"",IF(ISNUMBER('Providers'!M34),'Providers'!M34,""))</f>
        <v/>
      </c>
      <c r="H35" s="34">
        <f>IF(LEN('Providers'!A34)=0,"",IF(ISNUMBER('Providers'!Q34),'Providers'!Q34,""))</f>
        <v/>
      </c>
      <c r="I35" s="34">
        <f>IF(LEN('Providers'!A34)=0,"",IF(ISNUMBER('Providers'!S34),'Providers'!S34,""))</f>
        <v/>
      </c>
      <c r="J35" s="34">
        <f>IF(LEN('Providers'!A34)=0,"",IF(ISNUMBER('Providers'!W34),'Providers'!W34,""))</f>
        <v/>
      </c>
      <c r="K35" s="34">
        <f>IF(LEN('Providers'!A34)=0,"",IF(ISNUMBER('Providers'!Y34),'Providers'!Y34,""))</f>
        <v/>
      </c>
      <c r="L35" s="34">
        <f>IF(LEN('Providers'!A34)=0,"",IF(ISNUMBER('Providers'!AA34),'Providers'!AA34,""))</f>
        <v/>
      </c>
      <c r="M35" s="34">
        <f>IF(LEN('Providers'!A34)=0,"",IF(ISNUMBER('Providers'!AD34),'Providers'!AD34,""))</f>
        <v/>
      </c>
      <c r="N35" s="35">
        <f>IF(LEN('Providers'!A34)=0,"",IF(LEN('Providers'!AG34)=0,"",'Providers'!AG34))</f>
        <v/>
      </c>
    </row>
    <row r="36">
      <c r="A36" s="32">
        <f>IF(LEN('Providers'!A35)=0,"",IF(LEN('Providers'!A35)=0,"",'Providers'!A35))</f>
        <v/>
      </c>
      <c r="B36" s="33">
        <f>IF(LEN('Providers'!A35)=0,"",IF(LEN('Providers'!B35)=0,"",'Providers'!B35))</f>
        <v/>
      </c>
      <c r="C36" s="33">
        <f>IF(LEN('Providers'!A35)=0,"",IF(LEN('Providers'!E35)=0,"",'Providers'!E35))</f>
        <v/>
      </c>
      <c r="D36" s="34">
        <f>IF(LEN('Providers'!A35)=0,"",IF(ISNUMBER('Providers'!G35),'Providers'!G35,""))</f>
        <v/>
      </c>
      <c r="E36" s="34">
        <f>IF(LEN('Providers'!A35)=0,"",IF(ISNUMBER('Providers'!I35),'Providers'!I35,""))</f>
        <v/>
      </c>
      <c r="F36" s="34">
        <f>IF(LEN('Providers'!A35)=0,"",IF(ISNUMBER('Providers'!K35),'Providers'!K35,""))</f>
        <v/>
      </c>
      <c r="G36" s="34">
        <f>IF(LEN('Providers'!A35)=0,"",IF(ISNUMBER('Providers'!M35),'Providers'!M35,""))</f>
        <v/>
      </c>
      <c r="H36" s="34">
        <f>IF(LEN('Providers'!A35)=0,"",IF(ISNUMBER('Providers'!Q35),'Providers'!Q35,""))</f>
        <v/>
      </c>
      <c r="I36" s="34">
        <f>IF(LEN('Providers'!A35)=0,"",IF(ISNUMBER('Providers'!S35),'Providers'!S35,""))</f>
        <v/>
      </c>
      <c r="J36" s="34">
        <f>IF(LEN('Providers'!A35)=0,"",IF(ISNUMBER('Providers'!W35),'Providers'!W35,""))</f>
        <v/>
      </c>
      <c r="K36" s="34">
        <f>IF(LEN('Providers'!A35)=0,"",IF(ISNUMBER('Providers'!Y35),'Providers'!Y35,""))</f>
        <v/>
      </c>
      <c r="L36" s="34">
        <f>IF(LEN('Providers'!A35)=0,"",IF(ISNUMBER('Providers'!AA35),'Providers'!AA35,""))</f>
        <v/>
      </c>
      <c r="M36" s="34">
        <f>IF(LEN('Providers'!A35)=0,"",IF(ISNUMBER('Providers'!AD35),'Providers'!AD35,""))</f>
        <v/>
      </c>
      <c r="N36" s="35">
        <f>IF(LEN('Providers'!A35)=0,"",IF(LEN('Providers'!AG35)=0,"",'Providers'!AG35))</f>
        <v/>
      </c>
    </row>
    <row r="37">
      <c r="A37" s="32">
        <f>IF(LEN('Providers'!A36)=0,"",IF(LEN('Providers'!A36)=0,"",'Providers'!A36))</f>
        <v/>
      </c>
      <c r="B37" s="33">
        <f>IF(LEN('Providers'!A36)=0,"",IF(LEN('Providers'!B36)=0,"",'Providers'!B36))</f>
        <v/>
      </c>
      <c r="C37" s="33">
        <f>IF(LEN('Providers'!A36)=0,"",IF(LEN('Providers'!E36)=0,"",'Providers'!E36))</f>
        <v/>
      </c>
      <c r="D37" s="34">
        <f>IF(LEN('Providers'!A36)=0,"",IF(ISNUMBER('Providers'!G36),'Providers'!G36,""))</f>
        <v/>
      </c>
      <c r="E37" s="34">
        <f>IF(LEN('Providers'!A36)=0,"",IF(ISNUMBER('Providers'!I36),'Providers'!I36,""))</f>
        <v/>
      </c>
      <c r="F37" s="34">
        <f>IF(LEN('Providers'!A36)=0,"",IF(ISNUMBER('Providers'!K36),'Providers'!K36,""))</f>
        <v/>
      </c>
      <c r="G37" s="34">
        <f>IF(LEN('Providers'!A36)=0,"",IF(ISNUMBER('Providers'!M36),'Providers'!M36,""))</f>
        <v/>
      </c>
      <c r="H37" s="34">
        <f>IF(LEN('Providers'!A36)=0,"",IF(ISNUMBER('Providers'!Q36),'Providers'!Q36,""))</f>
        <v/>
      </c>
      <c r="I37" s="34">
        <f>IF(LEN('Providers'!A36)=0,"",IF(ISNUMBER('Providers'!S36),'Providers'!S36,""))</f>
        <v/>
      </c>
      <c r="J37" s="34">
        <f>IF(LEN('Providers'!A36)=0,"",IF(ISNUMBER('Providers'!W36),'Providers'!W36,""))</f>
        <v/>
      </c>
      <c r="K37" s="34">
        <f>IF(LEN('Providers'!A36)=0,"",IF(ISNUMBER('Providers'!Y36),'Providers'!Y36,""))</f>
        <v/>
      </c>
      <c r="L37" s="34">
        <f>IF(LEN('Providers'!A36)=0,"",IF(ISNUMBER('Providers'!AA36),'Providers'!AA36,""))</f>
        <v/>
      </c>
      <c r="M37" s="34">
        <f>IF(LEN('Providers'!A36)=0,"",IF(ISNUMBER('Providers'!AD36),'Providers'!AD36,""))</f>
        <v/>
      </c>
      <c r="N37" s="35">
        <f>IF(LEN('Providers'!A36)=0,"",IF(LEN('Providers'!AG36)=0,"",'Providers'!AG36))</f>
        <v/>
      </c>
    </row>
    <row r="38">
      <c r="A38" s="32">
        <f>IF(LEN('Providers'!A37)=0,"",IF(LEN('Providers'!A37)=0,"",'Providers'!A37))</f>
        <v/>
      </c>
      <c r="B38" s="33">
        <f>IF(LEN('Providers'!A37)=0,"",IF(LEN('Providers'!B37)=0,"",'Providers'!B37))</f>
        <v/>
      </c>
      <c r="C38" s="33">
        <f>IF(LEN('Providers'!A37)=0,"",IF(LEN('Providers'!E37)=0,"",'Providers'!E37))</f>
        <v/>
      </c>
      <c r="D38" s="34">
        <f>IF(LEN('Providers'!A37)=0,"",IF(ISNUMBER('Providers'!G37),'Providers'!G37,""))</f>
        <v/>
      </c>
      <c r="E38" s="34">
        <f>IF(LEN('Providers'!A37)=0,"",IF(ISNUMBER('Providers'!I37),'Providers'!I37,""))</f>
        <v/>
      </c>
      <c r="F38" s="34">
        <f>IF(LEN('Providers'!A37)=0,"",IF(ISNUMBER('Providers'!K37),'Providers'!K37,""))</f>
        <v/>
      </c>
      <c r="G38" s="34">
        <f>IF(LEN('Providers'!A37)=0,"",IF(ISNUMBER('Providers'!M37),'Providers'!M37,""))</f>
        <v/>
      </c>
      <c r="H38" s="34">
        <f>IF(LEN('Providers'!A37)=0,"",IF(ISNUMBER('Providers'!Q37),'Providers'!Q37,""))</f>
        <v/>
      </c>
      <c r="I38" s="34">
        <f>IF(LEN('Providers'!A37)=0,"",IF(ISNUMBER('Providers'!S37),'Providers'!S37,""))</f>
        <v/>
      </c>
      <c r="J38" s="34">
        <f>IF(LEN('Providers'!A37)=0,"",IF(ISNUMBER('Providers'!W37),'Providers'!W37,""))</f>
        <v/>
      </c>
      <c r="K38" s="34">
        <f>IF(LEN('Providers'!A37)=0,"",IF(ISNUMBER('Providers'!Y37),'Providers'!Y37,""))</f>
        <v/>
      </c>
      <c r="L38" s="34">
        <f>IF(LEN('Providers'!A37)=0,"",IF(ISNUMBER('Providers'!AA37),'Providers'!AA37,""))</f>
        <v/>
      </c>
      <c r="M38" s="34">
        <f>IF(LEN('Providers'!A37)=0,"",IF(ISNUMBER('Providers'!AD37),'Providers'!AD37,""))</f>
        <v/>
      </c>
      <c r="N38" s="35">
        <f>IF(LEN('Providers'!A37)=0,"",IF(LEN('Providers'!AG37)=0,"",'Providers'!AG37))</f>
        <v/>
      </c>
    </row>
    <row r="39">
      <c r="A39" s="32">
        <f>IF(LEN('Providers'!A38)=0,"",IF(LEN('Providers'!A38)=0,"",'Providers'!A38))</f>
        <v/>
      </c>
      <c r="B39" s="33">
        <f>IF(LEN('Providers'!A38)=0,"",IF(LEN('Providers'!B38)=0,"",'Providers'!B38))</f>
        <v/>
      </c>
      <c r="C39" s="33">
        <f>IF(LEN('Providers'!A38)=0,"",IF(LEN('Providers'!E38)=0,"",'Providers'!E38))</f>
        <v/>
      </c>
      <c r="D39" s="34">
        <f>IF(LEN('Providers'!A38)=0,"",IF(ISNUMBER('Providers'!G38),'Providers'!G38,""))</f>
        <v/>
      </c>
      <c r="E39" s="34">
        <f>IF(LEN('Providers'!A38)=0,"",IF(ISNUMBER('Providers'!I38),'Providers'!I38,""))</f>
        <v/>
      </c>
      <c r="F39" s="34">
        <f>IF(LEN('Providers'!A38)=0,"",IF(ISNUMBER('Providers'!K38),'Providers'!K38,""))</f>
        <v/>
      </c>
      <c r="G39" s="34">
        <f>IF(LEN('Providers'!A38)=0,"",IF(ISNUMBER('Providers'!M38),'Providers'!M38,""))</f>
        <v/>
      </c>
      <c r="H39" s="34">
        <f>IF(LEN('Providers'!A38)=0,"",IF(ISNUMBER('Providers'!Q38),'Providers'!Q38,""))</f>
        <v/>
      </c>
      <c r="I39" s="34">
        <f>IF(LEN('Providers'!A38)=0,"",IF(ISNUMBER('Providers'!S38),'Providers'!S38,""))</f>
        <v/>
      </c>
      <c r="J39" s="34">
        <f>IF(LEN('Providers'!A38)=0,"",IF(ISNUMBER('Providers'!W38),'Providers'!W38,""))</f>
        <v/>
      </c>
      <c r="K39" s="34">
        <f>IF(LEN('Providers'!A38)=0,"",IF(ISNUMBER('Providers'!Y38),'Providers'!Y38,""))</f>
        <v/>
      </c>
      <c r="L39" s="34">
        <f>IF(LEN('Providers'!A38)=0,"",IF(ISNUMBER('Providers'!AA38),'Providers'!AA38,""))</f>
        <v/>
      </c>
      <c r="M39" s="34">
        <f>IF(LEN('Providers'!A38)=0,"",IF(ISNUMBER('Providers'!AD38),'Providers'!AD38,""))</f>
        <v/>
      </c>
      <c r="N39" s="35">
        <f>IF(LEN('Providers'!A38)=0,"",IF(LEN('Providers'!AG38)=0,"",'Providers'!AG38))</f>
        <v/>
      </c>
    </row>
    <row r="40">
      <c r="A40" s="32">
        <f>IF(LEN('Providers'!A39)=0,"",IF(LEN('Providers'!A39)=0,"",'Providers'!A39))</f>
        <v/>
      </c>
      <c r="B40" s="33">
        <f>IF(LEN('Providers'!A39)=0,"",IF(LEN('Providers'!B39)=0,"",'Providers'!B39))</f>
        <v/>
      </c>
      <c r="C40" s="33">
        <f>IF(LEN('Providers'!A39)=0,"",IF(LEN('Providers'!E39)=0,"",'Providers'!E39))</f>
        <v/>
      </c>
      <c r="D40" s="34">
        <f>IF(LEN('Providers'!A39)=0,"",IF(ISNUMBER('Providers'!G39),'Providers'!G39,""))</f>
        <v/>
      </c>
      <c r="E40" s="34">
        <f>IF(LEN('Providers'!A39)=0,"",IF(ISNUMBER('Providers'!I39),'Providers'!I39,""))</f>
        <v/>
      </c>
      <c r="F40" s="34">
        <f>IF(LEN('Providers'!A39)=0,"",IF(ISNUMBER('Providers'!K39),'Providers'!K39,""))</f>
        <v/>
      </c>
      <c r="G40" s="34">
        <f>IF(LEN('Providers'!A39)=0,"",IF(ISNUMBER('Providers'!M39),'Providers'!M39,""))</f>
        <v/>
      </c>
      <c r="H40" s="34">
        <f>IF(LEN('Providers'!A39)=0,"",IF(ISNUMBER('Providers'!Q39),'Providers'!Q39,""))</f>
        <v/>
      </c>
      <c r="I40" s="34">
        <f>IF(LEN('Providers'!A39)=0,"",IF(ISNUMBER('Providers'!S39),'Providers'!S39,""))</f>
        <v/>
      </c>
      <c r="J40" s="34">
        <f>IF(LEN('Providers'!A39)=0,"",IF(ISNUMBER('Providers'!W39),'Providers'!W39,""))</f>
        <v/>
      </c>
      <c r="K40" s="34">
        <f>IF(LEN('Providers'!A39)=0,"",IF(ISNUMBER('Providers'!Y39),'Providers'!Y39,""))</f>
        <v/>
      </c>
      <c r="L40" s="34">
        <f>IF(LEN('Providers'!A39)=0,"",IF(ISNUMBER('Providers'!AA39),'Providers'!AA39,""))</f>
        <v/>
      </c>
      <c r="M40" s="34">
        <f>IF(LEN('Providers'!A39)=0,"",IF(ISNUMBER('Providers'!AD39),'Providers'!AD39,""))</f>
        <v/>
      </c>
      <c r="N40" s="35">
        <f>IF(LEN('Providers'!A39)=0,"",IF(LEN('Providers'!AG39)=0,"",'Providers'!AG39))</f>
        <v/>
      </c>
    </row>
    <row r="41">
      <c r="A41" s="32">
        <f>IF(LEN('Providers'!A40)=0,"",IF(LEN('Providers'!A40)=0,"",'Providers'!A40))</f>
        <v/>
      </c>
      <c r="B41" s="33">
        <f>IF(LEN('Providers'!A40)=0,"",IF(LEN('Providers'!B40)=0,"",'Providers'!B40))</f>
        <v/>
      </c>
      <c r="C41" s="33">
        <f>IF(LEN('Providers'!A40)=0,"",IF(LEN('Providers'!E40)=0,"",'Providers'!E40))</f>
        <v/>
      </c>
      <c r="D41" s="34">
        <f>IF(LEN('Providers'!A40)=0,"",IF(ISNUMBER('Providers'!G40),'Providers'!G40,""))</f>
        <v/>
      </c>
      <c r="E41" s="34">
        <f>IF(LEN('Providers'!A40)=0,"",IF(ISNUMBER('Providers'!I40),'Providers'!I40,""))</f>
        <v/>
      </c>
      <c r="F41" s="34">
        <f>IF(LEN('Providers'!A40)=0,"",IF(ISNUMBER('Providers'!K40),'Providers'!K40,""))</f>
        <v/>
      </c>
      <c r="G41" s="34">
        <f>IF(LEN('Providers'!A40)=0,"",IF(ISNUMBER('Providers'!M40),'Providers'!M40,""))</f>
        <v/>
      </c>
      <c r="H41" s="34">
        <f>IF(LEN('Providers'!A40)=0,"",IF(ISNUMBER('Providers'!Q40),'Providers'!Q40,""))</f>
        <v/>
      </c>
      <c r="I41" s="34">
        <f>IF(LEN('Providers'!A40)=0,"",IF(ISNUMBER('Providers'!S40),'Providers'!S40,""))</f>
        <v/>
      </c>
      <c r="J41" s="34">
        <f>IF(LEN('Providers'!A40)=0,"",IF(ISNUMBER('Providers'!W40),'Providers'!W40,""))</f>
        <v/>
      </c>
      <c r="K41" s="34">
        <f>IF(LEN('Providers'!A40)=0,"",IF(ISNUMBER('Providers'!Y40),'Providers'!Y40,""))</f>
        <v/>
      </c>
      <c r="L41" s="34">
        <f>IF(LEN('Providers'!A40)=0,"",IF(ISNUMBER('Providers'!AA40),'Providers'!AA40,""))</f>
        <v/>
      </c>
      <c r="M41" s="34">
        <f>IF(LEN('Providers'!A40)=0,"",IF(ISNUMBER('Providers'!AD40),'Providers'!AD40,""))</f>
        <v/>
      </c>
      <c r="N41" s="35">
        <f>IF(LEN('Providers'!A40)=0,"",IF(LEN('Providers'!AG40)=0,"",'Providers'!AG40))</f>
        <v/>
      </c>
    </row>
    <row r="42">
      <c r="A42" s="32">
        <f>IF(LEN('Providers'!A41)=0,"",IF(LEN('Providers'!A41)=0,"",'Providers'!A41))</f>
        <v/>
      </c>
      <c r="B42" s="33">
        <f>IF(LEN('Providers'!A41)=0,"",IF(LEN('Providers'!B41)=0,"",'Providers'!B41))</f>
        <v/>
      </c>
      <c r="C42" s="33">
        <f>IF(LEN('Providers'!A41)=0,"",IF(LEN('Providers'!E41)=0,"",'Providers'!E41))</f>
        <v/>
      </c>
      <c r="D42" s="34">
        <f>IF(LEN('Providers'!A41)=0,"",IF(ISNUMBER('Providers'!G41),'Providers'!G41,""))</f>
        <v/>
      </c>
      <c r="E42" s="34">
        <f>IF(LEN('Providers'!A41)=0,"",IF(ISNUMBER('Providers'!I41),'Providers'!I41,""))</f>
        <v/>
      </c>
      <c r="F42" s="34">
        <f>IF(LEN('Providers'!A41)=0,"",IF(ISNUMBER('Providers'!K41),'Providers'!K41,""))</f>
        <v/>
      </c>
      <c r="G42" s="34">
        <f>IF(LEN('Providers'!A41)=0,"",IF(ISNUMBER('Providers'!M41),'Providers'!M41,""))</f>
        <v/>
      </c>
      <c r="H42" s="34">
        <f>IF(LEN('Providers'!A41)=0,"",IF(ISNUMBER('Providers'!Q41),'Providers'!Q41,""))</f>
        <v/>
      </c>
      <c r="I42" s="34">
        <f>IF(LEN('Providers'!A41)=0,"",IF(ISNUMBER('Providers'!S41),'Providers'!S41,""))</f>
        <v/>
      </c>
      <c r="J42" s="34">
        <f>IF(LEN('Providers'!A41)=0,"",IF(ISNUMBER('Providers'!W41),'Providers'!W41,""))</f>
        <v/>
      </c>
      <c r="K42" s="34">
        <f>IF(LEN('Providers'!A41)=0,"",IF(ISNUMBER('Providers'!Y41),'Providers'!Y41,""))</f>
        <v/>
      </c>
      <c r="L42" s="34">
        <f>IF(LEN('Providers'!A41)=0,"",IF(ISNUMBER('Providers'!AA41),'Providers'!AA41,""))</f>
        <v/>
      </c>
      <c r="M42" s="34">
        <f>IF(LEN('Providers'!A41)=0,"",IF(ISNUMBER('Providers'!AD41),'Providers'!AD41,""))</f>
        <v/>
      </c>
      <c r="N42" s="35">
        <f>IF(LEN('Providers'!A41)=0,"",IF(LEN('Providers'!AG41)=0,"",'Providers'!AG41))</f>
        <v/>
      </c>
    </row>
    <row r="43">
      <c r="A43" s="32">
        <f>IF(LEN('Providers'!A42)=0,"",IF(LEN('Providers'!A42)=0,"",'Providers'!A42))</f>
        <v/>
      </c>
      <c r="B43" s="33">
        <f>IF(LEN('Providers'!A42)=0,"",IF(LEN('Providers'!B42)=0,"",'Providers'!B42))</f>
        <v/>
      </c>
      <c r="C43" s="33">
        <f>IF(LEN('Providers'!A42)=0,"",IF(LEN('Providers'!E42)=0,"",'Providers'!E42))</f>
        <v/>
      </c>
      <c r="D43" s="34">
        <f>IF(LEN('Providers'!A42)=0,"",IF(ISNUMBER('Providers'!G42),'Providers'!G42,""))</f>
        <v/>
      </c>
      <c r="E43" s="34">
        <f>IF(LEN('Providers'!A42)=0,"",IF(ISNUMBER('Providers'!I42),'Providers'!I42,""))</f>
        <v/>
      </c>
      <c r="F43" s="34">
        <f>IF(LEN('Providers'!A42)=0,"",IF(ISNUMBER('Providers'!K42),'Providers'!K42,""))</f>
        <v/>
      </c>
      <c r="G43" s="34">
        <f>IF(LEN('Providers'!A42)=0,"",IF(ISNUMBER('Providers'!M42),'Providers'!M42,""))</f>
        <v/>
      </c>
      <c r="H43" s="34">
        <f>IF(LEN('Providers'!A42)=0,"",IF(ISNUMBER('Providers'!Q42),'Providers'!Q42,""))</f>
        <v/>
      </c>
      <c r="I43" s="34">
        <f>IF(LEN('Providers'!A42)=0,"",IF(ISNUMBER('Providers'!S42),'Providers'!S42,""))</f>
        <v/>
      </c>
      <c r="J43" s="34">
        <f>IF(LEN('Providers'!A42)=0,"",IF(ISNUMBER('Providers'!W42),'Providers'!W42,""))</f>
        <v/>
      </c>
      <c r="K43" s="34">
        <f>IF(LEN('Providers'!A42)=0,"",IF(ISNUMBER('Providers'!Y42),'Providers'!Y42,""))</f>
        <v/>
      </c>
      <c r="L43" s="34">
        <f>IF(LEN('Providers'!A42)=0,"",IF(ISNUMBER('Providers'!AA42),'Providers'!AA42,""))</f>
        <v/>
      </c>
      <c r="M43" s="34">
        <f>IF(LEN('Providers'!A42)=0,"",IF(ISNUMBER('Providers'!AD42),'Providers'!AD42,""))</f>
        <v/>
      </c>
      <c r="N43" s="35">
        <f>IF(LEN('Providers'!A42)=0,"",IF(LEN('Providers'!AG42)=0,"",'Providers'!AG42))</f>
        <v/>
      </c>
    </row>
    <row r="44">
      <c r="A44" s="32">
        <f>IF(LEN('Providers'!A43)=0,"",IF(LEN('Providers'!A43)=0,"",'Providers'!A43))</f>
        <v/>
      </c>
      <c r="B44" s="33">
        <f>IF(LEN('Providers'!A43)=0,"",IF(LEN('Providers'!B43)=0,"",'Providers'!B43))</f>
        <v/>
      </c>
      <c r="C44" s="33">
        <f>IF(LEN('Providers'!A43)=0,"",IF(LEN('Providers'!E43)=0,"",'Providers'!E43))</f>
        <v/>
      </c>
      <c r="D44" s="34">
        <f>IF(LEN('Providers'!A43)=0,"",IF(ISNUMBER('Providers'!G43),'Providers'!G43,""))</f>
        <v/>
      </c>
      <c r="E44" s="34">
        <f>IF(LEN('Providers'!A43)=0,"",IF(ISNUMBER('Providers'!I43),'Providers'!I43,""))</f>
        <v/>
      </c>
      <c r="F44" s="34">
        <f>IF(LEN('Providers'!A43)=0,"",IF(ISNUMBER('Providers'!K43),'Providers'!K43,""))</f>
        <v/>
      </c>
      <c r="G44" s="34">
        <f>IF(LEN('Providers'!A43)=0,"",IF(ISNUMBER('Providers'!M43),'Providers'!M43,""))</f>
        <v/>
      </c>
      <c r="H44" s="34">
        <f>IF(LEN('Providers'!A43)=0,"",IF(ISNUMBER('Providers'!Q43),'Providers'!Q43,""))</f>
        <v/>
      </c>
      <c r="I44" s="34">
        <f>IF(LEN('Providers'!A43)=0,"",IF(ISNUMBER('Providers'!S43),'Providers'!S43,""))</f>
        <v/>
      </c>
      <c r="J44" s="34">
        <f>IF(LEN('Providers'!A43)=0,"",IF(ISNUMBER('Providers'!W43),'Providers'!W43,""))</f>
        <v/>
      </c>
      <c r="K44" s="34">
        <f>IF(LEN('Providers'!A43)=0,"",IF(ISNUMBER('Providers'!Y43),'Providers'!Y43,""))</f>
        <v/>
      </c>
      <c r="L44" s="34">
        <f>IF(LEN('Providers'!A43)=0,"",IF(ISNUMBER('Providers'!AA43),'Providers'!AA43,""))</f>
        <v/>
      </c>
      <c r="M44" s="34">
        <f>IF(LEN('Providers'!A43)=0,"",IF(ISNUMBER('Providers'!AD43),'Providers'!AD43,""))</f>
        <v/>
      </c>
      <c r="N44" s="35">
        <f>IF(LEN('Providers'!A43)=0,"",IF(LEN('Providers'!AG43)=0,"",'Providers'!AG43))</f>
        <v/>
      </c>
    </row>
    <row r="45">
      <c r="A45" s="32">
        <f>IF(LEN('Providers'!A44)=0,"",IF(LEN('Providers'!A44)=0,"",'Providers'!A44))</f>
        <v/>
      </c>
      <c r="B45" s="33">
        <f>IF(LEN('Providers'!A44)=0,"",IF(LEN('Providers'!B44)=0,"",'Providers'!B44))</f>
        <v/>
      </c>
      <c r="C45" s="33">
        <f>IF(LEN('Providers'!A44)=0,"",IF(LEN('Providers'!E44)=0,"",'Providers'!E44))</f>
        <v/>
      </c>
      <c r="D45" s="34">
        <f>IF(LEN('Providers'!A44)=0,"",IF(ISNUMBER('Providers'!G44),'Providers'!G44,""))</f>
        <v/>
      </c>
      <c r="E45" s="34">
        <f>IF(LEN('Providers'!A44)=0,"",IF(ISNUMBER('Providers'!I44),'Providers'!I44,""))</f>
        <v/>
      </c>
      <c r="F45" s="34">
        <f>IF(LEN('Providers'!A44)=0,"",IF(ISNUMBER('Providers'!K44),'Providers'!K44,""))</f>
        <v/>
      </c>
      <c r="G45" s="34">
        <f>IF(LEN('Providers'!A44)=0,"",IF(ISNUMBER('Providers'!M44),'Providers'!M44,""))</f>
        <v/>
      </c>
      <c r="H45" s="34">
        <f>IF(LEN('Providers'!A44)=0,"",IF(ISNUMBER('Providers'!Q44),'Providers'!Q44,""))</f>
        <v/>
      </c>
      <c r="I45" s="34">
        <f>IF(LEN('Providers'!A44)=0,"",IF(ISNUMBER('Providers'!S44),'Providers'!S44,""))</f>
        <v/>
      </c>
      <c r="J45" s="34">
        <f>IF(LEN('Providers'!A44)=0,"",IF(ISNUMBER('Providers'!W44),'Providers'!W44,""))</f>
        <v/>
      </c>
      <c r="K45" s="34">
        <f>IF(LEN('Providers'!A44)=0,"",IF(ISNUMBER('Providers'!Y44),'Providers'!Y44,""))</f>
        <v/>
      </c>
      <c r="L45" s="34">
        <f>IF(LEN('Providers'!A44)=0,"",IF(ISNUMBER('Providers'!AA44),'Providers'!AA44,""))</f>
        <v/>
      </c>
      <c r="M45" s="34">
        <f>IF(LEN('Providers'!A44)=0,"",IF(ISNUMBER('Providers'!AD44),'Providers'!AD44,""))</f>
        <v/>
      </c>
      <c r="N45" s="35">
        <f>IF(LEN('Providers'!A44)=0,"",IF(LEN('Providers'!AG44)=0,"",'Providers'!AG44))</f>
        <v/>
      </c>
    </row>
    <row r="46">
      <c r="A46" s="32">
        <f>IF(LEN('Providers'!A45)=0,"",IF(LEN('Providers'!A45)=0,"",'Providers'!A45))</f>
        <v/>
      </c>
      <c r="B46" s="33">
        <f>IF(LEN('Providers'!A45)=0,"",IF(LEN('Providers'!B45)=0,"",'Providers'!B45))</f>
        <v/>
      </c>
      <c r="C46" s="33">
        <f>IF(LEN('Providers'!A45)=0,"",IF(LEN('Providers'!E45)=0,"",'Providers'!E45))</f>
        <v/>
      </c>
      <c r="D46" s="34">
        <f>IF(LEN('Providers'!A45)=0,"",IF(ISNUMBER('Providers'!G45),'Providers'!G45,""))</f>
        <v/>
      </c>
      <c r="E46" s="34">
        <f>IF(LEN('Providers'!A45)=0,"",IF(ISNUMBER('Providers'!I45),'Providers'!I45,""))</f>
        <v/>
      </c>
      <c r="F46" s="34">
        <f>IF(LEN('Providers'!A45)=0,"",IF(ISNUMBER('Providers'!K45),'Providers'!K45,""))</f>
        <v/>
      </c>
      <c r="G46" s="34">
        <f>IF(LEN('Providers'!A45)=0,"",IF(ISNUMBER('Providers'!M45),'Providers'!M45,""))</f>
        <v/>
      </c>
      <c r="H46" s="34">
        <f>IF(LEN('Providers'!A45)=0,"",IF(ISNUMBER('Providers'!Q45),'Providers'!Q45,""))</f>
        <v/>
      </c>
      <c r="I46" s="34">
        <f>IF(LEN('Providers'!A45)=0,"",IF(ISNUMBER('Providers'!S45),'Providers'!S45,""))</f>
        <v/>
      </c>
      <c r="J46" s="34">
        <f>IF(LEN('Providers'!A45)=0,"",IF(ISNUMBER('Providers'!W45),'Providers'!W45,""))</f>
        <v/>
      </c>
      <c r="K46" s="34">
        <f>IF(LEN('Providers'!A45)=0,"",IF(ISNUMBER('Providers'!Y45),'Providers'!Y45,""))</f>
        <v/>
      </c>
      <c r="L46" s="34">
        <f>IF(LEN('Providers'!A45)=0,"",IF(ISNUMBER('Providers'!AA45),'Providers'!AA45,""))</f>
        <v/>
      </c>
      <c r="M46" s="34">
        <f>IF(LEN('Providers'!A45)=0,"",IF(ISNUMBER('Providers'!AD45),'Providers'!AD45,""))</f>
        <v/>
      </c>
      <c r="N46" s="35">
        <f>IF(LEN('Providers'!A45)=0,"",IF(LEN('Providers'!AG45)=0,"",'Providers'!AG45))</f>
        <v/>
      </c>
    </row>
    <row r="47">
      <c r="A47" s="32">
        <f>IF(LEN('Providers'!A46)=0,"",IF(LEN('Providers'!A46)=0,"",'Providers'!A46))</f>
        <v/>
      </c>
      <c r="B47" s="33">
        <f>IF(LEN('Providers'!A46)=0,"",IF(LEN('Providers'!B46)=0,"",'Providers'!B46))</f>
        <v/>
      </c>
      <c r="C47" s="33">
        <f>IF(LEN('Providers'!A46)=0,"",IF(LEN('Providers'!E46)=0,"",'Providers'!E46))</f>
        <v/>
      </c>
      <c r="D47" s="34">
        <f>IF(LEN('Providers'!A46)=0,"",IF(ISNUMBER('Providers'!G46),'Providers'!G46,""))</f>
        <v/>
      </c>
      <c r="E47" s="34">
        <f>IF(LEN('Providers'!A46)=0,"",IF(ISNUMBER('Providers'!I46),'Providers'!I46,""))</f>
        <v/>
      </c>
      <c r="F47" s="34">
        <f>IF(LEN('Providers'!A46)=0,"",IF(ISNUMBER('Providers'!K46),'Providers'!K46,""))</f>
        <v/>
      </c>
      <c r="G47" s="34">
        <f>IF(LEN('Providers'!A46)=0,"",IF(ISNUMBER('Providers'!M46),'Providers'!M46,""))</f>
        <v/>
      </c>
      <c r="H47" s="34">
        <f>IF(LEN('Providers'!A46)=0,"",IF(ISNUMBER('Providers'!Q46),'Providers'!Q46,""))</f>
        <v/>
      </c>
      <c r="I47" s="34">
        <f>IF(LEN('Providers'!A46)=0,"",IF(ISNUMBER('Providers'!S46),'Providers'!S46,""))</f>
        <v/>
      </c>
      <c r="J47" s="34">
        <f>IF(LEN('Providers'!A46)=0,"",IF(ISNUMBER('Providers'!W46),'Providers'!W46,""))</f>
        <v/>
      </c>
      <c r="K47" s="34">
        <f>IF(LEN('Providers'!A46)=0,"",IF(ISNUMBER('Providers'!Y46),'Providers'!Y46,""))</f>
        <v/>
      </c>
      <c r="L47" s="34">
        <f>IF(LEN('Providers'!A46)=0,"",IF(ISNUMBER('Providers'!AA46),'Providers'!AA46,""))</f>
        <v/>
      </c>
      <c r="M47" s="34">
        <f>IF(LEN('Providers'!A46)=0,"",IF(ISNUMBER('Providers'!AD46),'Providers'!AD46,""))</f>
        <v/>
      </c>
      <c r="N47" s="35">
        <f>IF(LEN('Providers'!A46)=0,"",IF(LEN('Providers'!AG46)=0,"",'Providers'!AG46))</f>
        <v/>
      </c>
    </row>
    <row r="48">
      <c r="A48" s="32">
        <f>IF(LEN('Providers'!A47)=0,"",IF(LEN('Providers'!A47)=0,"",'Providers'!A47))</f>
        <v/>
      </c>
      <c r="B48" s="33">
        <f>IF(LEN('Providers'!A47)=0,"",IF(LEN('Providers'!B47)=0,"",'Providers'!B47))</f>
        <v/>
      </c>
      <c r="C48" s="33">
        <f>IF(LEN('Providers'!A47)=0,"",IF(LEN('Providers'!E47)=0,"",'Providers'!E47))</f>
        <v/>
      </c>
      <c r="D48" s="34">
        <f>IF(LEN('Providers'!A47)=0,"",IF(ISNUMBER('Providers'!G47),'Providers'!G47,""))</f>
        <v/>
      </c>
      <c r="E48" s="34">
        <f>IF(LEN('Providers'!A47)=0,"",IF(ISNUMBER('Providers'!I47),'Providers'!I47,""))</f>
        <v/>
      </c>
      <c r="F48" s="34">
        <f>IF(LEN('Providers'!A47)=0,"",IF(ISNUMBER('Providers'!K47),'Providers'!K47,""))</f>
        <v/>
      </c>
      <c r="G48" s="34">
        <f>IF(LEN('Providers'!A47)=0,"",IF(ISNUMBER('Providers'!M47),'Providers'!M47,""))</f>
        <v/>
      </c>
      <c r="H48" s="34">
        <f>IF(LEN('Providers'!A47)=0,"",IF(ISNUMBER('Providers'!Q47),'Providers'!Q47,""))</f>
        <v/>
      </c>
      <c r="I48" s="34">
        <f>IF(LEN('Providers'!A47)=0,"",IF(ISNUMBER('Providers'!S47),'Providers'!S47,""))</f>
        <v/>
      </c>
      <c r="J48" s="34">
        <f>IF(LEN('Providers'!A47)=0,"",IF(ISNUMBER('Providers'!W47),'Providers'!W47,""))</f>
        <v/>
      </c>
      <c r="K48" s="34">
        <f>IF(LEN('Providers'!A47)=0,"",IF(ISNUMBER('Providers'!Y47),'Providers'!Y47,""))</f>
        <v/>
      </c>
      <c r="L48" s="34">
        <f>IF(LEN('Providers'!A47)=0,"",IF(ISNUMBER('Providers'!AA47),'Providers'!AA47,""))</f>
        <v/>
      </c>
      <c r="M48" s="34">
        <f>IF(LEN('Providers'!A47)=0,"",IF(ISNUMBER('Providers'!AD47),'Providers'!AD47,""))</f>
        <v/>
      </c>
      <c r="N48" s="35">
        <f>IF(LEN('Providers'!A47)=0,"",IF(LEN('Providers'!AG47)=0,"",'Providers'!AG47))</f>
        <v/>
      </c>
    </row>
    <row r="49">
      <c r="A49" s="32">
        <f>IF(LEN('Providers'!A48)=0,"",IF(LEN('Providers'!A48)=0,"",'Providers'!A48))</f>
        <v/>
      </c>
      <c r="B49" s="33">
        <f>IF(LEN('Providers'!A48)=0,"",IF(LEN('Providers'!B48)=0,"",'Providers'!B48))</f>
        <v/>
      </c>
      <c r="C49" s="33">
        <f>IF(LEN('Providers'!A48)=0,"",IF(LEN('Providers'!E48)=0,"",'Providers'!E48))</f>
        <v/>
      </c>
      <c r="D49" s="34">
        <f>IF(LEN('Providers'!A48)=0,"",IF(ISNUMBER('Providers'!G48),'Providers'!G48,""))</f>
        <v/>
      </c>
      <c r="E49" s="34">
        <f>IF(LEN('Providers'!A48)=0,"",IF(ISNUMBER('Providers'!I48),'Providers'!I48,""))</f>
        <v/>
      </c>
      <c r="F49" s="34">
        <f>IF(LEN('Providers'!A48)=0,"",IF(ISNUMBER('Providers'!K48),'Providers'!K48,""))</f>
        <v/>
      </c>
      <c r="G49" s="34">
        <f>IF(LEN('Providers'!A48)=0,"",IF(ISNUMBER('Providers'!M48),'Providers'!M48,""))</f>
        <v/>
      </c>
      <c r="H49" s="34">
        <f>IF(LEN('Providers'!A48)=0,"",IF(ISNUMBER('Providers'!Q48),'Providers'!Q48,""))</f>
        <v/>
      </c>
      <c r="I49" s="34">
        <f>IF(LEN('Providers'!A48)=0,"",IF(ISNUMBER('Providers'!S48),'Providers'!S48,""))</f>
        <v/>
      </c>
      <c r="J49" s="34">
        <f>IF(LEN('Providers'!A48)=0,"",IF(ISNUMBER('Providers'!W48),'Providers'!W48,""))</f>
        <v/>
      </c>
      <c r="K49" s="34">
        <f>IF(LEN('Providers'!A48)=0,"",IF(ISNUMBER('Providers'!Y48),'Providers'!Y48,""))</f>
        <v/>
      </c>
      <c r="L49" s="34">
        <f>IF(LEN('Providers'!A48)=0,"",IF(ISNUMBER('Providers'!AA48),'Providers'!AA48,""))</f>
        <v/>
      </c>
      <c r="M49" s="34">
        <f>IF(LEN('Providers'!A48)=0,"",IF(ISNUMBER('Providers'!AD48),'Providers'!AD48,""))</f>
        <v/>
      </c>
      <c r="N49" s="35">
        <f>IF(LEN('Providers'!A48)=0,"",IF(LEN('Providers'!AG48)=0,"",'Providers'!AG48))</f>
        <v/>
      </c>
    </row>
    <row r="50">
      <c r="A50" s="32">
        <f>IF(LEN('Providers'!A49)=0,"",IF(LEN('Providers'!A49)=0,"",'Providers'!A49))</f>
        <v/>
      </c>
      <c r="B50" s="33">
        <f>IF(LEN('Providers'!A49)=0,"",IF(LEN('Providers'!B49)=0,"",'Providers'!B49))</f>
        <v/>
      </c>
      <c r="C50" s="33">
        <f>IF(LEN('Providers'!A49)=0,"",IF(LEN('Providers'!E49)=0,"",'Providers'!E49))</f>
        <v/>
      </c>
      <c r="D50" s="34">
        <f>IF(LEN('Providers'!A49)=0,"",IF(ISNUMBER('Providers'!G49),'Providers'!G49,""))</f>
        <v/>
      </c>
      <c r="E50" s="34">
        <f>IF(LEN('Providers'!A49)=0,"",IF(ISNUMBER('Providers'!I49),'Providers'!I49,""))</f>
        <v/>
      </c>
      <c r="F50" s="34">
        <f>IF(LEN('Providers'!A49)=0,"",IF(ISNUMBER('Providers'!K49),'Providers'!K49,""))</f>
        <v/>
      </c>
      <c r="G50" s="34">
        <f>IF(LEN('Providers'!A49)=0,"",IF(ISNUMBER('Providers'!M49),'Providers'!M49,""))</f>
        <v/>
      </c>
      <c r="H50" s="34">
        <f>IF(LEN('Providers'!A49)=0,"",IF(ISNUMBER('Providers'!Q49),'Providers'!Q49,""))</f>
        <v/>
      </c>
      <c r="I50" s="34">
        <f>IF(LEN('Providers'!A49)=0,"",IF(ISNUMBER('Providers'!S49),'Providers'!S49,""))</f>
        <v/>
      </c>
      <c r="J50" s="34">
        <f>IF(LEN('Providers'!A49)=0,"",IF(ISNUMBER('Providers'!W49),'Providers'!W49,""))</f>
        <v/>
      </c>
      <c r="K50" s="34">
        <f>IF(LEN('Providers'!A49)=0,"",IF(ISNUMBER('Providers'!Y49),'Providers'!Y49,""))</f>
        <v/>
      </c>
      <c r="L50" s="34">
        <f>IF(LEN('Providers'!A49)=0,"",IF(ISNUMBER('Providers'!AA49),'Providers'!AA49,""))</f>
        <v/>
      </c>
      <c r="M50" s="34">
        <f>IF(LEN('Providers'!A49)=0,"",IF(ISNUMBER('Providers'!AD49),'Providers'!AD49,""))</f>
        <v/>
      </c>
      <c r="N50" s="35">
        <f>IF(LEN('Providers'!A49)=0,"",IF(LEN('Providers'!AG49)=0,"",'Providers'!AG49))</f>
        <v/>
      </c>
    </row>
    <row r="51">
      <c r="A51" s="32">
        <f>IF(LEN('Providers'!A50)=0,"",IF(LEN('Providers'!A50)=0,"",'Providers'!A50))</f>
        <v/>
      </c>
      <c r="B51" s="33">
        <f>IF(LEN('Providers'!A50)=0,"",IF(LEN('Providers'!B50)=0,"",'Providers'!B50))</f>
        <v/>
      </c>
      <c r="C51" s="33">
        <f>IF(LEN('Providers'!A50)=0,"",IF(LEN('Providers'!E50)=0,"",'Providers'!E50))</f>
        <v/>
      </c>
      <c r="D51" s="34">
        <f>IF(LEN('Providers'!A50)=0,"",IF(ISNUMBER('Providers'!G50),'Providers'!G50,""))</f>
        <v/>
      </c>
      <c r="E51" s="34">
        <f>IF(LEN('Providers'!A50)=0,"",IF(ISNUMBER('Providers'!I50),'Providers'!I50,""))</f>
        <v/>
      </c>
      <c r="F51" s="34">
        <f>IF(LEN('Providers'!A50)=0,"",IF(ISNUMBER('Providers'!K50),'Providers'!K50,""))</f>
        <v/>
      </c>
      <c r="G51" s="34">
        <f>IF(LEN('Providers'!A50)=0,"",IF(ISNUMBER('Providers'!M50),'Providers'!M50,""))</f>
        <v/>
      </c>
      <c r="H51" s="34">
        <f>IF(LEN('Providers'!A50)=0,"",IF(ISNUMBER('Providers'!Q50),'Providers'!Q50,""))</f>
        <v/>
      </c>
      <c r="I51" s="34">
        <f>IF(LEN('Providers'!A50)=0,"",IF(ISNUMBER('Providers'!S50),'Providers'!S50,""))</f>
        <v/>
      </c>
      <c r="J51" s="34">
        <f>IF(LEN('Providers'!A50)=0,"",IF(ISNUMBER('Providers'!W50),'Providers'!W50,""))</f>
        <v/>
      </c>
      <c r="K51" s="34">
        <f>IF(LEN('Providers'!A50)=0,"",IF(ISNUMBER('Providers'!Y50),'Providers'!Y50,""))</f>
        <v/>
      </c>
      <c r="L51" s="34">
        <f>IF(LEN('Providers'!A50)=0,"",IF(ISNUMBER('Providers'!AA50),'Providers'!AA50,""))</f>
        <v/>
      </c>
      <c r="M51" s="34">
        <f>IF(LEN('Providers'!A50)=0,"",IF(ISNUMBER('Providers'!AD50),'Providers'!AD50,""))</f>
        <v/>
      </c>
      <c r="N51" s="35">
        <f>IF(LEN('Providers'!A50)=0,"",IF(LEN('Providers'!AG50)=0,"",'Providers'!AG50))</f>
        <v/>
      </c>
    </row>
    <row r="52">
      <c r="A52" s="32">
        <f>IF(LEN('Providers'!A51)=0,"",IF(LEN('Providers'!A51)=0,"",'Providers'!A51))</f>
        <v/>
      </c>
      <c r="B52" s="33">
        <f>IF(LEN('Providers'!A51)=0,"",IF(LEN('Providers'!B51)=0,"",'Providers'!B51))</f>
        <v/>
      </c>
      <c r="C52" s="33">
        <f>IF(LEN('Providers'!A51)=0,"",IF(LEN('Providers'!E51)=0,"",'Providers'!E51))</f>
        <v/>
      </c>
      <c r="D52" s="34">
        <f>IF(LEN('Providers'!A51)=0,"",IF(ISNUMBER('Providers'!G51),'Providers'!G51,""))</f>
        <v/>
      </c>
      <c r="E52" s="34">
        <f>IF(LEN('Providers'!A51)=0,"",IF(ISNUMBER('Providers'!I51),'Providers'!I51,""))</f>
        <v/>
      </c>
      <c r="F52" s="34">
        <f>IF(LEN('Providers'!A51)=0,"",IF(ISNUMBER('Providers'!K51),'Providers'!K51,""))</f>
        <v/>
      </c>
      <c r="G52" s="34">
        <f>IF(LEN('Providers'!A51)=0,"",IF(ISNUMBER('Providers'!M51),'Providers'!M51,""))</f>
        <v/>
      </c>
      <c r="H52" s="34">
        <f>IF(LEN('Providers'!A51)=0,"",IF(ISNUMBER('Providers'!Q51),'Providers'!Q51,""))</f>
        <v/>
      </c>
      <c r="I52" s="34">
        <f>IF(LEN('Providers'!A51)=0,"",IF(ISNUMBER('Providers'!S51),'Providers'!S51,""))</f>
        <v/>
      </c>
      <c r="J52" s="34">
        <f>IF(LEN('Providers'!A51)=0,"",IF(ISNUMBER('Providers'!W51),'Providers'!W51,""))</f>
        <v/>
      </c>
      <c r="K52" s="34">
        <f>IF(LEN('Providers'!A51)=0,"",IF(ISNUMBER('Providers'!Y51),'Providers'!Y51,""))</f>
        <v/>
      </c>
      <c r="L52" s="34">
        <f>IF(LEN('Providers'!A51)=0,"",IF(ISNUMBER('Providers'!AA51),'Providers'!AA51,""))</f>
        <v/>
      </c>
      <c r="M52" s="34">
        <f>IF(LEN('Providers'!A51)=0,"",IF(ISNUMBER('Providers'!AD51),'Providers'!AD51,""))</f>
        <v/>
      </c>
      <c r="N52" s="35">
        <f>IF(LEN('Providers'!A51)=0,"",IF(LEN('Providers'!AG51)=0,"",'Providers'!AG51))</f>
        <v/>
      </c>
    </row>
    <row r="53">
      <c r="A53" s="32">
        <f>IF(LEN('Providers'!A52)=0,"",IF(LEN('Providers'!A52)=0,"",'Providers'!A52))</f>
        <v/>
      </c>
      <c r="B53" s="33">
        <f>IF(LEN('Providers'!A52)=0,"",IF(LEN('Providers'!B52)=0,"",'Providers'!B52))</f>
        <v/>
      </c>
      <c r="C53" s="33">
        <f>IF(LEN('Providers'!A52)=0,"",IF(LEN('Providers'!E52)=0,"",'Providers'!E52))</f>
        <v/>
      </c>
      <c r="D53" s="34">
        <f>IF(LEN('Providers'!A52)=0,"",IF(ISNUMBER('Providers'!G52),'Providers'!G52,""))</f>
        <v/>
      </c>
      <c r="E53" s="34">
        <f>IF(LEN('Providers'!A52)=0,"",IF(ISNUMBER('Providers'!I52),'Providers'!I52,""))</f>
        <v/>
      </c>
      <c r="F53" s="34">
        <f>IF(LEN('Providers'!A52)=0,"",IF(ISNUMBER('Providers'!K52),'Providers'!K52,""))</f>
        <v/>
      </c>
      <c r="G53" s="34">
        <f>IF(LEN('Providers'!A52)=0,"",IF(ISNUMBER('Providers'!M52),'Providers'!M52,""))</f>
        <v/>
      </c>
      <c r="H53" s="34">
        <f>IF(LEN('Providers'!A52)=0,"",IF(ISNUMBER('Providers'!Q52),'Providers'!Q52,""))</f>
        <v/>
      </c>
      <c r="I53" s="34">
        <f>IF(LEN('Providers'!A52)=0,"",IF(ISNUMBER('Providers'!S52),'Providers'!S52,""))</f>
        <v/>
      </c>
      <c r="J53" s="34">
        <f>IF(LEN('Providers'!A52)=0,"",IF(ISNUMBER('Providers'!W52),'Providers'!W52,""))</f>
        <v/>
      </c>
      <c r="K53" s="34">
        <f>IF(LEN('Providers'!A52)=0,"",IF(ISNUMBER('Providers'!Y52),'Providers'!Y52,""))</f>
        <v/>
      </c>
      <c r="L53" s="34">
        <f>IF(LEN('Providers'!A52)=0,"",IF(ISNUMBER('Providers'!AA52),'Providers'!AA52,""))</f>
        <v/>
      </c>
      <c r="M53" s="34">
        <f>IF(LEN('Providers'!A52)=0,"",IF(ISNUMBER('Providers'!AD52),'Providers'!AD52,""))</f>
        <v/>
      </c>
      <c r="N53" s="35">
        <f>IF(LEN('Providers'!A52)=0,"",IF(LEN('Providers'!AG52)=0,"",'Providers'!AG52))</f>
        <v/>
      </c>
    </row>
    <row r="54">
      <c r="A54" s="32">
        <f>IF(LEN('Providers'!A53)=0,"",IF(LEN('Providers'!A53)=0,"",'Providers'!A53))</f>
        <v/>
      </c>
      <c r="B54" s="33">
        <f>IF(LEN('Providers'!A53)=0,"",IF(LEN('Providers'!B53)=0,"",'Providers'!B53))</f>
        <v/>
      </c>
      <c r="C54" s="33">
        <f>IF(LEN('Providers'!A53)=0,"",IF(LEN('Providers'!E53)=0,"",'Providers'!E53))</f>
        <v/>
      </c>
      <c r="D54" s="34">
        <f>IF(LEN('Providers'!A53)=0,"",IF(ISNUMBER('Providers'!G53),'Providers'!G53,""))</f>
        <v/>
      </c>
      <c r="E54" s="34">
        <f>IF(LEN('Providers'!A53)=0,"",IF(ISNUMBER('Providers'!I53),'Providers'!I53,""))</f>
        <v/>
      </c>
      <c r="F54" s="34">
        <f>IF(LEN('Providers'!A53)=0,"",IF(ISNUMBER('Providers'!K53),'Providers'!K53,""))</f>
        <v/>
      </c>
      <c r="G54" s="34">
        <f>IF(LEN('Providers'!A53)=0,"",IF(ISNUMBER('Providers'!M53),'Providers'!M53,""))</f>
        <v/>
      </c>
      <c r="H54" s="34">
        <f>IF(LEN('Providers'!A53)=0,"",IF(ISNUMBER('Providers'!Q53),'Providers'!Q53,""))</f>
        <v/>
      </c>
      <c r="I54" s="34">
        <f>IF(LEN('Providers'!A53)=0,"",IF(ISNUMBER('Providers'!S53),'Providers'!S53,""))</f>
        <v/>
      </c>
      <c r="J54" s="34">
        <f>IF(LEN('Providers'!A53)=0,"",IF(ISNUMBER('Providers'!W53),'Providers'!W53,""))</f>
        <v/>
      </c>
      <c r="K54" s="34">
        <f>IF(LEN('Providers'!A53)=0,"",IF(ISNUMBER('Providers'!Y53),'Providers'!Y53,""))</f>
        <v/>
      </c>
      <c r="L54" s="34">
        <f>IF(LEN('Providers'!A53)=0,"",IF(ISNUMBER('Providers'!AA53),'Providers'!AA53,""))</f>
        <v/>
      </c>
      <c r="M54" s="34">
        <f>IF(LEN('Providers'!A53)=0,"",IF(ISNUMBER('Providers'!AD53),'Providers'!AD53,""))</f>
        <v/>
      </c>
      <c r="N54" s="35">
        <f>IF(LEN('Providers'!A53)=0,"",IF(LEN('Providers'!AG53)=0,"",'Providers'!AG53))</f>
        <v/>
      </c>
    </row>
    <row r="55">
      <c r="A55" s="32">
        <f>IF(LEN('Providers'!A54)=0,"",IF(LEN('Providers'!A54)=0,"",'Providers'!A54))</f>
        <v/>
      </c>
      <c r="B55" s="33">
        <f>IF(LEN('Providers'!A54)=0,"",IF(LEN('Providers'!B54)=0,"",'Providers'!B54))</f>
        <v/>
      </c>
      <c r="C55" s="33">
        <f>IF(LEN('Providers'!A54)=0,"",IF(LEN('Providers'!E54)=0,"",'Providers'!E54))</f>
        <v/>
      </c>
      <c r="D55" s="34">
        <f>IF(LEN('Providers'!A54)=0,"",IF(ISNUMBER('Providers'!G54),'Providers'!G54,""))</f>
        <v/>
      </c>
      <c r="E55" s="34">
        <f>IF(LEN('Providers'!A54)=0,"",IF(ISNUMBER('Providers'!I54),'Providers'!I54,""))</f>
        <v/>
      </c>
      <c r="F55" s="34">
        <f>IF(LEN('Providers'!A54)=0,"",IF(ISNUMBER('Providers'!K54),'Providers'!K54,""))</f>
        <v/>
      </c>
      <c r="G55" s="34">
        <f>IF(LEN('Providers'!A54)=0,"",IF(ISNUMBER('Providers'!M54),'Providers'!M54,""))</f>
        <v/>
      </c>
      <c r="H55" s="34">
        <f>IF(LEN('Providers'!A54)=0,"",IF(ISNUMBER('Providers'!Q54),'Providers'!Q54,""))</f>
        <v/>
      </c>
      <c r="I55" s="34">
        <f>IF(LEN('Providers'!A54)=0,"",IF(ISNUMBER('Providers'!S54),'Providers'!S54,""))</f>
        <v/>
      </c>
      <c r="J55" s="34">
        <f>IF(LEN('Providers'!A54)=0,"",IF(ISNUMBER('Providers'!W54),'Providers'!W54,""))</f>
        <v/>
      </c>
      <c r="K55" s="34">
        <f>IF(LEN('Providers'!A54)=0,"",IF(ISNUMBER('Providers'!Y54),'Providers'!Y54,""))</f>
        <v/>
      </c>
      <c r="L55" s="34">
        <f>IF(LEN('Providers'!A54)=0,"",IF(ISNUMBER('Providers'!AA54),'Providers'!AA54,""))</f>
        <v/>
      </c>
      <c r="M55" s="34">
        <f>IF(LEN('Providers'!A54)=0,"",IF(ISNUMBER('Providers'!AD54),'Providers'!AD54,""))</f>
        <v/>
      </c>
      <c r="N55" s="35">
        <f>IF(LEN('Providers'!A54)=0,"",IF(LEN('Providers'!AG54)=0,"",'Providers'!AG54))</f>
        <v/>
      </c>
    </row>
    <row r="56">
      <c r="A56" s="32">
        <f>IF(LEN('Providers'!A55)=0,"",IF(LEN('Providers'!A55)=0,"",'Providers'!A55))</f>
        <v/>
      </c>
      <c r="B56" s="33">
        <f>IF(LEN('Providers'!A55)=0,"",IF(LEN('Providers'!B55)=0,"",'Providers'!B55))</f>
        <v/>
      </c>
      <c r="C56" s="33">
        <f>IF(LEN('Providers'!A55)=0,"",IF(LEN('Providers'!E55)=0,"",'Providers'!E55))</f>
        <v/>
      </c>
      <c r="D56" s="34">
        <f>IF(LEN('Providers'!A55)=0,"",IF(ISNUMBER('Providers'!G55),'Providers'!G55,""))</f>
        <v/>
      </c>
      <c r="E56" s="34">
        <f>IF(LEN('Providers'!A55)=0,"",IF(ISNUMBER('Providers'!I55),'Providers'!I55,""))</f>
        <v/>
      </c>
      <c r="F56" s="34">
        <f>IF(LEN('Providers'!A55)=0,"",IF(ISNUMBER('Providers'!K55),'Providers'!K55,""))</f>
        <v/>
      </c>
      <c r="G56" s="34">
        <f>IF(LEN('Providers'!A55)=0,"",IF(ISNUMBER('Providers'!M55),'Providers'!M55,""))</f>
        <v/>
      </c>
      <c r="H56" s="34">
        <f>IF(LEN('Providers'!A55)=0,"",IF(ISNUMBER('Providers'!Q55),'Providers'!Q55,""))</f>
        <v/>
      </c>
      <c r="I56" s="34">
        <f>IF(LEN('Providers'!A55)=0,"",IF(ISNUMBER('Providers'!S55),'Providers'!S55,""))</f>
        <v/>
      </c>
      <c r="J56" s="34">
        <f>IF(LEN('Providers'!A55)=0,"",IF(ISNUMBER('Providers'!W55),'Providers'!W55,""))</f>
        <v/>
      </c>
      <c r="K56" s="34">
        <f>IF(LEN('Providers'!A55)=0,"",IF(ISNUMBER('Providers'!Y55),'Providers'!Y55,""))</f>
        <v/>
      </c>
      <c r="L56" s="34">
        <f>IF(LEN('Providers'!A55)=0,"",IF(ISNUMBER('Providers'!AA55),'Providers'!AA55,""))</f>
        <v/>
      </c>
      <c r="M56" s="34">
        <f>IF(LEN('Providers'!A55)=0,"",IF(ISNUMBER('Providers'!AD55),'Providers'!AD55,""))</f>
        <v/>
      </c>
      <c r="N56" s="35">
        <f>IF(LEN('Providers'!A55)=0,"",IF(LEN('Providers'!AG55)=0,"",'Providers'!AG55))</f>
        <v/>
      </c>
    </row>
    <row r="57">
      <c r="A57" s="32">
        <f>IF(LEN('Providers'!A56)=0,"",IF(LEN('Providers'!A56)=0,"",'Providers'!A56))</f>
        <v/>
      </c>
      <c r="B57" s="33">
        <f>IF(LEN('Providers'!A56)=0,"",IF(LEN('Providers'!B56)=0,"",'Providers'!B56))</f>
        <v/>
      </c>
      <c r="C57" s="33">
        <f>IF(LEN('Providers'!A56)=0,"",IF(LEN('Providers'!E56)=0,"",'Providers'!E56))</f>
        <v/>
      </c>
      <c r="D57" s="34">
        <f>IF(LEN('Providers'!A56)=0,"",IF(ISNUMBER('Providers'!G56),'Providers'!G56,""))</f>
        <v/>
      </c>
      <c r="E57" s="34">
        <f>IF(LEN('Providers'!A56)=0,"",IF(ISNUMBER('Providers'!I56),'Providers'!I56,""))</f>
        <v/>
      </c>
      <c r="F57" s="34">
        <f>IF(LEN('Providers'!A56)=0,"",IF(ISNUMBER('Providers'!K56),'Providers'!K56,""))</f>
        <v/>
      </c>
      <c r="G57" s="34">
        <f>IF(LEN('Providers'!A56)=0,"",IF(ISNUMBER('Providers'!M56),'Providers'!M56,""))</f>
        <v/>
      </c>
      <c r="H57" s="34">
        <f>IF(LEN('Providers'!A56)=0,"",IF(ISNUMBER('Providers'!Q56),'Providers'!Q56,""))</f>
        <v/>
      </c>
      <c r="I57" s="34">
        <f>IF(LEN('Providers'!A56)=0,"",IF(ISNUMBER('Providers'!S56),'Providers'!S56,""))</f>
        <v/>
      </c>
      <c r="J57" s="34">
        <f>IF(LEN('Providers'!A56)=0,"",IF(ISNUMBER('Providers'!W56),'Providers'!W56,""))</f>
        <v/>
      </c>
      <c r="K57" s="34">
        <f>IF(LEN('Providers'!A56)=0,"",IF(ISNUMBER('Providers'!Y56),'Providers'!Y56,""))</f>
        <v/>
      </c>
      <c r="L57" s="34">
        <f>IF(LEN('Providers'!A56)=0,"",IF(ISNUMBER('Providers'!AA56),'Providers'!AA56,""))</f>
        <v/>
      </c>
      <c r="M57" s="34">
        <f>IF(LEN('Providers'!A56)=0,"",IF(ISNUMBER('Providers'!AD56),'Providers'!AD56,""))</f>
        <v/>
      </c>
      <c r="N57" s="35">
        <f>IF(LEN('Providers'!A56)=0,"",IF(LEN('Providers'!AG56)=0,"",'Providers'!AG56))</f>
        <v/>
      </c>
    </row>
    <row r="58">
      <c r="A58" s="32">
        <f>IF(LEN('Providers'!A57)=0,"",IF(LEN('Providers'!A57)=0,"",'Providers'!A57))</f>
        <v/>
      </c>
      <c r="B58" s="33">
        <f>IF(LEN('Providers'!A57)=0,"",IF(LEN('Providers'!B57)=0,"",'Providers'!B57))</f>
        <v/>
      </c>
      <c r="C58" s="33">
        <f>IF(LEN('Providers'!A57)=0,"",IF(LEN('Providers'!E57)=0,"",'Providers'!E57))</f>
        <v/>
      </c>
      <c r="D58" s="34">
        <f>IF(LEN('Providers'!A57)=0,"",IF(ISNUMBER('Providers'!G57),'Providers'!G57,""))</f>
        <v/>
      </c>
      <c r="E58" s="34">
        <f>IF(LEN('Providers'!A57)=0,"",IF(ISNUMBER('Providers'!I57),'Providers'!I57,""))</f>
        <v/>
      </c>
      <c r="F58" s="34">
        <f>IF(LEN('Providers'!A57)=0,"",IF(ISNUMBER('Providers'!K57),'Providers'!K57,""))</f>
        <v/>
      </c>
      <c r="G58" s="34">
        <f>IF(LEN('Providers'!A57)=0,"",IF(ISNUMBER('Providers'!M57),'Providers'!M57,""))</f>
        <v/>
      </c>
      <c r="H58" s="34">
        <f>IF(LEN('Providers'!A57)=0,"",IF(ISNUMBER('Providers'!Q57),'Providers'!Q57,""))</f>
        <v/>
      </c>
      <c r="I58" s="34">
        <f>IF(LEN('Providers'!A57)=0,"",IF(ISNUMBER('Providers'!S57),'Providers'!S57,""))</f>
        <v/>
      </c>
      <c r="J58" s="34">
        <f>IF(LEN('Providers'!A57)=0,"",IF(ISNUMBER('Providers'!W57),'Providers'!W57,""))</f>
        <v/>
      </c>
      <c r="K58" s="34">
        <f>IF(LEN('Providers'!A57)=0,"",IF(ISNUMBER('Providers'!Y57),'Providers'!Y57,""))</f>
        <v/>
      </c>
      <c r="L58" s="34">
        <f>IF(LEN('Providers'!A57)=0,"",IF(ISNUMBER('Providers'!AA57),'Providers'!AA57,""))</f>
        <v/>
      </c>
      <c r="M58" s="34">
        <f>IF(LEN('Providers'!A57)=0,"",IF(ISNUMBER('Providers'!AD57),'Providers'!AD57,""))</f>
        <v/>
      </c>
      <c r="N58" s="35">
        <f>IF(LEN('Providers'!A57)=0,"",IF(LEN('Providers'!AG57)=0,"",'Providers'!AG57))</f>
        <v/>
      </c>
    </row>
    <row r="59">
      <c r="A59" s="32">
        <f>IF(LEN('Providers'!A58)=0,"",IF(LEN('Providers'!A58)=0,"",'Providers'!A58))</f>
        <v/>
      </c>
      <c r="B59" s="33">
        <f>IF(LEN('Providers'!A58)=0,"",IF(LEN('Providers'!B58)=0,"",'Providers'!B58))</f>
        <v/>
      </c>
      <c r="C59" s="33">
        <f>IF(LEN('Providers'!A58)=0,"",IF(LEN('Providers'!E58)=0,"",'Providers'!E58))</f>
        <v/>
      </c>
      <c r="D59" s="34">
        <f>IF(LEN('Providers'!A58)=0,"",IF(ISNUMBER('Providers'!G58),'Providers'!G58,""))</f>
        <v/>
      </c>
      <c r="E59" s="34">
        <f>IF(LEN('Providers'!A58)=0,"",IF(ISNUMBER('Providers'!I58),'Providers'!I58,""))</f>
        <v/>
      </c>
      <c r="F59" s="34">
        <f>IF(LEN('Providers'!A58)=0,"",IF(ISNUMBER('Providers'!K58),'Providers'!K58,""))</f>
        <v/>
      </c>
      <c r="G59" s="34">
        <f>IF(LEN('Providers'!A58)=0,"",IF(ISNUMBER('Providers'!M58),'Providers'!M58,""))</f>
        <v/>
      </c>
      <c r="H59" s="34">
        <f>IF(LEN('Providers'!A58)=0,"",IF(ISNUMBER('Providers'!Q58),'Providers'!Q58,""))</f>
        <v/>
      </c>
      <c r="I59" s="34">
        <f>IF(LEN('Providers'!A58)=0,"",IF(ISNUMBER('Providers'!S58),'Providers'!S58,""))</f>
        <v/>
      </c>
      <c r="J59" s="34">
        <f>IF(LEN('Providers'!A58)=0,"",IF(ISNUMBER('Providers'!W58),'Providers'!W58,""))</f>
        <v/>
      </c>
      <c r="K59" s="34">
        <f>IF(LEN('Providers'!A58)=0,"",IF(ISNUMBER('Providers'!Y58),'Providers'!Y58,""))</f>
        <v/>
      </c>
      <c r="L59" s="34">
        <f>IF(LEN('Providers'!A58)=0,"",IF(ISNUMBER('Providers'!AA58),'Providers'!AA58,""))</f>
        <v/>
      </c>
      <c r="M59" s="34">
        <f>IF(LEN('Providers'!A58)=0,"",IF(ISNUMBER('Providers'!AD58),'Providers'!AD58,""))</f>
        <v/>
      </c>
      <c r="N59" s="35">
        <f>IF(LEN('Providers'!A58)=0,"",IF(LEN('Providers'!AG58)=0,"",'Providers'!AG58))</f>
        <v/>
      </c>
    </row>
    <row r="60">
      <c r="A60" s="32">
        <f>IF(LEN('Providers'!A59)=0,"",IF(LEN('Providers'!A59)=0,"",'Providers'!A59))</f>
        <v/>
      </c>
      <c r="B60" s="33">
        <f>IF(LEN('Providers'!A59)=0,"",IF(LEN('Providers'!B59)=0,"",'Providers'!B59))</f>
        <v/>
      </c>
      <c r="C60" s="33">
        <f>IF(LEN('Providers'!A59)=0,"",IF(LEN('Providers'!E59)=0,"",'Providers'!E59))</f>
        <v/>
      </c>
      <c r="D60" s="34">
        <f>IF(LEN('Providers'!A59)=0,"",IF(ISNUMBER('Providers'!G59),'Providers'!G59,""))</f>
        <v/>
      </c>
      <c r="E60" s="34">
        <f>IF(LEN('Providers'!A59)=0,"",IF(ISNUMBER('Providers'!I59),'Providers'!I59,""))</f>
        <v/>
      </c>
      <c r="F60" s="34">
        <f>IF(LEN('Providers'!A59)=0,"",IF(ISNUMBER('Providers'!K59),'Providers'!K59,""))</f>
        <v/>
      </c>
      <c r="G60" s="34">
        <f>IF(LEN('Providers'!A59)=0,"",IF(ISNUMBER('Providers'!M59),'Providers'!M59,""))</f>
        <v/>
      </c>
      <c r="H60" s="34">
        <f>IF(LEN('Providers'!A59)=0,"",IF(ISNUMBER('Providers'!Q59),'Providers'!Q59,""))</f>
        <v/>
      </c>
      <c r="I60" s="34">
        <f>IF(LEN('Providers'!A59)=0,"",IF(ISNUMBER('Providers'!S59),'Providers'!S59,""))</f>
        <v/>
      </c>
      <c r="J60" s="34">
        <f>IF(LEN('Providers'!A59)=0,"",IF(ISNUMBER('Providers'!W59),'Providers'!W59,""))</f>
        <v/>
      </c>
      <c r="K60" s="34">
        <f>IF(LEN('Providers'!A59)=0,"",IF(ISNUMBER('Providers'!Y59),'Providers'!Y59,""))</f>
        <v/>
      </c>
      <c r="L60" s="34">
        <f>IF(LEN('Providers'!A59)=0,"",IF(ISNUMBER('Providers'!AA59),'Providers'!AA59,""))</f>
        <v/>
      </c>
      <c r="M60" s="34">
        <f>IF(LEN('Providers'!A59)=0,"",IF(ISNUMBER('Providers'!AD59),'Providers'!AD59,""))</f>
        <v/>
      </c>
      <c r="N60" s="35">
        <f>IF(LEN('Providers'!A59)=0,"",IF(LEN('Providers'!AG59)=0,"",'Providers'!AG59))</f>
        <v/>
      </c>
    </row>
    <row r="61">
      <c r="A61" s="32">
        <f>IF(LEN('Providers'!A60)=0,"",IF(LEN('Providers'!A60)=0,"",'Providers'!A60))</f>
        <v/>
      </c>
      <c r="B61" s="33">
        <f>IF(LEN('Providers'!A60)=0,"",IF(LEN('Providers'!B60)=0,"",'Providers'!B60))</f>
        <v/>
      </c>
      <c r="C61" s="33">
        <f>IF(LEN('Providers'!A60)=0,"",IF(LEN('Providers'!E60)=0,"",'Providers'!E60))</f>
        <v/>
      </c>
      <c r="D61" s="34">
        <f>IF(LEN('Providers'!A60)=0,"",IF(ISNUMBER('Providers'!G60),'Providers'!G60,""))</f>
        <v/>
      </c>
      <c r="E61" s="34">
        <f>IF(LEN('Providers'!A60)=0,"",IF(ISNUMBER('Providers'!I60),'Providers'!I60,""))</f>
        <v/>
      </c>
      <c r="F61" s="34">
        <f>IF(LEN('Providers'!A60)=0,"",IF(ISNUMBER('Providers'!K60),'Providers'!K60,""))</f>
        <v/>
      </c>
      <c r="G61" s="34">
        <f>IF(LEN('Providers'!A60)=0,"",IF(ISNUMBER('Providers'!M60),'Providers'!M60,""))</f>
        <v/>
      </c>
      <c r="H61" s="34">
        <f>IF(LEN('Providers'!A60)=0,"",IF(ISNUMBER('Providers'!Q60),'Providers'!Q60,""))</f>
        <v/>
      </c>
      <c r="I61" s="34">
        <f>IF(LEN('Providers'!A60)=0,"",IF(ISNUMBER('Providers'!S60),'Providers'!S60,""))</f>
        <v/>
      </c>
      <c r="J61" s="34">
        <f>IF(LEN('Providers'!A60)=0,"",IF(ISNUMBER('Providers'!W60),'Providers'!W60,""))</f>
        <v/>
      </c>
      <c r="K61" s="34">
        <f>IF(LEN('Providers'!A60)=0,"",IF(ISNUMBER('Providers'!Y60),'Providers'!Y60,""))</f>
        <v/>
      </c>
      <c r="L61" s="34">
        <f>IF(LEN('Providers'!A60)=0,"",IF(ISNUMBER('Providers'!AA60),'Providers'!AA60,""))</f>
        <v/>
      </c>
      <c r="M61" s="34">
        <f>IF(LEN('Providers'!A60)=0,"",IF(ISNUMBER('Providers'!AD60),'Providers'!AD60,""))</f>
        <v/>
      </c>
      <c r="N61" s="35">
        <f>IF(LEN('Providers'!A60)=0,"",IF(LEN('Providers'!AG60)=0,"",'Providers'!AG60))</f>
        <v/>
      </c>
    </row>
    <row r="62">
      <c r="A62" s="32">
        <f>IF(LEN('Providers'!A61)=0,"",IF(LEN('Providers'!A61)=0,"",'Providers'!A61))</f>
        <v/>
      </c>
      <c r="B62" s="33">
        <f>IF(LEN('Providers'!A61)=0,"",IF(LEN('Providers'!B61)=0,"",'Providers'!B61))</f>
        <v/>
      </c>
      <c r="C62" s="33">
        <f>IF(LEN('Providers'!A61)=0,"",IF(LEN('Providers'!E61)=0,"",'Providers'!E61))</f>
        <v/>
      </c>
      <c r="D62" s="34">
        <f>IF(LEN('Providers'!A61)=0,"",IF(ISNUMBER('Providers'!G61),'Providers'!G61,""))</f>
        <v/>
      </c>
      <c r="E62" s="34">
        <f>IF(LEN('Providers'!A61)=0,"",IF(ISNUMBER('Providers'!I61),'Providers'!I61,""))</f>
        <v/>
      </c>
      <c r="F62" s="34">
        <f>IF(LEN('Providers'!A61)=0,"",IF(ISNUMBER('Providers'!K61),'Providers'!K61,""))</f>
        <v/>
      </c>
      <c r="G62" s="34">
        <f>IF(LEN('Providers'!A61)=0,"",IF(ISNUMBER('Providers'!M61),'Providers'!M61,""))</f>
        <v/>
      </c>
      <c r="H62" s="34">
        <f>IF(LEN('Providers'!A61)=0,"",IF(ISNUMBER('Providers'!Q61),'Providers'!Q61,""))</f>
        <v/>
      </c>
      <c r="I62" s="34">
        <f>IF(LEN('Providers'!A61)=0,"",IF(ISNUMBER('Providers'!S61),'Providers'!S61,""))</f>
        <v/>
      </c>
      <c r="J62" s="34">
        <f>IF(LEN('Providers'!A61)=0,"",IF(ISNUMBER('Providers'!W61),'Providers'!W61,""))</f>
        <v/>
      </c>
      <c r="K62" s="34">
        <f>IF(LEN('Providers'!A61)=0,"",IF(ISNUMBER('Providers'!Y61),'Providers'!Y61,""))</f>
        <v/>
      </c>
      <c r="L62" s="34">
        <f>IF(LEN('Providers'!A61)=0,"",IF(ISNUMBER('Providers'!AA61),'Providers'!AA61,""))</f>
        <v/>
      </c>
      <c r="M62" s="34">
        <f>IF(LEN('Providers'!A61)=0,"",IF(ISNUMBER('Providers'!AD61),'Providers'!AD61,""))</f>
        <v/>
      </c>
      <c r="N62" s="35">
        <f>IF(LEN('Providers'!A61)=0,"",IF(LEN('Providers'!AG61)=0,"",'Providers'!AG61))</f>
        <v/>
      </c>
    </row>
    <row r="63">
      <c r="A63" s="32">
        <f>IF(LEN('Providers'!A62)=0,"",IF(LEN('Providers'!A62)=0,"",'Providers'!A62))</f>
        <v/>
      </c>
      <c r="B63" s="33">
        <f>IF(LEN('Providers'!A62)=0,"",IF(LEN('Providers'!B62)=0,"",'Providers'!B62))</f>
        <v/>
      </c>
      <c r="C63" s="33">
        <f>IF(LEN('Providers'!A62)=0,"",IF(LEN('Providers'!E62)=0,"",'Providers'!E62))</f>
        <v/>
      </c>
      <c r="D63" s="34">
        <f>IF(LEN('Providers'!A62)=0,"",IF(ISNUMBER('Providers'!G62),'Providers'!G62,""))</f>
        <v/>
      </c>
      <c r="E63" s="34">
        <f>IF(LEN('Providers'!A62)=0,"",IF(ISNUMBER('Providers'!I62),'Providers'!I62,""))</f>
        <v/>
      </c>
      <c r="F63" s="34">
        <f>IF(LEN('Providers'!A62)=0,"",IF(ISNUMBER('Providers'!K62),'Providers'!K62,""))</f>
        <v/>
      </c>
      <c r="G63" s="34">
        <f>IF(LEN('Providers'!A62)=0,"",IF(ISNUMBER('Providers'!M62),'Providers'!M62,""))</f>
        <v/>
      </c>
      <c r="H63" s="34">
        <f>IF(LEN('Providers'!A62)=0,"",IF(ISNUMBER('Providers'!Q62),'Providers'!Q62,""))</f>
        <v/>
      </c>
      <c r="I63" s="34">
        <f>IF(LEN('Providers'!A62)=0,"",IF(ISNUMBER('Providers'!S62),'Providers'!S62,""))</f>
        <v/>
      </c>
      <c r="J63" s="34">
        <f>IF(LEN('Providers'!A62)=0,"",IF(ISNUMBER('Providers'!W62),'Providers'!W62,""))</f>
        <v/>
      </c>
      <c r="K63" s="34">
        <f>IF(LEN('Providers'!A62)=0,"",IF(ISNUMBER('Providers'!Y62),'Providers'!Y62,""))</f>
        <v/>
      </c>
      <c r="L63" s="34">
        <f>IF(LEN('Providers'!A62)=0,"",IF(ISNUMBER('Providers'!AA62),'Providers'!AA62,""))</f>
        <v/>
      </c>
      <c r="M63" s="34">
        <f>IF(LEN('Providers'!A62)=0,"",IF(ISNUMBER('Providers'!AD62),'Providers'!AD62,""))</f>
        <v/>
      </c>
      <c r="N63" s="35">
        <f>IF(LEN('Providers'!A62)=0,"",IF(LEN('Providers'!AG62)=0,"",'Providers'!AG62))</f>
        <v/>
      </c>
    </row>
    <row r="64">
      <c r="A64" s="32">
        <f>IF(LEN('Providers'!A63)=0,"",IF(LEN('Providers'!A63)=0,"",'Providers'!A63))</f>
        <v/>
      </c>
      <c r="B64" s="33">
        <f>IF(LEN('Providers'!A63)=0,"",IF(LEN('Providers'!B63)=0,"",'Providers'!B63))</f>
        <v/>
      </c>
      <c r="C64" s="33">
        <f>IF(LEN('Providers'!A63)=0,"",IF(LEN('Providers'!E63)=0,"",'Providers'!E63))</f>
        <v/>
      </c>
      <c r="D64" s="34">
        <f>IF(LEN('Providers'!A63)=0,"",IF(ISNUMBER('Providers'!G63),'Providers'!G63,""))</f>
        <v/>
      </c>
      <c r="E64" s="34">
        <f>IF(LEN('Providers'!A63)=0,"",IF(ISNUMBER('Providers'!I63),'Providers'!I63,""))</f>
        <v/>
      </c>
      <c r="F64" s="34">
        <f>IF(LEN('Providers'!A63)=0,"",IF(ISNUMBER('Providers'!K63),'Providers'!K63,""))</f>
        <v/>
      </c>
      <c r="G64" s="34">
        <f>IF(LEN('Providers'!A63)=0,"",IF(ISNUMBER('Providers'!M63),'Providers'!M63,""))</f>
        <v/>
      </c>
      <c r="H64" s="34">
        <f>IF(LEN('Providers'!A63)=0,"",IF(ISNUMBER('Providers'!Q63),'Providers'!Q63,""))</f>
        <v/>
      </c>
      <c r="I64" s="34">
        <f>IF(LEN('Providers'!A63)=0,"",IF(ISNUMBER('Providers'!S63),'Providers'!S63,""))</f>
        <v/>
      </c>
      <c r="J64" s="34">
        <f>IF(LEN('Providers'!A63)=0,"",IF(ISNUMBER('Providers'!W63),'Providers'!W63,""))</f>
        <v/>
      </c>
      <c r="K64" s="34">
        <f>IF(LEN('Providers'!A63)=0,"",IF(ISNUMBER('Providers'!Y63),'Providers'!Y63,""))</f>
        <v/>
      </c>
      <c r="L64" s="34">
        <f>IF(LEN('Providers'!A63)=0,"",IF(ISNUMBER('Providers'!AA63),'Providers'!AA63,""))</f>
        <v/>
      </c>
      <c r="M64" s="34">
        <f>IF(LEN('Providers'!A63)=0,"",IF(ISNUMBER('Providers'!AD63),'Providers'!AD63,""))</f>
        <v/>
      </c>
      <c r="N64" s="35">
        <f>IF(LEN('Providers'!A63)=0,"",IF(LEN('Providers'!AG63)=0,"",'Providers'!AG63))</f>
        <v/>
      </c>
    </row>
    <row r="65">
      <c r="A65" s="32">
        <f>IF(LEN('Providers'!A64)=0,"",IF(LEN('Providers'!A64)=0,"",'Providers'!A64))</f>
        <v/>
      </c>
      <c r="B65" s="33">
        <f>IF(LEN('Providers'!A64)=0,"",IF(LEN('Providers'!B64)=0,"",'Providers'!B64))</f>
        <v/>
      </c>
      <c r="C65" s="33">
        <f>IF(LEN('Providers'!A64)=0,"",IF(LEN('Providers'!E64)=0,"",'Providers'!E64))</f>
        <v/>
      </c>
      <c r="D65" s="34">
        <f>IF(LEN('Providers'!A64)=0,"",IF(ISNUMBER('Providers'!G64),'Providers'!G64,""))</f>
        <v/>
      </c>
      <c r="E65" s="34">
        <f>IF(LEN('Providers'!A64)=0,"",IF(ISNUMBER('Providers'!I64),'Providers'!I64,""))</f>
        <v/>
      </c>
      <c r="F65" s="34">
        <f>IF(LEN('Providers'!A64)=0,"",IF(ISNUMBER('Providers'!K64),'Providers'!K64,""))</f>
        <v/>
      </c>
      <c r="G65" s="34">
        <f>IF(LEN('Providers'!A64)=0,"",IF(ISNUMBER('Providers'!M64),'Providers'!M64,""))</f>
        <v/>
      </c>
      <c r="H65" s="34">
        <f>IF(LEN('Providers'!A64)=0,"",IF(ISNUMBER('Providers'!Q64),'Providers'!Q64,""))</f>
        <v/>
      </c>
      <c r="I65" s="34">
        <f>IF(LEN('Providers'!A64)=0,"",IF(ISNUMBER('Providers'!S64),'Providers'!S64,""))</f>
        <v/>
      </c>
      <c r="J65" s="34">
        <f>IF(LEN('Providers'!A64)=0,"",IF(ISNUMBER('Providers'!W64),'Providers'!W64,""))</f>
        <v/>
      </c>
      <c r="K65" s="34">
        <f>IF(LEN('Providers'!A64)=0,"",IF(ISNUMBER('Providers'!Y64),'Providers'!Y64,""))</f>
        <v/>
      </c>
      <c r="L65" s="34">
        <f>IF(LEN('Providers'!A64)=0,"",IF(ISNUMBER('Providers'!AA64),'Providers'!AA64,""))</f>
        <v/>
      </c>
      <c r="M65" s="34">
        <f>IF(LEN('Providers'!A64)=0,"",IF(ISNUMBER('Providers'!AD64),'Providers'!AD64,""))</f>
        <v/>
      </c>
      <c r="N65" s="35">
        <f>IF(LEN('Providers'!A64)=0,"",IF(LEN('Providers'!AG64)=0,"",'Providers'!AG64))</f>
        <v/>
      </c>
    </row>
    <row r="66">
      <c r="A66" s="32">
        <f>IF(LEN('Providers'!A65)=0,"",IF(LEN('Providers'!A65)=0,"",'Providers'!A65))</f>
        <v/>
      </c>
      <c r="B66" s="33">
        <f>IF(LEN('Providers'!A65)=0,"",IF(LEN('Providers'!B65)=0,"",'Providers'!B65))</f>
        <v/>
      </c>
      <c r="C66" s="33">
        <f>IF(LEN('Providers'!A65)=0,"",IF(LEN('Providers'!E65)=0,"",'Providers'!E65))</f>
        <v/>
      </c>
      <c r="D66" s="34">
        <f>IF(LEN('Providers'!A65)=0,"",IF(ISNUMBER('Providers'!G65),'Providers'!G65,""))</f>
        <v/>
      </c>
      <c r="E66" s="34">
        <f>IF(LEN('Providers'!A65)=0,"",IF(ISNUMBER('Providers'!I65),'Providers'!I65,""))</f>
        <v/>
      </c>
      <c r="F66" s="34">
        <f>IF(LEN('Providers'!A65)=0,"",IF(ISNUMBER('Providers'!K65),'Providers'!K65,""))</f>
        <v/>
      </c>
      <c r="G66" s="34">
        <f>IF(LEN('Providers'!A65)=0,"",IF(ISNUMBER('Providers'!M65),'Providers'!M65,""))</f>
        <v/>
      </c>
      <c r="H66" s="34">
        <f>IF(LEN('Providers'!A65)=0,"",IF(ISNUMBER('Providers'!Q65),'Providers'!Q65,""))</f>
        <v/>
      </c>
      <c r="I66" s="34">
        <f>IF(LEN('Providers'!A65)=0,"",IF(ISNUMBER('Providers'!S65),'Providers'!S65,""))</f>
        <v/>
      </c>
      <c r="J66" s="34">
        <f>IF(LEN('Providers'!A65)=0,"",IF(ISNUMBER('Providers'!W65),'Providers'!W65,""))</f>
        <v/>
      </c>
      <c r="K66" s="34">
        <f>IF(LEN('Providers'!A65)=0,"",IF(ISNUMBER('Providers'!Y65),'Providers'!Y65,""))</f>
        <v/>
      </c>
      <c r="L66" s="34">
        <f>IF(LEN('Providers'!A65)=0,"",IF(ISNUMBER('Providers'!AA65),'Providers'!AA65,""))</f>
        <v/>
      </c>
      <c r="M66" s="34">
        <f>IF(LEN('Providers'!A65)=0,"",IF(ISNUMBER('Providers'!AD65),'Providers'!AD65,""))</f>
        <v/>
      </c>
      <c r="N66" s="35">
        <f>IF(LEN('Providers'!A65)=0,"",IF(LEN('Providers'!AG65)=0,"",'Providers'!AG65))</f>
        <v/>
      </c>
    </row>
    <row r="67">
      <c r="A67" s="32">
        <f>IF(LEN('Providers'!A66)=0,"",IF(LEN('Providers'!A66)=0,"",'Providers'!A66))</f>
        <v/>
      </c>
      <c r="B67" s="33">
        <f>IF(LEN('Providers'!A66)=0,"",IF(LEN('Providers'!B66)=0,"",'Providers'!B66))</f>
        <v/>
      </c>
      <c r="C67" s="33">
        <f>IF(LEN('Providers'!A66)=0,"",IF(LEN('Providers'!E66)=0,"",'Providers'!E66))</f>
        <v/>
      </c>
      <c r="D67" s="34">
        <f>IF(LEN('Providers'!A66)=0,"",IF(ISNUMBER('Providers'!G66),'Providers'!G66,""))</f>
        <v/>
      </c>
      <c r="E67" s="34">
        <f>IF(LEN('Providers'!A66)=0,"",IF(ISNUMBER('Providers'!I66),'Providers'!I66,""))</f>
        <v/>
      </c>
      <c r="F67" s="34">
        <f>IF(LEN('Providers'!A66)=0,"",IF(ISNUMBER('Providers'!K66),'Providers'!K66,""))</f>
        <v/>
      </c>
      <c r="G67" s="34">
        <f>IF(LEN('Providers'!A66)=0,"",IF(ISNUMBER('Providers'!M66),'Providers'!M66,""))</f>
        <v/>
      </c>
      <c r="H67" s="34">
        <f>IF(LEN('Providers'!A66)=0,"",IF(ISNUMBER('Providers'!Q66),'Providers'!Q66,""))</f>
        <v/>
      </c>
      <c r="I67" s="34">
        <f>IF(LEN('Providers'!A66)=0,"",IF(ISNUMBER('Providers'!S66),'Providers'!S66,""))</f>
        <v/>
      </c>
      <c r="J67" s="34">
        <f>IF(LEN('Providers'!A66)=0,"",IF(ISNUMBER('Providers'!W66),'Providers'!W66,""))</f>
        <v/>
      </c>
      <c r="K67" s="34">
        <f>IF(LEN('Providers'!A66)=0,"",IF(ISNUMBER('Providers'!Y66),'Providers'!Y66,""))</f>
        <v/>
      </c>
      <c r="L67" s="34">
        <f>IF(LEN('Providers'!A66)=0,"",IF(ISNUMBER('Providers'!AA66),'Providers'!AA66,""))</f>
        <v/>
      </c>
      <c r="M67" s="34">
        <f>IF(LEN('Providers'!A66)=0,"",IF(ISNUMBER('Providers'!AD66),'Providers'!AD66,""))</f>
        <v/>
      </c>
      <c r="N67" s="35">
        <f>IF(LEN('Providers'!A66)=0,"",IF(LEN('Providers'!AG66)=0,"",'Providers'!AG66))</f>
        <v/>
      </c>
    </row>
    <row r="68">
      <c r="A68" s="32">
        <f>IF(LEN('Providers'!A67)=0,"",IF(LEN('Providers'!A67)=0,"",'Providers'!A67))</f>
        <v/>
      </c>
      <c r="B68" s="33">
        <f>IF(LEN('Providers'!A67)=0,"",IF(LEN('Providers'!B67)=0,"",'Providers'!B67))</f>
        <v/>
      </c>
      <c r="C68" s="33">
        <f>IF(LEN('Providers'!A67)=0,"",IF(LEN('Providers'!E67)=0,"",'Providers'!E67))</f>
        <v/>
      </c>
      <c r="D68" s="34">
        <f>IF(LEN('Providers'!A67)=0,"",IF(ISNUMBER('Providers'!G67),'Providers'!G67,""))</f>
        <v/>
      </c>
      <c r="E68" s="34">
        <f>IF(LEN('Providers'!A67)=0,"",IF(ISNUMBER('Providers'!I67),'Providers'!I67,""))</f>
        <v/>
      </c>
      <c r="F68" s="34">
        <f>IF(LEN('Providers'!A67)=0,"",IF(ISNUMBER('Providers'!K67),'Providers'!K67,""))</f>
        <v/>
      </c>
      <c r="G68" s="34">
        <f>IF(LEN('Providers'!A67)=0,"",IF(ISNUMBER('Providers'!M67),'Providers'!M67,""))</f>
        <v/>
      </c>
      <c r="H68" s="34">
        <f>IF(LEN('Providers'!A67)=0,"",IF(ISNUMBER('Providers'!Q67),'Providers'!Q67,""))</f>
        <v/>
      </c>
      <c r="I68" s="34">
        <f>IF(LEN('Providers'!A67)=0,"",IF(ISNUMBER('Providers'!S67),'Providers'!S67,""))</f>
        <v/>
      </c>
      <c r="J68" s="34">
        <f>IF(LEN('Providers'!A67)=0,"",IF(ISNUMBER('Providers'!W67),'Providers'!W67,""))</f>
        <v/>
      </c>
      <c r="K68" s="34">
        <f>IF(LEN('Providers'!A67)=0,"",IF(ISNUMBER('Providers'!Y67),'Providers'!Y67,""))</f>
        <v/>
      </c>
      <c r="L68" s="34">
        <f>IF(LEN('Providers'!A67)=0,"",IF(ISNUMBER('Providers'!AA67),'Providers'!AA67,""))</f>
        <v/>
      </c>
      <c r="M68" s="34">
        <f>IF(LEN('Providers'!A67)=0,"",IF(ISNUMBER('Providers'!AD67),'Providers'!AD67,""))</f>
        <v/>
      </c>
      <c r="N68" s="35">
        <f>IF(LEN('Providers'!A67)=0,"",IF(LEN('Providers'!AG67)=0,"",'Providers'!AG67))</f>
        <v/>
      </c>
    </row>
    <row r="69">
      <c r="A69" s="32">
        <f>IF(LEN('Providers'!A68)=0,"",IF(LEN('Providers'!A68)=0,"",'Providers'!A68))</f>
        <v/>
      </c>
      <c r="B69" s="33">
        <f>IF(LEN('Providers'!A68)=0,"",IF(LEN('Providers'!B68)=0,"",'Providers'!B68))</f>
        <v/>
      </c>
      <c r="C69" s="33">
        <f>IF(LEN('Providers'!A68)=0,"",IF(LEN('Providers'!E68)=0,"",'Providers'!E68))</f>
        <v/>
      </c>
      <c r="D69" s="34">
        <f>IF(LEN('Providers'!A68)=0,"",IF(ISNUMBER('Providers'!G68),'Providers'!G68,""))</f>
        <v/>
      </c>
      <c r="E69" s="34">
        <f>IF(LEN('Providers'!A68)=0,"",IF(ISNUMBER('Providers'!I68),'Providers'!I68,""))</f>
        <v/>
      </c>
      <c r="F69" s="34">
        <f>IF(LEN('Providers'!A68)=0,"",IF(ISNUMBER('Providers'!K68),'Providers'!K68,""))</f>
        <v/>
      </c>
      <c r="G69" s="34">
        <f>IF(LEN('Providers'!A68)=0,"",IF(ISNUMBER('Providers'!M68),'Providers'!M68,""))</f>
        <v/>
      </c>
      <c r="H69" s="34">
        <f>IF(LEN('Providers'!A68)=0,"",IF(ISNUMBER('Providers'!Q68),'Providers'!Q68,""))</f>
        <v/>
      </c>
      <c r="I69" s="34">
        <f>IF(LEN('Providers'!A68)=0,"",IF(ISNUMBER('Providers'!S68),'Providers'!S68,""))</f>
        <v/>
      </c>
      <c r="J69" s="34">
        <f>IF(LEN('Providers'!A68)=0,"",IF(ISNUMBER('Providers'!W68),'Providers'!W68,""))</f>
        <v/>
      </c>
      <c r="K69" s="34">
        <f>IF(LEN('Providers'!A68)=0,"",IF(ISNUMBER('Providers'!Y68),'Providers'!Y68,""))</f>
        <v/>
      </c>
      <c r="L69" s="34">
        <f>IF(LEN('Providers'!A68)=0,"",IF(ISNUMBER('Providers'!AA68),'Providers'!AA68,""))</f>
        <v/>
      </c>
      <c r="M69" s="34">
        <f>IF(LEN('Providers'!A68)=0,"",IF(ISNUMBER('Providers'!AD68),'Providers'!AD68,""))</f>
        <v/>
      </c>
      <c r="N69" s="35">
        <f>IF(LEN('Providers'!A68)=0,"",IF(LEN('Providers'!AG68)=0,"",'Providers'!AG68))</f>
        <v/>
      </c>
    </row>
    <row r="70">
      <c r="A70" s="32">
        <f>IF(LEN('Providers'!A69)=0,"",IF(LEN('Providers'!A69)=0,"",'Providers'!A69))</f>
        <v/>
      </c>
      <c r="B70" s="33">
        <f>IF(LEN('Providers'!A69)=0,"",IF(LEN('Providers'!B69)=0,"",'Providers'!B69))</f>
        <v/>
      </c>
      <c r="C70" s="33">
        <f>IF(LEN('Providers'!A69)=0,"",IF(LEN('Providers'!E69)=0,"",'Providers'!E69))</f>
        <v/>
      </c>
      <c r="D70" s="34">
        <f>IF(LEN('Providers'!A69)=0,"",IF(ISNUMBER('Providers'!G69),'Providers'!G69,""))</f>
        <v/>
      </c>
      <c r="E70" s="34">
        <f>IF(LEN('Providers'!A69)=0,"",IF(ISNUMBER('Providers'!I69),'Providers'!I69,""))</f>
        <v/>
      </c>
      <c r="F70" s="34">
        <f>IF(LEN('Providers'!A69)=0,"",IF(ISNUMBER('Providers'!K69),'Providers'!K69,""))</f>
        <v/>
      </c>
      <c r="G70" s="34">
        <f>IF(LEN('Providers'!A69)=0,"",IF(ISNUMBER('Providers'!M69),'Providers'!M69,""))</f>
        <v/>
      </c>
      <c r="H70" s="34">
        <f>IF(LEN('Providers'!A69)=0,"",IF(ISNUMBER('Providers'!Q69),'Providers'!Q69,""))</f>
        <v/>
      </c>
      <c r="I70" s="34">
        <f>IF(LEN('Providers'!A69)=0,"",IF(ISNUMBER('Providers'!S69),'Providers'!S69,""))</f>
        <v/>
      </c>
      <c r="J70" s="34">
        <f>IF(LEN('Providers'!A69)=0,"",IF(ISNUMBER('Providers'!W69),'Providers'!W69,""))</f>
        <v/>
      </c>
      <c r="K70" s="34">
        <f>IF(LEN('Providers'!A69)=0,"",IF(ISNUMBER('Providers'!Y69),'Providers'!Y69,""))</f>
        <v/>
      </c>
      <c r="L70" s="34">
        <f>IF(LEN('Providers'!A69)=0,"",IF(ISNUMBER('Providers'!AA69),'Providers'!AA69,""))</f>
        <v/>
      </c>
      <c r="M70" s="34">
        <f>IF(LEN('Providers'!A69)=0,"",IF(ISNUMBER('Providers'!AD69),'Providers'!AD69,""))</f>
        <v/>
      </c>
      <c r="N70" s="35">
        <f>IF(LEN('Providers'!A69)=0,"",IF(LEN('Providers'!AG69)=0,"",'Providers'!AG69))</f>
        <v/>
      </c>
    </row>
    <row r="71">
      <c r="A71" s="32">
        <f>IF(LEN('Providers'!A70)=0,"",IF(LEN('Providers'!A70)=0,"",'Providers'!A70))</f>
        <v/>
      </c>
      <c r="B71" s="33">
        <f>IF(LEN('Providers'!A70)=0,"",IF(LEN('Providers'!B70)=0,"",'Providers'!B70))</f>
        <v/>
      </c>
      <c r="C71" s="33">
        <f>IF(LEN('Providers'!A70)=0,"",IF(LEN('Providers'!E70)=0,"",'Providers'!E70))</f>
        <v/>
      </c>
      <c r="D71" s="34">
        <f>IF(LEN('Providers'!A70)=0,"",IF(ISNUMBER('Providers'!G70),'Providers'!G70,""))</f>
        <v/>
      </c>
      <c r="E71" s="34">
        <f>IF(LEN('Providers'!A70)=0,"",IF(ISNUMBER('Providers'!I70),'Providers'!I70,""))</f>
        <v/>
      </c>
      <c r="F71" s="34">
        <f>IF(LEN('Providers'!A70)=0,"",IF(ISNUMBER('Providers'!K70),'Providers'!K70,""))</f>
        <v/>
      </c>
      <c r="G71" s="34">
        <f>IF(LEN('Providers'!A70)=0,"",IF(ISNUMBER('Providers'!M70),'Providers'!M70,""))</f>
        <v/>
      </c>
      <c r="H71" s="34">
        <f>IF(LEN('Providers'!A70)=0,"",IF(ISNUMBER('Providers'!Q70),'Providers'!Q70,""))</f>
        <v/>
      </c>
      <c r="I71" s="34">
        <f>IF(LEN('Providers'!A70)=0,"",IF(ISNUMBER('Providers'!S70),'Providers'!S70,""))</f>
        <v/>
      </c>
      <c r="J71" s="34">
        <f>IF(LEN('Providers'!A70)=0,"",IF(ISNUMBER('Providers'!W70),'Providers'!W70,""))</f>
        <v/>
      </c>
      <c r="K71" s="34">
        <f>IF(LEN('Providers'!A70)=0,"",IF(ISNUMBER('Providers'!Y70),'Providers'!Y70,""))</f>
        <v/>
      </c>
      <c r="L71" s="34">
        <f>IF(LEN('Providers'!A70)=0,"",IF(ISNUMBER('Providers'!AA70),'Providers'!AA70,""))</f>
        <v/>
      </c>
      <c r="M71" s="34">
        <f>IF(LEN('Providers'!A70)=0,"",IF(ISNUMBER('Providers'!AD70),'Providers'!AD70,""))</f>
        <v/>
      </c>
      <c r="N71" s="35">
        <f>IF(LEN('Providers'!A70)=0,"",IF(LEN('Providers'!AG70)=0,"",'Providers'!AG70))</f>
        <v/>
      </c>
    </row>
    <row r="72">
      <c r="A72" s="32">
        <f>IF(LEN('Providers'!A71)=0,"",IF(LEN('Providers'!A71)=0,"",'Providers'!A71))</f>
        <v/>
      </c>
      <c r="B72" s="33">
        <f>IF(LEN('Providers'!A71)=0,"",IF(LEN('Providers'!B71)=0,"",'Providers'!B71))</f>
        <v/>
      </c>
      <c r="C72" s="33">
        <f>IF(LEN('Providers'!A71)=0,"",IF(LEN('Providers'!E71)=0,"",'Providers'!E71))</f>
        <v/>
      </c>
      <c r="D72" s="34">
        <f>IF(LEN('Providers'!A71)=0,"",IF(ISNUMBER('Providers'!G71),'Providers'!G71,""))</f>
        <v/>
      </c>
      <c r="E72" s="34">
        <f>IF(LEN('Providers'!A71)=0,"",IF(ISNUMBER('Providers'!I71),'Providers'!I71,""))</f>
        <v/>
      </c>
      <c r="F72" s="34">
        <f>IF(LEN('Providers'!A71)=0,"",IF(ISNUMBER('Providers'!K71),'Providers'!K71,""))</f>
        <v/>
      </c>
      <c r="G72" s="34">
        <f>IF(LEN('Providers'!A71)=0,"",IF(ISNUMBER('Providers'!M71),'Providers'!M71,""))</f>
        <v/>
      </c>
      <c r="H72" s="34">
        <f>IF(LEN('Providers'!A71)=0,"",IF(ISNUMBER('Providers'!Q71),'Providers'!Q71,""))</f>
        <v/>
      </c>
      <c r="I72" s="34">
        <f>IF(LEN('Providers'!A71)=0,"",IF(ISNUMBER('Providers'!S71),'Providers'!S71,""))</f>
        <v/>
      </c>
      <c r="J72" s="34">
        <f>IF(LEN('Providers'!A71)=0,"",IF(ISNUMBER('Providers'!W71),'Providers'!W71,""))</f>
        <v/>
      </c>
      <c r="K72" s="34">
        <f>IF(LEN('Providers'!A71)=0,"",IF(ISNUMBER('Providers'!Y71),'Providers'!Y71,""))</f>
        <v/>
      </c>
      <c r="L72" s="34">
        <f>IF(LEN('Providers'!A71)=0,"",IF(ISNUMBER('Providers'!AA71),'Providers'!AA71,""))</f>
        <v/>
      </c>
      <c r="M72" s="34">
        <f>IF(LEN('Providers'!A71)=0,"",IF(ISNUMBER('Providers'!AD71),'Providers'!AD71,""))</f>
        <v/>
      </c>
      <c r="N72" s="35">
        <f>IF(LEN('Providers'!A71)=0,"",IF(LEN('Providers'!AG71)=0,"",'Providers'!AG71))</f>
        <v/>
      </c>
    </row>
    <row r="73">
      <c r="A73" s="32">
        <f>IF(LEN('Providers'!A72)=0,"",IF(LEN('Providers'!A72)=0,"",'Providers'!A72))</f>
        <v/>
      </c>
      <c r="B73" s="33">
        <f>IF(LEN('Providers'!A72)=0,"",IF(LEN('Providers'!B72)=0,"",'Providers'!B72))</f>
        <v/>
      </c>
      <c r="C73" s="33">
        <f>IF(LEN('Providers'!A72)=0,"",IF(LEN('Providers'!E72)=0,"",'Providers'!E72))</f>
        <v/>
      </c>
      <c r="D73" s="34">
        <f>IF(LEN('Providers'!A72)=0,"",IF(ISNUMBER('Providers'!G72),'Providers'!G72,""))</f>
        <v/>
      </c>
      <c r="E73" s="34">
        <f>IF(LEN('Providers'!A72)=0,"",IF(ISNUMBER('Providers'!I72),'Providers'!I72,""))</f>
        <v/>
      </c>
      <c r="F73" s="34">
        <f>IF(LEN('Providers'!A72)=0,"",IF(ISNUMBER('Providers'!K72),'Providers'!K72,""))</f>
        <v/>
      </c>
      <c r="G73" s="34">
        <f>IF(LEN('Providers'!A72)=0,"",IF(ISNUMBER('Providers'!M72),'Providers'!M72,""))</f>
        <v/>
      </c>
      <c r="H73" s="34">
        <f>IF(LEN('Providers'!A72)=0,"",IF(ISNUMBER('Providers'!Q72),'Providers'!Q72,""))</f>
        <v/>
      </c>
      <c r="I73" s="34">
        <f>IF(LEN('Providers'!A72)=0,"",IF(ISNUMBER('Providers'!S72),'Providers'!S72,""))</f>
        <v/>
      </c>
      <c r="J73" s="34">
        <f>IF(LEN('Providers'!A72)=0,"",IF(ISNUMBER('Providers'!W72),'Providers'!W72,""))</f>
        <v/>
      </c>
      <c r="K73" s="34">
        <f>IF(LEN('Providers'!A72)=0,"",IF(ISNUMBER('Providers'!Y72),'Providers'!Y72,""))</f>
        <v/>
      </c>
      <c r="L73" s="34">
        <f>IF(LEN('Providers'!A72)=0,"",IF(ISNUMBER('Providers'!AA72),'Providers'!AA72,""))</f>
        <v/>
      </c>
      <c r="M73" s="34">
        <f>IF(LEN('Providers'!A72)=0,"",IF(ISNUMBER('Providers'!AD72),'Providers'!AD72,""))</f>
        <v/>
      </c>
      <c r="N73" s="35">
        <f>IF(LEN('Providers'!A72)=0,"",IF(LEN('Providers'!AG72)=0,"",'Providers'!AG72))</f>
        <v/>
      </c>
    </row>
    <row r="74">
      <c r="A74" s="32">
        <f>IF(LEN('Providers'!A73)=0,"",IF(LEN('Providers'!A73)=0,"",'Providers'!A73))</f>
        <v/>
      </c>
      <c r="B74" s="33">
        <f>IF(LEN('Providers'!A73)=0,"",IF(LEN('Providers'!B73)=0,"",'Providers'!B73))</f>
        <v/>
      </c>
      <c r="C74" s="33">
        <f>IF(LEN('Providers'!A73)=0,"",IF(LEN('Providers'!E73)=0,"",'Providers'!E73))</f>
        <v/>
      </c>
      <c r="D74" s="34">
        <f>IF(LEN('Providers'!A73)=0,"",IF(ISNUMBER('Providers'!G73),'Providers'!G73,""))</f>
        <v/>
      </c>
      <c r="E74" s="34">
        <f>IF(LEN('Providers'!A73)=0,"",IF(ISNUMBER('Providers'!I73),'Providers'!I73,""))</f>
        <v/>
      </c>
      <c r="F74" s="34">
        <f>IF(LEN('Providers'!A73)=0,"",IF(ISNUMBER('Providers'!K73),'Providers'!K73,""))</f>
        <v/>
      </c>
      <c r="G74" s="34">
        <f>IF(LEN('Providers'!A73)=0,"",IF(ISNUMBER('Providers'!M73),'Providers'!M73,""))</f>
        <v/>
      </c>
      <c r="H74" s="34">
        <f>IF(LEN('Providers'!A73)=0,"",IF(ISNUMBER('Providers'!Q73),'Providers'!Q73,""))</f>
        <v/>
      </c>
      <c r="I74" s="34">
        <f>IF(LEN('Providers'!A73)=0,"",IF(ISNUMBER('Providers'!S73),'Providers'!S73,""))</f>
        <v/>
      </c>
      <c r="J74" s="34">
        <f>IF(LEN('Providers'!A73)=0,"",IF(ISNUMBER('Providers'!W73),'Providers'!W73,""))</f>
        <v/>
      </c>
      <c r="K74" s="34">
        <f>IF(LEN('Providers'!A73)=0,"",IF(ISNUMBER('Providers'!Y73),'Providers'!Y73,""))</f>
        <v/>
      </c>
      <c r="L74" s="34">
        <f>IF(LEN('Providers'!A73)=0,"",IF(ISNUMBER('Providers'!AA73),'Providers'!AA73,""))</f>
        <v/>
      </c>
      <c r="M74" s="34">
        <f>IF(LEN('Providers'!A73)=0,"",IF(ISNUMBER('Providers'!AD73),'Providers'!AD73,""))</f>
        <v/>
      </c>
      <c r="N74" s="35">
        <f>IF(LEN('Providers'!A73)=0,"",IF(LEN('Providers'!AG73)=0,"",'Providers'!AG73))</f>
        <v/>
      </c>
    </row>
    <row r="75">
      <c r="A75" s="32">
        <f>IF(LEN('Providers'!A74)=0,"",IF(LEN('Providers'!A74)=0,"",'Providers'!A74))</f>
        <v/>
      </c>
      <c r="B75" s="33">
        <f>IF(LEN('Providers'!A74)=0,"",IF(LEN('Providers'!B74)=0,"",'Providers'!B74))</f>
        <v/>
      </c>
      <c r="C75" s="33">
        <f>IF(LEN('Providers'!A74)=0,"",IF(LEN('Providers'!E74)=0,"",'Providers'!E74))</f>
        <v/>
      </c>
      <c r="D75" s="34">
        <f>IF(LEN('Providers'!A74)=0,"",IF(ISNUMBER('Providers'!G74),'Providers'!G74,""))</f>
        <v/>
      </c>
      <c r="E75" s="34">
        <f>IF(LEN('Providers'!A74)=0,"",IF(ISNUMBER('Providers'!I74),'Providers'!I74,""))</f>
        <v/>
      </c>
      <c r="F75" s="34">
        <f>IF(LEN('Providers'!A74)=0,"",IF(ISNUMBER('Providers'!K74),'Providers'!K74,""))</f>
        <v/>
      </c>
      <c r="G75" s="34">
        <f>IF(LEN('Providers'!A74)=0,"",IF(ISNUMBER('Providers'!M74),'Providers'!M74,""))</f>
        <v/>
      </c>
      <c r="H75" s="34">
        <f>IF(LEN('Providers'!A74)=0,"",IF(ISNUMBER('Providers'!Q74),'Providers'!Q74,""))</f>
        <v/>
      </c>
      <c r="I75" s="34">
        <f>IF(LEN('Providers'!A74)=0,"",IF(ISNUMBER('Providers'!S74),'Providers'!S74,""))</f>
        <v/>
      </c>
      <c r="J75" s="34">
        <f>IF(LEN('Providers'!A74)=0,"",IF(ISNUMBER('Providers'!W74),'Providers'!W74,""))</f>
        <v/>
      </c>
      <c r="K75" s="34">
        <f>IF(LEN('Providers'!A74)=0,"",IF(ISNUMBER('Providers'!Y74),'Providers'!Y74,""))</f>
        <v/>
      </c>
      <c r="L75" s="34">
        <f>IF(LEN('Providers'!A74)=0,"",IF(ISNUMBER('Providers'!AA74),'Providers'!AA74,""))</f>
        <v/>
      </c>
      <c r="M75" s="34">
        <f>IF(LEN('Providers'!A74)=0,"",IF(ISNUMBER('Providers'!AD74),'Providers'!AD74,""))</f>
        <v/>
      </c>
      <c r="N75" s="35">
        <f>IF(LEN('Providers'!A74)=0,"",IF(LEN('Providers'!AG74)=0,"",'Providers'!AG74))</f>
        <v/>
      </c>
    </row>
    <row r="76">
      <c r="A76" s="32">
        <f>IF(LEN('Providers'!A75)=0,"",IF(LEN('Providers'!A75)=0,"",'Providers'!A75))</f>
        <v/>
      </c>
      <c r="B76" s="33">
        <f>IF(LEN('Providers'!A75)=0,"",IF(LEN('Providers'!B75)=0,"",'Providers'!B75))</f>
        <v/>
      </c>
      <c r="C76" s="33">
        <f>IF(LEN('Providers'!A75)=0,"",IF(LEN('Providers'!E75)=0,"",'Providers'!E75))</f>
        <v/>
      </c>
      <c r="D76" s="34">
        <f>IF(LEN('Providers'!A75)=0,"",IF(ISNUMBER('Providers'!G75),'Providers'!G75,""))</f>
        <v/>
      </c>
      <c r="E76" s="34">
        <f>IF(LEN('Providers'!A75)=0,"",IF(ISNUMBER('Providers'!I75),'Providers'!I75,""))</f>
        <v/>
      </c>
      <c r="F76" s="34">
        <f>IF(LEN('Providers'!A75)=0,"",IF(ISNUMBER('Providers'!K75),'Providers'!K75,""))</f>
        <v/>
      </c>
      <c r="G76" s="34">
        <f>IF(LEN('Providers'!A75)=0,"",IF(ISNUMBER('Providers'!M75),'Providers'!M75,""))</f>
        <v/>
      </c>
      <c r="H76" s="34">
        <f>IF(LEN('Providers'!A75)=0,"",IF(ISNUMBER('Providers'!Q75),'Providers'!Q75,""))</f>
        <v/>
      </c>
      <c r="I76" s="34">
        <f>IF(LEN('Providers'!A75)=0,"",IF(ISNUMBER('Providers'!S75),'Providers'!S75,""))</f>
        <v/>
      </c>
      <c r="J76" s="34">
        <f>IF(LEN('Providers'!A75)=0,"",IF(ISNUMBER('Providers'!W75),'Providers'!W75,""))</f>
        <v/>
      </c>
      <c r="K76" s="34">
        <f>IF(LEN('Providers'!A75)=0,"",IF(ISNUMBER('Providers'!Y75),'Providers'!Y75,""))</f>
        <v/>
      </c>
      <c r="L76" s="34">
        <f>IF(LEN('Providers'!A75)=0,"",IF(ISNUMBER('Providers'!AA75),'Providers'!AA75,""))</f>
        <v/>
      </c>
      <c r="M76" s="34">
        <f>IF(LEN('Providers'!A75)=0,"",IF(ISNUMBER('Providers'!AD75),'Providers'!AD75,""))</f>
        <v/>
      </c>
      <c r="N76" s="35">
        <f>IF(LEN('Providers'!A75)=0,"",IF(LEN('Providers'!AG75)=0,"",'Providers'!AG75))</f>
        <v/>
      </c>
    </row>
    <row r="77">
      <c r="A77" s="32">
        <f>IF(LEN('Providers'!A76)=0,"",IF(LEN('Providers'!A76)=0,"",'Providers'!A76))</f>
        <v/>
      </c>
      <c r="B77" s="33">
        <f>IF(LEN('Providers'!A76)=0,"",IF(LEN('Providers'!B76)=0,"",'Providers'!B76))</f>
        <v/>
      </c>
      <c r="C77" s="33">
        <f>IF(LEN('Providers'!A76)=0,"",IF(LEN('Providers'!E76)=0,"",'Providers'!E76))</f>
        <v/>
      </c>
      <c r="D77" s="34">
        <f>IF(LEN('Providers'!A76)=0,"",IF(ISNUMBER('Providers'!G76),'Providers'!G76,""))</f>
        <v/>
      </c>
      <c r="E77" s="34">
        <f>IF(LEN('Providers'!A76)=0,"",IF(ISNUMBER('Providers'!I76),'Providers'!I76,""))</f>
        <v/>
      </c>
      <c r="F77" s="34">
        <f>IF(LEN('Providers'!A76)=0,"",IF(ISNUMBER('Providers'!K76),'Providers'!K76,""))</f>
        <v/>
      </c>
      <c r="G77" s="34">
        <f>IF(LEN('Providers'!A76)=0,"",IF(ISNUMBER('Providers'!M76),'Providers'!M76,""))</f>
        <v/>
      </c>
      <c r="H77" s="34">
        <f>IF(LEN('Providers'!A76)=0,"",IF(ISNUMBER('Providers'!Q76),'Providers'!Q76,""))</f>
        <v/>
      </c>
      <c r="I77" s="34">
        <f>IF(LEN('Providers'!A76)=0,"",IF(ISNUMBER('Providers'!S76),'Providers'!S76,""))</f>
        <v/>
      </c>
      <c r="J77" s="34">
        <f>IF(LEN('Providers'!A76)=0,"",IF(ISNUMBER('Providers'!W76),'Providers'!W76,""))</f>
        <v/>
      </c>
      <c r="K77" s="34">
        <f>IF(LEN('Providers'!A76)=0,"",IF(ISNUMBER('Providers'!Y76),'Providers'!Y76,""))</f>
        <v/>
      </c>
      <c r="L77" s="34">
        <f>IF(LEN('Providers'!A76)=0,"",IF(ISNUMBER('Providers'!AA76),'Providers'!AA76,""))</f>
        <v/>
      </c>
      <c r="M77" s="34">
        <f>IF(LEN('Providers'!A76)=0,"",IF(ISNUMBER('Providers'!AD76),'Providers'!AD76,""))</f>
        <v/>
      </c>
      <c r="N77" s="35">
        <f>IF(LEN('Providers'!A76)=0,"",IF(LEN('Providers'!AG76)=0,"",'Providers'!AG76))</f>
        <v/>
      </c>
    </row>
    <row r="78">
      <c r="A78" s="32">
        <f>IF(LEN('Providers'!A77)=0,"",IF(LEN('Providers'!A77)=0,"",'Providers'!A77))</f>
        <v/>
      </c>
      <c r="B78" s="33">
        <f>IF(LEN('Providers'!A77)=0,"",IF(LEN('Providers'!B77)=0,"",'Providers'!B77))</f>
        <v/>
      </c>
      <c r="C78" s="33">
        <f>IF(LEN('Providers'!A77)=0,"",IF(LEN('Providers'!E77)=0,"",'Providers'!E77))</f>
        <v/>
      </c>
      <c r="D78" s="34">
        <f>IF(LEN('Providers'!A77)=0,"",IF(ISNUMBER('Providers'!G77),'Providers'!G77,""))</f>
        <v/>
      </c>
      <c r="E78" s="34">
        <f>IF(LEN('Providers'!A77)=0,"",IF(ISNUMBER('Providers'!I77),'Providers'!I77,""))</f>
        <v/>
      </c>
      <c r="F78" s="34">
        <f>IF(LEN('Providers'!A77)=0,"",IF(ISNUMBER('Providers'!K77),'Providers'!K77,""))</f>
        <v/>
      </c>
      <c r="G78" s="34">
        <f>IF(LEN('Providers'!A77)=0,"",IF(ISNUMBER('Providers'!M77),'Providers'!M77,""))</f>
        <v/>
      </c>
      <c r="H78" s="34">
        <f>IF(LEN('Providers'!A77)=0,"",IF(ISNUMBER('Providers'!Q77),'Providers'!Q77,""))</f>
        <v/>
      </c>
      <c r="I78" s="34">
        <f>IF(LEN('Providers'!A77)=0,"",IF(ISNUMBER('Providers'!S77),'Providers'!S77,""))</f>
        <v/>
      </c>
      <c r="J78" s="34">
        <f>IF(LEN('Providers'!A77)=0,"",IF(ISNUMBER('Providers'!W77),'Providers'!W77,""))</f>
        <v/>
      </c>
      <c r="K78" s="34">
        <f>IF(LEN('Providers'!A77)=0,"",IF(ISNUMBER('Providers'!Y77),'Providers'!Y77,""))</f>
        <v/>
      </c>
      <c r="L78" s="34">
        <f>IF(LEN('Providers'!A77)=0,"",IF(ISNUMBER('Providers'!AA77),'Providers'!AA77,""))</f>
        <v/>
      </c>
      <c r="M78" s="34">
        <f>IF(LEN('Providers'!A77)=0,"",IF(ISNUMBER('Providers'!AD77),'Providers'!AD77,""))</f>
        <v/>
      </c>
      <c r="N78" s="35">
        <f>IF(LEN('Providers'!A77)=0,"",IF(LEN('Providers'!AG77)=0,"",'Providers'!AG77))</f>
        <v/>
      </c>
    </row>
    <row r="79">
      <c r="A79" s="32">
        <f>IF(LEN('Providers'!A78)=0,"",IF(LEN('Providers'!A78)=0,"",'Providers'!A78))</f>
        <v/>
      </c>
      <c r="B79" s="33">
        <f>IF(LEN('Providers'!A78)=0,"",IF(LEN('Providers'!B78)=0,"",'Providers'!B78))</f>
        <v/>
      </c>
      <c r="C79" s="33">
        <f>IF(LEN('Providers'!A78)=0,"",IF(LEN('Providers'!E78)=0,"",'Providers'!E78))</f>
        <v/>
      </c>
      <c r="D79" s="34">
        <f>IF(LEN('Providers'!A78)=0,"",IF(ISNUMBER('Providers'!G78),'Providers'!G78,""))</f>
        <v/>
      </c>
      <c r="E79" s="34">
        <f>IF(LEN('Providers'!A78)=0,"",IF(ISNUMBER('Providers'!I78),'Providers'!I78,""))</f>
        <v/>
      </c>
      <c r="F79" s="34">
        <f>IF(LEN('Providers'!A78)=0,"",IF(ISNUMBER('Providers'!K78),'Providers'!K78,""))</f>
        <v/>
      </c>
      <c r="G79" s="34">
        <f>IF(LEN('Providers'!A78)=0,"",IF(ISNUMBER('Providers'!M78),'Providers'!M78,""))</f>
        <v/>
      </c>
      <c r="H79" s="34">
        <f>IF(LEN('Providers'!A78)=0,"",IF(ISNUMBER('Providers'!Q78),'Providers'!Q78,""))</f>
        <v/>
      </c>
      <c r="I79" s="34">
        <f>IF(LEN('Providers'!A78)=0,"",IF(ISNUMBER('Providers'!S78),'Providers'!S78,""))</f>
        <v/>
      </c>
      <c r="J79" s="34">
        <f>IF(LEN('Providers'!A78)=0,"",IF(ISNUMBER('Providers'!W78),'Providers'!W78,""))</f>
        <v/>
      </c>
      <c r="K79" s="34">
        <f>IF(LEN('Providers'!A78)=0,"",IF(ISNUMBER('Providers'!Y78),'Providers'!Y78,""))</f>
        <v/>
      </c>
      <c r="L79" s="34">
        <f>IF(LEN('Providers'!A78)=0,"",IF(ISNUMBER('Providers'!AA78),'Providers'!AA78,""))</f>
        <v/>
      </c>
      <c r="M79" s="34">
        <f>IF(LEN('Providers'!A78)=0,"",IF(ISNUMBER('Providers'!AD78),'Providers'!AD78,""))</f>
        <v/>
      </c>
      <c r="N79" s="35">
        <f>IF(LEN('Providers'!A78)=0,"",IF(LEN('Providers'!AG78)=0,"",'Providers'!AG78))</f>
        <v/>
      </c>
    </row>
    <row r="80">
      <c r="A80" s="32">
        <f>IF(LEN('Providers'!A79)=0,"",IF(LEN('Providers'!A79)=0,"",'Providers'!A79))</f>
        <v/>
      </c>
      <c r="B80" s="33">
        <f>IF(LEN('Providers'!A79)=0,"",IF(LEN('Providers'!B79)=0,"",'Providers'!B79))</f>
        <v/>
      </c>
      <c r="C80" s="33">
        <f>IF(LEN('Providers'!A79)=0,"",IF(LEN('Providers'!E79)=0,"",'Providers'!E79))</f>
        <v/>
      </c>
      <c r="D80" s="34">
        <f>IF(LEN('Providers'!A79)=0,"",IF(ISNUMBER('Providers'!G79),'Providers'!G79,""))</f>
        <v/>
      </c>
      <c r="E80" s="34">
        <f>IF(LEN('Providers'!A79)=0,"",IF(ISNUMBER('Providers'!I79),'Providers'!I79,""))</f>
        <v/>
      </c>
      <c r="F80" s="34">
        <f>IF(LEN('Providers'!A79)=0,"",IF(ISNUMBER('Providers'!K79),'Providers'!K79,""))</f>
        <v/>
      </c>
      <c r="G80" s="34">
        <f>IF(LEN('Providers'!A79)=0,"",IF(ISNUMBER('Providers'!M79),'Providers'!M79,""))</f>
        <v/>
      </c>
      <c r="H80" s="34">
        <f>IF(LEN('Providers'!A79)=0,"",IF(ISNUMBER('Providers'!Q79),'Providers'!Q79,""))</f>
        <v/>
      </c>
      <c r="I80" s="34">
        <f>IF(LEN('Providers'!A79)=0,"",IF(ISNUMBER('Providers'!S79),'Providers'!S79,""))</f>
        <v/>
      </c>
      <c r="J80" s="34">
        <f>IF(LEN('Providers'!A79)=0,"",IF(ISNUMBER('Providers'!W79),'Providers'!W79,""))</f>
        <v/>
      </c>
      <c r="K80" s="34">
        <f>IF(LEN('Providers'!A79)=0,"",IF(ISNUMBER('Providers'!Y79),'Providers'!Y79,""))</f>
        <v/>
      </c>
      <c r="L80" s="34">
        <f>IF(LEN('Providers'!A79)=0,"",IF(ISNUMBER('Providers'!AA79),'Providers'!AA79,""))</f>
        <v/>
      </c>
      <c r="M80" s="34">
        <f>IF(LEN('Providers'!A79)=0,"",IF(ISNUMBER('Providers'!AD79),'Providers'!AD79,""))</f>
        <v/>
      </c>
      <c r="N80" s="35">
        <f>IF(LEN('Providers'!A79)=0,"",IF(LEN('Providers'!AG79)=0,"",'Providers'!AG79))</f>
        <v/>
      </c>
    </row>
    <row r="81">
      <c r="A81" s="32">
        <f>IF(LEN('Providers'!A80)=0,"",IF(LEN('Providers'!A80)=0,"",'Providers'!A80))</f>
        <v/>
      </c>
      <c r="B81" s="33">
        <f>IF(LEN('Providers'!A80)=0,"",IF(LEN('Providers'!B80)=0,"",'Providers'!B80))</f>
        <v/>
      </c>
      <c r="C81" s="33">
        <f>IF(LEN('Providers'!A80)=0,"",IF(LEN('Providers'!E80)=0,"",'Providers'!E80))</f>
        <v/>
      </c>
      <c r="D81" s="34">
        <f>IF(LEN('Providers'!A80)=0,"",IF(ISNUMBER('Providers'!G80),'Providers'!G80,""))</f>
        <v/>
      </c>
      <c r="E81" s="34">
        <f>IF(LEN('Providers'!A80)=0,"",IF(ISNUMBER('Providers'!I80),'Providers'!I80,""))</f>
        <v/>
      </c>
      <c r="F81" s="34">
        <f>IF(LEN('Providers'!A80)=0,"",IF(ISNUMBER('Providers'!K80),'Providers'!K80,""))</f>
        <v/>
      </c>
      <c r="G81" s="34">
        <f>IF(LEN('Providers'!A80)=0,"",IF(ISNUMBER('Providers'!M80),'Providers'!M80,""))</f>
        <v/>
      </c>
      <c r="H81" s="34">
        <f>IF(LEN('Providers'!A80)=0,"",IF(ISNUMBER('Providers'!Q80),'Providers'!Q80,""))</f>
        <v/>
      </c>
      <c r="I81" s="34">
        <f>IF(LEN('Providers'!A80)=0,"",IF(ISNUMBER('Providers'!S80),'Providers'!S80,""))</f>
        <v/>
      </c>
      <c r="J81" s="34">
        <f>IF(LEN('Providers'!A80)=0,"",IF(ISNUMBER('Providers'!W80),'Providers'!W80,""))</f>
        <v/>
      </c>
      <c r="K81" s="34">
        <f>IF(LEN('Providers'!A80)=0,"",IF(ISNUMBER('Providers'!Y80),'Providers'!Y80,""))</f>
        <v/>
      </c>
      <c r="L81" s="34">
        <f>IF(LEN('Providers'!A80)=0,"",IF(ISNUMBER('Providers'!AA80),'Providers'!AA80,""))</f>
        <v/>
      </c>
      <c r="M81" s="34">
        <f>IF(LEN('Providers'!A80)=0,"",IF(ISNUMBER('Providers'!AD80),'Providers'!AD80,""))</f>
        <v/>
      </c>
      <c r="N81" s="35">
        <f>IF(LEN('Providers'!A80)=0,"",IF(LEN('Providers'!AG80)=0,"",'Providers'!AG80))</f>
        <v/>
      </c>
    </row>
    <row r="82">
      <c r="A82" s="32">
        <f>IF(LEN('Providers'!A81)=0,"",IF(LEN('Providers'!A81)=0,"",'Providers'!A81))</f>
        <v/>
      </c>
      <c r="B82" s="33">
        <f>IF(LEN('Providers'!A81)=0,"",IF(LEN('Providers'!B81)=0,"",'Providers'!B81))</f>
        <v/>
      </c>
      <c r="C82" s="33">
        <f>IF(LEN('Providers'!A81)=0,"",IF(LEN('Providers'!E81)=0,"",'Providers'!E81))</f>
        <v/>
      </c>
      <c r="D82" s="34">
        <f>IF(LEN('Providers'!A81)=0,"",IF(ISNUMBER('Providers'!G81),'Providers'!G81,""))</f>
        <v/>
      </c>
      <c r="E82" s="34">
        <f>IF(LEN('Providers'!A81)=0,"",IF(ISNUMBER('Providers'!I81),'Providers'!I81,""))</f>
        <v/>
      </c>
      <c r="F82" s="34">
        <f>IF(LEN('Providers'!A81)=0,"",IF(ISNUMBER('Providers'!K81),'Providers'!K81,""))</f>
        <v/>
      </c>
      <c r="G82" s="34">
        <f>IF(LEN('Providers'!A81)=0,"",IF(ISNUMBER('Providers'!M81),'Providers'!M81,""))</f>
        <v/>
      </c>
      <c r="H82" s="34">
        <f>IF(LEN('Providers'!A81)=0,"",IF(ISNUMBER('Providers'!Q81),'Providers'!Q81,""))</f>
        <v/>
      </c>
      <c r="I82" s="34">
        <f>IF(LEN('Providers'!A81)=0,"",IF(ISNUMBER('Providers'!S81),'Providers'!S81,""))</f>
        <v/>
      </c>
      <c r="J82" s="34">
        <f>IF(LEN('Providers'!A81)=0,"",IF(ISNUMBER('Providers'!W81),'Providers'!W81,""))</f>
        <v/>
      </c>
      <c r="K82" s="34">
        <f>IF(LEN('Providers'!A81)=0,"",IF(ISNUMBER('Providers'!Y81),'Providers'!Y81,""))</f>
        <v/>
      </c>
      <c r="L82" s="34">
        <f>IF(LEN('Providers'!A81)=0,"",IF(ISNUMBER('Providers'!AA81),'Providers'!AA81,""))</f>
        <v/>
      </c>
      <c r="M82" s="34">
        <f>IF(LEN('Providers'!A81)=0,"",IF(ISNUMBER('Providers'!AD81),'Providers'!AD81,""))</f>
        <v/>
      </c>
      <c r="N82" s="35">
        <f>IF(LEN('Providers'!A81)=0,"",IF(LEN('Providers'!AG81)=0,"",'Providers'!AG81))</f>
        <v/>
      </c>
    </row>
    <row r="83">
      <c r="A83" s="32">
        <f>IF(LEN('Providers'!A82)=0,"",IF(LEN('Providers'!A82)=0,"",'Providers'!A82))</f>
        <v/>
      </c>
      <c r="B83" s="33">
        <f>IF(LEN('Providers'!A82)=0,"",IF(LEN('Providers'!B82)=0,"",'Providers'!B82))</f>
        <v/>
      </c>
      <c r="C83" s="33">
        <f>IF(LEN('Providers'!A82)=0,"",IF(LEN('Providers'!E82)=0,"",'Providers'!E82))</f>
        <v/>
      </c>
      <c r="D83" s="34">
        <f>IF(LEN('Providers'!A82)=0,"",IF(ISNUMBER('Providers'!G82),'Providers'!G82,""))</f>
        <v/>
      </c>
      <c r="E83" s="34">
        <f>IF(LEN('Providers'!A82)=0,"",IF(ISNUMBER('Providers'!I82),'Providers'!I82,""))</f>
        <v/>
      </c>
      <c r="F83" s="34">
        <f>IF(LEN('Providers'!A82)=0,"",IF(ISNUMBER('Providers'!K82),'Providers'!K82,""))</f>
        <v/>
      </c>
      <c r="G83" s="34">
        <f>IF(LEN('Providers'!A82)=0,"",IF(ISNUMBER('Providers'!M82),'Providers'!M82,""))</f>
        <v/>
      </c>
      <c r="H83" s="34">
        <f>IF(LEN('Providers'!A82)=0,"",IF(ISNUMBER('Providers'!Q82),'Providers'!Q82,""))</f>
        <v/>
      </c>
      <c r="I83" s="34">
        <f>IF(LEN('Providers'!A82)=0,"",IF(ISNUMBER('Providers'!S82),'Providers'!S82,""))</f>
        <v/>
      </c>
      <c r="J83" s="34">
        <f>IF(LEN('Providers'!A82)=0,"",IF(ISNUMBER('Providers'!W82),'Providers'!W82,""))</f>
        <v/>
      </c>
      <c r="K83" s="34">
        <f>IF(LEN('Providers'!A82)=0,"",IF(ISNUMBER('Providers'!Y82),'Providers'!Y82,""))</f>
        <v/>
      </c>
      <c r="L83" s="34">
        <f>IF(LEN('Providers'!A82)=0,"",IF(ISNUMBER('Providers'!AA82),'Providers'!AA82,""))</f>
        <v/>
      </c>
      <c r="M83" s="34">
        <f>IF(LEN('Providers'!A82)=0,"",IF(ISNUMBER('Providers'!AD82),'Providers'!AD82,""))</f>
        <v/>
      </c>
      <c r="N83" s="35">
        <f>IF(LEN('Providers'!A82)=0,"",IF(LEN('Providers'!AG82)=0,"",'Providers'!AG82))</f>
        <v/>
      </c>
    </row>
    <row r="84">
      <c r="A84" s="32">
        <f>IF(LEN('Providers'!A83)=0,"",IF(LEN('Providers'!A83)=0,"",'Providers'!A83))</f>
        <v/>
      </c>
      <c r="B84" s="33">
        <f>IF(LEN('Providers'!A83)=0,"",IF(LEN('Providers'!B83)=0,"",'Providers'!B83))</f>
        <v/>
      </c>
      <c r="C84" s="33">
        <f>IF(LEN('Providers'!A83)=0,"",IF(LEN('Providers'!E83)=0,"",'Providers'!E83))</f>
        <v/>
      </c>
      <c r="D84" s="34">
        <f>IF(LEN('Providers'!A83)=0,"",IF(ISNUMBER('Providers'!G83),'Providers'!G83,""))</f>
        <v/>
      </c>
      <c r="E84" s="34">
        <f>IF(LEN('Providers'!A83)=0,"",IF(ISNUMBER('Providers'!I83),'Providers'!I83,""))</f>
        <v/>
      </c>
      <c r="F84" s="34">
        <f>IF(LEN('Providers'!A83)=0,"",IF(ISNUMBER('Providers'!K83),'Providers'!K83,""))</f>
        <v/>
      </c>
      <c r="G84" s="34">
        <f>IF(LEN('Providers'!A83)=0,"",IF(ISNUMBER('Providers'!M83),'Providers'!M83,""))</f>
        <v/>
      </c>
      <c r="H84" s="34">
        <f>IF(LEN('Providers'!A83)=0,"",IF(ISNUMBER('Providers'!Q83),'Providers'!Q83,""))</f>
        <v/>
      </c>
      <c r="I84" s="34">
        <f>IF(LEN('Providers'!A83)=0,"",IF(ISNUMBER('Providers'!S83),'Providers'!S83,""))</f>
        <v/>
      </c>
      <c r="J84" s="34">
        <f>IF(LEN('Providers'!A83)=0,"",IF(ISNUMBER('Providers'!W83),'Providers'!W83,""))</f>
        <v/>
      </c>
      <c r="K84" s="34">
        <f>IF(LEN('Providers'!A83)=0,"",IF(ISNUMBER('Providers'!Y83),'Providers'!Y83,""))</f>
        <v/>
      </c>
      <c r="L84" s="34">
        <f>IF(LEN('Providers'!A83)=0,"",IF(ISNUMBER('Providers'!AA83),'Providers'!AA83,""))</f>
        <v/>
      </c>
      <c r="M84" s="34">
        <f>IF(LEN('Providers'!A83)=0,"",IF(ISNUMBER('Providers'!AD83),'Providers'!AD83,""))</f>
        <v/>
      </c>
      <c r="N84" s="35">
        <f>IF(LEN('Providers'!A83)=0,"",IF(LEN('Providers'!AG83)=0,"",'Providers'!AG83))</f>
        <v/>
      </c>
    </row>
    <row r="85">
      <c r="A85" s="32">
        <f>IF(LEN('Providers'!A84)=0,"",IF(LEN('Providers'!A84)=0,"",'Providers'!A84))</f>
        <v/>
      </c>
      <c r="B85" s="33">
        <f>IF(LEN('Providers'!A84)=0,"",IF(LEN('Providers'!B84)=0,"",'Providers'!B84))</f>
        <v/>
      </c>
      <c r="C85" s="33">
        <f>IF(LEN('Providers'!A84)=0,"",IF(LEN('Providers'!E84)=0,"",'Providers'!E84))</f>
        <v/>
      </c>
      <c r="D85" s="34">
        <f>IF(LEN('Providers'!A84)=0,"",IF(ISNUMBER('Providers'!G84),'Providers'!G84,""))</f>
        <v/>
      </c>
      <c r="E85" s="34">
        <f>IF(LEN('Providers'!A84)=0,"",IF(ISNUMBER('Providers'!I84),'Providers'!I84,""))</f>
        <v/>
      </c>
      <c r="F85" s="34">
        <f>IF(LEN('Providers'!A84)=0,"",IF(ISNUMBER('Providers'!K84),'Providers'!K84,""))</f>
        <v/>
      </c>
      <c r="G85" s="34">
        <f>IF(LEN('Providers'!A84)=0,"",IF(ISNUMBER('Providers'!M84),'Providers'!M84,""))</f>
        <v/>
      </c>
      <c r="H85" s="34">
        <f>IF(LEN('Providers'!A84)=0,"",IF(ISNUMBER('Providers'!Q84),'Providers'!Q84,""))</f>
        <v/>
      </c>
      <c r="I85" s="34">
        <f>IF(LEN('Providers'!A84)=0,"",IF(ISNUMBER('Providers'!S84),'Providers'!S84,""))</f>
        <v/>
      </c>
      <c r="J85" s="34">
        <f>IF(LEN('Providers'!A84)=0,"",IF(ISNUMBER('Providers'!W84),'Providers'!W84,""))</f>
        <v/>
      </c>
      <c r="K85" s="34">
        <f>IF(LEN('Providers'!A84)=0,"",IF(ISNUMBER('Providers'!Y84),'Providers'!Y84,""))</f>
        <v/>
      </c>
      <c r="L85" s="34">
        <f>IF(LEN('Providers'!A84)=0,"",IF(ISNUMBER('Providers'!AA84),'Providers'!AA84,""))</f>
        <v/>
      </c>
      <c r="M85" s="34">
        <f>IF(LEN('Providers'!A84)=0,"",IF(ISNUMBER('Providers'!AD84),'Providers'!AD84,""))</f>
        <v/>
      </c>
      <c r="N85" s="35">
        <f>IF(LEN('Providers'!A84)=0,"",IF(LEN('Providers'!AG84)=0,"",'Providers'!AG84))</f>
        <v/>
      </c>
    </row>
    <row r="86">
      <c r="A86" s="32">
        <f>IF(LEN('Providers'!A85)=0,"",IF(LEN('Providers'!A85)=0,"",'Providers'!A85))</f>
        <v/>
      </c>
      <c r="B86" s="33">
        <f>IF(LEN('Providers'!A85)=0,"",IF(LEN('Providers'!B85)=0,"",'Providers'!B85))</f>
        <v/>
      </c>
      <c r="C86" s="33">
        <f>IF(LEN('Providers'!A85)=0,"",IF(LEN('Providers'!E85)=0,"",'Providers'!E85))</f>
        <v/>
      </c>
      <c r="D86" s="34">
        <f>IF(LEN('Providers'!A85)=0,"",IF(ISNUMBER('Providers'!G85),'Providers'!G85,""))</f>
        <v/>
      </c>
      <c r="E86" s="34">
        <f>IF(LEN('Providers'!A85)=0,"",IF(ISNUMBER('Providers'!I85),'Providers'!I85,""))</f>
        <v/>
      </c>
      <c r="F86" s="34">
        <f>IF(LEN('Providers'!A85)=0,"",IF(ISNUMBER('Providers'!K85),'Providers'!K85,""))</f>
        <v/>
      </c>
      <c r="G86" s="34">
        <f>IF(LEN('Providers'!A85)=0,"",IF(ISNUMBER('Providers'!M85),'Providers'!M85,""))</f>
        <v/>
      </c>
      <c r="H86" s="34">
        <f>IF(LEN('Providers'!A85)=0,"",IF(ISNUMBER('Providers'!Q85),'Providers'!Q85,""))</f>
        <v/>
      </c>
      <c r="I86" s="34">
        <f>IF(LEN('Providers'!A85)=0,"",IF(ISNUMBER('Providers'!S85),'Providers'!S85,""))</f>
        <v/>
      </c>
      <c r="J86" s="34">
        <f>IF(LEN('Providers'!A85)=0,"",IF(ISNUMBER('Providers'!W85),'Providers'!W85,""))</f>
        <v/>
      </c>
      <c r="K86" s="34">
        <f>IF(LEN('Providers'!A85)=0,"",IF(ISNUMBER('Providers'!Y85),'Providers'!Y85,""))</f>
        <v/>
      </c>
      <c r="L86" s="34">
        <f>IF(LEN('Providers'!A85)=0,"",IF(ISNUMBER('Providers'!AA85),'Providers'!AA85,""))</f>
        <v/>
      </c>
      <c r="M86" s="34">
        <f>IF(LEN('Providers'!A85)=0,"",IF(ISNUMBER('Providers'!AD85),'Providers'!AD85,""))</f>
        <v/>
      </c>
      <c r="N86" s="35">
        <f>IF(LEN('Providers'!A85)=0,"",IF(LEN('Providers'!AG85)=0,"",'Providers'!AG85))</f>
        <v/>
      </c>
    </row>
    <row r="87">
      <c r="A87" s="32">
        <f>IF(LEN('Providers'!A86)=0,"",IF(LEN('Providers'!A86)=0,"",'Providers'!A86))</f>
        <v/>
      </c>
      <c r="B87" s="33">
        <f>IF(LEN('Providers'!A86)=0,"",IF(LEN('Providers'!B86)=0,"",'Providers'!B86))</f>
        <v/>
      </c>
      <c r="C87" s="33">
        <f>IF(LEN('Providers'!A86)=0,"",IF(LEN('Providers'!E86)=0,"",'Providers'!E86))</f>
        <v/>
      </c>
      <c r="D87" s="34">
        <f>IF(LEN('Providers'!A86)=0,"",IF(ISNUMBER('Providers'!G86),'Providers'!G86,""))</f>
        <v/>
      </c>
      <c r="E87" s="34">
        <f>IF(LEN('Providers'!A86)=0,"",IF(ISNUMBER('Providers'!I86),'Providers'!I86,""))</f>
        <v/>
      </c>
      <c r="F87" s="34">
        <f>IF(LEN('Providers'!A86)=0,"",IF(ISNUMBER('Providers'!K86),'Providers'!K86,""))</f>
        <v/>
      </c>
      <c r="G87" s="34">
        <f>IF(LEN('Providers'!A86)=0,"",IF(ISNUMBER('Providers'!M86),'Providers'!M86,""))</f>
        <v/>
      </c>
      <c r="H87" s="34">
        <f>IF(LEN('Providers'!A86)=0,"",IF(ISNUMBER('Providers'!Q86),'Providers'!Q86,""))</f>
        <v/>
      </c>
      <c r="I87" s="34">
        <f>IF(LEN('Providers'!A86)=0,"",IF(ISNUMBER('Providers'!S86),'Providers'!S86,""))</f>
        <v/>
      </c>
      <c r="J87" s="34">
        <f>IF(LEN('Providers'!A86)=0,"",IF(ISNUMBER('Providers'!W86),'Providers'!W86,""))</f>
        <v/>
      </c>
      <c r="K87" s="34">
        <f>IF(LEN('Providers'!A86)=0,"",IF(ISNUMBER('Providers'!Y86),'Providers'!Y86,""))</f>
        <v/>
      </c>
      <c r="L87" s="34">
        <f>IF(LEN('Providers'!A86)=0,"",IF(ISNUMBER('Providers'!AA86),'Providers'!AA86,""))</f>
        <v/>
      </c>
      <c r="M87" s="34">
        <f>IF(LEN('Providers'!A86)=0,"",IF(ISNUMBER('Providers'!AD86),'Providers'!AD86,""))</f>
        <v/>
      </c>
      <c r="N87" s="35">
        <f>IF(LEN('Providers'!A86)=0,"",IF(LEN('Providers'!AG86)=0,"",'Providers'!AG86))</f>
        <v/>
      </c>
    </row>
    <row r="88">
      <c r="A88" s="32">
        <f>IF(LEN('Providers'!A87)=0,"",IF(LEN('Providers'!A87)=0,"",'Providers'!A87))</f>
        <v/>
      </c>
      <c r="B88" s="33">
        <f>IF(LEN('Providers'!A87)=0,"",IF(LEN('Providers'!B87)=0,"",'Providers'!B87))</f>
        <v/>
      </c>
      <c r="C88" s="33">
        <f>IF(LEN('Providers'!A87)=0,"",IF(LEN('Providers'!E87)=0,"",'Providers'!E87))</f>
        <v/>
      </c>
      <c r="D88" s="34">
        <f>IF(LEN('Providers'!A87)=0,"",IF(ISNUMBER('Providers'!G87),'Providers'!G87,""))</f>
        <v/>
      </c>
      <c r="E88" s="34">
        <f>IF(LEN('Providers'!A87)=0,"",IF(ISNUMBER('Providers'!I87),'Providers'!I87,""))</f>
        <v/>
      </c>
      <c r="F88" s="34">
        <f>IF(LEN('Providers'!A87)=0,"",IF(ISNUMBER('Providers'!K87),'Providers'!K87,""))</f>
        <v/>
      </c>
      <c r="G88" s="34">
        <f>IF(LEN('Providers'!A87)=0,"",IF(ISNUMBER('Providers'!M87),'Providers'!M87,""))</f>
        <v/>
      </c>
      <c r="H88" s="34">
        <f>IF(LEN('Providers'!A87)=0,"",IF(ISNUMBER('Providers'!Q87),'Providers'!Q87,""))</f>
        <v/>
      </c>
      <c r="I88" s="34">
        <f>IF(LEN('Providers'!A87)=0,"",IF(ISNUMBER('Providers'!S87),'Providers'!S87,""))</f>
        <v/>
      </c>
      <c r="J88" s="34">
        <f>IF(LEN('Providers'!A87)=0,"",IF(ISNUMBER('Providers'!W87),'Providers'!W87,""))</f>
        <v/>
      </c>
      <c r="K88" s="34">
        <f>IF(LEN('Providers'!A87)=0,"",IF(ISNUMBER('Providers'!Y87),'Providers'!Y87,""))</f>
        <v/>
      </c>
      <c r="L88" s="34">
        <f>IF(LEN('Providers'!A87)=0,"",IF(ISNUMBER('Providers'!AA87),'Providers'!AA87,""))</f>
        <v/>
      </c>
      <c r="M88" s="34">
        <f>IF(LEN('Providers'!A87)=0,"",IF(ISNUMBER('Providers'!AD87),'Providers'!AD87,""))</f>
        <v/>
      </c>
      <c r="N88" s="35">
        <f>IF(LEN('Providers'!A87)=0,"",IF(LEN('Providers'!AG87)=0,"",'Providers'!AG87))</f>
        <v/>
      </c>
    </row>
    <row r="89">
      <c r="A89" s="32">
        <f>IF(LEN('Providers'!A88)=0,"",IF(LEN('Providers'!A88)=0,"",'Providers'!A88))</f>
        <v/>
      </c>
      <c r="B89" s="33">
        <f>IF(LEN('Providers'!A88)=0,"",IF(LEN('Providers'!B88)=0,"",'Providers'!B88))</f>
        <v/>
      </c>
      <c r="C89" s="33">
        <f>IF(LEN('Providers'!A88)=0,"",IF(LEN('Providers'!E88)=0,"",'Providers'!E88))</f>
        <v/>
      </c>
      <c r="D89" s="34">
        <f>IF(LEN('Providers'!A88)=0,"",IF(ISNUMBER('Providers'!G88),'Providers'!G88,""))</f>
        <v/>
      </c>
      <c r="E89" s="34">
        <f>IF(LEN('Providers'!A88)=0,"",IF(ISNUMBER('Providers'!I88),'Providers'!I88,""))</f>
        <v/>
      </c>
      <c r="F89" s="34">
        <f>IF(LEN('Providers'!A88)=0,"",IF(ISNUMBER('Providers'!K88),'Providers'!K88,""))</f>
        <v/>
      </c>
      <c r="G89" s="34">
        <f>IF(LEN('Providers'!A88)=0,"",IF(ISNUMBER('Providers'!M88),'Providers'!M88,""))</f>
        <v/>
      </c>
      <c r="H89" s="34">
        <f>IF(LEN('Providers'!A88)=0,"",IF(ISNUMBER('Providers'!Q88),'Providers'!Q88,""))</f>
        <v/>
      </c>
      <c r="I89" s="34">
        <f>IF(LEN('Providers'!A88)=0,"",IF(ISNUMBER('Providers'!S88),'Providers'!S88,""))</f>
        <v/>
      </c>
      <c r="J89" s="34">
        <f>IF(LEN('Providers'!A88)=0,"",IF(ISNUMBER('Providers'!W88),'Providers'!W88,""))</f>
        <v/>
      </c>
      <c r="K89" s="34">
        <f>IF(LEN('Providers'!A88)=0,"",IF(ISNUMBER('Providers'!Y88),'Providers'!Y88,""))</f>
        <v/>
      </c>
      <c r="L89" s="34">
        <f>IF(LEN('Providers'!A88)=0,"",IF(ISNUMBER('Providers'!AA88),'Providers'!AA88,""))</f>
        <v/>
      </c>
      <c r="M89" s="34">
        <f>IF(LEN('Providers'!A88)=0,"",IF(ISNUMBER('Providers'!AD88),'Providers'!AD88,""))</f>
        <v/>
      </c>
      <c r="N89" s="35">
        <f>IF(LEN('Providers'!A88)=0,"",IF(LEN('Providers'!AG88)=0,"",'Providers'!AG88))</f>
        <v/>
      </c>
    </row>
    <row r="90">
      <c r="A90" s="32">
        <f>IF(LEN('Providers'!A89)=0,"",IF(LEN('Providers'!A89)=0,"",'Providers'!A89))</f>
        <v/>
      </c>
      <c r="B90" s="33">
        <f>IF(LEN('Providers'!A89)=0,"",IF(LEN('Providers'!B89)=0,"",'Providers'!B89))</f>
        <v/>
      </c>
      <c r="C90" s="33">
        <f>IF(LEN('Providers'!A89)=0,"",IF(LEN('Providers'!E89)=0,"",'Providers'!E89))</f>
        <v/>
      </c>
      <c r="D90" s="34">
        <f>IF(LEN('Providers'!A89)=0,"",IF(ISNUMBER('Providers'!G89),'Providers'!G89,""))</f>
        <v/>
      </c>
      <c r="E90" s="34">
        <f>IF(LEN('Providers'!A89)=0,"",IF(ISNUMBER('Providers'!I89),'Providers'!I89,""))</f>
        <v/>
      </c>
      <c r="F90" s="34">
        <f>IF(LEN('Providers'!A89)=0,"",IF(ISNUMBER('Providers'!K89),'Providers'!K89,""))</f>
        <v/>
      </c>
      <c r="G90" s="34">
        <f>IF(LEN('Providers'!A89)=0,"",IF(ISNUMBER('Providers'!M89),'Providers'!M89,""))</f>
        <v/>
      </c>
      <c r="H90" s="34">
        <f>IF(LEN('Providers'!A89)=0,"",IF(ISNUMBER('Providers'!Q89),'Providers'!Q89,""))</f>
        <v/>
      </c>
      <c r="I90" s="34">
        <f>IF(LEN('Providers'!A89)=0,"",IF(ISNUMBER('Providers'!S89),'Providers'!S89,""))</f>
        <v/>
      </c>
      <c r="J90" s="34">
        <f>IF(LEN('Providers'!A89)=0,"",IF(ISNUMBER('Providers'!W89),'Providers'!W89,""))</f>
        <v/>
      </c>
      <c r="K90" s="34">
        <f>IF(LEN('Providers'!A89)=0,"",IF(ISNUMBER('Providers'!Y89),'Providers'!Y89,""))</f>
        <v/>
      </c>
      <c r="L90" s="34">
        <f>IF(LEN('Providers'!A89)=0,"",IF(ISNUMBER('Providers'!AA89),'Providers'!AA89,""))</f>
        <v/>
      </c>
      <c r="M90" s="34">
        <f>IF(LEN('Providers'!A89)=0,"",IF(ISNUMBER('Providers'!AD89),'Providers'!AD89,""))</f>
        <v/>
      </c>
      <c r="N90" s="35">
        <f>IF(LEN('Providers'!A89)=0,"",IF(LEN('Providers'!AG89)=0,"",'Providers'!AG89))</f>
        <v/>
      </c>
    </row>
    <row r="91">
      <c r="A91" s="32">
        <f>IF(LEN('Providers'!A90)=0,"",IF(LEN('Providers'!A90)=0,"",'Providers'!A90))</f>
        <v/>
      </c>
      <c r="B91" s="33">
        <f>IF(LEN('Providers'!A90)=0,"",IF(LEN('Providers'!B90)=0,"",'Providers'!B90))</f>
        <v/>
      </c>
      <c r="C91" s="33">
        <f>IF(LEN('Providers'!A90)=0,"",IF(LEN('Providers'!E90)=0,"",'Providers'!E90))</f>
        <v/>
      </c>
      <c r="D91" s="34">
        <f>IF(LEN('Providers'!A90)=0,"",IF(ISNUMBER('Providers'!G90),'Providers'!G90,""))</f>
        <v/>
      </c>
      <c r="E91" s="34">
        <f>IF(LEN('Providers'!A90)=0,"",IF(ISNUMBER('Providers'!I90),'Providers'!I90,""))</f>
        <v/>
      </c>
      <c r="F91" s="34">
        <f>IF(LEN('Providers'!A90)=0,"",IF(ISNUMBER('Providers'!K90),'Providers'!K90,""))</f>
        <v/>
      </c>
      <c r="G91" s="34">
        <f>IF(LEN('Providers'!A90)=0,"",IF(ISNUMBER('Providers'!M90),'Providers'!M90,""))</f>
        <v/>
      </c>
      <c r="H91" s="34">
        <f>IF(LEN('Providers'!A90)=0,"",IF(ISNUMBER('Providers'!Q90),'Providers'!Q90,""))</f>
        <v/>
      </c>
      <c r="I91" s="34">
        <f>IF(LEN('Providers'!A90)=0,"",IF(ISNUMBER('Providers'!S90),'Providers'!S90,""))</f>
        <v/>
      </c>
      <c r="J91" s="34">
        <f>IF(LEN('Providers'!A90)=0,"",IF(ISNUMBER('Providers'!W90),'Providers'!W90,""))</f>
        <v/>
      </c>
      <c r="K91" s="34">
        <f>IF(LEN('Providers'!A90)=0,"",IF(ISNUMBER('Providers'!Y90),'Providers'!Y90,""))</f>
        <v/>
      </c>
      <c r="L91" s="34">
        <f>IF(LEN('Providers'!A90)=0,"",IF(ISNUMBER('Providers'!AA90),'Providers'!AA90,""))</f>
        <v/>
      </c>
      <c r="M91" s="34">
        <f>IF(LEN('Providers'!A90)=0,"",IF(ISNUMBER('Providers'!AD90),'Providers'!AD90,""))</f>
        <v/>
      </c>
      <c r="N91" s="35">
        <f>IF(LEN('Providers'!A90)=0,"",IF(LEN('Providers'!AG90)=0,"",'Providers'!AG90))</f>
        <v/>
      </c>
    </row>
    <row r="92">
      <c r="A92" s="32">
        <f>IF(LEN('Providers'!A91)=0,"",IF(LEN('Providers'!A91)=0,"",'Providers'!A91))</f>
        <v/>
      </c>
      <c r="B92" s="33">
        <f>IF(LEN('Providers'!A91)=0,"",IF(LEN('Providers'!B91)=0,"",'Providers'!B91))</f>
        <v/>
      </c>
      <c r="C92" s="33">
        <f>IF(LEN('Providers'!A91)=0,"",IF(LEN('Providers'!E91)=0,"",'Providers'!E91))</f>
        <v/>
      </c>
      <c r="D92" s="34">
        <f>IF(LEN('Providers'!A91)=0,"",IF(ISNUMBER('Providers'!G91),'Providers'!G91,""))</f>
        <v/>
      </c>
      <c r="E92" s="34">
        <f>IF(LEN('Providers'!A91)=0,"",IF(ISNUMBER('Providers'!I91),'Providers'!I91,""))</f>
        <v/>
      </c>
      <c r="F92" s="34">
        <f>IF(LEN('Providers'!A91)=0,"",IF(ISNUMBER('Providers'!K91),'Providers'!K91,""))</f>
        <v/>
      </c>
      <c r="G92" s="34">
        <f>IF(LEN('Providers'!A91)=0,"",IF(ISNUMBER('Providers'!M91),'Providers'!M91,""))</f>
        <v/>
      </c>
      <c r="H92" s="34">
        <f>IF(LEN('Providers'!A91)=0,"",IF(ISNUMBER('Providers'!Q91),'Providers'!Q91,""))</f>
        <v/>
      </c>
      <c r="I92" s="34">
        <f>IF(LEN('Providers'!A91)=0,"",IF(ISNUMBER('Providers'!S91),'Providers'!S91,""))</f>
        <v/>
      </c>
      <c r="J92" s="34">
        <f>IF(LEN('Providers'!A91)=0,"",IF(ISNUMBER('Providers'!W91),'Providers'!W91,""))</f>
        <v/>
      </c>
      <c r="K92" s="34">
        <f>IF(LEN('Providers'!A91)=0,"",IF(ISNUMBER('Providers'!Y91),'Providers'!Y91,""))</f>
        <v/>
      </c>
      <c r="L92" s="34">
        <f>IF(LEN('Providers'!A91)=0,"",IF(ISNUMBER('Providers'!AA91),'Providers'!AA91,""))</f>
        <v/>
      </c>
      <c r="M92" s="34">
        <f>IF(LEN('Providers'!A91)=0,"",IF(ISNUMBER('Providers'!AD91),'Providers'!AD91,""))</f>
        <v/>
      </c>
      <c r="N92" s="35">
        <f>IF(LEN('Providers'!A91)=0,"",IF(LEN('Providers'!AG91)=0,"",'Providers'!AG91))</f>
        <v/>
      </c>
    </row>
    <row r="93">
      <c r="A93" s="32">
        <f>IF(LEN('Providers'!A92)=0,"",IF(LEN('Providers'!A92)=0,"",'Providers'!A92))</f>
        <v/>
      </c>
      <c r="B93" s="33">
        <f>IF(LEN('Providers'!A92)=0,"",IF(LEN('Providers'!B92)=0,"",'Providers'!B92))</f>
        <v/>
      </c>
      <c r="C93" s="33">
        <f>IF(LEN('Providers'!A92)=0,"",IF(LEN('Providers'!E92)=0,"",'Providers'!E92))</f>
        <v/>
      </c>
      <c r="D93" s="34">
        <f>IF(LEN('Providers'!A92)=0,"",IF(ISNUMBER('Providers'!G92),'Providers'!G92,""))</f>
        <v/>
      </c>
      <c r="E93" s="34">
        <f>IF(LEN('Providers'!A92)=0,"",IF(ISNUMBER('Providers'!I92),'Providers'!I92,""))</f>
        <v/>
      </c>
      <c r="F93" s="34">
        <f>IF(LEN('Providers'!A92)=0,"",IF(ISNUMBER('Providers'!K92),'Providers'!K92,""))</f>
        <v/>
      </c>
      <c r="G93" s="34">
        <f>IF(LEN('Providers'!A92)=0,"",IF(ISNUMBER('Providers'!M92),'Providers'!M92,""))</f>
        <v/>
      </c>
      <c r="H93" s="34">
        <f>IF(LEN('Providers'!A92)=0,"",IF(ISNUMBER('Providers'!Q92),'Providers'!Q92,""))</f>
        <v/>
      </c>
      <c r="I93" s="34">
        <f>IF(LEN('Providers'!A92)=0,"",IF(ISNUMBER('Providers'!S92),'Providers'!S92,""))</f>
        <v/>
      </c>
      <c r="J93" s="34">
        <f>IF(LEN('Providers'!A92)=0,"",IF(ISNUMBER('Providers'!W92),'Providers'!W92,""))</f>
        <v/>
      </c>
      <c r="K93" s="34">
        <f>IF(LEN('Providers'!A92)=0,"",IF(ISNUMBER('Providers'!Y92),'Providers'!Y92,""))</f>
        <v/>
      </c>
      <c r="L93" s="34">
        <f>IF(LEN('Providers'!A92)=0,"",IF(ISNUMBER('Providers'!AA92),'Providers'!AA92,""))</f>
        <v/>
      </c>
      <c r="M93" s="34">
        <f>IF(LEN('Providers'!A92)=0,"",IF(ISNUMBER('Providers'!AD92),'Providers'!AD92,""))</f>
        <v/>
      </c>
      <c r="N93" s="35">
        <f>IF(LEN('Providers'!A92)=0,"",IF(LEN('Providers'!AG92)=0,"",'Providers'!AG92))</f>
        <v/>
      </c>
    </row>
    <row r="94">
      <c r="A94" s="32">
        <f>IF(LEN('Providers'!A93)=0,"",IF(LEN('Providers'!A93)=0,"",'Providers'!A93))</f>
        <v/>
      </c>
      <c r="B94" s="33">
        <f>IF(LEN('Providers'!A93)=0,"",IF(LEN('Providers'!B93)=0,"",'Providers'!B93))</f>
        <v/>
      </c>
      <c r="C94" s="33">
        <f>IF(LEN('Providers'!A93)=0,"",IF(LEN('Providers'!E93)=0,"",'Providers'!E93))</f>
        <v/>
      </c>
      <c r="D94" s="34">
        <f>IF(LEN('Providers'!A93)=0,"",IF(ISNUMBER('Providers'!G93),'Providers'!G93,""))</f>
        <v/>
      </c>
      <c r="E94" s="34">
        <f>IF(LEN('Providers'!A93)=0,"",IF(ISNUMBER('Providers'!I93),'Providers'!I93,""))</f>
        <v/>
      </c>
      <c r="F94" s="34">
        <f>IF(LEN('Providers'!A93)=0,"",IF(ISNUMBER('Providers'!K93),'Providers'!K93,""))</f>
        <v/>
      </c>
      <c r="G94" s="34">
        <f>IF(LEN('Providers'!A93)=0,"",IF(ISNUMBER('Providers'!M93),'Providers'!M93,""))</f>
        <v/>
      </c>
      <c r="H94" s="34">
        <f>IF(LEN('Providers'!A93)=0,"",IF(ISNUMBER('Providers'!Q93),'Providers'!Q93,""))</f>
        <v/>
      </c>
      <c r="I94" s="34">
        <f>IF(LEN('Providers'!A93)=0,"",IF(ISNUMBER('Providers'!S93),'Providers'!S93,""))</f>
        <v/>
      </c>
      <c r="J94" s="34">
        <f>IF(LEN('Providers'!A93)=0,"",IF(ISNUMBER('Providers'!W93),'Providers'!W93,""))</f>
        <v/>
      </c>
      <c r="K94" s="34">
        <f>IF(LEN('Providers'!A93)=0,"",IF(ISNUMBER('Providers'!Y93),'Providers'!Y93,""))</f>
        <v/>
      </c>
      <c r="L94" s="34">
        <f>IF(LEN('Providers'!A93)=0,"",IF(ISNUMBER('Providers'!AA93),'Providers'!AA93,""))</f>
        <v/>
      </c>
      <c r="M94" s="34">
        <f>IF(LEN('Providers'!A93)=0,"",IF(ISNUMBER('Providers'!AD93),'Providers'!AD93,""))</f>
        <v/>
      </c>
      <c r="N94" s="35">
        <f>IF(LEN('Providers'!A93)=0,"",IF(LEN('Providers'!AG93)=0,"",'Providers'!AG93))</f>
        <v/>
      </c>
    </row>
    <row r="95">
      <c r="A95" s="32">
        <f>IF(LEN('Providers'!A94)=0,"",IF(LEN('Providers'!A94)=0,"",'Providers'!A94))</f>
        <v/>
      </c>
      <c r="B95" s="33">
        <f>IF(LEN('Providers'!A94)=0,"",IF(LEN('Providers'!B94)=0,"",'Providers'!B94))</f>
        <v/>
      </c>
      <c r="C95" s="33">
        <f>IF(LEN('Providers'!A94)=0,"",IF(LEN('Providers'!E94)=0,"",'Providers'!E94))</f>
        <v/>
      </c>
      <c r="D95" s="34">
        <f>IF(LEN('Providers'!A94)=0,"",IF(ISNUMBER('Providers'!G94),'Providers'!G94,""))</f>
        <v/>
      </c>
      <c r="E95" s="34">
        <f>IF(LEN('Providers'!A94)=0,"",IF(ISNUMBER('Providers'!I94),'Providers'!I94,""))</f>
        <v/>
      </c>
      <c r="F95" s="34">
        <f>IF(LEN('Providers'!A94)=0,"",IF(ISNUMBER('Providers'!K94),'Providers'!K94,""))</f>
        <v/>
      </c>
      <c r="G95" s="34">
        <f>IF(LEN('Providers'!A94)=0,"",IF(ISNUMBER('Providers'!M94),'Providers'!M94,""))</f>
        <v/>
      </c>
      <c r="H95" s="34">
        <f>IF(LEN('Providers'!A94)=0,"",IF(ISNUMBER('Providers'!Q94),'Providers'!Q94,""))</f>
        <v/>
      </c>
      <c r="I95" s="34">
        <f>IF(LEN('Providers'!A94)=0,"",IF(ISNUMBER('Providers'!S94),'Providers'!S94,""))</f>
        <v/>
      </c>
      <c r="J95" s="34">
        <f>IF(LEN('Providers'!A94)=0,"",IF(ISNUMBER('Providers'!W94),'Providers'!W94,""))</f>
        <v/>
      </c>
      <c r="K95" s="34">
        <f>IF(LEN('Providers'!A94)=0,"",IF(ISNUMBER('Providers'!Y94),'Providers'!Y94,""))</f>
        <v/>
      </c>
      <c r="L95" s="34">
        <f>IF(LEN('Providers'!A94)=0,"",IF(ISNUMBER('Providers'!AA94),'Providers'!AA94,""))</f>
        <v/>
      </c>
      <c r="M95" s="34">
        <f>IF(LEN('Providers'!A94)=0,"",IF(ISNUMBER('Providers'!AD94),'Providers'!AD94,""))</f>
        <v/>
      </c>
      <c r="N95" s="35">
        <f>IF(LEN('Providers'!A94)=0,"",IF(LEN('Providers'!AG94)=0,"",'Providers'!AG94))</f>
        <v/>
      </c>
    </row>
    <row r="96">
      <c r="A96" s="32">
        <f>IF(LEN('Providers'!A95)=0,"",IF(LEN('Providers'!A95)=0,"",'Providers'!A95))</f>
        <v/>
      </c>
      <c r="B96" s="33">
        <f>IF(LEN('Providers'!A95)=0,"",IF(LEN('Providers'!B95)=0,"",'Providers'!B95))</f>
        <v/>
      </c>
      <c r="C96" s="33">
        <f>IF(LEN('Providers'!A95)=0,"",IF(LEN('Providers'!E95)=0,"",'Providers'!E95))</f>
        <v/>
      </c>
      <c r="D96" s="34">
        <f>IF(LEN('Providers'!A95)=0,"",IF(ISNUMBER('Providers'!G95),'Providers'!G95,""))</f>
        <v/>
      </c>
      <c r="E96" s="34">
        <f>IF(LEN('Providers'!A95)=0,"",IF(ISNUMBER('Providers'!I95),'Providers'!I95,""))</f>
        <v/>
      </c>
      <c r="F96" s="34">
        <f>IF(LEN('Providers'!A95)=0,"",IF(ISNUMBER('Providers'!K95),'Providers'!K95,""))</f>
        <v/>
      </c>
      <c r="G96" s="34">
        <f>IF(LEN('Providers'!A95)=0,"",IF(ISNUMBER('Providers'!M95),'Providers'!M95,""))</f>
        <v/>
      </c>
      <c r="H96" s="34">
        <f>IF(LEN('Providers'!A95)=0,"",IF(ISNUMBER('Providers'!Q95),'Providers'!Q95,""))</f>
        <v/>
      </c>
      <c r="I96" s="34">
        <f>IF(LEN('Providers'!A95)=0,"",IF(ISNUMBER('Providers'!S95),'Providers'!S95,""))</f>
        <v/>
      </c>
      <c r="J96" s="34">
        <f>IF(LEN('Providers'!A95)=0,"",IF(ISNUMBER('Providers'!W95),'Providers'!W95,""))</f>
        <v/>
      </c>
      <c r="K96" s="34">
        <f>IF(LEN('Providers'!A95)=0,"",IF(ISNUMBER('Providers'!Y95),'Providers'!Y95,""))</f>
        <v/>
      </c>
      <c r="L96" s="34">
        <f>IF(LEN('Providers'!A95)=0,"",IF(ISNUMBER('Providers'!AA95),'Providers'!AA95,""))</f>
        <v/>
      </c>
      <c r="M96" s="34">
        <f>IF(LEN('Providers'!A95)=0,"",IF(ISNUMBER('Providers'!AD95),'Providers'!AD95,""))</f>
        <v/>
      </c>
      <c r="N96" s="35">
        <f>IF(LEN('Providers'!A95)=0,"",IF(LEN('Providers'!AG95)=0,"",'Providers'!AG95))</f>
        <v/>
      </c>
    </row>
    <row r="97">
      <c r="A97" s="32">
        <f>IF(LEN('Providers'!A96)=0,"",IF(LEN('Providers'!A96)=0,"",'Providers'!A96))</f>
        <v/>
      </c>
      <c r="B97" s="33">
        <f>IF(LEN('Providers'!A96)=0,"",IF(LEN('Providers'!B96)=0,"",'Providers'!B96))</f>
        <v/>
      </c>
      <c r="C97" s="33">
        <f>IF(LEN('Providers'!A96)=0,"",IF(LEN('Providers'!E96)=0,"",'Providers'!E96))</f>
        <v/>
      </c>
      <c r="D97" s="34">
        <f>IF(LEN('Providers'!A96)=0,"",IF(ISNUMBER('Providers'!G96),'Providers'!G96,""))</f>
        <v/>
      </c>
      <c r="E97" s="34">
        <f>IF(LEN('Providers'!A96)=0,"",IF(ISNUMBER('Providers'!I96),'Providers'!I96,""))</f>
        <v/>
      </c>
      <c r="F97" s="34">
        <f>IF(LEN('Providers'!A96)=0,"",IF(ISNUMBER('Providers'!K96),'Providers'!K96,""))</f>
        <v/>
      </c>
      <c r="G97" s="34">
        <f>IF(LEN('Providers'!A96)=0,"",IF(ISNUMBER('Providers'!M96),'Providers'!M96,""))</f>
        <v/>
      </c>
      <c r="H97" s="34">
        <f>IF(LEN('Providers'!A96)=0,"",IF(ISNUMBER('Providers'!Q96),'Providers'!Q96,""))</f>
        <v/>
      </c>
      <c r="I97" s="34">
        <f>IF(LEN('Providers'!A96)=0,"",IF(ISNUMBER('Providers'!S96),'Providers'!S96,""))</f>
        <v/>
      </c>
      <c r="J97" s="34">
        <f>IF(LEN('Providers'!A96)=0,"",IF(ISNUMBER('Providers'!W96),'Providers'!W96,""))</f>
        <v/>
      </c>
      <c r="K97" s="34">
        <f>IF(LEN('Providers'!A96)=0,"",IF(ISNUMBER('Providers'!Y96),'Providers'!Y96,""))</f>
        <v/>
      </c>
      <c r="L97" s="34">
        <f>IF(LEN('Providers'!A96)=0,"",IF(ISNUMBER('Providers'!AA96),'Providers'!AA96,""))</f>
        <v/>
      </c>
      <c r="M97" s="34">
        <f>IF(LEN('Providers'!A96)=0,"",IF(ISNUMBER('Providers'!AD96),'Providers'!AD96,""))</f>
        <v/>
      </c>
      <c r="N97" s="35">
        <f>IF(LEN('Providers'!A96)=0,"",IF(LEN('Providers'!AG96)=0,"",'Providers'!AG96))</f>
        <v/>
      </c>
    </row>
    <row r="98">
      <c r="A98" s="32">
        <f>IF(LEN('Providers'!A97)=0,"",IF(LEN('Providers'!A97)=0,"",'Providers'!A97))</f>
        <v/>
      </c>
      <c r="B98" s="33">
        <f>IF(LEN('Providers'!A97)=0,"",IF(LEN('Providers'!B97)=0,"",'Providers'!B97))</f>
        <v/>
      </c>
      <c r="C98" s="33">
        <f>IF(LEN('Providers'!A97)=0,"",IF(LEN('Providers'!E97)=0,"",'Providers'!E97))</f>
        <v/>
      </c>
      <c r="D98" s="34">
        <f>IF(LEN('Providers'!A97)=0,"",IF(ISNUMBER('Providers'!G97),'Providers'!G97,""))</f>
        <v/>
      </c>
      <c r="E98" s="34">
        <f>IF(LEN('Providers'!A97)=0,"",IF(ISNUMBER('Providers'!I97),'Providers'!I97,""))</f>
        <v/>
      </c>
      <c r="F98" s="34">
        <f>IF(LEN('Providers'!A97)=0,"",IF(ISNUMBER('Providers'!K97),'Providers'!K97,""))</f>
        <v/>
      </c>
      <c r="G98" s="34">
        <f>IF(LEN('Providers'!A97)=0,"",IF(ISNUMBER('Providers'!M97),'Providers'!M97,""))</f>
        <v/>
      </c>
      <c r="H98" s="34">
        <f>IF(LEN('Providers'!A97)=0,"",IF(ISNUMBER('Providers'!Q97),'Providers'!Q97,""))</f>
        <v/>
      </c>
      <c r="I98" s="34">
        <f>IF(LEN('Providers'!A97)=0,"",IF(ISNUMBER('Providers'!S97),'Providers'!S97,""))</f>
        <v/>
      </c>
      <c r="J98" s="34">
        <f>IF(LEN('Providers'!A97)=0,"",IF(ISNUMBER('Providers'!W97),'Providers'!W97,""))</f>
        <v/>
      </c>
      <c r="K98" s="34">
        <f>IF(LEN('Providers'!A97)=0,"",IF(ISNUMBER('Providers'!Y97),'Providers'!Y97,""))</f>
        <v/>
      </c>
      <c r="L98" s="34">
        <f>IF(LEN('Providers'!A97)=0,"",IF(ISNUMBER('Providers'!AA97),'Providers'!AA97,""))</f>
        <v/>
      </c>
      <c r="M98" s="34">
        <f>IF(LEN('Providers'!A97)=0,"",IF(ISNUMBER('Providers'!AD97),'Providers'!AD97,""))</f>
        <v/>
      </c>
      <c r="N98" s="35">
        <f>IF(LEN('Providers'!A97)=0,"",IF(LEN('Providers'!AG97)=0,"",'Providers'!AG97))</f>
        <v/>
      </c>
    </row>
    <row r="99">
      <c r="A99" s="32">
        <f>IF(LEN('Providers'!A98)=0,"",IF(LEN('Providers'!A98)=0,"",'Providers'!A98))</f>
        <v/>
      </c>
      <c r="B99" s="33">
        <f>IF(LEN('Providers'!A98)=0,"",IF(LEN('Providers'!B98)=0,"",'Providers'!B98))</f>
        <v/>
      </c>
      <c r="C99" s="33">
        <f>IF(LEN('Providers'!A98)=0,"",IF(LEN('Providers'!E98)=0,"",'Providers'!E98))</f>
        <v/>
      </c>
      <c r="D99" s="34">
        <f>IF(LEN('Providers'!A98)=0,"",IF(ISNUMBER('Providers'!G98),'Providers'!G98,""))</f>
        <v/>
      </c>
      <c r="E99" s="34">
        <f>IF(LEN('Providers'!A98)=0,"",IF(ISNUMBER('Providers'!I98),'Providers'!I98,""))</f>
        <v/>
      </c>
      <c r="F99" s="34">
        <f>IF(LEN('Providers'!A98)=0,"",IF(ISNUMBER('Providers'!K98),'Providers'!K98,""))</f>
        <v/>
      </c>
      <c r="G99" s="34">
        <f>IF(LEN('Providers'!A98)=0,"",IF(ISNUMBER('Providers'!M98),'Providers'!M98,""))</f>
        <v/>
      </c>
      <c r="H99" s="34">
        <f>IF(LEN('Providers'!A98)=0,"",IF(ISNUMBER('Providers'!Q98),'Providers'!Q98,""))</f>
        <v/>
      </c>
      <c r="I99" s="34">
        <f>IF(LEN('Providers'!A98)=0,"",IF(ISNUMBER('Providers'!S98),'Providers'!S98,""))</f>
        <v/>
      </c>
      <c r="J99" s="34">
        <f>IF(LEN('Providers'!A98)=0,"",IF(ISNUMBER('Providers'!W98),'Providers'!W98,""))</f>
        <v/>
      </c>
      <c r="K99" s="34">
        <f>IF(LEN('Providers'!A98)=0,"",IF(ISNUMBER('Providers'!Y98),'Providers'!Y98,""))</f>
        <v/>
      </c>
      <c r="L99" s="34">
        <f>IF(LEN('Providers'!A98)=0,"",IF(ISNUMBER('Providers'!AA98),'Providers'!AA98,""))</f>
        <v/>
      </c>
      <c r="M99" s="34">
        <f>IF(LEN('Providers'!A98)=0,"",IF(ISNUMBER('Providers'!AD98),'Providers'!AD98,""))</f>
        <v/>
      </c>
      <c r="N99" s="35">
        <f>IF(LEN('Providers'!A98)=0,"",IF(LEN('Providers'!AG98)=0,"",'Providers'!AG98))</f>
        <v/>
      </c>
    </row>
    <row r="100">
      <c r="A100" s="32">
        <f>IF(LEN('Providers'!A99)=0,"",IF(LEN('Providers'!A99)=0,"",'Providers'!A99))</f>
        <v/>
      </c>
      <c r="B100" s="33">
        <f>IF(LEN('Providers'!A99)=0,"",IF(LEN('Providers'!B99)=0,"",'Providers'!B99))</f>
        <v/>
      </c>
      <c r="C100" s="33">
        <f>IF(LEN('Providers'!A99)=0,"",IF(LEN('Providers'!E99)=0,"",'Providers'!E99))</f>
        <v/>
      </c>
      <c r="D100" s="34">
        <f>IF(LEN('Providers'!A99)=0,"",IF(ISNUMBER('Providers'!G99),'Providers'!G99,""))</f>
        <v/>
      </c>
      <c r="E100" s="34">
        <f>IF(LEN('Providers'!A99)=0,"",IF(ISNUMBER('Providers'!I99),'Providers'!I99,""))</f>
        <v/>
      </c>
      <c r="F100" s="34">
        <f>IF(LEN('Providers'!A99)=0,"",IF(ISNUMBER('Providers'!K99),'Providers'!K99,""))</f>
        <v/>
      </c>
      <c r="G100" s="34">
        <f>IF(LEN('Providers'!A99)=0,"",IF(ISNUMBER('Providers'!M99),'Providers'!M99,""))</f>
        <v/>
      </c>
      <c r="H100" s="34">
        <f>IF(LEN('Providers'!A99)=0,"",IF(ISNUMBER('Providers'!Q99),'Providers'!Q99,""))</f>
        <v/>
      </c>
      <c r="I100" s="34">
        <f>IF(LEN('Providers'!A99)=0,"",IF(ISNUMBER('Providers'!S99),'Providers'!S99,""))</f>
        <v/>
      </c>
      <c r="J100" s="34">
        <f>IF(LEN('Providers'!A99)=0,"",IF(ISNUMBER('Providers'!W99),'Providers'!W99,""))</f>
        <v/>
      </c>
      <c r="K100" s="34">
        <f>IF(LEN('Providers'!A99)=0,"",IF(ISNUMBER('Providers'!Y99),'Providers'!Y99,""))</f>
        <v/>
      </c>
      <c r="L100" s="34">
        <f>IF(LEN('Providers'!A99)=0,"",IF(ISNUMBER('Providers'!AA99),'Providers'!AA99,""))</f>
        <v/>
      </c>
      <c r="M100" s="34">
        <f>IF(LEN('Providers'!A99)=0,"",IF(ISNUMBER('Providers'!AD99),'Providers'!AD99,""))</f>
        <v/>
      </c>
      <c r="N100" s="35">
        <f>IF(LEN('Providers'!A99)=0,"",IF(LEN('Providers'!AG99)=0,"",'Providers'!AG99))</f>
        <v/>
      </c>
    </row>
    <row r="101">
      <c r="A101" s="32">
        <f>IF(LEN('Providers'!A100)=0,"",IF(LEN('Providers'!A100)=0,"",'Providers'!A100))</f>
        <v/>
      </c>
      <c r="B101" s="33">
        <f>IF(LEN('Providers'!A100)=0,"",IF(LEN('Providers'!B100)=0,"",'Providers'!B100))</f>
        <v/>
      </c>
      <c r="C101" s="33">
        <f>IF(LEN('Providers'!A100)=0,"",IF(LEN('Providers'!E100)=0,"",'Providers'!E100))</f>
        <v/>
      </c>
      <c r="D101" s="34">
        <f>IF(LEN('Providers'!A100)=0,"",IF(ISNUMBER('Providers'!G100),'Providers'!G100,""))</f>
        <v/>
      </c>
      <c r="E101" s="34">
        <f>IF(LEN('Providers'!A100)=0,"",IF(ISNUMBER('Providers'!I100),'Providers'!I100,""))</f>
        <v/>
      </c>
      <c r="F101" s="34">
        <f>IF(LEN('Providers'!A100)=0,"",IF(ISNUMBER('Providers'!K100),'Providers'!K100,""))</f>
        <v/>
      </c>
      <c r="G101" s="34">
        <f>IF(LEN('Providers'!A100)=0,"",IF(ISNUMBER('Providers'!M100),'Providers'!M100,""))</f>
        <v/>
      </c>
      <c r="H101" s="34">
        <f>IF(LEN('Providers'!A100)=0,"",IF(ISNUMBER('Providers'!Q100),'Providers'!Q100,""))</f>
        <v/>
      </c>
      <c r="I101" s="34">
        <f>IF(LEN('Providers'!A100)=0,"",IF(ISNUMBER('Providers'!S100),'Providers'!S100,""))</f>
        <v/>
      </c>
      <c r="J101" s="34">
        <f>IF(LEN('Providers'!A100)=0,"",IF(ISNUMBER('Providers'!W100),'Providers'!W100,""))</f>
        <v/>
      </c>
      <c r="K101" s="34">
        <f>IF(LEN('Providers'!A100)=0,"",IF(ISNUMBER('Providers'!Y100),'Providers'!Y100,""))</f>
        <v/>
      </c>
      <c r="L101" s="34">
        <f>IF(LEN('Providers'!A100)=0,"",IF(ISNUMBER('Providers'!AA100),'Providers'!AA100,""))</f>
        <v/>
      </c>
      <c r="M101" s="34">
        <f>IF(LEN('Providers'!A100)=0,"",IF(ISNUMBER('Providers'!AD100),'Providers'!AD100,""))</f>
        <v/>
      </c>
      <c r="N101" s="35">
        <f>IF(LEN('Providers'!A100)=0,"",IF(LEN('Providers'!AG100)=0,"",'Providers'!AG100))</f>
        <v/>
      </c>
    </row>
    <row r="102">
      <c r="A102" s="32">
        <f>IF(LEN('Providers'!A101)=0,"",IF(LEN('Providers'!A101)=0,"",'Providers'!A101))</f>
        <v/>
      </c>
      <c r="B102" s="33">
        <f>IF(LEN('Providers'!A101)=0,"",IF(LEN('Providers'!B101)=0,"",'Providers'!B101))</f>
        <v/>
      </c>
      <c r="C102" s="33">
        <f>IF(LEN('Providers'!A101)=0,"",IF(LEN('Providers'!E101)=0,"",'Providers'!E101))</f>
        <v/>
      </c>
      <c r="D102" s="34">
        <f>IF(LEN('Providers'!A101)=0,"",IF(ISNUMBER('Providers'!G101),'Providers'!G101,""))</f>
        <v/>
      </c>
      <c r="E102" s="34">
        <f>IF(LEN('Providers'!A101)=0,"",IF(ISNUMBER('Providers'!I101),'Providers'!I101,""))</f>
        <v/>
      </c>
      <c r="F102" s="34">
        <f>IF(LEN('Providers'!A101)=0,"",IF(ISNUMBER('Providers'!K101),'Providers'!K101,""))</f>
        <v/>
      </c>
      <c r="G102" s="34">
        <f>IF(LEN('Providers'!A101)=0,"",IF(ISNUMBER('Providers'!M101),'Providers'!M101,""))</f>
        <v/>
      </c>
      <c r="H102" s="34">
        <f>IF(LEN('Providers'!A101)=0,"",IF(ISNUMBER('Providers'!Q101),'Providers'!Q101,""))</f>
        <v/>
      </c>
      <c r="I102" s="34">
        <f>IF(LEN('Providers'!A101)=0,"",IF(ISNUMBER('Providers'!S101),'Providers'!S101,""))</f>
        <v/>
      </c>
      <c r="J102" s="34">
        <f>IF(LEN('Providers'!A101)=0,"",IF(ISNUMBER('Providers'!W101),'Providers'!W101,""))</f>
        <v/>
      </c>
      <c r="K102" s="34">
        <f>IF(LEN('Providers'!A101)=0,"",IF(ISNUMBER('Providers'!Y101),'Providers'!Y101,""))</f>
        <v/>
      </c>
      <c r="L102" s="34">
        <f>IF(LEN('Providers'!A101)=0,"",IF(ISNUMBER('Providers'!AA101),'Providers'!AA101,""))</f>
        <v/>
      </c>
      <c r="M102" s="34">
        <f>IF(LEN('Providers'!A101)=0,"",IF(ISNUMBER('Providers'!AD101),'Providers'!AD101,""))</f>
        <v/>
      </c>
      <c r="N102" s="35">
        <f>IF(LEN('Providers'!A101)=0,"",IF(LEN('Providers'!AG101)=0,"",'Providers'!AG101))</f>
        <v/>
      </c>
    </row>
    <row r="103">
      <c r="A103" s="32">
        <f>IF(LEN('Providers'!A102)=0,"",IF(LEN('Providers'!A102)=0,"",'Providers'!A102))</f>
        <v/>
      </c>
      <c r="B103" s="33">
        <f>IF(LEN('Providers'!A102)=0,"",IF(LEN('Providers'!B102)=0,"",'Providers'!B102))</f>
        <v/>
      </c>
      <c r="C103" s="33">
        <f>IF(LEN('Providers'!A102)=0,"",IF(LEN('Providers'!E102)=0,"",'Providers'!E102))</f>
        <v/>
      </c>
      <c r="D103" s="34">
        <f>IF(LEN('Providers'!A102)=0,"",IF(ISNUMBER('Providers'!G102),'Providers'!G102,""))</f>
        <v/>
      </c>
      <c r="E103" s="34">
        <f>IF(LEN('Providers'!A102)=0,"",IF(ISNUMBER('Providers'!I102),'Providers'!I102,""))</f>
        <v/>
      </c>
      <c r="F103" s="34">
        <f>IF(LEN('Providers'!A102)=0,"",IF(ISNUMBER('Providers'!K102),'Providers'!K102,""))</f>
        <v/>
      </c>
      <c r="G103" s="34">
        <f>IF(LEN('Providers'!A102)=0,"",IF(ISNUMBER('Providers'!M102),'Providers'!M102,""))</f>
        <v/>
      </c>
      <c r="H103" s="34">
        <f>IF(LEN('Providers'!A102)=0,"",IF(ISNUMBER('Providers'!Q102),'Providers'!Q102,""))</f>
        <v/>
      </c>
      <c r="I103" s="34">
        <f>IF(LEN('Providers'!A102)=0,"",IF(ISNUMBER('Providers'!S102),'Providers'!S102,""))</f>
        <v/>
      </c>
      <c r="J103" s="34">
        <f>IF(LEN('Providers'!A102)=0,"",IF(ISNUMBER('Providers'!W102),'Providers'!W102,""))</f>
        <v/>
      </c>
      <c r="K103" s="34">
        <f>IF(LEN('Providers'!A102)=0,"",IF(ISNUMBER('Providers'!Y102),'Providers'!Y102,""))</f>
        <v/>
      </c>
      <c r="L103" s="34">
        <f>IF(LEN('Providers'!A102)=0,"",IF(ISNUMBER('Providers'!AA102),'Providers'!AA102,""))</f>
        <v/>
      </c>
      <c r="M103" s="34">
        <f>IF(LEN('Providers'!A102)=0,"",IF(ISNUMBER('Providers'!AD102),'Providers'!AD102,""))</f>
        <v/>
      </c>
      <c r="N103" s="35">
        <f>IF(LEN('Providers'!A102)=0,"",IF(LEN('Providers'!AG102)=0,"",'Providers'!AG102))</f>
        <v/>
      </c>
    </row>
    <row r="104">
      <c r="A104" s="32">
        <f>IF(LEN('Providers'!A103)=0,"",IF(LEN('Providers'!A103)=0,"",'Providers'!A103))</f>
        <v/>
      </c>
      <c r="B104" s="33">
        <f>IF(LEN('Providers'!A103)=0,"",IF(LEN('Providers'!B103)=0,"",'Providers'!B103))</f>
        <v/>
      </c>
      <c r="C104" s="33">
        <f>IF(LEN('Providers'!A103)=0,"",IF(LEN('Providers'!E103)=0,"",'Providers'!E103))</f>
        <v/>
      </c>
      <c r="D104" s="34">
        <f>IF(LEN('Providers'!A103)=0,"",IF(ISNUMBER('Providers'!G103),'Providers'!G103,""))</f>
        <v/>
      </c>
      <c r="E104" s="34">
        <f>IF(LEN('Providers'!A103)=0,"",IF(ISNUMBER('Providers'!I103),'Providers'!I103,""))</f>
        <v/>
      </c>
      <c r="F104" s="34">
        <f>IF(LEN('Providers'!A103)=0,"",IF(ISNUMBER('Providers'!K103),'Providers'!K103,""))</f>
        <v/>
      </c>
      <c r="G104" s="34">
        <f>IF(LEN('Providers'!A103)=0,"",IF(ISNUMBER('Providers'!M103),'Providers'!M103,""))</f>
        <v/>
      </c>
      <c r="H104" s="34">
        <f>IF(LEN('Providers'!A103)=0,"",IF(ISNUMBER('Providers'!Q103),'Providers'!Q103,""))</f>
        <v/>
      </c>
      <c r="I104" s="34">
        <f>IF(LEN('Providers'!A103)=0,"",IF(ISNUMBER('Providers'!S103),'Providers'!S103,""))</f>
        <v/>
      </c>
      <c r="J104" s="34">
        <f>IF(LEN('Providers'!A103)=0,"",IF(ISNUMBER('Providers'!W103),'Providers'!W103,""))</f>
        <v/>
      </c>
      <c r="K104" s="34">
        <f>IF(LEN('Providers'!A103)=0,"",IF(ISNUMBER('Providers'!Y103),'Providers'!Y103,""))</f>
        <v/>
      </c>
      <c r="L104" s="34">
        <f>IF(LEN('Providers'!A103)=0,"",IF(ISNUMBER('Providers'!AA103),'Providers'!AA103,""))</f>
        <v/>
      </c>
      <c r="M104" s="34">
        <f>IF(LEN('Providers'!A103)=0,"",IF(ISNUMBER('Providers'!AD103),'Providers'!AD103,""))</f>
        <v/>
      </c>
      <c r="N104" s="35">
        <f>IF(LEN('Providers'!A103)=0,"",IF(LEN('Providers'!AG103)=0,"",'Providers'!AG103))</f>
        <v/>
      </c>
    </row>
    <row r="105">
      <c r="A105" s="32">
        <f>IF(LEN('Providers'!A104)=0,"",IF(LEN('Providers'!A104)=0,"",'Providers'!A104))</f>
        <v/>
      </c>
      <c r="B105" s="33">
        <f>IF(LEN('Providers'!A104)=0,"",IF(LEN('Providers'!B104)=0,"",'Providers'!B104))</f>
        <v/>
      </c>
      <c r="C105" s="33">
        <f>IF(LEN('Providers'!A104)=0,"",IF(LEN('Providers'!E104)=0,"",'Providers'!E104))</f>
        <v/>
      </c>
      <c r="D105" s="34">
        <f>IF(LEN('Providers'!A104)=0,"",IF(ISNUMBER('Providers'!G104),'Providers'!G104,""))</f>
        <v/>
      </c>
      <c r="E105" s="34">
        <f>IF(LEN('Providers'!A104)=0,"",IF(ISNUMBER('Providers'!I104),'Providers'!I104,""))</f>
        <v/>
      </c>
      <c r="F105" s="34">
        <f>IF(LEN('Providers'!A104)=0,"",IF(ISNUMBER('Providers'!K104),'Providers'!K104,""))</f>
        <v/>
      </c>
      <c r="G105" s="34">
        <f>IF(LEN('Providers'!A104)=0,"",IF(ISNUMBER('Providers'!M104),'Providers'!M104,""))</f>
        <v/>
      </c>
      <c r="H105" s="34">
        <f>IF(LEN('Providers'!A104)=0,"",IF(ISNUMBER('Providers'!Q104),'Providers'!Q104,""))</f>
        <v/>
      </c>
      <c r="I105" s="34">
        <f>IF(LEN('Providers'!A104)=0,"",IF(ISNUMBER('Providers'!S104),'Providers'!S104,""))</f>
        <v/>
      </c>
      <c r="J105" s="34">
        <f>IF(LEN('Providers'!A104)=0,"",IF(ISNUMBER('Providers'!W104),'Providers'!W104,""))</f>
        <v/>
      </c>
      <c r="K105" s="34">
        <f>IF(LEN('Providers'!A104)=0,"",IF(ISNUMBER('Providers'!Y104),'Providers'!Y104,""))</f>
        <v/>
      </c>
      <c r="L105" s="34">
        <f>IF(LEN('Providers'!A104)=0,"",IF(ISNUMBER('Providers'!AA104),'Providers'!AA104,""))</f>
        <v/>
      </c>
      <c r="M105" s="34">
        <f>IF(LEN('Providers'!A104)=0,"",IF(ISNUMBER('Providers'!AD104),'Providers'!AD104,""))</f>
        <v/>
      </c>
      <c r="N105" s="35">
        <f>IF(LEN('Providers'!A104)=0,"",IF(LEN('Providers'!AG104)=0,"",'Providers'!AG104))</f>
        <v/>
      </c>
    </row>
    <row r="106">
      <c r="A106" s="32">
        <f>IF(LEN('Providers'!A105)=0,"",IF(LEN('Providers'!A105)=0,"",'Providers'!A105))</f>
        <v/>
      </c>
      <c r="B106" s="33">
        <f>IF(LEN('Providers'!A105)=0,"",IF(LEN('Providers'!B105)=0,"",'Providers'!B105))</f>
        <v/>
      </c>
      <c r="C106" s="33">
        <f>IF(LEN('Providers'!A105)=0,"",IF(LEN('Providers'!E105)=0,"",'Providers'!E105))</f>
        <v/>
      </c>
      <c r="D106" s="34">
        <f>IF(LEN('Providers'!A105)=0,"",IF(ISNUMBER('Providers'!G105),'Providers'!G105,""))</f>
        <v/>
      </c>
      <c r="E106" s="34">
        <f>IF(LEN('Providers'!A105)=0,"",IF(ISNUMBER('Providers'!I105),'Providers'!I105,""))</f>
        <v/>
      </c>
      <c r="F106" s="34">
        <f>IF(LEN('Providers'!A105)=0,"",IF(ISNUMBER('Providers'!K105),'Providers'!K105,""))</f>
        <v/>
      </c>
      <c r="G106" s="34">
        <f>IF(LEN('Providers'!A105)=0,"",IF(ISNUMBER('Providers'!M105),'Providers'!M105,""))</f>
        <v/>
      </c>
      <c r="H106" s="34">
        <f>IF(LEN('Providers'!A105)=0,"",IF(ISNUMBER('Providers'!Q105),'Providers'!Q105,""))</f>
        <v/>
      </c>
      <c r="I106" s="34">
        <f>IF(LEN('Providers'!A105)=0,"",IF(ISNUMBER('Providers'!S105),'Providers'!S105,""))</f>
        <v/>
      </c>
      <c r="J106" s="34">
        <f>IF(LEN('Providers'!A105)=0,"",IF(ISNUMBER('Providers'!W105),'Providers'!W105,""))</f>
        <v/>
      </c>
      <c r="K106" s="34">
        <f>IF(LEN('Providers'!A105)=0,"",IF(ISNUMBER('Providers'!Y105),'Providers'!Y105,""))</f>
        <v/>
      </c>
      <c r="L106" s="34">
        <f>IF(LEN('Providers'!A105)=0,"",IF(ISNUMBER('Providers'!AA105),'Providers'!AA105,""))</f>
        <v/>
      </c>
      <c r="M106" s="34">
        <f>IF(LEN('Providers'!A105)=0,"",IF(ISNUMBER('Providers'!AD105),'Providers'!AD105,""))</f>
        <v/>
      </c>
      <c r="N106" s="35">
        <f>IF(LEN('Providers'!A105)=0,"",IF(LEN('Providers'!AG105)=0,"",'Providers'!AG105))</f>
        <v/>
      </c>
    </row>
    <row r="107">
      <c r="A107" s="32">
        <f>IF(LEN('Providers'!A106)=0,"",IF(LEN('Providers'!A106)=0,"",'Providers'!A106))</f>
        <v/>
      </c>
      <c r="B107" s="33">
        <f>IF(LEN('Providers'!A106)=0,"",IF(LEN('Providers'!B106)=0,"",'Providers'!B106))</f>
        <v/>
      </c>
      <c r="C107" s="33">
        <f>IF(LEN('Providers'!A106)=0,"",IF(LEN('Providers'!E106)=0,"",'Providers'!E106))</f>
        <v/>
      </c>
      <c r="D107" s="34">
        <f>IF(LEN('Providers'!A106)=0,"",IF(ISNUMBER('Providers'!G106),'Providers'!G106,""))</f>
        <v/>
      </c>
      <c r="E107" s="34">
        <f>IF(LEN('Providers'!A106)=0,"",IF(ISNUMBER('Providers'!I106),'Providers'!I106,""))</f>
        <v/>
      </c>
      <c r="F107" s="34">
        <f>IF(LEN('Providers'!A106)=0,"",IF(ISNUMBER('Providers'!K106),'Providers'!K106,""))</f>
        <v/>
      </c>
      <c r="G107" s="34">
        <f>IF(LEN('Providers'!A106)=0,"",IF(ISNUMBER('Providers'!M106),'Providers'!M106,""))</f>
        <v/>
      </c>
      <c r="H107" s="34">
        <f>IF(LEN('Providers'!A106)=0,"",IF(ISNUMBER('Providers'!Q106),'Providers'!Q106,""))</f>
        <v/>
      </c>
      <c r="I107" s="34">
        <f>IF(LEN('Providers'!A106)=0,"",IF(ISNUMBER('Providers'!S106),'Providers'!S106,""))</f>
        <v/>
      </c>
      <c r="J107" s="34">
        <f>IF(LEN('Providers'!A106)=0,"",IF(ISNUMBER('Providers'!W106),'Providers'!W106,""))</f>
        <v/>
      </c>
      <c r="K107" s="34">
        <f>IF(LEN('Providers'!A106)=0,"",IF(ISNUMBER('Providers'!Y106),'Providers'!Y106,""))</f>
        <v/>
      </c>
      <c r="L107" s="34">
        <f>IF(LEN('Providers'!A106)=0,"",IF(ISNUMBER('Providers'!AA106),'Providers'!AA106,""))</f>
        <v/>
      </c>
      <c r="M107" s="34">
        <f>IF(LEN('Providers'!A106)=0,"",IF(ISNUMBER('Providers'!AD106),'Providers'!AD106,""))</f>
        <v/>
      </c>
      <c r="N107" s="35">
        <f>IF(LEN('Providers'!A106)=0,"",IF(LEN('Providers'!AG106)=0,"",'Providers'!AG106))</f>
        <v/>
      </c>
    </row>
    <row r="108">
      <c r="A108" s="32">
        <f>IF(LEN('Providers'!A107)=0,"",IF(LEN('Providers'!A107)=0,"",'Providers'!A107))</f>
        <v/>
      </c>
      <c r="B108" s="33">
        <f>IF(LEN('Providers'!A107)=0,"",IF(LEN('Providers'!B107)=0,"",'Providers'!B107))</f>
        <v/>
      </c>
      <c r="C108" s="33">
        <f>IF(LEN('Providers'!A107)=0,"",IF(LEN('Providers'!E107)=0,"",'Providers'!E107))</f>
        <v/>
      </c>
      <c r="D108" s="34">
        <f>IF(LEN('Providers'!A107)=0,"",IF(ISNUMBER('Providers'!G107),'Providers'!G107,""))</f>
        <v/>
      </c>
      <c r="E108" s="34">
        <f>IF(LEN('Providers'!A107)=0,"",IF(ISNUMBER('Providers'!I107),'Providers'!I107,""))</f>
        <v/>
      </c>
      <c r="F108" s="34">
        <f>IF(LEN('Providers'!A107)=0,"",IF(ISNUMBER('Providers'!K107),'Providers'!K107,""))</f>
        <v/>
      </c>
      <c r="G108" s="34">
        <f>IF(LEN('Providers'!A107)=0,"",IF(ISNUMBER('Providers'!M107),'Providers'!M107,""))</f>
        <v/>
      </c>
      <c r="H108" s="34">
        <f>IF(LEN('Providers'!A107)=0,"",IF(ISNUMBER('Providers'!Q107),'Providers'!Q107,""))</f>
        <v/>
      </c>
      <c r="I108" s="34">
        <f>IF(LEN('Providers'!A107)=0,"",IF(ISNUMBER('Providers'!S107),'Providers'!S107,""))</f>
        <v/>
      </c>
      <c r="J108" s="34">
        <f>IF(LEN('Providers'!A107)=0,"",IF(ISNUMBER('Providers'!W107),'Providers'!W107,""))</f>
        <v/>
      </c>
      <c r="K108" s="34">
        <f>IF(LEN('Providers'!A107)=0,"",IF(ISNUMBER('Providers'!Y107),'Providers'!Y107,""))</f>
        <v/>
      </c>
      <c r="L108" s="34">
        <f>IF(LEN('Providers'!A107)=0,"",IF(ISNUMBER('Providers'!AA107),'Providers'!AA107,""))</f>
        <v/>
      </c>
      <c r="M108" s="34">
        <f>IF(LEN('Providers'!A107)=0,"",IF(ISNUMBER('Providers'!AD107),'Providers'!AD107,""))</f>
        <v/>
      </c>
      <c r="N108" s="35">
        <f>IF(LEN('Providers'!A107)=0,"",IF(LEN('Providers'!AG107)=0,"",'Providers'!AG107))</f>
        <v/>
      </c>
    </row>
    <row r="109">
      <c r="A109" s="32">
        <f>IF(LEN('Providers'!A108)=0,"",IF(LEN('Providers'!A108)=0,"",'Providers'!A108))</f>
        <v/>
      </c>
      <c r="B109" s="33">
        <f>IF(LEN('Providers'!A108)=0,"",IF(LEN('Providers'!B108)=0,"",'Providers'!B108))</f>
        <v/>
      </c>
      <c r="C109" s="33">
        <f>IF(LEN('Providers'!A108)=0,"",IF(LEN('Providers'!E108)=0,"",'Providers'!E108))</f>
        <v/>
      </c>
      <c r="D109" s="34">
        <f>IF(LEN('Providers'!A108)=0,"",IF(ISNUMBER('Providers'!G108),'Providers'!G108,""))</f>
        <v/>
      </c>
      <c r="E109" s="34">
        <f>IF(LEN('Providers'!A108)=0,"",IF(ISNUMBER('Providers'!I108),'Providers'!I108,""))</f>
        <v/>
      </c>
      <c r="F109" s="34">
        <f>IF(LEN('Providers'!A108)=0,"",IF(ISNUMBER('Providers'!K108),'Providers'!K108,""))</f>
        <v/>
      </c>
      <c r="G109" s="34">
        <f>IF(LEN('Providers'!A108)=0,"",IF(ISNUMBER('Providers'!M108),'Providers'!M108,""))</f>
        <v/>
      </c>
      <c r="H109" s="34">
        <f>IF(LEN('Providers'!A108)=0,"",IF(ISNUMBER('Providers'!Q108),'Providers'!Q108,""))</f>
        <v/>
      </c>
      <c r="I109" s="34">
        <f>IF(LEN('Providers'!A108)=0,"",IF(ISNUMBER('Providers'!S108),'Providers'!S108,""))</f>
        <v/>
      </c>
      <c r="J109" s="34">
        <f>IF(LEN('Providers'!A108)=0,"",IF(ISNUMBER('Providers'!W108),'Providers'!W108,""))</f>
        <v/>
      </c>
      <c r="K109" s="34">
        <f>IF(LEN('Providers'!A108)=0,"",IF(ISNUMBER('Providers'!Y108),'Providers'!Y108,""))</f>
        <v/>
      </c>
      <c r="L109" s="34">
        <f>IF(LEN('Providers'!A108)=0,"",IF(ISNUMBER('Providers'!AA108),'Providers'!AA108,""))</f>
        <v/>
      </c>
      <c r="M109" s="34">
        <f>IF(LEN('Providers'!A108)=0,"",IF(ISNUMBER('Providers'!AD108),'Providers'!AD108,""))</f>
        <v/>
      </c>
      <c r="N109" s="35">
        <f>IF(LEN('Providers'!A108)=0,"",IF(LEN('Providers'!AG108)=0,"",'Providers'!AG108))</f>
        <v/>
      </c>
    </row>
    <row r="110">
      <c r="A110" s="32">
        <f>IF(LEN('Providers'!A109)=0,"",IF(LEN('Providers'!A109)=0,"",'Providers'!A109))</f>
        <v/>
      </c>
      <c r="B110" s="33">
        <f>IF(LEN('Providers'!A109)=0,"",IF(LEN('Providers'!B109)=0,"",'Providers'!B109))</f>
        <v/>
      </c>
      <c r="C110" s="33">
        <f>IF(LEN('Providers'!A109)=0,"",IF(LEN('Providers'!E109)=0,"",'Providers'!E109))</f>
        <v/>
      </c>
      <c r="D110" s="34">
        <f>IF(LEN('Providers'!A109)=0,"",IF(ISNUMBER('Providers'!G109),'Providers'!G109,""))</f>
        <v/>
      </c>
      <c r="E110" s="34">
        <f>IF(LEN('Providers'!A109)=0,"",IF(ISNUMBER('Providers'!I109),'Providers'!I109,""))</f>
        <v/>
      </c>
      <c r="F110" s="34">
        <f>IF(LEN('Providers'!A109)=0,"",IF(ISNUMBER('Providers'!K109),'Providers'!K109,""))</f>
        <v/>
      </c>
      <c r="G110" s="34">
        <f>IF(LEN('Providers'!A109)=0,"",IF(ISNUMBER('Providers'!M109),'Providers'!M109,""))</f>
        <v/>
      </c>
      <c r="H110" s="34">
        <f>IF(LEN('Providers'!A109)=0,"",IF(ISNUMBER('Providers'!Q109),'Providers'!Q109,""))</f>
        <v/>
      </c>
      <c r="I110" s="34">
        <f>IF(LEN('Providers'!A109)=0,"",IF(ISNUMBER('Providers'!S109),'Providers'!S109,""))</f>
        <v/>
      </c>
      <c r="J110" s="34">
        <f>IF(LEN('Providers'!A109)=0,"",IF(ISNUMBER('Providers'!W109),'Providers'!W109,""))</f>
        <v/>
      </c>
      <c r="K110" s="34">
        <f>IF(LEN('Providers'!A109)=0,"",IF(ISNUMBER('Providers'!Y109),'Providers'!Y109,""))</f>
        <v/>
      </c>
      <c r="L110" s="34">
        <f>IF(LEN('Providers'!A109)=0,"",IF(ISNUMBER('Providers'!AA109),'Providers'!AA109,""))</f>
        <v/>
      </c>
      <c r="M110" s="34">
        <f>IF(LEN('Providers'!A109)=0,"",IF(ISNUMBER('Providers'!AD109),'Providers'!AD109,""))</f>
        <v/>
      </c>
      <c r="N110" s="35">
        <f>IF(LEN('Providers'!A109)=0,"",IF(LEN('Providers'!AG109)=0,"",'Providers'!AG109))</f>
        <v/>
      </c>
    </row>
    <row r="111">
      <c r="A111" s="32">
        <f>IF(LEN('Providers'!A110)=0,"",IF(LEN('Providers'!A110)=0,"",'Providers'!A110))</f>
        <v/>
      </c>
      <c r="B111" s="33">
        <f>IF(LEN('Providers'!A110)=0,"",IF(LEN('Providers'!B110)=0,"",'Providers'!B110))</f>
        <v/>
      </c>
      <c r="C111" s="33">
        <f>IF(LEN('Providers'!A110)=0,"",IF(LEN('Providers'!E110)=0,"",'Providers'!E110))</f>
        <v/>
      </c>
      <c r="D111" s="34">
        <f>IF(LEN('Providers'!A110)=0,"",IF(ISNUMBER('Providers'!G110),'Providers'!G110,""))</f>
        <v/>
      </c>
      <c r="E111" s="34">
        <f>IF(LEN('Providers'!A110)=0,"",IF(ISNUMBER('Providers'!I110),'Providers'!I110,""))</f>
        <v/>
      </c>
      <c r="F111" s="34">
        <f>IF(LEN('Providers'!A110)=0,"",IF(ISNUMBER('Providers'!K110),'Providers'!K110,""))</f>
        <v/>
      </c>
      <c r="G111" s="34">
        <f>IF(LEN('Providers'!A110)=0,"",IF(ISNUMBER('Providers'!M110),'Providers'!M110,""))</f>
        <v/>
      </c>
      <c r="H111" s="34">
        <f>IF(LEN('Providers'!A110)=0,"",IF(ISNUMBER('Providers'!Q110),'Providers'!Q110,""))</f>
        <v/>
      </c>
      <c r="I111" s="34">
        <f>IF(LEN('Providers'!A110)=0,"",IF(ISNUMBER('Providers'!S110),'Providers'!S110,""))</f>
        <v/>
      </c>
      <c r="J111" s="34">
        <f>IF(LEN('Providers'!A110)=0,"",IF(ISNUMBER('Providers'!W110),'Providers'!W110,""))</f>
        <v/>
      </c>
      <c r="K111" s="34">
        <f>IF(LEN('Providers'!A110)=0,"",IF(ISNUMBER('Providers'!Y110),'Providers'!Y110,""))</f>
        <v/>
      </c>
      <c r="L111" s="34">
        <f>IF(LEN('Providers'!A110)=0,"",IF(ISNUMBER('Providers'!AA110),'Providers'!AA110,""))</f>
        <v/>
      </c>
      <c r="M111" s="34">
        <f>IF(LEN('Providers'!A110)=0,"",IF(ISNUMBER('Providers'!AD110),'Providers'!AD110,""))</f>
        <v/>
      </c>
      <c r="N111" s="35">
        <f>IF(LEN('Providers'!A110)=0,"",IF(LEN('Providers'!AG110)=0,"",'Providers'!AG110))</f>
        <v/>
      </c>
    </row>
    <row r="112">
      <c r="A112" s="32">
        <f>IF(LEN('Providers'!A111)=0,"",IF(LEN('Providers'!A111)=0,"",'Providers'!A111))</f>
        <v/>
      </c>
      <c r="B112" s="33">
        <f>IF(LEN('Providers'!A111)=0,"",IF(LEN('Providers'!B111)=0,"",'Providers'!B111))</f>
        <v/>
      </c>
      <c r="C112" s="33">
        <f>IF(LEN('Providers'!A111)=0,"",IF(LEN('Providers'!E111)=0,"",'Providers'!E111))</f>
        <v/>
      </c>
      <c r="D112" s="34">
        <f>IF(LEN('Providers'!A111)=0,"",IF(ISNUMBER('Providers'!G111),'Providers'!G111,""))</f>
        <v/>
      </c>
      <c r="E112" s="34">
        <f>IF(LEN('Providers'!A111)=0,"",IF(ISNUMBER('Providers'!I111),'Providers'!I111,""))</f>
        <v/>
      </c>
      <c r="F112" s="34">
        <f>IF(LEN('Providers'!A111)=0,"",IF(ISNUMBER('Providers'!K111),'Providers'!K111,""))</f>
        <v/>
      </c>
      <c r="G112" s="34">
        <f>IF(LEN('Providers'!A111)=0,"",IF(ISNUMBER('Providers'!M111),'Providers'!M111,""))</f>
        <v/>
      </c>
      <c r="H112" s="34">
        <f>IF(LEN('Providers'!A111)=0,"",IF(ISNUMBER('Providers'!Q111),'Providers'!Q111,""))</f>
        <v/>
      </c>
      <c r="I112" s="34">
        <f>IF(LEN('Providers'!A111)=0,"",IF(ISNUMBER('Providers'!S111),'Providers'!S111,""))</f>
        <v/>
      </c>
      <c r="J112" s="34">
        <f>IF(LEN('Providers'!A111)=0,"",IF(ISNUMBER('Providers'!W111),'Providers'!W111,""))</f>
        <v/>
      </c>
      <c r="K112" s="34">
        <f>IF(LEN('Providers'!A111)=0,"",IF(ISNUMBER('Providers'!Y111),'Providers'!Y111,""))</f>
        <v/>
      </c>
      <c r="L112" s="34">
        <f>IF(LEN('Providers'!A111)=0,"",IF(ISNUMBER('Providers'!AA111),'Providers'!AA111,""))</f>
        <v/>
      </c>
      <c r="M112" s="34">
        <f>IF(LEN('Providers'!A111)=0,"",IF(ISNUMBER('Providers'!AD111),'Providers'!AD111,""))</f>
        <v/>
      </c>
      <c r="N112" s="35">
        <f>IF(LEN('Providers'!A111)=0,"",IF(LEN('Providers'!AG111)=0,"",'Providers'!AG111))</f>
        <v/>
      </c>
    </row>
    <row r="113">
      <c r="A113" s="32">
        <f>IF(LEN('Providers'!A112)=0,"",IF(LEN('Providers'!A112)=0,"",'Providers'!A112))</f>
        <v/>
      </c>
      <c r="B113" s="33">
        <f>IF(LEN('Providers'!A112)=0,"",IF(LEN('Providers'!B112)=0,"",'Providers'!B112))</f>
        <v/>
      </c>
      <c r="C113" s="33">
        <f>IF(LEN('Providers'!A112)=0,"",IF(LEN('Providers'!E112)=0,"",'Providers'!E112))</f>
        <v/>
      </c>
      <c r="D113" s="34">
        <f>IF(LEN('Providers'!A112)=0,"",IF(ISNUMBER('Providers'!G112),'Providers'!G112,""))</f>
        <v/>
      </c>
      <c r="E113" s="34">
        <f>IF(LEN('Providers'!A112)=0,"",IF(ISNUMBER('Providers'!I112),'Providers'!I112,""))</f>
        <v/>
      </c>
      <c r="F113" s="34">
        <f>IF(LEN('Providers'!A112)=0,"",IF(ISNUMBER('Providers'!K112),'Providers'!K112,""))</f>
        <v/>
      </c>
      <c r="G113" s="34">
        <f>IF(LEN('Providers'!A112)=0,"",IF(ISNUMBER('Providers'!M112),'Providers'!M112,""))</f>
        <v/>
      </c>
      <c r="H113" s="34">
        <f>IF(LEN('Providers'!A112)=0,"",IF(ISNUMBER('Providers'!Q112),'Providers'!Q112,""))</f>
        <v/>
      </c>
      <c r="I113" s="34">
        <f>IF(LEN('Providers'!A112)=0,"",IF(ISNUMBER('Providers'!S112),'Providers'!S112,""))</f>
        <v/>
      </c>
      <c r="J113" s="34">
        <f>IF(LEN('Providers'!A112)=0,"",IF(ISNUMBER('Providers'!W112),'Providers'!W112,""))</f>
        <v/>
      </c>
      <c r="K113" s="34">
        <f>IF(LEN('Providers'!A112)=0,"",IF(ISNUMBER('Providers'!Y112),'Providers'!Y112,""))</f>
        <v/>
      </c>
      <c r="L113" s="34">
        <f>IF(LEN('Providers'!A112)=0,"",IF(ISNUMBER('Providers'!AA112),'Providers'!AA112,""))</f>
        <v/>
      </c>
      <c r="M113" s="34">
        <f>IF(LEN('Providers'!A112)=0,"",IF(ISNUMBER('Providers'!AD112),'Providers'!AD112,""))</f>
        <v/>
      </c>
      <c r="N113" s="35">
        <f>IF(LEN('Providers'!A112)=0,"",IF(LEN('Providers'!AG112)=0,"",'Providers'!AG112))</f>
        <v/>
      </c>
    </row>
    <row r="114">
      <c r="A114" s="32">
        <f>IF(LEN('Providers'!A113)=0,"",IF(LEN('Providers'!A113)=0,"",'Providers'!A113))</f>
        <v/>
      </c>
      <c r="B114" s="33">
        <f>IF(LEN('Providers'!A113)=0,"",IF(LEN('Providers'!B113)=0,"",'Providers'!B113))</f>
        <v/>
      </c>
      <c r="C114" s="33">
        <f>IF(LEN('Providers'!A113)=0,"",IF(LEN('Providers'!E113)=0,"",'Providers'!E113))</f>
        <v/>
      </c>
      <c r="D114" s="34">
        <f>IF(LEN('Providers'!A113)=0,"",IF(ISNUMBER('Providers'!G113),'Providers'!G113,""))</f>
        <v/>
      </c>
      <c r="E114" s="34">
        <f>IF(LEN('Providers'!A113)=0,"",IF(ISNUMBER('Providers'!I113),'Providers'!I113,""))</f>
        <v/>
      </c>
      <c r="F114" s="34">
        <f>IF(LEN('Providers'!A113)=0,"",IF(ISNUMBER('Providers'!K113),'Providers'!K113,""))</f>
        <v/>
      </c>
      <c r="G114" s="34">
        <f>IF(LEN('Providers'!A113)=0,"",IF(ISNUMBER('Providers'!M113),'Providers'!M113,""))</f>
        <v/>
      </c>
      <c r="H114" s="34">
        <f>IF(LEN('Providers'!A113)=0,"",IF(ISNUMBER('Providers'!Q113),'Providers'!Q113,""))</f>
        <v/>
      </c>
      <c r="I114" s="34">
        <f>IF(LEN('Providers'!A113)=0,"",IF(ISNUMBER('Providers'!S113),'Providers'!S113,""))</f>
        <v/>
      </c>
      <c r="J114" s="34">
        <f>IF(LEN('Providers'!A113)=0,"",IF(ISNUMBER('Providers'!W113),'Providers'!W113,""))</f>
        <v/>
      </c>
      <c r="K114" s="34">
        <f>IF(LEN('Providers'!A113)=0,"",IF(ISNUMBER('Providers'!Y113),'Providers'!Y113,""))</f>
        <v/>
      </c>
      <c r="L114" s="34">
        <f>IF(LEN('Providers'!A113)=0,"",IF(ISNUMBER('Providers'!AA113),'Providers'!AA113,""))</f>
        <v/>
      </c>
      <c r="M114" s="34">
        <f>IF(LEN('Providers'!A113)=0,"",IF(ISNUMBER('Providers'!AD113),'Providers'!AD113,""))</f>
        <v/>
      </c>
      <c r="N114" s="35">
        <f>IF(LEN('Providers'!A113)=0,"",IF(LEN('Providers'!AG113)=0,"",'Providers'!AG113))</f>
        <v/>
      </c>
    </row>
    <row r="115">
      <c r="A115" s="32">
        <f>IF(LEN('Providers'!A114)=0,"",IF(LEN('Providers'!A114)=0,"",'Providers'!A114))</f>
        <v/>
      </c>
      <c r="B115" s="33">
        <f>IF(LEN('Providers'!A114)=0,"",IF(LEN('Providers'!B114)=0,"",'Providers'!B114))</f>
        <v/>
      </c>
      <c r="C115" s="33">
        <f>IF(LEN('Providers'!A114)=0,"",IF(LEN('Providers'!E114)=0,"",'Providers'!E114))</f>
        <v/>
      </c>
      <c r="D115" s="34">
        <f>IF(LEN('Providers'!A114)=0,"",IF(ISNUMBER('Providers'!G114),'Providers'!G114,""))</f>
        <v/>
      </c>
      <c r="E115" s="34">
        <f>IF(LEN('Providers'!A114)=0,"",IF(ISNUMBER('Providers'!I114),'Providers'!I114,""))</f>
        <v/>
      </c>
      <c r="F115" s="34">
        <f>IF(LEN('Providers'!A114)=0,"",IF(ISNUMBER('Providers'!K114),'Providers'!K114,""))</f>
        <v/>
      </c>
      <c r="G115" s="34">
        <f>IF(LEN('Providers'!A114)=0,"",IF(ISNUMBER('Providers'!M114),'Providers'!M114,""))</f>
        <v/>
      </c>
      <c r="H115" s="34">
        <f>IF(LEN('Providers'!A114)=0,"",IF(ISNUMBER('Providers'!Q114),'Providers'!Q114,""))</f>
        <v/>
      </c>
      <c r="I115" s="34">
        <f>IF(LEN('Providers'!A114)=0,"",IF(ISNUMBER('Providers'!S114),'Providers'!S114,""))</f>
        <v/>
      </c>
      <c r="J115" s="34">
        <f>IF(LEN('Providers'!A114)=0,"",IF(ISNUMBER('Providers'!W114),'Providers'!W114,""))</f>
        <v/>
      </c>
      <c r="K115" s="34">
        <f>IF(LEN('Providers'!A114)=0,"",IF(ISNUMBER('Providers'!Y114),'Providers'!Y114,""))</f>
        <v/>
      </c>
      <c r="L115" s="34">
        <f>IF(LEN('Providers'!A114)=0,"",IF(ISNUMBER('Providers'!AA114),'Providers'!AA114,""))</f>
        <v/>
      </c>
      <c r="M115" s="34">
        <f>IF(LEN('Providers'!A114)=0,"",IF(ISNUMBER('Providers'!AD114),'Providers'!AD114,""))</f>
        <v/>
      </c>
      <c r="N115" s="35">
        <f>IF(LEN('Providers'!A114)=0,"",IF(LEN('Providers'!AG114)=0,"",'Providers'!AG114))</f>
        <v/>
      </c>
    </row>
    <row r="116">
      <c r="A116" s="32">
        <f>IF(LEN('Providers'!A115)=0,"",IF(LEN('Providers'!A115)=0,"",'Providers'!A115))</f>
        <v/>
      </c>
      <c r="B116" s="33">
        <f>IF(LEN('Providers'!A115)=0,"",IF(LEN('Providers'!B115)=0,"",'Providers'!B115))</f>
        <v/>
      </c>
      <c r="C116" s="33">
        <f>IF(LEN('Providers'!A115)=0,"",IF(LEN('Providers'!E115)=0,"",'Providers'!E115))</f>
        <v/>
      </c>
      <c r="D116" s="34">
        <f>IF(LEN('Providers'!A115)=0,"",IF(ISNUMBER('Providers'!G115),'Providers'!G115,""))</f>
        <v/>
      </c>
      <c r="E116" s="34">
        <f>IF(LEN('Providers'!A115)=0,"",IF(ISNUMBER('Providers'!I115),'Providers'!I115,""))</f>
        <v/>
      </c>
      <c r="F116" s="34">
        <f>IF(LEN('Providers'!A115)=0,"",IF(ISNUMBER('Providers'!K115),'Providers'!K115,""))</f>
        <v/>
      </c>
      <c r="G116" s="34">
        <f>IF(LEN('Providers'!A115)=0,"",IF(ISNUMBER('Providers'!M115),'Providers'!M115,""))</f>
        <v/>
      </c>
      <c r="H116" s="34">
        <f>IF(LEN('Providers'!A115)=0,"",IF(ISNUMBER('Providers'!Q115),'Providers'!Q115,""))</f>
        <v/>
      </c>
      <c r="I116" s="34">
        <f>IF(LEN('Providers'!A115)=0,"",IF(ISNUMBER('Providers'!S115),'Providers'!S115,""))</f>
        <v/>
      </c>
      <c r="J116" s="34">
        <f>IF(LEN('Providers'!A115)=0,"",IF(ISNUMBER('Providers'!W115),'Providers'!W115,""))</f>
        <v/>
      </c>
      <c r="K116" s="34">
        <f>IF(LEN('Providers'!A115)=0,"",IF(ISNUMBER('Providers'!Y115),'Providers'!Y115,""))</f>
        <v/>
      </c>
      <c r="L116" s="34">
        <f>IF(LEN('Providers'!A115)=0,"",IF(ISNUMBER('Providers'!AA115),'Providers'!AA115,""))</f>
        <v/>
      </c>
      <c r="M116" s="34">
        <f>IF(LEN('Providers'!A115)=0,"",IF(ISNUMBER('Providers'!AD115),'Providers'!AD115,""))</f>
        <v/>
      </c>
      <c r="N116" s="35">
        <f>IF(LEN('Providers'!A115)=0,"",IF(LEN('Providers'!AG115)=0,"",'Providers'!AG115))</f>
        <v/>
      </c>
    </row>
    <row r="117">
      <c r="A117" s="32">
        <f>IF(LEN('Providers'!A116)=0,"",IF(LEN('Providers'!A116)=0,"",'Providers'!A116))</f>
        <v/>
      </c>
      <c r="B117" s="33">
        <f>IF(LEN('Providers'!A116)=0,"",IF(LEN('Providers'!B116)=0,"",'Providers'!B116))</f>
        <v/>
      </c>
      <c r="C117" s="33">
        <f>IF(LEN('Providers'!A116)=0,"",IF(LEN('Providers'!E116)=0,"",'Providers'!E116))</f>
        <v/>
      </c>
      <c r="D117" s="34">
        <f>IF(LEN('Providers'!A116)=0,"",IF(ISNUMBER('Providers'!G116),'Providers'!G116,""))</f>
        <v/>
      </c>
      <c r="E117" s="34">
        <f>IF(LEN('Providers'!A116)=0,"",IF(ISNUMBER('Providers'!I116),'Providers'!I116,""))</f>
        <v/>
      </c>
      <c r="F117" s="34">
        <f>IF(LEN('Providers'!A116)=0,"",IF(ISNUMBER('Providers'!K116),'Providers'!K116,""))</f>
        <v/>
      </c>
      <c r="G117" s="34">
        <f>IF(LEN('Providers'!A116)=0,"",IF(ISNUMBER('Providers'!M116),'Providers'!M116,""))</f>
        <v/>
      </c>
      <c r="H117" s="34">
        <f>IF(LEN('Providers'!A116)=0,"",IF(ISNUMBER('Providers'!Q116),'Providers'!Q116,""))</f>
        <v/>
      </c>
      <c r="I117" s="34">
        <f>IF(LEN('Providers'!A116)=0,"",IF(ISNUMBER('Providers'!S116),'Providers'!S116,""))</f>
        <v/>
      </c>
      <c r="J117" s="34">
        <f>IF(LEN('Providers'!A116)=0,"",IF(ISNUMBER('Providers'!W116),'Providers'!W116,""))</f>
        <v/>
      </c>
      <c r="K117" s="34">
        <f>IF(LEN('Providers'!A116)=0,"",IF(ISNUMBER('Providers'!Y116),'Providers'!Y116,""))</f>
        <v/>
      </c>
      <c r="L117" s="34">
        <f>IF(LEN('Providers'!A116)=0,"",IF(ISNUMBER('Providers'!AA116),'Providers'!AA116,""))</f>
        <v/>
      </c>
      <c r="M117" s="34">
        <f>IF(LEN('Providers'!A116)=0,"",IF(ISNUMBER('Providers'!AD116),'Providers'!AD116,""))</f>
        <v/>
      </c>
      <c r="N117" s="35">
        <f>IF(LEN('Providers'!A116)=0,"",IF(LEN('Providers'!AG116)=0,"",'Providers'!AG116))</f>
        <v/>
      </c>
    </row>
    <row r="118">
      <c r="A118" s="32">
        <f>IF(LEN('Providers'!A117)=0,"",IF(LEN('Providers'!A117)=0,"",'Providers'!A117))</f>
        <v/>
      </c>
      <c r="B118" s="33">
        <f>IF(LEN('Providers'!A117)=0,"",IF(LEN('Providers'!B117)=0,"",'Providers'!B117))</f>
        <v/>
      </c>
      <c r="C118" s="33">
        <f>IF(LEN('Providers'!A117)=0,"",IF(LEN('Providers'!E117)=0,"",'Providers'!E117))</f>
        <v/>
      </c>
      <c r="D118" s="34">
        <f>IF(LEN('Providers'!A117)=0,"",IF(ISNUMBER('Providers'!G117),'Providers'!G117,""))</f>
        <v/>
      </c>
      <c r="E118" s="34">
        <f>IF(LEN('Providers'!A117)=0,"",IF(ISNUMBER('Providers'!I117),'Providers'!I117,""))</f>
        <v/>
      </c>
      <c r="F118" s="34">
        <f>IF(LEN('Providers'!A117)=0,"",IF(ISNUMBER('Providers'!K117),'Providers'!K117,""))</f>
        <v/>
      </c>
      <c r="G118" s="34">
        <f>IF(LEN('Providers'!A117)=0,"",IF(ISNUMBER('Providers'!M117),'Providers'!M117,""))</f>
        <v/>
      </c>
      <c r="H118" s="34">
        <f>IF(LEN('Providers'!A117)=0,"",IF(ISNUMBER('Providers'!Q117),'Providers'!Q117,""))</f>
        <v/>
      </c>
      <c r="I118" s="34">
        <f>IF(LEN('Providers'!A117)=0,"",IF(ISNUMBER('Providers'!S117),'Providers'!S117,""))</f>
        <v/>
      </c>
      <c r="J118" s="34">
        <f>IF(LEN('Providers'!A117)=0,"",IF(ISNUMBER('Providers'!W117),'Providers'!W117,""))</f>
        <v/>
      </c>
      <c r="K118" s="34">
        <f>IF(LEN('Providers'!A117)=0,"",IF(ISNUMBER('Providers'!Y117),'Providers'!Y117,""))</f>
        <v/>
      </c>
      <c r="L118" s="34">
        <f>IF(LEN('Providers'!A117)=0,"",IF(ISNUMBER('Providers'!AA117),'Providers'!AA117,""))</f>
        <v/>
      </c>
      <c r="M118" s="34">
        <f>IF(LEN('Providers'!A117)=0,"",IF(ISNUMBER('Providers'!AD117),'Providers'!AD117,""))</f>
        <v/>
      </c>
      <c r="N118" s="35">
        <f>IF(LEN('Providers'!A117)=0,"",IF(LEN('Providers'!AG117)=0,"",'Providers'!AG117))</f>
        <v/>
      </c>
    </row>
    <row r="119">
      <c r="A119" s="32">
        <f>IF(LEN('Providers'!A118)=0,"",IF(LEN('Providers'!A118)=0,"",'Providers'!A118))</f>
        <v/>
      </c>
      <c r="B119" s="33">
        <f>IF(LEN('Providers'!A118)=0,"",IF(LEN('Providers'!B118)=0,"",'Providers'!B118))</f>
        <v/>
      </c>
      <c r="C119" s="33">
        <f>IF(LEN('Providers'!A118)=0,"",IF(LEN('Providers'!E118)=0,"",'Providers'!E118))</f>
        <v/>
      </c>
      <c r="D119" s="34">
        <f>IF(LEN('Providers'!A118)=0,"",IF(ISNUMBER('Providers'!G118),'Providers'!G118,""))</f>
        <v/>
      </c>
      <c r="E119" s="34">
        <f>IF(LEN('Providers'!A118)=0,"",IF(ISNUMBER('Providers'!I118),'Providers'!I118,""))</f>
        <v/>
      </c>
      <c r="F119" s="34">
        <f>IF(LEN('Providers'!A118)=0,"",IF(ISNUMBER('Providers'!K118),'Providers'!K118,""))</f>
        <v/>
      </c>
      <c r="G119" s="34">
        <f>IF(LEN('Providers'!A118)=0,"",IF(ISNUMBER('Providers'!M118),'Providers'!M118,""))</f>
        <v/>
      </c>
      <c r="H119" s="34">
        <f>IF(LEN('Providers'!A118)=0,"",IF(ISNUMBER('Providers'!Q118),'Providers'!Q118,""))</f>
        <v/>
      </c>
      <c r="I119" s="34">
        <f>IF(LEN('Providers'!A118)=0,"",IF(ISNUMBER('Providers'!S118),'Providers'!S118,""))</f>
        <v/>
      </c>
      <c r="J119" s="34">
        <f>IF(LEN('Providers'!A118)=0,"",IF(ISNUMBER('Providers'!W118),'Providers'!W118,""))</f>
        <v/>
      </c>
      <c r="K119" s="34">
        <f>IF(LEN('Providers'!A118)=0,"",IF(ISNUMBER('Providers'!Y118),'Providers'!Y118,""))</f>
        <v/>
      </c>
      <c r="L119" s="34">
        <f>IF(LEN('Providers'!A118)=0,"",IF(ISNUMBER('Providers'!AA118),'Providers'!AA118,""))</f>
        <v/>
      </c>
      <c r="M119" s="34">
        <f>IF(LEN('Providers'!A118)=0,"",IF(ISNUMBER('Providers'!AD118),'Providers'!AD118,""))</f>
        <v/>
      </c>
      <c r="N119" s="35">
        <f>IF(LEN('Providers'!A118)=0,"",IF(LEN('Providers'!AG118)=0,"",'Providers'!AG118))</f>
        <v/>
      </c>
    </row>
    <row r="120">
      <c r="A120" s="32">
        <f>IF(LEN('Providers'!A119)=0,"",IF(LEN('Providers'!A119)=0,"",'Providers'!A119))</f>
        <v/>
      </c>
      <c r="B120" s="33">
        <f>IF(LEN('Providers'!A119)=0,"",IF(LEN('Providers'!B119)=0,"",'Providers'!B119))</f>
        <v/>
      </c>
      <c r="C120" s="33">
        <f>IF(LEN('Providers'!A119)=0,"",IF(LEN('Providers'!E119)=0,"",'Providers'!E119))</f>
        <v/>
      </c>
      <c r="D120" s="34">
        <f>IF(LEN('Providers'!A119)=0,"",IF(ISNUMBER('Providers'!G119),'Providers'!G119,""))</f>
        <v/>
      </c>
      <c r="E120" s="34">
        <f>IF(LEN('Providers'!A119)=0,"",IF(ISNUMBER('Providers'!I119),'Providers'!I119,""))</f>
        <v/>
      </c>
      <c r="F120" s="34">
        <f>IF(LEN('Providers'!A119)=0,"",IF(ISNUMBER('Providers'!K119),'Providers'!K119,""))</f>
        <v/>
      </c>
      <c r="G120" s="34">
        <f>IF(LEN('Providers'!A119)=0,"",IF(ISNUMBER('Providers'!M119),'Providers'!M119,""))</f>
        <v/>
      </c>
      <c r="H120" s="34">
        <f>IF(LEN('Providers'!A119)=0,"",IF(ISNUMBER('Providers'!Q119),'Providers'!Q119,""))</f>
        <v/>
      </c>
      <c r="I120" s="34">
        <f>IF(LEN('Providers'!A119)=0,"",IF(ISNUMBER('Providers'!S119),'Providers'!S119,""))</f>
        <v/>
      </c>
      <c r="J120" s="34">
        <f>IF(LEN('Providers'!A119)=0,"",IF(ISNUMBER('Providers'!W119),'Providers'!W119,""))</f>
        <v/>
      </c>
      <c r="K120" s="34">
        <f>IF(LEN('Providers'!A119)=0,"",IF(ISNUMBER('Providers'!Y119),'Providers'!Y119,""))</f>
        <v/>
      </c>
      <c r="L120" s="34">
        <f>IF(LEN('Providers'!A119)=0,"",IF(ISNUMBER('Providers'!AA119),'Providers'!AA119,""))</f>
        <v/>
      </c>
      <c r="M120" s="34">
        <f>IF(LEN('Providers'!A119)=0,"",IF(ISNUMBER('Providers'!AD119),'Providers'!AD119,""))</f>
        <v/>
      </c>
      <c r="N120" s="35">
        <f>IF(LEN('Providers'!A119)=0,"",IF(LEN('Providers'!AG119)=0,"",'Providers'!AG119))</f>
        <v/>
      </c>
    </row>
    <row r="121">
      <c r="A121" s="32">
        <f>IF(LEN('Providers'!A120)=0,"",IF(LEN('Providers'!A120)=0,"",'Providers'!A120))</f>
        <v/>
      </c>
      <c r="B121" s="33">
        <f>IF(LEN('Providers'!A120)=0,"",IF(LEN('Providers'!B120)=0,"",'Providers'!B120))</f>
        <v/>
      </c>
      <c r="C121" s="33">
        <f>IF(LEN('Providers'!A120)=0,"",IF(LEN('Providers'!E120)=0,"",'Providers'!E120))</f>
        <v/>
      </c>
      <c r="D121" s="34">
        <f>IF(LEN('Providers'!A120)=0,"",IF(ISNUMBER('Providers'!G120),'Providers'!G120,""))</f>
        <v/>
      </c>
      <c r="E121" s="34">
        <f>IF(LEN('Providers'!A120)=0,"",IF(ISNUMBER('Providers'!I120),'Providers'!I120,""))</f>
        <v/>
      </c>
      <c r="F121" s="34">
        <f>IF(LEN('Providers'!A120)=0,"",IF(ISNUMBER('Providers'!K120),'Providers'!K120,""))</f>
        <v/>
      </c>
      <c r="G121" s="34">
        <f>IF(LEN('Providers'!A120)=0,"",IF(ISNUMBER('Providers'!M120),'Providers'!M120,""))</f>
        <v/>
      </c>
      <c r="H121" s="34">
        <f>IF(LEN('Providers'!A120)=0,"",IF(ISNUMBER('Providers'!Q120),'Providers'!Q120,""))</f>
        <v/>
      </c>
      <c r="I121" s="34">
        <f>IF(LEN('Providers'!A120)=0,"",IF(ISNUMBER('Providers'!S120),'Providers'!S120,""))</f>
        <v/>
      </c>
      <c r="J121" s="34">
        <f>IF(LEN('Providers'!A120)=0,"",IF(ISNUMBER('Providers'!W120),'Providers'!W120,""))</f>
        <v/>
      </c>
      <c r="K121" s="34">
        <f>IF(LEN('Providers'!A120)=0,"",IF(ISNUMBER('Providers'!Y120),'Providers'!Y120,""))</f>
        <v/>
      </c>
      <c r="L121" s="34">
        <f>IF(LEN('Providers'!A120)=0,"",IF(ISNUMBER('Providers'!AA120),'Providers'!AA120,""))</f>
        <v/>
      </c>
      <c r="M121" s="34">
        <f>IF(LEN('Providers'!A120)=0,"",IF(ISNUMBER('Providers'!AD120),'Providers'!AD120,""))</f>
        <v/>
      </c>
      <c r="N121" s="35">
        <f>IF(LEN('Providers'!A120)=0,"",IF(LEN('Providers'!AG120)=0,"",'Providers'!AG120))</f>
        <v/>
      </c>
    </row>
    <row r="122">
      <c r="A122" s="32">
        <f>IF(LEN('Providers'!A121)=0,"",IF(LEN('Providers'!A121)=0,"",'Providers'!A121))</f>
        <v/>
      </c>
      <c r="B122" s="33">
        <f>IF(LEN('Providers'!A121)=0,"",IF(LEN('Providers'!B121)=0,"",'Providers'!B121))</f>
        <v/>
      </c>
      <c r="C122" s="33">
        <f>IF(LEN('Providers'!A121)=0,"",IF(LEN('Providers'!E121)=0,"",'Providers'!E121))</f>
        <v/>
      </c>
      <c r="D122" s="34">
        <f>IF(LEN('Providers'!A121)=0,"",IF(ISNUMBER('Providers'!G121),'Providers'!G121,""))</f>
        <v/>
      </c>
      <c r="E122" s="34">
        <f>IF(LEN('Providers'!A121)=0,"",IF(ISNUMBER('Providers'!I121),'Providers'!I121,""))</f>
        <v/>
      </c>
      <c r="F122" s="34">
        <f>IF(LEN('Providers'!A121)=0,"",IF(ISNUMBER('Providers'!K121),'Providers'!K121,""))</f>
        <v/>
      </c>
      <c r="G122" s="34">
        <f>IF(LEN('Providers'!A121)=0,"",IF(ISNUMBER('Providers'!M121),'Providers'!M121,""))</f>
        <v/>
      </c>
      <c r="H122" s="34">
        <f>IF(LEN('Providers'!A121)=0,"",IF(ISNUMBER('Providers'!Q121),'Providers'!Q121,""))</f>
        <v/>
      </c>
      <c r="I122" s="34">
        <f>IF(LEN('Providers'!A121)=0,"",IF(ISNUMBER('Providers'!S121),'Providers'!S121,""))</f>
        <v/>
      </c>
      <c r="J122" s="34">
        <f>IF(LEN('Providers'!A121)=0,"",IF(ISNUMBER('Providers'!W121),'Providers'!W121,""))</f>
        <v/>
      </c>
      <c r="K122" s="34">
        <f>IF(LEN('Providers'!A121)=0,"",IF(ISNUMBER('Providers'!Y121),'Providers'!Y121,""))</f>
        <v/>
      </c>
      <c r="L122" s="34">
        <f>IF(LEN('Providers'!A121)=0,"",IF(ISNUMBER('Providers'!AA121),'Providers'!AA121,""))</f>
        <v/>
      </c>
      <c r="M122" s="34">
        <f>IF(LEN('Providers'!A121)=0,"",IF(ISNUMBER('Providers'!AD121),'Providers'!AD121,""))</f>
        <v/>
      </c>
      <c r="N122" s="35">
        <f>IF(LEN('Providers'!A121)=0,"",IF(LEN('Providers'!AG121)=0,"",'Providers'!AG121))</f>
        <v/>
      </c>
    </row>
    <row r="123">
      <c r="A123" s="32">
        <f>IF(LEN('Providers'!A122)=0,"",IF(LEN('Providers'!A122)=0,"",'Providers'!A122))</f>
        <v/>
      </c>
      <c r="B123" s="33">
        <f>IF(LEN('Providers'!A122)=0,"",IF(LEN('Providers'!B122)=0,"",'Providers'!B122))</f>
        <v/>
      </c>
      <c r="C123" s="33">
        <f>IF(LEN('Providers'!A122)=0,"",IF(LEN('Providers'!E122)=0,"",'Providers'!E122))</f>
        <v/>
      </c>
      <c r="D123" s="34">
        <f>IF(LEN('Providers'!A122)=0,"",IF(ISNUMBER('Providers'!G122),'Providers'!G122,""))</f>
        <v/>
      </c>
      <c r="E123" s="34">
        <f>IF(LEN('Providers'!A122)=0,"",IF(ISNUMBER('Providers'!I122),'Providers'!I122,""))</f>
        <v/>
      </c>
      <c r="F123" s="34">
        <f>IF(LEN('Providers'!A122)=0,"",IF(ISNUMBER('Providers'!K122),'Providers'!K122,""))</f>
        <v/>
      </c>
      <c r="G123" s="34">
        <f>IF(LEN('Providers'!A122)=0,"",IF(ISNUMBER('Providers'!M122),'Providers'!M122,""))</f>
        <v/>
      </c>
      <c r="H123" s="34">
        <f>IF(LEN('Providers'!A122)=0,"",IF(ISNUMBER('Providers'!Q122),'Providers'!Q122,""))</f>
        <v/>
      </c>
      <c r="I123" s="34">
        <f>IF(LEN('Providers'!A122)=0,"",IF(ISNUMBER('Providers'!S122),'Providers'!S122,""))</f>
        <v/>
      </c>
      <c r="J123" s="34">
        <f>IF(LEN('Providers'!A122)=0,"",IF(ISNUMBER('Providers'!W122),'Providers'!W122,""))</f>
        <v/>
      </c>
      <c r="K123" s="34">
        <f>IF(LEN('Providers'!A122)=0,"",IF(ISNUMBER('Providers'!Y122),'Providers'!Y122,""))</f>
        <v/>
      </c>
      <c r="L123" s="34">
        <f>IF(LEN('Providers'!A122)=0,"",IF(ISNUMBER('Providers'!AA122),'Providers'!AA122,""))</f>
        <v/>
      </c>
      <c r="M123" s="34">
        <f>IF(LEN('Providers'!A122)=0,"",IF(ISNUMBER('Providers'!AD122),'Providers'!AD122,""))</f>
        <v/>
      </c>
      <c r="N123" s="35">
        <f>IF(LEN('Providers'!A122)=0,"",IF(LEN('Providers'!AG122)=0,"",'Providers'!AG122))</f>
        <v/>
      </c>
    </row>
    <row r="124">
      <c r="A124" s="32">
        <f>IF(LEN('Providers'!A123)=0,"",IF(LEN('Providers'!A123)=0,"",'Providers'!A123))</f>
        <v/>
      </c>
      <c r="B124" s="33">
        <f>IF(LEN('Providers'!A123)=0,"",IF(LEN('Providers'!B123)=0,"",'Providers'!B123))</f>
        <v/>
      </c>
      <c r="C124" s="33">
        <f>IF(LEN('Providers'!A123)=0,"",IF(LEN('Providers'!E123)=0,"",'Providers'!E123))</f>
        <v/>
      </c>
      <c r="D124" s="34">
        <f>IF(LEN('Providers'!A123)=0,"",IF(ISNUMBER('Providers'!G123),'Providers'!G123,""))</f>
        <v/>
      </c>
      <c r="E124" s="34">
        <f>IF(LEN('Providers'!A123)=0,"",IF(ISNUMBER('Providers'!I123),'Providers'!I123,""))</f>
        <v/>
      </c>
      <c r="F124" s="34">
        <f>IF(LEN('Providers'!A123)=0,"",IF(ISNUMBER('Providers'!K123),'Providers'!K123,""))</f>
        <v/>
      </c>
      <c r="G124" s="34">
        <f>IF(LEN('Providers'!A123)=0,"",IF(ISNUMBER('Providers'!M123),'Providers'!M123,""))</f>
        <v/>
      </c>
      <c r="H124" s="34">
        <f>IF(LEN('Providers'!A123)=0,"",IF(ISNUMBER('Providers'!Q123),'Providers'!Q123,""))</f>
        <v/>
      </c>
      <c r="I124" s="34">
        <f>IF(LEN('Providers'!A123)=0,"",IF(ISNUMBER('Providers'!S123),'Providers'!S123,""))</f>
        <v/>
      </c>
      <c r="J124" s="34">
        <f>IF(LEN('Providers'!A123)=0,"",IF(ISNUMBER('Providers'!W123),'Providers'!W123,""))</f>
        <v/>
      </c>
      <c r="K124" s="34">
        <f>IF(LEN('Providers'!A123)=0,"",IF(ISNUMBER('Providers'!Y123),'Providers'!Y123,""))</f>
        <v/>
      </c>
      <c r="L124" s="34">
        <f>IF(LEN('Providers'!A123)=0,"",IF(ISNUMBER('Providers'!AA123),'Providers'!AA123,""))</f>
        <v/>
      </c>
      <c r="M124" s="34">
        <f>IF(LEN('Providers'!A123)=0,"",IF(ISNUMBER('Providers'!AD123),'Providers'!AD123,""))</f>
        <v/>
      </c>
      <c r="N124" s="35">
        <f>IF(LEN('Providers'!A123)=0,"",IF(LEN('Providers'!AG123)=0,"",'Providers'!AG123))</f>
        <v/>
      </c>
    </row>
    <row r="125">
      <c r="A125" s="32">
        <f>IF(LEN('Providers'!A124)=0,"",IF(LEN('Providers'!A124)=0,"",'Providers'!A124))</f>
        <v/>
      </c>
      <c r="B125" s="33">
        <f>IF(LEN('Providers'!A124)=0,"",IF(LEN('Providers'!B124)=0,"",'Providers'!B124))</f>
        <v/>
      </c>
      <c r="C125" s="33">
        <f>IF(LEN('Providers'!A124)=0,"",IF(LEN('Providers'!E124)=0,"",'Providers'!E124))</f>
        <v/>
      </c>
      <c r="D125" s="34">
        <f>IF(LEN('Providers'!A124)=0,"",IF(ISNUMBER('Providers'!G124),'Providers'!G124,""))</f>
        <v/>
      </c>
      <c r="E125" s="34">
        <f>IF(LEN('Providers'!A124)=0,"",IF(ISNUMBER('Providers'!I124),'Providers'!I124,""))</f>
        <v/>
      </c>
      <c r="F125" s="34">
        <f>IF(LEN('Providers'!A124)=0,"",IF(ISNUMBER('Providers'!K124),'Providers'!K124,""))</f>
        <v/>
      </c>
      <c r="G125" s="34">
        <f>IF(LEN('Providers'!A124)=0,"",IF(ISNUMBER('Providers'!M124),'Providers'!M124,""))</f>
        <v/>
      </c>
      <c r="H125" s="34">
        <f>IF(LEN('Providers'!A124)=0,"",IF(ISNUMBER('Providers'!Q124),'Providers'!Q124,""))</f>
        <v/>
      </c>
      <c r="I125" s="34">
        <f>IF(LEN('Providers'!A124)=0,"",IF(ISNUMBER('Providers'!S124),'Providers'!S124,""))</f>
        <v/>
      </c>
      <c r="J125" s="34">
        <f>IF(LEN('Providers'!A124)=0,"",IF(ISNUMBER('Providers'!W124),'Providers'!W124,""))</f>
        <v/>
      </c>
      <c r="K125" s="34">
        <f>IF(LEN('Providers'!A124)=0,"",IF(ISNUMBER('Providers'!Y124),'Providers'!Y124,""))</f>
        <v/>
      </c>
      <c r="L125" s="34">
        <f>IF(LEN('Providers'!A124)=0,"",IF(ISNUMBER('Providers'!AA124),'Providers'!AA124,""))</f>
        <v/>
      </c>
      <c r="M125" s="34">
        <f>IF(LEN('Providers'!A124)=0,"",IF(ISNUMBER('Providers'!AD124),'Providers'!AD124,""))</f>
        <v/>
      </c>
      <c r="N125" s="35">
        <f>IF(LEN('Providers'!A124)=0,"",IF(LEN('Providers'!AG124)=0,"",'Providers'!AG124))</f>
        <v/>
      </c>
    </row>
    <row r="126">
      <c r="A126" s="32">
        <f>IF(LEN('Providers'!A125)=0,"",IF(LEN('Providers'!A125)=0,"",'Providers'!A125))</f>
        <v/>
      </c>
      <c r="B126" s="33">
        <f>IF(LEN('Providers'!A125)=0,"",IF(LEN('Providers'!B125)=0,"",'Providers'!B125))</f>
        <v/>
      </c>
      <c r="C126" s="33">
        <f>IF(LEN('Providers'!A125)=0,"",IF(LEN('Providers'!E125)=0,"",'Providers'!E125))</f>
        <v/>
      </c>
      <c r="D126" s="34">
        <f>IF(LEN('Providers'!A125)=0,"",IF(ISNUMBER('Providers'!G125),'Providers'!G125,""))</f>
        <v/>
      </c>
      <c r="E126" s="34">
        <f>IF(LEN('Providers'!A125)=0,"",IF(ISNUMBER('Providers'!I125),'Providers'!I125,""))</f>
        <v/>
      </c>
      <c r="F126" s="34">
        <f>IF(LEN('Providers'!A125)=0,"",IF(ISNUMBER('Providers'!K125),'Providers'!K125,""))</f>
        <v/>
      </c>
      <c r="G126" s="34">
        <f>IF(LEN('Providers'!A125)=0,"",IF(ISNUMBER('Providers'!M125),'Providers'!M125,""))</f>
        <v/>
      </c>
      <c r="H126" s="34">
        <f>IF(LEN('Providers'!A125)=0,"",IF(ISNUMBER('Providers'!Q125),'Providers'!Q125,""))</f>
        <v/>
      </c>
      <c r="I126" s="34">
        <f>IF(LEN('Providers'!A125)=0,"",IF(ISNUMBER('Providers'!S125),'Providers'!S125,""))</f>
        <v/>
      </c>
      <c r="J126" s="34">
        <f>IF(LEN('Providers'!A125)=0,"",IF(ISNUMBER('Providers'!W125),'Providers'!W125,""))</f>
        <v/>
      </c>
      <c r="K126" s="34">
        <f>IF(LEN('Providers'!A125)=0,"",IF(ISNUMBER('Providers'!Y125),'Providers'!Y125,""))</f>
        <v/>
      </c>
      <c r="L126" s="34">
        <f>IF(LEN('Providers'!A125)=0,"",IF(ISNUMBER('Providers'!AA125),'Providers'!AA125,""))</f>
        <v/>
      </c>
      <c r="M126" s="34">
        <f>IF(LEN('Providers'!A125)=0,"",IF(ISNUMBER('Providers'!AD125),'Providers'!AD125,""))</f>
        <v/>
      </c>
      <c r="N126" s="35">
        <f>IF(LEN('Providers'!A125)=0,"",IF(LEN('Providers'!AG125)=0,"",'Providers'!AG125))</f>
        <v/>
      </c>
    </row>
    <row r="127">
      <c r="A127" s="32">
        <f>IF(LEN('Providers'!A126)=0,"",IF(LEN('Providers'!A126)=0,"",'Providers'!A126))</f>
        <v/>
      </c>
      <c r="B127" s="33">
        <f>IF(LEN('Providers'!A126)=0,"",IF(LEN('Providers'!B126)=0,"",'Providers'!B126))</f>
        <v/>
      </c>
      <c r="C127" s="33">
        <f>IF(LEN('Providers'!A126)=0,"",IF(LEN('Providers'!E126)=0,"",'Providers'!E126))</f>
        <v/>
      </c>
      <c r="D127" s="34">
        <f>IF(LEN('Providers'!A126)=0,"",IF(ISNUMBER('Providers'!G126),'Providers'!G126,""))</f>
        <v/>
      </c>
      <c r="E127" s="34">
        <f>IF(LEN('Providers'!A126)=0,"",IF(ISNUMBER('Providers'!I126),'Providers'!I126,""))</f>
        <v/>
      </c>
      <c r="F127" s="34">
        <f>IF(LEN('Providers'!A126)=0,"",IF(ISNUMBER('Providers'!K126),'Providers'!K126,""))</f>
        <v/>
      </c>
      <c r="G127" s="34">
        <f>IF(LEN('Providers'!A126)=0,"",IF(ISNUMBER('Providers'!M126),'Providers'!M126,""))</f>
        <v/>
      </c>
      <c r="H127" s="34">
        <f>IF(LEN('Providers'!A126)=0,"",IF(ISNUMBER('Providers'!Q126),'Providers'!Q126,""))</f>
        <v/>
      </c>
      <c r="I127" s="34">
        <f>IF(LEN('Providers'!A126)=0,"",IF(ISNUMBER('Providers'!S126),'Providers'!S126,""))</f>
        <v/>
      </c>
      <c r="J127" s="34">
        <f>IF(LEN('Providers'!A126)=0,"",IF(ISNUMBER('Providers'!W126),'Providers'!W126,""))</f>
        <v/>
      </c>
      <c r="K127" s="34">
        <f>IF(LEN('Providers'!A126)=0,"",IF(ISNUMBER('Providers'!Y126),'Providers'!Y126,""))</f>
        <v/>
      </c>
      <c r="L127" s="34">
        <f>IF(LEN('Providers'!A126)=0,"",IF(ISNUMBER('Providers'!AA126),'Providers'!AA126,""))</f>
        <v/>
      </c>
      <c r="M127" s="34">
        <f>IF(LEN('Providers'!A126)=0,"",IF(ISNUMBER('Providers'!AD126),'Providers'!AD126,""))</f>
        <v/>
      </c>
      <c r="N127" s="35">
        <f>IF(LEN('Providers'!A126)=0,"",IF(LEN('Providers'!AG126)=0,"",'Providers'!AG126))</f>
        <v/>
      </c>
    </row>
    <row r="128">
      <c r="A128" s="32">
        <f>IF(LEN('Providers'!A127)=0,"",IF(LEN('Providers'!A127)=0,"",'Providers'!A127))</f>
        <v/>
      </c>
      <c r="B128" s="33">
        <f>IF(LEN('Providers'!A127)=0,"",IF(LEN('Providers'!B127)=0,"",'Providers'!B127))</f>
        <v/>
      </c>
      <c r="C128" s="33">
        <f>IF(LEN('Providers'!A127)=0,"",IF(LEN('Providers'!E127)=0,"",'Providers'!E127))</f>
        <v/>
      </c>
      <c r="D128" s="34">
        <f>IF(LEN('Providers'!A127)=0,"",IF(ISNUMBER('Providers'!G127),'Providers'!G127,""))</f>
        <v/>
      </c>
      <c r="E128" s="34">
        <f>IF(LEN('Providers'!A127)=0,"",IF(ISNUMBER('Providers'!I127),'Providers'!I127,""))</f>
        <v/>
      </c>
      <c r="F128" s="34">
        <f>IF(LEN('Providers'!A127)=0,"",IF(ISNUMBER('Providers'!K127),'Providers'!K127,""))</f>
        <v/>
      </c>
      <c r="G128" s="34">
        <f>IF(LEN('Providers'!A127)=0,"",IF(ISNUMBER('Providers'!M127),'Providers'!M127,""))</f>
        <v/>
      </c>
      <c r="H128" s="34">
        <f>IF(LEN('Providers'!A127)=0,"",IF(ISNUMBER('Providers'!Q127),'Providers'!Q127,""))</f>
        <v/>
      </c>
      <c r="I128" s="34">
        <f>IF(LEN('Providers'!A127)=0,"",IF(ISNUMBER('Providers'!S127),'Providers'!S127,""))</f>
        <v/>
      </c>
      <c r="J128" s="34">
        <f>IF(LEN('Providers'!A127)=0,"",IF(ISNUMBER('Providers'!W127),'Providers'!W127,""))</f>
        <v/>
      </c>
      <c r="K128" s="34">
        <f>IF(LEN('Providers'!A127)=0,"",IF(ISNUMBER('Providers'!Y127),'Providers'!Y127,""))</f>
        <v/>
      </c>
      <c r="L128" s="34">
        <f>IF(LEN('Providers'!A127)=0,"",IF(ISNUMBER('Providers'!AA127),'Providers'!AA127,""))</f>
        <v/>
      </c>
      <c r="M128" s="34">
        <f>IF(LEN('Providers'!A127)=0,"",IF(ISNUMBER('Providers'!AD127),'Providers'!AD127,""))</f>
        <v/>
      </c>
      <c r="N128" s="35">
        <f>IF(LEN('Providers'!A127)=0,"",IF(LEN('Providers'!AG127)=0,"",'Providers'!AG127))</f>
        <v/>
      </c>
    </row>
    <row r="129">
      <c r="A129" s="32">
        <f>IF(LEN('Providers'!A128)=0,"",IF(LEN('Providers'!A128)=0,"",'Providers'!A128))</f>
        <v/>
      </c>
      <c r="B129" s="33">
        <f>IF(LEN('Providers'!A128)=0,"",IF(LEN('Providers'!B128)=0,"",'Providers'!B128))</f>
        <v/>
      </c>
      <c r="C129" s="33">
        <f>IF(LEN('Providers'!A128)=0,"",IF(LEN('Providers'!E128)=0,"",'Providers'!E128))</f>
        <v/>
      </c>
      <c r="D129" s="34">
        <f>IF(LEN('Providers'!A128)=0,"",IF(ISNUMBER('Providers'!G128),'Providers'!G128,""))</f>
        <v/>
      </c>
      <c r="E129" s="34">
        <f>IF(LEN('Providers'!A128)=0,"",IF(ISNUMBER('Providers'!I128),'Providers'!I128,""))</f>
        <v/>
      </c>
      <c r="F129" s="34">
        <f>IF(LEN('Providers'!A128)=0,"",IF(ISNUMBER('Providers'!K128),'Providers'!K128,""))</f>
        <v/>
      </c>
      <c r="G129" s="34">
        <f>IF(LEN('Providers'!A128)=0,"",IF(ISNUMBER('Providers'!M128),'Providers'!M128,""))</f>
        <v/>
      </c>
      <c r="H129" s="34">
        <f>IF(LEN('Providers'!A128)=0,"",IF(ISNUMBER('Providers'!Q128),'Providers'!Q128,""))</f>
        <v/>
      </c>
      <c r="I129" s="34">
        <f>IF(LEN('Providers'!A128)=0,"",IF(ISNUMBER('Providers'!S128),'Providers'!S128,""))</f>
        <v/>
      </c>
      <c r="J129" s="34">
        <f>IF(LEN('Providers'!A128)=0,"",IF(ISNUMBER('Providers'!W128),'Providers'!W128,""))</f>
        <v/>
      </c>
      <c r="K129" s="34">
        <f>IF(LEN('Providers'!A128)=0,"",IF(ISNUMBER('Providers'!Y128),'Providers'!Y128,""))</f>
        <v/>
      </c>
      <c r="L129" s="34">
        <f>IF(LEN('Providers'!A128)=0,"",IF(ISNUMBER('Providers'!AA128),'Providers'!AA128,""))</f>
        <v/>
      </c>
      <c r="M129" s="34">
        <f>IF(LEN('Providers'!A128)=0,"",IF(ISNUMBER('Providers'!AD128),'Providers'!AD128,""))</f>
        <v/>
      </c>
      <c r="N129" s="35">
        <f>IF(LEN('Providers'!A128)=0,"",IF(LEN('Providers'!AG128)=0,"",'Providers'!AG128))</f>
        <v/>
      </c>
    </row>
    <row r="130">
      <c r="A130" s="32">
        <f>IF(LEN('Providers'!A129)=0,"",IF(LEN('Providers'!A129)=0,"",'Providers'!A129))</f>
        <v/>
      </c>
      <c r="B130" s="33">
        <f>IF(LEN('Providers'!A129)=0,"",IF(LEN('Providers'!B129)=0,"",'Providers'!B129))</f>
        <v/>
      </c>
      <c r="C130" s="33">
        <f>IF(LEN('Providers'!A129)=0,"",IF(LEN('Providers'!E129)=0,"",'Providers'!E129))</f>
        <v/>
      </c>
      <c r="D130" s="34">
        <f>IF(LEN('Providers'!A129)=0,"",IF(ISNUMBER('Providers'!G129),'Providers'!G129,""))</f>
        <v/>
      </c>
      <c r="E130" s="34">
        <f>IF(LEN('Providers'!A129)=0,"",IF(ISNUMBER('Providers'!I129),'Providers'!I129,""))</f>
        <v/>
      </c>
      <c r="F130" s="34">
        <f>IF(LEN('Providers'!A129)=0,"",IF(ISNUMBER('Providers'!K129),'Providers'!K129,""))</f>
        <v/>
      </c>
      <c r="G130" s="34">
        <f>IF(LEN('Providers'!A129)=0,"",IF(ISNUMBER('Providers'!M129),'Providers'!M129,""))</f>
        <v/>
      </c>
      <c r="H130" s="34">
        <f>IF(LEN('Providers'!A129)=0,"",IF(ISNUMBER('Providers'!Q129),'Providers'!Q129,""))</f>
        <v/>
      </c>
      <c r="I130" s="34">
        <f>IF(LEN('Providers'!A129)=0,"",IF(ISNUMBER('Providers'!S129),'Providers'!S129,""))</f>
        <v/>
      </c>
      <c r="J130" s="34">
        <f>IF(LEN('Providers'!A129)=0,"",IF(ISNUMBER('Providers'!W129),'Providers'!W129,""))</f>
        <v/>
      </c>
      <c r="K130" s="34">
        <f>IF(LEN('Providers'!A129)=0,"",IF(ISNUMBER('Providers'!Y129),'Providers'!Y129,""))</f>
        <v/>
      </c>
      <c r="L130" s="34">
        <f>IF(LEN('Providers'!A129)=0,"",IF(ISNUMBER('Providers'!AA129),'Providers'!AA129,""))</f>
        <v/>
      </c>
      <c r="M130" s="34">
        <f>IF(LEN('Providers'!A129)=0,"",IF(ISNUMBER('Providers'!AD129),'Providers'!AD129,""))</f>
        <v/>
      </c>
      <c r="N130" s="35">
        <f>IF(LEN('Providers'!A129)=0,"",IF(LEN('Providers'!AG129)=0,"",'Providers'!AG129))</f>
        <v/>
      </c>
    </row>
    <row r="131">
      <c r="A131" s="32">
        <f>IF(LEN('Providers'!A130)=0,"",IF(LEN('Providers'!A130)=0,"",'Providers'!A130))</f>
        <v/>
      </c>
      <c r="B131" s="33">
        <f>IF(LEN('Providers'!A130)=0,"",IF(LEN('Providers'!B130)=0,"",'Providers'!B130))</f>
        <v/>
      </c>
      <c r="C131" s="33">
        <f>IF(LEN('Providers'!A130)=0,"",IF(LEN('Providers'!E130)=0,"",'Providers'!E130))</f>
        <v/>
      </c>
      <c r="D131" s="34">
        <f>IF(LEN('Providers'!A130)=0,"",IF(ISNUMBER('Providers'!G130),'Providers'!G130,""))</f>
        <v/>
      </c>
      <c r="E131" s="34">
        <f>IF(LEN('Providers'!A130)=0,"",IF(ISNUMBER('Providers'!I130),'Providers'!I130,""))</f>
        <v/>
      </c>
      <c r="F131" s="34">
        <f>IF(LEN('Providers'!A130)=0,"",IF(ISNUMBER('Providers'!K130),'Providers'!K130,""))</f>
        <v/>
      </c>
      <c r="G131" s="34">
        <f>IF(LEN('Providers'!A130)=0,"",IF(ISNUMBER('Providers'!M130),'Providers'!M130,""))</f>
        <v/>
      </c>
      <c r="H131" s="34">
        <f>IF(LEN('Providers'!A130)=0,"",IF(ISNUMBER('Providers'!Q130),'Providers'!Q130,""))</f>
        <v/>
      </c>
      <c r="I131" s="34">
        <f>IF(LEN('Providers'!A130)=0,"",IF(ISNUMBER('Providers'!S130),'Providers'!S130,""))</f>
        <v/>
      </c>
      <c r="J131" s="34">
        <f>IF(LEN('Providers'!A130)=0,"",IF(ISNUMBER('Providers'!W130),'Providers'!W130,""))</f>
        <v/>
      </c>
      <c r="K131" s="34">
        <f>IF(LEN('Providers'!A130)=0,"",IF(ISNUMBER('Providers'!Y130),'Providers'!Y130,""))</f>
        <v/>
      </c>
      <c r="L131" s="34">
        <f>IF(LEN('Providers'!A130)=0,"",IF(ISNUMBER('Providers'!AA130),'Providers'!AA130,""))</f>
        <v/>
      </c>
      <c r="M131" s="34">
        <f>IF(LEN('Providers'!A130)=0,"",IF(ISNUMBER('Providers'!AD130),'Providers'!AD130,""))</f>
        <v/>
      </c>
      <c r="N131" s="35">
        <f>IF(LEN('Providers'!A130)=0,"",IF(LEN('Providers'!AG130)=0,"",'Providers'!AG130))</f>
        <v/>
      </c>
    </row>
    <row r="132">
      <c r="A132" s="32">
        <f>IF(LEN('Providers'!A131)=0,"",IF(LEN('Providers'!A131)=0,"",'Providers'!A131))</f>
        <v/>
      </c>
      <c r="B132" s="33">
        <f>IF(LEN('Providers'!A131)=0,"",IF(LEN('Providers'!B131)=0,"",'Providers'!B131))</f>
        <v/>
      </c>
      <c r="C132" s="33">
        <f>IF(LEN('Providers'!A131)=0,"",IF(LEN('Providers'!E131)=0,"",'Providers'!E131))</f>
        <v/>
      </c>
      <c r="D132" s="34">
        <f>IF(LEN('Providers'!A131)=0,"",IF(ISNUMBER('Providers'!G131),'Providers'!G131,""))</f>
        <v/>
      </c>
      <c r="E132" s="34">
        <f>IF(LEN('Providers'!A131)=0,"",IF(ISNUMBER('Providers'!I131),'Providers'!I131,""))</f>
        <v/>
      </c>
      <c r="F132" s="34">
        <f>IF(LEN('Providers'!A131)=0,"",IF(ISNUMBER('Providers'!K131),'Providers'!K131,""))</f>
        <v/>
      </c>
      <c r="G132" s="34">
        <f>IF(LEN('Providers'!A131)=0,"",IF(ISNUMBER('Providers'!M131),'Providers'!M131,""))</f>
        <v/>
      </c>
      <c r="H132" s="34">
        <f>IF(LEN('Providers'!A131)=0,"",IF(ISNUMBER('Providers'!Q131),'Providers'!Q131,""))</f>
        <v/>
      </c>
      <c r="I132" s="34">
        <f>IF(LEN('Providers'!A131)=0,"",IF(ISNUMBER('Providers'!S131),'Providers'!S131,""))</f>
        <v/>
      </c>
      <c r="J132" s="34">
        <f>IF(LEN('Providers'!A131)=0,"",IF(ISNUMBER('Providers'!W131),'Providers'!W131,""))</f>
        <v/>
      </c>
      <c r="K132" s="34">
        <f>IF(LEN('Providers'!A131)=0,"",IF(ISNUMBER('Providers'!Y131),'Providers'!Y131,""))</f>
        <v/>
      </c>
      <c r="L132" s="34">
        <f>IF(LEN('Providers'!A131)=0,"",IF(ISNUMBER('Providers'!AA131),'Providers'!AA131,""))</f>
        <v/>
      </c>
      <c r="M132" s="34">
        <f>IF(LEN('Providers'!A131)=0,"",IF(ISNUMBER('Providers'!AD131),'Providers'!AD131,""))</f>
        <v/>
      </c>
      <c r="N132" s="35">
        <f>IF(LEN('Providers'!A131)=0,"",IF(LEN('Providers'!AG131)=0,"",'Providers'!AG131))</f>
        <v/>
      </c>
    </row>
    <row r="133">
      <c r="A133" s="32">
        <f>IF(LEN('Providers'!A132)=0,"",IF(LEN('Providers'!A132)=0,"",'Providers'!A132))</f>
        <v/>
      </c>
      <c r="B133" s="33">
        <f>IF(LEN('Providers'!A132)=0,"",IF(LEN('Providers'!B132)=0,"",'Providers'!B132))</f>
        <v/>
      </c>
      <c r="C133" s="33">
        <f>IF(LEN('Providers'!A132)=0,"",IF(LEN('Providers'!E132)=0,"",'Providers'!E132))</f>
        <v/>
      </c>
      <c r="D133" s="34">
        <f>IF(LEN('Providers'!A132)=0,"",IF(ISNUMBER('Providers'!G132),'Providers'!G132,""))</f>
        <v/>
      </c>
      <c r="E133" s="34">
        <f>IF(LEN('Providers'!A132)=0,"",IF(ISNUMBER('Providers'!I132),'Providers'!I132,""))</f>
        <v/>
      </c>
      <c r="F133" s="34">
        <f>IF(LEN('Providers'!A132)=0,"",IF(ISNUMBER('Providers'!K132),'Providers'!K132,""))</f>
        <v/>
      </c>
      <c r="G133" s="34">
        <f>IF(LEN('Providers'!A132)=0,"",IF(ISNUMBER('Providers'!M132),'Providers'!M132,""))</f>
        <v/>
      </c>
      <c r="H133" s="34">
        <f>IF(LEN('Providers'!A132)=0,"",IF(ISNUMBER('Providers'!Q132),'Providers'!Q132,""))</f>
        <v/>
      </c>
      <c r="I133" s="34">
        <f>IF(LEN('Providers'!A132)=0,"",IF(ISNUMBER('Providers'!S132),'Providers'!S132,""))</f>
        <v/>
      </c>
      <c r="J133" s="34">
        <f>IF(LEN('Providers'!A132)=0,"",IF(ISNUMBER('Providers'!W132),'Providers'!W132,""))</f>
        <v/>
      </c>
      <c r="K133" s="34">
        <f>IF(LEN('Providers'!A132)=0,"",IF(ISNUMBER('Providers'!Y132),'Providers'!Y132,""))</f>
        <v/>
      </c>
      <c r="L133" s="34">
        <f>IF(LEN('Providers'!A132)=0,"",IF(ISNUMBER('Providers'!AA132),'Providers'!AA132,""))</f>
        <v/>
      </c>
      <c r="M133" s="34">
        <f>IF(LEN('Providers'!A132)=0,"",IF(ISNUMBER('Providers'!AD132),'Providers'!AD132,""))</f>
        <v/>
      </c>
      <c r="N133" s="35">
        <f>IF(LEN('Providers'!A132)=0,"",IF(LEN('Providers'!AG132)=0,"",'Providers'!AG132))</f>
        <v/>
      </c>
    </row>
    <row r="134">
      <c r="A134" s="32">
        <f>IF(LEN('Providers'!A133)=0,"",IF(LEN('Providers'!A133)=0,"",'Providers'!A133))</f>
        <v/>
      </c>
      <c r="B134" s="33">
        <f>IF(LEN('Providers'!A133)=0,"",IF(LEN('Providers'!B133)=0,"",'Providers'!B133))</f>
        <v/>
      </c>
      <c r="C134" s="33">
        <f>IF(LEN('Providers'!A133)=0,"",IF(LEN('Providers'!E133)=0,"",'Providers'!E133))</f>
        <v/>
      </c>
      <c r="D134" s="34">
        <f>IF(LEN('Providers'!A133)=0,"",IF(ISNUMBER('Providers'!G133),'Providers'!G133,""))</f>
        <v/>
      </c>
      <c r="E134" s="34">
        <f>IF(LEN('Providers'!A133)=0,"",IF(ISNUMBER('Providers'!I133),'Providers'!I133,""))</f>
        <v/>
      </c>
      <c r="F134" s="34">
        <f>IF(LEN('Providers'!A133)=0,"",IF(ISNUMBER('Providers'!K133),'Providers'!K133,""))</f>
        <v/>
      </c>
      <c r="G134" s="34">
        <f>IF(LEN('Providers'!A133)=0,"",IF(ISNUMBER('Providers'!M133),'Providers'!M133,""))</f>
        <v/>
      </c>
      <c r="H134" s="34">
        <f>IF(LEN('Providers'!A133)=0,"",IF(ISNUMBER('Providers'!Q133),'Providers'!Q133,""))</f>
        <v/>
      </c>
      <c r="I134" s="34">
        <f>IF(LEN('Providers'!A133)=0,"",IF(ISNUMBER('Providers'!S133),'Providers'!S133,""))</f>
        <v/>
      </c>
      <c r="J134" s="34">
        <f>IF(LEN('Providers'!A133)=0,"",IF(ISNUMBER('Providers'!W133),'Providers'!W133,""))</f>
        <v/>
      </c>
      <c r="K134" s="34">
        <f>IF(LEN('Providers'!A133)=0,"",IF(ISNUMBER('Providers'!Y133),'Providers'!Y133,""))</f>
        <v/>
      </c>
      <c r="L134" s="34">
        <f>IF(LEN('Providers'!A133)=0,"",IF(ISNUMBER('Providers'!AA133),'Providers'!AA133,""))</f>
        <v/>
      </c>
      <c r="M134" s="34">
        <f>IF(LEN('Providers'!A133)=0,"",IF(ISNUMBER('Providers'!AD133),'Providers'!AD133,""))</f>
        <v/>
      </c>
      <c r="N134" s="35">
        <f>IF(LEN('Providers'!A133)=0,"",IF(LEN('Providers'!AG133)=0,"",'Providers'!AG133))</f>
        <v/>
      </c>
    </row>
    <row r="135">
      <c r="A135" s="32">
        <f>IF(LEN('Providers'!A134)=0,"",IF(LEN('Providers'!A134)=0,"",'Providers'!A134))</f>
        <v/>
      </c>
      <c r="B135" s="33">
        <f>IF(LEN('Providers'!A134)=0,"",IF(LEN('Providers'!B134)=0,"",'Providers'!B134))</f>
        <v/>
      </c>
      <c r="C135" s="33">
        <f>IF(LEN('Providers'!A134)=0,"",IF(LEN('Providers'!E134)=0,"",'Providers'!E134))</f>
        <v/>
      </c>
      <c r="D135" s="34">
        <f>IF(LEN('Providers'!A134)=0,"",IF(ISNUMBER('Providers'!G134),'Providers'!G134,""))</f>
        <v/>
      </c>
      <c r="E135" s="34">
        <f>IF(LEN('Providers'!A134)=0,"",IF(ISNUMBER('Providers'!I134),'Providers'!I134,""))</f>
        <v/>
      </c>
      <c r="F135" s="34">
        <f>IF(LEN('Providers'!A134)=0,"",IF(ISNUMBER('Providers'!K134),'Providers'!K134,""))</f>
        <v/>
      </c>
      <c r="G135" s="34">
        <f>IF(LEN('Providers'!A134)=0,"",IF(ISNUMBER('Providers'!M134),'Providers'!M134,""))</f>
        <v/>
      </c>
      <c r="H135" s="34">
        <f>IF(LEN('Providers'!A134)=0,"",IF(ISNUMBER('Providers'!Q134),'Providers'!Q134,""))</f>
        <v/>
      </c>
      <c r="I135" s="34">
        <f>IF(LEN('Providers'!A134)=0,"",IF(ISNUMBER('Providers'!S134),'Providers'!S134,""))</f>
        <v/>
      </c>
      <c r="J135" s="34">
        <f>IF(LEN('Providers'!A134)=0,"",IF(ISNUMBER('Providers'!W134),'Providers'!W134,""))</f>
        <v/>
      </c>
      <c r="K135" s="34">
        <f>IF(LEN('Providers'!A134)=0,"",IF(ISNUMBER('Providers'!Y134),'Providers'!Y134,""))</f>
        <v/>
      </c>
      <c r="L135" s="34">
        <f>IF(LEN('Providers'!A134)=0,"",IF(ISNUMBER('Providers'!AA134),'Providers'!AA134,""))</f>
        <v/>
      </c>
      <c r="M135" s="34">
        <f>IF(LEN('Providers'!A134)=0,"",IF(ISNUMBER('Providers'!AD134),'Providers'!AD134,""))</f>
        <v/>
      </c>
      <c r="N135" s="35">
        <f>IF(LEN('Providers'!A134)=0,"",IF(LEN('Providers'!AG134)=0,"",'Providers'!AG134))</f>
        <v/>
      </c>
    </row>
    <row r="136">
      <c r="A136" s="32">
        <f>IF(LEN('Providers'!A135)=0,"",IF(LEN('Providers'!A135)=0,"",'Providers'!A135))</f>
        <v/>
      </c>
      <c r="B136" s="33">
        <f>IF(LEN('Providers'!A135)=0,"",IF(LEN('Providers'!B135)=0,"",'Providers'!B135))</f>
        <v/>
      </c>
      <c r="C136" s="33">
        <f>IF(LEN('Providers'!A135)=0,"",IF(LEN('Providers'!E135)=0,"",'Providers'!E135))</f>
        <v/>
      </c>
      <c r="D136" s="34">
        <f>IF(LEN('Providers'!A135)=0,"",IF(ISNUMBER('Providers'!G135),'Providers'!G135,""))</f>
        <v/>
      </c>
      <c r="E136" s="34">
        <f>IF(LEN('Providers'!A135)=0,"",IF(ISNUMBER('Providers'!I135),'Providers'!I135,""))</f>
        <v/>
      </c>
      <c r="F136" s="34">
        <f>IF(LEN('Providers'!A135)=0,"",IF(ISNUMBER('Providers'!K135),'Providers'!K135,""))</f>
        <v/>
      </c>
      <c r="G136" s="34">
        <f>IF(LEN('Providers'!A135)=0,"",IF(ISNUMBER('Providers'!M135),'Providers'!M135,""))</f>
        <v/>
      </c>
      <c r="H136" s="34">
        <f>IF(LEN('Providers'!A135)=0,"",IF(ISNUMBER('Providers'!Q135),'Providers'!Q135,""))</f>
        <v/>
      </c>
      <c r="I136" s="34">
        <f>IF(LEN('Providers'!A135)=0,"",IF(ISNUMBER('Providers'!S135),'Providers'!S135,""))</f>
        <v/>
      </c>
      <c r="J136" s="34">
        <f>IF(LEN('Providers'!A135)=0,"",IF(ISNUMBER('Providers'!W135),'Providers'!W135,""))</f>
        <v/>
      </c>
      <c r="K136" s="34">
        <f>IF(LEN('Providers'!A135)=0,"",IF(ISNUMBER('Providers'!Y135),'Providers'!Y135,""))</f>
        <v/>
      </c>
      <c r="L136" s="34">
        <f>IF(LEN('Providers'!A135)=0,"",IF(ISNUMBER('Providers'!AA135),'Providers'!AA135,""))</f>
        <v/>
      </c>
      <c r="M136" s="34">
        <f>IF(LEN('Providers'!A135)=0,"",IF(ISNUMBER('Providers'!AD135),'Providers'!AD135,""))</f>
        <v/>
      </c>
      <c r="N136" s="35">
        <f>IF(LEN('Providers'!A135)=0,"",IF(LEN('Providers'!AG135)=0,"",'Providers'!AG135))</f>
        <v/>
      </c>
    </row>
    <row r="137">
      <c r="A137" s="32">
        <f>IF(LEN('Providers'!A136)=0,"",IF(LEN('Providers'!A136)=0,"",'Providers'!A136))</f>
        <v/>
      </c>
      <c r="B137" s="33">
        <f>IF(LEN('Providers'!A136)=0,"",IF(LEN('Providers'!B136)=0,"",'Providers'!B136))</f>
        <v/>
      </c>
      <c r="C137" s="33">
        <f>IF(LEN('Providers'!A136)=0,"",IF(LEN('Providers'!E136)=0,"",'Providers'!E136))</f>
        <v/>
      </c>
      <c r="D137" s="34">
        <f>IF(LEN('Providers'!A136)=0,"",IF(ISNUMBER('Providers'!G136),'Providers'!G136,""))</f>
        <v/>
      </c>
      <c r="E137" s="34">
        <f>IF(LEN('Providers'!A136)=0,"",IF(ISNUMBER('Providers'!I136),'Providers'!I136,""))</f>
        <v/>
      </c>
      <c r="F137" s="34">
        <f>IF(LEN('Providers'!A136)=0,"",IF(ISNUMBER('Providers'!K136),'Providers'!K136,""))</f>
        <v/>
      </c>
      <c r="G137" s="34">
        <f>IF(LEN('Providers'!A136)=0,"",IF(ISNUMBER('Providers'!M136),'Providers'!M136,""))</f>
        <v/>
      </c>
      <c r="H137" s="34">
        <f>IF(LEN('Providers'!A136)=0,"",IF(ISNUMBER('Providers'!Q136),'Providers'!Q136,""))</f>
        <v/>
      </c>
      <c r="I137" s="34">
        <f>IF(LEN('Providers'!A136)=0,"",IF(ISNUMBER('Providers'!S136),'Providers'!S136,""))</f>
        <v/>
      </c>
      <c r="J137" s="34">
        <f>IF(LEN('Providers'!A136)=0,"",IF(ISNUMBER('Providers'!W136),'Providers'!W136,""))</f>
        <v/>
      </c>
      <c r="K137" s="34">
        <f>IF(LEN('Providers'!A136)=0,"",IF(ISNUMBER('Providers'!Y136),'Providers'!Y136,""))</f>
        <v/>
      </c>
      <c r="L137" s="34">
        <f>IF(LEN('Providers'!A136)=0,"",IF(ISNUMBER('Providers'!AA136),'Providers'!AA136,""))</f>
        <v/>
      </c>
      <c r="M137" s="34">
        <f>IF(LEN('Providers'!A136)=0,"",IF(ISNUMBER('Providers'!AD136),'Providers'!AD136,""))</f>
        <v/>
      </c>
      <c r="N137" s="35">
        <f>IF(LEN('Providers'!A136)=0,"",IF(LEN('Providers'!AG136)=0,"",'Providers'!AG136))</f>
        <v/>
      </c>
    </row>
    <row r="138">
      <c r="A138" s="32">
        <f>IF(LEN('Providers'!A137)=0,"",IF(LEN('Providers'!A137)=0,"",'Providers'!A137))</f>
        <v/>
      </c>
      <c r="B138" s="33">
        <f>IF(LEN('Providers'!A137)=0,"",IF(LEN('Providers'!B137)=0,"",'Providers'!B137))</f>
        <v/>
      </c>
      <c r="C138" s="33">
        <f>IF(LEN('Providers'!A137)=0,"",IF(LEN('Providers'!E137)=0,"",'Providers'!E137))</f>
        <v/>
      </c>
      <c r="D138" s="34">
        <f>IF(LEN('Providers'!A137)=0,"",IF(ISNUMBER('Providers'!G137),'Providers'!G137,""))</f>
        <v/>
      </c>
      <c r="E138" s="34">
        <f>IF(LEN('Providers'!A137)=0,"",IF(ISNUMBER('Providers'!I137),'Providers'!I137,""))</f>
        <v/>
      </c>
      <c r="F138" s="34">
        <f>IF(LEN('Providers'!A137)=0,"",IF(ISNUMBER('Providers'!K137),'Providers'!K137,""))</f>
        <v/>
      </c>
      <c r="G138" s="34">
        <f>IF(LEN('Providers'!A137)=0,"",IF(ISNUMBER('Providers'!M137),'Providers'!M137,""))</f>
        <v/>
      </c>
      <c r="H138" s="34">
        <f>IF(LEN('Providers'!A137)=0,"",IF(ISNUMBER('Providers'!Q137),'Providers'!Q137,""))</f>
        <v/>
      </c>
      <c r="I138" s="34">
        <f>IF(LEN('Providers'!A137)=0,"",IF(ISNUMBER('Providers'!S137),'Providers'!S137,""))</f>
        <v/>
      </c>
      <c r="J138" s="34">
        <f>IF(LEN('Providers'!A137)=0,"",IF(ISNUMBER('Providers'!W137),'Providers'!W137,""))</f>
        <v/>
      </c>
      <c r="K138" s="34">
        <f>IF(LEN('Providers'!A137)=0,"",IF(ISNUMBER('Providers'!Y137),'Providers'!Y137,""))</f>
        <v/>
      </c>
      <c r="L138" s="34">
        <f>IF(LEN('Providers'!A137)=0,"",IF(ISNUMBER('Providers'!AA137),'Providers'!AA137,""))</f>
        <v/>
      </c>
      <c r="M138" s="34">
        <f>IF(LEN('Providers'!A137)=0,"",IF(ISNUMBER('Providers'!AD137),'Providers'!AD137,""))</f>
        <v/>
      </c>
      <c r="N138" s="35">
        <f>IF(LEN('Providers'!A137)=0,"",IF(LEN('Providers'!AG137)=0,"",'Providers'!AG137))</f>
        <v/>
      </c>
    </row>
    <row r="139">
      <c r="A139" s="32">
        <f>IF(LEN('Providers'!A138)=0,"",IF(LEN('Providers'!A138)=0,"",'Providers'!A138))</f>
        <v/>
      </c>
      <c r="B139" s="33">
        <f>IF(LEN('Providers'!A138)=0,"",IF(LEN('Providers'!B138)=0,"",'Providers'!B138))</f>
        <v/>
      </c>
      <c r="C139" s="33">
        <f>IF(LEN('Providers'!A138)=0,"",IF(LEN('Providers'!E138)=0,"",'Providers'!E138))</f>
        <v/>
      </c>
      <c r="D139" s="34">
        <f>IF(LEN('Providers'!A138)=0,"",IF(ISNUMBER('Providers'!G138),'Providers'!G138,""))</f>
        <v/>
      </c>
      <c r="E139" s="34">
        <f>IF(LEN('Providers'!A138)=0,"",IF(ISNUMBER('Providers'!I138),'Providers'!I138,""))</f>
        <v/>
      </c>
      <c r="F139" s="34">
        <f>IF(LEN('Providers'!A138)=0,"",IF(ISNUMBER('Providers'!K138),'Providers'!K138,""))</f>
        <v/>
      </c>
      <c r="G139" s="34">
        <f>IF(LEN('Providers'!A138)=0,"",IF(ISNUMBER('Providers'!M138),'Providers'!M138,""))</f>
        <v/>
      </c>
      <c r="H139" s="34">
        <f>IF(LEN('Providers'!A138)=0,"",IF(ISNUMBER('Providers'!Q138),'Providers'!Q138,""))</f>
        <v/>
      </c>
      <c r="I139" s="34">
        <f>IF(LEN('Providers'!A138)=0,"",IF(ISNUMBER('Providers'!S138),'Providers'!S138,""))</f>
        <v/>
      </c>
      <c r="J139" s="34">
        <f>IF(LEN('Providers'!A138)=0,"",IF(ISNUMBER('Providers'!W138),'Providers'!W138,""))</f>
        <v/>
      </c>
      <c r="K139" s="34">
        <f>IF(LEN('Providers'!A138)=0,"",IF(ISNUMBER('Providers'!Y138),'Providers'!Y138,""))</f>
        <v/>
      </c>
      <c r="L139" s="34">
        <f>IF(LEN('Providers'!A138)=0,"",IF(ISNUMBER('Providers'!AA138),'Providers'!AA138,""))</f>
        <v/>
      </c>
      <c r="M139" s="34">
        <f>IF(LEN('Providers'!A138)=0,"",IF(ISNUMBER('Providers'!AD138),'Providers'!AD138,""))</f>
        <v/>
      </c>
      <c r="N139" s="35">
        <f>IF(LEN('Providers'!A138)=0,"",IF(LEN('Providers'!AG138)=0,"",'Providers'!AG138))</f>
        <v/>
      </c>
    </row>
    <row r="140">
      <c r="A140" s="32">
        <f>IF(LEN('Providers'!A139)=0,"",IF(LEN('Providers'!A139)=0,"",'Providers'!A139))</f>
        <v/>
      </c>
      <c r="B140" s="33">
        <f>IF(LEN('Providers'!A139)=0,"",IF(LEN('Providers'!B139)=0,"",'Providers'!B139))</f>
        <v/>
      </c>
      <c r="C140" s="33">
        <f>IF(LEN('Providers'!A139)=0,"",IF(LEN('Providers'!E139)=0,"",'Providers'!E139))</f>
        <v/>
      </c>
      <c r="D140" s="34">
        <f>IF(LEN('Providers'!A139)=0,"",IF(ISNUMBER('Providers'!G139),'Providers'!G139,""))</f>
        <v/>
      </c>
      <c r="E140" s="34">
        <f>IF(LEN('Providers'!A139)=0,"",IF(ISNUMBER('Providers'!I139),'Providers'!I139,""))</f>
        <v/>
      </c>
      <c r="F140" s="34">
        <f>IF(LEN('Providers'!A139)=0,"",IF(ISNUMBER('Providers'!K139),'Providers'!K139,""))</f>
        <v/>
      </c>
      <c r="G140" s="34">
        <f>IF(LEN('Providers'!A139)=0,"",IF(ISNUMBER('Providers'!M139),'Providers'!M139,""))</f>
        <v/>
      </c>
      <c r="H140" s="34">
        <f>IF(LEN('Providers'!A139)=0,"",IF(ISNUMBER('Providers'!Q139),'Providers'!Q139,""))</f>
        <v/>
      </c>
      <c r="I140" s="34">
        <f>IF(LEN('Providers'!A139)=0,"",IF(ISNUMBER('Providers'!S139),'Providers'!S139,""))</f>
        <v/>
      </c>
      <c r="J140" s="34">
        <f>IF(LEN('Providers'!A139)=0,"",IF(ISNUMBER('Providers'!W139),'Providers'!W139,""))</f>
        <v/>
      </c>
      <c r="K140" s="34">
        <f>IF(LEN('Providers'!A139)=0,"",IF(ISNUMBER('Providers'!Y139),'Providers'!Y139,""))</f>
        <v/>
      </c>
      <c r="L140" s="34">
        <f>IF(LEN('Providers'!A139)=0,"",IF(ISNUMBER('Providers'!AA139),'Providers'!AA139,""))</f>
        <v/>
      </c>
      <c r="M140" s="34">
        <f>IF(LEN('Providers'!A139)=0,"",IF(ISNUMBER('Providers'!AD139),'Providers'!AD139,""))</f>
        <v/>
      </c>
      <c r="N140" s="35">
        <f>IF(LEN('Providers'!A139)=0,"",IF(LEN('Providers'!AG139)=0,"",'Providers'!AG139))</f>
        <v/>
      </c>
    </row>
    <row r="141">
      <c r="A141" s="32">
        <f>IF(LEN('Providers'!A140)=0,"",IF(LEN('Providers'!A140)=0,"",'Providers'!A140))</f>
        <v/>
      </c>
      <c r="B141" s="33">
        <f>IF(LEN('Providers'!A140)=0,"",IF(LEN('Providers'!B140)=0,"",'Providers'!B140))</f>
        <v/>
      </c>
      <c r="C141" s="33">
        <f>IF(LEN('Providers'!A140)=0,"",IF(LEN('Providers'!E140)=0,"",'Providers'!E140))</f>
        <v/>
      </c>
      <c r="D141" s="34">
        <f>IF(LEN('Providers'!A140)=0,"",IF(ISNUMBER('Providers'!G140),'Providers'!G140,""))</f>
        <v/>
      </c>
      <c r="E141" s="34">
        <f>IF(LEN('Providers'!A140)=0,"",IF(ISNUMBER('Providers'!I140),'Providers'!I140,""))</f>
        <v/>
      </c>
      <c r="F141" s="34">
        <f>IF(LEN('Providers'!A140)=0,"",IF(ISNUMBER('Providers'!K140),'Providers'!K140,""))</f>
        <v/>
      </c>
      <c r="G141" s="34">
        <f>IF(LEN('Providers'!A140)=0,"",IF(ISNUMBER('Providers'!M140),'Providers'!M140,""))</f>
        <v/>
      </c>
      <c r="H141" s="34">
        <f>IF(LEN('Providers'!A140)=0,"",IF(ISNUMBER('Providers'!Q140),'Providers'!Q140,""))</f>
        <v/>
      </c>
      <c r="I141" s="34">
        <f>IF(LEN('Providers'!A140)=0,"",IF(ISNUMBER('Providers'!S140),'Providers'!S140,""))</f>
        <v/>
      </c>
      <c r="J141" s="34">
        <f>IF(LEN('Providers'!A140)=0,"",IF(ISNUMBER('Providers'!W140),'Providers'!W140,""))</f>
        <v/>
      </c>
      <c r="K141" s="34">
        <f>IF(LEN('Providers'!A140)=0,"",IF(ISNUMBER('Providers'!Y140),'Providers'!Y140,""))</f>
        <v/>
      </c>
      <c r="L141" s="34">
        <f>IF(LEN('Providers'!A140)=0,"",IF(ISNUMBER('Providers'!AA140),'Providers'!AA140,""))</f>
        <v/>
      </c>
      <c r="M141" s="34">
        <f>IF(LEN('Providers'!A140)=0,"",IF(ISNUMBER('Providers'!AD140),'Providers'!AD140,""))</f>
        <v/>
      </c>
      <c r="N141" s="35">
        <f>IF(LEN('Providers'!A140)=0,"",IF(LEN('Providers'!AG140)=0,"",'Providers'!AG140))</f>
        <v/>
      </c>
    </row>
    <row r="142">
      <c r="A142" s="32">
        <f>IF(LEN('Providers'!A141)=0,"",IF(LEN('Providers'!A141)=0,"",'Providers'!A141))</f>
        <v/>
      </c>
      <c r="B142" s="33">
        <f>IF(LEN('Providers'!A141)=0,"",IF(LEN('Providers'!B141)=0,"",'Providers'!B141))</f>
        <v/>
      </c>
      <c r="C142" s="33">
        <f>IF(LEN('Providers'!A141)=0,"",IF(LEN('Providers'!E141)=0,"",'Providers'!E141))</f>
        <v/>
      </c>
      <c r="D142" s="34">
        <f>IF(LEN('Providers'!A141)=0,"",IF(ISNUMBER('Providers'!G141),'Providers'!G141,""))</f>
        <v/>
      </c>
      <c r="E142" s="34">
        <f>IF(LEN('Providers'!A141)=0,"",IF(ISNUMBER('Providers'!I141),'Providers'!I141,""))</f>
        <v/>
      </c>
      <c r="F142" s="34">
        <f>IF(LEN('Providers'!A141)=0,"",IF(ISNUMBER('Providers'!K141),'Providers'!K141,""))</f>
        <v/>
      </c>
      <c r="G142" s="34">
        <f>IF(LEN('Providers'!A141)=0,"",IF(ISNUMBER('Providers'!M141),'Providers'!M141,""))</f>
        <v/>
      </c>
      <c r="H142" s="34">
        <f>IF(LEN('Providers'!A141)=0,"",IF(ISNUMBER('Providers'!Q141),'Providers'!Q141,""))</f>
        <v/>
      </c>
      <c r="I142" s="34">
        <f>IF(LEN('Providers'!A141)=0,"",IF(ISNUMBER('Providers'!S141),'Providers'!S141,""))</f>
        <v/>
      </c>
      <c r="J142" s="34">
        <f>IF(LEN('Providers'!A141)=0,"",IF(ISNUMBER('Providers'!W141),'Providers'!W141,""))</f>
        <v/>
      </c>
      <c r="K142" s="34">
        <f>IF(LEN('Providers'!A141)=0,"",IF(ISNUMBER('Providers'!Y141),'Providers'!Y141,""))</f>
        <v/>
      </c>
      <c r="L142" s="34">
        <f>IF(LEN('Providers'!A141)=0,"",IF(ISNUMBER('Providers'!AA141),'Providers'!AA141,""))</f>
        <v/>
      </c>
      <c r="M142" s="34">
        <f>IF(LEN('Providers'!A141)=0,"",IF(ISNUMBER('Providers'!AD141),'Providers'!AD141,""))</f>
        <v/>
      </c>
      <c r="N142" s="35">
        <f>IF(LEN('Providers'!A141)=0,"",IF(LEN('Providers'!AG141)=0,"",'Providers'!AG141))</f>
        <v/>
      </c>
    </row>
    <row r="143">
      <c r="A143" s="32">
        <f>IF(LEN('Providers'!A142)=0,"",IF(LEN('Providers'!A142)=0,"",'Providers'!A142))</f>
        <v/>
      </c>
      <c r="B143" s="33">
        <f>IF(LEN('Providers'!A142)=0,"",IF(LEN('Providers'!B142)=0,"",'Providers'!B142))</f>
        <v/>
      </c>
      <c r="C143" s="33">
        <f>IF(LEN('Providers'!A142)=0,"",IF(LEN('Providers'!E142)=0,"",'Providers'!E142))</f>
        <v/>
      </c>
      <c r="D143" s="34">
        <f>IF(LEN('Providers'!A142)=0,"",IF(ISNUMBER('Providers'!G142),'Providers'!G142,""))</f>
        <v/>
      </c>
      <c r="E143" s="34">
        <f>IF(LEN('Providers'!A142)=0,"",IF(ISNUMBER('Providers'!I142),'Providers'!I142,""))</f>
        <v/>
      </c>
      <c r="F143" s="34">
        <f>IF(LEN('Providers'!A142)=0,"",IF(ISNUMBER('Providers'!K142),'Providers'!K142,""))</f>
        <v/>
      </c>
      <c r="G143" s="34">
        <f>IF(LEN('Providers'!A142)=0,"",IF(ISNUMBER('Providers'!M142),'Providers'!M142,""))</f>
        <v/>
      </c>
      <c r="H143" s="34">
        <f>IF(LEN('Providers'!A142)=0,"",IF(ISNUMBER('Providers'!Q142),'Providers'!Q142,""))</f>
        <v/>
      </c>
      <c r="I143" s="34">
        <f>IF(LEN('Providers'!A142)=0,"",IF(ISNUMBER('Providers'!S142),'Providers'!S142,""))</f>
        <v/>
      </c>
      <c r="J143" s="34">
        <f>IF(LEN('Providers'!A142)=0,"",IF(ISNUMBER('Providers'!W142),'Providers'!W142,""))</f>
        <v/>
      </c>
      <c r="K143" s="34">
        <f>IF(LEN('Providers'!A142)=0,"",IF(ISNUMBER('Providers'!Y142),'Providers'!Y142,""))</f>
        <v/>
      </c>
      <c r="L143" s="34">
        <f>IF(LEN('Providers'!A142)=0,"",IF(ISNUMBER('Providers'!AA142),'Providers'!AA142,""))</f>
        <v/>
      </c>
      <c r="M143" s="34">
        <f>IF(LEN('Providers'!A142)=0,"",IF(ISNUMBER('Providers'!AD142),'Providers'!AD142,""))</f>
        <v/>
      </c>
      <c r="N143" s="35">
        <f>IF(LEN('Providers'!A142)=0,"",IF(LEN('Providers'!AG142)=0,"",'Providers'!AG142))</f>
        <v/>
      </c>
    </row>
    <row r="144">
      <c r="A144" s="32">
        <f>IF(LEN('Providers'!A143)=0,"",IF(LEN('Providers'!A143)=0,"",'Providers'!A143))</f>
        <v/>
      </c>
      <c r="B144" s="33">
        <f>IF(LEN('Providers'!A143)=0,"",IF(LEN('Providers'!B143)=0,"",'Providers'!B143))</f>
        <v/>
      </c>
      <c r="C144" s="33">
        <f>IF(LEN('Providers'!A143)=0,"",IF(LEN('Providers'!E143)=0,"",'Providers'!E143))</f>
        <v/>
      </c>
      <c r="D144" s="34">
        <f>IF(LEN('Providers'!A143)=0,"",IF(ISNUMBER('Providers'!G143),'Providers'!G143,""))</f>
        <v/>
      </c>
      <c r="E144" s="34">
        <f>IF(LEN('Providers'!A143)=0,"",IF(ISNUMBER('Providers'!I143),'Providers'!I143,""))</f>
        <v/>
      </c>
      <c r="F144" s="34">
        <f>IF(LEN('Providers'!A143)=0,"",IF(ISNUMBER('Providers'!K143),'Providers'!K143,""))</f>
        <v/>
      </c>
      <c r="G144" s="34">
        <f>IF(LEN('Providers'!A143)=0,"",IF(ISNUMBER('Providers'!M143),'Providers'!M143,""))</f>
        <v/>
      </c>
      <c r="H144" s="34">
        <f>IF(LEN('Providers'!A143)=0,"",IF(ISNUMBER('Providers'!Q143),'Providers'!Q143,""))</f>
        <v/>
      </c>
      <c r="I144" s="34">
        <f>IF(LEN('Providers'!A143)=0,"",IF(ISNUMBER('Providers'!S143),'Providers'!S143,""))</f>
        <v/>
      </c>
      <c r="J144" s="34">
        <f>IF(LEN('Providers'!A143)=0,"",IF(ISNUMBER('Providers'!W143),'Providers'!W143,""))</f>
        <v/>
      </c>
      <c r="K144" s="34">
        <f>IF(LEN('Providers'!A143)=0,"",IF(ISNUMBER('Providers'!Y143),'Providers'!Y143,""))</f>
        <v/>
      </c>
      <c r="L144" s="34">
        <f>IF(LEN('Providers'!A143)=0,"",IF(ISNUMBER('Providers'!AA143),'Providers'!AA143,""))</f>
        <v/>
      </c>
      <c r="M144" s="34">
        <f>IF(LEN('Providers'!A143)=0,"",IF(ISNUMBER('Providers'!AD143),'Providers'!AD143,""))</f>
        <v/>
      </c>
      <c r="N144" s="35">
        <f>IF(LEN('Providers'!A143)=0,"",IF(LEN('Providers'!AG143)=0,"",'Providers'!AG143))</f>
        <v/>
      </c>
    </row>
    <row r="145">
      <c r="A145" s="32">
        <f>IF(LEN('Providers'!A144)=0,"",IF(LEN('Providers'!A144)=0,"",'Providers'!A144))</f>
        <v/>
      </c>
      <c r="B145" s="33">
        <f>IF(LEN('Providers'!A144)=0,"",IF(LEN('Providers'!B144)=0,"",'Providers'!B144))</f>
        <v/>
      </c>
      <c r="C145" s="33">
        <f>IF(LEN('Providers'!A144)=0,"",IF(LEN('Providers'!E144)=0,"",'Providers'!E144))</f>
        <v/>
      </c>
      <c r="D145" s="34">
        <f>IF(LEN('Providers'!A144)=0,"",IF(ISNUMBER('Providers'!G144),'Providers'!G144,""))</f>
        <v/>
      </c>
      <c r="E145" s="34">
        <f>IF(LEN('Providers'!A144)=0,"",IF(ISNUMBER('Providers'!I144),'Providers'!I144,""))</f>
        <v/>
      </c>
      <c r="F145" s="34">
        <f>IF(LEN('Providers'!A144)=0,"",IF(ISNUMBER('Providers'!K144),'Providers'!K144,""))</f>
        <v/>
      </c>
      <c r="G145" s="34">
        <f>IF(LEN('Providers'!A144)=0,"",IF(ISNUMBER('Providers'!M144),'Providers'!M144,""))</f>
        <v/>
      </c>
      <c r="H145" s="34">
        <f>IF(LEN('Providers'!A144)=0,"",IF(ISNUMBER('Providers'!Q144),'Providers'!Q144,""))</f>
        <v/>
      </c>
      <c r="I145" s="34">
        <f>IF(LEN('Providers'!A144)=0,"",IF(ISNUMBER('Providers'!S144),'Providers'!S144,""))</f>
        <v/>
      </c>
      <c r="J145" s="34">
        <f>IF(LEN('Providers'!A144)=0,"",IF(ISNUMBER('Providers'!W144),'Providers'!W144,""))</f>
        <v/>
      </c>
      <c r="K145" s="34">
        <f>IF(LEN('Providers'!A144)=0,"",IF(ISNUMBER('Providers'!Y144),'Providers'!Y144,""))</f>
        <v/>
      </c>
      <c r="L145" s="34">
        <f>IF(LEN('Providers'!A144)=0,"",IF(ISNUMBER('Providers'!AA144),'Providers'!AA144,""))</f>
        <v/>
      </c>
      <c r="M145" s="34">
        <f>IF(LEN('Providers'!A144)=0,"",IF(ISNUMBER('Providers'!AD144),'Providers'!AD144,""))</f>
        <v/>
      </c>
      <c r="N145" s="35">
        <f>IF(LEN('Providers'!A144)=0,"",IF(LEN('Providers'!AG144)=0,"",'Providers'!AG144))</f>
        <v/>
      </c>
    </row>
    <row r="146">
      <c r="A146" s="32">
        <f>IF(LEN('Providers'!A145)=0,"",IF(LEN('Providers'!A145)=0,"",'Providers'!A145))</f>
        <v/>
      </c>
      <c r="B146" s="33">
        <f>IF(LEN('Providers'!A145)=0,"",IF(LEN('Providers'!B145)=0,"",'Providers'!B145))</f>
        <v/>
      </c>
      <c r="C146" s="33">
        <f>IF(LEN('Providers'!A145)=0,"",IF(LEN('Providers'!E145)=0,"",'Providers'!E145))</f>
        <v/>
      </c>
      <c r="D146" s="34">
        <f>IF(LEN('Providers'!A145)=0,"",IF(ISNUMBER('Providers'!G145),'Providers'!G145,""))</f>
        <v/>
      </c>
      <c r="E146" s="34">
        <f>IF(LEN('Providers'!A145)=0,"",IF(ISNUMBER('Providers'!I145),'Providers'!I145,""))</f>
        <v/>
      </c>
      <c r="F146" s="34">
        <f>IF(LEN('Providers'!A145)=0,"",IF(ISNUMBER('Providers'!K145),'Providers'!K145,""))</f>
        <v/>
      </c>
      <c r="G146" s="34">
        <f>IF(LEN('Providers'!A145)=0,"",IF(ISNUMBER('Providers'!M145),'Providers'!M145,""))</f>
        <v/>
      </c>
      <c r="H146" s="34">
        <f>IF(LEN('Providers'!A145)=0,"",IF(ISNUMBER('Providers'!Q145),'Providers'!Q145,""))</f>
        <v/>
      </c>
      <c r="I146" s="34">
        <f>IF(LEN('Providers'!A145)=0,"",IF(ISNUMBER('Providers'!S145),'Providers'!S145,""))</f>
        <v/>
      </c>
      <c r="J146" s="34">
        <f>IF(LEN('Providers'!A145)=0,"",IF(ISNUMBER('Providers'!W145),'Providers'!W145,""))</f>
        <v/>
      </c>
      <c r="K146" s="34">
        <f>IF(LEN('Providers'!A145)=0,"",IF(ISNUMBER('Providers'!Y145),'Providers'!Y145,""))</f>
        <v/>
      </c>
      <c r="L146" s="34">
        <f>IF(LEN('Providers'!A145)=0,"",IF(ISNUMBER('Providers'!AA145),'Providers'!AA145,""))</f>
        <v/>
      </c>
      <c r="M146" s="34">
        <f>IF(LEN('Providers'!A145)=0,"",IF(ISNUMBER('Providers'!AD145),'Providers'!AD145,""))</f>
        <v/>
      </c>
      <c r="N146" s="35">
        <f>IF(LEN('Providers'!A145)=0,"",IF(LEN('Providers'!AG145)=0,"",'Providers'!AG145))</f>
        <v/>
      </c>
    </row>
    <row r="147">
      <c r="A147" s="32">
        <f>IF(LEN('Providers'!A146)=0,"",IF(LEN('Providers'!A146)=0,"",'Providers'!A146))</f>
        <v/>
      </c>
      <c r="B147" s="33">
        <f>IF(LEN('Providers'!A146)=0,"",IF(LEN('Providers'!B146)=0,"",'Providers'!B146))</f>
        <v/>
      </c>
      <c r="C147" s="33">
        <f>IF(LEN('Providers'!A146)=0,"",IF(LEN('Providers'!E146)=0,"",'Providers'!E146))</f>
        <v/>
      </c>
      <c r="D147" s="34">
        <f>IF(LEN('Providers'!A146)=0,"",IF(ISNUMBER('Providers'!G146),'Providers'!G146,""))</f>
        <v/>
      </c>
      <c r="E147" s="34">
        <f>IF(LEN('Providers'!A146)=0,"",IF(ISNUMBER('Providers'!I146),'Providers'!I146,""))</f>
        <v/>
      </c>
      <c r="F147" s="34">
        <f>IF(LEN('Providers'!A146)=0,"",IF(ISNUMBER('Providers'!K146),'Providers'!K146,""))</f>
        <v/>
      </c>
      <c r="G147" s="34">
        <f>IF(LEN('Providers'!A146)=0,"",IF(ISNUMBER('Providers'!M146),'Providers'!M146,""))</f>
        <v/>
      </c>
      <c r="H147" s="34">
        <f>IF(LEN('Providers'!A146)=0,"",IF(ISNUMBER('Providers'!Q146),'Providers'!Q146,""))</f>
        <v/>
      </c>
      <c r="I147" s="34">
        <f>IF(LEN('Providers'!A146)=0,"",IF(ISNUMBER('Providers'!S146),'Providers'!S146,""))</f>
        <v/>
      </c>
      <c r="J147" s="34">
        <f>IF(LEN('Providers'!A146)=0,"",IF(ISNUMBER('Providers'!W146),'Providers'!W146,""))</f>
        <v/>
      </c>
      <c r="K147" s="34">
        <f>IF(LEN('Providers'!A146)=0,"",IF(ISNUMBER('Providers'!Y146),'Providers'!Y146,""))</f>
        <v/>
      </c>
      <c r="L147" s="34">
        <f>IF(LEN('Providers'!A146)=0,"",IF(ISNUMBER('Providers'!AA146),'Providers'!AA146,""))</f>
        <v/>
      </c>
      <c r="M147" s="34">
        <f>IF(LEN('Providers'!A146)=0,"",IF(ISNUMBER('Providers'!AD146),'Providers'!AD146,""))</f>
        <v/>
      </c>
      <c r="N147" s="35">
        <f>IF(LEN('Providers'!A146)=0,"",IF(LEN('Providers'!AG146)=0,"",'Providers'!AG146))</f>
        <v/>
      </c>
    </row>
    <row r="148">
      <c r="A148" s="32">
        <f>IF(LEN('Providers'!A147)=0,"",IF(LEN('Providers'!A147)=0,"",'Providers'!A147))</f>
        <v/>
      </c>
      <c r="B148" s="33">
        <f>IF(LEN('Providers'!A147)=0,"",IF(LEN('Providers'!B147)=0,"",'Providers'!B147))</f>
        <v/>
      </c>
      <c r="C148" s="33">
        <f>IF(LEN('Providers'!A147)=0,"",IF(LEN('Providers'!E147)=0,"",'Providers'!E147))</f>
        <v/>
      </c>
      <c r="D148" s="34">
        <f>IF(LEN('Providers'!A147)=0,"",IF(ISNUMBER('Providers'!G147),'Providers'!G147,""))</f>
        <v/>
      </c>
      <c r="E148" s="34">
        <f>IF(LEN('Providers'!A147)=0,"",IF(ISNUMBER('Providers'!I147),'Providers'!I147,""))</f>
        <v/>
      </c>
      <c r="F148" s="34">
        <f>IF(LEN('Providers'!A147)=0,"",IF(ISNUMBER('Providers'!K147),'Providers'!K147,""))</f>
        <v/>
      </c>
      <c r="G148" s="34">
        <f>IF(LEN('Providers'!A147)=0,"",IF(ISNUMBER('Providers'!M147),'Providers'!M147,""))</f>
        <v/>
      </c>
      <c r="H148" s="34">
        <f>IF(LEN('Providers'!A147)=0,"",IF(ISNUMBER('Providers'!Q147),'Providers'!Q147,""))</f>
        <v/>
      </c>
      <c r="I148" s="34">
        <f>IF(LEN('Providers'!A147)=0,"",IF(ISNUMBER('Providers'!S147),'Providers'!S147,""))</f>
        <v/>
      </c>
      <c r="J148" s="34">
        <f>IF(LEN('Providers'!A147)=0,"",IF(ISNUMBER('Providers'!W147),'Providers'!W147,""))</f>
        <v/>
      </c>
      <c r="K148" s="34">
        <f>IF(LEN('Providers'!A147)=0,"",IF(ISNUMBER('Providers'!Y147),'Providers'!Y147,""))</f>
        <v/>
      </c>
      <c r="L148" s="34">
        <f>IF(LEN('Providers'!A147)=0,"",IF(ISNUMBER('Providers'!AA147),'Providers'!AA147,""))</f>
        <v/>
      </c>
      <c r="M148" s="34">
        <f>IF(LEN('Providers'!A147)=0,"",IF(ISNUMBER('Providers'!AD147),'Providers'!AD147,""))</f>
        <v/>
      </c>
      <c r="N148" s="35">
        <f>IF(LEN('Providers'!A147)=0,"",IF(LEN('Providers'!AG147)=0,"",'Providers'!AG147))</f>
        <v/>
      </c>
    </row>
    <row r="149">
      <c r="A149" s="32">
        <f>IF(LEN('Providers'!A148)=0,"",IF(LEN('Providers'!A148)=0,"",'Providers'!A148))</f>
        <v/>
      </c>
      <c r="B149" s="33">
        <f>IF(LEN('Providers'!A148)=0,"",IF(LEN('Providers'!B148)=0,"",'Providers'!B148))</f>
        <v/>
      </c>
      <c r="C149" s="33">
        <f>IF(LEN('Providers'!A148)=0,"",IF(LEN('Providers'!E148)=0,"",'Providers'!E148))</f>
        <v/>
      </c>
      <c r="D149" s="34">
        <f>IF(LEN('Providers'!A148)=0,"",IF(ISNUMBER('Providers'!G148),'Providers'!G148,""))</f>
        <v/>
      </c>
      <c r="E149" s="34">
        <f>IF(LEN('Providers'!A148)=0,"",IF(ISNUMBER('Providers'!I148),'Providers'!I148,""))</f>
        <v/>
      </c>
      <c r="F149" s="34">
        <f>IF(LEN('Providers'!A148)=0,"",IF(ISNUMBER('Providers'!K148),'Providers'!K148,""))</f>
        <v/>
      </c>
      <c r="G149" s="34">
        <f>IF(LEN('Providers'!A148)=0,"",IF(ISNUMBER('Providers'!M148),'Providers'!M148,""))</f>
        <v/>
      </c>
      <c r="H149" s="34">
        <f>IF(LEN('Providers'!A148)=0,"",IF(ISNUMBER('Providers'!Q148),'Providers'!Q148,""))</f>
        <v/>
      </c>
      <c r="I149" s="34">
        <f>IF(LEN('Providers'!A148)=0,"",IF(ISNUMBER('Providers'!S148),'Providers'!S148,""))</f>
        <v/>
      </c>
      <c r="J149" s="34">
        <f>IF(LEN('Providers'!A148)=0,"",IF(ISNUMBER('Providers'!W148),'Providers'!W148,""))</f>
        <v/>
      </c>
      <c r="K149" s="34">
        <f>IF(LEN('Providers'!A148)=0,"",IF(ISNUMBER('Providers'!Y148),'Providers'!Y148,""))</f>
        <v/>
      </c>
      <c r="L149" s="34">
        <f>IF(LEN('Providers'!A148)=0,"",IF(ISNUMBER('Providers'!AA148),'Providers'!AA148,""))</f>
        <v/>
      </c>
      <c r="M149" s="34">
        <f>IF(LEN('Providers'!A148)=0,"",IF(ISNUMBER('Providers'!AD148),'Providers'!AD148,""))</f>
        <v/>
      </c>
      <c r="N149" s="35">
        <f>IF(LEN('Providers'!A148)=0,"",IF(LEN('Providers'!AG148)=0,"",'Providers'!AG148))</f>
        <v/>
      </c>
    </row>
    <row r="150">
      <c r="A150" s="32">
        <f>IF(LEN('Providers'!A149)=0,"",IF(LEN('Providers'!A149)=0,"",'Providers'!A149))</f>
        <v/>
      </c>
      <c r="B150" s="33">
        <f>IF(LEN('Providers'!A149)=0,"",IF(LEN('Providers'!B149)=0,"",'Providers'!B149))</f>
        <v/>
      </c>
      <c r="C150" s="33">
        <f>IF(LEN('Providers'!A149)=0,"",IF(LEN('Providers'!E149)=0,"",'Providers'!E149))</f>
        <v/>
      </c>
      <c r="D150" s="34">
        <f>IF(LEN('Providers'!A149)=0,"",IF(ISNUMBER('Providers'!G149),'Providers'!G149,""))</f>
        <v/>
      </c>
      <c r="E150" s="34">
        <f>IF(LEN('Providers'!A149)=0,"",IF(ISNUMBER('Providers'!I149),'Providers'!I149,""))</f>
        <v/>
      </c>
      <c r="F150" s="34">
        <f>IF(LEN('Providers'!A149)=0,"",IF(ISNUMBER('Providers'!K149),'Providers'!K149,""))</f>
        <v/>
      </c>
      <c r="G150" s="34">
        <f>IF(LEN('Providers'!A149)=0,"",IF(ISNUMBER('Providers'!M149),'Providers'!M149,""))</f>
        <v/>
      </c>
      <c r="H150" s="34">
        <f>IF(LEN('Providers'!A149)=0,"",IF(ISNUMBER('Providers'!Q149),'Providers'!Q149,""))</f>
        <v/>
      </c>
      <c r="I150" s="34">
        <f>IF(LEN('Providers'!A149)=0,"",IF(ISNUMBER('Providers'!S149),'Providers'!S149,""))</f>
        <v/>
      </c>
      <c r="J150" s="34">
        <f>IF(LEN('Providers'!A149)=0,"",IF(ISNUMBER('Providers'!W149),'Providers'!W149,""))</f>
        <v/>
      </c>
      <c r="K150" s="34">
        <f>IF(LEN('Providers'!A149)=0,"",IF(ISNUMBER('Providers'!Y149),'Providers'!Y149,""))</f>
        <v/>
      </c>
      <c r="L150" s="34">
        <f>IF(LEN('Providers'!A149)=0,"",IF(ISNUMBER('Providers'!AA149),'Providers'!AA149,""))</f>
        <v/>
      </c>
      <c r="M150" s="34">
        <f>IF(LEN('Providers'!A149)=0,"",IF(ISNUMBER('Providers'!AD149),'Providers'!AD149,""))</f>
        <v/>
      </c>
      <c r="N150" s="35">
        <f>IF(LEN('Providers'!A149)=0,"",IF(LEN('Providers'!AG149)=0,"",'Providers'!AG149))</f>
        <v/>
      </c>
    </row>
    <row r="151">
      <c r="A151" s="32">
        <f>IF(LEN('Providers'!A150)=0,"",IF(LEN('Providers'!A150)=0,"",'Providers'!A150))</f>
        <v/>
      </c>
      <c r="B151" s="33">
        <f>IF(LEN('Providers'!A150)=0,"",IF(LEN('Providers'!B150)=0,"",'Providers'!B150))</f>
        <v/>
      </c>
      <c r="C151" s="33">
        <f>IF(LEN('Providers'!A150)=0,"",IF(LEN('Providers'!E150)=0,"",'Providers'!E150))</f>
        <v/>
      </c>
      <c r="D151" s="34">
        <f>IF(LEN('Providers'!A150)=0,"",IF(ISNUMBER('Providers'!G150),'Providers'!G150,""))</f>
        <v/>
      </c>
      <c r="E151" s="34">
        <f>IF(LEN('Providers'!A150)=0,"",IF(ISNUMBER('Providers'!I150),'Providers'!I150,""))</f>
        <v/>
      </c>
      <c r="F151" s="34">
        <f>IF(LEN('Providers'!A150)=0,"",IF(ISNUMBER('Providers'!K150),'Providers'!K150,""))</f>
        <v/>
      </c>
      <c r="G151" s="34">
        <f>IF(LEN('Providers'!A150)=0,"",IF(ISNUMBER('Providers'!M150),'Providers'!M150,""))</f>
        <v/>
      </c>
      <c r="H151" s="34">
        <f>IF(LEN('Providers'!A150)=0,"",IF(ISNUMBER('Providers'!Q150),'Providers'!Q150,""))</f>
        <v/>
      </c>
      <c r="I151" s="34">
        <f>IF(LEN('Providers'!A150)=0,"",IF(ISNUMBER('Providers'!S150),'Providers'!S150,""))</f>
        <v/>
      </c>
      <c r="J151" s="34">
        <f>IF(LEN('Providers'!A150)=0,"",IF(ISNUMBER('Providers'!W150),'Providers'!W150,""))</f>
        <v/>
      </c>
      <c r="K151" s="34">
        <f>IF(LEN('Providers'!A150)=0,"",IF(ISNUMBER('Providers'!Y150),'Providers'!Y150,""))</f>
        <v/>
      </c>
      <c r="L151" s="34">
        <f>IF(LEN('Providers'!A150)=0,"",IF(ISNUMBER('Providers'!AA150),'Providers'!AA150,""))</f>
        <v/>
      </c>
      <c r="M151" s="34">
        <f>IF(LEN('Providers'!A150)=0,"",IF(ISNUMBER('Providers'!AD150),'Providers'!AD150,""))</f>
        <v/>
      </c>
      <c r="N151" s="35">
        <f>IF(LEN('Providers'!A150)=0,"",IF(LEN('Providers'!AG150)=0,"",'Providers'!AG150))</f>
        <v/>
      </c>
    </row>
    <row r="152">
      <c r="A152" s="32">
        <f>IF(LEN('Providers'!A151)=0,"",IF(LEN('Providers'!A151)=0,"",'Providers'!A151))</f>
        <v/>
      </c>
      <c r="B152" s="33">
        <f>IF(LEN('Providers'!A151)=0,"",IF(LEN('Providers'!B151)=0,"",'Providers'!B151))</f>
        <v/>
      </c>
      <c r="C152" s="33">
        <f>IF(LEN('Providers'!A151)=0,"",IF(LEN('Providers'!E151)=0,"",'Providers'!E151))</f>
        <v/>
      </c>
      <c r="D152" s="34">
        <f>IF(LEN('Providers'!A151)=0,"",IF(ISNUMBER('Providers'!G151),'Providers'!G151,""))</f>
        <v/>
      </c>
      <c r="E152" s="34">
        <f>IF(LEN('Providers'!A151)=0,"",IF(ISNUMBER('Providers'!I151),'Providers'!I151,""))</f>
        <v/>
      </c>
      <c r="F152" s="34">
        <f>IF(LEN('Providers'!A151)=0,"",IF(ISNUMBER('Providers'!K151),'Providers'!K151,""))</f>
        <v/>
      </c>
      <c r="G152" s="34">
        <f>IF(LEN('Providers'!A151)=0,"",IF(ISNUMBER('Providers'!M151),'Providers'!M151,""))</f>
        <v/>
      </c>
      <c r="H152" s="34">
        <f>IF(LEN('Providers'!A151)=0,"",IF(ISNUMBER('Providers'!Q151),'Providers'!Q151,""))</f>
        <v/>
      </c>
      <c r="I152" s="34">
        <f>IF(LEN('Providers'!A151)=0,"",IF(ISNUMBER('Providers'!S151),'Providers'!S151,""))</f>
        <v/>
      </c>
      <c r="J152" s="34">
        <f>IF(LEN('Providers'!A151)=0,"",IF(ISNUMBER('Providers'!W151),'Providers'!W151,""))</f>
        <v/>
      </c>
      <c r="K152" s="34">
        <f>IF(LEN('Providers'!A151)=0,"",IF(ISNUMBER('Providers'!Y151),'Providers'!Y151,""))</f>
        <v/>
      </c>
      <c r="L152" s="34">
        <f>IF(LEN('Providers'!A151)=0,"",IF(ISNUMBER('Providers'!AA151),'Providers'!AA151,""))</f>
        <v/>
      </c>
      <c r="M152" s="34">
        <f>IF(LEN('Providers'!A151)=0,"",IF(ISNUMBER('Providers'!AD151),'Providers'!AD151,""))</f>
        <v/>
      </c>
      <c r="N152" s="35">
        <f>IF(LEN('Providers'!A151)=0,"",IF(LEN('Providers'!AG151)=0,"",'Providers'!AG151))</f>
        <v/>
      </c>
    </row>
    <row r="153">
      <c r="A153" s="32">
        <f>IF(LEN('Providers'!A152)=0,"",IF(LEN('Providers'!A152)=0,"",'Providers'!A152))</f>
        <v/>
      </c>
      <c r="B153" s="33">
        <f>IF(LEN('Providers'!A152)=0,"",IF(LEN('Providers'!B152)=0,"",'Providers'!B152))</f>
        <v/>
      </c>
      <c r="C153" s="33">
        <f>IF(LEN('Providers'!A152)=0,"",IF(LEN('Providers'!E152)=0,"",'Providers'!E152))</f>
        <v/>
      </c>
      <c r="D153" s="34">
        <f>IF(LEN('Providers'!A152)=0,"",IF(ISNUMBER('Providers'!G152),'Providers'!G152,""))</f>
        <v/>
      </c>
      <c r="E153" s="34">
        <f>IF(LEN('Providers'!A152)=0,"",IF(ISNUMBER('Providers'!I152),'Providers'!I152,""))</f>
        <v/>
      </c>
      <c r="F153" s="34">
        <f>IF(LEN('Providers'!A152)=0,"",IF(ISNUMBER('Providers'!K152),'Providers'!K152,""))</f>
        <v/>
      </c>
      <c r="G153" s="34">
        <f>IF(LEN('Providers'!A152)=0,"",IF(ISNUMBER('Providers'!M152),'Providers'!M152,""))</f>
        <v/>
      </c>
      <c r="H153" s="34">
        <f>IF(LEN('Providers'!A152)=0,"",IF(ISNUMBER('Providers'!Q152),'Providers'!Q152,""))</f>
        <v/>
      </c>
      <c r="I153" s="34">
        <f>IF(LEN('Providers'!A152)=0,"",IF(ISNUMBER('Providers'!S152),'Providers'!S152,""))</f>
        <v/>
      </c>
      <c r="J153" s="34">
        <f>IF(LEN('Providers'!A152)=0,"",IF(ISNUMBER('Providers'!W152),'Providers'!W152,""))</f>
        <v/>
      </c>
      <c r="K153" s="34">
        <f>IF(LEN('Providers'!A152)=0,"",IF(ISNUMBER('Providers'!Y152),'Providers'!Y152,""))</f>
        <v/>
      </c>
      <c r="L153" s="34">
        <f>IF(LEN('Providers'!A152)=0,"",IF(ISNUMBER('Providers'!AA152),'Providers'!AA152,""))</f>
        <v/>
      </c>
      <c r="M153" s="34">
        <f>IF(LEN('Providers'!A152)=0,"",IF(ISNUMBER('Providers'!AD152),'Providers'!AD152,""))</f>
        <v/>
      </c>
      <c r="N153" s="35">
        <f>IF(LEN('Providers'!A152)=0,"",IF(LEN('Providers'!AG152)=0,"",'Providers'!AG152))</f>
        <v/>
      </c>
    </row>
    <row r="154">
      <c r="A154" s="32">
        <f>IF(LEN('Providers'!A153)=0,"",IF(LEN('Providers'!A153)=0,"",'Providers'!A153))</f>
        <v/>
      </c>
      <c r="B154" s="33">
        <f>IF(LEN('Providers'!A153)=0,"",IF(LEN('Providers'!B153)=0,"",'Providers'!B153))</f>
        <v/>
      </c>
      <c r="C154" s="33">
        <f>IF(LEN('Providers'!A153)=0,"",IF(LEN('Providers'!E153)=0,"",'Providers'!E153))</f>
        <v/>
      </c>
      <c r="D154" s="34">
        <f>IF(LEN('Providers'!A153)=0,"",IF(ISNUMBER('Providers'!G153),'Providers'!G153,""))</f>
        <v/>
      </c>
      <c r="E154" s="34">
        <f>IF(LEN('Providers'!A153)=0,"",IF(ISNUMBER('Providers'!I153),'Providers'!I153,""))</f>
        <v/>
      </c>
      <c r="F154" s="34">
        <f>IF(LEN('Providers'!A153)=0,"",IF(ISNUMBER('Providers'!K153),'Providers'!K153,""))</f>
        <v/>
      </c>
      <c r="G154" s="34">
        <f>IF(LEN('Providers'!A153)=0,"",IF(ISNUMBER('Providers'!M153),'Providers'!M153,""))</f>
        <v/>
      </c>
      <c r="H154" s="34">
        <f>IF(LEN('Providers'!A153)=0,"",IF(ISNUMBER('Providers'!Q153),'Providers'!Q153,""))</f>
        <v/>
      </c>
      <c r="I154" s="34">
        <f>IF(LEN('Providers'!A153)=0,"",IF(ISNUMBER('Providers'!S153),'Providers'!S153,""))</f>
        <v/>
      </c>
      <c r="J154" s="34">
        <f>IF(LEN('Providers'!A153)=0,"",IF(ISNUMBER('Providers'!W153),'Providers'!W153,""))</f>
        <v/>
      </c>
      <c r="K154" s="34">
        <f>IF(LEN('Providers'!A153)=0,"",IF(ISNUMBER('Providers'!Y153),'Providers'!Y153,""))</f>
        <v/>
      </c>
      <c r="L154" s="34">
        <f>IF(LEN('Providers'!A153)=0,"",IF(ISNUMBER('Providers'!AA153),'Providers'!AA153,""))</f>
        <v/>
      </c>
      <c r="M154" s="34">
        <f>IF(LEN('Providers'!A153)=0,"",IF(ISNUMBER('Providers'!AD153),'Providers'!AD153,""))</f>
        <v/>
      </c>
      <c r="N154" s="35">
        <f>IF(LEN('Providers'!A153)=0,"",IF(LEN('Providers'!AG153)=0,"",'Providers'!AG153))</f>
        <v/>
      </c>
    </row>
    <row r="155">
      <c r="A155" s="32">
        <f>IF(LEN('Providers'!A154)=0,"",IF(LEN('Providers'!A154)=0,"",'Providers'!A154))</f>
        <v/>
      </c>
      <c r="B155" s="33">
        <f>IF(LEN('Providers'!A154)=0,"",IF(LEN('Providers'!B154)=0,"",'Providers'!B154))</f>
        <v/>
      </c>
      <c r="C155" s="33">
        <f>IF(LEN('Providers'!A154)=0,"",IF(LEN('Providers'!E154)=0,"",'Providers'!E154))</f>
        <v/>
      </c>
      <c r="D155" s="34">
        <f>IF(LEN('Providers'!A154)=0,"",IF(ISNUMBER('Providers'!G154),'Providers'!G154,""))</f>
        <v/>
      </c>
      <c r="E155" s="34">
        <f>IF(LEN('Providers'!A154)=0,"",IF(ISNUMBER('Providers'!I154),'Providers'!I154,""))</f>
        <v/>
      </c>
      <c r="F155" s="34">
        <f>IF(LEN('Providers'!A154)=0,"",IF(ISNUMBER('Providers'!K154),'Providers'!K154,""))</f>
        <v/>
      </c>
      <c r="G155" s="34">
        <f>IF(LEN('Providers'!A154)=0,"",IF(ISNUMBER('Providers'!M154),'Providers'!M154,""))</f>
        <v/>
      </c>
      <c r="H155" s="34">
        <f>IF(LEN('Providers'!A154)=0,"",IF(ISNUMBER('Providers'!Q154),'Providers'!Q154,""))</f>
        <v/>
      </c>
      <c r="I155" s="34">
        <f>IF(LEN('Providers'!A154)=0,"",IF(ISNUMBER('Providers'!S154),'Providers'!S154,""))</f>
        <v/>
      </c>
      <c r="J155" s="34">
        <f>IF(LEN('Providers'!A154)=0,"",IF(ISNUMBER('Providers'!W154),'Providers'!W154,""))</f>
        <v/>
      </c>
      <c r="K155" s="34">
        <f>IF(LEN('Providers'!A154)=0,"",IF(ISNUMBER('Providers'!Y154),'Providers'!Y154,""))</f>
        <v/>
      </c>
      <c r="L155" s="34">
        <f>IF(LEN('Providers'!A154)=0,"",IF(ISNUMBER('Providers'!AA154),'Providers'!AA154,""))</f>
        <v/>
      </c>
      <c r="M155" s="34">
        <f>IF(LEN('Providers'!A154)=0,"",IF(ISNUMBER('Providers'!AD154),'Providers'!AD154,""))</f>
        <v/>
      </c>
      <c r="N155" s="35">
        <f>IF(LEN('Providers'!A154)=0,"",IF(LEN('Providers'!AG154)=0,"",'Providers'!AG154))</f>
        <v/>
      </c>
    </row>
    <row r="156">
      <c r="A156" s="32">
        <f>IF(LEN('Providers'!A155)=0,"",IF(LEN('Providers'!A155)=0,"",'Providers'!A155))</f>
        <v/>
      </c>
      <c r="B156" s="33">
        <f>IF(LEN('Providers'!A155)=0,"",IF(LEN('Providers'!B155)=0,"",'Providers'!B155))</f>
        <v/>
      </c>
      <c r="C156" s="33">
        <f>IF(LEN('Providers'!A155)=0,"",IF(LEN('Providers'!E155)=0,"",'Providers'!E155))</f>
        <v/>
      </c>
      <c r="D156" s="34">
        <f>IF(LEN('Providers'!A155)=0,"",IF(ISNUMBER('Providers'!G155),'Providers'!G155,""))</f>
        <v/>
      </c>
      <c r="E156" s="34">
        <f>IF(LEN('Providers'!A155)=0,"",IF(ISNUMBER('Providers'!I155),'Providers'!I155,""))</f>
        <v/>
      </c>
      <c r="F156" s="34">
        <f>IF(LEN('Providers'!A155)=0,"",IF(ISNUMBER('Providers'!K155),'Providers'!K155,""))</f>
        <v/>
      </c>
      <c r="G156" s="34">
        <f>IF(LEN('Providers'!A155)=0,"",IF(ISNUMBER('Providers'!M155),'Providers'!M155,""))</f>
        <v/>
      </c>
      <c r="H156" s="34">
        <f>IF(LEN('Providers'!A155)=0,"",IF(ISNUMBER('Providers'!Q155),'Providers'!Q155,""))</f>
        <v/>
      </c>
      <c r="I156" s="34">
        <f>IF(LEN('Providers'!A155)=0,"",IF(ISNUMBER('Providers'!S155),'Providers'!S155,""))</f>
        <v/>
      </c>
      <c r="J156" s="34">
        <f>IF(LEN('Providers'!A155)=0,"",IF(ISNUMBER('Providers'!W155),'Providers'!W155,""))</f>
        <v/>
      </c>
      <c r="K156" s="34">
        <f>IF(LEN('Providers'!A155)=0,"",IF(ISNUMBER('Providers'!Y155),'Providers'!Y155,""))</f>
        <v/>
      </c>
      <c r="L156" s="34">
        <f>IF(LEN('Providers'!A155)=0,"",IF(ISNUMBER('Providers'!AA155),'Providers'!AA155,""))</f>
        <v/>
      </c>
      <c r="M156" s="34">
        <f>IF(LEN('Providers'!A155)=0,"",IF(ISNUMBER('Providers'!AD155),'Providers'!AD155,""))</f>
        <v/>
      </c>
      <c r="N156" s="35">
        <f>IF(LEN('Providers'!A155)=0,"",IF(LEN('Providers'!AG155)=0,"",'Providers'!AG155))</f>
        <v/>
      </c>
    </row>
    <row r="157">
      <c r="A157" s="32">
        <f>IF(LEN('Providers'!A156)=0,"",IF(LEN('Providers'!A156)=0,"",'Providers'!A156))</f>
        <v/>
      </c>
      <c r="B157" s="33">
        <f>IF(LEN('Providers'!A156)=0,"",IF(LEN('Providers'!B156)=0,"",'Providers'!B156))</f>
        <v/>
      </c>
      <c r="C157" s="33">
        <f>IF(LEN('Providers'!A156)=0,"",IF(LEN('Providers'!E156)=0,"",'Providers'!E156))</f>
        <v/>
      </c>
      <c r="D157" s="34">
        <f>IF(LEN('Providers'!A156)=0,"",IF(ISNUMBER('Providers'!G156),'Providers'!G156,""))</f>
        <v/>
      </c>
      <c r="E157" s="34">
        <f>IF(LEN('Providers'!A156)=0,"",IF(ISNUMBER('Providers'!I156),'Providers'!I156,""))</f>
        <v/>
      </c>
      <c r="F157" s="34">
        <f>IF(LEN('Providers'!A156)=0,"",IF(ISNUMBER('Providers'!K156),'Providers'!K156,""))</f>
        <v/>
      </c>
      <c r="G157" s="34">
        <f>IF(LEN('Providers'!A156)=0,"",IF(ISNUMBER('Providers'!M156),'Providers'!M156,""))</f>
        <v/>
      </c>
      <c r="H157" s="34">
        <f>IF(LEN('Providers'!A156)=0,"",IF(ISNUMBER('Providers'!Q156),'Providers'!Q156,""))</f>
        <v/>
      </c>
      <c r="I157" s="34">
        <f>IF(LEN('Providers'!A156)=0,"",IF(ISNUMBER('Providers'!S156),'Providers'!S156,""))</f>
        <v/>
      </c>
      <c r="J157" s="34">
        <f>IF(LEN('Providers'!A156)=0,"",IF(ISNUMBER('Providers'!W156),'Providers'!W156,""))</f>
        <v/>
      </c>
      <c r="K157" s="34">
        <f>IF(LEN('Providers'!A156)=0,"",IF(ISNUMBER('Providers'!Y156),'Providers'!Y156,""))</f>
        <v/>
      </c>
      <c r="L157" s="34">
        <f>IF(LEN('Providers'!A156)=0,"",IF(ISNUMBER('Providers'!AA156),'Providers'!AA156,""))</f>
        <v/>
      </c>
      <c r="M157" s="34">
        <f>IF(LEN('Providers'!A156)=0,"",IF(ISNUMBER('Providers'!AD156),'Providers'!AD156,""))</f>
        <v/>
      </c>
      <c r="N157" s="35">
        <f>IF(LEN('Providers'!A156)=0,"",IF(LEN('Providers'!AG156)=0,"",'Providers'!AG156))</f>
        <v/>
      </c>
    </row>
    <row r="158">
      <c r="A158" s="32">
        <f>IF(LEN('Providers'!A157)=0,"",IF(LEN('Providers'!A157)=0,"",'Providers'!A157))</f>
        <v/>
      </c>
      <c r="B158" s="33">
        <f>IF(LEN('Providers'!A157)=0,"",IF(LEN('Providers'!B157)=0,"",'Providers'!B157))</f>
        <v/>
      </c>
      <c r="C158" s="33">
        <f>IF(LEN('Providers'!A157)=0,"",IF(LEN('Providers'!E157)=0,"",'Providers'!E157))</f>
        <v/>
      </c>
      <c r="D158" s="34">
        <f>IF(LEN('Providers'!A157)=0,"",IF(ISNUMBER('Providers'!G157),'Providers'!G157,""))</f>
        <v/>
      </c>
      <c r="E158" s="34">
        <f>IF(LEN('Providers'!A157)=0,"",IF(ISNUMBER('Providers'!I157),'Providers'!I157,""))</f>
        <v/>
      </c>
      <c r="F158" s="34">
        <f>IF(LEN('Providers'!A157)=0,"",IF(ISNUMBER('Providers'!K157),'Providers'!K157,""))</f>
        <v/>
      </c>
      <c r="G158" s="34">
        <f>IF(LEN('Providers'!A157)=0,"",IF(ISNUMBER('Providers'!M157),'Providers'!M157,""))</f>
        <v/>
      </c>
      <c r="H158" s="34">
        <f>IF(LEN('Providers'!A157)=0,"",IF(ISNUMBER('Providers'!Q157),'Providers'!Q157,""))</f>
        <v/>
      </c>
      <c r="I158" s="34">
        <f>IF(LEN('Providers'!A157)=0,"",IF(ISNUMBER('Providers'!S157),'Providers'!S157,""))</f>
        <v/>
      </c>
      <c r="J158" s="34">
        <f>IF(LEN('Providers'!A157)=0,"",IF(ISNUMBER('Providers'!W157),'Providers'!W157,""))</f>
        <v/>
      </c>
      <c r="K158" s="34">
        <f>IF(LEN('Providers'!A157)=0,"",IF(ISNUMBER('Providers'!Y157),'Providers'!Y157,""))</f>
        <v/>
      </c>
      <c r="L158" s="34">
        <f>IF(LEN('Providers'!A157)=0,"",IF(ISNUMBER('Providers'!AA157),'Providers'!AA157,""))</f>
        <v/>
      </c>
      <c r="M158" s="34">
        <f>IF(LEN('Providers'!A157)=0,"",IF(ISNUMBER('Providers'!AD157),'Providers'!AD157,""))</f>
        <v/>
      </c>
      <c r="N158" s="35">
        <f>IF(LEN('Providers'!A157)=0,"",IF(LEN('Providers'!AG157)=0,"",'Providers'!AG157))</f>
        <v/>
      </c>
    </row>
    <row r="159">
      <c r="A159" s="32">
        <f>IF(LEN('Providers'!A158)=0,"",IF(LEN('Providers'!A158)=0,"",'Providers'!A158))</f>
        <v/>
      </c>
      <c r="B159" s="33">
        <f>IF(LEN('Providers'!A158)=0,"",IF(LEN('Providers'!B158)=0,"",'Providers'!B158))</f>
        <v/>
      </c>
      <c r="C159" s="33">
        <f>IF(LEN('Providers'!A158)=0,"",IF(LEN('Providers'!E158)=0,"",'Providers'!E158))</f>
        <v/>
      </c>
      <c r="D159" s="34">
        <f>IF(LEN('Providers'!A158)=0,"",IF(ISNUMBER('Providers'!G158),'Providers'!G158,""))</f>
        <v/>
      </c>
      <c r="E159" s="34">
        <f>IF(LEN('Providers'!A158)=0,"",IF(ISNUMBER('Providers'!I158),'Providers'!I158,""))</f>
        <v/>
      </c>
      <c r="F159" s="34">
        <f>IF(LEN('Providers'!A158)=0,"",IF(ISNUMBER('Providers'!K158),'Providers'!K158,""))</f>
        <v/>
      </c>
      <c r="G159" s="34">
        <f>IF(LEN('Providers'!A158)=0,"",IF(ISNUMBER('Providers'!M158),'Providers'!M158,""))</f>
        <v/>
      </c>
      <c r="H159" s="34">
        <f>IF(LEN('Providers'!A158)=0,"",IF(ISNUMBER('Providers'!Q158),'Providers'!Q158,""))</f>
        <v/>
      </c>
      <c r="I159" s="34">
        <f>IF(LEN('Providers'!A158)=0,"",IF(ISNUMBER('Providers'!S158),'Providers'!S158,""))</f>
        <v/>
      </c>
      <c r="J159" s="34">
        <f>IF(LEN('Providers'!A158)=0,"",IF(ISNUMBER('Providers'!W158),'Providers'!W158,""))</f>
        <v/>
      </c>
      <c r="K159" s="34">
        <f>IF(LEN('Providers'!A158)=0,"",IF(ISNUMBER('Providers'!Y158),'Providers'!Y158,""))</f>
        <v/>
      </c>
      <c r="L159" s="34">
        <f>IF(LEN('Providers'!A158)=0,"",IF(ISNUMBER('Providers'!AA158),'Providers'!AA158,""))</f>
        <v/>
      </c>
      <c r="M159" s="34">
        <f>IF(LEN('Providers'!A158)=0,"",IF(ISNUMBER('Providers'!AD158),'Providers'!AD158,""))</f>
        <v/>
      </c>
      <c r="N159" s="35">
        <f>IF(LEN('Providers'!A158)=0,"",IF(LEN('Providers'!AG158)=0,"",'Providers'!AG158))</f>
        <v/>
      </c>
    </row>
    <row r="160">
      <c r="A160" s="32">
        <f>IF(LEN('Providers'!A159)=0,"",IF(LEN('Providers'!A159)=0,"",'Providers'!A159))</f>
        <v/>
      </c>
      <c r="B160" s="33">
        <f>IF(LEN('Providers'!A159)=0,"",IF(LEN('Providers'!B159)=0,"",'Providers'!B159))</f>
        <v/>
      </c>
      <c r="C160" s="33">
        <f>IF(LEN('Providers'!A159)=0,"",IF(LEN('Providers'!E159)=0,"",'Providers'!E159))</f>
        <v/>
      </c>
      <c r="D160" s="34">
        <f>IF(LEN('Providers'!A159)=0,"",IF(ISNUMBER('Providers'!G159),'Providers'!G159,""))</f>
        <v/>
      </c>
      <c r="E160" s="34">
        <f>IF(LEN('Providers'!A159)=0,"",IF(ISNUMBER('Providers'!I159),'Providers'!I159,""))</f>
        <v/>
      </c>
      <c r="F160" s="34">
        <f>IF(LEN('Providers'!A159)=0,"",IF(ISNUMBER('Providers'!K159),'Providers'!K159,""))</f>
        <v/>
      </c>
      <c r="G160" s="34">
        <f>IF(LEN('Providers'!A159)=0,"",IF(ISNUMBER('Providers'!M159),'Providers'!M159,""))</f>
        <v/>
      </c>
      <c r="H160" s="34">
        <f>IF(LEN('Providers'!A159)=0,"",IF(ISNUMBER('Providers'!Q159),'Providers'!Q159,""))</f>
        <v/>
      </c>
      <c r="I160" s="34">
        <f>IF(LEN('Providers'!A159)=0,"",IF(ISNUMBER('Providers'!S159),'Providers'!S159,""))</f>
        <v/>
      </c>
      <c r="J160" s="34">
        <f>IF(LEN('Providers'!A159)=0,"",IF(ISNUMBER('Providers'!W159),'Providers'!W159,""))</f>
        <v/>
      </c>
      <c r="K160" s="34">
        <f>IF(LEN('Providers'!A159)=0,"",IF(ISNUMBER('Providers'!Y159),'Providers'!Y159,""))</f>
        <v/>
      </c>
      <c r="L160" s="34">
        <f>IF(LEN('Providers'!A159)=0,"",IF(ISNUMBER('Providers'!AA159),'Providers'!AA159,""))</f>
        <v/>
      </c>
      <c r="M160" s="34">
        <f>IF(LEN('Providers'!A159)=0,"",IF(ISNUMBER('Providers'!AD159),'Providers'!AD159,""))</f>
        <v/>
      </c>
      <c r="N160" s="35">
        <f>IF(LEN('Providers'!A159)=0,"",IF(LEN('Providers'!AG159)=0,"",'Providers'!AG159))</f>
        <v/>
      </c>
    </row>
    <row r="161">
      <c r="A161" s="32">
        <f>IF(LEN('Providers'!A160)=0,"",IF(LEN('Providers'!A160)=0,"",'Providers'!A160))</f>
        <v/>
      </c>
      <c r="B161" s="33">
        <f>IF(LEN('Providers'!A160)=0,"",IF(LEN('Providers'!B160)=0,"",'Providers'!B160))</f>
        <v/>
      </c>
      <c r="C161" s="33">
        <f>IF(LEN('Providers'!A160)=0,"",IF(LEN('Providers'!E160)=0,"",'Providers'!E160))</f>
        <v/>
      </c>
      <c r="D161" s="34">
        <f>IF(LEN('Providers'!A160)=0,"",IF(ISNUMBER('Providers'!G160),'Providers'!G160,""))</f>
        <v/>
      </c>
      <c r="E161" s="34">
        <f>IF(LEN('Providers'!A160)=0,"",IF(ISNUMBER('Providers'!I160),'Providers'!I160,""))</f>
        <v/>
      </c>
      <c r="F161" s="34">
        <f>IF(LEN('Providers'!A160)=0,"",IF(ISNUMBER('Providers'!K160),'Providers'!K160,""))</f>
        <v/>
      </c>
      <c r="G161" s="34">
        <f>IF(LEN('Providers'!A160)=0,"",IF(ISNUMBER('Providers'!M160),'Providers'!M160,""))</f>
        <v/>
      </c>
      <c r="H161" s="34">
        <f>IF(LEN('Providers'!A160)=0,"",IF(ISNUMBER('Providers'!Q160),'Providers'!Q160,""))</f>
        <v/>
      </c>
      <c r="I161" s="34">
        <f>IF(LEN('Providers'!A160)=0,"",IF(ISNUMBER('Providers'!S160),'Providers'!S160,""))</f>
        <v/>
      </c>
      <c r="J161" s="34">
        <f>IF(LEN('Providers'!A160)=0,"",IF(ISNUMBER('Providers'!W160),'Providers'!W160,""))</f>
        <v/>
      </c>
      <c r="K161" s="34">
        <f>IF(LEN('Providers'!A160)=0,"",IF(ISNUMBER('Providers'!Y160),'Providers'!Y160,""))</f>
        <v/>
      </c>
      <c r="L161" s="34">
        <f>IF(LEN('Providers'!A160)=0,"",IF(ISNUMBER('Providers'!AA160),'Providers'!AA160,""))</f>
        <v/>
      </c>
      <c r="M161" s="34">
        <f>IF(LEN('Providers'!A160)=0,"",IF(ISNUMBER('Providers'!AD160),'Providers'!AD160,""))</f>
        <v/>
      </c>
      <c r="N161" s="35">
        <f>IF(LEN('Providers'!A160)=0,"",IF(LEN('Providers'!AG160)=0,"",'Providers'!AG160))</f>
        <v/>
      </c>
    </row>
    <row r="162">
      <c r="A162" s="32">
        <f>IF(LEN('Providers'!A161)=0,"",IF(LEN('Providers'!A161)=0,"",'Providers'!A161))</f>
        <v/>
      </c>
      <c r="B162" s="33">
        <f>IF(LEN('Providers'!A161)=0,"",IF(LEN('Providers'!B161)=0,"",'Providers'!B161))</f>
        <v/>
      </c>
      <c r="C162" s="33">
        <f>IF(LEN('Providers'!A161)=0,"",IF(LEN('Providers'!E161)=0,"",'Providers'!E161))</f>
        <v/>
      </c>
      <c r="D162" s="34">
        <f>IF(LEN('Providers'!A161)=0,"",IF(ISNUMBER('Providers'!G161),'Providers'!G161,""))</f>
        <v/>
      </c>
      <c r="E162" s="34">
        <f>IF(LEN('Providers'!A161)=0,"",IF(ISNUMBER('Providers'!I161),'Providers'!I161,""))</f>
        <v/>
      </c>
      <c r="F162" s="34">
        <f>IF(LEN('Providers'!A161)=0,"",IF(ISNUMBER('Providers'!K161),'Providers'!K161,""))</f>
        <v/>
      </c>
      <c r="G162" s="34">
        <f>IF(LEN('Providers'!A161)=0,"",IF(ISNUMBER('Providers'!M161),'Providers'!M161,""))</f>
        <v/>
      </c>
      <c r="H162" s="34">
        <f>IF(LEN('Providers'!A161)=0,"",IF(ISNUMBER('Providers'!Q161),'Providers'!Q161,""))</f>
        <v/>
      </c>
      <c r="I162" s="34">
        <f>IF(LEN('Providers'!A161)=0,"",IF(ISNUMBER('Providers'!S161),'Providers'!S161,""))</f>
        <v/>
      </c>
      <c r="J162" s="34">
        <f>IF(LEN('Providers'!A161)=0,"",IF(ISNUMBER('Providers'!W161),'Providers'!W161,""))</f>
        <v/>
      </c>
      <c r="K162" s="34">
        <f>IF(LEN('Providers'!A161)=0,"",IF(ISNUMBER('Providers'!Y161),'Providers'!Y161,""))</f>
        <v/>
      </c>
      <c r="L162" s="34">
        <f>IF(LEN('Providers'!A161)=0,"",IF(ISNUMBER('Providers'!AA161),'Providers'!AA161,""))</f>
        <v/>
      </c>
      <c r="M162" s="34">
        <f>IF(LEN('Providers'!A161)=0,"",IF(ISNUMBER('Providers'!AD161),'Providers'!AD161,""))</f>
        <v/>
      </c>
      <c r="N162" s="35">
        <f>IF(LEN('Providers'!A161)=0,"",IF(LEN('Providers'!AG161)=0,"",'Providers'!AG161))</f>
        <v/>
      </c>
    </row>
    <row r="163">
      <c r="A163" s="32">
        <f>IF(LEN('Providers'!A162)=0,"",IF(LEN('Providers'!A162)=0,"",'Providers'!A162))</f>
        <v/>
      </c>
      <c r="B163" s="33">
        <f>IF(LEN('Providers'!A162)=0,"",IF(LEN('Providers'!B162)=0,"",'Providers'!B162))</f>
        <v/>
      </c>
      <c r="C163" s="33">
        <f>IF(LEN('Providers'!A162)=0,"",IF(LEN('Providers'!E162)=0,"",'Providers'!E162))</f>
        <v/>
      </c>
      <c r="D163" s="34">
        <f>IF(LEN('Providers'!A162)=0,"",IF(ISNUMBER('Providers'!G162),'Providers'!G162,""))</f>
        <v/>
      </c>
      <c r="E163" s="34">
        <f>IF(LEN('Providers'!A162)=0,"",IF(ISNUMBER('Providers'!I162),'Providers'!I162,""))</f>
        <v/>
      </c>
      <c r="F163" s="34">
        <f>IF(LEN('Providers'!A162)=0,"",IF(ISNUMBER('Providers'!K162),'Providers'!K162,""))</f>
        <v/>
      </c>
      <c r="G163" s="34">
        <f>IF(LEN('Providers'!A162)=0,"",IF(ISNUMBER('Providers'!M162),'Providers'!M162,""))</f>
        <v/>
      </c>
      <c r="H163" s="34">
        <f>IF(LEN('Providers'!A162)=0,"",IF(ISNUMBER('Providers'!Q162),'Providers'!Q162,""))</f>
        <v/>
      </c>
      <c r="I163" s="34">
        <f>IF(LEN('Providers'!A162)=0,"",IF(ISNUMBER('Providers'!S162),'Providers'!S162,""))</f>
        <v/>
      </c>
      <c r="J163" s="34">
        <f>IF(LEN('Providers'!A162)=0,"",IF(ISNUMBER('Providers'!W162),'Providers'!W162,""))</f>
        <v/>
      </c>
      <c r="K163" s="34">
        <f>IF(LEN('Providers'!A162)=0,"",IF(ISNUMBER('Providers'!Y162),'Providers'!Y162,""))</f>
        <v/>
      </c>
      <c r="L163" s="34">
        <f>IF(LEN('Providers'!A162)=0,"",IF(ISNUMBER('Providers'!AA162),'Providers'!AA162,""))</f>
        <v/>
      </c>
      <c r="M163" s="34">
        <f>IF(LEN('Providers'!A162)=0,"",IF(ISNUMBER('Providers'!AD162),'Providers'!AD162,""))</f>
        <v/>
      </c>
      <c r="N163" s="35">
        <f>IF(LEN('Providers'!A162)=0,"",IF(LEN('Providers'!AG162)=0,"",'Providers'!AG162))</f>
        <v/>
      </c>
    </row>
    <row r="164">
      <c r="A164" s="32">
        <f>IF(LEN('Providers'!A163)=0,"",IF(LEN('Providers'!A163)=0,"",'Providers'!A163))</f>
        <v/>
      </c>
      <c r="B164" s="33">
        <f>IF(LEN('Providers'!A163)=0,"",IF(LEN('Providers'!B163)=0,"",'Providers'!B163))</f>
        <v/>
      </c>
      <c r="C164" s="33">
        <f>IF(LEN('Providers'!A163)=0,"",IF(LEN('Providers'!E163)=0,"",'Providers'!E163))</f>
        <v/>
      </c>
      <c r="D164" s="34">
        <f>IF(LEN('Providers'!A163)=0,"",IF(ISNUMBER('Providers'!G163),'Providers'!G163,""))</f>
        <v/>
      </c>
      <c r="E164" s="34">
        <f>IF(LEN('Providers'!A163)=0,"",IF(ISNUMBER('Providers'!I163),'Providers'!I163,""))</f>
        <v/>
      </c>
      <c r="F164" s="34">
        <f>IF(LEN('Providers'!A163)=0,"",IF(ISNUMBER('Providers'!K163),'Providers'!K163,""))</f>
        <v/>
      </c>
      <c r="G164" s="34">
        <f>IF(LEN('Providers'!A163)=0,"",IF(ISNUMBER('Providers'!M163),'Providers'!M163,""))</f>
        <v/>
      </c>
      <c r="H164" s="34">
        <f>IF(LEN('Providers'!A163)=0,"",IF(ISNUMBER('Providers'!Q163),'Providers'!Q163,""))</f>
        <v/>
      </c>
      <c r="I164" s="34">
        <f>IF(LEN('Providers'!A163)=0,"",IF(ISNUMBER('Providers'!S163),'Providers'!S163,""))</f>
        <v/>
      </c>
      <c r="J164" s="34">
        <f>IF(LEN('Providers'!A163)=0,"",IF(ISNUMBER('Providers'!W163),'Providers'!W163,""))</f>
        <v/>
      </c>
      <c r="K164" s="34">
        <f>IF(LEN('Providers'!A163)=0,"",IF(ISNUMBER('Providers'!Y163),'Providers'!Y163,""))</f>
        <v/>
      </c>
      <c r="L164" s="34">
        <f>IF(LEN('Providers'!A163)=0,"",IF(ISNUMBER('Providers'!AA163),'Providers'!AA163,""))</f>
        <v/>
      </c>
      <c r="M164" s="34">
        <f>IF(LEN('Providers'!A163)=0,"",IF(ISNUMBER('Providers'!AD163),'Providers'!AD163,""))</f>
        <v/>
      </c>
      <c r="N164" s="35">
        <f>IF(LEN('Providers'!A163)=0,"",IF(LEN('Providers'!AG163)=0,"",'Providers'!AG163))</f>
        <v/>
      </c>
    </row>
    <row r="165">
      <c r="A165" s="32">
        <f>IF(LEN('Providers'!A164)=0,"",IF(LEN('Providers'!A164)=0,"",'Providers'!A164))</f>
        <v/>
      </c>
      <c r="B165" s="33">
        <f>IF(LEN('Providers'!A164)=0,"",IF(LEN('Providers'!B164)=0,"",'Providers'!B164))</f>
        <v/>
      </c>
      <c r="C165" s="33">
        <f>IF(LEN('Providers'!A164)=0,"",IF(LEN('Providers'!E164)=0,"",'Providers'!E164))</f>
        <v/>
      </c>
      <c r="D165" s="34">
        <f>IF(LEN('Providers'!A164)=0,"",IF(ISNUMBER('Providers'!G164),'Providers'!G164,""))</f>
        <v/>
      </c>
      <c r="E165" s="34">
        <f>IF(LEN('Providers'!A164)=0,"",IF(ISNUMBER('Providers'!I164),'Providers'!I164,""))</f>
        <v/>
      </c>
      <c r="F165" s="34">
        <f>IF(LEN('Providers'!A164)=0,"",IF(ISNUMBER('Providers'!K164),'Providers'!K164,""))</f>
        <v/>
      </c>
      <c r="G165" s="34">
        <f>IF(LEN('Providers'!A164)=0,"",IF(ISNUMBER('Providers'!M164),'Providers'!M164,""))</f>
        <v/>
      </c>
      <c r="H165" s="34">
        <f>IF(LEN('Providers'!A164)=0,"",IF(ISNUMBER('Providers'!Q164),'Providers'!Q164,""))</f>
        <v/>
      </c>
      <c r="I165" s="34">
        <f>IF(LEN('Providers'!A164)=0,"",IF(ISNUMBER('Providers'!S164),'Providers'!S164,""))</f>
        <v/>
      </c>
      <c r="J165" s="34">
        <f>IF(LEN('Providers'!A164)=0,"",IF(ISNUMBER('Providers'!W164),'Providers'!W164,""))</f>
        <v/>
      </c>
      <c r="K165" s="34">
        <f>IF(LEN('Providers'!A164)=0,"",IF(ISNUMBER('Providers'!Y164),'Providers'!Y164,""))</f>
        <v/>
      </c>
      <c r="L165" s="34">
        <f>IF(LEN('Providers'!A164)=0,"",IF(ISNUMBER('Providers'!AA164),'Providers'!AA164,""))</f>
        <v/>
      </c>
      <c r="M165" s="34">
        <f>IF(LEN('Providers'!A164)=0,"",IF(ISNUMBER('Providers'!AD164),'Providers'!AD164,""))</f>
        <v/>
      </c>
      <c r="N165" s="35">
        <f>IF(LEN('Providers'!A164)=0,"",IF(LEN('Providers'!AG164)=0,"",'Providers'!AG164))</f>
        <v/>
      </c>
    </row>
    <row r="166">
      <c r="A166" s="32">
        <f>IF(LEN('Providers'!A165)=0,"",IF(LEN('Providers'!A165)=0,"",'Providers'!A165))</f>
        <v/>
      </c>
      <c r="B166" s="33">
        <f>IF(LEN('Providers'!A165)=0,"",IF(LEN('Providers'!B165)=0,"",'Providers'!B165))</f>
        <v/>
      </c>
      <c r="C166" s="33">
        <f>IF(LEN('Providers'!A165)=0,"",IF(LEN('Providers'!E165)=0,"",'Providers'!E165))</f>
        <v/>
      </c>
      <c r="D166" s="34">
        <f>IF(LEN('Providers'!A165)=0,"",IF(ISNUMBER('Providers'!G165),'Providers'!G165,""))</f>
        <v/>
      </c>
      <c r="E166" s="34">
        <f>IF(LEN('Providers'!A165)=0,"",IF(ISNUMBER('Providers'!I165),'Providers'!I165,""))</f>
        <v/>
      </c>
      <c r="F166" s="34">
        <f>IF(LEN('Providers'!A165)=0,"",IF(ISNUMBER('Providers'!K165),'Providers'!K165,""))</f>
        <v/>
      </c>
      <c r="G166" s="34">
        <f>IF(LEN('Providers'!A165)=0,"",IF(ISNUMBER('Providers'!M165),'Providers'!M165,""))</f>
        <v/>
      </c>
      <c r="H166" s="34">
        <f>IF(LEN('Providers'!A165)=0,"",IF(ISNUMBER('Providers'!Q165),'Providers'!Q165,""))</f>
        <v/>
      </c>
      <c r="I166" s="34">
        <f>IF(LEN('Providers'!A165)=0,"",IF(ISNUMBER('Providers'!S165),'Providers'!S165,""))</f>
        <v/>
      </c>
      <c r="J166" s="34">
        <f>IF(LEN('Providers'!A165)=0,"",IF(ISNUMBER('Providers'!W165),'Providers'!W165,""))</f>
        <v/>
      </c>
      <c r="K166" s="34">
        <f>IF(LEN('Providers'!A165)=0,"",IF(ISNUMBER('Providers'!Y165),'Providers'!Y165,""))</f>
        <v/>
      </c>
      <c r="L166" s="34">
        <f>IF(LEN('Providers'!A165)=0,"",IF(ISNUMBER('Providers'!AA165),'Providers'!AA165,""))</f>
        <v/>
      </c>
      <c r="M166" s="34">
        <f>IF(LEN('Providers'!A165)=0,"",IF(ISNUMBER('Providers'!AD165),'Providers'!AD165,""))</f>
        <v/>
      </c>
      <c r="N166" s="35">
        <f>IF(LEN('Providers'!A165)=0,"",IF(LEN('Providers'!AG165)=0,"",'Providers'!AG165))</f>
        <v/>
      </c>
    </row>
    <row r="167">
      <c r="A167" s="32">
        <f>IF(LEN('Providers'!A166)=0,"",IF(LEN('Providers'!A166)=0,"",'Providers'!A166))</f>
        <v/>
      </c>
      <c r="B167" s="33">
        <f>IF(LEN('Providers'!A166)=0,"",IF(LEN('Providers'!B166)=0,"",'Providers'!B166))</f>
        <v/>
      </c>
      <c r="C167" s="33">
        <f>IF(LEN('Providers'!A166)=0,"",IF(LEN('Providers'!E166)=0,"",'Providers'!E166))</f>
        <v/>
      </c>
      <c r="D167" s="34">
        <f>IF(LEN('Providers'!A166)=0,"",IF(ISNUMBER('Providers'!G166),'Providers'!G166,""))</f>
        <v/>
      </c>
      <c r="E167" s="34">
        <f>IF(LEN('Providers'!A166)=0,"",IF(ISNUMBER('Providers'!I166),'Providers'!I166,""))</f>
        <v/>
      </c>
      <c r="F167" s="34">
        <f>IF(LEN('Providers'!A166)=0,"",IF(ISNUMBER('Providers'!K166),'Providers'!K166,""))</f>
        <v/>
      </c>
      <c r="G167" s="34">
        <f>IF(LEN('Providers'!A166)=0,"",IF(ISNUMBER('Providers'!M166),'Providers'!M166,""))</f>
        <v/>
      </c>
      <c r="H167" s="34">
        <f>IF(LEN('Providers'!A166)=0,"",IF(ISNUMBER('Providers'!Q166),'Providers'!Q166,""))</f>
        <v/>
      </c>
      <c r="I167" s="34">
        <f>IF(LEN('Providers'!A166)=0,"",IF(ISNUMBER('Providers'!S166),'Providers'!S166,""))</f>
        <v/>
      </c>
      <c r="J167" s="34">
        <f>IF(LEN('Providers'!A166)=0,"",IF(ISNUMBER('Providers'!W166),'Providers'!W166,""))</f>
        <v/>
      </c>
      <c r="K167" s="34">
        <f>IF(LEN('Providers'!A166)=0,"",IF(ISNUMBER('Providers'!Y166),'Providers'!Y166,""))</f>
        <v/>
      </c>
      <c r="L167" s="34">
        <f>IF(LEN('Providers'!A166)=0,"",IF(ISNUMBER('Providers'!AA166),'Providers'!AA166,""))</f>
        <v/>
      </c>
      <c r="M167" s="34">
        <f>IF(LEN('Providers'!A166)=0,"",IF(ISNUMBER('Providers'!AD166),'Providers'!AD166,""))</f>
        <v/>
      </c>
      <c r="N167" s="35">
        <f>IF(LEN('Providers'!A166)=0,"",IF(LEN('Providers'!AG166)=0,"",'Providers'!AG166))</f>
        <v/>
      </c>
    </row>
    <row r="168">
      <c r="A168" s="32">
        <f>IF(LEN('Providers'!A167)=0,"",IF(LEN('Providers'!A167)=0,"",'Providers'!A167))</f>
        <v/>
      </c>
      <c r="B168" s="33">
        <f>IF(LEN('Providers'!A167)=0,"",IF(LEN('Providers'!B167)=0,"",'Providers'!B167))</f>
        <v/>
      </c>
      <c r="C168" s="33">
        <f>IF(LEN('Providers'!A167)=0,"",IF(LEN('Providers'!E167)=0,"",'Providers'!E167))</f>
        <v/>
      </c>
      <c r="D168" s="34">
        <f>IF(LEN('Providers'!A167)=0,"",IF(ISNUMBER('Providers'!G167),'Providers'!G167,""))</f>
        <v/>
      </c>
      <c r="E168" s="34">
        <f>IF(LEN('Providers'!A167)=0,"",IF(ISNUMBER('Providers'!I167),'Providers'!I167,""))</f>
        <v/>
      </c>
      <c r="F168" s="34">
        <f>IF(LEN('Providers'!A167)=0,"",IF(ISNUMBER('Providers'!K167),'Providers'!K167,""))</f>
        <v/>
      </c>
      <c r="G168" s="34">
        <f>IF(LEN('Providers'!A167)=0,"",IF(ISNUMBER('Providers'!M167),'Providers'!M167,""))</f>
        <v/>
      </c>
      <c r="H168" s="34">
        <f>IF(LEN('Providers'!A167)=0,"",IF(ISNUMBER('Providers'!Q167),'Providers'!Q167,""))</f>
        <v/>
      </c>
      <c r="I168" s="34">
        <f>IF(LEN('Providers'!A167)=0,"",IF(ISNUMBER('Providers'!S167),'Providers'!S167,""))</f>
        <v/>
      </c>
      <c r="J168" s="34">
        <f>IF(LEN('Providers'!A167)=0,"",IF(ISNUMBER('Providers'!W167),'Providers'!W167,""))</f>
        <v/>
      </c>
      <c r="K168" s="34">
        <f>IF(LEN('Providers'!A167)=0,"",IF(ISNUMBER('Providers'!Y167),'Providers'!Y167,""))</f>
        <v/>
      </c>
      <c r="L168" s="34">
        <f>IF(LEN('Providers'!A167)=0,"",IF(ISNUMBER('Providers'!AA167),'Providers'!AA167,""))</f>
        <v/>
      </c>
      <c r="M168" s="34">
        <f>IF(LEN('Providers'!A167)=0,"",IF(ISNUMBER('Providers'!AD167),'Providers'!AD167,""))</f>
        <v/>
      </c>
      <c r="N168" s="35">
        <f>IF(LEN('Providers'!A167)=0,"",IF(LEN('Providers'!AG167)=0,"",'Providers'!AG167))</f>
        <v/>
      </c>
    </row>
    <row r="169">
      <c r="A169" s="32">
        <f>IF(LEN('Providers'!A168)=0,"",IF(LEN('Providers'!A168)=0,"",'Providers'!A168))</f>
        <v/>
      </c>
      <c r="B169" s="33">
        <f>IF(LEN('Providers'!A168)=0,"",IF(LEN('Providers'!B168)=0,"",'Providers'!B168))</f>
        <v/>
      </c>
      <c r="C169" s="33">
        <f>IF(LEN('Providers'!A168)=0,"",IF(LEN('Providers'!E168)=0,"",'Providers'!E168))</f>
        <v/>
      </c>
      <c r="D169" s="34">
        <f>IF(LEN('Providers'!A168)=0,"",IF(ISNUMBER('Providers'!G168),'Providers'!G168,""))</f>
        <v/>
      </c>
      <c r="E169" s="34">
        <f>IF(LEN('Providers'!A168)=0,"",IF(ISNUMBER('Providers'!I168),'Providers'!I168,""))</f>
        <v/>
      </c>
      <c r="F169" s="34">
        <f>IF(LEN('Providers'!A168)=0,"",IF(ISNUMBER('Providers'!K168),'Providers'!K168,""))</f>
        <v/>
      </c>
      <c r="G169" s="34">
        <f>IF(LEN('Providers'!A168)=0,"",IF(ISNUMBER('Providers'!M168),'Providers'!M168,""))</f>
        <v/>
      </c>
      <c r="H169" s="34">
        <f>IF(LEN('Providers'!A168)=0,"",IF(ISNUMBER('Providers'!Q168),'Providers'!Q168,""))</f>
        <v/>
      </c>
      <c r="I169" s="34">
        <f>IF(LEN('Providers'!A168)=0,"",IF(ISNUMBER('Providers'!S168),'Providers'!S168,""))</f>
        <v/>
      </c>
      <c r="J169" s="34">
        <f>IF(LEN('Providers'!A168)=0,"",IF(ISNUMBER('Providers'!W168),'Providers'!W168,""))</f>
        <v/>
      </c>
      <c r="K169" s="34">
        <f>IF(LEN('Providers'!A168)=0,"",IF(ISNUMBER('Providers'!Y168),'Providers'!Y168,""))</f>
        <v/>
      </c>
      <c r="L169" s="34">
        <f>IF(LEN('Providers'!A168)=0,"",IF(ISNUMBER('Providers'!AA168),'Providers'!AA168,""))</f>
        <v/>
      </c>
      <c r="M169" s="34">
        <f>IF(LEN('Providers'!A168)=0,"",IF(ISNUMBER('Providers'!AD168),'Providers'!AD168,""))</f>
        <v/>
      </c>
      <c r="N169" s="35">
        <f>IF(LEN('Providers'!A168)=0,"",IF(LEN('Providers'!AG168)=0,"",'Providers'!AG168))</f>
        <v/>
      </c>
    </row>
    <row r="170">
      <c r="A170" s="32">
        <f>IF(LEN('Providers'!A169)=0,"",IF(LEN('Providers'!A169)=0,"",'Providers'!A169))</f>
        <v/>
      </c>
      <c r="B170" s="33">
        <f>IF(LEN('Providers'!A169)=0,"",IF(LEN('Providers'!B169)=0,"",'Providers'!B169))</f>
        <v/>
      </c>
      <c r="C170" s="33">
        <f>IF(LEN('Providers'!A169)=0,"",IF(LEN('Providers'!E169)=0,"",'Providers'!E169))</f>
        <v/>
      </c>
      <c r="D170" s="34">
        <f>IF(LEN('Providers'!A169)=0,"",IF(ISNUMBER('Providers'!G169),'Providers'!G169,""))</f>
        <v/>
      </c>
      <c r="E170" s="34">
        <f>IF(LEN('Providers'!A169)=0,"",IF(ISNUMBER('Providers'!I169),'Providers'!I169,""))</f>
        <v/>
      </c>
      <c r="F170" s="34">
        <f>IF(LEN('Providers'!A169)=0,"",IF(ISNUMBER('Providers'!K169),'Providers'!K169,""))</f>
        <v/>
      </c>
      <c r="G170" s="34">
        <f>IF(LEN('Providers'!A169)=0,"",IF(ISNUMBER('Providers'!M169),'Providers'!M169,""))</f>
        <v/>
      </c>
      <c r="H170" s="34">
        <f>IF(LEN('Providers'!A169)=0,"",IF(ISNUMBER('Providers'!Q169),'Providers'!Q169,""))</f>
        <v/>
      </c>
      <c r="I170" s="34">
        <f>IF(LEN('Providers'!A169)=0,"",IF(ISNUMBER('Providers'!S169),'Providers'!S169,""))</f>
        <v/>
      </c>
      <c r="J170" s="34">
        <f>IF(LEN('Providers'!A169)=0,"",IF(ISNUMBER('Providers'!W169),'Providers'!W169,""))</f>
        <v/>
      </c>
      <c r="K170" s="34">
        <f>IF(LEN('Providers'!A169)=0,"",IF(ISNUMBER('Providers'!Y169),'Providers'!Y169,""))</f>
        <v/>
      </c>
      <c r="L170" s="34">
        <f>IF(LEN('Providers'!A169)=0,"",IF(ISNUMBER('Providers'!AA169),'Providers'!AA169,""))</f>
        <v/>
      </c>
      <c r="M170" s="34">
        <f>IF(LEN('Providers'!A169)=0,"",IF(ISNUMBER('Providers'!AD169),'Providers'!AD169,""))</f>
        <v/>
      </c>
      <c r="N170" s="35">
        <f>IF(LEN('Providers'!A169)=0,"",IF(LEN('Providers'!AG169)=0,"",'Providers'!AG169))</f>
        <v/>
      </c>
    </row>
    <row r="171">
      <c r="A171" s="32">
        <f>IF(LEN('Providers'!A170)=0,"",IF(LEN('Providers'!A170)=0,"",'Providers'!A170))</f>
        <v/>
      </c>
      <c r="B171" s="33">
        <f>IF(LEN('Providers'!A170)=0,"",IF(LEN('Providers'!B170)=0,"",'Providers'!B170))</f>
        <v/>
      </c>
      <c r="C171" s="33">
        <f>IF(LEN('Providers'!A170)=0,"",IF(LEN('Providers'!E170)=0,"",'Providers'!E170))</f>
        <v/>
      </c>
      <c r="D171" s="34">
        <f>IF(LEN('Providers'!A170)=0,"",IF(ISNUMBER('Providers'!G170),'Providers'!G170,""))</f>
        <v/>
      </c>
      <c r="E171" s="34">
        <f>IF(LEN('Providers'!A170)=0,"",IF(ISNUMBER('Providers'!I170),'Providers'!I170,""))</f>
        <v/>
      </c>
      <c r="F171" s="34">
        <f>IF(LEN('Providers'!A170)=0,"",IF(ISNUMBER('Providers'!K170),'Providers'!K170,""))</f>
        <v/>
      </c>
      <c r="G171" s="34">
        <f>IF(LEN('Providers'!A170)=0,"",IF(ISNUMBER('Providers'!M170),'Providers'!M170,""))</f>
        <v/>
      </c>
      <c r="H171" s="34">
        <f>IF(LEN('Providers'!A170)=0,"",IF(ISNUMBER('Providers'!Q170),'Providers'!Q170,""))</f>
        <v/>
      </c>
      <c r="I171" s="34">
        <f>IF(LEN('Providers'!A170)=0,"",IF(ISNUMBER('Providers'!S170),'Providers'!S170,""))</f>
        <v/>
      </c>
      <c r="J171" s="34">
        <f>IF(LEN('Providers'!A170)=0,"",IF(ISNUMBER('Providers'!W170),'Providers'!W170,""))</f>
        <v/>
      </c>
      <c r="K171" s="34">
        <f>IF(LEN('Providers'!A170)=0,"",IF(ISNUMBER('Providers'!Y170),'Providers'!Y170,""))</f>
        <v/>
      </c>
      <c r="L171" s="34">
        <f>IF(LEN('Providers'!A170)=0,"",IF(ISNUMBER('Providers'!AA170),'Providers'!AA170,""))</f>
        <v/>
      </c>
      <c r="M171" s="34">
        <f>IF(LEN('Providers'!A170)=0,"",IF(ISNUMBER('Providers'!AD170),'Providers'!AD170,""))</f>
        <v/>
      </c>
      <c r="N171" s="35">
        <f>IF(LEN('Providers'!A170)=0,"",IF(LEN('Providers'!AG170)=0,"",'Providers'!AG170))</f>
        <v/>
      </c>
    </row>
    <row r="172">
      <c r="A172" s="32">
        <f>IF(LEN('Providers'!A171)=0,"",IF(LEN('Providers'!A171)=0,"",'Providers'!A171))</f>
        <v/>
      </c>
      <c r="B172" s="33">
        <f>IF(LEN('Providers'!A171)=0,"",IF(LEN('Providers'!B171)=0,"",'Providers'!B171))</f>
        <v/>
      </c>
      <c r="C172" s="33">
        <f>IF(LEN('Providers'!A171)=0,"",IF(LEN('Providers'!E171)=0,"",'Providers'!E171))</f>
        <v/>
      </c>
      <c r="D172" s="34">
        <f>IF(LEN('Providers'!A171)=0,"",IF(ISNUMBER('Providers'!G171),'Providers'!G171,""))</f>
        <v/>
      </c>
      <c r="E172" s="34">
        <f>IF(LEN('Providers'!A171)=0,"",IF(ISNUMBER('Providers'!I171),'Providers'!I171,""))</f>
        <v/>
      </c>
      <c r="F172" s="34">
        <f>IF(LEN('Providers'!A171)=0,"",IF(ISNUMBER('Providers'!K171),'Providers'!K171,""))</f>
        <v/>
      </c>
      <c r="G172" s="34">
        <f>IF(LEN('Providers'!A171)=0,"",IF(ISNUMBER('Providers'!M171),'Providers'!M171,""))</f>
        <v/>
      </c>
      <c r="H172" s="34">
        <f>IF(LEN('Providers'!A171)=0,"",IF(ISNUMBER('Providers'!Q171),'Providers'!Q171,""))</f>
        <v/>
      </c>
      <c r="I172" s="34">
        <f>IF(LEN('Providers'!A171)=0,"",IF(ISNUMBER('Providers'!S171),'Providers'!S171,""))</f>
        <v/>
      </c>
      <c r="J172" s="34">
        <f>IF(LEN('Providers'!A171)=0,"",IF(ISNUMBER('Providers'!W171),'Providers'!W171,""))</f>
        <v/>
      </c>
      <c r="K172" s="34">
        <f>IF(LEN('Providers'!A171)=0,"",IF(ISNUMBER('Providers'!Y171),'Providers'!Y171,""))</f>
        <v/>
      </c>
      <c r="L172" s="34">
        <f>IF(LEN('Providers'!A171)=0,"",IF(ISNUMBER('Providers'!AA171),'Providers'!AA171,""))</f>
        <v/>
      </c>
      <c r="M172" s="34">
        <f>IF(LEN('Providers'!A171)=0,"",IF(ISNUMBER('Providers'!AD171),'Providers'!AD171,""))</f>
        <v/>
      </c>
      <c r="N172" s="35">
        <f>IF(LEN('Providers'!A171)=0,"",IF(LEN('Providers'!AG171)=0,"",'Providers'!AG171))</f>
        <v/>
      </c>
    </row>
    <row r="173">
      <c r="A173" s="32">
        <f>IF(LEN('Providers'!A172)=0,"",IF(LEN('Providers'!A172)=0,"",'Providers'!A172))</f>
        <v/>
      </c>
      <c r="B173" s="33">
        <f>IF(LEN('Providers'!A172)=0,"",IF(LEN('Providers'!B172)=0,"",'Providers'!B172))</f>
        <v/>
      </c>
      <c r="C173" s="33">
        <f>IF(LEN('Providers'!A172)=0,"",IF(LEN('Providers'!E172)=0,"",'Providers'!E172))</f>
        <v/>
      </c>
      <c r="D173" s="34">
        <f>IF(LEN('Providers'!A172)=0,"",IF(ISNUMBER('Providers'!G172),'Providers'!G172,""))</f>
        <v/>
      </c>
      <c r="E173" s="34">
        <f>IF(LEN('Providers'!A172)=0,"",IF(ISNUMBER('Providers'!I172),'Providers'!I172,""))</f>
        <v/>
      </c>
      <c r="F173" s="34">
        <f>IF(LEN('Providers'!A172)=0,"",IF(ISNUMBER('Providers'!K172),'Providers'!K172,""))</f>
        <v/>
      </c>
      <c r="G173" s="34">
        <f>IF(LEN('Providers'!A172)=0,"",IF(ISNUMBER('Providers'!M172),'Providers'!M172,""))</f>
        <v/>
      </c>
      <c r="H173" s="34">
        <f>IF(LEN('Providers'!A172)=0,"",IF(ISNUMBER('Providers'!Q172),'Providers'!Q172,""))</f>
        <v/>
      </c>
      <c r="I173" s="34">
        <f>IF(LEN('Providers'!A172)=0,"",IF(ISNUMBER('Providers'!S172),'Providers'!S172,""))</f>
        <v/>
      </c>
      <c r="J173" s="34">
        <f>IF(LEN('Providers'!A172)=0,"",IF(ISNUMBER('Providers'!W172),'Providers'!W172,""))</f>
        <v/>
      </c>
      <c r="K173" s="34">
        <f>IF(LEN('Providers'!A172)=0,"",IF(ISNUMBER('Providers'!Y172),'Providers'!Y172,""))</f>
        <v/>
      </c>
      <c r="L173" s="34">
        <f>IF(LEN('Providers'!A172)=0,"",IF(ISNUMBER('Providers'!AA172),'Providers'!AA172,""))</f>
        <v/>
      </c>
      <c r="M173" s="34">
        <f>IF(LEN('Providers'!A172)=0,"",IF(ISNUMBER('Providers'!AD172),'Providers'!AD172,""))</f>
        <v/>
      </c>
      <c r="N173" s="35">
        <f>IF(LEN('Providers'!A172)=0,"",IF(LEN('Providers'!AG172)=0,"",'Providers'!AG172))</f>
        <v/>
      </c>
    </row>
    <row r="174">
      <c r="A174" s="32">
        <f>IF(LEN('Providers'!A173)=0,"",IF(LEN('Providers'!A173)=0,"",'Providers'!A173))</f>
        <v/>
      </c>
      <c r="B174" s="33">
        <f>IF(LEN('Providers'!A173)=0,"",IF(LEN('Providers'!B173)=0,"",'Providers'!B173))</f>
        <v/>
      </c>
      <c r="C174" s="33">
        <f>IF(LEN('Providers'!A173)=0,"",IF(LEN('Providers'!E173)=0,"",'Providers'!E173))</f>
        <v/>
      </c>
      <c r="D174" s="34">
        <f>IF(LEN('Providers'!A173)=0,"",IF(ISNUMBER('Providers'!G173),'Providers'!G173,""))</f>
        <v/>
      </c>
      <c r="E174" s="34">
        <f>IF(LEN('Providers'!A173)=0,"",IF(ISNUMBER('Providers'!I173),'Providers'!I173,""))</f>
        <v/>
      </c>
      <c r="F174" s="34">
        <f>IF(LEN('Providers'!A173)=0,"",IF(ISNUMBER('Providers'!K173),'Providers'!K173,""))</f>
        <v/>
      </c>
      <c r="G174" s="34">
        <f>IF(LEN('Providers'!A173)=0,"",IF(ISNUMBER('Providers'!M173),'Providers'!M173,""))</f>
        <v/>
      </c>
      <c r="H174" s="34">
        <f>IF(LEN('Providers'!A173)=0,"",IF(ISNUMBER('Providers'!Q173),'Providers'!Q173,""))</f>
        <v/>
      </c>
      <c r="I174" s="34">
        <f>IF(LEN('Providers'!A173)=0,"",IF(ISNUMBER('Providers'!S173),'Providers'!S173,""))</f>
        <v/>
      </c>
      <c r="J174" s="34">
        <f>IF(LEN('Providers'!A173)=0,"",IF(ISNUMBER('Providers'!W173),'Providers'!W173,""))</f>
        <v/>
      </c>
      <c r="K174" s="34">
        <f>IF(LEN('Providers'!A173)=0,"",IF(ISNUMBER('Providers'!Y173),'Providers'!Y173,""))</f>
        <v/>
      </c>
      <c r="L174" s="34">
        <f>IF(LEN('Providers'!A173)=0,"",IF(ISNUMBER('Providers'!AA173),'Providers'!AA173,""))</f>
        <v/>
      </c>
      <c r="M174" s="34">
        <f>IF(LEN('Providers'!A173)=0,"",IF(ISNUMBER('Providers'!AD173),'Providers'!AD173,""))</f>
        <v/>
      </c>
      <c r="N174" s="35">
        <f>IF(LEN('Providers'!A173)=0,"",IF(LEN('Providers'!AG173)=0,"",'Providers'!AG173))</f>
        <v/>
      </c>
    </row>
    <row r="175">
      <c r="A175" s="32">
        <f>IF(LEN('Providers'!A174)=0,"",IF(LEN('Providers'!A174)=0,"",'Providers'!A174))</f>
        <v/>
      </c>
      <c r="B175" s="33">
        <f>IF(LEN('Providers'!A174)=0,"",IF(LEN('Providers'!B174)=0,"",'Providers'!B174))</f>
        <v/>
      </c>
      <c r="C175" s="33">
        <f>IF(LEN('Providers'!A174)=0,"",IF(LEN('Providers'!E174)=0,"",'Providers'!E174))</f>
        <v/>
      </c>
      <c r="D175" s="34">
        <f>IF(LEN('Providers'!A174)=0,"",IF(ISNUMBER('Providers'!G174),'Providers'!G174,""))</f>
        <v/>
      </c>
      <c r="E175" s="34">
        <f>IF(LEN('Providers'!A174)=0,"",IF(ISNUMBER('Providers'!I174),'Providers'!I174,""))</f>
        <v/>
      </c>
      <c r="F175" s="34">
        <f>IF(LEN('Providers'!A174)=0,"",IF(ISNUMBER('Providers'!K174),'Providers'!K174,""))</f>
        <v/>
      </c>
      <c r="G175" s="34">
        <f>IF(LEN('Providers'!A174)=0,"",IF(ISNUMBER('Providers'!M174),'Providers'!M174,""))</f>
        <v/>
      </c>
      <c r="H175" s="34">
        <f>IF(LEN('Providers'!A174)=0,"",IF(ISNUMBER('Providers'!Q174),'Providers'!Q174,""))</f>
        <v/>
      </c>
      <c r="I175" s="34">
        <f>IF(LEN('Providers'!A174)=0,"",IF(ISNUMBER('Providers'!S174),'Providers'!S174,""))</f>
        <v/>
      </c>
      <c r="J175" s="34">
        <f>IF(LEN('Providers'!A174)=0,"",IF(ISNUMBER('Providers'!W174),'Providers'!W174,""))</f>
        <v/>
      </c>
      <c r="K175" s="34">
        <f>IF(LEN('Providers'!A174)=0,"",IF(ISNUMBER('Providers'!Y174),'Providers'!Y174,""))</f>
        <v/>
      </c>
      <c r="L175" s="34">
        <f>IF(LEN('Providers'!A174)=0,"",IF(ISNUMBER('Providers'!AA174),'Providers'!AA174,""))</f>
        <v/>
      </c>
      <c r="M175" s="34">
        <f>IF(LEN('Providers'!A174)=0,"",IF(ISNUMBER('Providers'!AD174),'Providers'!AD174,""))</f>
        <v/>
      </c>
      <c r="N175" s="35">
        <f>IF(LEN('Providers'!A174)=0,"",IF(LEN('Providers'!AG174)=0,"",'Providers'!AG174))</f>
        <v/>
      </c>
    </row>
    <row r="176">
      <c r="A176" s="32">
        <f>IF(LEN('Providers'!A175)=0,"",IF(LEN('Providers'!A175)=0,"",'Providers'!A175))</f>
        <v/>
      </c>
      <c r="B176" s="33">
        <f>IF(LEN('Providers'!A175)=0,"",IF(LEN('Providers'!B175)=0,"",'Providers'!B175))</f>
        <v/>
      </c>
      <c r="C176" s="33">
        <f>IF(LEN('Providers'!A175)=0,"",IF(LEN('Providers'!E175)=0,"",'Providers'!E175))</f>
        <v/>
      </c>
      <c r="D176" s="34">
        <f>IF(LEN('Providers'!A175)=0,"",IF(ISNUMBER('Providers'!G175),'Providers'!G175,""))</f>
        <v/>
      </c>
      <c r="E176" s="34">
        <f>IF(LEN('Providers'!A175)=0,"",IF(ISNUMBER('Providers'!I175),'Providers'!I175,""))</f>
        <v/>
      </c>
      <c r="F176" s="34">
        <f>IF(LEN('Providers'!A175)=0,"",IF(ISNUMBER('Providers'!K175),'Providers'!K175,""))</f>
        <v/>
      </c>
      <c r="G176" s="34">
        <f>IF(LEN('Providers'!A175)=0,"",IF(ISNUMBER('Providers'!M175),'Providers'!M175,""))</f>
        <v/>
      </c>
      <c r="H176" s="34">
        <f>IF(LEN('Providers'!A175)=0,"",IF(ISNUMBER('Providers'!Q175),'Providers'!Q175,""))</f>
        <v/>
      </c>
      <c r="I176" s="34">
        <f>IF(LEN('Providers'!A175)=0,"",IF(ISNUMBER('Providers'!S175),'Providers'!S175,""))</f>
        <v/>
      </c>
      <c r="J176" s="34">
        <f>IF(LEN('Providers'!A175)=0,"",IF(ISNUMBER('Providers'!W175),'Providers'!W175,""))</f>
        <v/>
      </c>
      <c r="K176" s="34">
        <f>IF(LEN('Providers'!A175)=0,"",IF(ISNUMBER('Providers'!Y175),'Providers'!Y175,""))</f>
        <v/>
      </c>
      <c r="L176" s="34">
        <f>IF(LEN('Providers'!A175)=0,"",IF(ISNUMBER('Providers'!AA175),'Providers'!AA175,""))</f>
        <v/>
      </c>
      <c r="M176" s="34">
        <f>IF(LEN('Providers'!A175)=0,"",IF(ISNUMBER('Providers'!AD175),'Providers'!AD175,""))</f>
        <v/>
      </c>
      <c r="N176" s="35">
        <f>IF(LEN('Providers'!A175)=0,"",IF(LEN('Providers'!AG175)=0,"",'Providers'!AG175))</f>
        <v/>
      </c>
    </row>
    <row r="177">
      <c r="A177" s="32">
        <f>IF(LEN('Providers'!A176)=0,"",IF(LEN('Providers'!A176)=0,"",'Providers'!A176))</f>
        <v/>
      </c>
      <c r="B177" s="33">
        <f>IF(LEN('Providers'!A176)=0,"",IF(LEN('Providers'!B176)=0,"",'Providers'!B176))</f>
        <v/>
      </c>
      <c r="C177" s="33">
        <f>IF(LEN('Providers'!A176)=0,"",IF(LEN('Providers'!E176)=0,"",'Providers'!E176))</f>
        <v/>
      </c>
      <c r="D177" s="34">
        <f>IF(LEN('Providers'!A176)=0,"",IF(ISNUMBER('Providers'!G176),'Providers'!G176,""))</f>
        <v/>
      </c>
      <c r="E177" s="34">
        <f>IF(LEN('Providers'!A176)=0,"",IF(ISNUMBER('Providers'!I176),'Providers'!I176,""))</f>
        <v/>
      </c>
      <c r="F177" s="34">
        <f>IF(LEN('Providers'!A176)=0,"",IF(ISNUMBER('Providers'!K176),'Providers'!K176,""))</f>
        <v/>
      </c>
      <c r="G177" s="34">
        <f>IF(LEN('Providers'!A176)=0,"",IF(ISNUMBER('Providers'!M176),'Providers'!M176,""))</f>
        <v/>
      </c>
      <c r="H177" s="34">
        <f>IF(LEN('Providers'!A176)=0,"",IF(ISNUMBER('Providers'!Q176),'Providers'!Q176,""))</f>
        <v/>
      </c>
      <c r="I177" s="34">
        <f>IF(LEN('Providers'!A176)=0,"",IF(ISNUMBER('Providers'!S176),'Providers'!S176,""))</f>
        <v/>
      </c>
      <c r="J177" s="34">
        <f>IF(LEN('Providers'!A176)=0,"",IF(ISNUMBER('Providers'!W176),'Providers'!W176,""))</f>
        <v/>
      </c>
      <c r="K177" s="34">
        <f>IF(LEN('Providers'!A176)=0,"",IF(ISNUMBER('Providers'!Y176),'Providers'!Y176,""))</f>
        <v/>
      </c>
      <c r="L177" s="34">
        <f>IF(LEN('Providers'!A176)=0,"",IF(ISNUMBER('Providers'!AA176),'Providers'!AA176,""))</f>
        <v/>
      </c>
      <c r="M177" s="34">
        <f>IF(LEN('Providers'!A176)=0,"",IF(ISNUMBER('Providers'!AD176),'Providers'!AD176,""))</f>
        <v/>
      </c>
      <c r="N177" s="35">
        <f>IF(LEN('Providers'!A176)=0,"",IF(LEN('Providers'!AG176)=0,"",'Providers'!AG176))</f>
        <v/>
      </c>
    </row>
    <row r="178">
      <c r="A178" s="32">
        <f>IF(LEN('Providers'!A177)=0,"",IF(LEN('Providers'!A177)=0,"",'Providers'!A177))</f>
        <v/>
      </c>
      <c r="B178" s="33">
        <f>IF(LEN('Providers'!A177)=0,"",IF(LEN('Providers'!B177)=0,"",'Providers'!B177))</f>
        <v/>
      </c>
      <c r="C178" s="33">
        <f>IF(LEN('Providers'!A177)=0,"",IF(LEN('Providers'!E177)=0,"",'Providers'!E177))</f>
        <v/>
      </c>
      <c r="D178" s="34">
        <f>IF(LEN('Providers'!A177)=0,"",IF(ISNUMBER('Providers'!G177),'Providers'!G177,""))</f>
        <v/>
      </c>
      <c r="E178" s="34">
        <f>IF(LEN('Providers'!A177)=0,"",IF(ISNUMBER('Providers'!I177),'Providers'!I177,""))</f>
        <v/>
      </c>
      <c r="F178" s="34">
        <f>IF(LEN('Providers'!A177)=0,"",IF(ISNUMBER('Providers'!K177),'Providers'!K177,""))</f>
        <v/>
      </c>
      <c r="G178" s="34">
        <f>IF(LEN('Providers'!A177)=0,"",IF(ISNUMBER('Providers'!M177),'Providers'!M177,""))</f>
        <v/>
      </c>
      <c r="H178" s="34">
        <f>IF(LEN('Providers'!A177)=0,"",IF(ISNUMBER('Providers'!Q177),'Providers'!Q177,""))</f>
        <v/>
      </c>
      <c r="I178" s="34">
        <f>IF(LEN('Providers'!A177)=0,"",IF(ISNUMBER('Providers'!S177),'Providers'!S177,""))</f>
        <v/>
      </c>
      <c r="J178" s="34">
        <f>IF(LEN('Providers'!A177)=0,"",IF(ISNUMBER('Providers'!W177),'Providers'!W177,""))</f>
        <v/>
      </c>
      <c r="K178" s="34">
        <f>IF(LEN('Providers'!A177)=0,"",IF(ISNUMBER('Providers'!Y177),'Providers'!Y177,""))</f>
        <v/>
      </c>
      <c r="L178" s="34">
        <f>IF(LEN('Providers'!A177)=0,"",IF(ISNUMBER('Providers'!AA177),'Providers'!AA177,""))</f>
        <v/>
      </c>
      <c r="M178" s="34">
        <f>IF(LEN('Providers'!A177)=0,"",IF(ISNUMBER('Providers'!AD177),'Providers'!AD177,""))</f>
        <v/>
      </c>
      <c r="N178" s="35">
        <f>IF(LEN('Providers'!A177)=0,"",IF(LEN('Providers'!AG177)=0,"",'Providers'!AG177))</f>
        <v/>
      </c>
    </row>
    <row r="179">
      <c r="A179" s="32">
        <f>IF(LEN('Providers'!A178)=0,"",IF(LEN('Providers'!A178)=0,"",'Providers'!A178))</f>
        <v/>
      </c>
      <c r="B179" s="33">
        <f>IF(LEN('Providers'!A178)=0,"",IF(LEN('Providers'!B178)=0,"",'Providers'!B178))</f>
        <v/>
      </c>
      <c r="C179" s="33">
        <f>IF(LEN('Providers'!A178)=0,"",IF(LEN('Providers'!E178)=0,"",'Providers'!E178))</f>
        <v/>
      </c>
      <c r="D179" s="34">
        <f>IF(LEN('Providers'!A178)=0,"",IF(ISNUMBER('Providers'!G178),'Providers'!G178,""))</f>
        <v/>
      </c>
      <c r="E179" s="34">
        <f>IF(LEN('Providers'!A178)=0,"",IF(ISNUMBER('Providers'!I178),'Providers'!I178,""))</f>
        <v/>
      </c>
      <c r="F179" s="34">
        <f>IF(LEN('Providers'!A178)=0,"",IF(ISNUMBER('Providers'!K178),'Providers'!K178,""))</f>
        <v/>
      </c>
      <c r="G179" s="34">
        <f>IF(LEN('Providers'!A178)=0,"",IF(ISNUMBER('Providers'!M178),'Providers'!M178,""))</f>
        <v/>
      </c>
      <c r="H179" s="34">
        <f>IF(LEN('Providers'!A178)=0,"",IF(ISNUMBER('Providers'!Q178),'Providers'!Q178,""))</f>
        <v/>
      </c>
      <c r="I179" s="34">
        <f>IF(LEN('Providers'!A178)=0,"",IF(ISNUMBER('Providers'!S178),'Providers'!S178,""))</f>
        <v/>
      </c>
      <c r="J179" s="34">
        <f>IF(LEN('Providers'!A178)=0,"",IF(ISNUMBER('Providers'!W178),'Providers'!W178,""))</f>
        <v/>
      </c>
      <c r="K179" s="34">
        <f>IF(LEN('Providers'!A178)=0,"",IF(ISNUMBER('Providers'!Y178),'Providers'!Y178,""))</f>
        <v/>
      </c>
      <c r="L179" s="34">
        <f>IF(LEN('Providers'!A178)=0,"",IF(ISNUMBER('Providers'!AA178),'Providers'!AA178,""))</f>
        <v/>
      </c>
      <c r="M179" s="34">
        <f>IF(LEN('Providers'!A178)=0,"",IF(ISNUMBER('Providers'!AD178),'Providers'!AD178,""))</f>
        <v/>
      </c>
      <c r="N179" s="35">
        <f>IF(LEN('Providers'!A178)=0,"",IF(LEN('Providers'!AG178)=0,"",'Providers'!AG178))</f>
        <v/>
      </c>
    </row>
    <row r="180">
      <c r="A180" s="32">
        <f>IF(LEN('Providers'!A179)=0,"",IF(LEN('Providers'!A179)=0,"",'Providers'!A179))</f>
        <v/>
      </c>
      <c r="B180" s="33">
        <f>IF(LEN('Providers'!A179)=0,"",IF(LEN('Providers'!B179)=0,"",'Providers'!B179))</f>
        <v/>
      </c>
      <c r="C180" s="33">
        <f>IF(LEN('Providers'!A179)=0,"",IF(LEN('Providers'!E179)=0,"",'Providers'!E179))</f>
        <v/>
      </c>
      <c r="D180" s="34">
        <f>IF(LEN('Providers'!A179)=0,"",IF(ISNUMBER('Providers'!G179),'Providers'!G179,""))</f>
        <v/>
      </c>
      <c r="E180" s="34">
        <f>IF(LEN('Providers'!A179)=0,"",IF(ISNUMBER('Providers'!I179),'Providers'!I179,""))</f>
        <v/>
      </c>
      <c r="F180" s="34">
        <f>IF(LEN('Providers'!A179)=0,"",IF(ISNUMBER('Providers'!K179),'Providers'!K179,""))</f>
        <v/>
      </c>
      <c r="G180" s="34">
        <f>IF(LEN('Providers'!A179)=0,"",IF(ISNUMBER('Providers'!M179),'Providers'!M179,""))</f>
        <v/>
      </c>
      <c r="H180" s="34">
        <f>IF(LEN('Providers'!A179)=0,"",IF(ISNUMBER('Providers'!Q179),'Providers'!Q179,""))</f>
        <v/>
      </c>
      <c r="I180" s="34">
        <f>IF(LEN('Providers'!A179)=0,"",IF(ISNUMBER('Providers'!S179),'Providers'!S179,""))</f>
        <v/>
      </c>
      <c r="J180" s="34">
        <f>IF(LEN('Providers'!A179)=0,"",IF(ISNUMBER('Providers'!W179),'Providers'!W179,""))</f>
        <v/>
      </c>
      <c r="K180" s="34">
        <f>IF(LEN('Providers'!A179)=0,"",IF(ISNUMBER('Providers'!Y179),'Providers'!Y179,""))</f>
        <v/>
      </c>
      <c r="L180" s="34">
        <f>IF(LEN('Providers'!A179)=0,"",IF(ISNUMBER('Providers'!AA179),'Providers'!AA179,""))</f>
        <v/>
      </c>
      <c r="M180" s="34">
        <f>IF(LEN('Providers'!A179)=0,"",IF(ISNUMBER('Providers'!AD179),'Providers'!AD179,""))</f>
        <v/>
      </c>
      <c r="N180" s="35">
        <f>IF(LEN('Providers'!A179)=0,"",IF(LEN('Providers'!AG179)=0,"",'Providers'!AG179))</f>
        <v/>
      </c>
    </row>
    <row r="181">
      <c r="A181" s="32">
        <f>IF(LEN('Providers'!A180)=0,"",IF(LEN('Providers'!A180)=0,"",'Providers'!A180))</f>
        <v/>
      </c>
      <c r="B181" s="33">
        <f>IF(LEN('Providers'!A180)=0,"",IF(LEN('Providers'!B180)=0,"",'Providers'!B180))</f>
        <v/>
      </c>
      <c r="C181" s="33">
        <f>IF(LEN('Providers'!A180)=0,"",IF(LEN('Providers'!E180)=0,"",'Providers'!E180))</f>
        <v/>
      </c>
      <c r="D181" s="34">
        <f>IF(LEN('Providers'!A180)=0,"",IF(ISNUMBER('Providers'!G180),'Providers'!G180,""))</f>
        <v/>
      </c>
      <c r="E181" s="34">
        <f>IF(LEN('Providers'!A180)=0,"",IF(ISNUMBER('Providers'!I180),'Providers'!I180,""))</f>
        <v/>
      </c>
      <c r="F181" s="34">
        <f>IF(LEN('Providers'!A180)=0,"",IF(ISNUMBER('Providers'!K180),'Providers'!K180,""))</f>
        <v/>
      </c>
      <c r="G181" s="34">
        <f>IF(LEN('Providers'!A180)=0,"",IF(ISNUMBER('Providers'!M180),'Providers'!M180,""))</f>
        <v/>
      </c>
      <c r="H181" s="34">
        <f>IF(LEN('Providers'!A180)=0,"",IF(ISNUMBER('Providers'!Q180),'Providers'!Q180,""))</f>
        <v/>
      </c>
      <c r="I181" s="34">
        <f>IF(LEN('Providers'!A180)=0,"",IF(ISNUMBER('Providers'!S180),'Providers'!S180,""))</f>
        <v/>
      </c>
      <c r="J181" s="34">
        <f>IF(LEN('Providers'!A180)=0,"",IF(ISNUMBER('Providers'!W180),'Providers'!W180,""))</f>
        <v/>
      </c>
      <c r="K181" s="34">
        <f>IF(LEN('Providers'!A180)=0,"",IF(ISNUMBER('Providers'!Y180),'Providers'!Y180,""))</f>
        <v/>
      </c>
      <c r="L181" s="34">
        <f>IF(LEN('Providers'!A180)=0,"",IF(ISNUMBER('Providers'!AA180),'Providers'!AA180,""))</f>
        <v/>
      </c>
      <c r="M181" s="34">
        <f>IF(LEN('Providers'!A180)=0,"",IF(ISNUMBER('Providers'!AD180),'Providers'!AD180,""))</f>
        <v/>
      </c>
      <c r="N181" s="35">
        <f>IF(LEN('Providers'!A180)=0,"",IF(LEN('Providers'!AG180)=0,"",'Providers'!AG180))</f>
        <v/>
      </c>
    </row>
    <row r="182">
      <c r="A182" s="32">
        <f>IF(LEN('Providers'!A181)=0,"",IF(LEN('Providers'!A181)=0,"",'Providers'!A181))</f>
        <v/>
      </c>
      <c r="B182" s="33">
        <f>IF(LEN('Providers'!A181)=0,"",IF(LEN('Providers'!B181)=0,"",'Providers'!B181))</f>
        <v/>
      </c>
      <c r="C182" s="33">
        <f>IF(LEN('Providers'!A181)=0,"",IF(LEN('Providers'!E181)=0,"",'Providers'!E181))</f>
        <v/>
      </c>
      <c r="D182" s="34">
        <f>IF(LEN('Providers'!A181)=0,"",IF(ISNUMBER('Providers'!G181),'Providers'!G181,""))</f>
        <v/>
      </c>
      <c r="E182" s="34">
        <f>IF(LEN('Providers'!A181)=0,"",IF(ISNUMBER('Providers'!I181),'Providers'!I181,""))</f>
        <v/>
      </c>
      <c r="F182" s="34">
        <f>IF(LEN('Providers'!A181)=0,"",IF(ISNUMBER('Providers'!K181),'Providers'!K181,""))</f>
        <v/>
      </c>
      <c r="G182" s="34">
        <f>IF(LEN('Providers'!A181)=0,"",IF(ISNUMBER('Providers'!M181),'Providers'!M181,""))</f>
        <v/>
      </c>
      <c r="H182" s="34">
        <f>IF(LEN('Providers'!A181)=0,"",IF(ISNUMBER('Providers'!Q181),'Providers'!Q181,""))</f>
        <v/>
      </c>
      <c r="I182" s="34">
        <f>IF(LEN('Providers'!A181)=0,"",IF(ISNUMBER('Providers'!S181),'Providers'!S181,""))</f>
        <v/>
      </c>
      <c r="J182" s="34">
        <f>IF(LEN('Providers'!A181)=0,"",IF(ISNUMBER('Providers'!W181),'Providers'!W181,""))</f>
        <v/>
      </c>
      <c r="K182" s="34">
        <f>IF(LEN('Providers'!A181)=0,"",IF(ISNUMBER('Providers'!Y181),'Providers'!Y181,""))</f>
        <v/>
      </c>
      <c r="L182" s="34">
        <f>IF(LEN('Providers'!A181)=0,"",IF(ISNUMBER('Providers'!AA181),'Providers'!AA181,""))</f>
        <v/>
      </c>
      <c r="M182" s="34">
        <f>IF(LEN('Providers'!A181)=0,"",IF(ISNUMBER('Providers'!AD181),'Providers'!AD181,""))</f>
        <v/>
      </c>
      <c r="N182" s="35">
        <f>IF(LEN('Providers'!A181)=0,"",IF(LEN('Providers'!AG181)=0,"",'Providers'!AG181))</f>
        <v/>
      </c>
    </row>
    <row r="183">
      <c r="A183" s="32">
        <f>IF(LEN('Providers'!A182)=0,"",IF(LEN('Providers'!A182)=0,"",'Providers'!A182))</f>
        <v/>
      </c>
      <c r="B183" s="33">
        <f>IF(LEN('Providers'!A182)=0,"",IF(LEN('Providers'!B182)=0,"",'Providers'!B182))</f>
        <v/>
      </c>
      <c r="C183" s="33">
        <f>IF(LEN('Providers'!A182)=0,"",IF(LEN('Providers'!E182)=0,"",'Providers'!E182))</f>
        <v/>
      </c>
      <c r="D183" s="34">
        <f>IF(LEN('Providers'!A182)=0,"",IF(ISNUMBER('Providers'!G182),'Providers'!G182,""))</f>
        <v/>
      </c>
      <c r="E183" s="34">
        <f>IF(LEN('Providers'!A182)=0,"",IF(ISNUMBER('Providers'!I182),'Providers'!I182,""))</f>
        <v/>
      </c>
      <c r="F183" s="34">
        <f>IF(LEN('Providers'!A182)=0,"",IF(ISNUMBER('Providers'!K182),'Providers'!K182,""))</f>
        <v/>
      </c>
      <c r="G183" s="34">
        <f>IF(LEN('Providers'!A182)=0,"",IF(ISNUMBER('Providers'!M182),'Providers'!M182,""))</f>
        <v/>
      </c>
      <c r="H183" s="34">
        <f>IF(LEN('Providers'!A182)=0,"",IF(ISNUMBER('Providers'!Q182),'Providers'!Q182,""))</f>
        <v/>
      </c>
      <c r="I183" s="34">
        <f>IF(LEN('Providers'!A182)=0,"",IF(ISNUMBER('Providers'!S182),'Providers'!S182,""))</f>
        <v/>
      </c>
      <c r="J183" s="34">
        <f>IF(LEN('Providers'!A182)=0,"",IF(ISNUMBER('Providers'!W182),'Providers'!W182,""))</f>
        <v/>
      </c>
      <c r="K183" s="34">
        <f>IF(LEN('Providers'!A182)=0,"",IF(ISNUMBER('Providers'!Y182),'Providers'!Y182,""))</f>
        <v/>
      </c>
      <c r="L183" s="34">
        <f>IF(LEN('Providers'!A182)=0,"",IF(ISNUMBER('Providers'!AA182),'Providers'!AA182,""))</f>
        <v/>
      </c>
      <c r="M183" s="34">
        <f>IF(LEN('Providers'!A182)=0,"",IF(ISNUMBER('Providers'!AD182),'Providers'!AD182,""))</f>
        <v/>
      </c>
      <c r="N183" s="35">
        <f>IF(LEN('Providers'!A182)=0,"",IF(LEN('Providers'!AG182)=0,"",'Providers'!AG182))</f>
        <v/>
      </c>
    </row>
    <row r="184">
      <c r="A184" s="32">
        <f>IF(LEN('Providers'!A183)=0,"",IF(LEN('Providers'!A183)=0,"",'Providers'!A183))</f>
        <v/>
      </c>
      <c r="B184" s="33">
        <f>IF(LEN('Providers'!A183)=0,"",IF(LEN('Providers'!B183)=0,"",'Providers'!B183))</f>
        <v/>
      </c>
      <c r="C184" s="33">
        <f>IF(LEN('Providers'!A183)=0,"",IF(LEN('Providers'!E183)=0,"",'Providers'!E183))</f>
        <v/>
      </c>
      <c r="D184" s="34">
        <f>IF(LEN('Providers'!A183)=0,"",IF(ISNUMBER('Providers'!G183),'Providers'!G183,""))</f>
        <v/>
      </c>
      <c r="E184" s="34">
        <f>IF(LEN('Providers'!A183)=0,"",IF(ISNUMBER('Providers'!I183),'Providers'!I183,""))</f>
        <v/>
      </c>
      <c r="F184" s="34">
        <f>IF(LEN('Providers'!A183)=0,"",IF(ISNUMBER('Providers'!K183),'Providers'!K183,""))</f>
        <v/>
      </c>
      <c r="G184" s="34">
        <f>IF(LEN('Providers'!A183)=0,"",IF(ISNUMBER('Providers'!M183),'Providers'!M183,""))</f>
        <v/>
      </c>
      <c r="H184" s="34">
        <f>IF(LEN('Providers'!A183)=0,"",IF(ISNUMBER('Providers'!Q183),'Providers'!Q183,""))</f>
        <v/>
      </c>
      <c r="I184" s="34">
        <f>IF(LEN('Providers'!A183)=0,"",IF(ISNUMBER('Providers'!S183),'Providers'!S183,""))</f>
        <v/>
      </c>
      <c r="J184" s="34">
        <f>IF(LEN('Providers'!A183)=0,"",IF(ISNUMBER('Providers'!W183),'Providers'!W183,""))</f>
        <v/>
      </c>
      <c r="K184" s="34">
        <f>IF(LEN('Providers'!A183)=0,"",IF(ISNUMBER('Providers'!Y183),'Providers'!Y183,""))</f>
        <v/>
      </c>
      <c r="L184" s="34">
        <f>IF(LEN('Providers'!A183)=0,"",IF(ISNUMBER('Providers'!AA183),'Providers'!AA183,""))</f>
        <v/>
      </c>
      <c r="M184" s="34">
        <f>IF(LEN('Providers'!A183)=0,"",IF(ISNUMBER('Providers'!AD183),'Providers'!AD183,""))</f>
        <v/>
      </c>
      <c r="N184" s="35">
        <f>IF(LEN('Providers'!A183)=0,"",IF(LEN('Providers'!AG183)=0,"",'Providers'!AG183))</f>
        <v/>
      </c>
    </row>
    <row r="185">
      <c r="A185" s="32">
        <f>IF(LEN('Providers'!A184)=0,"",IF(LEN('Providers'!A184)=0,"",'Providers'!A184))</f>
        <v/>
      </c>
      <c r="B185" s="33">
        <f>IF(LEN('Providers'!A184)=0,"",IF(LEN('Providers'!B184)=0,"",'Providers'!B184))</f>
        <v/>
      </c>
      <c r="C185" s="33">
        <f>IF(LEN('Providers'!A184)=0,"",IF(LEN('Providers'!E184)=0,"",'Providers'!E184))</f>
        <v/>
      </c>
      <c r="D185" s="34">
        <f>IF(LEN('Providers'!A184)=0,"",IF(ISNUMBER('Providers'!G184),'Providers'!G184,""))</f>
        <v/>
      </c>
      <c r="E185" s="34">
        <f>IF(LEN('Providers'!A184)=0,"",IF(ISNUMBER('Providers'!I184),'Providers'!I184,""))</f>
        <v/>
      </c>
      <c r="F185" s="34">
        <f>IF(LEN('Providers'!A184)=0,"",IF(ISNUMBER('Providers'!K184),'Providers'!K184,""))</f>
        <v/>
      </c>
      <c r="G185" s="34">
        <f>IF(LEN('Providers'!A184)=0,"",IF(ISNUMBER('Providers'!M184),'Providers'!M184,""))</f>
        <v/>
      </c>
      <c r="H185" s="34">
        <f>IF(LEN('Providers'!A184)=0,"",IF(ISNUMBER('Providers'!Q184),'Providers'!Q184,""))</f>
        <v/>
      </c>
      <c r="I185" s="34">
        <f>IF(LEN('Providers'!A184)=0,"",IF(ISNUMBER('Providers'!S184),'Providers'!S184,""))</f>
        <v/>
      </c>
      <c r="J185" s="34">
        <f>IF(LEN('Providers'!A184)=0,"",IF(ISNUMBER('Providers'!W184),'Providers'!W184,""))</f>
        <v/>
      </c>
      <c r="K185" s="34">
        <f>IF(LEN('Providers'!A184)=0,"",IF(ISNUMBER('Providers'!Y184),'Providers'!Y184,""))</f>
        <v/>
      </c>
      <c r="L185" s="34">
        <f>IF(LEN('Providers'!A184)=0,"",IF(ISNUMBER('Providers'!AA184),'Providers'!AA184,""))</f>
        <v/>
      </c>
      <c r="M185" s="34">
        <f>IF(LEN('Providers'!A184)=0,"",IF(ISNUMBER('Providers'!AD184),'Providers'!AD184,""))</f>
        <v/>
      </c>
      <c r="N185" s="35">
        <f>IF(LEN('Providers'!A184)=0,"",IF(LEN('Providers'!AG184)=0,"",'Providers'!AG184))</f>
        <v/>
      </c>
    </row>
    <row r="186">
      <c r="A186" s="32">
        <f>IF(LEN('Providers'!A185)=0,"",IF(LEN('Providers'!A185)=0,"",'Providers'!A185))</f>
        <v/>
      </c>
      <c r="B186" s="33">
        <f>IF(LEN('Providers'!A185)=0,"",IF(LEN('Providers'!B185)=0,"",'Providers'!B185))</f>
        <v/>
      </c>
      <c r="C186" s="33">
        <f>IF(LEN('Providers'!A185)=0,"",IF(LEN('Providers'!E185)=0,"",'Providers'!E185))</f>
        <v/>
      </c>
      <c r="D186" s="34">
        <f>IF(LEN('Providers'!A185)=0,"",IF(ISNUMBER('Providers'!G185),'Providers'!G185,""))</f>
        <v/>
      </c>
      <c r="E186" s="34">
        <f>IF(LEN('Providers'!A185)=0,"",IF(ISNUMBER('Providers'!I185),'Providers'!I185,""))</f>
        <v/>
      </c>
      <c r="F186" s="34">
        <f>IF(LEN('Providers'!A185)=0,"",IF(ISNUMBER('Providers'!K185),'Providers'!K185,""))</f>
        <v/>
      </c>
      <c r="G186" s="34">
        <f>IF(LEN('Providers'!A185)=0,"",IF(ISNUMBER('Providers'!M185),'Providers'!M185,""))</f>
        <v/>
      </c>
      <c r="H186" s="34">
        <f>IF(LEN('Providers'!A185)=0,"",IF(ISNUMBER('Providers'!Q185),'Providers'!Q185,""))</f>
        <v/>
      </c>
      <c r="I186" s="34">
        <f>IF(LEN('Providers'!A185)=0,"",IF(ISNUMBER('Providers'!S185),'Providers'!S185,""))</f>
        <v/>
      </c>
      <c r="J186" s="34">
        <f>IF(LEN('Providers'!A185)=0,"",IF(ISNUMBER('Providers'!W185),'Providers'!W185,""))</f>
        <v/>
      </c>
      <c r="K186" s="34">
        <f>IF(LEN('Providers'!A185)=0,"",IF(ISNUMBER('Providers'!Y185),'Providers'!Y185,""))</f>
        <v/>
      </c>
      <c r="L186" s="34">
        <f>IF(LEN('Providers'!A185)=0,"",IF(ISNUMBER('Providers'!AA185),'Providers'!AA185,""))</f>
        <v/>
      </c>
      <c r="M186" s="34">
        <f>IF(LEN('Providers'!A185)=0,"",IF(ISNUMBER('Providers'!AD185),'Providers'!AD185,""))</f>
        <v/>
      </c>
      <c r="N186" s="35">
        <f>IF(LEN('Providers'!A185)=0,"",IF(LEN('Providers'!AG185)=0,"",'Providers'!AG185))</f>
        <v/>
      </c>
    </row>
    <row r="187">
      <c r="A187" s="32">
        <f>IF(LEN('Providers'!A186)=0,"",IF(LEN('Providers'!A186)=0,"",'Providers'!A186))</f>
        <v/>
      </c>
      <c r="B187" s="33">
        <f>IF(LEN('Providers'!A186)=0,"",IF(LEN('Providers'!B186)=0,"",'Providers'!B186))</f>
        <v/>
      </c>
      <c r="C187" s="33">
        <f>IF(LEN('Providers'!A186)=0,"",IF(LEN('Providers'!E186)=0,"",'Providers'!E186))</f>
        <v/>
      </c>
      <c r="D187" s="34">
        <f>IF(LEN('Providers'!A186)=0,"",IF(ISNUMBER('Providers'!G186),'Providers'!G186,""))</f>
        <v/>
      </c>
      <c r="E187" s="34">
        <f>IF(LEN('Providers'!A186)=0,"",IF(ISNUMBER('Providers'!I186),'Providers'!I186,""))</f>
        <v/>
      </c>
      <c r="F187" s="34">
        <f>IF(LEN('Providers'!A186)=0,"",IF(ISNUMBER('Providers'!K186),'Providers'!K186,""))</f>
        <v/>
      </c>
      <c r="G187" s="34">
        <f>IF(LEN('Providers'!A186)=0,"",IF(ISNUMBER('Providers'!M186),'Providers'!M186,""))</f>
        <v/>
      </c>
      <c r="H187" s="34">
        <f>IF(LEN('Providers'!A186)=0,"",IF(ISNUMBER('Providers'!Q186),'Providers'!Q186,""))</f>
        <v/>
      </c>
      <c r="I187" s="34">
        <f>IF(LEN('Providers'!A186)=0,"",IF(ISNUMBER('Providers'!S186),'Providers'!S186,""))</f>
        <v/>
      </c>
      <c r="J187" s="34">
        <f>IF(LEN('Providers'!A186)=0,"",IF(ISNUMBER('Providers'!W186),'Providers'!W186,""))</f>
        <v/>
      </c>
      <c r="K187" s="34">
        <f>IF(LEN('Providers'!A186)=0,"",IF(ISNUMBER('Providers'!Y186),'Providers'!Y186,""))</f>
        <v/>
      </c>
      <c r="L187" s="34">
        <f>IF(LEN('Providers'!A186)=0,"",IF(ISNUMBER('Providers'!AA186),'Providers'!AA186,""))</f>
        <v/>
      </c>
      <c r="M187" s="34">
        <f>IF(LEN('Providers'!A186)=0,"",IF(ISNUMBER('Providers'!AD186),'Providers'!AD186,""))</f>
        <v/>
      </c>
      <c r="N187" s="35">
        <f>IF(LEN('Providers'!A186)=0,"",IF(LEN('Providers'!AG186)=0,"",'Providers'!AG186))</f>
        <v/>
      </c>
    </row>
    <row r="188">
      <c r="A188" s="32">
        <f>IF(LEN('Providers'!A187)=0,"",IF(LEN('Providers'!A187)=0,"",'Providers'!A187))</f>
        <v/>
      </c>
      <c r="B188" s="33">
        <f>IF(LEN('Providers'!A187)=0,"",IF(LEN('Providers'!B187)=0,"",'Providers'!B187))</f>
        <v/>
      </c>
      <c r="C188" s="33">
        <f>IF(LEN('Providers'!A187)=0,"",IF(LEN('Providers'!E187)=0,"",'Providers'!E187))</f>
        <v/>
      </c>
      <c r="D188" s="34">
        <f>IF(LEN('Providers'!A187)=0,"",IF(ISNUMBER('Providers'!G187),'Providers'!G187,""))</f>
        <v/>
      </c>
      <c r="E188" s="34">
        <f>IF(LEN('Providers'!A187)=0,"",IF(ISNUMBER('Providers'!I187),'Providers'!I187,""))</f>
        <v/>
      </c>
      <c r="F188" s="34">
        <f>IF(LEN('Providers'!A187)=0,"",IF(ISNUMBER('Providers'!K187),'Providers'!K187,""))</f>
        <v/>
      </c>
      <c r="G188" s="34">
        <f>IF(LEN('Providers'!A187)=0,"",IF(ISNUMBER('Providers'!M187),'Providers'!M187,""))</f>
        <v/>
      </c>
      <c r="H188" s="34">
        <f>IF(LEN('Providers'!A187)=0,"",IF(ISNUMBER('Providers'!Q187),'Providers'!Q187,""))</f>
        <v/>
      </c>
      <c r="I188" s="34">
        <f>IF(LEN('Providers'!A187)=0,"",IF(ISNUMBER('Providers'!S187),'Providers'!S187,""))</f>
        <v/>
      </c>
      <c r="J188" s="34">
        <f>IF(LEN('Providers'!A187)=0,"",IF(ISNUMBER('Providers'!W187),'Providers'!W187,""))</f>
        <v/>
      </c>
      <c r="K188" s="34">
        <f>IF(LEN('Providers'!A187)=0,"",IF(ISNUMBER('Providers'!Y187),'Providers'!Y187,""))</f>
        <v/>
      </c>
      <c r="L188" s="34">
        <f>IF(LEN('Providers'!A187)=0,"",IF(ISNUMBER('Providers'!AA187),'Providers'!AA187,""))</f>
        <v/>
      </c>
      <c r="M188" s="34">
        <f>IF(LEN('Providers'!A187)=0,"",IF(ISNUMBER('Providers'!AD187),'Providers'!AD187,""))</f>
        <v/>
      </c>
      <c r="N188" s="35">
        <f>IF(LEN('Providers'!A187)=0,"",IF(LEN('Providers'!AG187)=0,"",'Providers'!AG187))</f>
        <v/>
      </c>
    </row>
    <row r="189">
      <c r="A189" s="32">
        <f>IF(LEN('Providers'!A188)=0,"",IF(LEN('Providers'!A188)=0,"",'Providers'!A188))</f>
        <v/>
      </c>
      <c r="B189" s="33">
        <f>IF(LEN('Providers'!A188)=0,"",IF(LEN('Providers'!B188)=0,"",'Providers'!B188))</f>
        <v/>
      </c>
      <c r="C189" s="33">
        <f>IF(LEN('Providers'!A188)=0,"",IF(LEN('Providers'!E188)=0,"",'Providers'!E188))</f>
        <v/>
      </c>
      <c r="D189" s="34">
        <f>IF(LEN('Providers'!A188)=0,"",IF(ISNUMBER('Providers'!G188),'Providers'!G188,""))</f>
        <v/>
      </c>
      <c r="E189" s="34">
        <f>IF(LEN('Providers'!A188)=0,"",IF(ISNUMBER('Providers'!I188),'Providers'!I188,""))</f>
        <v/>
      </c>
      <c r="F189" s="34">
        <f>IF(LEN('Providers'!A188)=0,"",IF(ISNUMBER('Providers'!K188),'Providers'!K188,""))</f>
        <v/>
      </c>
      <c r="G189" s="34">
        <f>IF(LEN('Providers'!A188)=0,"",IF(ISNUMBER('Providers'!M188),'Providers'!M188,""))</f>
        <v/>
      </c>
      <c r="H189" s="34">
        <f>IF(LEN('Providers'!A188)=0,"",IF(ISNUMBER('Providers'!Q188),'Providers'!Q188,""))</f>
        <v/>
      </c>
      <c r="I189" s="34">
        <f>IF(LEN('Providers'!A188)=0,"",IF(ISNUMBER('Providers'!S188),'Providers'!S188,""))</f>
        <v/>
      </c>
      <c r="J189" s="34">
        <f>IF(LEN('Providers'!A188)=0,"",IF(ISNUMBER('Providers'!W188),'Providers'!W188,""))</f>
        <v/>
      </c>
      <c r="K189" s="34">
        <f>IF(LEN('Providers'!A188)=0,"",IF(ISNUMBER('Providers'!Y188),'Providers'!Y188,""))</f>
        <v/>
      </c>
      <c r="L189" s="34">
        <f>IF(LEN('Providers'!A188)=0,"",IF(ISNUMBER('Providers'!AA188),'Providers'!AA188,""))</f>
        <v/>
      </c>
      <c r="M189" s="34">
        <f>IF(LEN('Providers'!A188)=0,"",IF(ISNUMBER('Providers'!AD188),'Providers'!AD188,""))</f>
        <v/>
      </c>
      <c r="N189" s="35">
        <f>IF(LEN('Providers'!A188)=0,"",IF(LEN('Providers'!AG188)=0,"",'Providers'!AG188))</f>
        <v/>
      </c>
    </row>
    <row r="190">
      <c r="A190" s="32">
        <f>IF(LEN('Providers'!A189)=0,"",IF(LEN('Providers'!A189)=0,"",'Providers'!A189))</f>
        <v/>
      </c>
      <c r="B190" s="33">
        <f>IF(LEN('Providers'!A189)=0,"",IF(LEN('Providers'!B189)=0,"",'Providers'!B189))</f>
        <v/>
      </c>
      <c r="C190" s="33">
        <f>IF(LEN('Providers'!A189)=0,"",IF(LEN('Providers'!E189)=0,"",'Providers'!E189))</f>
        <v/>
      </c>
      <c r="D190" s="34">
        <f>IF(LEN('Providers'!A189)=0,"",IF(ISNUMBER('Providers'!G189),'Providers'!G189,""))</f>
        <v/>
      </c>
      <c r="E190" s="34">
        <f>IF(LEN('Providers'!A189)=0,"",IF(ISNUMBER('Providers'!I189),'Providers'!I189,""))</f>
        <v/>
      </c>
      <c r="F190" s="34">
        <f>IF(LEN('Providers'!A189)=0,"",IF(ISNUMBER('Providers'!K189),'Providers'!K189,""))</f>
        <v/>
      </c>
      <c r="G190" s="34">
        <f>IF(LEN('Providers'!A189)=0,"",IF(ISNUMBER('Providers'!M189),'Providers'!M189,""))</f>
        <v/>
      </c>
      <c r="H190" s="34">
        <f>IF(LEN('Providers'!A189)=0,"",IF(ISNUMBER('Providers'!Q189),'Providers'!Q189,""))</f>
        <v/>
      </c>
      <c r="I190" s="34">
        <f>IF(LEN('Providers'!A189)=0,"",IF(ISNUMBER('Providers'!S189),'Providers'!S189,""))</f>
        <v/>
      </c>
      <c r="J190" s="34">
        <f>IF(LEN('Providers'!A189)=0,"",IF(ISNUMBER('Providers'!W189),'Providers'!W189,""))</f>
        <v/>
      </c>
      <c r="K190" s="34">
        <f>IF(LEN('Providers'!A189)=0,"",IF(ISNUMBER('Providers'!Y189),'Providers'!Y189,""))</f>
        <v/>
      </c>
      <c r="L190" s="34">
        <f>IF(LEN('Providers'!A189)=0,"",IF(ISNUMBER('Providers'!AA189),'Providers'!AA189,""))</f>
        <v/>
      </c>
      <c r="M190" s="34">
        <f>IF(LEN('Providers'!A189)=0,"",IF(ISNUMBER('Providers'!AD189),'Providers'!AD189,""))</f>
        <v/>
      </c>
      <c r="N190" s="35">
        <f>IF(LEN('Providers'!A189)=0,"",IF(LEN('Providers'!AG189)=0,"",'Providers'!AG189))</f>
        <v/>
      </c>
    </row>
    <row r="191">
      <c r="A191" s="32">
        <f>IF(LEN('Providers'!A190)=0,"",IF(LEN('Providers'!A190)=0,"",'Providers'!A190))</f>
        <v/>
      </c>
      <c r="B191" s="33">
        <f>IF(LEN('Providers'!A190)=0,"",IF(LEN('Providers'!B190)=0,"",'Providers'!B190))</f>
        <v/>
      </c>
      <c r="C191" s="33">
        <f>IF(LEN('Providers'!A190)=0,"",IF(LEN('Providers'!E190)=0,"",'Providers'!E190))</f>
        <v/>
      </c>
      <c r="D191" s="34">
        <f>IF(LEN('Providers'!A190)=0,"",IF(ISNUMBER('Providers'!G190),'Providers'!G190,""))</f>
        <v/>
      </c>
      <c r="E191" s="34">
        <f>IF(LEN('Providers'!A190)=0,"",IF(ISNUMBER('Providers'!I190),'Providers'!I190,""))</f>
        <v/>
      </c>
      <c r="F191" s="34">
        <f>IF(LEN('Providers'!A190)=0,"",IF(ISNUMBER('Providers'!K190),'Providers'!K190,""))</f>
        <v/>
      </c>
      <c r="G191" s="34">
        <f>IF(LEN('Providers'!A190)=0,"",IF(ISNUMBER('Providers'!M190),'Providers'!M190,""))</f>
        <v/>
      </c>
      <c r="H191" s="34">
        <f>IF(LEN('Providers'!A190)=0,"",IF(ISNUMBER('Providers'!Q190),'Providers'!Q190,""))</f>
        <v/>
      </c>
      <c r="I191" s="34">
        <f>IF(LEN('Providers'!A190)=0,"",IF(ISNUMBER('Providers'!S190),'Providers'!S190,""))</f>
        <v/>
      </c>
      <c r="J191" s="34">
        <f>IF(LEN('Providers'!A190)=0,"",IF(ISNUMBER('Providers'!W190),'Providers'!W190,""))</f>
        <v/>
      </c>
      <c r="K191" s="34">
        <f>IF(LEN('Providers'!A190)=0,"",IF(ISNUMBER('Providers'!Y190),'Providers'!Y190,""))</f>
        <v/>
      </c>
      <c r="L191" s="34">
        <f>IF(LEN('Providers'!A190)=0,"",IF(ISNUMBER('Providers'!AA190),'Providers'!AA190,""))</f>
        <v/>
      </c>
      <c r="M191" s="34">
        <f>IF(LEN('Providers'!A190)=0,"",IF(ISNUMBER('Providers'!AD190),'Providers'!AD190,""))</f>
        <v/>
      </c>
      <c r="N191" s="35">
        <f>IF(LEN('Providers'!A190)=0,"",IF(LEN('Providers'!AG190)=0,"",'Providers'!AG190))</f>
        <v/>
      </c>
    </row>
    <row r="192">
      <c r="A192" s="32">
        <f>IF(LEN('Providers'!A191)=0,"",IF(LEN('Providers'!A191)=0,"",'Providers'!A191))</f>
        <v/>
      </c>
      <c r="B192" s="33">
        <f>IF(LEN('Providers'!A191)=0,"",IF(LEN('Providers'!B191)=0,"",'Providers'!B191))</f>
        <v/>
      </c>
      <c r="C192" s="33">
        <f>IF(LEN('Providers'!A191)=0,"",IF(LEN('Providers'!E191)=0,"",'Providers'!E191))</f>
        <v/>
      </c>
      <c r="D192" s="34">
        <f>IF(LEN('Providers'!A191)=0,"",IF(ISNUMBER('Providers'!G191),'Providers'!G191,""))</f>
        <v/>
      </c>
      <c r="E192" s="34">
        <f>IF(LEN('Providers'!A191)=0,"",IF(ISNUMBER('Providers'!I191),'Providers'!I191,""))</f>
        <v/>
      </c>
      <c r="F192" s="34">
        <f>IF(LEN('Providers'!A191)=0,"",IF(ISNUMBER('Providers'!K191),'Providers'!K191,""))</f>
        <v/>
      </c>
      <c r="G192" s="34">
        <f>IF(LEN('Providers'!A191)=0,"",IF(ISNUMBER('Providers'!M191),'Providers'!M191,""))</f>
        <v/>
      </c>
      <c r="H192" s="34">
        <f>IF(LEN('Providers'!A191)=0,"",IF(ISNUMBER('Providers'!Q191),'Providers'!Q191,""))</f>
        <v/>
      </c>
      <c r="I192" s="34">
        <f>IF(LEN('Providers'!A191)=0,"",IF(ISNUMBER('Providers'!S191),'Providers'!S191,""))</f>
        <v/>
      </c>
      <c r="J192" s="34">
        <f>IF(LEN('Providers'!A191)=0,"",IF(ISNUMBER('Providers'!W191),'Providers'!W191,""))</f>
        <v/>
      </c>
      <c r="K192" s="34">
        <f>IF(LEN('Providers'!A191)=0,"",IF(ISNUMBER('Providers'!Y191),'Providers'!Y191,""))</f>
        <v/>
      </c>
      <c r="L192" s="34">
        <f>IF(LEN('Providers'!A191)=0,"",IF(ISNUMBER('Providers'!AA191),'Providers'!AA191,""))</f>
        <v/>
      </c>
      <c r="M192" s="34">
        <f>IF(LEN('Providers'!A191)=0,"",IF(ISNUMBER('Providers'!AD191),'Providers'!AD191,""))</f>
        <v/>
      </c>
      <c r="N192" s="35">
        <f>IF(LEN('Providers'!A191)=0,"",IF(LEN('Providers'!AG191)=0,"",'Providers'!AG191))</f>
        <v/>
      </c>
    </row>
    <row r="193">
      <c r="A193" s="32">
        <f>IF(LEN('Providers'!A192)=0,"",IF(LEN('Providers'!A192)=0,"",'Providers'!A192))</f>
        <v/>
      </c>
      <c r="B193" s="33">
        <f>IF(LEN('Providers'!A192)=0,"",IF(LEN('Providers'!B192)=0,"",'Providers'!B192))</f>
        <v/>
      </c>
      <c r="C193" s="33">
        <f>IF(LEN('Providers'!A192)=0,"",IF(LEN('Providers'!E192)=0,"",'Providers'!E192))</f>
        <v/>
      </c>
      <c r="D193" s="34">
        <f>IF(LEN('Providers'!A192)=0,"",IF(ISNUMBER('Providers'!G192),'Providers'!G192,""))</f>
        <v/>
      </c>
      <c r="E193" s="34">
        <f>IF(LEN('Providers'!A192)=0,"",IF(ISNUMBER('Providers'!I192),'Providers'!I192,""))</f>
        <v/>
      </c>
      <c r="F193" s="34">
        <f>IF(LEN('Providers'!A192)=0,"",IF(ISNUMBER('Providers'!K192),'Providers'!K192,""))</f>
        <v/>
      </c>
      <c r="G193" s="34">
        <f>IF(LEN('Providers'!A192)=0,"",IF(ISNUMBER('Providers'!M192),'Providers'!M192,""))</f>
        <v/>
      </c>
      <c r="H193" s="34">
        <f>IF(LEN('Providers'!A192)=0,"",IF(ISNUMBER('Providers'!Q192),'Providers'!Q192,""))</f>
        <v/>
      </c>
      <c r="I193" s="34">
        <f>IF(LEN('Providers'!A192)=0,"",IF(ISNUMBER('Providers'!S192),'Providers'!S192,""))</f>
        <v/>
      </c>
      <c r="J193" s="34">
        <f>IF(LEN('Providers'!A192)=0,"",IF(ISNUMBER('Providers'!W192),'Providers'!W192,""))</f>
        <v/>
      </c>
      <c r="K193" s="34">
        <f>IF(LEN('Providers'!A192)=0,"",IF(ISNUMBER('Providers'!Y192),'Providers'!Y192,""))</f>
        <v/>
      </c>
      <c r="L193" s="34">
        <f>IF(LEN('Providers'!A192)=0,"",IF(ISNUMBER('Providers'!AA192),'Providers'!AA192,""))</f>
        <v/>
      </c>
      <c r="M193" s="34">
        <f>IF(LEN('Providers'!A192)=0,"",IF(ISNUMBER('Providers'!AD192),'Providers'!AD192,""))</f>
        <v/>
      </c>
      <c r="N193" s="35">
        <f>IF(LEN('Providers'!A192)=0,"",IF(LEN('Providers'!AG192)=0,"",'Providers'!AG192))</f>
        <v/>
      </c>
    </row>
    <row r="194">
      <c r="A194" s="32">
        <f>IF(LEN('Providers'!A193)=0,"",IF(LEN('Providers'!A193)=0,"",'Providers'!A193))</f>
        <v/>
      </c>
      <c r="B194" s="33">
        <f>IF(LEN('Providers'!A193)=0,"",IF(LEN('Providers'!B193)=0,"",'Providers'!B193))</f>
        <v/>
      </c>
      <c r="C194" s="33">
        <f>IF(LEN('Providers'!A193)=0,"",IF(LEN('Providers'!E193)=0,"",'Providers'!E193))</f>
        <v/>
      </c>
      <c r="D194" s="34">
        <f>IF(LEN('Providers'!A193)=0,"",IF(ISNUMBER('Providers'!G193),'Providers'!G193,""))</f>
        <v/>
      </c>
      <c r="E194" s="34">
        <f>IF(LEN('Providers'!A193)=0,"",IF(ISNUMBER('Providers'!I193),'Providers'!I193,""))</f>
        <v/>
      </c>
      <c r="F194" s="34">
        <f>IF(LEN('Providers'!A193)=0,"",IF(ISNUMBER('Providers'!K193),'Providers'!K193,""))</f>
        <v/>
      </c>
      <c r="G194" s="34">
        <f>IF(LEN('Providers'!A193)=0,"",IF(ISNUMBER('Providers'!M193),'Providers'!M193,""))</f>
        <v/>
      </c>
      <c r="H194" s="34">
        <f>IF(LEN('Providers'!A193)=0,"",IF(ISNUMBER('Providers'!Q193),'Providers'!Q193,""))</f>
        <v/>
      </c>
      <c r="I194" s="34">
        <f>IF(LEN('Providers'!A193)=0,"",IF(ISNUMBER('Providers'!S193),'Providers'!S193,""))</f>
        <v/>
      </c>
      <c r="J194" s="34">
        <f>IF(LEN('Providers'!A193)=0,"",IF(ISNUMBER('Providers'!W193),'Providers'!W193,""))</f>
        <v/>
      </c>
      <c r="K194" s="34">
        <f>IF(LEN('Providers'!A193)=0,"",IF(ISNUMBER('Providers'!Y193),'Providers'!Y193,""))</f>
        <v/>
      </c>
      <c r="L194" s="34">
        <f>IF(LEN('Providers'!A193)=0,"",IF(ISNUMBER('Providers'!AA193),'Providers'!AA193,""))</f>
        <v/>
      </c>
      <c r="M194" s="34">
        <f>IF(LEN('Providers'!A193)=0,"",IF(ISNUMBER('Providers'!AD193),'Providers'!AD193,""))</f>
        <v/>
      </c>
      <c r="N194" s="35">
        <f>IF(LEN('Providers'!A193)=0,"",IF(LEN('Providers'!AG193)=0,"",'Providers'!AG193))</f>
        <v/>
      </c>
    </row>
    <row r="195">
      <c r="A195" s="32">
        <f>IF(LEN('Providers'!A194)=0,"",IF(LEN('Providers'!A194)=0,"",'Providers'!A194))</f>
        <v/>
      </c>
      <c r="B195" s="33">
        <f>IF(LEN('Providers'!A194)=0,"",IF(LEN('Providers'!B194)=0,"",'Providers'!B194))</f>
        <v/>
      </c>
      <c r="C195" s="33">
        <f>IF(LEN('Providers'!A194)=0,"",IF(LEN('Providers'!E194)=0,"",'Providers'!E194))</f>
        <v/>
      </c>
      <c r="D195" s="34">
        <f>IF(LEN('Providers'!A194)=0,"",IF(ISNUMBER('Providers'!G194),'Providers'!G194,""))</f>
        <v/>
      </c>
      <c r="E195" s="34">
        <f>IF(LEN('Providers'!A194)=0,"",IF(ISNUMBER('Providers'!I194),'Providers'!I194,""))</f>
        <v/>
      </c>
      <c r="F195" s="34">
        <f>IF(LEN('Providers'!A194)=0,"",IF(ISNUMBER('Providers'!K194),'Providers'!K194,""))</f>
        <v/>
      </c>
      <c r="G195" s="34">
        <f>IF(LEN('Providers'!A194)=0,"",IF(ISNUMBER('Providers'!M194),'Providers'!M194,""))</f>
        <v/>
      </c>
      <c r="H195" s="34">
        <f>IF(LEN('Providers'!A194)=0,"",IF(ISNUMBER('Providers'!Q194),'Providers'!Q194,""))</f>
        <v/>
      </c>
      <c r="I195" s="34">
        <f>IF(LEN('Providers'!A194)=0,"",IF(ISNUMBER('Providers'!S194),'Providers'!S194,""))</f>
        <v/>
      </c>
      <c r="J195" s="34">
        <f>IF(LEN('Providers'!A194)=0,"",IF(ISNUMBER('Providers'!W194),'Providers'!W194,""))</f>
        <v/>
      </c>
      <c r="K195" s="34">
        <f>IF(LEN('Providers'!A194)=0,"",IF(ISNUMBER('Providers'!Y194),'Providers'!Y194,""))</f>
        <v/>
      </c>
      <c r="L195" s="34">
        <f>IF(LEN('Providers'!A194)=0,"",IF(ISNUMBER('Providers'!AA194),'Providers'!AA194,""))</f>
        <v/>
      </c>
      <c r="M195" s="34">
        <f>IF(LEN('Providers'!A194)=0,"",IF(ISNUMBER('Providers'!AD194),'Providers'!AD194,""))</f>
        <v/>
      </c>
      <c r="N195" s="35">
        <f>IF(LEN('Providers'!A194)=0,"",IF(LEN('Providers'!AG194)=0,"",'Providers'!AG194))</f>
        <v/>
      </c>
    </row>
    <row r="196">
      <c r="A196" s="32">
        <f>IF(LEN('Providers'!A195)=0,"",IF(LEN('Providers'!A195)=0,"",'Providers'!A195))</f>
        <v/>
      </c>
      <c r="B196" s="33">
        <f>IF(LEN('Providers'!A195)=0,"",IF(LEN('Providers'!B195)=0,"",'Providers'!B195))</f>
        <v/>
      </c>
      <c r="C196" s="33">
        <f>IF(LEN('Providers'!A195)=0,"",IF(LEN('Providers'!E195)=0,"",'Providers'!E195))</f>
        <v/>
      </c>
      <c r="D196" s="34">
        <f>IF(LEN('Providers'!A195)=0,"",IF(ISNUMBER('Providers'!G195),'Providers'!G195,""))</f>
        <v/>
      </c>
      <c r="E196" s="34">
        <f>IF(LEN('Providers'!A195)=0,"",IF(ISNUMBER('Providers'!I195),'Providers'!I195,""))</f>
        <v/>
      </c>
      <c r="F196" s="34">
        <f>IF(LEN('Providers'!A195)=0,"",IF(ISNUMBER('Providers'!K195),'Providers'!K195,""))</f>
        <v/>
      </c>
      <c r="G196" s="34">
        <f>IF(LEN('Providers'!A195)=0,"",IF(ISNUMBER('Providers'!M195),'Providers'!M195,""))</f>
        <v/>
      </c>
      <c r="H196" s="34">
        <f>IF(LEN('Providers'!A195)=0,"",IF(ISNUMBER('Providers'!Q195),'Providers'!Q195,""))</f>
        <v/>
      </c>
      <c r="I196" s="34">
        <f>IF(LEN('Providers'!A195)=0,"",IF(ISNUMBER('Providers'!S195),'Providers'!S195,""))</f>
        <v/>
      </c>
      <c r="J196" s="34">
        <f>IF(LEN('Providers'!A195)=0,"",IF(ISNUMBER('Providers'!W195),'Providers'!W195,""))</f>
        <v/>
      </c>
      <c r="K196" s="34">
        <f>IF(LEN('Providers'!A195)=0,"",IF(ISNUMBER('Providers'!Y195),'Providers'!Y195,""))</f>
        <v/>
      </c>
      <c r="L196" s="34">
        <f>IF(LEN('Providers'!A195)=0,"",IF(ISNUMBER('Providers'!AA195),'Providers'!AA195,""))</f>
        <v/>
      </c>
      <c r="M196" s="34">
        <f>IF(LEN('Providers'!A195)=0,"",IF(ISNUMBER('Providers'!AD195),'Providers'!AD195,""))</f>
        <v/>
      </c>
      <c r="N196" s="35">
        <f>IF(LEN('Providers'!A195)=0,"",IF(LEN('Providers'!AG195)=0,"",'Providers'!AG195))</f>
        <v/>
      </c>
    </row>
    <row r="197">
      <c r="A197" s="32">
        <f>IF(LEN('Providers'!A196)=0,"",IF(LEN('Providers'!A196)=0,"",'Providers'!A196))</f>
        <v/>
      </c>
      <c r="B197" s="33">
        <f>IF(LEN('Providers'!A196)=0,"",IF(LEN('Providers'!B196)=0,"",'Providers'!B196))</f>
        <v/>
      </c>
      <c r="C197" s="33">
        <f>IF(LEN('Providers'!A196)=0,"",IF(LEN('Providers'!E196)=0,"",'Providers'!E196))</f>
        <v/>
      </c>
      <c r="D197" s="34">
        <f>IF(LEN('Providers'!A196)=0,"",IF(ISNUMBER('Providers'!G196),'Providers'!G196,""))</f>
        <v/>
      </c>
      <c r="E197" s="34">
        <f>IF(LEN('Providers'!A196)=0,"",IF(ISNUMBER('Providers'!I196),'Providers'!I196,""))</f>
        <v/>
      </c>
      <c r="F197" s="34">
        <f>IF(LEN('Providers'!A196)=0,"",IF(ISNUMBER('Providers'!K196),'Providers'!K196,""))</f>
        <v/>
      </c>
      <c r="G197" s="34">
        <f>IF(LEN('Providers'!A196)=0,"",IF(ISNUMBER('Providers'!M196),'Providers'!M196,""))</f>
        <v/>
      </c>
      <c r="H197" s="34">
        <f>IF(LEN('Providers'!A196)=0,"",IF(ISNUMBER('Providers'!Q196),'Providers'!Q196,""))</f>
        <v/>
      </c>
      <c r="I197" s="34">
        <f>IF(LEN('Providers'!A196)=0,"",IF(ISNUMBER('Providers'!S196),'Providers'!S196,""))</f>
        <v/>
      </c>
      <c r="J197" s="34">
        <f>IF(LEN('Providers'!A196)=0,"",IF(ISNUMBER('Providers'!W196),'Providers'!W196,""))</f>
        <v/>
      </c>
      <c r="K197" s="34">
        <f>IF(LEN('Providers'!A196)=0,"",IF(ISNUMBER('Providers'!Y196),'Providers'!Y196,""))</f>
        <v/>
      </c>
      <c r="L197" s="34">
        <f>IF(LEN('Providers'!A196)=0,"",IF(ISNUMBER('Providers'!AA196),'Providers'!AA196,""))</f>
        <v/>
      </c>
      <c r="M197" s="34">
        <f>IF(LEN('Providers'!A196)=0,"",IF(ISNUMBER('Providers'!AD196),'Providers'!AD196,""))</f>
        <v/>
      </c>
      <c r="N197" s="35">
        <f>IF(LEN('Providers'!A196)=0,"",IF(LEN('Providers'!AG196)=0,"",'Providers'!AG196))</f>
        <v/>
      </c>
    </row>
    <row r="198">
      <c r="A198" s="32">
        <f>IF(LEN('Providers'!A197)=0,"",IF(LEN('Providers'!A197)=0,"",'Providers'!A197))</f>
        <v/>
      </c>
      <c r="B198" s="33">
        <f>IF(LEN('Providers'!A197)=0,"",IF(LEN('Providers'!B197)=0,"",'Providers'!B197))</f>
        <v/>
      </c>
      <c r="C198" s="33">
        <f>IF(LEN('Providers'!A197)=0,"",IF(LEN('Providers'!E197)=0,"",'Providers'!E197))</f>
        <v/>
      </c>
      <c r="D198" s="34">
        <f>IF(LEN('Providers'!A197)=0,"",IF(ISNUMBER('Providers'!G197),'Providers'!G197,""))</f>
        <v/>
      </c>
      <c r="E198" s="34">
        <f>IF(LEN('Providers'!A197)=0,"",IF(ISNUMBER('Providers'!I197),'Providers'!I197,""))</f>
        <v/>
      </c>
      <c r="F198" s="34">
        <f>IF(LEN('Providers'!A197)=0,"",IF(ISNUMBER('Providers'!K197),'Providers'!K197,""))</f>
        <v/>
      </c>
      <c r="G198" s="34">
        <f>IF(LEN('Providers'!A197)=0,"",IF(ISNUMBER('Providers'!M197),'Providers'!M197,""))</f>
        <v/>
      </c>
      <c r="H198" s="34">
        <f>IF(LEN('Providers'!A197)=0,"",IF(ISNUMBER('Providers'!Q197),'Providers'!Q197,""))</f>
        <v/>
      </c>
      <c r="I198" s="34">
        <f>IF(LEN('Providers'!A197)=0,"",IF(ISNUMBER('Providers'!S197),'Providers'!S197,""))</f>
        <v/>
      </c>
      <c r="J198" s="34">
        <f>IF(LEN('Providers'!A197)=0,"",IF(ISNUMBER('Providers'!W197),'Providers'!W197,""))</f>
        <v/>
      </c>
      <c r="K198" s="34">
        <f>IF(LEN('Providers'!A197)=0,"",IF(ISNUMBER('Providers'!Y197),'Providers'!Y197,""))</f>
        <v/>
      </c>
      <c r="L198" s="34">
        <f>IF(LEN('Providers'!A197)=0,"",IF(ISNUMBER('Providers'!AA197),'Providers'!AA197,""))</f>
        <v/>
      </c>
      <c r="M198" s="34">
        <f>IF(LEN('Providers'!A197)=0,"",IF(ISNUMBER('Providers'!AD197),'Providers'!AD197,""))</f>
        <v/>
      </c>
      <c r="N198" s="35">
        <f>IF(LEN('Providers'!A197)=0,"",IF(LEN('Providers'!AG197)=0,"",'Providers'!AG197))</f>
        <v/>
      </c>
    </row>
    <row r="199">
      <c r="A199" s="32">
        <f>IF(LEN('Providers'!A198)=0,"",IF(LEN('Providers'!A198)=0,"",'Providers'!A198))</f>
        <v/>
      </c>
      <c r="B199" s="33">
        <f>IF(LEN('Providers'!A198)=0,"",IF(LEN('Providers'!B198)=0,"",'Providers'!B198))</f>
        <v/>
      </c>
      <c r="C199" s="33">
        <f>IF(LEN('Providers'!A198)=0,"",IF(LEN('Providers'!E198)=0,"",'Providers'!E198))</f>
        <v/>
      </c>
      <c r="D199" s="34">
        <f>IF(LEN('Providers'!A198)=0,"",IF(ISNUMBER('Providers'!G198),'Providers'!G198,""))</f>
        <v/>
      </c>
      <c r="E199" s="34">
        <f>IF(LEN('Providers'!A198)=0,"",IF(ISNUMBER('Providers'!I198),'Providers'!I198,""))</f>
        <v/>
      </c>
      <c r="F199" s="34">
        <f>IF(LEN('Providers'!A198)=0,"",IF(ISNUMBER('Providers'!K198),'Providers'!K198,""))</f>
        <v/>
      </c>
      <c r="G199" s="34">
        <f>IF(LEN('Providers'!A198)=0,"",IF(ISNUMBER('Providers'!M198),'Providers'!M198,""))</f>
        <v/>
      </c>
      <c r="H199" s="34">
        <f>IF(LEN('Providers'!A198)=0,"",IF(ISNUMBER('Providers'!Q198),'Providers'!Q198,""))</f>
        <v/>
      </c>
      <c r="I199" s="34">
        <f>IF(LEN('Providers'!A198)=0,"",IF(ISNUMBER('Providers'!S198),'Providers'!S198,""))</f>
        <v/>
      </c>
      <c r="J199" s="34">
        <f>IF(LEN('Providers'!A198)=0,"",IF(ISNUMBER('Providers'!W198),'Providers'!W198,""))</f>
        <v/>
      </c>
      <c r="K199" s="34">
        <f>IF(LEN('Providers'!A198)=0,"",IF(ISNUMBER('Providers'!Y198),'Providers'!Y198,""))</f>
        <v/>
      </c>
      <c r="L199" s="34">
        <f>IF(LEN('Providers'!A198)=0,"",IF(ISNUMBER('Providers'!AA198),'Providers'!AA198,""))</f>
        <v/>
      </c>
      <c r="M199" s="34">
        <f>IF(LEN('Providers'!A198)=0,"",IF(ISNUMBER('Providers'!AD198),'Providers'!AD198,""))</f>
        <v/>
      </c>
      <c r="N199" s="35">
        <f>IF(LEN('Providers'!A198)=0,"",IF(LEN('Providers'!AG198)=0,"",'Providers'!AG198))</f>
        <v/>
      </c>
    </row>
    <row r="200">
      <c r="A200" s="32">
        <f>IF(LEN('Providers'!A199)=0,"",IF(LEN('Providers'!A199)=0,"",'Providers'!A199))</f>
        <v/>
      </c>
      <c r="B200" s="33">
        <f>IF(LEN('Providers'!A199)=0,"",IF(LEN('Providers'!B199)=0,"",'Providers'!B199))</f>
        <v/>
      </c>
      <c r="C200" s="33">
        <f>IF(LEN('Providers'!A199)=0,"",IF(LEN('Providers'!E199)=0,"",'Providers'!E199))</f>
        <v/>
      </c>
      <c r="D200" s="34">
        <f>IF(LEN('Providers'!A199)=0,"",IF(ISNUMBER('Providers'!G199),'Providers'!G199,""))</f>
        <v/>
      </c>
      <c r="E200" s="34">
        <f>IF(LEN('Providers'!A199)=0,"",IF(ISNUMBER('Providers'!I199),'Providers'!I199,""))</f>
        <v/>
      </c>
      <c r="F200" s="34">
        <f>IF(LEN('Providers'!A199)=0,"",IF(ISNUMBER('Providers'!K199),'Providers'!K199,""))</f>
        <v/>
      </c>
      <c r="G200" s="34">
        <f>IF(LEN('Providers'!A199)=0,"",IF(ISNUMBER('Providers'!M199),'Providers'!M199,""))</f>
        <v/>
      </c>
      <c r="H200" s="34">
        <f>IF(LEN('Providers'!A199)=0,"",IF(ISNUMBER('Providers'!Q199),'Providers'!Q199,""))</f>
        <v/>
      </c>
      <c r="I200" s="34">
        <f>IF(LEN('Providers'!A199)=0,"",IF(ISNUMBER('Providers'!S199),'Providers'!S199,""))</f>
        <v/>
      </c>
      <c r="J200" s="34">
        <f>IF(LEN('Providers'!A199)=0,"",IF(ISNUMBER('Providers'!W199),'Providers'!W199,""))</f>
        <v/>
      </c>
      <c r="K200" s="34">
        <f>IF(LEN('Providers'!A199)=0,"",IF(ISNUMBER('Providers'!Y199),'Providers'!Y199,""))</f>
        <v/>
      </c>
      <c r="L200" s="34">
        <f>IF(LEN('Providers'!A199)=0,"",IF(ISNUMBER('Providers'!AA199),'Providers'!AA199,""))</f>
        <v/>
      </c>
      <c r="M200" s="34">
        <f>IF(LEN('Providers'!A199)=0,"",IF(ISNUMBER('Providers'!AD199),'Providers'!AD199,""))</f>
        <v/>
      </c>
      <c r="N200" s="35">
        <f>IF(LEN('Providers'!A199)=0,"",IF(LEN('Providers'!AG199)=0,"",'Providers'!AG199))</f>
        <v/>
      </c>
    </row>
    <row r="201">
      <c r="A201" s="32">
        <f>IF(LEN('Providers'!A200)=0,"",IF(LEN('Providers'!A200)=0,"",'Providers'!A200))</f>
        <v/>
      </c>
      <c r="B201" s="33">
        <f>IF(LEN('Providers'!A200)=0,"",IF(LEN('Providers'!B200)=0,"",'Providers'!B200))</f>
        <v/>
      </c>
      <c r="C201" s="33">
        <f>IF(LEN('Providers'!A200)=0,"",IF(LEN('Providers'!E200)=0,"",'Providers'!E200))</f>
        <v/>
      </c>
      <c r="D201" s="34">
        <f>IF(LEN('Providers'!A200)=0,"",IF(ISNUMBER('Providers'!G200),'Providers'!G200,""))</f>
        <v/>
      </c>
      <c r="E201" s="34">
        <f>IF(LEN('Providers'!A200)=0,"",IF(ISNUMBER('Providers'!I200),'Providers'!I200,""))</f>
        <v/>
      </c>
      <c r="F201" s="34">
        <f>IF(LEN('Providers'!A200)=0,"",IF(ISNUMBER('Providers'!K200),'Providers'!K200,""))</f>
        <v/>
      </c>
      <c r="G201" s="34">
        <f>IF(LEN('Providers'!A200)=0,"",IF(ISNUMBER('Providers'!M200),'Providers'!M200,""))</f>
        <v/>
      </c>
      <c r="H201" s="34">
        <f>IF(LEN('Providers'!A200)=0,"",IF(ISNUMBER('Providers'!Q200),'Providers'!Q200,""))</f>
        <v/>
      </c>
      <c r="I201" s="34">
        <f>IF(LEN('Providers'!A200)=0,"",IF(ISNUMBER('Providers'!S200),'Providers'!S200,""))</f>
        <v/>
      </c>
      <c r="J201" s="34">
        <f>IF(LEN('Providers'!A200)=0,"",IF(ISNUMBER('Providers'!W200),'Providers'!W200,""))</f>
        <v/>
      </c>
      <c r="K201" s="34">
        <f>IF(LEN('Providers'!A200)=0,"",IF(ISNUMBER('Providers'!Y200),'Providers'!Y200,""))</f>
        <v/>
      </c>
      <c r="L201" s="34">
        <f>IF(LEN('Providers'!A200)=0,"",IF(ISNUMBER('Providers'!AA200),'Providers'!AA200,""))</f>
        <v/>
      </c>
      <c r="M201" s="34">
        <f>IF(LEN('Providers'!A200)=0,"",IF(ISNUMBER('Providers'!AD200),'Providers'!AD200,""))</f>
        <v/>
      </c>
      <c r="N201" s="35">
        <f>IF(LEN('Providers'!A200)=0,"",IF(LEN('Providers'!AG200)=0,"",'Providers'!AG200))</f>
        <v/>
      </c>
    </row>
    <row r="202">
      <c r="A202" s="32">
        <f>IF(LEN('Providers'!A201)=0,"",IF(LEN('Providers'!A201)=0,"",'Providers'!A201))</f>
        <v/>
      </c>
      <c r="B202" s="33">
        <f>IF(LEN('Providers'!A201)=0,"",IF(LEN('Providers'!B201)=0,"",'Providers'!B201))</f>
        <v/>
      </c>
      <c r="C202" s="33">
        <f>IF(LEN('Providers'!A201)=0,"",IF(LEN('Providers'!E201)=0,"",'Providers'!E201))</f>
        <v/>
      </c>
      <c r="D202" s="34">
        <f>IF(LEN('Providers'!A201)=0,"",IF(ISNUMBER('Providers'!G201),'Providers'!G201,""))</f>
        <v/>
      </c>
      <c r="E202" s="34">
        <f>IF(LEN('Providers'!A201)=0,"",IF(ISNUMBER('Providers'!I201),'Providers'!I201,""))</f>
        <v/>
      </c>
      <c r="F202" s="34">
        <f>IF(LEN('Providers'!A201)=0,"",IF(ISNUMBER('Providers'!K201),'Providers'!K201,""))</f>
        <v/>
      </c>
      <c r="G202" s="34">
        <f>IF(LEN('Providers'!A201)=0,"",IF(ISNUMBER('Providers'!M201),'Providers'!M201,""))</f>
        <v/>
      </c>
      <c r="H202" s="34">
        <f>IF(LEN('Providers'!A201)=0,"",IF(ISNUMBER('Providers'!Q201),'Providers'!Q201,""))</f>
        <v/>
      </c>
      <c r="I202" s="34">
        <f>IF(LEN('Providers'!A201)=0,"",IF(ISNUMBER('Providers'!S201),'Providers'!S201,""))</f>
        <v/>
      </c>
      <c r="J202" s="34">
        <f>IF(LEN('Providers'!A201)=0,"",IF(ISNUMBER('Providers'!W201),'Providers'!W201,""))</f>
        <v/>
      </c>
      <c r="K202" s="34">
        <f>IF(LEN('Providers'!A201)=0,"",IF(ISNUMBER('Providers'!Y201),'Providers'!Y201,""))</f>
        <v/>
      </c>
      <c r="L202" s="34">
        <f>IF(LEN('Providers'!A201)=0,"",IF(ISNUMBER('Providers'!AA201),'Providers'!AA201,""))</f>
        <v/>
      </c>
      <c r="M202" s="34">
        <f>IF(LEN('Providers'!A201)=0,"",IF(ISNUMBER('Providers'!AD201),'Providers'!AD201,""))</f>
        <v/>
      </c>
      <c r="N202" s="35">
        <f>IF(LEN('Providers'!A201)=0,"",IF(LEN('Providers'!AG201)=0,"",'Providers'!AG201))</f>
        <v/>
      </c>
    </row>
    <row r="203">
      <c r="A203" s="32">
        <f>IF(LEN('Providers'!A202)=0,"",IF(LEN('Providers'!A202)=0,"",'Providers'!A202))</f>
        <v/>
      </c>
      <c r="B203" s="33">
        <f>IF(LEN('Providers'!A202)=0,"",IF(LEN('Providers'!B202)=0,"",'Providers'!B202))</f>
        <v/>
      </c>
      <c r="C203" s="33">
        <f>IF(LEN('Providers'!A202)=0,"",IF(LEN('Providers'!E202)=0,"",'Providers'!E202))</f>
        <v/>
      </c>
      <c r="D203" s="34">
        <f>IF(LEN('Providers'!A202)=0,"",IF(ISNUMBER('Providers'!G202),'Providers'!G202,""))</f>
        <v/>
      </c>
      <c r="E203" s="34">
        <f>IF(LEN('Providers'!A202)=0,"",IF(ISNUMBER('Providers'!I202),'Providers'!I202,""))</f>
        <v/>
      </c>
      <c r="F203" s="34">
        <f>IF(LEN('Providers'!A202)=0,"",IF(ISNUMBER('Providers'!K202),'Providers'!K202,""))</f>
        <v/>
      </c>
      <c r="G203" s="34">
        <f>IF(LEN('Providers'!A202)=0,"",IF(ISNUMBER('Providers'!M202),'Providers'!M202,""))</f>
        <v/>
      </c>
      <c r="H203" s="34">
        <f>IF(LEN('Providers'!A202)=0,"",IF(ISNUMBER('Providers'!Q202),'Providers'!Q202,""))</f>
        <v/>
      </c>
      <c r="I203" s="34">
        <f>IF(LEN('Providers'!A202)=0,"",IF(ISNUMBER('Providers'!S202),'Providers'!S202,""))</f>
        <v/>
      </c>
      <c r="J203" s="34">
        <f>IF(LEN('Providers'!A202)=0,"",IF(ISNUMBER('Providers'!W202),'Providers'!W202,""))</f>
        <v/>
      </c>
      <c r="K203" s="34">
        <f>IF(LEN('Providers'!A202)=0,"",IF(ISNUMBER('Providers'!Y202),'Providers'!Y202,""))</f>
        <v/>
      </c>
      <c r="L203" s="34">
        <f>IF(LEN('Providers'!A202)=0,"",IF(ISNUMBER('Providers'!AA202),'Providers'!AA202,""))</f>
        <v/>
      </c>
      <c r="M203" s="34">
        <f>IF(LEN('Providers'!A202)=0,"",IF(ISNUMBER('Providers'!AD202),'Providers'!AD202,""))</f>
        <v/>
      </c>
      <c r="N203" s="35">
        <f>IF(LEN('Providers'!A202)=0,"",IF(LEN('Providers'!AG202)=0,"",'Providers'!AG202))</f>
        <v/>
      </c>
    </row>
    <row r="204">
      <c r="A204" s="32">
        <f>IF(LEN('Providers'!A203)=0,"",IF(LEN('Providers'!A203)=0,"",'Providers'!A203))</f>
        <v/>
      </c>
      <c r="B204" s="33">
        <f>IF(LEN('Providers'!A203)=0,"",IF(LEN('Providers'!B203)=0,"",'Providers'!B203))</f>
        <v/>
      </c>
      <c r="C204" s="33">
        <f>IF(LEN('Providers'!A203)=0,"",IF(LEN('Providers'!E203)=0,"",'Providers'!E203))</f>
        <v/>
      </c>
      <c r="D204" s="34">
        <f>IF(LEN('Providers'!A203)=0,"",IF(ISNUMBER('Providers'!G203),'Providers'!G203,""))</f>
        <v/>
      </c>
      <c r="E204" s="34">
        <f>IF(LEN('Providers'!A203)=0,"",IF(ISNUMBER('Providers'!I203),'Providers'!I203,""))</f>
        <v/>
      </c>
      <c r="F204" s="34">
        <f>IF(LEN('Providers'!A203)=0,"",IF(ISNUMBER('Providers'!K203),'Providers'!K203,""))</f>
        <v/>
      </c>
      <c r="G204" s="34">
        <f>IF(LEN('Providers'!A203)=0,"",IF(ISNUMBER('Providers'!M203),'Providers'!M203,""))</f>
        <v/>
      </c>
      <c r="H204" s="34">
        <f>IF(LEN('Providers'!A203)=0,"",IF(ISNUMBER('Providers'!Q203),'Providers'!Q203,""))</f>
        <v/>
      </c>
      <c r="I204" s="34">
        <f>IF(LEN('Providers'!A203)=0,"",IF(ISNUMBER('Providers'!S203),'Providers'!S203,""))</f>
        <v/>
      </c>
      <c r="J204" s="34">
        <f>IF(LEN('Providers'!A203)=0,"",IF(ISNUMBER('Providers'!W203),'Providers'!W203,""))</f>
        <v/>
      </c>
      <c r="K204" s="34">
        <f>IF(LEN('Providers'!A203)=0,"",IF(ISNUMBER('Providers'!Y203),'Providers'!Y203,""))</f>
        <v/>
      </c>
      <c r="L204" s="34">
        <f>IF(LEN('Providers'!A203)=0,"",IF(ISNUMBER('Providers'!AA203),'Providers'!AA203,""))</f>
        <v/>
      </c>
      <c r="M204" s="34">
        <f>IF(LEN('Providers'!A203)=0,"",IF(ISNUMBER('Providers'!AD203),'Providers'!AD203,""))</f>
        <v/>
      </c>
      <c r="N204" s="35">
        <f>IF(LEN('Providers'!A203)=0,"",IF(LEN('Providers'!AG203)=0,"",'Providers'!AG203))</f>
        <v/>
      </c>
    </row>
    <row r="205">
      <c r="A205" s="32">
        <f>IF(LEN('Providers'!A204)=0,"",IF(LEN('Providers'!A204)=0,"",'Providers'!A204))</f>
        <v/>
      </c>
      <c r="B205" s="33">
        <f>IF(LEN('Providers'!A204)=0,"",IF(LEN('Providers'!B204)=0,"",'Providers'!B204))</f>
        <v/>
      </c>
      <c r="C205" s="33">
        <f>IF(LEN('Providers'!A204)=0,"",IF(LEN('Providers'!E204)=0,"",'Providers'!E204))</f>
        <v/>
      </c>
      <c r="D205" s="34">
        <f>IF(LEN('Providers'!A204)=0,"",IF(ISNUMBER('Providers'!G204),'Providers'!G204,""))</f>
        <v/>
      </c>
      <c r="E205" s="34">
        <f>IF(LEN('Providers'!A204)=0,"",IF(ISNUMBER('Providers'!I204),'Providers'!I204,""))</f>
        <v/>
      </c>
      <c r="F205" s="34">
        <f>IF(LEN('Providers'!A204)=0,"",IF(ISNUMBER('Providers'!K204),'Providers'!K204,""))</f>
        <v/>
      </c>
      <c r="G205" s="34">
        <f>IF(LEN('Providers'!A204)=0,"",IF(ISNUMBER('Providers'!M204),'Providers'!M204,""))</f>
        <v/>
      </c>
      <c r="H205" s="34">
        <f>IF(LEN('Providers'!A204)=0,"",IF(ISNUMBER('Providers'!Q204),'Providers'!Q204,""))</f>
        <v/>
      </c>
      <c r="I205" s="34">
        <f>IF(LEN('Providers'!A204)=0,"",IF(ISNUMBER('Providers'!S204),'Providers'!S204,""))</f>
        <v/>
      </c>
      <c r="J205" s="34">
        <f>IF(LEN('Providers'!A204)=0,"",IF(ISNUMBER('Providers'!W204),'Providers'!W204,""))</f>
        <v/>
      </c>
      <c r="K205" s="34">
        <f>IF(LEN('Providers'!A204)=0,"",IF(ISNUMBER('Providers'!Y204),'Providers'!Y204,""))</f>
        <v/>
      </c>
      <c r="L205" s="34">
        <f>IF(LEN('Providers'!A204)=0,"",IF(ISNUMBER('Providers'!AA204),'Providers'!AA204,""))</f>
        <v/>
      </c>
      <c r="M205" s="34">
        <f>IF(LEN('Providers'!A204)=0,"",IF(ISNUMBER('Providers'!AD204),'Providers'!AD204,""))</f>
        <v/>
      </c>
      <c r="N205" s="35">
        <f>IF(LEN('Providers'!A204)=0,"",IF(LEN('Providers'!AG204)=0,"",'Providers'!AG204))</f>
        <v/>
      </c>
    </row>
    <row r="206">
      <c r="A206" s="32">
        <f>IF(LEN('Providers'!A205)=0,"",IF(LEN('Providers'!A205)=0,"",'Providers'!A205))</f>
        <v/>
      </c>
      <c r="B206" s="33">
        <f>IF(LEN('Providers'!A205)=0,"",IF(LEN('Providers'!B205)=0,"",'Providers'!B205))</f>
        <v/>
      </c>
      <c r="C206" s="33">
        <f>IF(LEN('Providers'!A205)=0,"",IF(LEN('Providers'!E205)=0,"",'Providers'!E205))</f>
        <v/>
      </c>
      <c r="D206" s="34">
        <f>IF(LEN('Providers'!A205)=0,"",IF(ISNUMBER('Providers'!G205),'Providers'!G205,""))</f>
        <v/>
      </c>
      <c r="E206" s="34">
        <f>IF(LEN('Providers'!A205)=0,"",IF(ISNUMBER('Providers'!I205),'Providers'!I205,""))</f>
        <v/>
      </c>
      <c r="F206" s="34">
        <f>IF(LEN('Providers'!A205)=0,"",IF(ISNUMBER('Providers'!K205),'Providers'!K205,""))</f>
        <v/>
      </c>
      <c r="G206" s="34">
        <f>IF(LEN('Providers'!A205)=0,"",IF(ISNUMBER('Providers'!M205),'Providers'!M205,""))</f>
        <v/>
      </c>
      <c r="H206" s="34">
        <f>IF(LEN('Providers'!A205)=0,"",IF(ISNUMBER('Providers'!Q205),'Providers'!Q205,""))</f>
        <v/>
      </c>
      <c r="I206" s="34">
        <f>IF(LEN('Providers'!A205)=0,"",IF(ISNUMBER('Providers'!S205),'Providers'!S205,""))</f>
        <v/>
      </c>
      <c r="J206" s="34">
        <f>IF(LEN('Providers'!A205)=0,"",IF(ISNUMBER('Providers'!W205),'Providers'!W205,""))</f>
        <v/>
      </c>
      <c r="K206" s="34">
        <f>IF(LEN('Providers'!A205)=0,"",IF(ISNUMBER('Providers'!Y205),'Providers'!Y205,""))</f>
        <v/>
      </c>
      <c r="L206" s="34">
        <f>IF(LEN('Providers'!A205)=0,"",IF(ISNUMBER('Providers'!AA205),'Providers'!AA205,""))</f>
        <v/>
      </c>
      <c r="M206" s="34">
        <f>IF(LEN('Providers'!A205)=0,"",IF(ISNUMBER('Providers'!AD205),'Providers'!AD205,""))</f>
        <v/>
      </c>
      <c r="N206" s="35">
        <f>IF(LEN('Providers'!A205)=0,"",IF(LEN('Providers'!AG205)=0,"",'Providers'!AG205))</f>
        <v/>
      </c>
    </row>
    <row r="207">
      <c r="A207" s="32">
        <f>IF(LEN('Providers'!A206)=0,"",IF(LEN('Providers'!A206)=0,"",'Providers'!A206))</f>
        <v/>
      </c>
      <c r="B207" s="33">
        <f>IF(LEN('Providers'!A206)=0,"",IF(LEN('Providers'!B206)=0,"",'Providers'!B206))</f>
        <v/>
      </c>
      <c r="C207" s="33">
        <f>IF(LEN('Providers'!A206)=0,"",IF(LEN('Providers'!E206)=0,"",'Providers'!E206))</f>
        <v/>
      </c>
      <c r="D207" s="34">
        <f>IF(LEN('Providers'!A206)=0,"",IF(ISNUMBER('Providers'!G206),'Providers'!G206,""))</f>
        <v/>
      </c>
      <c r="E207" s="34">
        <f>IF(LEN('Providers'!A206)=0,"",IF(ISNUMBER('Providers'!I206),'Providers'!I206,""))</f>
        <v/>
      </c>
      <c r="F207" s="34">
        <f>IF(LEN('Providers'!A206)=0,"",IF(ISNUMBER('Providers'!K206),'Providers'!K206,""))</f>
        <v/>
      </c>
      <c r="G207" s="34">
        <f>IF(LEN('Providers'!A206)=0,"",IF(ISNUMBER('Providers'!M206),'Providers'!M206,""))</f>
        <v/>
      </c>
      <c r="H207" s="34">
        <f>IF(LEN('Providers'!A206)=0,"",IF(ISNUMBER('Providers'!Q206),'Providers'!Q206,""))</f>
        <v/>
      </c>
      <c r="I207" s="34">
        <f>IF(LEN('Providers'!A206)=0,"",IF(ISNUMBER('Providers'!S206),'Providers'!S206,""))</f>
        <v/>
      </c>
      <c r="J207" s="34">
        <f>IF(LEN('Providers'!A206)=0,"",IF(ISNUMBER('Providers'!W206),'Providers'!W206,""))</f>
        <v/>
      </c>
      <c r="K207" s="34">
        <f>IF(LEN('Providers'!A206)=0,"",IF(ISNUMBER('Providers'!Y206),'Providers'!Y206,""))</f>
        <v/>
      </c>
      <c r="L207" s="34">
        <f>IF(LEN('Providers'!A206)=0,"",IF(ISNUMBER('Providers'!AA206),'Providers'!AA206,""))</f>
        <v/>
      </c>
      <c r="M207" s="34">
        <f>IF(LEN('Providers'!A206)=0,"",IF(ISNUMBER('Providers'!AD206),'Providers'!AD206,""))</f>
        <v/>
      </c>
      <c r="N207" s="35">
        <f>IF(LEN('Providers'!A206)=0,"",IF(LEN('Providers'!AG206)=0,"",'Providers'!AG206))</f>
        <v/>
      </c>
    </row>
    <row r="208">
      <c r="A208" s="32">
        <f>IF(LEN('Providers'!A207)=0,"",IF(LEN('Providers'!A207)=0,"",'Providers'!A207))</f>
        <v/>
      </c>
      <c r="B208" s="33">
        <f>IF(LEN('Providers'!A207)=0,"",IF(LEN('Providers'!B207)=0,"",'Providers'!B207))</f>
        <v/>
      </c>
      <c r="C208" s="33">
        <f>IF(LEN('Providers'!A207)=0,"",IF(LEN('Providers'!E207)=0,"",'Providers'!E207))</f>
        <v/>
      </c>
      <c r="D208" s="34">
        <f>IF(LEN('Providers'!A207)=0,"",IF(ISNUMBER('Providers'!G207),'Providers'!G207,""))</f>
        <v/>
      </c>
      <c r="E208" s="34">
        <f>IF(LEN('Providers'!A207)=0,"",IF(ISNUMBER('Providers'!I207),'Providers'!I207,""))</f>
        <v/>
      </c>
      <c r="F208" s="34">
        <f>IF(LEN('Providers'!A207)=0,"",IF(ISNUMBER('Providers'!K207),'Providers'!K207,""))</f>
        <v/>
      </c>
      <c r="G208" s="34">
        <f>IF(LEN('Providers'!A207)=0,"",IF(ISNUMBER('Providers'!M207),'Providers'!M207,""))</f>
        <v/>
      </c>
      <c r="H208" s="34">
        <f>IF(LEN('Providers'!A207)=0,"",IF(ISNUMBER('Providers'!Q207),'Providers'!Q207,""))</f>
        <v/>
      </c>
      <c r="I208" s="34">
        <f>IF(LEN('Providers'!A207)=0,"",IF(ISNUMBER('Providers'!S207),'Providers'!S207,""))</f>
        <v/>
      </c>
      <c r="J208" s="34">
        <f>IF(LEN('Providers'!A207)=0,"",IF(ISNUMBER('Providers'!W207),'Providers'!W207,""))</f>
        <v/>
      </c>
      <c r="K208" s="34">
        <f>IF(LEN('Providers'!A207)=0,"",IF(ISNUMBER('Providers'!Y207),'Providers'!Y207,""))</f>
        <v/>
      </c>
      <c r="L208" s="34">
        <f>IF(LEN('Providers'!A207)=0,"",IF(ISNUMBER('Providers'!AA207),'Providers'!AA207,""))</f>
        <v/>
      </c>
      <c r="M208" s="34">
        <f>IF(LEN('Providers'!A207)=0,"",IF(ISNUMBER('Providers'!AD207),'Providers'!AD207,""))</f>
        <v/>
      </c>
      <c r="N208" s="35">
        <f>IF(LEN('Providers'!A207)=0,"",IF(LEN('Providers'!AG207)=0,"",'Providers'!AG207))</f>
        <v/>
      </c>
    </row>
    <row r="209">
      <c r="A209" s="32">
        <f>IF(LEN('Providers'!A208)=0,"",IF(LEN('Providers'!A208)=0,"",'Providers'!A208))</f>
        <v/>
      </c>
      <c r="B209" s="33">
        <f>IF(LEN('Providers'!A208)=0,"",IF(LEN('Providers'!B208)=0,"",'Providers'!B208))</f>
        <v/>
      </c>
      <c r="C209" s="33">
        <f>IF(LEN('Providers'!A208)=0,"",IF(LEN('Providers'!E208)=0,"",'Providers'!E208))</f>
        <v/>
      </c>
      <c r="D209" s="34">
        <f>IF(LEN('Providers'!A208)=0,"",IF(ISNUMBER('Providers'!G208),'Providers'!G208,""))</f>
        <v/>
      </c>
      <c r="E209" s="34">
        <f>IF(LEN('Providers'!A208)=0,"",IF(ISNUMBER('Providers'!I208),'Providers'!I208,""))</f>
        <v/>
      </c>
      <c r="F209" s="34">
        <f>IF(LEN('Providers'!A208)=0,"",IF(ISNUMBER('Providers'!K208),'Providers'!K208,""))</f>
        <v/>
      </c>
      <c r="G209" s="34">
        <f>IF(LEN('Providers'!A208)=0,"",IF(ISNUMBER('Providers'!M208),'Providers'!M208,""))</f>
        <v/>
      </c>
      <c r="H209" s="34">
        <f>IF(LEN('Providers'!A208)=0,"",IF(ISNUMBER('Providers'!Q208),'Providers'!Q208,""))</f>
        <v/>
      </c>
      <c r="I209" s="34">
        <f>IF(LEN('Providers'!A208)=0,"",IF(ISNUMBER('Providers'!S208),'Providers'!S208,""))</f>
        <v/>
      </c>
      <c r="J209" s="34">
        <f>IF(LEN('Providers'!A208)=0,"",IF(ISNUMBER('Providers'!W208),'Providers'!W208,""))</f>
        <v/>
      </c>
      <c r="K209" s="34">
        <f>IF(LEN('Providers'!A208)=0,"",IF(ISNUMBER('Providers'!Y208),'Providers'!Y208,""))</f>
        <v/>
      </c>
      <c r="L209" s="34">
        <f>IF(LEN('Providers'!A208)=0,"",IF(ISNUMBER('Providers'!AA208),'Providers'!AA208,""))</f>
        <v/>
      </c>
      <c r="M209" s="34">
        <f>IF(LEN('Providers'!A208)=0,"",IF(ISNUMBER('Providers'!AD208),'Providers'!AD208,""))</f>
        <v/>
      </c>
      <c r="N209" s="35">
        <f>IF(LEN('Providers'!A208)=0,"",IF(LEN('Providers'!AG208)=0,"",'Providers'!AG208))</f>
        <v/>
      </c>
    </row>
    <row r="210">
      <c r="A210" s="32">
        <f>IF(LEN('Providers'!A209)=0,"",IF(LEN('Providers'!A209)=0,"",'Providers'!A209))</f>
        <v/>
      </c>
      <c r="B210" s="33">
        <f>IF(LEN('Providers'!A209)=0,"",IF(LEN('Providers'!B209)=0,"",'Providers'!B209))</f>
        <v/>
      </c>
      <c r="C210" s="33">
        <f>IF(LEN('Providers'!A209)=0,"",IF(LEN('Providers'!E209)=0,"",'Providers'!E209))</f>
        <v/>
      </c>
      <c r="D210" s="34">
        <f>IF(LEN('Providers'!A209)=0,"",IF(ISNUMBER('Providers'!G209),'Providers'!G209,""))</f>
        <v/>
      </c>
      <c r="E210" s="34">
        <f>IF(LEN('Providers'!A209)=0,"",IF(ISNUMBER('Providers'!I209),'Providers'!I209,""))</f>
        <v/>
      </c>
      <c r="F210" s="34">
        <f>IF(LEN('Providers'!A209)=0,"",IF(ISNUMBER('Providers'!K209),'Providers'!K209,""))</f>
        <v/>
      </c>
      <c r="G210" s="34">
        <f>IF(LEN('Providers'!A209)=0,"",IF(ISNUMBER('Providers'!M209),'Providers'!M209,""))</f>
        <v/>
      </c>
      <c r="H210" s="34">
        <f>IF(LEN('Providers'!A209)=0,"",IF(ISNUMBER('Providers'!Q209),'Providers'!Q209,""))</f>
        <v/>
      </c>
      <c r="I210" s="34">
        <f>IF(LEN('Providers'!A209)=0,"",IF(ISNUMBER('Providers'!S209),'Providers'!S209,""))</f>
        <v/>
      </c>
      <c r="J210" s="34">
        <f>IF(LEN('Providers'!A209)=0,"",IF(ISNUMBER('Providers'!W209),'Providers'!W209,""))</f>
        <v/>
      </c>
      <c r="K210" s="34">
        <f>IF(LEN('Providers'!A209)=0,"",IF(ISNUMBER('Providers'!Y209),'Providers'!Y209,""))</f>
        <v/>
      </c>
      <c r="L210" s="34">
        <f>IF(LEN('Providers'!A209)=0,"",IF(ISNUMBER('Providers'!AA209),'Providers'!AA209,""))</f>
        <v/>
      </c>
      <c r="M210" s="34">
        <f>IF(LEN('Providers'!A209)=0,"",IF(ISNUMBER('Providers'!AD209),'Providers'!AD209,""))</f>
        <v/>
      </c>
      <c r="N210" s="35">
        <f>IF(LEN('Providers'!A209)=0,"",IF(LEN('Providers'!AG209)=0,"",'Providers'!AG209))</f>
        <v/>
      </c>
    </row>
    <row r="211">
      <c r="A211" s="32">
        <f>IF(LEN('Providers'!A210)=0,"",IF(LEN('Providers'!A210)=0,"",'Providers'!A210))</f>
        <v/>
      </c>
      <c r="B211" s="33">
        <f>IF(LEN('Providers'!A210)=0,"",IF(LEN('Providers'!B210)=0,"",'Providers'!B210))</f>
        <v/>
      </c>
      <c r="C211" s="33">
        <f>IF(LEN('Providers'!A210)=0,"",IF(LEN('Providers'!E210)=0,"",'Providers'!E210))</f>
        <v/>
      </c>
      <c r="D211" s="34">
        <f>IF(LEN('Providers'!A210)=0,"",IF(ISNUMBER('Providers'!G210),'Providers'!G210,""))</f>
        <v/>
      </c>
      <c r="E211" s="34">
        <f>IF(LEN('Providers'!A210)=0,"",IF(ISNUMBER('Providers'!I210),'Providers'!I210,""))</f>
        <v/>
      </c>
      <c r="F211" s="34">
        <f>IF(LEN('Providers'!A210)=0,"",IF(ISNUMBER('Providers'!K210),'Providers'!K210,""))</f>
        <v/>
      </c>
      <c r="G211" s="34">
        <f>IF(LEN('Providers'!A210)=0,"",IF(ISNUMBER('Providers'!M210),'Providers'!M210,""))</f>
        <v/>
      </c>
      <c r="H211" s="34">
        <f>IF(LEN('Providers'!A210)=0,"",IF(ISNUMBER('Providers'!Q210),'Providers'!Q210,""))</f>
        <v/>
      </c>
      <c r="I211" s="34">
        <f>IF(LEN('Providers'!A210)=0,"",IF(ISNUMBER('Providers'!S210),'Providers'!S210,""))</f>
        <v/>
      </c>
      <c r="J211" s="34">
        <f>IF(LEN('Providers'!A210)=0,"",IF(ISNUMBER('Providers'!W210),'Providers'!W210,""))</f>
        <v/>
      </c>
      <c r="K211" s="34">
        <f>IF(LEN('Providers'!A210)=0,"",IF(ISNUMBER('Providers'!Y210),'Providers'!Y210,""))</f>
        <v/>
      </c>
      <c r="L211" s="34">
        <f>IF(LEN('Providers'!A210)=0,"",IF(ISNUMBER('Providers'!AA210),'Providers'!AA210,""))</f>
        <v/>
      </c>
      <c r="M211" s="34">
        <f>IF(LEN('Providers'!A210)=0,"",IF(ISNUMBER('Providers'!AD210),'Providers'!AD210,""))</f>
        <v/>
      </c>
      <c r="N211" s="35">
        <f>IF(LEN('Providers'!A210)=0,"",IF(LEN('Providers'!AG210)=0,"",'Providers'!AG210))</f>
        <v/>
      </c>
    </row>
    <row r="212">
      <c r="A212" s="32">
        <f>IF(LEN('Providers'!A211)=0,"",IF(LEN('Providers'!A211)=0,"",'Providers'!A211))</f>
        <v/>
      </c>
      <c r="B212" s="33">
        <f>IF(LEN('Providers'!A211)=0,"",IF(LEN('Providers'!B211)=0,"",'Providers'!B211))</f>
        <v/>
      </c>
      <c r="C212" s="33">
        <f>IF(LEN('Providers'!A211)=0,"",IF(LEN('Providers'!E211)=0,"",'Providers'!E211))</f>
        <v/>
      </c>
      <c r="D212" s="34">
        <f>IF(LEN('Providers'!A211)=0,"",IF(ISNUMBER('Providers'!G211),'Providers'!G211,""))</f>
        <v/>
      </c>
      <c r="E212" s="34">
        <f>IF(LEN('Providers'!A211)=0,"",IF(ISNUMBER('Providers'!I211),'Providers'!I211,""))</f>
        <v/>
      </c>
      <c r="F212" s="34">
        <f>IF(LEN('Providers'!A211)=0,"",IF(ISNUMBER('Providers'!K211),'Providers'!K211,""))</f>
        <v/>
      </c>
      <c r="G212" s="34">
        <f>IF(LEN('Providers'!A211)=0,"",IF(ISNUMBER('Providers'!M211),'Providers'!M211,""))</f>
        <v/>
      </c>
      <c r="H212" s="34">
        <f>IF(LEN('Providers'!A211)=0,"",IF(ISNUMBER('Providers'!Q211),'Providers'!Q211,""))</f>
        <v/>
      </c>
      <c r="I212" s="34">
        <f>IF(LEN('Providers'!A211)=0,"",IF(ISNUMBER('Providers'!S211),'Providers'!S211,""))</f>
        <v/>
      </c>
      <c r="J212" s="34">
        <f>IF(LEN('Providers'!A211)=0,"",IF(ISNUMBER('Providers'!W211),'Providers'!W211,""))</f>
        <v/>
      </c>
      <c r="K212" s="34">
        <f>IF(LEN('Providers'!A211)=0,"",IF(ISNUMBER('Providers'!Y211),'Providers'!Y211,""))</f>
        <v/>
      </c>
      <c r="L212" s="34">
        <f>IF(LEN('Providers'!A211)=0,"",IF(ISNUMBER('Providers'!AA211),'Providers'!AA211,""))</f>
        <v/>
      </c>
      <c r="M212" s="34">
        <f>IF(LEN('Providers'!A211)=0,"",IF(ISNUMBER('Providers'!AD211),'Providers'!AD211,""))</f>
        <v/>
      </c>
      <c r="N212" s="35">
        <f>IF(LEN('Providers'!A211)=0,"",IF(LEN('Providers'!AG211)=0,"",'Providers'!AG211))</f>
        <v/>
      </c>
    </row>
    <row r="213">
      <c r="A213" s="32">
        <f>IF(LEN('Providers'!A212)=0,"",IF(LEN('Providers'!A212)=0,"",'Providers'!A212))</f>
        <v/>
      </c>
      <c r="B213" s="33">
        <f>IF(LEN('Providers'!A212)=0,"",IF(LEN('Providers'!B212)=0,"",'Providers'!B212))</f>
        <v/>
      </c>
      <c r="C213" s="33">
        <f>IF(LEN('Providers'!A212)=0,"",IF(LEN('Providers'!E212)=0,"",'Providers'!E212))</f>
        <v/>
      </c>
      <c r="D213" s="34">
        <f>IF(LEN('Providers'!A212)=0,"",IF(ISNUMBER('Providers'!G212),'Providers'!G212,""))</f>
        <v/>
      </c>
      <c r="E213" s="34">
        <f>IF(LEN('Providers'!A212)=0,"",IF(ISNUMBER('Providers'!I212),'Providers'!I212,""))</f>
        <v/>
      </c>
      <c r="F213" s="34">
        <f>IF(LEN('Providers'!A212)=0,"",IF(ISNUMBER('Providers'!K212),'Providers'!K212,""))</f>
        <v/>
      </c>
      <c r="G213" s="34">
        <f>IF(LEN('Providers'!A212)=0,"",IF(ISNUMBER('Providers'!M212),'Providers'!M212,""))</f>
        <v/>
      </c>
      <c r="H213" s="34">
        <f>IF(LEN('Providers'!A212)=0,"",IF(ISNUMBER('Providers'!Q212),'Providers'!Q212,""))</f>
        <v/>
      </c>
      <c r="I213" s="34">
        <f>IF(LEN('Providers'!A212)=0,"",IF(ISNUMBER('Providers'!S212),'Providers'!S212,""))</f>
        <v/>
      </c>
      <c r="J213" s="34">
        <f>IF(LEN('Providers'!A212)=0,"",IF(ISNUMBER('Providers'!W212),'Providers'!W212,""))</f>
        <v/>
      </c>
      <c r="K213" s="34">
        <f>IF(LEN('Providers'!A212)=0,"",IF(ISNUMBER('Providers'!Y212),'Providers'!Y212,""))</f>
        <v/>
      </c>
      <c r="L213" s="34">
        <f>IF(LEN('Providers'!A212)=0,"",IF(ISNUMBER('Providers'!AA212),'Providers'!AA212,""))</f>
        <v/>
      </c>
      <c r="M213" s="34">
        <f>IF(LEN('Providers'!A212)=0,"",IF(ISNUMBER('Providers'!AD212),'Providers'!AD212,""))</f>
        <v/>
      </c>
      <c r="N213" s="35">
        <f>IF(LEN('Providers'!A212)=0,"",IF(LEN('Providers'!AG212)=0,"",'Providers'!AG212))</f>
        <v/>
      </c>
    </row>
    <row r="214">
      <c r="A214" s="32">
        <f>IF(LEN('Providers'!A213)=0,"",IF(LEN('Providers'!A213)=0,"",'Providers'!A213))</f>
        <v/>
      </c>
      <c r="B214" s="33">
        <f>IF(LEN('Providers'!A213)=0,"",IF(LEN('Providers'!B213)=0,"",'Providers'!B213))</f>
        <v/>
      </c>
      <c r="C214" s="33">
        <f>IF(LEN('Providers'!A213)=0,"",IF(LEN('Providers'!E213)=0,"",'Providers'!E213))</f>
        <v/>
      </c>
      <c r="D214" s="34">
        <f>IF(LEN('Providers'!A213)=0,"",IF(ISNUMBER('Providers'!G213),'Providers'!G213,""))</f>
        <v/>
      </c>
      <c r="E214" s="34">
        <f>IF(LEN('Providers'!A213)=0,"",IF(ISNUMBER('Providers'!I213),'Providers'!I213,""))</f>
        <v/>
      </c>
      <c r="F214" s="34">
        <f>IF(LEN('Providers'!A213)=0,"",IF(ISNUMBER('Providers'!K213),'Providers'!K213,""))</f>
        <v/>
      </c>
      <c r="G214" s="34">
        <f>IF(LEN('Providers'!A213)=0,"",IF(ISNUMBER('Providers'!M213),'Providers'!M213,""))</f>
        <v/>
      </c>
      <c r="H214" s="34">
        <f>IF(LEN('Providers'!A213)=0,"",IF(ISNUMBER('Providers'!Q213),'Providers'!Q213,""))</f>
        <v/>
      </c>
      <c r="I214" s="34">
        <f>IF(LEN('Providers'!A213)=0,"",IF(ISNUMBER('Providers'!S213),'Providers'!S213,""))</f>
        <v/>
      </c>
      <c r="J214" s="34">
        <f>IF(LEN('Providers'!A213)=0,"",IF(ISNUMBER('Providers'!W213),'Providers'!W213,""))</f>
        <v/>
      </c>
      <c r="K214" s="34">
        <f>IF(LEN('Providers'!A213)=0,"",IF(ISNUMBER('Providers'!Y213),'Providers'!Y213,""))</f>
        <v/>
      </c>
      <c r="L214" s="34">
        <f>IF(LEN('Providers'!A213)=0,"",IF(ISNUMBER('Providers'!AA213),'Providers'!AA213,""))</f>
        <v/>
      </c>
      <c r="M214" s="34">
        <f>IF(LEN('Providers'!A213)=0,"",IF(ISNUMBER('Providers'!AD213),'Providers'!AD213,""))</f>
        <v/>
      </c>
      <c r="N214" s="35">
        <f>IF(LEN('Providers'!A213)=0,"",IF(LEN('Providers'!AG213)=0,"",'Providers'!AG213))</f>
        <v/>
      </c>
    </row>
    <row r="215">
      <c r="A215" s="32">
        <f>IF(LEN('Providers'!A214)=0,"",IF(LEN('Providers'!A214)=0,"",'Providers'!A214))</f>
        <v/>
      </c>
      <c r="B215" s="33">
        <f>IF(LEN('Providers'!A214)=0,"",IF(LEN('Providers'!B214)=0,"",'Providers'!B214))</f>
        <v/>
      </c>
      <c r="C215" s="33">
        <f>IF(LEN('Providers'!A214)=0,"",IF(LEN('Providers'!E214)=0,"",'Providers'!E214))</f>
        <v/>
      </c>
      <c r="D215" s="34">
        <f>IF(LEN('Providers'!A214)=0,"",IF(ISNUMBER('Providers'!G214),'Providers'!G214,""))</f>
        <v/>
      </c>
      <c r="E215" s="34">
        <f>IF(LEN('Providers'!A214)=0,"",IF(ISNUMBER('Providers'!I214),'Providers'!I214,""))</f>
        <v/>
      </c>
      <c r="F215" s="34">
        <f>IF(LEN('Providers'!A214)=0,"",IF(ISNUMBER('Providers'!K214),'Providers'!K214,""))</f>
        <v/>
      </c>
      <c r="G215" s="34">
        <f>IF(LEN('Providers'!A214)=0,"",IF(ISNUMBER('Providers'!M214),'Providers'!M214,""))</f>
        <v/>
      </c>
      <c r="H215" s="34">
        <f>IF(LEN('Providers'!A214)=0,"",IF(ISNUMBER('Providers'!Q214),'Providers'!Q214,""))</f>
        <v/>
      </c>
      <c r="I215" s="34">
        <f>IF(LEN('Providers'!A214)=0,"",IF(ISNUMBER('Providers'!S214),'Providers'!S214,""))</f>
        <v/>
      </c>
      <c r="J215" s="34">
        <f>IF(LEN('Providers'!A214)=0,"",IF(ISNUMBER('Providers'!W214),'Providers'!W214,""))</f>
        <v/>
      </c>
      <c r="K215" s="34">
        <f>IF(LEN('Providers'!A214)=0,"",IF(ISNUMBER('Providers'!Y214),'Providers'!Y214,""))</f>
        <v/>
      </c>
      <c r="L215" s="34">
        <f>IF(LEN('Providers'!A214)=0,"",IF(ISNUMBER('Providers'!AA214),'Providers'!AA214,""))</f>
        <v/>
      </c>
      <c r="M215" s="34">
        <f>IF(LEN('Providers'!A214)=0,"",IF(ISNUMBER('Providers'!AD214),'Providers'!AD214,""))</f>
        <v/>
      </c>
      <c r="N215" s="35">
        <f>IF(LEN('Providers'!A214)=0,"",IF(LEN('Providers'!AG214)=0,"",'Providers'!AG214))</f>
        <v/>
      </c>
    </row>
    <row r="216">
      <c r="A216" s="32">
        <f>IF(LEN('Providers'!A215)=0,"",IF(LEN('Providers'!A215)=0,"",'Providers'!A215))</f>
        <v/>
      </c>
      <c r="B216" s="33">
        <f>IF(LEN('Providers'!A215)=0,"",IF(LEN('Providers'!B215)=0,"",'Providers'!B215))</f>
        <v/>
      </c>
      <c r="C216" s="33">
        <f>IF(LEN('Providers'!A215)=0,"",IF(LEN('Providers'!E215)=0,"",'Providers'!E215))</f>
        <v/>
      </c>
      <c r="D216" s="34">
        <f>IF(LEN('Providers'!A215)=0,"",IF(ISNUMBER('Providers'!G215),'Providers'!G215,""))</f>
        <v/>
      </c>
      <c r="E216" s="34">
        <f>IF(LEN('Providers'!A215)=0,"",IF(ISNUMBER('Providers'!I215),'Providers'!I215,""))</f>
        <v/>
      </c>
      <c r="F216" s="34">
        <f>IF(LEN('Providers'!A215)=0,"",IF(ISNUMBER('Providers'!K215),'Providers'!K215,""))</f>
        <v/>
      </c>
      <c r="G216" s="34">
        <f>IF(LEN('Providers'!A215)=0,"",IF(ISNUMBER('Providers'!M215),'Providers'!M215,""))</f>
        <v/>
      </c>
      <c r="H216" s="34">
        <f>IF(LEN('Providers'!A215)=0,"",IF(ISNUMBER('Providers'!Q215),'Providers'!Q215,""))</f>
        <v/>
      </c>
      <c r="I216" s="34">
        <f>IF(LEN('Providers'!A215)=0,"",IF(ISNUMBER('Providers'!S215),'Providers'!S215,""))</f>
        <v/>
      </c>
      <c r="J216" s="34">
        <f>IF(LEN('Providers'!A215)=0,"",IF(ISNUMBER('Providers'!W215),'Providers'!W215,""))</f>
        <v/>
      </c>
      <c r="K216" s="34">
        <f>IF(LEN('Providers'!A215)=0,"",IF(ISNUMBER('Providers'!Y215),'Providers'!Y215,""))</f>
        <v/>
      </c>
      <c r="L216" s="34">
        <f>IF(LEN('Providers'!A215)=0,"",IF(ISNUMBER('Providers'!AA215),'Providers'!AA215,""))</f>
        <v/>
      </c>
      <c r="M216" s="34">
        <f>IF(LEN('Providers'!A215)=0,"",IF(ISNUMBER('Providers'!AD215),'Providers'!AD215,""))</f>
        <v/>
      </c>
      <c r="N216" s="35">
        <f>IF(LEN('Providers'!A215)=0,"",IF(LEN('Providers'!AG215)=0,"",'Providers'!AG215))</f>
        <v/>
      </c>
    </row>
    <row r="217">
      <c r="A217" s="32">
        <f>IF(LEN('Providers'!A216)=0,"",IF(LEN('Providers'!A216)=0,"",'Providers'!A216))</f>
        <v/>
      </c>
      <c r="B217" s="33">
        <f>IF(LEN('Providers'!A216)=0,"",IF(LEN('Providers'!B216)=0,"",'Providers'!B216))</f>
        <v/>
      </c>
      <c r="C217" s="33">
        <f>IF(LEN('Providers'!A216)=0,"",IF(LEN('Providers'!E216)=0,"",'Providers'!E216))</f>
        <v/>
      </c>
      <c r="D217" s="34">
        <f>IF(LEN('Providers'!A216)=0,"",IF(ISNUMBER('Providers'!G216),'Providers'!G216,""))</f>
        <v/>
      </c>
      <c r="E217" s="34">
        <f>IF(LEN('Providers'!A216)=0,"",IF(ISNUMBER('Providers'!I216),'Providers'!I216,""))</f>
        <v/>
      </c>
      <c r="F217" s="34">
        <f>IF(LEN('Providers'!A216)=0,"",IF(ISNUMBER('Providers'!K216),'Providers'!K216,""))</f>
        <v/>
      </c>
      <c r="G217" s="34">
        <f>IF(LEN('Providers'!A216)=0,"",IF(ISNUMBER('Providers'!M216),'Providers'!M216,""))</f>
        <v/>
      </c>
      <c r="H217" s="34">
        <f>IF(LEN('Providers'!A216)=0,"",IF(ISNUMBER('Providers'!Q216),'Providers'!Q216,""))</f>
        <v/>
      </c>
      <c r="I217" s="34">
        <f>IF(LEN('Providers'!A216)=0,"",IF(ISNUMBER('Providers'!S216),'Providers'!S216,""))</f>
        <v/>
      </c>
      <c r="J217" s="34">
        <f>IF(LEN('Providers'!A216)=0,"",IF(ISNUMBER('Providers'!W216),'Providers'!W216,""))</f>
        <v/>
      </c>
      <c r="K217" s="34">
        <f>IF(LEN('Providers'!A216)=0,"",IF(ISNUMBER('Providers'!Y216),'Providers'!Y216,""))</f>
        <v/>
      </c>
      <c r="L217" s="34">
        <f>IF(LEN('Providers'!A216)=0,"",IF(ISNUMBER('Providers'!AA216),'Providers'!AA216,""))</f>
        <v/>
      </c>
      <c r="M217" s="34">
        <f>IF(LEN('Providers'!A216)=0,"",IF(ISNUMBER('Providers'!AD216),'Providers'!AD216,""))</f>
        <v/>
      </c>
      <c r="N217" s="35">
        <f>IF(LEN('Providers'!A216)=0,"",IF(LEN('Providers'!AG216)=0,"",'Providers'!AG216))</f>
        <v/>
      </c>
    </row>
    <row r="218">
      <c r="A218" s="32">
        <f>IF(LEN('Providers'!A217)=0,"",IF(LEN('Providers'!A217)=0,"",'Providers'!A217))</f>
        <v/>
      </c>
      <c r="B218" s="33">
        <f>IF(LEN('Providers'!A217)=0,"",IF(LEN('Providers'!B217)=0,"",'Providers'!B217))</f>
        <v/>
      </c>
      <c r="C218" s="33">
        <f>IF(LEN('Providers'!A217)=0,"",IF(LEN('Providers'!E217)=0,"",'Providers'!E217))</f>
        <v/>
      </c>
      <c r="D218" s="34">
        <f>IF(LEN('Providers'!A217)=0,"",IF(ISNUMBER('Providers'!G217),'Providers'!G217,""))</f>
        <v/>
      </c>
      <c r="E218" s="34">
        <f>IF(LEN('Providers'!A217)=0,"",IF(ISNUMBER('Providers'!I217),'Providers'!I217,""))</f>
        <v/>
      </c>
      <c r="F218" s="34">
        <f>IF(LEN('Providers'!A217)=0,"",IF(ISNUMBER('Providers'!K217),'Providers'!K217,""))</f>
        <v/>
      </c>
      <c r="G218" s="34">
        <f>IF(LEN('Providers'!A217)=0,"",IF(ISNUMBER('Providers'!M217),'Providers'!M217,""))</f>
        <v/>
      </c>
      <c r="H218" s="34">
        <f>IF(LEN('Providers'!A217)=0,"",IF(ISNUMBER('Providers'!Q217),'Providers'!Q217,""))</f>
        <v/>
      </c>
      <c r="I218" s="34">
        <f>IF(LEN('Providers'!A217)=0,"",IF(ISNUMBER('Providers'!S217),'Providers'!S217,""))</f>
        <v/>
      </c>
      <c r="J218" s="34">
        <f>IF(LEN('Providers'!A217)=0,"",IF(ISNUMBER('Providers'!W217),'Providers'!W217,""))</f>
        <v/>
      </c>
      <c r="K218" s="34">
        <f>IF(LEN('Providers'!A217)=0,"",IF(ISNUMBER('Providers'!Y217),'Providers'!Y217,""))</f>
        <v/>
      </c>
      <c r="L218" s="34">
        <f>IF(LEN('Providers'!A217)=0,"",IF(ISNUMBER('Providers'!AA217),'Providers'!AA217,""))</f>
        <v/>
      </c>
      <c r="M218" s="34">
        <f>IF(LEN('Providers'!A217)=0,"",IF(ISNUMBER('Providers'!AD217),'Providers'!AD217,""))</f>
        <v/>
      </c>
      <c r="N218" s="35">
        <f>IF(LEN('Providers'!A217)=0,"",IF(LEN('Providers'!AG217)=0,"",'Providers'!AG217))</f>
        <v/>
      </c>
    </row>
    <row r="219">
      <c r="A219" s="32">
        <f>IF(LEN('Providers'!A218)=0,"",IF(LEN('Providers'!A218)=0,"",'Providers'!A218))</f>
        <v/>
      </c>
      <c r="B219" s="33">
        <f>IF(LEN('Providers'!A218)=0,"",IF(LEN('Providers'!B218)=0,"",'Providers'!B218))</f>
        <v/>
      </c>
      <c r="C219" s="33">
        <f>IF(LEN('Providers'!A218)=0,"",IF(LEN('Providers'!E218)=0,"",'Providers'!E218))</f>
        <v/>
      </c>
      <c r="D219" s="34">
        <f>IF(LEN('Providers'!A218)=0,"",IF(ISNUMBER('Providers'!G218),'Providers'!G218,""))</f>
        <v/>
      </c>
      <c r="E219" s="34">
        <f>IF(LEN('Providers'!A218)=0,"",IF(ISNUMBER('Providers'!I218),'Providers'!I218,""))</f>
        <v/>
      </c>
      <c r="F219" s="34">
        <f>IF(LEN('Providers'!A218)=0,"",IF(ISNUMBER('Providers'!K218),'Providers'!K218,""))</f>
        <v/>
      </c>
      <c r="G219" s="34">
        <f>IF(LEN('Providers'!A218)=0,"",IF(ISNUMBER('Providers'!M218),'Providers'!M218,""))</f>
        <v/>
      </c>
      <c r="H219" s="34">
        <f>IF(LEN('Providers'!A218)=0,"",IF(ISNUMBER('Providers'!Q218),'Providers'!Q218,""))</f>
        <v/>
      </c>
      <c r="I219" s="34">
        <f>IF(LEN('Providers'!A218)=0,"",IF(ISNUMBER('Providers'!S218),'Providers'!S218,""))</f>
        <v/>
      </c>
      <c r="J219" s="34">
        <f>IF(LEN('Providers'!A218)=0,"",IF(ISNUMBER('Providers'!W218),'Providers'!W218,""))</f>
        <v/>
      </c>
      <c r="K219" s="34">
        <f>IF(LEN('Providers'!A218)=0,"",IF(ISNUMBER('Providers'!Y218),'Providers'!Y218,""))</f>
        <v/>
      </c>
      <c r="L219" s="34">
        <f>IF(LEN('Providers'!A218)=0,"",IF(ISNUMBER('Providers'!AA218),'Providers'!AA218,""))</f>
        <v/>
      </c>
      <c r="M219" s="34">
        <f>IF(LEN('Providers'!A218)=0,"",IF(ISNUMBER('Providers'!AD218),'Providers'!AD218,""))</f>
        <v/>
      </c>
      <c r="N219" s="35">
        <f>IF(LEN('Providers'!A218)=0,"",IF(LEN('Providers'!AG218)=0,"",'Providers'!AG218))</f>
        <v/>
      </c>
    </row>
    <row r="220">
      <c r="A220" s="32">
        <f>IF(LEN('Providers'!A219)=0,"",IF(LEN('Providers'!A219)=0,"",'Providers'!A219))</f>
        <v/>
      </c>
      <c r="B220" s="33">
        <f>IF(LEN('Providers'!A219)=0,"",IF(LEN('Providers'!B219)=0,"",'Providers'!B219))</f>
        <v/>
      </c>
      <c r="C220" s="33">
        <f>IF(LEN('Providers'!A219)=0,"",IF(LEN('Providers'!E219)=0,"",'Providers'!E219))</f>
        <v/>
      </c>
      <c r="D220" s="34">
        <f>IF(LEN('Providers'!A219)=0,"",IF(ISNUMBER('Providers'!G219),'Providers'!G219,""))</f>
        <v/>
      </c>
      <c r="E220" s="34">
        <f>IF(LEN('Providers'!A219)=0,"",IF(ISNUMBER('Providers'!I219),'Providers'!I219,""))</f>
        <v/>
      </c>
      <c r="F220" s="34">
        <f>IF(LEN('Providers'!A219)=0,"",IF(ISNUMBER('Providers'!K219),'Providers'!K219,""))</f>
        <v/>
      </c>
      <c r="G220" s="34">
        <f>IF(LEN('Providers'!A219)=0,"",IF(ISNUMBER('Providers'!M219),'Providers'!M219,""))</f>
        <v/>
      </c>
      <c r="H220" s="34">
        <f>IF(LEN('Providers'!A219)=0,"",IF(ISNUMBER('Providers'!Q219),'Providers'!Q219,""))</f>
        <v/>
      </c>
      <c r="I220" s="34">
        <f>IF(LEN('Providers'!A219)=0,"",IF(ISNUMBER('Providers'!S219),'Providers'!S219,""))</f>
        <v/>
      </c>
      <c r="J220" s="34">
        <f>IF(LEN('Providers'!A219)=0,"",IF(ISNUMBER('Providers'!W219),'Providers'!W219,""))</f>
        <v/>
      </c>
      <c r="K220" s="34">
        <f>IF(LEN('Providers'!A219)=0,"",IF(ISNUMBER('Providers'!Y219),'Providers'!Y219,""))</f>
        <v/>
      </c>
      <c r="L220" s="34">
        <f>IF(LEN('Providers'!A219)=0,"",IF(ISNUMBER('Providers'!AA219),'Providers'!AA219,""))</f>
        <v/>
      </c>
      <c r="M220" s="34">
        <f>IF(LEN('Providers'!A219)=0,"",IF(ISNUMBER('Providers'!AD219),'Providers'!AD219,""))</f>
        <v/>
      </c>
      <c r="N220" s="35">
        <f>IF(LEN('Providers'!A219)=0,"",IF(LEN('Providers'!AG219)=0,"",'Providers'!AG219))</f>
        <v/>
      </c>
    </row>
    <row r="221">
      <c r="A221" s="32">
        <f>IF(LEN('Providers'!A220)=0,"",IF(LEN('Providers'!A220)=0,"",'Providers'!A220))</f>
        <v/>
      </c>
      <c r="B221" s="33">
        <f>IF(LEN('Providers'!A220)=0,"",IF(LEN('Providers'!B220)=0,"",'Providers'!B220))</f>
        <v/>
      </c>
      <c r="C221" s="33">
        <f>IF(LEN('Providers'!A220)=0,"",IF(LEN('Providers'!E220)=0,"",'Providers'!E220))</f>
        <v/>
      </c>
      <c r="D221" s="34">
        <f>IF(LEN('Providers'!A220)=0,"",IF(ISNUMBER('Providers'!G220),'Providers'!G220,""))</f>
        <v/>
      </c>
      <c r="E221" s="34">
        <f>IF(LEN('Providers'!A220)=0,"",IF(ISNUMBER('Providers'!I220),'Providers'!I220,""))</f>
        <v/>
      </c>
      <c r="F221" s="34">
        <f>IF(LEN('Providers'!A220)=0,"",IF(ISNUMBER('Providers'!K220),'Providers'!K220,""))</f>
        <v/>
      </c>
      <c r="G221" s="34">
        <f>IF(LEN('Providers'!A220)=0,"",IF(ISNUMBER('Providers'!M220),'Providers'!M220,""))</f>
        <v/>
      </c>
      <c r="H221" s="34">
        <f>IF(LEN('Providers'!A220)=0,"",IF(ISNUMBER('Providers'!Q220),'Providers'!Q220,""))</f>
        <v/>
      </c>
      <c r="I221" s="34">
        <f>IF(LEN('Providers'!A220)=0,"",IF(ISNUMBER('Providers'!S220),'Providers'!S220,""))</f>
        <v/>
      </c>
      <c r="J221" s="34">
        <f>IF(LEN('Providers'!A220)=0,"",IF(ISNUMBER('Providers'!W220),'Providers'!W220,""))</f>
        <v/>
      </c>
      <c r="K221" s="34">
        <f>IF(LEN('Providers'!A220)=0,"",IF(ISNUMBER('Providers'!Y220),'Providers'!Y220,""))</f>
        <v/>
      </c>
      <c r="L221" s="34">
        <f>IF(LEN('Providers'!A220)=0,"",IF(ISNUMBER('Providers'!AA220),'Providers'!AA220,""))</f>
        <v/>
      </c>
      <c r="M221" s="34">
        <f>IF(LEN('Providers'!A220)=0,"",IF(ISNUMBER('Providers'!AD220),'Providers'!AD220,""))</f>
        <v/>
      </c>
      <c r="N221" s="35">
        <f>IF(LEN('Providers'!A220)=0,"",IF(LEN('Providers'!AG220)=0,"",'Providers'!AG220))</f>
        <v/>
      </c>
    </row>
    <row r="222">
      <c r="A222" s="32">
        <f>IF(LEN('Providers'!A221)=0,"",IF(LEN('Providers'!A221)=0,"",'Providers'!A221))</f>
        <v/>
      </c>
      <c r="B222" s="33">
        <f>IF(LEN('Providers'!A221)=0,"",IF(LEN('Providers'!B221)=0,"",'Providers'!B221))</f>
        <v/>
      </c>
      <c r="C222" s="33">
        <f>IF(LEN('Providers'!A221)=0,"",IF(LEN('Providers'!E221)=0,"",'Providers'!E221))</f>
        <v/>
      </c>
      <c r="D222" s="34">
        <f>IF(LEN('Providers'!A221)=0,"",IF(ISNUMBER('Providers'!G221),'Providers'!G221,""))</f>
        <v/>
      </c>
      <c r="E222" s="34">
        <f>IF(LEN('Providers'!A221)=0,"",IF(ISNUMBER('Providers'!I221),'Providers'!I221,""))</f>
        <v/>
      </c>
      <c r="F222" s="34">
        <f>IF(LEN('Providers'!A221)=0,"",IF(ISNUMBER('Providers'!K221),'Providers'!K221,""))</f>
        <v/>
      </c>
      <c r="G222" s="34">
        <f>IF(LEN('Providers'!A221)=0,"",IF(ISNUMBER('Providers'!M221),'Providers'!M221,""))</f>
        <v/>
      </c>
      <c r="H222" s="34">
        <f>IF(LEN('Providers'!A221)=0,"",IF(ISNUMBER('Providers'!Q221),'Providers'!Q221,""))</f>
        <v/>
      </c>
      <c r="I222" s="34">
        <f>IF(LEN('Providers'!A221)=0,"",IF(ISNUMBER('Providers'!S221),'Providers'!S221,""))</f>
        <v/>
      </c>
      <c r="J222" s="34">
        <f>IF(LEN('Providers'!A221)=0,"",IF(ISNUMBER('Providers'!W221),'Providers'!W221,""))</f>
        <v/>
      </c>
      <c r="K222" s="34">
        <f>IF(LEN('Providers'!A221)=0,"",IF(ISNUMBER('Providers'!Y221),'Providers'!Y221,""))</f>
        <v/>
      </c>
      <c r="L222" s="34">
        <f>IF(LEN('Providers'!A221)=0,"",IF(ISNUMBER('Providers'!AA221),'Providers'!AA221,""))</f>
        <v/>
      </c>
      <c r="M222" s="34">
        <f>IF(LEN('Providers'!A221)=0,"",IF(ISNUMBER('Providers'!AD221),'Providers'!AD221,""))</f>
        <v/>
      </c>
      <c r="N222" s="35">
        <f>IF(LEN('Providers'!A221)=0,"",IF(LEN('Providers'!AG221)=0,"",'Providers'!AG221))</f>
        <v/>
      </c>
    </row>
    <row r="223">
      <c r="A223" s="32">
        <f>IF(LEN('Providers'!A222)=0,"",IF(LEN('Providers'!A222)=0,"",'Providers'!A222))</f>
        <v/>
      </c>
      <c r="B223" s="33">
        <f>IF(LEN('Providers'!A222)=0,"",IF(LEN('Providers'!B222)=0,"",'Providers'!B222))</f>
        <v/>
      </c>
      <c r="C223" s="33">
        <f>IF(LEN('Providers'!A222)=0,"",IF(LEN('Providers'!E222)=0,"",'Providers'!E222))</f>
        <v/>
      </c>
      <c r="D223" s="34">
        <f>IF(LEN('Providers'!A222)=0,"",IF(ISNUMBER('Providers'!G222),'Providers'!G222,""))</f>
        <v/>
      </c>
      <c r="E223" s="34">
        <f>IF(LEN('Providers'!A222)=0,"",IF(ISNUMBER('Providers'!I222),'Providers'!I222,""))</f>
        <v/>
      </c>
      <c r="F223" s="34">
        <f>IF(LEN('Providers'!A222)=0,"",IF(ISNUMBER('Providers'!K222),'Providers'!K222,""))</f>
        <v/>
      </c>
      <c r="G223" s="34">
        <f>IF(LEN('Providers'!A222)=0,"",IF(ISNUMBER('Providers'!M222),'Providers'!M222,""))</f>
        <v/>
      </c>
      <c r="H223" s="34">
        <f>IF(LEN('Providers'!A222)=0,"",IF(ISNUMBER('Providers'!Q222),'Providers'!Q222,""))</f>
        <v/>
      </c>
      <c r="I223" s="34">
        <f>IF(LEN('Providers'!A222)=0,"",IF(ISNUMBER('Providers'!S222),'Providers'!S222,""))</f>
        <v/>
      </c>
      <c r="J223" s="34">
        <f>IF(LEN('Providers'!A222)=0,"",IF(ISNUMBER('Providers'!W222),'Providers'!W222,""))</f>
        <v/>
      </c>
      <c r="K223" s="34">
        <f>IF(LEN('Providers'!A222)=0,"",IF(ISNUMBER('Providers'!Y222),'Providers'!Y222,""))</f>
        <v/>
      </c>
      <c r="L223" s="34">
        <f>IF(LEN('Providers'!A222)=0,"",IF(ISNUMBER('Providers'!AA222),'Providers'!AA222,""))</f>
        <v/>
      </c>
      <c r="M223" s="34">
        <f>IF(LEN('Providers'!A222)=0,"",IF(ISNUMBER('Providers'!AD222),'Providers'!AD222,""))</f>
        <v/>
      </c>
      <c r="N223" s="35">
        <f>IF(LEN('Providers'!A222)=0,"",IF(LEN('Providers'!AG222)=0,"",'Providers'!AG222))</f>
        <v/>
      </c>
    </row>
    <row r="224">
      <c r="A224" s="32">
        <f>IF(LEN('Providers'!A223)=0,"",IF(LEN('Providers'!A223)=0,"",'Providers'!A223))</f>
        <v/>
      </c>
      <c r="B224" s="33">
        <f>IF(LEN('Providers'!A223)=0,"",IF(LEN('Providers'!B223)=0,"",'Providers'!B223))</f>
        <v/>
      </c>
      <c r="C224" s="33">
        <f>IF(LEN('Providers'!A223)=0,"",IF(LEN('Providers'!E223)=0,"",'Providers'!E223))</f>
        <v/>
      </c>
      <c r="D224" s="34">
        <f>IF(LEN('Providers'!A223)=0,"",IF(ISNUMBER('Providers'!G223),'Providers'!G223,""))</f>
        <v/>
      </c>
      <c r="E224" s="34">
        <f>IF(LEN('Providers'!A223)=0,"",IF(ISNUMBER('Providers'!I223),'Providers'!I223,""))</f>
        <v/>
      </c>
      <c r="F224" s="34">
        <f>IF(LEN('Providers'!A223)=0,"",IF(ISNUMBER('Providers'!K223),'Providers'!K223,""))</f>
        <v/>
      </c>
      <c r="G224" s="34">
        <f>IF(LEN('Providers'!A223)=0,"",IF(ISNUMBER('Providers'!M223),'Providers'!M223,""))</f>
        <v/>
      </c>
      <c r="H224" s="34">
        <f>IF(LEN('Providers'!A223)=0,"",IF(ISNUMBER('Providers'!Q223),'Providers'!Q223,""))</f>
        <v/>
      </c>
      <c r="I224" s="34">
        <f>IF(LEN('Providers'!A223)=0,"",IF(ISNUMBER('Providers'!S223),'Providers'!S223,""))</f>
        <v/>
      </c>
      <c r="J224" s="34">
        <f>IF(LEN('Providers'!A223)=0,"",IF(ISNUMBER('Providers'!W223),'Providers'!W223,""))</f>
        <v/>
      </c>
      <c r="K224" s="34">
        <f>IF(LEN('Providers'!A223)=0,"",IF(ISNUMBER('Providers'!Y223),'Providers'!Y223,""))</f>
        <v/>
      </c>
      <c r="L224" s="34">
        <f>IF(LEN('Providers'!A223)=0,"",IF(ISNUMBER('Providers'!AA223),'Providers'!AA223,""))</f>
        <v/>
      </c>
      <c r="M224" s="34">
        <f>IF(LEN('Providers'!A223)=0,"",IF(ISNUMBER('Providers'!AD223),'Providers'!AD223,""))</f>
        <v/>
      </c>
      <c r="N224" s="35">
        <f>IF(LEN('Providers'!A223)=0,"",IF(LEN('Providers'!AG223)=0,"",'Providers'!AG223))</f>
        <v/>
      </c>
    </row>
    <row r="225">
      <c r="A225" s="32">
        <f>IF(LEN('Providers'!A224)=0,"",IF(LEN('Providers'!A224)=0,"",'Providers'!A224))</f>
        <v/>
      </c>
      <c r="B225" s="33">
        <f>IF(LEN('Providers'!A224)=0,"",IF(LEN('Providers'!B224)=0,"",'Providers'!B224))</f>
        <v/>
      </c>
      <c r="C225" s="33">
        <f>IF(LEN('Providers'!A224)=0,"",IF(LEN('Providers'!E224)=0,"",'Providers'!E224))</f>
        <v/>
      </c>
      <c r="D225" s="34">
        <f>IF(LEN('Providers'!A224)=0,"",IF(ISNUMBER('Providers'!G224),'Providers'!G224,""))</f>
        <v/>
      </c>
      <c r="E225" s="34">
        <f>IF(LEN('Providers'!A224)=0,"",IF(ISNUMBER('Providers'!I224),'Providers'!I224,""))</f>
        <v/>
      </c>
      <c r="F225" s="34">
        <f>IF(LEN('Providers'!A224)=0,"",IF(ISNUMBER('Providers'!K224),'Providers'!K224,""))</f>
        <v/>
      </c>
      <c r="G225" s="34">
        <f>IF(LEN('Providers'!A224)=0,"",IF(ISNUMBER('Providers'!M224),'Providers'!M224,""))</f>
        <v/>
      </c>
      <c r="H225" s="34">
        <f>IF(LEN('Providers'!A224)=0,"",IF(ISNUMBER('Providers'!Q224),'Providers'!Q224,""))</f>
        <v/>
      </c>
      <c r="I225" s="34">
        <f>IF(LEN('Providers'!A224)=0,"",IF(ISNUMBER('Providers'!S224),'Providers'!S224,""))</f>
        <v/>
      </c>
      <c r="J225" s="34">
        <f>IF(LEN('Providers'!A224)=0,"",IF(ISNUMBER('Providers'!W224),'Providers'!W224,""))</f>
        <v/>
      </c>
      <c r="K225" s="34">
        <f>IF(LEN('Providers'!A224)=0,"",IF(ISNUMBER('Providers'!Y224),'Providers'!Y224,""))</f>
        <v/>
      </c>
      <c r="L225" s="34">
        <f>IF(LEN('Providers'!A224)=0,"",IF(ISNUMBER('Providers'!AA224),'Providers'!AA224,""))</f>
        <v/>
      </c>
      <c r="M225" s="34">
        <f>IF(LEN('Providers'!A224)=0,"",IF(ISNUMBER('Providers'!AD224),'Providers'!AD224,""))</f>
        <v/>
      </c>
      <c r="N225" s="35">
        <f>IF(LEN('Providers'!A224)=0,"",IF(LEN('Providers'!AG224)=0,"",'Providers'!AG224))</f>
        <v/>
      </c>
    </row>
    <row r="226">
      <c r="A226" s="32">
        <f>IF(LEN('Providers'!A225)=0,"",IF(LEN('Providers'!A225)=0,"",'Providers'!A225))</f>
        <v/>
      </c>
      <c r="B226" s="33">
        <f>IF(LEN('Providers'!A225)=0,"",IF(LEN('Providers'!B225)=0,"",'Providers'!B225))</f>
        <v/>
      </c>
      <c r="C226" s="33">
        <f>IF(LEN('Providers'!A225)=0,"",IF(LEN('Providers'!E225)=0,"",'Providers'!E225))</f>
        <v/>
      </c>
      <c r="D226" s="34">
        <f>IF(LEN('Providers'!A225)=0,"",IF(ISNUMBER('Providers'!G225),'Providers'!G225,""))</f>
        <v/>
      </c>
      <c r="E226" s="34">
        <f>IF(LEN('Providers'!A225)=0,"",IF(ISNUMBER('Providers'!I225),'Providers'!I225,""))</f>
        <v/>
      </c>
      <c r="F226" s="34">
        <f>IF(LEN('Providers'!A225)=0,"",IF(ISNUMBER('Providers'!K225),'Providers'!K225,""))</f>
        <v/>
      </c>
      <c r="G226" s="34">
        <f>IF(LEN('Providers'!A225)=0,"",IF(ISNUMBER('Providers'!M225),'Providers'!M225,""))</f>
        <v/>
      </c>
      <c r="H226" s="34">
        <f>IF(LEN('Providers'!A225)=0,"",IF(ISNUMBER('Providers'!Q225),'Providers'!Q225,""))</f>
        <v/>
      </c>
      <c r="I226" s="34">
        <f>IF(LEN('Providers'!A225)=0,"",IF(ISNUMBER('Providers'!S225),'Providers'!S225,""))</f>
        <v/>
      </c>
      <c r="J226" s="34">
        <f>IF(LEN('Providers'!A225)=0,"",IF(ISNUMBER('Providers'!W225),'Providers'!W225,""))</f>
        <v/>
      </c>
      <c r="K226" s="34">
        <f>IF(LEN('Providers'!A225)=0,"",IF(ISNUMBER('Providers'!Y225),'Providers'!Y225,""))</f>
        <v/>
      </c>
      <c r="L226" s="34">
        <f>IF(LEN('Providers'!A225)=0,"",IF(ISNUMBER('Providers'!AA225),'Providers'!AA225,""))</f>
        <v/>
      </c>
      <c r="M226" s="34">
        <f>IF(LEN('Providers'!A225)=0,"",IF(ISNUMBER('Providers'!AD225),'Providers'!AD225,""))</f>
        <v/>
      </c>
      <c r="N226" s="35">
        <f>IF(LEN('Providers'!A225)=0,"",IF(LEN('Providers'!AG225)=0,"",'Providers'!AG225))</f>
        <v/>
      </c>
    </row>
    <row r="227">
      <c r="A227" s="32">
        <f>IF(LEN('Providers'!A226)=0,"",IF(LEN('Providers'!A226)=0,"",'Providers'!A226))</f>
        <v/>
      </c>
      <c r="B227" s="33">
        <f>IF(LEN('Providers'!A226)=0,"",IF(LEN('Providers'!B226)=0,"",'Providers'!B226))</f>
        <v/>
      </c>
      <c r="C227" s="33">
        <f>IF(LEN('Providers'!A226)=0,"",IF(LEN('Providers'!E226)=0,"",'Providers'!E226))</f>
        <v/>
      </c>
      <c r="D227" s="34">
        <f>IF(LEN('Providers'!A226)=0,"",IF(ISNUMBER('Providers'!G226),'Providers'!G226,""))</f>
        <v/>
      </c>
      <c r="E227" s="34">
        <f>IF(LEN('Providers'!A226)=0,"",IF(ISNUMBER('Providers'!I226),'Providers'!I226,""))</f>
        <v/>
      </c>
      <c r="F227" s="34">
        <f>IF(LEN('Providers'!A226)=0,"",IF(ISNUMBER('Providers'!K226),'Providers'!K226,""))</f>
        <v/>
      </c>
      <c r="G227" s="34">
        <f>IF(LEN('Providers'!A226)=0,"",IF(ISNUMBER('Providers'!M226),'Providers'!M226,""))</f>
        <v/>
      </c>
      <c r="H227" s="34">
        <f>IF(LEN('Providers'!A226)=0,"",IF(ISNUMBER('Providers'!Q226),'Providers'!Q226,""))</f>
        <v/>
      </c>
      <c r="I227" s="34">
        <f>IF(LEN('Providers'!A226)=0,"",IF(ISNUMBER('Providers'!S226),'Providers'!S226,""))</f>
        <v/>
      </c>
      <c r="J227" s="34">
        <f>IF(LEN('Providers'!A226)=0,"",IF(ISNUMBER('Providers'!W226),'Providers'!W226,""))</f>
        <v/>
      </c>
      <c r="K227" s="34">
        <f>IF(LEN('Providers'!A226)=0,"",IF(ISNUMBER('Providers'!Y226),'Providers'!Y226,""))</f>
        <v/>
      </c>
      <c r="L227" s="34">
        <f>IF(LEN('Providers'!A226)=0,"",IF(ISNUMBER('Providers'!AA226),'Providers'!AA226,""))</f>
        <v/>
      </c>
      <c r="M227" s="34">
        <f>IF(LEN('Providers'!A226)=0,"",IF(ISNUMBER('Providers'!AD226),'Providers'!AD226,""))</f>
        <v/>
      </c>
      <c r="N227" s="35">
        <f>IF(LEN('Providers'!A226)=0,"",IF(LEN('Providers'!AG226)=0,"",'Providers'!AG226))</f>
        <v/>
      </c>
    </row>
    <row r="228">
      <c r="A228" s="32">
        <f>IF(LEN('Providers'!A227)=0,"",IF(LEN('Providers'!A227)=0,"",'Providers'!A227))</f>
        <v/>
      </c>
      <c r="B228" s="33">
        <f>IF(LEN('Providers'!A227)=0,"",IF(LEN('Providers'!B227)=0,"",'Providers'!B227))</f>
        <v/>
      </c>
      <c r="C228" s="33">
        <f>IF(LEN('Providers'!A227)=0,"",IF(LEN('Providers'!E227)=0,"",'Providers'!E227))</f>
        <v/>
      </c>
      <c r="D228" s="34">
        <f>IF(LEN('Providers'!A227)=0,"",IF(ISNUMBER('Providers'!G227),'Providers'!G227,""))</f>
        <v/>
      </c>
      <c r="E228" s="34">
        <f>IF(LEN('Providers'!A227)=0,"",IF(ISNUMBER('Providers'!I227),'Providers'!I227,""))</f>
        <v/>
      </c>
      <c r="F228" s="34">
        <f>IF(LEN('Providers'!A227)=0,"",IF(ISNUMBER('Providers'!K227),'Providers'!K227,""))</f>
        <v/>
      </c>
      <c r="G228" s="34">
        <f>IF(LEN('Providers'!A227)=0,"",IF(ISNUMBER('Providers'!M227),'Providers'!M227,""))</f>
        <v/>
      </c>
      <c r="H228" s="34">
        <f>IF(LEN('Providers'!A227)=0,"",IF(ISNUMBER('Providers'!Q227),'Providers'!Q227,""))</f>
        <v/>
      </c>
      <c r="I228" s="34">
        <f>IF(LEN('Providers'!A227)=0,"",IF(ISNUMBER('Providers'!S227),'Providers'!S227,""))</f>
        <v/>
      </c>
      <c r="J228" s="34">
        <f>IF(LEN('Providers'!A227)=0,"",IF(ISNUMBER('Providers'!W227),'Providers'!W227,""))</f>
        <v/>
      </c>
      <c r="K228" s="34">
        <f>IF(LEN('Providers'!A227)=0,"",IF(ISNUMBER('Providers'!Y227),'Providers'!Y227,""))</f>
        <v/>
      </c>
      <c r="L228" s="34">
        <f>IF(LEN('Providers'!A227)=0,"",IF(ISNUMBER('Providers'!AA227),'Providers'!AA227,""))</f>
        <v/>
      </c>
      <c r="M228" s="34">
        <f>IF(LEN('Providers'!A227)=0,"",IF(ISNUMBER('Providers'!AD227),'Providers'!AD227,""))</f>
        <v/>
      </c>
      <c r="N228" s="35">
        <f>IF(LEN('Providers'!A227)=0,"",IF(LEN('Providers'!AG227)=0,"",'Providers'!AG227))</f>
        <v/>
      </c>
    </row>
    <row r="229">
      <c r="A229" s="32">
        <f>IF(LEN('Providers'!A228)=0,"",IF(LEN('Providers'!A228)=0,"",'Providers'!A228))</f>
        <v/>
      </c>
      <c r="B229" s="33">
        <f>IF(LEN('Providers'!A228)=0,"",IF(LEN('Providers'!B228)=0,"",'Providers'!B228))</f>
        <v/>
      </c>
      <c r="C229" s="33">
        <f>IF(LEN('Providers'!A228)=0,"",IF(LEN('Providers'!E228)=0,"",'Providers'!E228))</f>
        <v/>
      </c>
      <c r="D229" s="34">
        <f>IF(LEN('Providers'!A228)=0,"",IF(ISNUMBER('Providers'!G228),'Providers'!G228,""))</f>
        <v/>
      </c>
      <c r="E229" s="34">
        <f>IF(LEN('Providers'!A228)=0,"",IF(ISNUMBER('Providers'!I228),'Providers'!I228,""))</f>
        <v/>
      </c>
      <c r="F229" s="34">
        <f>IF(LEN('Providers'!A228)=0,"",IF(ISNUMBER('Providers'!K228),'Providers'!K228,""))</f>
        <v/>
      </c>
      <c r="G229" s="34">
        <f>IF(LEN('Providers'!A228)=0,"",IF(ISNUMBER('Providers'!M228),'Providers'!M228,""))</f>
        <v/>
      </c>
      <c r="H229" s="34">
        <f>IF(LEN('Providers'!A228)=0,"",IF(ISNUMBER('Providers'!Q228),'Providers'!Q228,""))</f>
        <v/>
      </c>
      <c r="I229" s="34">
        <f>IF(LEN('Providers'!A228)=0,"",IF(ISNUMBER('Providers'!S228),'Providers'!S228,""))</f>
        <v/>
      </c>
      <c r="J229" s="34">
        <f>IF(LEN('Providers'!A228)=0,"",IF(ISNUMBER('Providers'!W228),'Providers'!W228,""))</f>
        <v/>
      </c>
      <c r="K229" s="34">
        <f>IF(LEN('Providers'!A228)=0,"",IF(ISNUMBER('Providers'!Y228),'Providers'!Y228,""))</f>
        <v/>
      </c>
      <c r="L229" s="34">
        <f>IF(LEN('Providers'!A228)=0,"",IF(ISNUMBER('Providers'!AA228),'Providers'!AA228,""))</f>
        <v/>
      </c>
      <c r="M229" s="34">
        <f>IF(LEN('Providers'!A228)=0,"",IF(ISNUMBER('Providers'!AD228),'Providers'!AD228,""))</f>
        <v/>
      </c>
      <c r="N229" s="35">
        <f>IF(LEN('Providers'!A228)=0,"",IF(LEN('Providers'!AG228)=0,"",'Providers'!AG228))</f>
        <v/>
      </c>
    </row>
    <row r="230">
      <c r="A230" s="32">
        <f>IF(LEN('Providers'!A229)=0,"",IF(LEN('Providers'!A229)=0,"",'Providers'!A229))</f>
        <v/>
      </c>
      <c r="B230" s="33">
        <f>IF(LEN('Providers'!A229)=0,"",IF(LEN('Providers'!B229)=0,"",'Providers'!B229))</f>
        <v/>
      </c>
      <c r="C230" s="33">
        <f>IF(LEN('Providers'!A229)=0,"",IF(LEN('Providers'!E229)=0,"",'Providers'!E229))</f>
        <v/>
      </c>
      <c r="D230" s="34">
        <f>IF(LEN('Providers'!A229)=0,"",IF(ISNUMBER('Providers'!G229),'Providers'!G229,""))</f>
        <v/>
      </c>
      <c r="E230" s="34">
        <f>IF(LEN('Providers'!A229)=0,"",IF(ISNUMBER('Providers'!I229),'Providers'!I229,""))</f>
        <v/>
      </c>
      <c r="F230" s="34">
        <f>IF(LEN('Providers'!A229)=0,"",IF(ISNUMBER('Providers'!K229),'Providers'!K229,""))</f>
        <v/>
      </c>
      <c r="G230" s="34">
        <f>IF(LEN('Providers'!A229)=0,"",IF(ISNUMBER('Providers'!M229),'Providers'!M229,""))</f>
        <v/>
      </c>
      <c r="H230" s="34">
        <f>IF(LEN('Providers'!A229)=0,"",IF(ISNUMBER('Providers'!Q229),'Providers'!Q229,""))</f>
        <v/>
      </c>
      <c r="I230" s="34">
        <f>IF(LEN('Providers'!A229)=0,"",IF(ISNUMBER('Providers'!S229),'Providers'!S229,""))</f>
        <v/>
      </c>
      <c r="J230" s="34">
        <f>IF(LEN('Providers'!A229)=0,"",IF(ISNUMBER('Providers'!W229),'Providers'!W229,""))</f>
        <v/>
      </c>
      <c r="K230" s="34">
        <f>IF(LEN('Providers'!A229)=0,"",IF(ISNUMBER('Providers'!Y229),'Providers'!Y229,""))</f>
        <v/>
      </c>
      <c r="L230" s="34">
        <f>IF(LEN('Providers'!A229)=0,"",IF(ISNUMBER('Providers'!AA229),'Providers'!AA229,""))</f>
        <v/>
      </c>
      <c r="M230" s="34">
        <f>IF(LEN('Providers'!A229)=0,"",IF(ISNUMBER('Providers'!AD229),'Providers'!AD229,""))</f>
        <v/>
      </c>
      <c r="N230" s="35">
        <f>IF(LEN('Providers'!A229)=0,"",IF(LEN('Providers'!AG229)=0,"",'Providers'!AG229))</f>
        <v/>
      </c>
    </row>
    <row r="231">
      <c r="A231" s="32">
        <f>IF(LEN('Providers'!A230)=0,"",IF(LEN('Providers'!A230)=0,"",'Providers'!A230))</f>
        <v/>
      </c>
      <c r="B231" s="33">
        <f>IF(LEN('Providers'!A230)=0,"",IF(LEN('Providers'!B230)=0,"",'Providers'!B230))</f>
        <v/>
      </c>
      <c r="C231" s="33">
        <f>IF(LEN('Providers'!A230)=0,"",IF(LEN('Providers'!E230)=0,"",'Providers'!E230))</f>
        <v/>
      </c>
      <c r="D231" s="34">
        <f>IF(LEN('Providers'!A230)=0,"",IF(ISNUMBER('Providers'!G230),'Providers'!G230,""))</f>
        <v/>
      </c>
      <c r="E231" s="34">
        <f>IF(LEN('Providers'!A230)=0,"",IF(ISNUMBER('Providers'!I230),'Providers'!I230,""))</f>
        <v/>
      </c>
      <c r="F231" s="34">
        <f>IF(LEN('Providers'!A230)=0,"",IF(ISNUMBER('Providers'!K230),'Providers'!K230,""))</f>
        <v/>
      </c>
      <c r="G231" s="34">
        <f>IF(LEN('Providers'!A230)=0,"",IF(ISNUMBER('Providers'!M230),'Providers'!M230,""))</f>
        <v/>
      </c>
      <c r="H231" s="34">
        <f>IF(LEN('Providers'!A230)=0,"",IF(ISNUMBER('Providers'!Q230),'Providers'!Q230,""))</f>
        <v/>
      </c>
      <c r="I231" s="34">
        <f>IF(LEN('Providers'!A230)=0,"",IF(ISNUMBER('Providers'!S230),'Providers'!S230,""))</f>
        <v/>
      </c>
      <c r="J231" s="34">
        <f>IF(LEN('Providers'!A230)=0,"",IF(ISNUMBER('Providers'!W230),'Providers'!W230,""))</f>
        <v/>
      </c>
      <c r="K231" s="34">
        <f>IF(LEN('Providers'!A230)=0,"",IF(ISNUMBER('Providers'!Y230),'Providers'!Y230,""))</f>
        <v/>
      </c>
      <c r="L231" s="34">
        <f>IF(LEN('Providers'!A230)=0,"",IF(ISNUMBER('Providers'!AA230),'Providers'!AA230,""))</f>
        <v/>
      </c>
      <c r="M231" s="34">
        <f>IF(LEN('Providers'!A230)=0,"",IF(ISNUMBER('Providers'!AD230),'Providers'!AD230,""))</f>
        <v/>
      </c>
      <c r="N231" s="35">
        <f>IF(LEN('Providers'!A230)=0,"",IF(LEN('Providers'!AG230)=0,"",'Providers'!AG230))</f>
        <v/>
      </c>
    </row>
    <row r="232">
      <c r="A232" s="32">
        <f>IF(LEN('Providers'!A231)=0,"",IF(LEN('Providers'!A231)=0,"",'Providers'!A231))</f>
        <v/>
      </c>
      <c r="B232" s="33">
        <f>IF(LEN('Providers'!A231)=0,"",IF(LEN('Providers'!B231)=0,"",'Providers'!B231))</f>
        <v/>
      </c>
      <c r="C232" s="33">
        <f>IF(LEN('Providers'!A231)=0,"",IF(LEN('Providers'!E231)=0,"",'Providers'!E231))</f>
        <v/>
      </c>
      <c r="D232" s="34">
        <f>IF(LEN('Providers'!A231)=0,"",IF(ISNUMBER('Providers'!G231),'Providers'!G231,""))</f>
        <v/>
      </c>
      <c r="E232" s="34">
        <f>IF(LEN('Providers'!A231)=0,"",IF(ISNUMBER('Providers'!I231),'Providers'!I231,""))</f>
        <v/>
      </c>
      <c r="F232" s="34">
        <f>IF(LEN('Providers'!A231)=0,"",IF(ISNUMBER('Providers'!K231),'Providers'!K231,""))</f>
        <v/>
      </c>
      <c r="G232" s="34">
        <f>IF(LEN('Providers'!A231)=0,"",IF(ISNUMBER('Providers'!M231),'Providers'!M231,""))</f>
        <v/>
      </c>
      <c r="H232" s="34">
        <f>IF(LEN('Providers'!A231)=0,"",IF(ISNUMBER('Providers'!Q231),'Providers'!Q231,""))</f>
        <v/>
      </c>
      <c r="I232" s="34">
        <f>IF(LEN('Providers'!A231)=0,"",IF(ISNUMBER('Providers'!S231),'Providers'!S231,""))</f>
        <v/>
      </c>
      <c r="J232" s="34">
        <f>IF(LEN('Providers'!A231)=0,"",IF(ISNUMBER('Providers'!W231),'Providers'!W231,""))</f>
        <v/>
      </c>
      <c r="K232" s="34">
        <f>IF(LEN('Providers'!A231)=0,"",IF(ISNUMBER('Providers'!Y231),'Providers'!Y231,""))</f>
        <v/>
      </c>
      <c r="L232" s="34">
        <f>IF(LEN('Providers'!A231)=0,"",IF(ISNUMBER('Providers'!AA231),'Providers'!AA231,""))</f>
        <v/>
      </c>
      <c r="M232" s="34">
        <f>IF(LEN('Providers'!A231)=0,"",IF(ISNUMBER('Providers'!AD231),'Providers'!AD231,""))</f>
        <v/>
      </c>
      <c r="N232" s="35">
        <f>IF(LEN('Providers'!A231)=0,"",IF(LEN('Providers'!AG231)=0,"",'Providers'!AG231))</f>
        <v/>
      </c>
    </row>
    <row r="233">
      <c r="A233" s="32">
        <f>IF(LEN('Providers'!A232)=0,"",IF(LEN('Providers'!A232)=0,"",'Providers'!A232))</f>
        <v/>
      </c>
      <c r="B233" s="33">
        <f>IF(LEN('Providers'!A232)=0,"",IF(LEN('Providers'!B232)=0,"",'Providers'!B232))</f>
        <v/>
      </c>
      <c r="C233" s="33">
        <f>IF(LEN('Providers'!A232)=0,"",IF(LEN('Providers'!E232)=0,"",'Providers'!E232))</f>
        <v/>
      </c>
      <c r="D233" s="34">
        <f>IF(LEN('Providers'!A232)=0,"",IF(ISNUMBER('Providers'!G232),'Providers'!G232,""))</f>
        <v/>
      </c>
      <c r="E233" s="34">
        <f>IF(LEN('Providers'!A232)=0,"",IF(ISNUMBER('Providers'!I232),'Providers'!I232,""))</f>
        <v/>
      </c>
      <c r="F233" s="34">
        <f>IF(LEN('Providers'!A232)=0,"",IF(ISNUMBER('Providers'!K232),'Providers'!K232,""))</f>
        <v/>
      </c>
      <c r="G233" s="34">
        <f>IF(LEN('Providers'!A232)=0,"",IF(ISNUMBER('Providers'!M232),'Providers'!M232,""))</f>
        <v/>
      </c>
      <c r="H233" s="34">
        <f>IF(LEN('Providers'!A232)=0,"",IF(ISNUMBER('Providers'!Q232),'Providers'!Q232,""))</f>
        <v/>
      </c>
      <c r="I233" s="34">
        <f>IF(LEN('Providers'!A232)=0,"",IF(ISNUMBER('Providers'!S232),'Providers'!S232,""))</f>
        <v/>
      </c>
      <c r="J233" s="34">
        <f>IF(LEN('Providers'!A232)=0,"",IF(ISNUMBER('Providers'!W232),'Providers'!W232,""))</f>
        <v/>
      </c>
      <c r="K233" s="34">
        <f>IF(LEN('Providers'!A232)=0,"",IF(ISNUMBER('Providers'!Y232),'Providers'!Y232,""))</f>
        <v/>
      </c>
      <c r="L233" s="34">
        <f>IF(LEN('Providers'!A232)=0,"",IF(ISNUMBER('Providers'!AA232),'Providers'!AA232,""))</f>
        <v/>
      </c>
      <c r="M233" s="34">
        <f>IF(LEN('Providers'!A232)=0,"",IF(ISNUMBER('Providers'!AD232),'Providers'!AD232,""))</f>
        <v/>
      </c>
      <c r="N233" s="35">
        <f>IF(LEN('Providers'!A232)=0,"",IF(LEN('Providers'!AG232)=0,"",'Providers'!AG232))</f>
        <v/>
      </c>
    </row>
    <row r="234">
      <c r="A234" s="32">
        <f>IF(LEN('Providers'!A233)=0,"",IF(LEN('Providers'!A233)=0,"",'Providers'!A233))</f>
        <v/>
      </c>
      <c r="B234" s="33">
        <f>IF(LEN('Providers'!A233)=0,"",IF(LEN('Providers'!B233)=0,"",'Providers'!B233))</f>
        <v/>
      </c>
      <c r="C234" s="33">
        <f>IF(LEN('Providers'!A233)=0,"",IF(LEN('Providers'!E233)=0,"",'Providers'!E233))</f>
        <v/>
      </c>
      <c r="D234" s="34">
        <f>IF(LEN('Providers'!A233)=0,"",IF(ISNUMBER('Providers'!G233),'Providers'!G233,""))</f>
        <v/>
      </c>
      <c r="E234" s="34">
        <f>IF(LEN('Providers'!A233)=0,"",IF(ISNUMBER('Providers'!I233),'Providers'!I233,""))</f>
        <v/>
      </c>
      <c r="F234" s="34">
        <f>IF(LEN('Providers'!A233)=0,"",IF(ISNUMBER('Providers'!K233),'Providers'!K233,""))</f>
        <v/>
      </c>
      <c r="G234" s="34">
        <f>IF(LEN('Providers'!A233)=0,"",IF(ISNUMBER('Providers'!M233),'Providers'!M233,""))</f>
        <v/>
      </c>
      <c r="H234" s="34">
        <f>IF(LEN('Providers'!A233)=0,"",IF(ISNUMBER('Providers'!Q233),'Providers'!Q233,""))</f>
        <v/>
      </c>
      <c r="I234" s="34">
        <f>IF(LEN('Providers'!A233)=0,"",IF(ISNUMBER('Providers'!S233),'Providers'!S233,""))</f>
        <v/>
      </c>
      <c r="J234" s="34">
        <f>IF(LEN('Providers'!A233)=0,"",IF(ISNUMBER('Providers'!W233),'Providers'!W233,""))</f>
        <v/>
      </c>
      <c r="K234" s="34">
        <f>IF(LEN('Providers'!A233)=0,"",IF(ISNUMBER('Providers'!Y233),'Providers'!Y233,""))</f>
        <v/>
      </c>
      <c r="L234" s="34">
        <f>IF(LEN('Providers'!A233)=0,"",IF(ISNUMBER('Providers'!AA233),'Providers'!AA233,""))</f>
        <v/>
      </c>
      <c r="M234" s="34">
        <f>IF(LEN('Providers'!A233)=0,"",IF(ISNUMBER('Providers'!AD233),'Providers'!AD233,""))</f>
        <v/>
      </c>
      <c r="N234" s="35">
        <f>IF(LEN('Providers'!A233)=0,"",IF(LEN('Providers'!AG233)=0,"",'Providers'!AG233))</f>
        <v/>
      </c>
    </row>
    <row r="235">
      <c r="A235" s="32">
        <f>IF(LEN('Providers'!A234)=0,"",IF(LEN('Providers'!A234)=0,"",'Providers'!A234))</f>
        <v/>
      </c>
      <c r="B235" s="33">
        <f>IF(LEN('Providers'!A234)=0,"",IF(LEN('Providers'!B234)=0,"",'Providers'!B234))</f>
        <v/>
      </c>
      <c r="C235" s="33">
        <f>IF(LEN('Providers'!A234)=0,"",IF(LEN('Providers'!E234)=0,"",'Providers'!E234))</f>
        <v/>
      </c>
      <c r="D235" s="34">
        <f>IF(LEN('Providers'!A234)=0,"",IF(ISNUMBER('Providers'!G234),'Providers'!G234,""))</f>
        <v/>
      </c>
      <c r="E235" s="34">
        <f>IF(LEN('Providers'!A234)=0,"",IF(ISNUMBER('Providers'!I234),'Providers'!I234,""))</f>
        <v/>
      </c>
      <c r="F235" s="34">
        <f>IF(LEN('Providers'!A234)=0,"",IF(ISNUMBER('Providers'!K234),'Providers'!K234,""))</f>
        <v/>
      </c>
      <c r="G235" s="34">
        <f>IF(LEN('Providers'!A234)=0,"",IF(ISNUMBER('Providers'!M234),'Providers'!M234,""))</f>
        <v/>
      </c>
      <c r="H235" s="34">
        <f>IF(LEN('Providers'!A234)=0,"",IF(ISNUMBER('Providers'!Q234),'Providers'!Q234,""))</f>
        <v/>
      </c>
      <c r="I235" s="34">
        <f>IF(LEN('Providers'!A234)=0,"",IF(ISNUMBER('Providers'!S234),'Providers'!S234,""))</f>
        <v/>
      </c>
      <c r="J235" s="34">
        <f>IF(LEN('Providers'!A234)=0,"",IF(ISNUMBER('Providers'!W234),'Providers'!W234,""))</f>
        <v/>
      </c>
      <c r="K235" s="34">
        <f>IF(LEN('Providers'!A234)=0,"",IF(ISNUMBER('Providers'!Y234),'Providers'!Y234,""))</f>
        <v/>
      </c>
      <c r="L235" s="34">
        <f>IF(LEN('Providers'!A234)=0,"",IF(ISNUMBER('Providers'!AA234),'Providers'!AA234,""))</f>
        <v/>
      </c>
      <c r="M235" s="34">
        <f>IF(LEN('Providers'!A234)=0,"",IF(ISNUMBER('Providers'!AD234),'Providers'!AD234,""))</f>
        <v/>
      </c>
      <c r="N235" s="35">
        <f>IF(LEN('Providers'!A234)=0,"",IF(LEN('Providers'!AG234)=0,"",'Providers'!AG234))</f>
        <v/>
      </c>
    </row>
    <row r="236">
      <c r="A236" s="32">
        <f>IF(LEN('Providers'!A235)=0,"",IF(LEN('Providers'!A235)=0,"",'Providers'!A235))</f>
        <v/>
      </c>
      <c r="B236" s="33">
        <f>IF(LEN('Providers'!A235)=0,"",IF(LEN('Providers'!B235)=0,"",'Providers'!B235))</f>
        <v/>
      </c>
      <c r="C236" s="33">
        <f>IF(LEN('Providers'!A235)=0,"",IF(LEN('Providers'!E235)=0,"",'Providers'!E235))</f>
        <v/>
      </c>
      <c r="D236" s="34">
        <f>IF(LEN('Providers'!A235)=0,"",IF(ISNUMBER('Providers'!G235),'Providers'!G235,""))</f>
        <v/>
      </c>
      <c r="E236" s="34">
        <f>IF(LEN('Providers'!A235)=0,"",IF(ISNUMBER('Providers'!I235),'Providers'!I235,""))</f>
        <v/>
      </c>
      <c r="F236" s="34">
        <f>IF(LEN('Providers'!A235)=0,"",IF(ISNUMBER('Providers'!K235),'Providers'!K235,""))</f>
        <v/>
      </c>
      <c r="G236" s="34">
        <f>IF(LEN('Providers'!A235)=0,"",IF(ISNUMBER('Providers'!M235),'Providers'!M235,""))</f>
        <v/>
      </c>
      <c r="H236" s="34">
        <f>IF(LEN('Providers'!A235)=0,"",IF(ISNUMBER('Providers'!Q235),'Providers'!Q235,""))</f>
        <v/>
      </c>
      <c r="I236" s="34">
        <f>IF(LEN('Providers'!A235)=0,"",IF(ISNUMBER('Providers'!S235),'Providers'!S235,""))</f>
        <v/>
      </c>
      <c r="J236" s="34">
        <f>IF(LEN('Providers'!A235)=0,"",IF(ISNUMBER('Providers'!W235),'Providers'!W235,""))</f>
        <v/>
      </c>
      <c r="K236" s="34">
        <f>IF(LEN('Providers'!A235)=0,"",IF(ISNUMBER('Providers'!Y235),'Providers'!Y235,""))</f>
        <v/>
      </c>
      <c r="L236" s="34">
        <f>IF(LEN('Providers'!A235)=0,"",IF(ISNUMBER('Providers'!AA235),'Providers'!AA235,""))</f>
        <v/>
      </c>
      <c r="M236" s="34">
        <f>IF(LEN('Providers'!A235)=0,"",IF(ISNUMBER('Providers'!AD235),'Providers'!AD235,""))</f>
        <v/>
      </c>
      <c r="N236" s="35">
        <f>IF(LEN('Providers'!A235)=0,"",IF(LEN('Providers'!AG235)=0,"",'Providers'!AG235))</f>
        <v/>
      </c>
    </row>
    <row r="237">
      <c r="A237" s="32">
        <f>IF(LEN('Providers'!A236)=0,"",IF(LEN('Providers'!A236)=0,"",'Providers'!A236))</f>
        <v/>
      </c>
      <c r="B237" s="33">
        <f>IF(LEN('Providers'!A236)=0,"",IF(LEN('Providers'!B236)=0,"",'Providers'!B236))</f>
        <v/>
      </c>
      <c r="C237" s="33">
        <f>IF(LEN('Providers'!A236)=0,"",IF(LEN('Providers'!E236)=0,"",'Providers'!E236))</f>
        <v/>
      </c>
      <c r="D237" s="34">
        <f>IF(LEN('Providers'!A236)=0,"",IF(ISNUMBER('Providers'!G236),'Providers'!G236,""))</f>
        <v/>
      </c>
      <c r="E237" s="34">
        <f>IF(LEN('Providers'!A236)=0,"",IF(ISNUMBER('Providers'!I236),'Providers'!I236,""))</f>
        <v/>
      </c>
      <c r="F237" s="34">
        <f>IF(LEN('Providers'!A236)=0,"",IF(ISNUMBER('Providers'!K236),'Providers'!K236,""))</f>
        <v/>
      </c>
      <c r="G237" s="34">
        <f>IF(LEN('Providers'!A236)=0,"",IF(ISNUMBER('Providers'!M236),'Providers'!M236,""))</f>
        <v/>
      </c>
      <c r="H237" s="34">
        <f>IF(LEN('Providers'!A236)=0,"",IF(ISNUMBER('Providers'!Q236),'Providers'!Q236,""))</f>
        <v/>
      </c>
      <c r="I237" s="34">
        <f>IF(LEN('Providers'!A236)=0,"",IF(ISNUMBER('Providers'!S236),'Providers'!S236,""))</f>
        <v/>
      </c>
      <c r="J237" s="34">
        <f>IF(LEN('Providers'!A236)=0,"",IF(ISNUMBER('Providers'!W236),'Providers'!W236,""))</f>
        <v/>
      </c>
      <c r="K237" s="34">
        <f>IF(LEN('Providers'!A236)=0,"",IF(ISNUMBER('Providers'!Y236),'Providers'!Y236,""))</f>
        <v/>
      </c>
      <c r="L237" s="34">
        <f>IF(LEN('Providers'!A236)=0,"",IF(ISNUMBER('Providers'!AA236),'Providers'!AA236,""))</f>
        <v/>
      </c>
      <c r="M237" s="34">
        <f>IF(LEN('Providers'!A236)=0,"",IF(ISNUMBER('Providers'!AD236),'Providers'!AD236,""))</f>
        <v/>
      </c>
      <c r="N237" s="35">
        <f>IF(LEN('Providers'!A236)=0,"",IF(LEN('Providers'!AG236)=0,"",'Providers'!AG236))</f>
        <v/>
      </c>
    </row>
    <row r="238">
      <c r="A238" s="32">
        <f>IF(LEN('Providers'!A237)=0,"",IF(LEN('Providers'!A237)=0,"",'Providers'!A237))</f>
        <v/>
      </c>
      <c r="B238" s="33">
        <f>IF(LEN('Providers'!A237)=0,"",IF(LEN('Providers'!B237)=0,"",'Providers'!B237))</f>
        <v/>
      </c>
      <c r="C238" s="33">
        <f>IF(LEN('Providers'!A237)=0,"",IF(LEN('Providers'!E237)=0,"",'Providers'!E237))</f>
        <v/>
      </c>
      <c r="D238" s="34">
        <f>IF(LEN('Providers'!A237)=0,"",IF(ISNUMBER('Providers'!G237),'Providers'!G237,""))</f>
        <v/>
      </c>
      <c r="E238" s="34">
        <f>IF(LEN('Providers'!A237)=0,"",IF(ISNUMBER('Providers'!I237),'Providers'!I237,""))</f>
        <v/>
      </c>
      <c r="F238" s="34">
        <f>IF(LEN('Providers'!A237)=0,"",IF(ISNUMBER('Providers'!K237),'Providers'!K237,""))</f>
        <v/>
      </c>
      <c r="G238" s="34">
        <f>IF(LEN('Providers'!A237)=0,"",IF(ISNUMBER('Providers'!M237),'Providers'!M237,""))</f>
        <v/>
      </c>
      <c r="H238" s="34">
        <f>IF(LEN('Providers'!A237)=0,"",IF(ISNUMBER('Providers'!Q237),'Providers'!Q237,""))</f>
        <v/>
      </c>
      <c r="I238" s="34">
        <f>IF(LEN('Providers'!A237)=0,"",IF(ISNUMBER('Providers'!S237),'Providers'!S237,""))</f>
        <v/>
      </c>
      <c r="J238" s="34">
        <f>IF(LEN('Providers'!A237)=0,"",IF(ISNUMBER('Providers'!W237),'Providers'!W237,""))</f>
        <v/>
      </c>
      <c r="K238" s="34">
        <f>IF(LEN('Providers'!A237)=0,"",IF(ISNUMBER('Providers'!Y237),'Providers'!Y237,""))</f>
        <v/>
      </c>
      <c r="L238" s="34">
        <f>IF(LEN('Providers'!A237)=0,"",IF(ISNUMBER('Providers'!AA237),'Providers'!AA237,""))</f>
        <v/>
      </c>
      <c r="M238" s="34">
        <f>IF(LEN('Providers'!A237)=0,"",IF(ISNUMBER('Providers'!AD237),'Providers'!AD237,""))</f>
        <v/>
      </c>
      <c r="N238" s="35">
        <f>IF(LEN('Providers'!A237)=0,"",IF(LEN('Providers'!AG237)=0,"",'Providers'!AG237))</f>
        <v/>
      </c>
    </row>
    <row r="239">
      <c r="A239" s="32">
        <f>IF(LEN('Providers'!A238)=0,"",IF(LEN('Providers'!A238)=0,"",'Providers'!A238))</f>
        <v/>
      </c>
      <c r="B239" s="33">
        <f>IF(LEN('Providers'!A238)=0,"",IF(LEN('Providers'!B238)=0,"",'Providers'!B238))</f>
        <v/>
      </c>
      <c r="C239" s="33">
        <f>IF(LEN('Providers'!A238)=0,"",IF(LEN('Providers'!E238)=0,"",'Providers'!E238))</f>
        <v/>
      </c>
      <c r="D239" s="34">
        <f>IF(LEN('Providers'!A238)=0,"",IF(ISNUMBER('Providers'!G238),'Providers'!G238,""))</f>
        <v/>
      </c>
      <c r="E239" s="34">
        <f>IF(LEN('Providers'!A238)=0,"",IF(ISNUMBER('Providers'!I238),'Providers'!I238,""))</f>
        <v/>
      </c>
      <c r="F239" s="34">
        <f>IF(LEN('Providers'!A238)=0,"",IF(ISNUMBER('Providers'!K238),'Providers'!K238,""))</f>
        <v/>
      </c>
      <c r="G239" s="34">
        <f>IF(LEN('Providers'!A238)=0,"",IF(ISNUMBER('Providers'!M238),'Providers'!M238,""))</f>
        <v/>
      </c>
      <c r="H239" s="34">
        <f>IF(LEN('Providers'!A238)=0,"",IF(ISNUMBER('Providers'!Q238),'Providers'!Q238,""))</f>
        <v/>
      </c>
      <c r="I239" s="34">
        <f>IF(LEN('Providers'!A238)=0,"",IF(ISNUMBER('Providers'!S238),'Providers'!S238,""))</f>
        <v/>
      </c>
      <c r="J239" s="34">
        <f>IF(LEN('Providers'!A238)=0,"",IF(ISNUMBER('Providers'!W238),'Providers'!W238,""))</f>
        <v/>
      </c>
      <c r="K239" s="34">
        <f>IF(LEN('Providers'!A238)=0,"",IF(ISNUMBER('Providers'!Y238),'Providers'!Y238,""))</f>
        <v/>
      </c>
      <c r="L239" s="34">
        <f>IF(LEN('Providers'!A238)=0,"",IF(ISNUMBER('Providers'!AA238),'Providers'!AA238,""))</f>
        <v/>
      </c>
      <c r="M239" s="34">
        <f>IF(LEN('Providers'!A238)=0,"",IF(ISNUMBER('Providers'!AD238),'Providers'!AD238,""))</f>
        <v/>
      </c>
      <c r="N239" s="35">
        <f>IF(LEN('Providers'!A238)=0,"",IF(LEN('Providers'!AG238)=0,"",'Providers'!AG238))</f>
        <v/>
      </c>
    </row>
    <row r="240">
      <c r="A240" s="32">
        <f>IF(LEN('Providers'!A239)=0,"",IF(LEN('Providers'!A239)=0,"",'Providers'!A239))</f>
        <v/>
      </c>
      <c r="B240" s="33">
        <f>IF(LEN('Providers'!A239)=0,"",IF(LEN('Providers'!B239)=0,"",'Providers'!B239))</f>
        <v/>
      </c>
      <c r="C240" s="33">
        <f>IF(LEN('Providers'!A239)=0,"",IF(LEN('Providers'!E239)=0,"",'Providers'!E239))</f>
        <v/>
      </c>
      <c r="D240" s="34">
        <f>IF(LEN('Providers'!A239)=0,"",IF(ISNUMBER('Providers'!G239),'Providers'!G239,""))</f>
        <v/>
      </c>
      <c r="E240" s="34">
        <f>IF(LEN('Providers'!A239)=0,"",IF(ISNUMBER('Providers'!I239),'Providers'!I239,""))</f>
        <v/>
      </c>
      <c r="F240" s="34">
        <f>IF(LEN('Providers'!A239)=0,"",IF(ISNUMBER('Providers'!K239),'Providers'!K239,""))</f>
        <v/>
      </c>
      <c r="G240" s="34">
        <f>IF(LEN('Providers'!A239)=0,"",IF(ISNUMBER('Providers'!M239),'Providers'!M239,""))</f>
        <v/>
      </c>
      <c r="H240" s="34">
        <f>IF(LEN('Providers'!A239)=0,"",IF(ISNUMBER('Providers'!Q239),'Providers'!Q239,""))</f>
        <v/>
      </c>
      <c r="I240" s="34">
        <f>IF(LEN('Providers'!A239)=0,"",IF(ISNUMBER('Providers'!S239),'Providers'!S239,""))</f>
        <v/>
      </c>
      <c r="J240" s="34">
        <f>IF(LEN('Providers'!A239)=0,"",IF(ISNUMBER('Providers'!W239),'Providers'!W239,""))</f>
        <v/>
      </c>
      <c r="K240" s="34">
        <f>IF(LEN('Providers'!A239)=0,"",IF(ISNUMBER('Providers'!Y239),'Providers'!Y239,""))</f>
        <v/>
      </c>
      <c r="L240" s="34">
        <f>IF(LEN('Providers'!A239)=0,"",IF(ISNUMBER('Providers'!AA239),'Providers'!AA239,""))</f>
        <v/>
      </c>
      <c r="M240" s="34">
        <f>IF(LEN('Providers'!A239)=0,"",IF(ISNUMBER('Providers'!AD239),'Providers'!AD239,""))</f>
        <v/>
      </c>
      <c r="N240" s="35">
        <f>IF(LEN('Providers'!A239)=0,"",IF(LEN('Providers'!AG239)=0,"",'Providers'!AG239))</f>
        <v/>
      </c>
    </row>
    <row r="241">
      <c r="A241" s="32">
        <f>IF(LEN('Providers'!A240)=0,"",IF(LEN('Providers'!A240)=0,"",'Providers'!A240))</f>
        <v/>
      </c>
      <c r="B241" s="33">
        <f>IF(LEN('Providers'!A240)=0,"",IF(LEN('Providers'!B240)=0,"",'Providers'!B240))</f>
        <v/>
      </c>
      <c r="C241" s="33">
        <f>IF(LEN('Providers'!A240)=0,"",IF(LEN('Providers'!E240)=0,"",'Providers'!E240))</f>
        <v/>
      </c>
      <c r="D241" s="34">
        <f>IF(LEN('Providers'!A240)=0,"",IF(ISNUMBER('Providers'!G240),'Providers'!G240,""))</f>
        <v/>
      </c>
      <c r="E241" s="34">
        <f>IF(LEN('Providers'!A240)=0,"",IF(ISNUMBER('Providers'!I240),'Providers'!I240,""))</f>
        <v/>
      </c>
      <c r="F241" s="34">
        <f>IF(LEN('Providers'!A240)=0,"",IF(ISNUMBER('Providers'!K240),'Providers'!K240,""))</f>
        <v/>
      </c>
      <c r="G241" s="34">
        <f>IF(LEN('Providers'!A240)=0,"",IF(ISNUMBER('Providers'!M240),'Providers'!M240,""))</f>
        <v/>
      </c>
      <c r="H241" s="34">
        <f>IF(LEN('Providers'!A240)=0,"",IF(ISNUMBER('Providers'!Q240),'Providers'!Q240,""))</f>
        <v/>
      </c>
      <c r="I241" s="34">
        <f>IF(LEN('Providers'!A240)=0,"",IF(ISNUMBER('Providers'!S240),'Providers'!S240,""))</f>
        <v/>
      </c>
      <c r="J241" s="34">
        <f>IF(LEN('Providers'!A240)=0,"",IF(ISNUMBER('Providers'!W240),'Providers'!W240,""))</f>
        <v/>
      </c>
      <c r="K241" s="34">
        <f>IF(LEN('Providers'!A240)=0,"",IF(ISNUMBER('Providers'!Y240),'Providers'!Y240,""))</f>
        <v/>
      </c>
      <c r="L241" s="34">
        <f>IF(LEN('Providers'!A240)=0,"",IF(ISNUMBER('Providers'!AA240),'Providers'!AA240,""))</f>
        <v/>
      </c>
      <c r="M241" s="34">
        <f>IF(LEN('Providers'!A240)=0,"",IF(ISNUMBER('Providers'!AD240),'Providers'!AD240,""))</f>
        <v/>
      </c>
      <c r="N241" s="35">
        <f>IF(LEN('Providers'!A240)=0,"",IF(LEN('Providers'!AG240)=0,"",'Providers'!AG240))</f>
        <v/>
      </c>
    </row>
    <row r="242">
      <c r="A242" s="32">
        <f>IF(LEN('Providers'!A241)=0,"",IF(LEN('Providers'!A241)=0,"",'Providers'!A241))</f>
        <v/>
      </c>
      <c r="B242" s="33">
        <f>IF(LEN('Providers'!A241)=0,"",IF(LEN('Providers'!B241)=0,"",'Providers'!B241))</f>
        <v/>
      </c>
      <c r="C242" s="33">
        <f>IF(LEN('Providers'!A241)=0,"",IF(LEN('Providers'!E241)=0,"",'Providers'!E241))</f>
        <v/>
      </c>
      <c r="D242" s="34">
        <f>IF(LEN('Providers'!A241)=0,"",IF(ISNUMBER('Providers'!G241),'Providers'!G241,""))</f>
        <v/>
      </c>
      <c r="E242" s="34">
        <f>IF(LEN('Providers'!A241)=0,"",IF(ISNUMBER('Providers'!I241),'Providers'!I241,""))</f>
        <v/>
      </c>
      <c r="F242" s="34">
        <f>IF(LEN('Providers'!A241)=0,"",IF(ISNUMBER('Providers'!K241),'Providers'!K241,""))</f>
        <v/>
      </c>
      <c r="G242" s="34">
        <f>IF(LEN('Providers'!A241)=0,"",IF(ISNUMBER('Providers'!M241),'Providers'!M241,""))</f>
        <v/>
      </c>
      <c r="H242" s="34">
        <f>IF(LEN('Providers'!A241)=0,"",IF(ISNUMBER('Providers'!Q241),'Providers'!Q241,""))</f>
        <v/>
      </c>
      <c r="I242" s="34">
        <f>IF(LEN('Providers'!A241)=0,"",IF(ISNUMBER('Providers'!S241),'Providers'!S241,""))</f>
        <v/>
      </c>
      <c r="J242" s="34">
        <f>IF(LEN('Providers'!A241)=0,"",IF(ISNUMBER('Providers'!W241),'Providers'!W241,""))</f>
        <v/>
      </c>
      <c r="K242" s="34">
        <f>IF(LEN('Providers'!A241)=0,"",IF(ISNUMBER('Providers'!Y241),'Providers'!Y241,""))</f>
        <v/>
      </c>
      <c r="L242" s="34">
        <f>IF(LEN('Providers'!A241)=0,"",IF(ISNUMBER('Providers'!AA241),'Providers'!AA241,""))</f>
        <v/>
      </c>
      <c r="M242" s="34">
        <f>IF(LEN('Providers'!A241)=0,"",IF(ISNUMBER('Providers'!AD241),'Providers'!AD241,""))</f>
        <v/>
      </c>
      <c r="N242" s="35">
        <f>IF(LEN('Providers'!A241)=0,"",IF(LEN('Providers'!AG241)=0,"",'Providers'!AG241))</f>
        <v/>
      </c>
    </row>
    <row r="243">
      <c r="A243" s="32">
        <f>IF(LEN('Providers'!A242)=0,"",IF(LEN('Providers'!A242)=0,"",'Providers'!A242))</f>
        <v/>
      </c>
      <c r="B243" s="33">
        <f>IF(LEN('Providers'!A242)=0,"",IF(LEN('Providers'!B242)=0,"",'Providers'!B242))</f>
        <v/>
      </c>
      <c r="C243" s="33">
        <f>IF(LEN('Providers'!A242)=0,"",IF(LEN('Providers'!E242)=0,"",'Providers'!E242))</f>
        <v/>
      </c>
      <c r="D243" s="34">
        <f>IF(LEN('Providers'!A242)=0,"",IF(ISNUMBER('Providers'!G242),'Providers'!G242,""))</f>
        <v/>
      </c>
      <c r="E243" s="34">
        <f>IF(LEN('Providers'!A242)=0,"",IF(ISNUMBER('Providers'!I242),'Providers'!I242,""))</f>
        <v/>
      </c>
      <c r="F243" s="34">
        <f>IF(LEN('Providers'!A242)=0,"",IF(ISNUMBER('Providers'!K242),'Providers'!K242,""))</f>
        <v/>
      </c>
      <c r="G243" s="34">
        <f>IF(LEN('Providers'!A242)=0,"",IF(ISNUMBER('Providers'!M242),'Providers'!M242,""))</f>
        <v/>
      </c>
      <c r="H243" s="34">
        <f>IF(LEN('Providers'!A242)=0,"",IF(ISNUMBER('Providers'!Q242),'Providers'!Q242,""))</f>
        <v/>
      </c>
      <c r="I243" s="34">
        <f>IF(LEN('Providers'!A242)=0,"",IF(ISNUMBER('Providers'!S242),'Providers'!S242,""))</f>
        <v/>
      </c>
      <c r="J243" s="34">
        <f>IF(LEN('Providers'!A242)=0,"",IF(ISNUMBER('Providers'!W242),'Providers'!W242,""))</f>
        <v/>
      </c>
      <c r="K243" s="34">
        <f>IF(LEN('Providers'!A242)=0,"",IF(ISNUMBER('Providers'!Y242),'Providers'!Y242,""))</f>
        <v/>
      </c>
      <c r="L243" s="34">
        <f>IF(LEN('Providers'!A242)=0,"",IF(ISNUMBER('Providers'!AA242),'Providers'!AA242,""))</f>
        <v/>
      </c>
      <c r="M243" s="34">
        <f>IF(LEN('Providers'!A242)=0,"",IF(ISNUMBER('Providers'!AD242),'Providers'!AD242,""))</f>
        <v/>
      </c>
      <c r="N243" s="35">
        <f>IF(LEN('Providers'!A242)=0,"",IF(LEN('Providers'!AG242)=0,"",'Providers'!AG242))</f>
        <v/>
      </c>
    </row>
    <row r="244">
      <c r="A244" s="32">
        <f>IF(LEN('Providers'!A243)=0,"",IF(LEN('Providers'!A243)=0,"",'Providers'!A243))</f>
        <v/>
      </c>
      <c r="B244" s="33">
        <f>IF(LEN('Providers'!A243)=0,"",IF(LEN('Providers'!B243)=0,"",'Providers'!B243))</f>
        <v/>
      </c>
      <c r="C244" s="33">
        <f>IF(LEN('Providers'!A243)=0,"",IF(LEN('Providers'!E243)=0,"",'Providers'!E243))</f>
        <v/>
      </c>
      <c r="D244" s="34">
        <f>IF(LEN('Providers'!A243)=0,"",IF(ISNUMBER('Providers'!G243),'Providers'!G243,""))</f>
        <v/>
      </c>
      <c r="E244" s="34">
        <f>IF(LEN('Providers'!A243)=0,"",IF(ISNUMBER('Providers'!I243),'Providers'!I243,""))</f>
        <v/>
      </c>
      <c r="F244" s="34">
        <f>IF(LEN('Providers'!A243)=0,"",IF(ISNUMBER('Providers'!K243),'Providers'!K243,""))</f>
        <v/>
      </c>
      <c r="G244" s="34">
        <f>IF(LEN('Providers'!A243)=0,"",IF(ISNUMBER('Providers'!M243),'Providers'!M243,""))</f>
        <v/>
      </c>
      <c r="H244" s="34">
        <f>IF(LEN('Providers'!A243)=0,"",IF(ISNUMBER('Providers'!Q243),'Providers'!Q243,""))</f>
        <v/>
      </c>
      <c r="I244" s="34">
        <f>IF(LEN('Providers'!A243)=0,"",IF(ISNUMBER('Providers'!S243),'Providers'!S243,""))</f>
        <v/>
      </c>
      <c r="J244" s="34">
        <f>IF(LEN('Providers'!A243)=0,"",IF(ISNUMBER('Providers'!W243),'Providers'!W243,""))</f>
        <v/>
      </c>
      <c r="K244" s="34">
        <f>IF(LEN('Providers'!A243)=0,"",IF(ISNUMBER('Providers'!Y243),'Providers'!Y243,""))</f>
        <v/>
      </c>
      <c r="L244" s="34">
        <f>IF(LEN('Providers'!A243)=0,"",IF(ISNUMBER('Providers'!AA243),'Providers'!AA243,""))</f>
        <v/>
      </c>
      <c r="M244" s="34">
        <f>IF(LEN('Providers'!A243)=0,"",IF(ISNUMBER('Providers'!AD243),'Providers'!AD243,""))</f>
        <v/>
      </c>
      <c r="N244" s="35">
        <f>IF(LEN('Providers'!A243)=0,"",IF(LEN('Providers'!AG243)=0,"",'Providers'!AG243))</f>
        <v/>
      </c>
    </row>
    <row r="245">
      <c r="A245" s="32">
        <f>IF(LEN('Providers'!A244)=0,"",IF(LEN('Providers'!A244)=0,"",'Providers'!A244))</f>
        <v/>
      </c>
      <c r="B245" s="33">
        <f>IF(LEN('Providers'!A244)=0,"",IF(LEN('Providers'!B244)=0,"",'Providers'!B244))</f>
        <v/>
      </c>
      <c r="C245" s="33">
        <f>IF(LEN('Providers'!A244)=0,"",IF(LEN('Providers'!E244)=0,"",'Providers'!E244))</f>
        <v/>
      </c>
      <c r="D245" s="34">
        <f>IF(LEN('Providers'!A244)=0,"",IF(ISNUMBER('Providers'!G244),'Providers'!G244,""))</f>
        <v/>
      </c>
      <c r="E245" s="34">
        <f>IF(LEN('Providers'!A244)=0,"",IF(ISNUMBER('Providers'!I244),'Providers'!I244,""))</f>
        <v/>
      </c>
      <c r="F245" s="34">
        <f>IF(LEN('Providers'!A244)=0,"",IF(ISNUMBER('Providers'!K244),'Providers'!K244,""))</f>
        <v/>
      </c>
      <c r="G245" s="34">
        <f>IF(LEN('Providers'!A244)=0,"",IF(ISNUMBER('Providers'!M244),'Providers'!M244,""))</f>
        <v/>
      </c>
      <c r="H245" s="34">
        <f>IF(LEN('Providers'!A244)=0,"",IF(ISNUMBER('Providers'!Q244),'Providers'!Q244,""))</f>
        <v/>
      </c>
      <c r="I245" s="34">
        <f>IF(LEN('Providers'!A244)=0,"",IF(ISNUMBER('Providers'!S244),'Providers'!S244,""))</f>
        <v/>
      </c>
      <c r="J245" s="34">
        <f>IF(LEN('Providers'!A244)=0,"",IF(ISNUMBER('Providers'!W244),'Providers'!W244,""))</f>
        <v/>
      </c>
      <c r="K245" s="34">
        <f>IF(LEN('Providers'!A244)=0,"",IF(ISNUMBER('Providers'!Y244),'Providers'!Y244,""))</f>
        <v/>
      </c>
      <c r="L245" s="34">
        <f>IF(LEN('Providers'!A244)=0,"",IF(ISNUMBER('Providers'!AA244),'Providers'!AA244,""))</f>
        <v/>
      </c>
      <c r="M245" s="34">
        <f>IF(LEN('Providers'!A244)=0,"",IF(ISNUMBER('Providers'!AD244),'Providers'!AD244,""))</f>
        <v/>
      </c>
      <c r="N245" s="35">
        <f>IF(LEN('Providers'!A244)=0,"",IF(LEN('Providers'!AG244)=0,"",'Providers'!AG244))</f>
        <v/>
      </c>
    </row>
    <row r="246">
      <c r="A246" s="32">
        <f>IF(LEN('Providers'!A245)=0,"",IF(LEN('Providers'!A245)=0,"",'Providers'!A245))</f>
        <v/>
      </c>
      <c r="B246" s="33">
        <f>IF(LEN('Providers'!A245)=0,"",IF(LEN('Providers'!B245)=0,"",'Providers'!B245))</f>
        <v/>
      </c>
      <c r="C246" s="33">
        <f>IF(LEN('Providers'!A245)=0,"",IF(LEN('Providers'!E245)=0,"",'Providers'!E245))</f>
        <v/>
      </c>
      <c r="D246" s="34">
        <f>IF(LEN('Providers'!A245)=0,"",IF(ISNUMBER('Providers'!G245),'Providers'!G245,""))</f>
        <v/>
      </c>
      <c r="E246" s="34">
        <f>IF(LEN('Providers'!A245)=0,"",IF(ISNUMBER('Providers'!I245),'Providers'!I245,""))</f>
        <v/>
      </c>
      <c r="F246" s="34">
        <f>IF(LEN('Providers'!A245)=0,"",IF(ISNUMBER('Providers'!K245),'Providers'!K245,""))</f>
        <v/>
      </c>
      <c r="G246" s="34">
        <f>IF(LEN('Providers'!A245)=0,"",IF(ISNUMBER('Providers'!M245),'Providers'!M245,""))</f>
        <v/>
      </c>
      <c r="H246" s="34">
        <f>IF(LEN('Providers'!A245)=0,"",IF(ISNUMBER('Providers'!Q245),'Providers'!Q245,""))</f>
        <v/>
      </c>
      <c r="I246" s="34">
        <f>IF(LEN('Providers'!A245)=0,"",IF(ISNUMBER('Providers'!S245),'Providers'!S245,""))</f>
        <v/>
      </c>
      <c r="J246" s="34">
        <f>IF(LEN('Providers'!A245)=0,"",IF(ISNUMBER('Providers'!W245),'Providers'!W245,""))</f>
        <v/>
      </c>
      <c r="K246" s="34">
        <f>IF(LEN('Providers'!A245)=0,"",IF(ISNUMBER('Providers'!Y245),'Providers'!Y245,""))</f>
        <v/>
      </c>
      <c r="L246" s="34">
        <f>IF(LEN('Providers'!A245)=0,"",IF(ISNUMBER('Providers'!AA245),'Providers'!AA245,""))</f>
        <v/>
      </c>
      <c r="M246" s="34">
        <f>IF(LEN('Providers'!A245)=0,"",IF(ISNUMBER('Providers'!AD245),'Providers'!AD245,""))</f>
        <v/>
      </c>
      <c r="N246" s="35">
        <f>IF(LEN('Providers'!A245)=0,"",IF(LEN('Providers'!AG245)=0,"",'Providers'!AG245))</f>
        <v/>
      </c>
    </row>
    <row r="247">
      <c r="A247" s="32">
        <f>IF(LEN('Providers'!A246)=0,"",IF(LEN('Providers'!A246)=0,"",'Providers'!A246))</f>
        <v/>
      </c>
      <c r="B247" s="33">
        <f>IF(LEN('Providers'!A246)=0,"",IF(LEN('Providers'!B246)=0,"",'Providers'!B246))</f>
        <v/>
      </c>
      <c r="C247" s="33">
        <f>IF(LEN('Providers'!A246)=0,"",IF(LEN('Providers'!E246)=0,"",'Providers'!E246))</f>
        <v/>
      </c>
      <c r="D247" s="34">
        <f>IF(LEN('Providers'!A246)=0,"",IF(ISNUMBER('Providers'!G246),'Providers'!G246,""))</f>
        <v/>
      </c>
      <c r="E247" s="34">
        <f>IF(LEN('Providers'!A246)=0,"",IF(ISNUMBER('Providers'!I246),'Providers'!I246,""))</f>
        <v/>
      </c>
      <c r="F247" s="34">
        <f>IF(LEN('Providers'!A246)=0,"",IF(ISNUMBER('Providers'!K246),'Providers'!K246,""))</f>
        <v/>
      </c>
      <c r="G247" s="34">
        <f>IF(LEN('Providers'!A246)=0,"",IF(ISNUMBER('Providers'!M246),'Providers'!M246,""))</f>
        <v/>
      </c>
      <c r="H247" s="34">
        <f>IF(LEN('Providers'!A246)=0,"",IF(ISNUMBER('Providers'!Q246),'Providers'!Q246,""))</f>
        <v/>
      </c>
      <c r="I247" s="34">
        <f>IF(LEN('Providers'!A246)=0,"",IF(ISNUMBER('Providers'!S246),'Providers'!S246,""))</f>
        <v/>
      </c>
      <c r="J247" s="34">
        <f>IF(LEN('Providers'!A246)=0,"",IF(ISNUMBER('Providers'!W246),'Providers'!W246,""))</f>
        <v/>
      </c>
      <c r="K247" s="34">
        <f>IF(LEN('Providers'!A246)=0,"",IF(ISNUMBER('Providers'!Y246),'Providers'!Y246,""))</f>
        <v/>
      </c>
      <c r="L247" s="34">
        <f>IF(LEN('Providers'!A246)=0,"",IF(ISNUMBER('Providers'!AA246),'Providers'!AA246,""))</f>
        <v/>
      </c>
      <c r="M247" s="34">
        <f>IF(LEN('Providers'!A246)=0,"",IF(ISNUMBER('Providers'!AD246),'Providers'!AD246,""))</f>
        <v/>
      </c>
      <c r="N247" s="35">
        <f>IF(LEN('Providers'!A246)=0,"",IF(LEN('Providers'!AG246)=0,"",'Providers'!AG246))</f>
        <v/>
      </c>
    </row>
    <row r="248">
      <c r="A248" s="32">
        <f>IF(LEN('Providers'!A247)=0,"",IF(LEN('Providers'!A247)=0,"",'Providers'!A247))</f>
        <v/>
      </c>
      <c r="B248" s="33">
        <f>IF(LEN('Providers'!A247)=0,"",IF(LEN('Providers'!B247)=0,"",'Providers'!B247))</f>
        <v/>
      </c>
      <c r="C248" s="33">
        <f>IF(LEN('Providers'!A247)=0,"",IF(LEN('Providers'!E247)=0,"",'Providers'!E247))</f>
        <v/>
      </c>
      <c r="D248" s="34">
        <f>IF(LEN('Providers'!A247)=0,"",IF(ISNUMBER('Providers'!G247),'Providers'!G247,""))</f>
        <v/>
      </c>
      <c r="E248" s="34">
        <f>IF(LEN('Providers'!A247)=0,"",IF(ISNUMBER('Providers'!I247),'Providers'!I247,""))</f>
        <v/>
      </c>
      <c r="F248" s="34">
        <f>IF(LEN('Providers'!A247)=0,"",IF(ISNUMBER('Providers'!K247),'Providers'!K247,""))</f>
        <v/>
      </c>
      <c r="G248" s="34">
        <f>IF(LEN('Providers'!A247)=0,"",IF(ISNUMBER('Providers'!M247),'Providers'!M247,""))</f>
        <v/>
      </c>
      <c r="H248" s="34">
        <f>IF(LEN('Providers'!A247)=0,"",IF(ISNUMBER('Providers'!Q247),'Providers'!Q247,""))</f>
        <v/>
      </c>
      <c r="I248" s="34">
        <f>IF(LEN('Providers'!A247)=0,"",IF(ISNUMBER('Providers'!S247),'Providers'!S247,""))</f>
        <v/>
      </c>
      <c r="J248" s="34">
        <f>IF(LEN('Providers'!A247)=0,"",IF(ISNUMBER('Providers'!W247),'Providers'!W247,""))</f>
        <v/>
      </c>
      <c r="K248" s="34">
        <f>IF(LEN('Providers'!A247)=0,"",IF(ISNUMBER('Providers'!Y247),'Providers'!Y247,""))</f>
        <v/>
      </c>
      <c r="L248" s="34">
        <f>IF(LEN('Providers'!A247)=0,"",IF(ISNUMBER('Providers'!AA247),'Providers'!AA247,""))</f>
        <v/>
      </c>
      <c r="M248" s="34">
        <f>IF(LEN('Providers'!A247)=0,"",IF(ISNUMBER('Providers'!AD247),'Providers'!AD247,""))</f>
        <v/>
      </c>
      <c r="N248" s="35">
        <f>IF(LEN('Providers'!A247)=0,"",IF(LEN('Providers'!AG247)=0,"",'Providers'!AG247))</f>
        <v/>
      </c>
    </row>
    <row r="249">
      <c r="A249" s="32">
        <f>IF(LEN('Providers'!A248)=0,"",IF(LEN('Providers'!A248)=0,"",'Providers'!A248))</f>
        <v/>
      </c>
      <c r="B249" s="33">
        <f>IF(LEN('Providers'!A248)=0,"",IF(LEN('Providers'!B248)=0,"",'Providers'!B248))</f>
        <v/>
      </c>
      <c r="C249" s="33">
        <f>IF(LEN('Providers'!A248)=0,"",IF(LEN('Providers'!E248)=0,"",'Providers'!E248))</f>
        <v/>
      </c>
      <c r="D249" s="34">
        <f>IF(LEN('Providers'!A248)=0,"",IF(ISNUMBER('Providers'!G248),'Providers'!G248,""))</f>
        <v/>
      </c>
      <c r="E249" s="34">
        <f>IF(LEN('Providers'!A248)=0,"",IF(ISNUMBER('Providers'!I248),'Providers'!I248,""))</f>
        <v/>
      </c>
      <c r="F249" s="34">
        <f>IF(LEN('Providers'!A248)=0,"",IF(ISNUMBER('Providers'!K248),'Providers'!K248,""))</f>
        <v/>
      </c>
      <c r="G249" s="34">
        <f>IF(LEN('Providers'!A248)=0,"",IF(ISNUMBER('Providers'!M248),'Providers'!M248,""))</f>
        <v/>
      </c>
      <c r="H249" s="34">
        <f>IF(LEN('Providers'!A248)=0,"",IF(ISNUMBER('Providers'!Q248),'Providers'!Q248,""))</f>
        <v/>
      </c>
      <c r="I249" s="34">
        <f>IF(LEN('Providers'!A248)=0,"",IF(ISNUMBER('Providers'!S248),'Providers'!S248,""))</f>
        <v/>
      </c>
      <c r="J249" s="34">
        <f>IF(LEN('Providers'!A248)=0,"",IF(ISNUMBER('Providers'!W248),'Providers'!W248,""))</f>
        <v/>
      </c>
      <c r="K249" s="34">
        <f>IF(LEN('Providers'!A248)=0,"",IF(ISNUMBER('Providers'!Y248),'Providers'!Y248,""))</f>
        <v/>
      </c>
      <c r="L249" s="34">
        <f>IF(LEN('Providers'!A248)=0,"",IF(ISNUMBER('Providers'!AA248),'Providers'!AA248,""))</f>
        <v/>
      </c>
      <c r="M249" s="34">
        <f>IF(LEN('Providers'!A248)=0,"",IF(ISNUMBER('Providers'!AD248),'Providers'!AD248,""))</f>
        <v/>
      </c>
      <c r="N249" s="35">
        <f>IF(LEN('Providers'!A248)=0,"",IF(LEN('Providers'!AG248)=0,"",'Providers'!AG248))</f>
        <v/>
      </c>
    </row>
    <row r="250">
      <c r="A250" s="32">
        <f>IF(LEN('Providers'!A249)=0,"",IF(LEN('Providers'!A249)=0,"",'Providers'!A249))</f>
        <v/>
      </c>
      <c r="B250" s="33">
        <f>IF(LEN('Providers'!A249)=0,"",IF(LEN('Providers'!B249)=0,"",'Providers'!B249))</f>
        <v/>
      </c>
      <c r="C250" s="33">
        <f>IF(LEN('Providers'!A249)=0,"",IF(LEN('Providers'!E249)=0,"",'Providers'!E249))</f>
        <v/>
      </c>
      <c r="D250" s="34">
        <f>IF(LEN('Providers'!A249)=0,"",IF(ISNUMBER('Providers'!G249),'Providers'!G249,""))</f>
        <v/>
      </c>
      <c r="E250" s="34">
        <f>IF(LEN('Providers'!A249)=0,"",IF(ISNUMBER('Providers'!I249),'Providers'!I249,""))</f>
        <v/>
      </c>
      <c r="F250" s="34">
        <f>IF(LEN('Providers'!A249)=0,"",IF(ISNUMBER('Providers'!K249),'Providers'!K249,""))</f>
        <v/>
      </c>
      <c r="G250" s="34">
        <f>IF(LEN('Providers'!A249)=0,"",IF(ISNUMBER('Providers'!M249),'Providers'!M249,""))</f>
        <v/>
      </c>
      <c r="H250" s="34">
        <f>IF(LEN('Providers'!A249)=0,"",IF(ISNUMBER('Providers'!Q249),'Providers'!Q249,""))</f>
        <v/>
      </c>
      <c r="I250" s="34">
        <f>IF(LEN('Providers'!A249)=0,"",IF(ISNUMBER('Providers'!S249),'Providers'!S249,""))</f>
        <v/>
      </c>
      <c r="J250" s="34">
        <f>IF(LEN('Providers'!A249)=0,"",IF(ISNUMBER('Providers'!W249),'Providers'!W249,""))</f>
        <v/>
      </c>
      <c r="K250" s="34">
        <f>IF(LEN('Providers'!A249)=0,"",IF(ISNUMBER('Providers'!Y249),'Providers'!Y249,""))</f>
        <v/>
      </c>
      <c r="L250" s="34">
        <f>IF(LEN('Providers'!A249)=0,"",IF(ISNUMBER('Providers'!AA249),'Providers'!AA249,""))</f>
        <v/>
      </c>
      <c r="M250" s="34">
        <f>IF(LEN('Providers'!A249)=0,"",IF(ISNUMBER('Providers'!AD249),'Providers'!AD249,""))</f>
        <v/>
      </c>
      <c r="N250" s="35">
        <f>IF(LEN('Providers'!A249)=0,"",IF(LEN('Providers'!AG249)=0,"",'Providers'!AG249))</f>
        <v/>
      </c>
    </row>
    <row r="251">
      <c r="A251" s="32">
        <f>IF(LEN('Providers'!A250)=0,"",IF(LEN('Providers'!A250)=0,"",'Providers'!A250))</f>
        <v/>
      </c>
      <c r="B251" s="33">
        <f>IF(LEN('Providers'!A250)=0,"",IF(LEN('Providers'!B250)=0,"",'Providers'!B250))</f>
        <v/>
      </c>
      <c r="C251" s="33">
        <f>IF(LEN('Providers'!A250)=0,"",IF(LEN('Providers'!E250)=0,"",'Providers'!E250))</f>
        <v/>
      </c>
      <c r="D251" s="34">
        <f>IF(LEN('Providers'!A250)=0,"",IF(ISNUMBER('Providers'!G250),'Providers'!G250,""))</f>
        <v/>
      </c>
      <c r="E251" s="34">
        <f>IF(LEN('Providers'!A250)=0,"",IF(ISNUMBER('Providers'!I250),'Providers'!I250,""))</f>
        <v/>
      </c>
      <c r="F251" s="34">
        <f>IF(LEN('Providers'!A250)=0,"",IF(ISNUMBER('Providers'!K250),'Providers'!K250,""))</f>
        <v/>
      </c>
      <c r="G251" s="34">
        <f>IF(LEN('Providers'!A250)=0,"",IF(ISNUMBER('Providers'!M250),'Providers'!M250,""))</f>
        <v/>
      </c>
      <c r="H251" s="34">
        <f>IF(LEN('Providers'!A250)=0,"",IF(ISNUMBER('Providers'!Q250),'Providers'!Q250,""))</f>
        <v/>
      </c>
      <c r="I251" s="34">
        <f>IF(LEN('Providers'!A250)=0,"",IF(ISNUMBER('Providers'!S250),'Providers'!S250,""))</f>
        <v/>
      </c>
      <c r="J251" s="34">
        <f>IF(LEN('Providers'!A250)=0,"",IF(ISNUMBER('Providers'!W250),'Providers'!W250,""))</f>
        <v/>
      </c>
      <c r="K251" s="34">
        <f>IF(LEN('Providers'!A250)=0,"",IF(ISNUMBER('Providers'!Y250),'Providers'!Y250,""))</f>
        <v/>
      </c>
      <c r="L251" s="34">
        <f>IF(LEN('Providers'!A250)=0,"",IF(ISNUMBER('Providers'!AA250),'Providers'!AA250,""))</f>
        <v/>
      </c>
      <c r="M251" s="34">
        <f>IF(LEN('Providers'!A250)=0,"",IF(ISNUMBER('Providers'!AD250),'Providers'!AD250,""))</f>
        <v/>
      </c>
      <c r="N251" s="35">
        <f>IF(LEN('Providers'!A250)=0,"",IF(LEN('Providers'!AG250)=0,"",'Providers'!AG250))</f>
        <v/>
      </c>
    </row>
    <row r="252">
      <c r="A252" s="32">
        <f>IF(LEN('Providers'!A251)=0,"",IF(LEN('Providers'!A251)=0,"",'Providers'!A251))</f>
        <v/>
      </c>
      <c r="B252" s="33">
        <f>IF(LEN('Providers'!A251)=0,"",IF(LEN('Providers'!B251)=0,"",'Providers'!B251))</f>
        <v/>
      </c>
      <c r="C252" s="33">
        <f>IF(LEN('Providers'!A251)=0,"",IF(LEN('Providers'!E251)=0,"",'Providers'!E251))</f>
        <v/>
      </c>
      <c r="D252" s="34">
        <f>IF(LEN('Providers'!A251)=0,"",IF(ISNUMBER('Providers'!G251),'Providers'!G251,""))</f>
        <v/>
      </c>
      <c r="E252" s="34">
        <f>IF(LEN('Providers'!A251)=0,"",IF(ISNUMBER('Providers'!I251),'Providers'!I251,""))</f>
        <v/>
      </c>
      <c r="F252" s="34">
        <f>IF(LEN('Providers'!A251)=0,"",IF(ISNUMBER('Providers'!K251),'Providers'!K251,""))</f>
        <v/>
      </c>
      <c r="G252" s="34">
        <f>IF(LEN('Providers'!A251)=0,"",IF(ISNUMBER('Providers'!M251),'Providers'!M251,""))</f>
        <v/>
      </c>
      <c r="H252" s="34">
        <f>IF(LEN('Providers'!A251)=0,"",IF(ISNUMBER('Providers'!Q251),'Providers'!Q251,""))</f>
        <v/>
      </c>
      <c r="I252" s="34">
        <f>IF(LEN('Providers'!A251)=0,"",IF(ISNUMBER('Providers'!S251),'Providers'!S251,""))</f>
        <v/>
      </c>
      <c r="J252" s="34">
        <f>IF(LEN('Providers'!A251)=0,"",IF(ISNUMBER('Providers'!W251),'Providers'!W251,""))</f>
        <v/>
      </c>
      <c r="K252" s="34">
        <f>IF(LEN('Providers'!A251)=0,"",IF(ISNUMBER('Providers'!Y251),'Providers'!Y251,""))</f>
        <v/>
      </c>
      <c r="L252" s="34">
        <f>IF(LEN('Providers'!A251)=0,"",IF(ISNUMBER('Providers'!AA251),'Providers'!AA251,""))</f>
        <v/>
      </c>
      <c r="M252" s="34">
        <f>IF(LEN('Providers'!A251)=0,"",IF(ISNUMBER('Providers'!AD251),'Providers'!AD251,""))</f>
        <v/>
      </c>
      <c r="N252" s="35">
        <f>IF(LEN('Providers'!A251)=0,"",IF(LEN('Providers'!AG251)=0,"",'Providers'!AG251))</f>
        <v/>
      </c>
    </row>
    <row r="253">
      <c r="A253" s="32">
        <f>IF(LEN('Providers'!A252)=0,"",IF(LEN('Providers'!A252)=0,"",'Providers'!A252))</f>
        <v/>
      </c>
      <c r="B253" s="33">
        <f>IF(LEN('Providers'!A252)=0,"",IF(LEN('Providers'!B252)=0,"",'Providers'!B252))</f>
        <v/>
      </c>
      <c r="C253" s="33">
        <f>IF(LEN('Providers'!A252)=0,"",IF(LEN('Providers'!E252)=0,"",'Providers'!E252))</f>
        <v/>
      </c>
      <c r="D253" s="34">
        <f>IF(LEN('Providers'!A252)=0,"",IF(ISNUMBER('Providers'!G252),'Providers'!G252,""))</f>
        <v/>
      </c>
      <c r="E253" s="34">
        <f>IF(LEN('Providers'!A252)=0,"",IF(ISNUMBER('Providers'!I252),'Providers'!I252,""))</f>
        <v/>
      </c>
      <c r="F253" s="34">
        <f>IF(LEN('Providers'!A252)=0,"",IF(ISNUMBER('Providers'!K252),'Providers'!K252,""))</f>
        <v/>
      </c>
      <c r="G253" s="34">
        <f>IF(LEN('Providers'!A252)=0,"",IF(ISNUMBER('Providers'!M252),'Providers'!M252,""))</f>
        <v/>
      </c>
      <c r="H253" s="34">
        <f>IF(LEN('Providers'!A252)=0,"",IF(ISNUMBER('Providers'!Q252),'Providers'!Q252,""))</f>
        <v/>
      </c>
      <c r="I253" s="34">
        <f>IF(LEN('Providers'!A252)=0,"",IF(ISNUMBER('Providers'!S252),'Providers'!S252,""))</f>
        <v/>
      </c>
      <c r="J253" s="34">
        <f>IF(LEN('Providers'!A252)=0,"",IF(ISNUMBER('Providers'!W252),'Providers'!W252,""))</f>
        <v/>
      </c>
      <c r="K253" s="34">
        <f>IF(LEN('Providers'!A252)=0,"",IF(ISNUMBER('Providers'!Y252),'Providers'!Y252,""))</f>
        <v/>
      </c>
      <c r="L253" s="34">
        <f>IF(LEN('Providers'!A252)=0,"",IF(ISNUMBER('Providers'!AA252),'Providers'!AA252,""))</f>
        <v/>
      </c>
      <c r="M253" s="34">
        <f>IF(LEN('Providers'!A252)=0,"",IF(ISNUMBER('Providers'!AD252),'Providers'!AD252,""))</f>
        <v/>
      </c>
      <c r="N253" s="35">
        <f>IF(LEN('Providers'!A252)=0,"",IF(LEN('Providers'!AG252)=0,"",'Providers'!AG252))</f>
        <v/>
      </c>
    </row>
    <row r="254">
      <c r="A254" s="32">
        <f>IF(LEN('Providers'!A253)=0,"",IF(LEN('Providers'!A253)=0,"",'Providers'!A253))</f>
        <v/>
      </c>
      <c r="B254" s="33">
        <f>IF(LEN('Providers'!A253)=0,"",IF(LEN('Providers'!B253)=0,"",'Providers'!B253))</f>
        <v/>
      </c>
      <c r="C254" s="33">
        <f>IF(LEN('Providers'!A253)=0,"",IF(LEN('Providers'!E253)=0,"",'Providers'!E253))</f>
        <v/>
      </c>
      <c r="D254" s="34">
        <f>IF(LEN('Providers'!A253)=0,"",IF(ISNUMBER('Providers'!G253),'Providers'!G253,""))</f>
        <v/>
      </c>
      <c r="E254" s="34">
        <f>IF(LEN('Providers'!A253)=0,"",IF(ISNUMBER('Providers'!I253),'Providers'!I253,""))</f>
        <v/>
      </c>
      <c r="F254" s="34">
        <f>IF(LEN('Providers'!A253)=0,"",IF(ISNUMBER('Providers'!K253),'Providers'!K253,""))</f>
        <v/>
      </c>
      <c r="G254" s="34">
        <f>IF(LEN('Providers'!A253)=0,"",IF(ISNUMBER('Providers'!M253),'Providers'!M253,""))</f>
        <v/>
      </c>
      <c r="H254" s="34">
        <f>IF(LEN('Providers'!A253)=0,"",IF(ISNUMBER('Providers'!Q253),'Providers'!Q253,""))</f>
        <v/>
      </c>
      <c r="I254" s="34">
        <f>IF(LEN('Providers'!A253)=0,"",IF(ISNUMBER('Providers'!S253),'Providers'!S253,""))</f>
        <v/>
      </c>
      <c r="J254" s="34">
        <f>IF(LEN('Providers'!A253)=0,"",IF(ISNUMBER('Providers'!W253),'Providers'!W253,""))</f>
        <v/>
      </c>
      <c r="K254" s="34">
        <f>IF(LEN('Providers'!A253)=0,"",IF(ISNUMBER('Providers'!Y253),'Providers'!Y253,""))</f>
        <v/>
      </c>
      <c r="L254" s="34">
        <f>IF(LEN('Providers'!A253)=0,"",IF(ISNUMBER('Providers'!AA253),'Providers'!AA253,""))</f>
        <v/>
      </c>
      <c r="M254" s="34">
        <f>IF(LEN('Providers'!A253)=0,"",IF(ISNUMBER('Providers'!AD253),'Providers'!AD253,""))</f>
        <v/>
      </c>
      <c r="N254" s="35">
        <f>IF(LEN('Providers'!A253)=0,"",IF(LEN('Providers'!AG253)=0,"",'Providers'!AG253))</f>
        <v/>
      </c>
    </row>
    <row r="255">
      <c r="A255" s="32">
        <f>IF(LEN('Providers'!A254)=0,"",IF(LEN('Providers'!A254)=0,"",'Providers'!A254))</f>
        <v/>
      </c>
      <c r="B255" s="33">
        <f>IF(LEN('Providers'!A254)=0,"",IF(LEN('Providers'!B254)=0,"",'Providers'!B254))</f>
        <v/>
      </c>
      <c r="C255" s="33">
        <f>IF(LEN('Providers'!A254)=0,"",IF(LEN('Providers'!E254)=0,"",'Providers'!E254))</f>
        <v/>
      </c>
      <c r="D255" s="34">
        <f>IF(LEN('Providers'!A254)=0,"",IF(ISNUMBER('Providers'!G254),'Providers'!G254,""))</f>
        <v/>
      </c>
      <c r="E255" s="34">
        <f>IF(LEN('Providers'!A254)=0,"",IF(ISNUMBER('Providers'!I254),'Providers'!I254,""))</f>
        <v/>
      </c>
      <c r="F255" s="34">
        <f>IF(LEN('Providers'!A254)=0,"",IF(ISNUMBER('Providers'!K254),'Providers'!K254,""))</f>
        <v/>
      </c>
      <c r="G255" s="34">
        <f>IF(LEN('Providers'!A254)=0,"",IF(ISNUMBER('Providers'!M254),'Providers'!M254,""))</f>
        <v/>
      </c>
      <c r="H255" s="34">
        <f>IF(LEN('Providers'!A254)=0,"",IF(ISNUMBER('Providers'!Q254),'Providers'!Q254,""))</f>
        <v/>
      </c>
      <c r="I255" s="34">
        <f>IF(LEN('Providers'!A254)=0,"",IF(ISNUMBER('Providers'!S254),'Providers'!S254,""))</f>
        <v/>
      </c>
      <c r="J255" s="34">
        <f>IF(LEN('Providers'!A254)=0,"",IF(ISNUMBER('Providers'!W254),'Providers'!W254,""))</f>
        <v/>
      </c>
      <c r="K255" s="34">
        <f>IF(LEN('Providers'!A254)=0,"",IF(ISNUMBER('Providers'!Y254),'Providers'!Y254,""))</f>
        <v/>
      </c>
      <c r="L255" s="34">
        <f>IF(LEN('Providers'!A254)=0,"",IF(ISNUMBER('Providers'!AA254),'Providers'!AA254,""))</f>
        <v/>
      </c>
      <c r="M255" s="34">
        <f>IF(LEN('Providers'!A254)=0,"",IF(ISNUMBER('Providers'!AD254),'Providers'!AD254,""))</f>
        <v/>
      </c>
      <c r="N255" s="35">
        <f>IF(LEN('Providers'!A254)=0,"",IF(LEN('Providers'!AG254)=0,"",'Providers'!AG254))</f>
        <v/>
      </c>
    </row>
    <row r="256">
      <c r="A256" s="32">
        <f>IF(LEN('Providers'!A255)=0,"",IF(LEN('Providers'!A255)=0,"",'Providers'!A255))</f>
        <v/>
      </c>
      <c r="B256" s="33">
        <f>IF(LEN('Providers'!A255)=0,"",IF(LEN('Providers'!B255)=0,"",'Providers'!B255))</f>
        <v/>
      </c>
      <c r="C256" s="33">
        <f>IF(LEN('Providers'!A255)=0,"",IF(LEN('Providers'!E255)=0,"",'Providers'!E255))</f>
        <v/>
      </c>
      <c r="D256" s="34">
        <f>IF(LEN('Providers'!A255)=0,"",IF(ISNUMBER('Providers'!G255),'Providers'!G255,""))</f>
        <v/>
      </c>
      <c r="E256" s="34">
        <f>IF(LEN('Providers'!A255)=0,"",IF(ISNUMBER('Providers'!I255),'Providers'!I255,""))</f>
        <v/>
      </c>
      <c r="F256" s="34">
        <f>IF(LEN('Providers'!A255)=0,"",IF(ISNUMBER('Providers'!K255),'Providers'!K255,""))</f>
        <v/>
      </c>
      <c r="G256" s="34">
        <f>IF(LEN('Providers'!A255)=0,"",IF(ISNUMBER('Providers'!M255),'Providers'!M255,""))</f>
        <v/>
      </c>
      <c r="H256" s="34">
        <f>IF(LEN('Providers'!A255)=0,"",IF(ISNUMBER('Providers'!Q255),'Providers'!Q255,""))</f>
        <v/>
      </c>
      <c r="I256" s="34">
        <f>IF(LEN('Providers'!A255)=0,"",IF(ISNUMBER('Providers'!S255),'Providers'!S255,""))</f>
        <v/>
      </c>
      <c r="J256" s="34">
        <f>IF(LEN('Providers'!A255)=0,"",IF(ISNUMBER('Providers'!W255),'Providers'!W255,""))</f>
        <v/>
      </c>
      <c r="K256" s="34">
        <f>IF(LEN('Providers'!A255)=0,"",IF(ISNUMBER('Providers'!Y255),'Providers'!Y255,""))</f>
        <v/>
      </c>
      <c r="L256" s="34">
        <f>IF(LEN('Providers'!A255)=0,"",IF(ISNUMBER('Providers'!AA255),'Providers'!AA255,""))</f>
        <v/>
      </c>
      <c r="M256" s="34">
        <f>IF(LEN('Providers'!A255)=0,"",IF(ISNUMBER('Providers'!AD255),'Providers'!AD255,""))</f>
        <v/>
      </c>
      <c r="N256" s="35">
        <f>IF(LEN('Providers'!A255)=0,"",IF(LEN('Providers'!AG255)=0,"",'Providers'!AG255))</f>
        <v/>
      </c>
    </row>
    <row r="257">
      <c r="A257" s="32">
        <f>IF(LEN('Providers'!A256)=0,"",IF(LEN('Providers'!A256)=0,"",'Providers'!A256))</f>
        <v/>
      </c>
      <c r="B257" s="33">
        <f>IF(LEN('Providers'!A256)=0,"",IF(LEN('Providers'!B256)=0,"",'Providers'!B256))</f>
        <v/>
      </c>
      <c r="C257" s="33">
        <f>IF(LEN('Providers'!A256)=0,"",IF(LEN('Providers'!E256)=0,"",'Providers'!E256))</f>
        <v/>
      </c>
      <c r="D257" s="34">
        <f>IF(LEN('Providers'!A256)=0,"",IF(ISNUMBER('Providers'!G256),'Providers'!G256,""))</f>
        <v/>
      </c>
      <c r="E257" s="34">
        <f>IF(LEN('Providers'!A256)=0,"",IF(ISNUMBER('Providers'!I256),'Providers'!I256,""))</f>
        <v/>
      </c>
      <c r="F257" s="34">
        <f>IF(LEN('Providers'!A256)=0,"",IF(ISNUMBER('Providers'!K256),'Providers'!K256,""))</f>
        <v/>
      </c>
      <c r="G257" s="34">
        <f>IF(LEN('Providers'!A256)=0,"",IF(ISNUMBER('Providers'!M256),'Providers'!M256,""))</f>
        <v/>
      </c>
      <c r="H257" s="34">
        <f>IF(LEN('Providers'!A256)=0,"",IF(ISNUMBER('Providers'!Q256),'Providers'!Q256,""))</f>
        <v/>
      </c>
      <c r="I257" s="34">
        <f>IF(LEN('Providers'!A256)=0,"",IF(ISNUMBER('Providers'!S256),'Providers'!S256,""))</f>
        <v/>
      </c>
      <c r="J257" s="34">
        <f>IF(LEN('Providers'!A256)=0,"",IF(ISNUMBER('Providers'!W256),'Providers'!W256,""))</f>
        <v/>
      </c>
      <c r="K257" s="34">
        <f>IF(LEN('Providers'!A256)=0,"",IF(ISNUMBER('Providers'!Y256),'Providers'!Y256,""))</f>
        <v/>
      </c>
      <c r="L257" s="34">
        <f>IF(LEN('Providers'!A256)=0,"",IF(ISNUMBER('Providers'!AA256),'Providers'!AA256,""))</f>
        <v/>
      </c>
      <c r="M257" s="34">
        <f>IF(LEN('Providers'!A256)=0,"",IF(ISNUMBER('Providers'!AD256),'Providers'!AD256,""))</f>
        <v/>
      </c>
      <c r="N257" s="35">
        <f>IF(LEN('Providers'!A256)=0,"",IF(LEN('Providers'!AG256)=0,"",'Providers'!AG256))</f>
        <v/>
      </c>
    </row>
    <row r="258">
      <c r="A258" s="32">
        <f>IF(LEN('Providers'!A257)=0,"",IF(LEN('Providers'!A257)=0,"",'Providers'!A257))</f>
        <v/>
      </c>
      <c r="B258" s="33">
        <f>IF(LEN('Providers'!A257)=0,"",IF(LEN('Providers'!B257)=0,"",'Providers'!B257))</f>
        <v/>
      </c>
      <c r="C258" s="33">
        <f>IF(LEN('Providers'!A257)=0,"",IF(LEN('Providers'!E257)=0,"",'Providers'!E257))</f>
        <v/>
      </c>
      <c r="D258" s="34">
        <f>IF(LEN('Providers'!A257)=0,"",IF(ISNUMBER('Providers'!G257),'Providers'!G257,""))</f>
        <v/>
      </c>
      <c r="E258" s="34">
        <f>IF(LEN('Providers'!A257)=0,"",IF(ISNUMBER('Providers'!I257),'Providers'!I257,""))</f>
        <v/>
      </c>
      <c r="F258" s="34">
        <f>IF(LEN('Providers'!A257)=0,"",IF(ISNUMBER('Providers'!K257),'Providers'!K257,""))</f>
        <v/>
      </c>
      <c r="G258" s="34">
        <f>IF(LEN('Providers'!A257)=0,"",IF(ISNUMBER('Providers'!M257),'Providers'!M257,""))</f>
        <v/>
      </c>
      <c r="H258" s="34">
        <f>IF(LEN('Providers'!A257)=0,"",IF(ISNUMBER('Providers'!Q257),'Providers'!Q257,""))</f>
        <v/>
      </c>
      <c r="I258" s="34">
        <f>IF(LEN('Providers'!A257)=0,"",IF(ISNUMBER('Providers'!S257),'Providers'!S257,""))</f>
        <v/>
      </c>
      <c r="J258" s="34">
        <f>IF(LEN('Providers'!A257)=0,"",IF(ISNUMBER('Providers'!W257),'Providers'!W257,""))</f>
        <v/>
      </c>
      <c r="K258" s="34">
        <f>IF(LEN('Providers'!A257)=0,"",IF(ISNUMBER('Providers'!Y257),'Providers'!Y257,""))</f>
        <v/>
      </c>
      <c r="L258" s="34">
        <f>IF(LEN('Providers'!A257)=0,"",IF(ISNUMBER('Providers'!AA257),'Providers'!AA257,""))</f>
        <v/>
      </c>
      <c r="M258" s="34">
        <f>IF(LEN('Providers'!A257)=0,"",IF(ISNUMBER('Providers'!AD257),'Providers'!AD257,""))</f>
        <v/>
      </c>
      <c r="N258" s="35">
        <f>IF(LEN('Providers'!A257)=0,"",IF(LEN('Providers'!AG257)=0,"",'Providers'!AG257))</f>
        <v/>
      </c>
    </row>
    <row r="259">
      <c r="A259" s="32">
        <f>IF(LEN('Providers'!A258)=0,"",IF(LEN('Providers'!A258)=0,"",'Providers'!A258))</f>
        <v/>
      </c>
      <c r="B259" s="33">
        <f>IF(LEN('Providers'!A258)=0,"",IF(LEN('Providers'!B258)=0,"",'Providers'!B258))</f>
        <v/>
      </c>
      <c r="C259" s="33">
        <f>IF(LEN('Providers'!A258)=0,"",IF(LEN('Providers'!E258)=0,"",'Providers'!E258))</f>
        <v/>
      </c>
      <c r="D259" s="34">
        <f>IF(LEN('Providers'!A258)=0,"",IF(ISNUMBER('Providers'!G258),'Providers'!G258,""))</f>
        <v/>
      </c>
      <c r="E259" s="34">
        <f>IF(LEN('Providers'!A258)=0,"",IF(ISNUMBER('Providers'!I258),'Providers'!I258,""))</f>
        <v/>
      </c>
      <c r="F259" s="34">
        <f>IF(LEN('Providers'!A258)=0,"",IF(ISNUMBER('Providers'!K258),'Providers'!K258,""))</f>
        <v/>
      </c>
      <c r="G259" s="34">
        <f>IF(LEN('Providers'!A258)=0,"",IF(ISNUMBER('Providers'!M258),'Providers'!M258,""))</f>
        <v/>
      </c>
      <c r="H259" s="34">
        <f>IF(LEN('Providers'!A258)=0,"",IF(ISNUMBER('Providers'!Q258),'Providers'!Q258,""))</f>
        <v/>
      </c>
      <c r="I259" s="34">
        <f>IF(LEN('Providers'!A258)=0,"",IF(ISNUMBER('Providers'!S258),'Providers'!S258,""))</f>
        <v/>
      </c>
      <c r="J259" s="34">
        <f>IF(LEN('Providers'!A258)=0,"",IF(ISNUMBER('Providers'!W258),'Providers'!W258,""))</f>
        <v/>
      </c>
      <c r="K259" s="34">
        <f>IF(LEN('Providers'!A258)=0,"",IF(ISNUMBER('Providers'!Y258),'Providers'!Y258,""))</f>
        <v/>
      </c>
      <c r="L259" s="34">
        <f>IF(LEN('Providers'!A258)=0,"",IF(ISNUMBER('Providers'!AA258),'Providers'!AA258,""))</f>
        <v/>
      </c>
      <c r="M259" s="34">
        <f>IF(LEN('Providers'!A258)=0,"",IF(ISNUMBER('Providers'!AD258),'Providers'!AD258,""))</f>
        <v/>
      </c>
      <c r="N259" s="35">
        <f>IF(LEN('Providers'!A258)=0,"",IF(LEN('Providers'!AG258)=0,"",'Providers'!AG258))</f>
        <v/>
      </c>
    </row>
    <row r="260">
      <c r="A260" s="32">
        <f>IF(LEN('Providers'!A259)=0,"",IF(LEN('Providers'!A259)=0,"",'Providers'!A259))</f>
        <v/>
      </c>
      <c r="B260" s="33">
        <f>IF(LEN('Providers'!A259)=0,"",IF(LEN('Providers'!B259)=0,"",'Providers'!B259))</f>
        <v/>
      </c>
      <c r="C260" s="33">
        <f>IF(LEN('Providers'!A259)=0,"",IF(LEN('Providers'!E259)=0,"",'Providers'!E259))</f>
        <v/>
      </c>
      <c r="D260" s="34">
        <f>IF(LEN('Providers'!A259)=0,"",IF(ISNUMBER('Providers'!G259),'Providers'!G259,""))</f>
        <v/>
      </c>
      <c r="E260" s="34">
        <f>IF(LEN('Providers'!A259)=0,"",IF(ISNUMBER('Providers'!I259),'Providers'!I259,""))</f>
        <v/>
      </c>
      <c r="F260" s="34">
        <f>IF(LEN('Providers'!A259)=0,"",IF(ISNUMBER('Providers'!K259),'Providers'!K259,""))</f>
        <v/>
      </c>
      <c r="G260" s="34">
        <f>IF(LEN('Providers'!A259)=0,"",IF(ISNUMBER('Providers'!M259),'Providers'!M259,""))</f>
        <v/>
      </c>
      <c r="H260" s="34">
        <f>IF(LEN('Providers'!A259)=0,"",IF(ISNUMBER('Providers'!Q259),'Providers'!Q259,""))</f>
        <v/>
      </c>
      <c r="I260" s="34">
        <f>IF(LEN('Providers'!A259)=0,"",IF(ISNUMBER('Providers'!S259),'Providers'!S259,""))</f>
        <v/>
      </c>
      <c r="J260" s="34">
        <f>IF(LEN('Providers'!A259)=0,"",IF(ISNUMBER('Providers'!W259),'Providers'!W259,""))</f>
        <v/>
      </c>
      <c r="K260" s="34">
        <f>IF(LEN('Providers'!A259)=0,"",IF(ISNUMBER('Providers'!Y259),'Providers'!Y259,""))</f>
        <v/>
      </c>
      <c r="L260" s="34">
        <f>IF(LEN('Providers'!A259)=0,"",IF(ISNUMBER('Providers'!AA259),'Providers'!AA259,""))</f>
        <v/>
      </c>
      <c r="M260" s="34">
        <f>IF(LEN('Providers'!A259)=0,"",IF(ISNUMBER('Providers'!AD259),'Providers'!AD259,""))</f>
        <v/>
      </c>
      <c r="N260" s="35">
        <f>IF(LEN('Providers'!A259)=0,"",IF(LEN('Providers'!AG259)=0,"",'Providers'!AG259))</f>
        <v/>
      </c>
    </row>
    <row r="261">
      <c r="A261" s="32">
        <f>IF(LEN('Providers'!A260)=0,"",IF(LEN('Providers'!A260)=0,"",'Providers'!A260))</f>
        <v/>
      </c>
      <c r="B261" s="33">
        <f>IF(LEN('Providers'!A260)=0,"",IF(LEN('Providers'!B260)=0,"",'Providers'!B260))</f>
        <v/>
      </c>
      <c r="C261" s="33">
        <f>IF(LEN('Providers'!A260)=0,"",IF(LEN('Providers'!E260)=0,"",'Providers'!E260))</f>
        <v/>
      </c>
      <c r="D261" s="34">
        <f>IF(LEN('Providers'!A260)=0,"",IF(ISNUMBER('Providers'!G260),'Providers'!G260,""))</f>
        <v/>
      </c>
      <c r="E261" s="34">
        <f>IF(LEN('Providers'!A260)=0,"",IF(ISNUMBER('Providers'!I260),'Providers'!I260,""))</f>
        <v/>
      </c>
      <c r="F261" s="34">
        <f>IF(LEN('Providers'!A260)=0,"",IF(ISNUMBER('Providers'!K260),'Providers'!K260,""))</f>
        <v/>
      </c>
      <c r="G261" s="34">
        <f>IF(LEN('Providers'!A260)=0,"",IF(ISNUMBER('Providers'!M260),'Providers'!M260,""))</f>
        <v/>
      </c>
      <c r="H261" s="34">
        <f>IF(LEN('Providers'!A260)=0,"",IF(ISNUMBER('Providers'!Q260),'Providers'!Q260,""))</f>
        <v/>
      </c>
      <c r="I261" s="34">
        <f>IF(LEN('Providers'!A260)=0,"",IF(ISNUMBER('Providers'!S260),'Providers'!S260,""))</f>
        <v/>
      </c>
      <c r="J261" s="34">
        <f>IF(LEN('Providers'!A260)=0,"",IF(ISNUMBER('Providers'!W260),'Providers'!W260,""))</f>
        <v/>
      </c>
      <c r="K261" s="34">
        <f>IF(LEN('Providers'!A260)=0,"",IF(ISNUMBER('Providers'!Y260),'Providers'!Y260,""))</f>
        <v/>
      </c>
      <c r="L261" s="34">
        <f>IF(LEN('Providers'!A260)=0,"",IF(ISNUMBER('Providers'!AA260),'Providers'!AA260,""))</f>
        <v/>
      </c>
      <c r="M261" s="34">
        <f>IF(LEN('Providers'!A260)=0,"",IF(ISNUMBER('Providers'!AD260),'Providers'!AD260,""))</f>
        <v/>
      </c>
      <c r="N261" s="35">
        <f>IF(LEN('Providers'!A260)=0,"",IF(LEN('Providers'!AG260)=0,"",'Providers'!AG260))</f>
        <v/>
      </c>
    </row>
    <row r="262">
      <c r="A262" s="32">
        <f>IF(LEN('Providers'!A261)=0,"",IF(LEN('Providers'!A261)=0,"",'Providers'!A261))</f>
        <v/>
      </c>
      <c r="B262" s="33">
        <f>IF(LEN('Providers'!A261)=0,"",IF(LEN('Providers'!B261)=0,"",'Providers'!B261))</f>
        <v/>
      </c>
      <c r="C262" s="33">
        <f>IF(LEN('Providers'!A261)=0,"",IF(LEN('Providers'!E261)=0,"",'Providers'!E261))</f>
        <v/>
      </c>
      <c r="D262" s="34">
        <f>IF(LEN('Providers'!A261)=0,"",IF(ISNUMBER('Providers'!G261),'Providers'!G261,""))</f>
        <v/>
      </c>
      <c r="E262" s="34">
        <f>IF(LEN('Providers'!A261)=0,"",IF(ISNUMBER('Providers'!I261),'Providers'!I261,""))</f>
        <v/>
      </c>
      <c r="F262" s="34">
        <f>IF(LEN('Providers'!A261)=0,"",IF(ISNUMBER('Providers'!K261),'Providers'!K261,""))</f>
        <v/>
      </c>
      <c r="G262" s="34">
        <f>IF(LEN('Providers'!A261)=0,"",IF(ISNUMBER('Providers'!M261),'Providers'!M261,""))</f>
        <v/>
      </c>
      <c r="H262" s="34">
        <f>IF(LEN('Providers'!A261)=0,"",IF(ISNUMBER('Providers'!Q261),'Providers'!Q261,""))</f>
        <v/>
      </c>
      <c r="I262" s="34">
        <f>IF(LEN('Providers'!A261)=0,"",IF(ISNUMBER('Providers'!S261),'Providers'!S261,""))</f>
        <v/>
      </c>
      <c r="J262" s="34">
        <f>IF(LEN('Providers'!A261)=0,"",IF(ISNUMBER('Providers'!W261),'Providers'!W261,""))</f>
        <v/>
      </c>
      <c r="K262" s="34">
        <f>IF(LEN('Providers'!A261)=0,"",IF(ISNUMBER('Providers'!Y261),'Providers'!Y261,""))</f>
        <v/>
      </c>
      <c r="L262" s="34">
        <f>IF(LEN('Providers'!A261)=0,"",IF(ISNUMBER('Providers'!AA261),'Providers'!AA261,""))</f>
        <v/>
      </c>
      <c r="M262" s="34">
        <f>IF(LEN('Providers'!A261)=0,"",IF(ISNUMBER('Providers'!AD261),'Providers'!AD261,""))</f>
        <v/>
      </c>
      <c r="N262" s="35">
        <f>IF(LEN('Providers'!A261)=0,"",IF(LEN('Providers'!AG261)=0,"",'Providers'!AG261))</f>
        <v/>
      </c>
    </row>
    <row r="263">
      <c r="A263" s="32">
        <f>IF(LEN('Providers'!A262)=0,"",IF(LEN('Providers'!A262)=0,"",'Providers'!A262))</f>
        <v/>
      </c>
      <c r="B263" s="33">
        <f>IF(LEN('Providers'!A262)=0,"",IF(LEN('Providers'!B262)=0,"",'Providers'!B262))</f>
        <v/>
      </c>
      <c r="C263" s="33">
        <f>IF(LEN('Providers'!A262)=0,"",IF(LEN('Providers'!E262)=0,"",'Providers'!E262))</f>
        <v/>
      </c>
      <c r="D263" s="34">
        <f>IF(LEN('Providers'!A262)=0,"",IF(ISNUMBER('Providers'!G262),'Providers'!G262,""))</f>
        <v/>
      </c>
      <c r="E263" s="34">
        <f>IF(LEN('Providers'!A262)=0,"",IF(ISNUMBER('Providers'!I262),'Providers'!I262,""))</f>
        <v/>
      </c>
      <c r="F263" s="34">
        <f>IF(LEN('Providers'!A262)=0,"",IF(ISNUMBER('Providers'!K262),'Providers'!K262,""))</f>
        <v/>
      </c>
      <c r="G263" s="34">
        <f>IF(LEN('Providers'!A262)=0,"",IF(ISNUMBER('Providers'!M262),'Providers'!M262,""))</f>
        <v/>
      </c>
      <c r="H263" s="34">
        <f>IF(LEN('Providers'!A262)=0,"",IF(ISNUMBER('Providers'!Q262),'Providers'!Q262,""))</f>
        <v/>
      </c>
      <c r="I263" s="34">
        <f>IF(LEN('Providers'!A262)=0,"",IF(ISNUMBER('Providers'!S262),'Providers'!S262,""))</f>
        <v/>
      </c>
      <c r="J263" s="34">
        <f>IF(LEN('Providers'!A262)=0,"",IF(ISNUMBER('Providers'!W262),'Providers'!W262,""))</f>
        <v/>
      </c>
      <c r="K263" s="34">
        <f>IF(LEN('Providers'!A262)=0,"",IF(ISNUMBER('Providers'!Y262),'Providers'!Y262,""))</f>
        <v/>
      </c>
      <c r="L263" s="34">
        <f>IF(LEN('Providers'!A262)=0,"",IF(ISNUMBER('Providers'!AA262),'Providers'!AA262,""))</f>
        <v/>
      </c>
      <c r="M263" s="34">
        <f>IF(LEN('Providers'!A262)=0,"",IF(ISNUMBER('Providers'!AD262),'Providers'!AD262,""))</f>
        <v/>
      </c>
      <c r="N263" s="35">
        <f>IF(LEN('Providers'!A262)=0,"",IF(LEN('Providers'!AG262)=0,"",'Providers'!AG262))</f>
        <v/>
      </c>
    </row>
    <row r="264">
      <c r="A264" s="32">
        <f>IF(LEN('Providers'!A263)=0,"",IF(LEN('Providers'!A263)=0,"",'Providers'!A263))</f>
        <v/>
      </c>
      <c r="B264" s="33">
        <f>IF(LEN('Providers'!A263)=0,"",IF(LEN('Providers'!B263)=0,"",'Providers'!B263))</f>
        <v/>
      </c>
      <c r="C264" s="33">
        <f>IF(LEN('Providers'!A263)=0,"",IF(LEN('Providers'!E263)=0,"",'Providers'!E263))</f>
        <v/>
      </c>
      <c r="D264" s="34">
        <f>IF(LEN('Providers'!A263)=0,"",IF(ISNUMBER('Providers'!G263),'Providers'!G263,""))</f>
        <v/>
      </c>
      <c r="E264" s="34">
        <f>IF(LEN('Providers'!A263)=0,"",IF(ISNUMBER('Providers'!I263),'Providers'!I263,""))</f>
        <v/>
      </c>
      <c r="F264" s="34">
        <f>IF(LEN('Providers'!A263)=0,"",IF(ISNUMBER('Providers'!K263),'Providers'!K263,""))</f>
        <v/>
      </c>
      <c r="G264" s="34">
        <f>IF(LEN('Providers'!A263)=0,"",IF(ISNUMBER('Providers'!M263),'Providers'!M263,""))</f>
        <v/>
      </c>
      <c r="H264" s="34">
        <f>IF(LEN('Providers'!A263)=0,"",IF(ISNUMBER('Providers'!Q263),'Providers'!Q263,""))</f>
        <v/>
      </c>
      <c r="I264" s="34">
        <f>IF(LEN('Providers'!A263)=0,"",IF(ISNUMBER('Providers'!S263),'Providers'!S263,""))</f>
        <v/>
      </c>
      <c r="J264" s="34">
        <f>IF(LEN('Providers'!A263)=0,"",IF(ISNUMBER('Providers'!W263),'Providers'!W263,""))</f>
        <v/>
      </c>
      <c r="K264" s="34">
        <f>IF(LEN('Providers'!A263)=0,"",IF(ISNUMBER('Providers'!Y263),'Providers'!Y263,""))</f>
        <v/>
      </c>
      <c r="L264" s="34">
        <f>IF(LEN('Providers'!A263)=0,"",IF(ISNUMBER('Providers'!AA263),'Providers'!AA263,""))</f>
        <v/>
      </c>
      <c r="M264" s="34">
        <f>IF(LEN('Providers'!A263)=0,"",IF(ISNUMBER('Providers'!AD263),'Providers'!AD263,""))</f>
        <v/>
      </c>
      <c r="N264" s="35">
        <f>IF(LEN('Providers'!A263)=0,"",IF(LEN('Providers'!AG263)=0,"",'Providers'!AG263))</f>
        <v/>
      </c>
    </row>
    <row r="265">
      <c r="A265" s="32">
        <f>IF(LEN('Providers'!A264)=0,"",IF(LEN('Providers'!A264)=0,"",'Providers'!A264))</f>
        <v/>
      </c>
      <c r="B265" s="33">
        <f>IF(LEN('Providers'!A264)=0,"",IF(LEN('Providers'!B264)=0,"",'Providers'!B264))</f>
        <v/>
      </c>
      <c r="C265" s="33">
        <f>IF(LEN('Providers'!A264)=0,"",IF(LEN('Providers'!E264)=0,"",'Providers'!E264))</f>
        <v/>
      </c>
      <c r="D265" s="34">
        <f>IF(LEN('Providers'!A264)=0,"",IF(ISNUMBER('Providers'!G264),'Providers'!G264,""))</f>
        <v/>
      </c>
      <c r="E265" s="34">
        <f>IF(LEN('Providers'!A264)=0,"",IF(ISNUMBER('Providers'!I264),'Providers'!I264,""))</f>
        <v/>
      </c>
      <c r="F265" s="34">
        <f>IF(LEN('Providers'!A264)=0,"",IF(ISNUMBER('Providers'!K264),'Providers'!K264,""))</f>
        <v/>
      </c>
      <c r="G265" s="34">
        <f>IF(LEN('Providers'!A264)=0,"",IF(ISNUMBER('Providers'!M264),'Providers'!M264,""))</f>
        <v/>
      </c>
      <c r="H265" s="34">
        <f>IF(LEN('Providers'!A264)=0,"",IF(ISNUMBER('Providers'!Q264),'Providers'!Q264,""))</f>
        <v/>
      </c>
      <c r="I265" s="34">
        <f>IF(LEN('Providers'!A264)=0,"",IF(ISNUMBER('Providers'!S264),'Providers'!S264,""))</f>
        <v/>
      </c>
      <c r="J265" s="34">
        <f>IF(LEN('Providers'!A264)=0,"",IF(ISNUMBER('Providers'!W264),'Providers'!W264,""))</f>
        <v/>
      </c>
      <c r="K265" s="34">
        <f>IF(LEN('Providers'!A264)=0,"",IF(ISNUMBER('Providers'!Y264),'Providers'!Y264,""))</f>
        <v/>
      </c>
      <c r="L265" s="34">
        <f>IF(LEN('Providers'!A264)=0,"",IF(ISNUMBER('Providers'!AA264),'Providers'!AA264,""))</f>
        <v/>
      </c>
      <c r="M265" s="34">
        <f>IF(LEN('Providers'!A264)=0,"",IF(ISNUMBER('Providers'!AD264),'Providers'!AD264,""))</f>
        <v/>
      </c>
      <c r="N265" s="35">
        <f>IF(LEN('Providers'!A264)=0,"",IF(LEN('Providers'!AG264)=0,"",'Providers'!AG264))</f>
        <v/>
      </c>
    </row>
    <row r="266">
      <c r="A266" s="32">
        <f>IF(LEN('Providers'!A265)=0,"",IF(LEN('Providers'!A265)=0,"",'Providers'!A265))</f>
        <v/>
      </c>
      <c r="B266" s="33">
        <f>IF(LEN('Providers'!A265)=0,"",IF(LEN('Providers'!B265)=0,"",'Providers'!B265))</f>
        <v/>
      </c>
      <c r="C266" s="33">
        <f>IF(LEN('Providers'!A265)=0,"",IF(LEN('Providers'!E265)=0,"",'Providers'!E265))</f>
        <v/>
      </c>
      <c r="D266" s="34">
        <f>IF(LEN('Providers'!A265)=0,"",IF(ISNUMBER('Providers'!G265),'Providers'!G265,""))</f>
        <v/>
      </c>
      <c r="E266" s="34">
        <f>IF(LEN('Providers'!A265)=0,"",IF(ISNUMBER('Providers'!I265),'Providers'!I265,""))</f>
        <v/>
      </c>
      <c r="F266" s="34">
        <f>IF(LEN('Providers'!A265)=0,"",IF(ISNUMBER('Providers'!K265),'Providers'!K265,""))</f>
        <v/>
      </c>
      <c r="G266" s="34">
        <f>IF(LEN('Providers'!A265)=0,"",IF(ISNUMBER('Providers'!M265),'Providers'!M265,""))</f>
        <v/>
      </c>
      <c r="H266" s="34">
        <f>IF(LEN('Providers'!A265)=0,"",IF(ISNUMBER('Providers'!Q265),'Providers'!Q265,""))</f>
        <v/>
      </c>
      <c r="I266" s="34">
        <f>IF(LEN('Providers'!A265)=0,"",IF(ISNUMBER('Providers'!S265),'Providers'!S265,""))</f>
        <v/>
      </c>
      <c r="J266" s="34">
        <f>IF(LEN('Providers'!A265)=0,"",IF(ISNUMBER('Providers'!W265),'Providers'!W265,""))</f>
        <v/>
      </c>
      <c r="K266" s="34">
        <f>IF(LEN('Providers'!A265)=0,"",IF(ISNUMBER('Providers'!Y265),'Providers'!Y265,""))</f>
        <v/>
      </c>
      <c r="L266" s="34">
        <f>IF(LEN('Providers'!A265)=0,"",IF(ISNUMBER('Providers'!AA265),'Providers'!AA265,""))</f>
        <v/>
      </c>
      <c r="M266" s="34">
        <f>IF(LEN('Providers'!A265)=0,"",IF(ISNUMBER('Providers'!AD265),'Providers'!AD265,""))</f>
        <v/>
      </c>
      <c r="N266" s="35">
        <f>IF(LEN('Providers'!A265)=0,"",IF(LEN('Providers'!AG265)=0,"",'Providers'!AG265))</f>
        <v/>
      </c>
    </row>
    <row r="267">
      <c r="A267" s="32">
        <f>IF(LEN('Providers'!A266)=0,"",IF(LEN('Providers'!A266)=0,"",'Providers'!A266))</f>
        <v/>
      </c>
      <c r="B267" s="33">
        <f>IF(LEN('Providers'!A266)=0,"",IF(LEN('Providers'!B266)=0,"",'Providers'!B266))</f>
        <v/>
      </c>
      <c r="C267" s="33">
        <f>IF(LEN('Providers'!A266)=0,"",IF(LEN('Providers'!E266)=0,"",'Providers'!E266))</f>
        <v/>
      </c>
      <c r="D267" s="34">
        <f>IF(LEN('Providers'!A266)=0,"",IF(ISNUMBER('Providers'!G266),'Providers'!G266,""))</f>
        <v/>
      </c>
      <c r="E267" s="34">
        <f>IF(LEN('Providers'!A266)=0,"",IF(ISNUMBER('Providers'!I266),'Providers'!I266,""))</f>
        <v/>
      </c>
      <c r="F267" s="34">
        <f>IF(LEN('Providers'!A266)=0,"",IF(ISNUMBER('Providers'!K266),'Providers'!K266,""))</f>
        <v/>
      </c>
      <c r="G267" s="34">
        <f>IF(LEN('Providers'!A266)=0,"",IF(ISNUMBER('Providers'!M266),'Providers'!M266,""))</f>
        <v/>
      </c>
      <c r="H267" s="34">
        <f>IF(LEN('Providers'!A266)=0,"",IF(ISNUMBER('Providers'!Q266),'Providers'!Q266,""))</f>
        <v/>
      </c>
      <c r="I267" s="34">
        <f>IF(LEN('Providers'!A266)=0,"",IF(ISNUMBER('Providers'!S266),'Providers'!S266,""))</f>
        <v/>
      </c>
      <c r="J267" s="34">
        <f>IF(LEN('Providers'!A266)=0,"",IF(ISNUMBER('Providers'!W266),'Providers'!W266,""))</f>
        <v/>
      </c>
      <c r="K267" s="34">
        <f>IF(LEN('Providers'!A266)=0,"",IF(ISNUMBER('Providers'!Y266),'Providers'!Y266,""))</f>
        <v/>
      </c>
      <c r="L267" s="34">
        <f>IF(LEN('Providers'!A266)=0,"",IF(ISNUMBER('Providers'!AA266),'Providers'!AA266,""))</f>
        <v/>
      </c>
      <c r="M267" s="34">
        <f>IF(LEN('Providers'!A266)=0,"",IF(ISNUMBER('Providers'!AD266),'Providers'!AD266,""))</f>
        <v/>
      </c>
      <c r="N267" s="35">
        <f>IF(LEN('Providers'!A266)=0,"",IF(LEN('Providers'!AG266)=0,"",'Providers'!AG266))</f>
        <v/>
      </c>
    </row>
    <row r="268">
      <c r="A268" s="32">
        <f>IF(LEN('Providers'!A267)=0,"",IF(LEN('Providers'!A267)=0,"",'Providers'!A267))</f>
        <v/>
      </c>
      <c r="B268" s="33">
        <f>IF(LEN('Providers'!A267)=0,"",IF(LEN('Providers'!B267)=0,"",'Providers'!B267))</f>
        <v/>
      </c>
      <c r="C268" s="33">
        <f>IF(LEN('Providers'!A267)=0,"",IF(LEN('Providers'!E267)=0,"",'Providers'!E267))</f>
        <v/>
      </c>
      <c r="D268" s="34">
        <f>IF(LEN('Providers'!A267)=0,"",IF(ISNUMBER('Providers'!G267),'Providers'!G267,""))</f>
        <v/>
      </c>
      <c r="E268" s="34">
        <f>IF(LEN('Providers'!A267)=0,"",IF(ISNUMBER('Providers'!I267),'Providers'!I267,""))</f>
        <v/>
      </c>
      <c r="F268" s="34">
        <f>IF(LEN('Providers'!A267)=0,"",IF(ISNUMBER('Providers'!K267),'Providers'!K267,""))</f>
        <v/>
      </c>
      <c r="G268" s="34">
        <f>IF(LEN('Providers'!A267)=0,"",IF(ISNUMBER('Providers'!M267),'Providers'!M267,""))</f>
        <v/>
      </c>
      <c r="H268" s="34">
        <f>IF(LEN('Providers'!A267)=0,"",IF(ISNUMBER('Providers'!Q267),'Providers'!Q267,""))</f>
        <v/>
      </c>
      <c r="I268" s="34">
        <f>IF(LEN('Providers'!A267)=0,"",IF(ISNUMBER('Providers'!S267),'Providers'!S267,""))</f>
        <v/>
      </c>
      <c r="J268" s="34">
        <f>IF(LEN('Providers'!A267)=0,"",IF(ISNUMBER('Providers'!W267),'Providers'!W267,""))</f>
        <v/>
      </c>
      <c r="K268" s="34">
        <f>IF(LEN('Providers'!A267)=0,"",IF(ISNUMBER('Providers'!Y267),'Providers'!Y267,""))</f>
        <v/>
      </c>
      <c r="L268" s="34">
        <f>IF(LEN('Providers'!A267)=0,"",IF(ISNUMBER('Providers'!AA267),'Providers'!AA267,""))</f>
        <v/>
      </c>
      <c r="M268" s="34">
        <f>IF(LEN('Providers'!A267)=0,"",IF(ISNUMBER('Providers'!AD267),'Providers'!AD267,""))</f>
        <v/>
      </c>
      <c r="N268" s="35">
        <f>IF(LEN('Providers'!A267)=0,"",IF(LEN('Providers'!AG267)=0,"",'Providers'!AG267))</f>
        <v/>
      </c>
    </row>
    <row r="269">
      <c r="A269" s="32">
        <f>IF(LEN('Providers'!A268)=0,"",IF(LEN('Providers'!A268)=0,"",'Providers'!A268))</f>
        <v/>
      </c>
      <c r="B269" s="33">
        <f>IF(LEN('Providers'!A268)=0,"",IF(LEN('Providers'!B268)=0,"",'Providers'!B268))</f>
        <v/>
      </c>
      <c r="C269" s="33">
        <f>IF(LEN('Providers'!A268)=0,"",IF(LEN('Providers'!E268)=0,"",'Providers'!E268))</f>
        <v/>
      </c>
      <c r="D269" s="34">
        <f>IF(LEN('Providers'!A268)=0,"",IF(ISNUMBER('Providers'!G268),'Providers'!G268,""))</f>
        <v/>
      </c>
      <c r="E269" s="34">
        <f>IF(LEN('Providers'!A268)=0,"",IF(ISNUMBER('Providers'!I268),'Providers'!I268,""))</f>
        <v/>
      </c>
      <c r="F269" s="34">
        <f>IF(LEN('Providers'!A268)=0,"",IF(ISNUMBER('Providers'!K268),'Providers'!K268,""))</f>
        <v/>
      </c>
      <c r="G269" s="34">
        <f>IF(LEN('Providers'!A268)=0,"",IF(ISNUMBER('Providers'!M268),'Providers'!M268,""))</f>
        <v/>
      </c>
      <c r="H269" s="34">
        <f>IF(LEN('Providers'!A268)=0,"",IF(ISNUMBER('Providers'!Q268),'Providers'!Q268,""))</f>
        <v/>
      </c>
      <c r="I269" s="34">
        <f>IF(LEN('Providers'!A268)=0,"",IF(ISNUMBER('Providers'!S268),'Providers'!S268,""))</f>
        <v/>
      </c>
      <c r="J269" s="34">
        <f>IF(LEN('Providers'!A268)=0,"",IF(ISNUMBER('Providers'!W268),'Providers'!W268,""))</f>
        <v/>
      </c>
      <c r="K269" s="34">
        <f>IF(LEN('Providers'!A268)=0,"",IF(ISNUMBER('Providers'!Y268),'Providers'!Y268,""))</f>
        <v/>
      </c>
      <c r="L269" s="34">
        <f>IF(LEN('Providers'!A268)=0,"",IF(ISNUMBER('Providers'!AA268),'Providers'!AA268,""))</f>
        <v/>
      </c>
      <c r="M269" s="34">
        <f>IF(LEN('Providers'!A268)=0,"",IF(ISNUMBER('Providers'!AD268),'Providers'!AD268,""))</f>
        <v/>
      </c>
      <c r="N269" s="35">
        <f>IF(LEN('Providers'!A268)=0,"",IF(LEN('Providers'!AG268)=0,"",'Providers'!AG268))</f>
        <v/>
      </c>
    </row>
    <row r="270">
      <c r="A270" s="32">
        <f>IF(LEN('Providers'!A269)=0,"",IF(LEN('Providers'!A269)=0,"",'Providers'!A269))</f>
        <v/>
      </c>
      <c r="B270" s="33">
        <f>IF(LEN('Providers'!A269)=0,"",IF(LEN('Providers'!B269)=0,"",'Providers'!B269))</f>
        <v/>
      </c>
      <c r="C270" s="33">
        <f>IF(LEN('Providers'!A269)=0,"",IF(LEN('Providers'!E269)=0,"",'Providers'!E269))</f>
        <v/>
      </c>
      <c r="D270" s="34">
        <f>IF(LEN('Providers'!A269)=0,"",IF(ISNUMBER('Providers'!G269),'Providers'!G269,""))</f>
        <v/>
      </c>
      <c r="E270" s="34">
        <f>IF(LEN('Providers'!A269)=0,"",IF(ISNUMBER('Providers'!I269),'Providers'!I269,""))</f>
        <v/>
      </c>
      <c r="F270" s="34">
        <f>IF(LEN('Providers'!A269)=0,"",IF(ISNUMBER('Providers'!K269),'Providers'!K269,""))</f>
        <v/>
      </c>
      <c r="G270" s="34">
        <f>IF(LEN('Providers'!A269)=0,"",IF(ISNUMBER('Providers'!M269),'Providers'!M269,""))</f>
        <v/>
      </c>
      <c r="H270" s="34">
        <f>IF(LEN('Providers'!A269)=0,"",IF(ISNUMBER('Providers'!Q269),'Providers'!Q269,""))</f>
        <v/>
      </c>
      <c r="I270" s="34">
        <f>IF(LEN('Providers'!A269)=0,"",IF(ISNUMBER('Providers'!S269),'Providers'!S269,""))</f>
        <v/>
      </c>
      <c r="J270" s="34">
        <f>IF(LEN('Providers'!A269)=0,"",IF(ISNUMBER('Providers'!W269),'Providers'!W269,""))</f>
        <v/>
      </c>
      <c r="K270" s="34">
        <f>IF(LEN('Providers'!A269)=0,"",IF(ISNUMBER('Providers'!Y269),'Providers'!Y269,""))</f>
        <v/>
      </c>
      <c r="L270" s="34">
        <f>IF(LEN('Providers'!A269)=0,"",IF(ISNUMBER('Providers'!AA269),'Providers'!AA269,""))</f>
        <v/>
      </c>
      <c r="M270" s="34">
        <f>IF(LEN('Providers'!A269)=0,"",IF(ISNUMBER('Providers'!AD269),'Providers'!AD269,""))</f>
        <v/>
      </c>
      <c r="N270" s="35">
        <f>IF(LEN('Providers'!A269)=0,"",IF(LEN('Providers'!AG269)=0,"",'Providers'!AG269))</f>
        <v/>
      </c>
    </row>
    <row r="271">
      <c r="A271" s="32">
        <f>IF(LEN('Providers'!A270)=0,"",IF(LEN('Providers'!A270)=0,"",'Providers'!A270))</f>
        <v/>
      </c>
      <c r="B271" s="33">
        <f>IF(LEN('Providers'!A270)=0,"",IF(LEN('Providers'!B270)=0,"",'Providers'!B270))</f>
        <v/>
      </c>
      <c r="C271" s="33">
        <f>IF(LEN('Providers'!A270)=0,"",IF(LEN('Providers'!E270)=0,"",'Providers'!E270))</f>
        <v/>
      </c>
      <c r="D271" s="34">
        <f>IF(LEN('Providers'!A270)=0,"",IF(ISNUMBER('Providers'!G270),'Providers'!G270,""))</f>
        <v/>
      </c>
      <c r="E271" s="34">
        <f>IF(LEN('Providers'!A270)=0,"",IF(ISNUMBER('Providers'!I270),'Providers'!I270,""))</f>
        <v/>
      </c>
      <c r="F271" s="34">
        <f>IF(LEN('Providers'!A270)=0,"",IF(ISNUMBER('Providers'!K270),'Providers'!K270,""))</f>
        <v/>
      </c>
      <c r="G271" s="34">
        <f>IF(LEN('Providers'!A270)=0,"",IF(ISNUMBER('Providers'!M270),'Providers'!M270,""))</f>
        <v/>
      </c>
      <c r="H271" s="34">
        <f>IF(LEN('Providers'!A270)=0,"",IF(ISNUMBER('Providers'!Q270),'Providers'!Q270,""))</f>
        <v/>
      </c>
      <c r="I271" s="34">
        <f>IF(LEN('Providers'!A270)=0,"",IF(ISNUMBER('Providers'!S270),'Providers'!S270,""))</f>
        <v/>
      </c>
      <c r="J271" s="34">
        <f>IF(LEN('Providers'!A270)=0,"",IF(ISNUMBER('Providers'!W270),'Providers'!W270,""))</f>
        <v/>
      </c>
      <c r="K271" s="34">
        <f>IF(LEN('Providers'!A270)=0,"",IF(ISNUMBER('Providers'!Y270),'Providers'!Y270,""))</f>
        <v/>
      </c>
      <c r="L271" s="34">
        <f>IF(LEN('Providers'!A270)=0,"",IF(ISNUMBER('Providers'!AA270),'Providers'!AA270,""))</f>
        <v/>
      </c>
      <c r="M271" s="34">
        <f>IF(LEN('Providers'!A270)=0,"",IF(ISNUMBER('Providers'!AD270),'Providers'!AD270,""))</f>
        <v/>
      </c>
      <c r="N271" s="35">
        <f>IF(LEN('Providers'!A270)=0,"",IF(LEN('Providers'!AG270)=0,"",'Providers'!AG270))</f>
        <v/>
      </c>
    </row>
    <row r="272">
      <c r="A272" s="32">
        <f>IF(LEN('Providers'!A271)=0,"",IF(LEN('Providers'!A271)=0,"",'Providers'!A271))</f>
        <v/>
      </c>
      <c r="B272" s="33">
        <f>IF(LEN('Providers'!A271)=0,"",IF(LEN('Providers'!B271)=0,"",'Providers'!B271))</f>
        <v/>
      </c>
      <c r="C272" s="33">
        <f>IF(LEN('Providers'!A271)=0,"",IF(LEN('Providers'!E271)=0,"",'Providers'!E271))</f>
        <v/>
      </c>
      <c r="D272" s="34">
        <f>IF(LEN('Providers'!A271)=0,"",IF(ISNUMBER('Providers'!G271),'Providers'!G271,""))</f>
        <v/>
      </c>
      <c r="E272" s="34">
        <f>IF(LEN('Providers'!A271)=0,"",IF(ISNUMBER('Providers'!I271),'Providers'!I271,""))</f>
        <v/>
      </c>
      <c r="F272" s="34">
        <f>IF(LEN('Providers'!A271)=0,"",IF(ISNUMBER('Providers'!K271),'Providers'!K271,""))</f>
        <v/>
      </c>
      <c r="G272" s="34">
        <f>IF(LEN('Providers'!A271)=0,"",IF(ISNUMBER('Providers'!M271),'Providers'!M271,""))</f>
        <v/>
      </c>
      <c r="H272" s="34">
        <f>IF(LEN('Providers'!A271)=0,"",IF(ISNUMBER('Providers'!Q271),'Providers'!Q271,""))</f>
        <v/>
      </c>
      <c r="I272" s="34">
        <f>IF(LEN('Providers'!A271)=0,"",IF(ISNUMBER('Providers'!S271),'Providers'!S271,""))</f>
        <v/>
      </c>
      <c r="J272" s="34">
        <f>IF(LEN('Providers'!A271)=0,"",IF(ISNUMBER('Providers'!W271),'Providers'!W271,""))</f>
        <v/>
      </c>
      <c r="K272" s="34">
        <f>IF(LEN('Providers'!A271)=0,"",IF(ISNUMBER('Providers'!Y271),'Providers'!Y271,""))</f>
        <v/>
      </c>
      <c r="L272" s="34">
        <f>IF(LEN('Providers'!A271)=0,"",IF(ISNUMBER('Providers'!AA271),'Providers'!AA271,""))</f>
        <v/>
      </c>
      <c r="M272" s="34">
        <f>IF(LEN('Providers'!A271)=0,"",IF(ISNUMBER('Providers'!AD271),'Providers'!AD271,""))</f>
        <v/>
      </c>
      <c r="N272" s="35">
        <f>IF(LEN('Providers'!A271)=0,"",IF(LEN('Providers'!AG271)=0,"",'Providers'!AG271))</f>
        <v/>
      </c>
    </row>
    <row r="273">
      <c r="A273" s="32">
        <f>IF(LEN('Providers'!A272)=0,"",IF(LEN('Providers'!A272)=0,"",'Providers'!A272))</f>
        <v/>
      </c>
      <c r="B273" s="33">
        <f>IF(LEN('Providers'!A272)=0,"",IF(LEN('Providers'!B272)=0,"",'Providers'!B272))</f>
        <v/>
      </c>
      <c r="C273" s="33">
        <f>IF(LEN('Providers'!A272)=0,"",IF(LEN('Providers'!E272)=0,"",'Providers'!E272))</f>
        <v/>
      </c>
      <c r="D273" s="34">
        <f>IF(LEN('Providers'!A272)=0,"",IF(ISNUMBER('Providers'!G272),'Providers'!G272,""))</f>
        <v/>
      </c>
      <c r="E273" s="34">
        <f>IF(LEN('Providers'!A272)=0,"",IF(ISNUMBER('Providers'!I272),'Providers'!I272,""))</f>
        <v/>
      </c>
      <c r="F273" s="34">
        <f>IF(LEN('Providers'!A272)=0,"",IF(ISNUMBER('Providers'!K272),'Providers'!K272,""))</f>
        <v/>
      </c>
      <c r="G273" s="34">
        <f>IF(LEN('Providers'!A272)=0,"",IF(ISNUMBER('Providers'!M272),'Providers'!M272,""))</f>
        <v/>
      </c>
      <c r="H273" s="34">
        <f>IF(LEN('Providers'!A272)=0,"",IF(ISNUMBER('Providers'!Q272),'Providers'!Q272,""))</f>
        <v/>
      </c>
      <c r="I273" s="34">
        <f>IF(LEN('Providers'!A272)=0,"",IF(ISNUMBER('Providers'!S272),'Providers'!S272,""))</f>
        <v/>
      </c>
      <c r="J273" s="34">
        <f>IF(LEN('Providers'!A272)=0,"",IF(ISNUMBER('Providers'!W272),'Providers'!W272,""))</f>
        <v/>
      </c>
      <c r="K273" s="34">
        <f>IF(LEN('Providers'!A272)=0,"",IF(ISNUMBER('Providers'!Y272),'Providers'!Y272,""))</f>
        <v/>
      </c>
      <c r="L273" s="34">
        <f>IF(LEN('Providers'!A272)=0,"",IF(ISNUMBER('Providers'!AA272),'Providers'!AA272,""))</f>
        <v/>
      </c>
      <c r="M273" s="34">
        <f>IF(LEN('Providers'!A272)=0,"",IF(ISNUMBER('Providers'!AD272),'Providers'!AD272,""))</f>
        <v/>
      </c>
      <c r="N273" s="35">
        <f>IF(LEN('Providers'!A272)=0,"",IF(LEN('Providers'!AG272)=0,"",'Providers'!AG272))</f>
        <v/>
      </c>
    </row>
    <row r="274">
      <c r="A274" s="32">
        <f>IF(LEN('Providers'!A273)=0,"",IF(LEN('Providers'!A273)=0,"",'Providers'!A273))</f>
        <v/>
      </c>
      <c r="B274" s="33">
        <f>IF(LEN('Providers'!A273)=0,"",IF(LEN('Providers'!B273)=0,"",'Providers'!B273))</f>
        <v/>
      </c>
      <c r="C274" s="33">
        <f>IF(LEN('Providers'!A273)=0,"",IF(LEN('Providers'!E273)=0,"",'Providers'!E273))</f>
        <v/>
      </c>
      <c r="D274" s="34">
        <f>IF(LEN('Providers'!A273)=0,"",IF(ISNUMBER('Providers'!G273),'Providers'!G273,""))</f>
        <v/>
      </c>
      <c r="E274" s="34">
        <f>IF(LEN('Providers'!A273)=0,"",IF(ISNUMBER('Providers'!I273),'Providers'!I273,""))</f>
        <v/>
      </c>
      <c r="F274" s="34">
        <f>IF(LEN('Providers'!A273)=0,"",IF(ISNUMBER('Providers'!K273),'Providers'!K273,""))</f>
        <v/>
      </c>
      <c r="G274" s="34">
        <f>IF(LEN('Providers'!A273)=0,"",IF(ISNUMBER('Providers'!M273),'Providers'!M273,""))</f>
        <v/>
      </c>
      <c r="H274" s="34">
        <f>IF(LEN('Providers'!A273)=0,"",IF(ISNUMBER('Providers'!Q273),'Providers'!Q273,""))</f>
        <v/>
      </c>
      <c r="I274" s="34">
        <f>IF(LEN('Providers'!A273)=0,"",IF(ISNUMBER('Providers'!S273),'Providers'!S273,""))</f>
        <v/>
      </c>
      <c r="J274" s="34">
        <f>IF(LEN('Providers'!A273)=0,"",IF(ISNUMBER('Providers'!W273),'Providers'!W273,""))</f>
        <v/>
      </c>
      <c r="K274" s="34">
        <f>IF(LEN('Providers'!A273)=0,"",IF(ISNUMBER('Providers'!Y273),'Providers'!Y273,""))</f>
        <v/>
      </c>
      <c r="L274" s="34">
        <f>IF(LEN('Providers'!A273)=0,"",IF(ISNUMBER('Providers'!AA273),'Providers'!AA273,""))</f>
        <v/>
      </c>
      <c r="M274" s="34">
        <f>IF(LEN('Providers'!A273)=0,"",IF(ISNUMBER('Providers'!AD273),'Providers'!AD273,""))</f>
        <v/>
      </c>
      <c r="N274" s="35">
        <f>IF(LEN('Providers'!A273)=0,"",IF(LEN('Providers'!AG273)=0,"",'Providers'!AG273))</f>
        <v/>
      </c>
    </row>
    <row r="275">
      <c r="A275" s="32">
        <f>IF(LEN('Providers'!A274)=0,"",IF(LEN('Providers'!A274)=0,"",'Providers'!A274))</f>
        <v/>
      </c>
      <c r="B275" s="33">
        <f>IF(LEN('Providers'!A274)=0,"",IF(LEN('Providers'!B274)=0,"",'Providers'!B274))</f>
        <v/>
      </c>
      <c r="C275" s="33">
        <f>IF(LEN('Providers'!A274)=0,"",IF(LEN('Providers'!E274)=0,"",'Providers'!E274))</f>
        <v/>
      </c>
      <c r="D275" s="34">
        <f>IF(LEN('Providers'!A274)=0,"",IF(ISNUMBER('Providers'!G274),'Providers'!G274,""))</f>
        <v/>
      </c>
      <c r="E275" s="34">
        <f>IF(LEN('Providers'!A274)=0,"",IF(ISNUMBER('Providers'!I274),'Providers'!I274,""))</f>
        <v/>
      </c>
      <c r="F275" s="34">
        <f>IF(LEN('Providers'!A274)=0,"",IF(ISNUMBER('Providers'!K274),'Providers'!K274,""))</f>
        <v/>
      </c>
      <c r="G275" s="34">
        <f>IF(LEN('Providers'!A274)=0,"",IF(ISNUMBER('Providers'!M274),'Providers'!M274,""))</f>
        <v/>
      </c>
      <c r="H275" s="34">
        <f>IF(LEN('Providers'!A274)=0,"",IF(ISNUMBER('Providers'!Q274),'Providers'!Q274,""))</f>
        <v/>
      </c>
      <c r="I275" s="34">
        <f>IF(LEN('Providers'!A274)=0,"",IF(ISNUMBER('Providers'!S274),'Providers'!S274,""))</f>
        <v/>
      </c>
      <c r="J275" s="34">
        <f>IF(LEN('Providers'!A274)=0,"",IF(ISNUMBER('Providers'!W274),'Providers'!W274,""))</f>
        <v/>
      </c>
      <c r="K275" s="34">
        <f>IF(LEN('Providers'!A274)=0,"",IF(ISNUMBER('Providers'!Y274),'Providers'!Y274,""))</f>
        <v/>
      </c>
      <c r="L275" s="34">
        <f>IF(LEN('Providers'!A274)=0,"",IF(ISNUMBER('Providers'!AA274),'Providers'!AA274,""))</f>
        <v/>
      </c>
      <c r="M275" s="34">
        <f>IF(LEN('Providers'!A274)=0,"",IF(ISNUMBER('Providers'!AD274),'Providers'!AD274,""))</f>
        <v/>
      </c>
      <c r="N275" s="35">
        <f>IF(LEN('Providers'!A274)=0,"",IF(LEN('Providers'!AG274)=0,"",'Providers'!AG274))</f>
        <v/>
      </c>
    </row>
    <row r="276">
      <c r="A276" s="32">
        <f>IF(LEN('Providers'!A275)=0,"",IF(LEN('Providers'!A275)=0,"",'Providers'!A275))</f>
        <v/>
      </c>
      <c r="B276" s="33">
        <f>IF(LEN('Providers'!A275)=0,"",IF(LEN('Providers'!B275)=0,"",'Providers'!B275))</f>
        <v/>
      </c>
      <c r="C276" s="33">
        <f>IF(LEN('Providers'!A275)=0,"",IF(LEN('Providers'!E275)=0,"",'Providers'!E275))</f>
        <v/>
      </c>
      <c r="D276" s="34">
        <f>IF(LEN('Providers'!A275)=0,"",IF(ISNUMBER('Providers'!G275),'Providers'!G275,""))</f>
        <v/>
      </c>
      <c r="E276" s="34">
        <f>IF(LEN('Providers'!A275)=0,"",IF(ISNUMBER('Providers'!I275),'Providers'!I275,""))</f>
        <v/>
      </c>
      <c r="F276" s="34">
        <f>IF(LEN('Providers'!A275)=0,"",IF(ISNUMBER('Providers'!K275),'Providers'!K275,""))</f>
        <v/>
      </c>
      <c r="G276" s="34">
        <f>IF(LEN('Providers'!A275)=0,"",IF(ISNUMBER('Providers'!M275),'Providers'!M275,""))</f>
        <v/>
      </c>
      <c r="H276" s="34">
        <f>IF(LEN('Providers'!A275)=0,"",IF(ISNUMBER('Providers'!Q275),'Providers'!Q275,""))</f>
        <v/>
      </c>
      <c r="I276" s="34">
        <f>IF(LEN('Providers'!A275)=0,"",IF(ISNUMBER('Providers'!S275),'Providers'!S275,""))</f>
        <v/>
      </c>
      <c r="J276" s="34">
        <f>IF(LEN('Providers'!A275)=0,"",IF(ISNUMBER('Providers'!W275),'Providers'!W275,""))</f>
        <v/>
      </c>
      <c r="K276" s="34">
        <f>IF(LEN('Providers'!A275)=0,"",IF(ISNUMBER('Providers'!Y275),'Providers'!Y275,""))</f>
        <v/>
      </c>
      <c r="L276" s="34">
        <f>IF(LEN('Providers'!A275)=0,"",IF(ISNUMBER('Providers'!AA275),'Providers'!AA275,""))</f>
        <v/>
      </c>
      <c r="M276" s="34">
        <f>IF(LEN('Providers'!A275)=0,"",IF(ISNUMBER('Providers'!AD275),'Providers'!AD275,""))</f>
        <v/>
      </c>
      <c r="N276" s="35">
        <f>IF(LEN('Providers'!A275)=0,"",IF(LEN('Providers'!AG275)=0,"",'Providers'!AG275))</f>
        <v/>
      </c>
    </row>
    <row r="277">
      <c r="A277" s="32">
        <f>IF(LEN('Providers'!A276)=0,"",IF(LEN('Providers'!A276)=0,"",'Providers'!A276))</f>
        <v/>
      </c>
      <c r="B277" s="33">
        <f>IF(LEN('Providers'!A276)=0,"",IF(LEN('Providers'!B276)=0,"",'Providers'!B276))</f>
        <v/>
      </c>
      <c r="C277" s="33">
        <f>IF(LEN('Providers'!A276)=0,"",IF(LEN('Providers'!E276)=0,"",'Providers'!E276))</f>
        <v/>
      </c>
      <c r="D277" s="34">
        <f>IF(LEN('Providers'!A276)=0,"",IF(ISNUMBER('Providers'!G276),'Providers'!G276,""))</f>
        <v/>
      </c>
      <c r="E277" s="34">
        <f>IF(LEN('Providers'!A276)=0,"",IF(ISNUMBER('Providers'!I276),'Providers'!I276,""))</f>
        <v/>
      </c>
      <c r="F277" s="34">
        <f>IF(LEN('Providers'!A276)=0,"",IF(ISNUMBER('Providers'!K276),'Providers'!K276,""))</f>
        <v/>
      </c>
      <c r="G277" s="34">
        <f>IF(LEN('Providers'!A276)=0,"",IF(ISNUMBER('Providers'!M276),'Providers'!M276,""))</f>
        <v/>
      </c>
      <c r="H277" s="34">
        <f>IF(LEN('Providers'!A276)=0,"",IF(ISNUMBER('Providers'!Q276),'Providers'!Q276,""))</f>
        <v/>
      </c>
      <c r="I277" s="34">
        <f>IF(LEN('Providers'!A276)=0,"",IF(ISNUMBER('Providers'!S276),'Providers'!S276,""))</f>
        <v/>
      </c>
      <c r="J277" s="34">
        <f>IF(LEN('Providers'!A276)=0,"",IF(ISNUMBER('Providers'!W276),'Providers'!W276,""))</f>
        <v/>
      </c>
      <c r="K277" s="34">
        <f>IF(LEN('Providers'!A276)=0,"",IF(ISNUMBER('Providers'!Y276),'Providers'!Y276,""))</f>
        <v/>
      </c>
      <c r="L277" s="34">
        <f>IF(LEN('Providers'!A276)=0,"",IF(ISNUMBER('Providers'!AA276),'Providers'!AA276,""))</f>
        <v/>
      </c>
      <c r="M277" s="34">
        <f>IF(LEN('Providers'!A276)=0,"",IF(ISNUMBER('Providers'!AD276),'Providers'!AD276,""))</f>
        <v/>
      </c>
      <c r="N277" s="35">
        <f>IF(LEN('Providers'!A276)=0,"",IF(LEN('Providers'!AG276)=0,"",'Providers'!AG276))</f>
        <v/>
      </c>
    </row>
    <row r="278">
      <c r="A278" s="32">
        <f>IF(LEN('Providers'!A277)=0,"",IF(LEN('Providers'!A277)=0,"",'Providers'!A277))</f>
        <v/>
      </c>
      <c r="B278" s="33">
        <f>IF(LEN('Providers'!A277)=0,"",IF(LEN('Providers'!B277)=0,"",'Providers'!B277))</f>
        <v/>
      </c>
      <c r="C278" s="33">
        <f>IF(LEN('Providers'!A277)=0,"",IF(LEN('Providers'!E277)=0,"",'Providers'!E277))</f>
        <v/>
      </c>
      <c r="D278" s="34">
        <f>IF(LEN('Providers'!A277)=0,"",IF(ISNUMBER('Providers'!G277),'Providers'!G277,""))</f>
        <v/>
      </c>
      <c r="E278" s="34">
        <f>IF(LEN('Providers'!A277)=0,"",IF(ISNUMBER('Providers'!I277),'Providers'!I277,""))</f>
        <v/>
      </c>
      <c r="F278" s="34">
        <f>IF(LEN('Providers'!A277)=0,"",IF(ISNUMBER('Providers'!K277),'Providers'!K277,""))</f>
        <v/>
      </c>
      <c r="G278" s="34">
        <f>IF(LEN('Providers'!A277)=0,"",IF(ISNUMBER('Providers'!M277),'Providers'!M277,""))</f>
        <v/>
      </c>
      <c r="H278" s="34">
        <f>IF(LEN('Providers'!A277)=0,"",IF(ISNUMBER('Providers'!Q277),'Providers'!Q277,""))</f>
        <v/>
      </c>
      <c r="I278" s="34">
        <f>IF(LEN('Providers'!A277)=0,"",IF(ISNUMBER('Providers'!S277),'Providers'!S277,""))</f>
        <v/>
      </c>
      <c r="J278" s="34">
        <f>IF(LEN('Providers'!A277)=0,"",IF(ISNUMBER('Providers'!W277),'Providers'!W277,""))</f>
        <v/>
      </c>
      <c r="K278" s="34">
        <f>IF(LEN('Providers'!A277)=0,"",IF(ISNUMBER('Providers'!Y277),'Providers'!Y277,""))</f>
        <v/>
      </c>
      <c r="L278" s="34">
        <f>IF(LEN('Providers'!A277)=0,"",IF(ISNUMBER('Providers'!AA277),'Providers'!AA277,""))</f>
        <v/>
      </c>
      <c r="M278" s="34">
        <f>IF(LEN('Providers'!A277)=0,"",IF(ISNUMBER('Providers'!AD277),'Providers'!AD277,""))</f>
        <v/>
      </c>
      <c r="N278" s="35">
        <f>IF(LEN('Providers'!A277)=0,"",IF(LEN('Providers'!AG277)=0,"",'Providers'!AG277))</f>
        <v/>
      </c>
    </row>
    <row r="279">
      <c r="A279" s="32">
        <f>IF(LEN('Providers'!A278)=0,"",IF(LEN('Providers'!A278)=0,"",'Providers'!A278))</f>
        <v/>
      </c>
      <c r="B279" s="33">
        <f>IF(LEN('Providers'!A278)=0,"",IF(LEN('Providers'!B278)=0,"",'Providers'!B278))</f>
        <v/>
      </c>
      <c r="C279" s="33">
        <f>IF(LEN('Providers'!A278)=0,"",IF(LEN('Providers'!E278)=0,"",'Providers'!E278))</f>
        <v/>
      </c>
      <c r="D279" s="34">
        <f>IF(LEN('Providers'!A278)=0,"",IF(ISNUMBER('Providers'!G278),'Providers'!G278,""))</f>
        <v/>
      </c>
      <c r="E279" s="34">
        <f>IF(LEN('Providers'!A278)=0,"",IF(ISNUMBER('Providers'!I278),'Providers'!I278,""))</f>
        <v/>
      </c>
      <c r="F279" s="34">
        <f>IF(LEN('Providers'!A278)=0,"",IF(ISNUMBER('Providers'!K278),'Providers'!K278,""))</f>
        <v/>
      </c>
      <c r="G279" s="34">
        <f>IF(LEN('Providers'!A278)=0,"",IF(ISNUMBER('Providers'!M278),'Providers'!M278,""))</f>
        <v/>
      </c>
      <c r="H279" s="34">
        <f>IF(LEN('Providers'!A278)=0,"",IF(ISNUMBER('Providers'!Q278),'Providers'!Q278,""))</f>
        <v/>
      </c>
      <c r="I279" s="34">
        <f>IF(LEN('Providers'!A278)=0,"",IF(ISNUMBER('Providers'!S278),'Providers'!S278,""))</f>
        <v/>
      </c>
      <c r="J279" s="34">
        <f>IF(LEN('Providers'!A278)=0,"",IF(ISNUMBER('Providers'!W278),'Providers'!W278,""))</f>
        <v/>
      </c>
      <c r="K279" s="34">
        <f>IF(LEN('Providers'!A278)=0,"",IF(ISNUMBER('Providers'!Y278),'Providers'!Y278,""))</f>
        <v/>
      </c>
      <c r="L279" s="34">
        <f>IF(LEN('Providers'!A278)=0,"",IF(ISNUMBER('Providers'!AA278),'Providers'!AA278,""))</f>
        <v/>
      </c>
      <c r="M279" s="34">
        <f>IF(LEN('Providers'!A278)=0,"",IF(ISNUMBER('Providers'!AD278),'Providers'!AD278,""))</f>
        <v/>
      </c>
      <c r="N279" s="35">
        <f>IF(LEN('Providers'!A278)=0,"",IF(LEN('Providers'!AG278)=0,"",'Providers'!AG278))</f>
        <v/>
      </c>
    </row>
    <row r="280">
      <c r="A280" s="32">
        <f>IF(LEN('Providers'!A279)=0,"",IF(LEN('Providers'!A279)=0,"",'Providers'!A279))</f>
        <v/>
      </c>
      <c r="B280" s="33">
        <f>IF(LEN('Providers'!A279)=0,"",IF(LEN('Providers'!B279)=0,"",'Providers'!B279))</f>
        <v/>
      </c>
      <c r="C280" s="33">
        <f>IF(LEN('Providers'!A279)=0,"",IF(LEN('Providers'!E279)=0,"",'Providers'!E279))</f>
        <v/>
      </c>
      <c r="D280" s="34">
        <f>IF(LEN('Providers'!A279)=0,"",IF(ISNUMBER('Providers'!G279),'Providers'!G279,""))</f>
        <v/>
      </c>
      <c r="E280" s="34">
        <f>IF(LEN('Providers'!A279)=0,"",IF(ISNUMBER('Providers'!I279),'Providers'!I279,""))</f>
        <v/>
      </c>
      <c r="F280" s="34">
        <f>IF(LEN('Providers'!A279)=0,"",IF(ISNUMBER('Providers'!K279),'Providers'!K279,""))</f>
        <v/>
      </c>
      <c r="G280" s="34">
        <f>IF(LEN('Providers'!A279)=0,"",IF(ISNUMBER('Providers'!M279),'Providers'!M279,""))</f>
        <v/>
      </c>
      <c r="H280" s="34">
        <f>IF(LEN('Providers'!A279)=0,"",IF(ISNUMBER('Providers'!Q279),'Providers'!Q279,""))</f>
        <v/>
      </c>
      <c r="I280" s="34">
        <f>IF(LEN('Providers'!A279)=0,"",IF(ISNUMBER('Providers'!S279),'Providers'!S279,""))</f>
        <v/>
      </c>
      <c r="J280" s="34">
        <f>IF(LEN('Providers'!A279)=0,"",IF(ISNUMBER('Providers'!W279),'Providers'!W279,""))</f>
        <v/>
      </c>
      <c r="K280" s="34">
        <f>IF(LEN('Providers'!A279)=0,"",IF(ISNUMBER('Providers'!Y279),'Providers'!Y279,""))</f>
        <v/>
      </c>
      <c r="L280" s="34">
        <f>IF(LEN('Providers'!A279)=0,"",IF(ISNUMBER('Providers'!AA279),'Providers'!AA279,""))</f>
        <v/>
      </c>
      <c r="M280" s="34">
        <f>IF(LEN('Providers'!A279)=0,"",IF(ISNUMBER('Providers'!AD279),'Providers'!AD279,""))</f>
        <v/>
      </c>
      <c r="N280" s="35">
        <f>IF(LEN('Providers'!A279)=0,"",IF(LEN('Providers'!AG279)=0,"",'Providers'!AG279))</f>
        <v/>
      </c>
    </row>
    <row r="281">
      <c r="A281" s="32">
        <f>IF(LEN('Providers'!A280)=0,"",IF(LEN('Providers'!A280)=0,"",'Providers'!A280))</f>
        <v/>
      </c>
      <c r="B281" s="33">
        <f>IF(LEN('Providers'!A280)=0,"",IF(LEN('Providers'!B280)=0,"",'Providers'!B280))</f>
        <v/>
      </c>
      <c r="C281" s="33">
        <f>IF(LEN('Providers'!A280)=0,"",IF(LEN('Providers'!E280)=0,"",'Providers'!E280))</f>
        <v/>
      </c>
      <c r="D281" s="34">
        <f>IF(LEN('Providers'!A280)=0,"",IF(ISNUMBER('Providers'!G280),'Providers'!G280,""))</f>
        <v/>
      </c>
      <c r="E281" s="34">
        <f>IF(LEN('Providers'!A280)=0,"",IF(ISNUMBER('Providers'!I280),'Providers'!I280,""))</f>
        <v/>
      </c>
      <c r="F281" s="34">
        <f>IF(LEN('Providers'!A280)=0,"",IF(ISNUMBER('Providers'!K280),'Providers'!K280,""))</f>
        <v/>
      </c>
      <c r="G281" s="34">
        <f>IF(LEN('Providers'!A280)=0,"",IF(ISNUMBER('Providers'!M280),'Providers'!M280,""))</f>
        <v/>
      </c>
      <c r="H281" s="34">
        <f>IF(LEN('Providers'!A280)=0,"",IF(ISNUMBER('Providers'!Q280),'Providers'!Q280,""))</f>
        <v/>
      </c>
      <c r="I281" s="34">
        <f>IF(LEN('Providers'!A280)=0,"",IF(ISNUMBER('Providers'!S280),'Providers'!S280,""))</f>
        <v/>
      </c>
      <c r="J281" s="34">
        <f>IF(LEN('Providers'!A280)=0,"",IF(ISNUMBER('Providers'!W280),'Providers'!W280,""))</f>
        <v/>
      </c>
      <c r="K281" s="34">
        <f>IF(LEN('Providers'!A280)=0,"",IF(ISNUMBER('Providers'!Y280),'Providers'!Y280,""))</f>
        <v/>
      </c>
      <c r="L281" s="34">
        <f>IF(LEN('Providers'!A280)=0,"",IF(ISNUMBER('Providers'!AA280),'Providers'!AA280,""))</f>
        <v/>
      </c>
      <c r="M281" s="34">
        <f>IF(LEN('Providers'!A280)=0,"",IF(ISNUMBER('Providers'!AD280),'Providers'!AD280,""))</f>
        <v/>
      </c>
      <c r="N281" s="35">
        <f>IF(LEN('Providers'!A280)=0,"",IF(LEN('Providers'!AG280)=0,"",'Providers'!AG280))</f>
        <v/>
      </c>
    </row>
    <row r="282">
      <c r="A282" s="32">
        <f>IF(LEN('Providers'!A281)=0,"",IF(LEN('Providers'!A281)=0,"",'Providers'!A281))</f>
        <v/>
      </c>
      <c r="B282" s="33">
        <f>IF(LEN('Providers'!A281)=0,"",IF(LEN('Providers'!B281)=0,"",'Providers'!B281))</f>
        <v/>
      </c>
      <c r="C282" s="33">
        <f>IF(LEN('Providers'!A281)=0,"",IF(LEN('Providers'!E281)=0,"",'Providers'!E281))</f>
        <v/>
      </c>
      <c r="D282" s="34">
        <f>IF(LEN('Providers'!A281)=0,"",IF(ISNUMBER('Providers'!G281),'Providers'!G281,""))</f>
        <v/>
      </c>
      <c r="E282" s="34">
        <f>IF(LEN('Providers'!A281)=0,"",IF(ISNUMBER('Providers'!I281),'Providers'!I281,""))</f>
        <v/>
      </c>
      <c r="F282" s="34">
        <f>IF(LEN('Providers'!A281)=0,"",IF(ISNUMBER('Providers'!K281),'Providers'!K281,""))</f>
        <v/>
      </c>
      <c r="G282" s="34">
        <f>IF(LEN('Providers'!A281)=0,"",IF(ISNUMBER('Providers'!M281),'Providers'!M281,""))</f>
        <v/>
      </c>
      <c r="H282" s="34">
        <f>IF(LEN('Providers'!A281)=0,"",IF(ISNUMBER('Providers'!Q281),'Providers'!Q281,""))</f>
        <v/>
      </c>
      <c r="I282" s="34">
        <f>IF(LEN('Providers'!A281)=0,"",IF(ISNUMBER('Providers'!S281),'Providers'!S281,""))</f>
        <v/>
      </c>
      <c r="J282" s="34">
        <f>IF(LEN('Providers'!A281)=0,"",IF(ISNUMBER('Providers'!W281),'Providers'!W281,""))</f>
        <v/>
      </c>
      <c r="K282" s="34">
        <f>IF(LEN('Providers'!A281)=0,"",IF(ISNUMBER('Providers'!Y281),'Providers'!Y281,""))</f>
        <v/>
      </c>
      <c r="L282" s="34">
        <f>IF(LEN('Providers'!A281)=0,"",IF(ISNUMBER('Providers'!AA281),'Providers'!AA281,""))</f>
        <v/>
      </c>
      <c r="M282" s="34">
        <f>IF(LEN('Providers'!A281)=0,"",IF(ISNUMBER('Providers'!AD281),'Providers'!AD281,""))</f>
        <v/>
      </c>
      <c r="N282" s="35">
        <f>IF(LEN('Providers'!A281)=0,"",IF(LEN('Providers'!AG281)=0,"",'Providers'!AG281))</f>
        <v/>
      </c>
    </row>
    <row r="283">
      <c r="A283" s="32">
        <f>IF(LEN('Providers'!A282)=0,"",IF(LEN('Providers'!A282)=0,"",'Providers'!A282))</f>
        <v/>
      </c>
      <c r="B283" s="33">
        <f>IF(LEN('Providers'!A282)=0,"",IF(LEN('Providers'!B282)=0,"",'Providers'!B282))</f>
        <v/>
      </c>
      <c r="C283" s="33">
        <f>IF(LEN('Providers'!A282)=0,"",IF(LEN('Providers'!E282)=0,"",'Providers'!E282))</f>
        <v/>
      </c>
      <c r="D283" s="34">
        <f>IF(LEN('Providers'!A282)=0,"",IF(ISNUMBER('Providers'!G282),'Providers'!G282,""))</f>
        <v/>
      </c>
      <c r="E283" s="34">
        <f>IF(LEN('Providers'!A282)=0,"",IF(ISNUMBER('Providers'!I282),'Providers'!I282,""))</f>
        <v/>
      </c>
      <c r="F283" s="34">
        <f>IF(LEN('Providers'!A282)=0,"",IF(ISNUMBER('Providers'!K282),'Providers'!K282,""))</f>
        <v/>
      </c>
      <c r="G283" s="34">
        <f>IF(LEN('Providers'!A282)=0,"",IF(ISNUMBER('Providers'!M282),'Providers'!M282,""))</f>
        <v/>
      </c>
      <c r="H283" s="34">
        <f>IF(LEN('Providers'!A282)=0,"",IF(ISNUMBER('Providers'!Q282),'Providers'!Q282,""))</f>
        <v/>
      </c>
      <c r="I283" s="34">
        <f>IF(LEN('Providers'!A282)=0,"",IF(ISNUMBER('Providers'!S282),'Providers'!S282,""))</f>
        <v/>
      </c>
      <c r="J283" s="34">
        <f>IF(LEN('Providers'!A282)=0,"",IF(ISNUMBER('Providers'!W282),'Providers'!W282,""))</f>
        <v/>
      </c>
      <c r="K283" s="34">
        <f>IF(LEN('Providers'!A282)=0,"",IF(ISNUMBER('Providers'!Y282),'Providers'!Y282,""))</f>
        <v/>
      </c>
      <c r="L283" s="34">
        <f>IF(LEN('Providers'!A282)=0,"",IF(ISNUMBER('Providers'!AA282),'Providers'!AA282,""))</f>
        <v/>
      </c>
      <c r="M283" s="34">
        <f>IF(LEN('Providers'!A282)=0,"",IF(ISNUMBER('Providers'!AD282),'Providers'!AD282,""))</f>
        <v/>
      </c>
      <c r="N283" s="35">
        <f>IF(LEN('Providers'!A282)=0,"",IF(LEN('Providers'!AG282)=0,"",'Providers'!AG282))</f>
        <v/>
      </c>
    </row>
    <row r="284">
      <c r="A284" s="32">
        <f>IF(LEN('Providers'!A283)=0,"",IF(LEN('Providers'!A283)=0,"",'Providers'!A283))</f>
        <v/>
      </c>
      <c r="B284" s="33">
        <f>IF(LEN('Providers'!A283)=0,"",IF(LEN('Providers'!B283)=0,"",'Providers'!B283))</f>
        <v/>
      </c>
      <c r="C284" s="33">
        <f>IF(LEN('Providers'!A283)=0,"",IF(LEN('Providers'!E283)=0,"",'Providers'!E283))</f>
        <v/>
      </c>
      <c r="D284" s="34">
        <f>IF(LEN('Providers'!A283)=0,"",IF(ISNUMBER('Providers'!G283),'Providers'!G283,""))</f>
        <v/>
      </c>
      <c r="E284" s="34">
        <f>IF(LEN('Providers'!A283)=0,"",IF(ISNUMBER('Providers'!I283),'Providers'!I283,""))</f>
        <v/>
      </c>
      <c r="F284" s="34">
        <f>IF(LEN('Providers'!A283)=0,"",IF(ISNUMBER('Providers'!K283),'Providers'!K283,""))</f>
        <v/>
      </c>
      <c r="G284" s="34">
        <f>IF(LEN('Providers'!A283)=0,"",IF(ISNUMBER('Providers'!M283),'Providers'!M283,""))</f>
        <v/>
      </c>
      <c r="H284" s="34">
        <f>IF(LEN('Providers'!A283)=0,"",IF(ISNUMBER('Providers'!Q283),'Providers'!Q283,""))</f>
        <v/>
      </c>
      <c r="I284" s="34">
        <f>IF(LEN('Providers'!A283)=0,"",IF(ISNUMBER('Providers'!S283),'Providers'!S283,""))</f>
        <v/>
      </c>
      <c r="J284" s="34">
        <f>IF(LEN('Providers'!A283)=0,"",IF(ISNUMBER('Providers'!W283),'Providers'!W283,""))</f>
        <v/>
      </c>
      <c r="K284" s="34">
        <f>IF(LEN('Providers'!A283)=0,"",IF(ISNUMBER('Providers'!Y283),'Providers'!Y283,""))</f>
        <v/>
      </c>
      <c r="L284" s="34">
        <f>IF(LEN('Providers'!A283)=0,"",IF(ISNUMBER('Providers'!AA283),'Providers'!AA283,""))</f>
        <v/>
      </c>
      <c r="M284" s="34">
        <f>IF(LEN('Providers'!A283)=0,"",IF(ISNUMBER('Providers'!AD283),'Providers'!AD283,""))</f>
        <v/>
      </c>
      <c r="N284" s="35">
        <f>IF(LEN('Providers'!A283)=0,"",IF(LEN('Providers'!AG283)=0,"",'Providers'!AG283))</f>
        <v/>
      </c>
    </row>
    <row r="285">
      <c r="A285" s="32">
        <f>IF(LEN('Providers'!A284)=0,"",IF(LEN('Providers'!A284)=0,"",'Providers'!A284))</f>
        <v/>
      </c>
      <c r="B285" s="33">
        <f>IF(LEN('Providers'!A284)=0,"",IF(LEN('Providers'!B284)=0,"",'Providers'!B284))</f>
        <v/>
      </c>
      <c r="C285" s="33">
        <f>IF(LEN('Providers'!A284)=0,"",IF(LEN('Providers'!E284)=0,"",'Providers'!E284))</f>
        <v/>
      </c>
      <c r="D285" s="34">
        <f>IF(LEN('Providers'!A284)=0,"",IF(ISNUMBER('Providers'!G284),'Providers'!G284,""))</f>
        <v/>
      </c>
      <c r="E285" s="34">
        <f>IF(LEN('Providers'!A284)=0,"",IF(ISNUMBER('Providers'!I284),'Providers'!I284,""))</f>
        <v/>
      </c>
      <c r="F285" s="34">
        <f>IF(LEN('Providers'!A284)=0,"",IF(ISNUMBER('Providers'!K284),'Providers'!K284,""))</f>
        <v/>
      </c>
      <c r="G285" s="34">
        <f>IF(LEN('Providers'!A284)=0,"",IF(ISNUMBER('Providers'!M284),'Providers'!M284,""))</f>
        <v/>
      </c>
      <c r="H285" s="34">
        <f>IF(LEN('Providers'!A284)=0,"",IF(ISNUMBER('Providers'!Q284),'Providers'!Q284,""))</f>
        <v/>
      </c>
      <c r="I285" s="34">
        <f>IF(LEN('Providers'!A284)=0,"",IF(ISNUMBER('Providers'!S284),'Providers'!S284,""))</f>
        <v/>
      </c>
      <c r="J285" s="34">
        <f>IF(LEN('Providers'!A284)=0,"",IF(ISNUMBER('Providers'!W284),'Providers'!W284,""))</f>
        <v/>
      </c>
      <c r="K285" s="34">
        <f>IF(LEN('Providers'!A284)=0,"",IF(ISNUMBER('Providers'!Y284),'Providers'!Y284,""))</f>
        <v/>
      </c>
      <c r="L285" s="34">
        <f>IF(LEN('Providers'!A284)=0,"",IF(ISNUMBER('Providers'!AA284),'Providers'!AA284,""))</f>
        <v/>
      </c>
      <c r="M285" s="34">
        <f>IF(LEN('Providers'!A284)=0,"",IF(ISNUMBER('Providers'!AD284),'Providers'!AD284,""))</f>
        <v/>
      </c>
      <c r="N285" s="35">
        <f>IF(LEN('Providers'!A284)=0,"",IF(LEN('Providers'!AG284)=0,"",'Providers'!AG284))</f>
        <v/>
      </c>
    </row>
    <row r="286">
      <c r="A286" s="32">
        <f>IF(LEN('Providers'!A285)=0,"",IF(LEN('Providers'!A285)=0,"",'Providers'!A285))</f>
        <v/>
      </c>
      <c r="B286" s="33">
        <f>IF(LEN('Providers'!A285)=0,"",IF(LEN('Providers'!B285)=0,"",'Providers'!B285))</f>
        <v/>
      </c>
      <c r="C286" s="33">
        <f>IF(LEN('Providers'!A285)=0,"",IF(LEN('Providers'!E285)=0,"",'Providers'!E285))</f>
        <v/>
      </c>
      <c r="D286" s="34">
        <f>IF(LEN('Providers'!A285)=0,"",IF(ISNUMBER('Providers'!G285),'Providers'!G285,""))</f>
        <v/>
      </c>
      <c r="E286" s="34">
        <f>IF(LEN('Providers'!A285)=0,"",IF(ISNUMBER('Providers'!I285),'Providers'!I285,""))</f>
        <v/>
      </c>
      <c r="F286" s="34">
        <f>IF(LEN('Providers'!A285)=0,"",IF(ISNUMBER('Providers'!K285),'Providers'!K285,""))</f>
        <v/>
      </c>
      <c r="G286" s="34">
        <f>IF(LEN('Providers'!A285)=0,"",IF(ISNUMBER('Providers'!M285),'Providers'!M285,""))</f>
        <v/>
      </c>
      <c r="H286" s="34">
        <f>IF(LEN('Providers'!A285)=0,"",IF(ISNUMBER('Providers'!Q285),'Providers'!Q285,""))</f>
        <v/>
      </c>
      <c r="I286" s="34">
        <f>IF(LEN('Providers'!A285)=0,"",IF(ISNUMBER('Providers'!S285),'Providers'!S285,""))</f>
        <v/>
      </c>
      <c r="J286" s="34">
        <f>IF(LEN('Providers'!A285)=0,"",IF(ISNUMBER('Providers'!W285),'Providers'!W285,""))</f>
        <v/>
      </c>
      <c r="K286" s="34">
        <f>IF(LEN('Providers'!A285)=0,"",IF(ISNUMBER('Providers'!Y285),'Providers'!Y285,""))</f>
        <v/>
      </c>
      <c r="L286" s="34">
        <f>IF(LEN('Providers'!A285)=0,"",IF(ISNUMBER('Providers'!AA285),'Providers'!AA285,""))</f>
        <v/>
      </c>
      <c r="M286" s="34">
        <f>IF(LEN('Providers'!A285)=0,"",IF(ISNUMBER('Providers'!AD285),'Providers'!AD285,""))</f>
        <v/>
      </c>
      <c r="N286" s="35">
        <f>IF(LEN('Providers'!A285)=0,"",IF(LEN('Providers'!AG285)=0,"",'Providers'!AG285))</f>
        <v/>
      </c>
    </row>
    <row r="287">
      <c r="A287" s="32">
        <f>IF(LEN('Providers'!A286)=0,"",IF(LEN('Providers'!A286)=0,"",'Providers'!A286))</f>
        <v/>
      </c>
      <c r="B287" s="33">
        <f>IF(LEN('Providers'!A286)=0,"",IF(LEN('Providers'!B286)=0,"",'Providers'!B286))</f>
        <v/>
      </c>
      <c r="C287" s="33">
        <f>IF(LEN('Providers'!A286)=0,"",IF(LEN('Providers'!E286)=0,"",'Providers'!E286))</f>
        <v/>
      </c>
      <c r="D287" s="34">
        <f>IF(LEN('Providers'!A286)=0,"",IF(ISNUMBER('Providers'!G286),'Providers'!G286,""))</f>
        <v/>
      </c>
      <c r="E287" s="34">
        <f>IF(LEN('Providers'!A286)=0,"",IF(ISNUMBER('Providers'!I286),'Providers'!I286,""))</f>
        <v/>
      </c>
      <c r="F287" s="34">
        <f>IF(LEN('Providers'!A286)=0,"",IF(ISNUMBER('Providers'!K286),'Providers'!K286,""))</f>
        <v/>
      </c>
      <c r="G287" s="34">
        <f>IF(LEN('Providers'!A286)=0,"",IF(ISNUMBER('Providers'!M286),'Providers'!M286,""))</f>
        <v/>
      </c>
      <c r="H287" s="34">
        <f>IF(LEN('Providers'!A286)=0,"",IF(ISNUMBER('Providers'!Q286),'Providers'!Q286,""))</f>
        <v/>
      </c>
      <c r="I287" s="34">
        <f>IF(LEN('Providers'!A286)=0,"",IF(ISNUMBER('Providers'!S286),'Providers'!S286,""))</f>
        <v/>
      </c>
      <c r="J287" s="34">
        <f>IF(LEN('Providers'!A286)=0,"",IF(ISNUMBER('Providers'!W286),'Providers'!W286,""))</f>
        <v/>
      </c>
      <c r="K287" s="34">
        <f>IF(LEN('Providers'!A286)=0,"",IF(ISNUMBER('Providers'!Y286),'Providers'!Y286,""))</f>
        <v/>
      </c>
      <c r="L287" s="34">
        <f>IF(LEN('Providers'!A286)=0,"",IF(ISNUMBER('Providers'!AA286),'Providers'!AA286,""))</f>
        <v/>
      </c>
      <c r="M287" s="34">
        <f>IF(LEN('Providers'!A286)=0,"",IF(ISNUMBER('Providers'!AD286),'Providers'!AD286,""))</f>
        <v/>
      </c>
      <c r="N287" s="35">
        <f>IF(LEN('Providers'!A286)=0,"",IF(LEN('Providers'!AG286)=0,"",'Providers'!AG286))</f>
        <v/>
      </c>
    </row>
    <row r="288">
      <c r="A288" s="32">
        <f>IF(LEN('Providers'!A287)=0,"",IF(LEN('Providers'!A287)=0,"",'Providers'!A287))</f>
        <v/>
      </c>
      <c r="B288" s="33">
        <f>IF(LEN('Providers'!A287)=0,"",IF(LEN('Providers'!B287)=0,"",'Providers'!B287))</f>
        <v/>
      </c>
      <c r="C288" s="33">
        <f>IF(LEN('Providers'!A287)=0,"",IF(LEN('Providers'!E287)=0,"",'Providers'!E287))</f>
        <v/>
      </c>
      <c r="D288" s="34">
        <f>IF(LEN('Providers'!A287)=0,"",IF(ISNUMBER('Providers'!G287),'Providers'!G287,""))</f>
        <v/>
      </c>
      <c r="E288" s="34">
        <f>IF(LEN('Providers'!A287)=0,"",IF(ISNUMBER('Providers'!I287),'Providers'!I287,""))</f>
        <v/>
      </c>
      <c r="F288" s="34">
        <f>IF(LEN('Providers'!A287)=0,"",IF(ISNUMBER('Providers'!K287),'Providers'!K287,""))</f>
        <v/>
      </c>
      <c r="G288" s="34">
        <f>IF(LEN('Providers'!A287)=0,"",IF(ISNUMBER('Providers'!M287),'Providers'!M287,""))</f>
        <v/>
      </c>
      <c r="H288" s="34">
        <f>IF(LEN('Providers'!A287)=0,"",IF(ISNUMBER('Providers'!Q287),'Providers'!Q287,""))</f>
        <v/>
      </c>
      <c r="I288" s="34">
        <f>IF(LEN('Providers'!A287)=0,"",IF(ISNUMBER('Providers'!S287),'Providers'!S287,""))</f>
        <v/>
      </c>
      <c r="J288" s="34">
        <f>IF(LEN('Providers'!A287)=0,"",IF(ISNUMBER('Providers'!W287),'Providers'!W287,""))</f>
        <v/>
      </c>
      <c r="K288" s="34">
        <f>IF(LEN('Providers'!A287)=0,"",IF(ISNUMBER('Providers'!Y287),'Providers'!Y287,""))</f>
        <v/>
      </c>
      <c r="L288" s="34">
        <f>IF(LEN('Providers'!A287)=0,"",IF(ISNUMBER('Providers'!AA287),'Providers'!AA287,""))</f>
        <v/>
      </c>
      <c r="M288" s="34">
        <f>IF(LEN('Providers'!A287)=0,"",IF(ISNUMBER('Providers'!AD287),'Providers'!AD287,""))</f>
        <v/>
      </c>
      <c r="N288" s="35">
        <f>IF(LEN('Providers'!A287)=0,"",IF(LEN('Providers'!AG287)=0,"",'Providers'!AG287))</f>
        <v/>
      </c>
    </row>
    <row r="289">
      <c r="A289" s="32">
        <f>IF(LEN('Providers'!A288)=0,"",IF(LEN('Providers'!A288)=0,"",'Providers'!A288))</f>
        <v/>
      </c>
      <c r="B289" s="33">
        <f>IF(LEN('Providers'!A288)=0,"",IF(LEN('Providers'!B288)=0,"",'Providers'!B288))</f>
        <v/>
      </c>
      <c r="C289" s="33">
        <f>IF(LEN('Providers'!A288)=0,"",IF(LEN('Providers'!E288)=0,"",'Providers'!E288))</f>
        <v/>
      </c>
      <c r="D289" s="34">
        <f>IF(LEN('Providers'!A288)=0,"",IF(ISNUMBER('Providers'!G288),'Providers'!G288,""))</f>
        <v/>
      </c>
      <c r="E289" s="34">
        <f>IF(LEN('Providers'!A288)=0,"",IF(ISNUMBER('Providers'!I288),'Providers'!I288,""))</f>
        <v/>
      </c>
      <c r="F289" s="34">
        <f>IF(LEN('Providers'!A288)=0,"",IF(ISNUMBER('Providers'!K288),'Providers'!K288,""))</f>
        <v/>
      </c>
      <c r="G289" s="34">
        <f>IF(LEN('Providers'!A288)=0,"",IF(ISNUMBER('Providers'!M288),'Providers'!M288,""))</f>
        <v/>
      </c>
      <c r="H289" s="34">
        <f>IF(LEN('Providers'!A288)=0,"",IF(ISNUMBER('Providers'!Q288),'Providers'!Q288,""))</f>
        <v/>
      </c>
      <c r="I289" s="34">
        <f>IF(LEN('Providers'!A288)=0,"",IF(ISNUMBER('Providers'!S288),'Providers'!S288,""))</f>
        <v/>
      </c>
      <c r="J289" s="34">
        <f>IF(LEN('Providers'!A288)=0,"",IF(ISNUMBER('Providers'!W288),'Providers'!W288,""))</f>
        <v/>
      </c>
      <c r="K289" s="34">
        <f>IF(LEN('Providers'!A288)=0,"",IF(ISNUMBER('Providers'!Y288),'Providers'!Y288,""))</f>
        <v/>
      </c>
      <c r="L289" s="34">
        <f>IF(LEN('Providers'!A288)=0,"",IF(ISNUMBER('Providers'!AA288),'Providers'!AA288,""))</f>
        <v/>
      </c>
      <c r="M289" s="34">
        <f>IF(LEN('Providers'!A288)=0,"",IF(ISNUMBER('Providers'!AD288),'Providers'!AD288,""))</f>
        <v/>
      </c>
      <c r="N289" s="35">
        <f>IF(LEN('Providers'!A288)=0,"",IF(LEN('Providers'!AG288)=0,"",'Providers'!AG288))</f>
        <v/>
      </c>
    </row>
    <row r="290">
      <c r="A290" s="32">
        <f>IF(LEN('Providers'!A289)=0,"",IF(LEN('Providers'!A289)=0,"",'Providers'!A289))</f>
        <v/>
      </c>
      <c r="B290" s="33">
        <f>IF(LEN('Providers'!A289)=0,"",IF(LEN('Providers'!B289)=0,"",'Providers'!B289))</f>
        <v/>
      </c>
      <c r="C290" s="33">
        <f>IF(LEN('Providers'!A289)=0,"",IF(LEN('Providers'!E289)=0,"",'Providers'!E289))</f>
        <v/>
      </c>
      <c r="D290" s="34">
        <f>IF(LEN('Providers'!A289)=0,"",IF(ISNUMBER('Providers'!G289),'Providers'!G289,""))</f>
        <v/>
      </c>
      <c r="E290" s="34">
        <f>IF(LEN('Providers'!A289)=0,"",IF(ISNUMBER('Providers'!I289),'Providers'!I289,""))</f>
        <v/>
      </c>
      <c r="F290" s="34">
        <f>IF(LEN('Providers'!A289)=0,"",IF(ISNUMBER('Providers'!K289),'Providers'!K289,""))</f>
        <v/>
      </c>
      <c r="G290" s="34">
        <f>IF(LEN('Providers'!A289)=0,"",IF(ISNUMBER('Providers'!M289),'Providers'!M289,""))</f>
        <v/>
      </c>
      <c r="H290" s="34">
        <f>IF(LEN('Providers'!A289)=0,"",IF(ISNUMBER('Providers'!Q289),'Providers'!Q289,""))</f>
        <v/>
      </c>
      <c r="I290" s="34">
        <f>IF(LEN('Providers'!A289)=0,"",IF(ISNUMBER('Providers'!S289),'Providers'!S289,""))</f>
        <v/>
      </c>
      <c r="J290" s="34">
        <f>IF(LEN('Providers'!A289)=0,"",IF(ISNUMBER('Providers'!W289),'Providers'!W289,""))</f>
        <v/>
      </c>
      <c r="K290" s="34">
        <f>IF(LEN('Providers'!A289)=0,"",IF(ISNUMBER('Providers'!Y289),'Providers'!Y289,""))</f>
        <v/>
      </c>
      <c r="L290" s="34">
        <f>IF(LEN('Providers'!A289)=0,"",IF(ISNUMBER('Providers'!AA289),'Providers'!AA289,""))</f>
        <v/>
      </c>
      <c r="M290" s="34">
        <f>IF(LEN('Providers'!A289)=0,"",IF(ISNUMBER('Providers'!AD289),'Providers'!AD289,""))</f>
        <v/>
      </c>
      <c r="N290" s="35">
        <f>IF(LEN('Providers'!A289)=0,"",IF(LEN('Providers'!AG289)=0,"",'Providers'!AG289))</f>
        <v/>
      </c>
    </row>
    <row r="291">
      <c r="A291" s="32">
        <f>IF(LEN('Providers'!A290)=0,"",IF(LEN('Providers'!A290)=0,"",'Providers'!A290))</f>
        <v/>
      </c>
      <c r="B291" s="33">
        <f>IF(LEN('Providers'!A290)=0,"",IF(LEN('Providers'!B290)=0,"",'Providers'!B290))</f>
        <v/>
      </c>
      <c r="C291" s="33">
        <f>IF(LEN('Providers'!A290)=0,"",IF(LEN('Providers'!E290)=0,"",'Providers'!E290))</f>
        <v/>
      </c>
      <c r="D291" s="34">
        <f>IF(LEN('Providers'!A290)=0,"",IF(ISNUMBER('Providers'!G290),'Providers'!G290,""))</f>
        <v/>
      </c>
      <c r="E291" s="34">
        <f>IF(LEN('Providers'!A290)=0,"",IF(ISNUMBER('Providers'!I290),'Providers'!I290,""))</f>
        <v/>
      </c>
      <c r="F291" s="34">
        <f>IF(LEN('Providers'!A290)=0,"",IF(ISNUMBER('Providers'!K290),'Providers'!K290,""))</f>
        <v/>
      </c>
      <c r="G291" s="34">
        <f>IF(LEN('Providers'!A290)=0,"",IF(ISNUMBER('Providers'!M290),'Providers'!M290,""))</f>
        <v/>
      </c>
      <c r="H291" s="34">
        <f>IF(LEN('Providers'!A290)=0,"",IF(ISNUMBER('Providers'!Q290),'Providers'!Q290,""))</f>
        <v/>
      </c>
      <c r="I291" s="34">
        <f>IF(LEN('Providers'!A290)=0,"",IF(ISNUMBER('Providers'!S290),'Providers'!S290,""))</f>
        <v/>
      </c>
      <c r="J291" s="34">
        <f>IF(LEN('Providers'!A290)=0,"",IF(ISNUMBER('Providers'!W290),'Providers'!W290,""))</f>
        <v/>
      </c>
      <c r="K291" s="34">
        <f>IF(LEN('Providers'!A290)=0,"",IF(ISNUMBER('Providers'!Y290),'Providers'!Y290,""))</f>
        <v/>
      </c>
      <c r="L291" s="34">
        <f>IF(LEN('Providers'!A290)=0,"",IF(ISNUMBER('Providers'!AA290),'Providers'!AA290,""))</f>
        <v/>
      </c>
      <c r="M291" s="34">
        <f>IF(LEN('Providers'!A290)=0,"",IF(ISNUMBER('Providers'!AD290),'Providers'!AD290,""))</f>
        <v/>
      </c>
      <c r="N291" s="35">
        <f>IF(LEN('Providers'!A290)=0,"",IF(LEN('Providers'!AG290)=0,"",'Providers'!AG290))</f>
        <v/>
      </c>
    </row>
    <row r="292">
      <c r="A292" s="32">
        <f>IF(LEN('Providers'!A291)=0,"",IF(LEN('Providers'!A291)=0,"",'Providers'!A291))</f>
        <v/>
      </c>
      <c r="B292" s="33">
        <f>IF(LEN('Providers'!A291)=0,"",IF(LEN('Providers'!B291)=0,"",'Providers'!B291))</f>
        <v/>
      </c>
      <c r="C292" s="33">
        <f>IF(LEN('Providers'!A291)=0,"",IF(LEN('Providers'!E291)=0,"",'Providers'!E291))</f>
        <v/>
      </c>
      <c r="D292" s="34">
        <f>IF(LEN('Providers'!A291)=0,"",IF(ISNUMBER('Providers'!G291),'Providers'!G291,""))</f>
        <v/>
      </c>
      <c r="E292" s="34">
        <f>IF(LEN('Providers'!A291)=0,"",IF(ISNUMBER('Providers'!I291),'Providers'!I291,""))</f>
        <v/>
      </c>
      <c r="F292" s="34">
        <f>IF(LEN('Providers'!A291)=0,"",IF(ISNUMBER('Providers'!K291),'Providers'!K291,""))</f>
        <v/>
      </c>
      <c r="G292" s="34">
        <f>IF(LEN('Providers'!A291)=0,"",IF(ISNUMBER('Providers'!M291),'Providers'!M291,""))</f>
        <v/>
      </c>
      <c r="H292" s="34">
        <f>IF(LEN('Providers'!A291)=0,"",IF(ISNUMBER('Providers'!Q291),'Providers'!Q291,""))</f>
        <v/>
      </c>
      <c r="I292" s="34">
        <f>IF(LEN('Providers'!A291)=0,"",IF(ISNUMBER('Providers'!S291),'Providers'!S291,""))</f>
        <v/>
      </c>
      <c r="J292" s="34">
        <f>IF(LEN('Providers'!A291)=0,"",IF(ISNUMBER('Providers'!W291),'Providers'!W291,""))</f>
        <v/>
      </c>
      <c r="K292" s="34">
        <f>IF(LEN('Providers'!A291)=0,"",IF(ISNUMBER('Providers'!Y291),'Providers'!Y291,""))</f>
        <v/>
      </c>
      <c r="L292" s="34">
        <f>IF(LEN('Providers'!A291)=0,"",IF(ISNUMBER('Providers'!AA291),'Providers'!AA291,""))</f>
        <v/>
      </c>
      <c r="M292" s="34">
        <f>IF(LEN('Providers'!A291)=0,"",IF(ISNUMBER('Providers'!AD291),'Providers'!AD291,""))</f>
        <v/>
      </c>
      <c r="N292" s="35">
        <f>IF(LEN('Providers'!A291)=0,"",IF(LEN('Providers'!AG291)=0,"",'Providers'!AG291))</f>
        <v/>
      </c>
    </row>
    <row r="293">
      <c r="A293" s="32">
        <f>IF(LEN('Providers'!A292)=0,"",IF(LEN('Providers'!A292)=0,"",'Providers'!A292))</f>
        <v/>
      </c>
      <c r="B293" s="33">
        <f>IF(LEN('Providers'!A292)=0,"",IF(LEN('Providers'!B292)=0,"",'Providers'!B292))</f>
        <v/>
      </c>
      <c r="C293" s="33">
        <f>IF(LEN('Providers'!A292)=0,"",IF(LEN('Providers'!E292)=0,"",'Providers'!E292))</f>
        <v/>
      </c>
      <c r="D293" s="34">
        <f>IF(LEN('Providers'!A292)=0,"",IF(ISNUMBER('Providers'!G292),'Providers'!G292,""))</f>
        <v/>
      </c>
      <c r="E293" s="34">
        <f>IF(LEN('Providers'!A292)=0,"",IF(ISNUMBER('Providers'!I292),'Providers'!I292,""))</f>
        <v/>
      </c>
      <c r="F293" s="34">
        <f>IF(LEN('Providers'!A292)=0,"",IF(ISNUMBER('Providers'!K292),'Providers'!K292,""))</f>
        <v/>
      </c>
      <c r="G293" s="34">
        <f>IF(LEN('Providers'!A292)=0,"",IF(ISNUMBER('Providers'!M292),'Providers'!M292,""))</f>
        <v/>
      </c>
      <c r="H293" s="34">
        <f>IF(LEN('Providers'!A292)=0,"",IF(ISNUMBER('Providers'!Q292),'Providers'!Q292,""))</f>
        <v/>
      </c>
      <c r="I293" s="34">
        <f>IF(LEN('Providers'!A292)=0,"",IF(ISNUMBER('Providers'!S292),'Providers'!S292,""))</f>
        <v/>
      </c>
      <c r="J293" s="34">
        <f>IF(LEN('Providers'!A292)=0,"",IF(ISNUMBER('Providers'!W292),'Providers'!W292,""))</f>
        <v/>
      </c>
      <c r="K293" s="34">
        <f>IF(LEN('Providers'!A292)=0,"",IF(ISNUMBER('Providers'!Y292),'Providers'!Y292,""))</f>
        <v/>
      </c>
      <c r="L293" s="34">
        <f>IF(LEN('Providers'!A292)=0,"",IF(ISNUMBER('Providers'!AA292),'Providers'!AA292,""))</f>
        <v/>
      </c>
      <c r="M293" s="34">
        <f>IF(LEN('Providers'!A292)=0,"",IF(ISNUMBER('Providers'!AD292),'Providers'!AD292,""))</f>
        <v/>
      </c>
      <c r="N293" s="35">
        <f>IF(LEN('Providers'!A292)=0,"",IF(LEN('Providers'!AG292)=0,"",'Providers'!AG292))</f>
        <v/>
      </c>
    </row>
    <row r="294">
      <c r="A294" s="32">
        <f>IF(LEN('Providers'!A293)=0,"",IF(LEN('Providers'!A293)=0,"",'Providers'!A293))</f>
        <v/>
      </c>
      <c r="B294" s="33">
        <f>IF(LEN('Providers'!A293)=0,"",IF(LEN('Providers'!B293)=0,"",'Providers'!B293))</f>
        <v/>
      </c>
      <c r="C294" s="33">
        <f>IF(LEN('Providers'!A293)=0,"",IF(LEN('Providers'!E293)=0,"",'Providers'!E293))</f>
        <v/>
      </c>
      <c r="D294" s="34">
        <f>IF(LEN('Providers'!A293)=0,"",IF(ISNUMBER('Providers'!G293),'Providers'!G293,""))</f>
        <v/>
      </c>
      <c r="E294" s="34">
        <f>IF(LEN('Providers'!A293)=0,"",IF(ISNUMBER('Providers'!I293),'Providers'!I293,""))</f>
        <v/>
      </c>
      <c r="F294" s="34">
        <f>IF(LEN('Providers'!A293)=0,"",IF(ISNUMBER('Providers'!K293),'Providers'!K293,""))</f>
        <v/>
      </c>
      <c r="G294" s="34">
        <f>IF(LEN('Providers'!A293)=0,"",IF(ISNUMBER('Providers'!M293),'Providers'!M293,""))</f>
        <v/>
      </c>
      <c r="H294" s="34">
        <f>IF(LEN('Providers'!A293)=0,"",IF(ISNUMBER('Providers'!Q293),'Providers'!Q293,""))</f>
        <v/>
      </c>
      <c r="I294" s="34">
        <f>IF(LEN('Providers'!A293)=0,"",IF(ISNUMBER('Providers'!S293),'Providers'!S293,""))</f>
        <v/>
      </c>
      <c r="J294" s="34">
        <f>IF(LEN('Providers'!A293)=0,"",IF(ISNUMBER('Providers'!W293),'Providers'!W293,""))</f>
        <v/>
      </c>
      <c r="K294" s="34">
        <f>IF(LEN('Providers'!A293)=0,"",IF(ISNUMBER('Providers'!Y293),'Providers'!Y293,""))</f>
        <v/>
      </c>
      <c r="L294" s="34">
        <f>IF(LEN('Providers'!A293)=0,"",IF(ISNUMBER('Providers'!AA293),'Providers'!AA293,""))</f>
        <v/>
      </c>
      <c r="M294" s="34">
        <f>IF(LEN('Providers'!A293)=0,"",IF(ISNUMBER('Providers'!AD293),'Providers'!AD293,""))</f>
        <v/>
      </c>
      <c r="N294" s="35">
        <f>IF(LEN('Providers'!A293)=0,"",IF(LEN('Providers'!AG293)=0,"",'Providers'!AG293))</f>
        <v/>
      </c>
    </row>
    <row r="295">
      <c r="A295" s="32">
        <f>IF(LEN('Providers'!A294)=0,"",IF(LEN('Providers'!A294)=0,"",'Providers'!A294))</f>
        <v/>
      </c>
      <c r="B295" s="33">
        <f>IF(LEN('Providers'!A294)=0,"",IF(LEN('Providers'!B294)=0,"",'Providers'!B294))</f>
        <v/>
      </c>
      <c r="C295" s="33">
        <f>IF(LEN('Providers'!A294)=0,"",IF(LEN('Providers'!E294)=0,"",'Providers'!E294))</f>
        <v/>
      </c>
      <c r="D295" s="34">
        <f>IF(LEN('Providers'!A294)=0,"",IF(ISNUMBER('Providers'!G294),'Providers'!G294,""))</f>
        <v/>
      </c>
      <c r="E295" s="34">
        <f>IF(LEN('Providers'!A294)=0,"",IF(ISNUMBER('Providers'!I294),'Providers'!I294,""))</f>
        <v/>
      </c>
      <c r="F295" s="34">
        <f>IF(LEN('Providers'!A294)=0,"",IF(ISNUMBER('Providers'!K294),'Providers'!K294,""))</f>
        <v/>
      </c>
      <c r="G295" s="34">
        <f>IF(LEN('Providers'!A294)=0,"",IF(ISNUMBER('Providers'!M294),'Providers'!M294,""))</f>
        <v/>
      </c>
      <c r="H295" s="34">
        <f>IF(LEN('Providers'!A294)=0,"",IF(ISNUMBER('Providers'!Q294),'Providers'!Q294,""))</f>
        <v/>
      </c>
      <c r="I295" s="34">
        <f>IF(LEN('Providers'!A294)=0,"",IF(ISNUMBER('Providers'!S294),'Providers'!S294,""))</f>
        <v/>
      </c>
      <c r="J295" s="34">
        <f>IF(LEN('Providers'!A294)=0,"",IF(ISNUMBER('Providers'!W294),'Providers'!W294,""))</f>
        <v/>
      </c>
      <c r="K295" s="34">
        <f>IF(LEN('Providers'!A294)=0,"",IF(ISNUMBER('Providers'!Y294),'Providers'!Y294,""))</f>
        <v/>
      </c>
      <c r="L295" s="34">
        <f>IF(LEN('Providers'!A294)=0,"",IF(ISNUMBER('Providers'!AA294),'Providers'!AA294,""))</f>
        <v/>
      </c>
      <c r="M295" s="34">
        <f>IF(LEN('Providers'!A294)=0,"",IF(ISNUMBER('Providers'!AD294),'Providers'!AD294,""))</f>
        <v/>
      </c>
      <c r="N295" s="35">
        <f>IF(LEN('Providers'!A294)=0,"",IF(LEN('Providers'!AG294)=0,"",'Providers'!AG294))</f>
        <v/>
      </c>
    </row>
    <row r="296">
      <c r="A296" s="32">
        <f>IF(LEN('Providers'!A295)=0,"",IF(LEN('Providers'!A295)=0,"",'Providers'!A295))</f>
        <v/>
      </c>
      <c r="B296" s="33">
        <f>IF(LEN('Providers'!A295)=0,"",IF(LEN('Providers'!B295)=0,"",'Providers'!B295))</f>
        <v/>
      </c>
      <c r="C296" s="33">
        <f>IF(LEN('Providers'!A295)=0,"",IF(LEN('Providers'!E295)=0,"",'Providers'!E295))</f>
        <v/>
      </c>
      <c r="D296" s="34">
        <f>IF(LEN('Providers'!A295)=0,"",IF(ISNUMBER('Providers'!G295),'Providers'!G295,""))</f>
        <v/>
      </c>
      <c r="E296" s="34">
        <f>IF(LEN('Providers'!A295)=0,"",IF(ISNUMBER('Providers'!I295),'Providers'!I295,""))</f>
        <v/>
      </c>
      <c r="F296" s="34">
        <f>IF(LEN('Providers'!A295)=0,"",IF(ISNUMBER('Providers'!K295),'Providers'!K295,""))</f>
        <v/>
      </c>
      <c r="G296" s="34">
        <f>IF(LEN('Providers'!A295)=0,"",IF(ISNUMBER('Providers'!M295),'Providers'!M295,""))</f>
        <v/>
      </c>
      <c r="H296" s="34">
        <f>IF(LEN('Providers'!A295)=0,"",IF(ISNUMBER('Providers'!Q295),'Providers'!Q295,""))</f>
        <v/>
      </c>
      <c r="I296" s="34">
        <f>IF(LEN('Providers'!A295)=0,"",IF(ISNUMBER('Providers'!S295),'Providers'!S295,""))</f>
        <v/>
      </c>
      <c r="J296" s="34">
        <f>IF(LEN('Providers'!A295)=0,"",IF(ISNUMBER('Providers'!W295),'Providers'!W295,""))</f>
        <v/>
      </c>
      <c r="K296" s="34">
        <f>IF(LEN('Providers'!A295)=0,"",IF(ISNUMBER('Providers'!Y295),'Providers'!Y295,""))</f>
        <v/>
      </c>
      <c r="L296" s="34">
        <f>IF(LEN('Providers'!A295)=0,"",IF(ISNUMBER('Providers'!AA295),'Providers'!AA295,""))</f>
        <v/>
      </c>
      <c r="M296" s="34">
        <f>IF(LEN('Providers'!A295)=0,"",IF(ISNUMBER('Providers'!AD295),'Providers'!AD295,""))</f>
        <v/>
      </c>
      <c r="N296" s="35">
        <f>IF(LEN('Providers'!A295)=0,"",IF(LEN('Providers'!AG295)=0,"",'Providers'!AG295))</f>
        <v/>
      </c>
    </row>
    <row r="297">
      <c r="A297" s="32">
        <f>IF(LEN('Providers'!A296)=0,"",IF(LEN('Providers'!A296)=0,"",'Providers'!A296))</f>
        <v/>
      </c>
      <c r="B297" s="33">
        <f>IF(LEN('Providers'!A296)=0,"",IF(LEN('Providers'!B296)=0,"",'Providers'!B296))</f>
        <v/>
      </c>
      <c r="C297" s="33">
        <f>IF(LEN('Providers'!A296)=0,"",IF(LEN('Providers'!E296)=0,"",'Providers'!E296))</f>
        <v/>
      </c>
      <c r="D297" s="34">
        <f>IF(LEN('Providers'!A296)=0,"",IF(ISNUMBER('Providers'!G296),'Providers'!G296,""))</f>
        <v/>
      </c>
      <c r="E297" s="34">
        <f>IF(LEN('Providers'!A296)=0,"",IF(ISNUMBER('Providers'!I296),'Providers'!I296,""))</f>
        <v/>
      </c>
      <c r="F297" s="34">
        <f>IF(LEN('Providers'!A296)=0,"",IF(ISNUMBER('Providers'!K296),'Providers'!K296,""))</f>
        <v/>
      </c>
      <c r="G297" s="34">
        <f>IF(LEN('Providers'!A296)=0,"",IF(ISNUMBER('Providers'!M296),'Providers'!M296,""))</f>
        <v/>
      </c>
      <c r="H297" s="34">
        <f>IF(LEN('Providers'!A296)=0,"",IF(ISNUMBER('Providers'!Q296),'Providers'!Q296,""))</f>
        <v/>
      </c>
      <c r="I297" s="34">
        <f>IF(LEN('Providers'!A296)=0,"",IF(ISNUMBER('Providers'!S296),'Providers'!S296,""))</f>
        <v/>
      </c>
      <c r="J297" s="34">
        <f>IF(LEN('Providers'!A296)=0,"",IF(ISNUMBER('Providers'!W296),'Providers'!W296,""))</f>
        <v/>
      </c>
      <c r="K297" s="34">
        <f>IF(LEN('Providers'!A296)=0,"",IF(ISNUMBER('Providers'!Y296),'Providers'!Y296,""))</f>
        <v/>
      </c>
      <c r="L297" s="34">
        <f>IF(LEN('Providers'!A296)=0,"",IF(ISNUMBER('Providers'!AA296),'Providers'!AA296,""))</f>
        <v/>
      </c>
      <c r="M297" s="34">
        <f>IF(LEN('Providers'!A296)=0,"",IF(ISNUMBER('Providers'!AD296),'Providers'!AD296,""))</f>
        <v/>
      </c>
      <c r="N297" s="35">
        <f>IF(LEN('Providers'!A296)=0,"",IF(LEN('Providers'!AG296)=0,"",'Providers'!AG296))</f>
        <v/>
      </c>
    </row>
    <row r="298">
      <c r="A298" s="32">
        <f>IF(LEN('Providers'!A297)=0,"",IF(LEN('Providers'!A297)=0,"",'Providers'!A297))</f>
        <v/>
      </c>
      <c r="B298" s="33">
        <f>IF(LEN('Providers'!A297)=0,"",IF(LEN('Providers'!B297)=0,"",'Providers'!B297))</f>
        <v/>
      </c>
      <c r="C298" s="33">
        <f>IF(LEN('Providers'!A297)=0,"",IF(LEN('Providers'!E297)=0,"",'Providers'!E297))</f>
        <v/>
      </c>
      <c r="D298" s="34">
        <f>IF(LEN('Providers'!A297)=0,"",IF(ISNUMBER('Providers'!G297),'Providers'!G297,""))</f>
        <v/>
      </c>
      <c r="E298" s="34">
        <f>IF(LEN('Providers'!A297)=0,"",IF(ISNUMBER('Providers'!I297),'Providers'!I297,""))</f>
        <v/>
      </c>
      <c r="F298" s="34">
        <f>IF(LEN('Providers'!A297)=0,"",IF(ISNUMBER('Providers'!K297),'Providers'!K297,""))</f>
        <v/>
      </c>
      <c r="G298" s="34">
        <f>IF(LEN('Providers'!A297)=0,"",IF(ISNUMBER('Providers'!M297),'Providers'!M297,""))</f>
        <v/>
      </c>
      <c r="H298" s="34">
        <f>IF(LEN('Providers'!A297)=0,"",IF(ISNUMBER('Providers'!Q297),'Providers'!Q297,""))</f>
        <v/>
      </c>
      <c r="I298" s="34">
        <f>IF(LEN('Providers'!A297)=0,"",IF(ISNUMBER('Providers'!S297),'Providers'!S297,""))</f>
        <v/>
      </c>
      <c r="J298" s="34">
        <f>IF(LEN('Providers'!A297)=0,"",IF(ISNUMBER('Providers'!W297),'Providers'!W297,""))</f>
        <v/>
      </c>
      <c r="K298" s="34">
        <f>IF(LEN('Providers'!A297)=0,"",IF(ISNUMBER('Providers'!Y297),'Providers'!Y297,""))</f>
        <v/>
      </c>
      <c r="L298" s="34">
        <f>IF(LEN('Providers'!A297)=0,"",IF(ISNUMBER('Providers'!AA297),'Providers'!AA297,""))</f>
        <v/>
      </c>
      <c r="M298" s="34">
        <f>IF(LEN('Providers'!A297)=0,"",IF(ISNUMBER('Providers'!AD297),'Providers'!AD297,""))</f>
        <v/>
      </c>
      <c r="N298" s="35">
        <f>IF(LEN('Providers'!A297)=0,"",IF(LEN('Providers'!AG297)=0,"",'Providers'!AG297))</f>
        <v/>
      </c>
    </row>
    <row r="299">
      <c r="A299" s="32">
        <f>IF(LEN('Providers'!A298)=0,"",IF(LEN('Providers'!A298)=0,"",'Providers'!A298))</f>
        <v/>
      </c>
      <c r="B299" s="33">
        <f>IF(LEN('Providers'!A298)=0,"",IF(LEN('Providers'!B298)=0,"",'Providers'!B298))</f>
        <v/>
      </c>
      <c r="C299" s="33">
        <f>IF(LEN('Providers'!A298)=0,"",IF(LEN('Providers'!E298)=0,"",'Providers'!E298))</f>
        <v/>
      </c>
      <c r="D299" s="34">
        <f>IF(LEN('Providers'!A298)=0,"",IF(ISNUMBER('Providers'!G298),'Providers'!G298,""))</f>
        <v/>
      </c>
      <c r="E299" s="34">
        <f>IF(LEN('Providers'!A298)=0,"",IF(ISNUMBER('Providers'!I298),'Providers'!I298,""))</f>
        <v/>
      </c>
      <c r="F299" s="34">
        <f>IF(LEN('Providers'!A298)=0,"",IF(ISNUMBER('Providers'!K298),'Providers'!K298,""))</f>
        <v/>
      </c>
      <c r="G299" s="34">
        <f>IF(LEN('Providers'!A298)=0,"",IF(ISNUMBER('Providers'!M298),'Providers'!M298,""))</f>
        <v/>
      </c>
      <c r="H299" s="34">
        <f>IF(LEN('Providers'!A298)=0,"",IF(ISNUMBER('Providers'!Q298),'Providers'!Q298,""))</f>
        <v/>
      </c>
      <c r="I299" s="34">
        <f>IF(LEN('Providers'!A298)=0,"",IF(ISNUMBER('Providers'!S298),'Providers'!S298,""))</f>
        <v/>
      </c>
      <c r="J299" s="34">
        <f>IF(LEN('Providers'!A298)=0,"",IF(ISNUMBER('Providers'!W298),'Providers'!W298,""))</f>
        <v/>
      </c>
      <c r="K299" s="34">
        <f>IF(LEN('Providers'!A298)=0,"",IF(ISNUMBER('Providers'!Y298),'Providers'!Y298,""))</f>
        <v/>
      </c>
      <c r="L299" s="34">
        <f>IF(LEN('Providers'!A298)=0,"",IF(ISNUMBER('Providers'!AA298),'Providers'!AA298,""))</f>
        <v/>
      </c>
      <c r="M299" s="34">
        <f>IF(LEN('Providers'!A298)=0,"",IF(ISNUMBER('Providers'!AD298),'Providers'!AD298,""))</f>
        <v/>
      </c>
      <c r="N299" s="35">
        <f>IF(LEN('Providers'!A298)=0,"",IF(LEN('Providers'!AG298)=0,"",'Providers'!AG298))</f>
        <v/>
      </c>
    </row>
    <row r="300">
      <c r="A300" s="32">
        <f>IF(LEN('Providers'!A299)=0,"",IF(LEN('Providers'!A299)=0,"",'Providers'!A299))</f>
        <v/>
      </c>
      <c r="B300" s="33">
        <f>IF(LEN('Providers'!A299)=0,"",IF(LEN('Providers'!B299)=0,"",'Providers'!B299))</f>
        <v/>
      </c>
      <c r="C300" s="33">
        <f>IF(LEN('Providers'!A299)=0,"",IF(LEN('Providers'!E299)=0,"",'Providers'!E299))</f>
        <v/>
      </c>
      <c r="D300" s="34">
        <f>IF(LEN('Providers'!A299)=0,"",IF(ISNUMBER('Providers'!G299),'Providers'!G299,""))</f>
        <v/>
      </c>
      <c r="E300" s="34">
        <f>IF(LEN('Providers'!A299)=0,"",IF(ISNUMBER('Providers'!I299),'Providers'!I299,""))</f>
        <v/>
      </c>
      <c r="F300" s="34">
        <f>IF(LEN('Providers'!A299)=0,"",IF(ISNUMBER('Providers'!K299),'Providers'!K299,""))</f>
        <v/>
      </c>
      <c r="G300" s="34">
        <f>IF(LEN('Providers'!A299)=0,"",IF(ISNUMBER('Providers'!M299),'Providers'!M299,""))</f>
        <v/>
      </c>
      <c r="H300" s="34">
        <f>IF(LEN('Providers'!A299)=0,"",IF(ISNUMBER('Providers'!Q299),'Providers'!Q299,""))</f>
        <v/>
      </c>
      <c r="I300" s="34">
        <f>IF(LEN('Providers'!A299)=0,"",IF(ISNUMBER('Providers'!S299),'Providers'!S299,""))</f>
        <v/>
      </c>
      <c r="J300" s="34">
        <f>IF(LEN('Providers'!A299)=0,"",IF(ISNUMBER('Providers'!W299),'Providers'!W299,""))</f>
        <v/>
      </c>
      <c r="K300" s="34">
        <f>IF(LEN('Providers'!A299)=0,"",IF(ISNUMBER('Providers'!Y299),'Providers'!Y299,""))</f>
        <v/>
      </c>
      <c r="L300" s="34">
        <f>IF(LEN('Providers'!A299)=0,"",IF(ISNUMBER('Providers'!AA299),'Providers'!AA299,""))</f>
        <v/>
      </c>
      <c r="M300" s="34">
        <f>IF(LEN('Providers'!A299)=0,"",IF(ISNUMBER('Providers'!AD299),'Providers'!AD299,""))</f>
        <v/>
      </c>
      <c r="N300" s="35">
        <f>IF(LEN('Providers'!A299)=0,"",IF(LEN('Providers'!AG299)=0,"",'Providers'!AG299))</f>
        <v/>
      </c>
    </row>
    <row r="301">
      <c r="A301" s="32">
        <f>IF(LEN('Providers'!A300)=0,"",IF(LEN('Providers'!A300)=0,"",'Providers'!A300))</f>
        <v/>
      </c>
      <c r="B301" s="33">
        <f>IF(LEN('Providers'!A300)=0,"",IF(LEN('Providers'!B300)=0,"",'Providers'!B300))</f>
        <v/>
      </c>
      <c r="C301" s="33">
        <f>IF(LEN('Providers'!A300)=0,"",IF(LEN('Providers'!E300)=0,"",'Providers'!E300))</f>
        <v/>
      </c>
      <c r="D301" s="34">
        <f>IF(LEN('Providers'!A300)=0,"",IF(ISNUMBER('Providers'!G300),'Providers'!G300,""))</f>
        <v/>
      </c>
      <c r="E301" s="34">
        <f>IF(LEN('Providers'!A300)=0,"",IF(ISNUMBER('Providers'!I300),'Providers'!I300,""))</f>
        <v/>
      </c>
      <c r="F301" s="34">
        <f>IF(LEN('Providers'!A300)=0,"",IF(ISNUMBER('Providers'!K300),'Providers'!K300,""))</f>
        <v/>
      </c>
      <c r="G301" s="34">
        <f>IF(LEN('Providers'!A300)=0,"",IF(ISNUMBER('Providers'!M300),'Providers'!M300,""))</f>
        <v/>
      </c>
      <c r="H301" s="34">
        <f>IF(LEN('Providers'!A300)=0,"",IF(ISNUMBER('Providers'!Q300),'Providers'!Q300,""))</f>
        <v/>
      </c>
      <c r="I301" s="34">
        <f>IF(LEN('Providers'!A300)=0,"",IF(ISNUMBER('Providers'!S300),'Providers'!S300,""))</f>
        <v/>
      </c>
      <c r="J301" s="34">
        <f>IF(LEN('Providers'!A300)=0,"",IF(ISNUMBER('Providers'!W300),'Providers'!W300,""))</f>
        <v/>
      </c>
      <c r="K301" s="34">
        <f>IF(LEN('Providers'!A300)=0,"",IF(ISNUMBER('Providers'!Y300),'Providers'!Y300,""))</f>
        <v/>
      </c>
      <c r="L301" s="34">
        <f>IF(LEN('Providers'!A300)=0,"",IF(ISNUMBER('Providers'!AA300),'Providers'!AA300,""))</f>
        <v/>
      </c>
      <c r="M301" s="34">
        <f>IF(LEN('Providers'!A300)=0,"",IF(ISNUMBER('Providers'!AD300),'Providers'!AD300,""))</f>
        <v/>
      </c>
      <c r="N301" s="35">
        <f>IF(LEN('Providers'!A300)=0,"",IF(LEN('Providers'!AG300)=0,"",'Providers'!AG300))</f>
        <v/>
      </c>
    </row>
    <row r="302">
      <c r="A302" s="32">
        <f>IF(LEN('Providers'!A301)=0,"",IF(LEN('Providers'!A301)=0,"",'Providers'!A301))</f>
        <v/>
      </c>
      <c r="B302" s="33">
        <f>IF(LEN('Providers'!A301)=0,"",IF(LEN('Providers'!B301)=0,"",'Providers'!B301))</f>
        <v/>
      </c>
      <c r="C302" s="33">
        <f>IF(LEN('Providers'!A301)=0,"",IF(LEN('Providers'!E301)=0,"",'Providers'!E301))</f>
        <v/>
      </c>
      <c r="D302" s="34">
        <f>IF(LEN('Providers'!A301)=0,"",IF(ISNUMBER('Providers'!G301),'Providers'!G301,""))</f>
        <v/>
      </c>
      <c r="E302" s="34">
        <f>IF(LEN('Providers'!A301)=0,"",IF(ISNUMBER('Providers'!I301),'Providers'!I301,""))</f>
        <v/>
      </c>
      <c r="F302" s="34">
        <f>IF(LEN('Providers'!A301)=0,"",IF(ISNUMBER('Providers'!K301),'Providers'!K301,""))</f>
        <v/>
      </c>
      <c r="G302" s="34">
        <f>IF(LEN('Providers'!A301)=0,"",IF(ISNUMBER('Providers'!M301),'Providers'!M301,""))</f>
        <v/>
      </c>
      <c r="H302" s="34">
        <f>IF(LEN('Providers'!A301)=0,"",IF(ISNUMBER('Providers'!Q301),'Providers'!Q301,""))</f>
        <v/>
      </c>
      <c r="I302" s="34">
        <f>IF(LEN('Providers'!A301)=0,"",IF(ISNUMBER('Providers'!S301),'Providers'!S301,""))</f>
        <v/>
      </c>
      <c r="J302" s="34">
        <f>IF(LEN('Providers'!A301)=0,"",IF(ISNUMBER('Providers'!W301),'Providers'!W301,""))</f>
        <v/>
      </c>
      <c r="K302" s="34">
        <f>IF(LEN('Providers'!A301)=0,"",IF(ISNUMBER('Providers'!Y301),'Providers'!Y301,""))</f>
        <v/>
      </c>
      <c r="L302" s="34">
        <f>IF(LEN('Providers'!A301)=0,"",IF(ISNUMBER('Providers'!AA301),'Providers'!AA301,""))</f>
        <v/>
      </c>
      <c r="M302" s="34">
        <f>IF(LEN('Providers'!A301)=0,"",IF(ISNUMBER('Providers'!AD301),'Providers'!AD301,""))</f>
        <v/>
      </c>
      <c r="N302" s="35">
        <f>IF(LEN('Providers'!A301)=0,"",IF(LEN('Providers'!AG301)=0,"",'Providers'!AG301))</f>
        <v/>
      </c>
    </row>
    <row r="303">
      <c r="A303" s="32">
        <f>IF(LEN('Providers'!A302)=0,"",IF(LEN('Providers'!A302)=0,"",'Providers'!A302))</f>
        <v/>
      </c>
      <c r="B303" s="33">
        <f>IF(LEN('Providers'!A302)=0,"",IF(LEN('Providers'!B302)=0,"",'Providers'!B302))</f>
        <v/>
      </c>
      <c r="C303" s="33">
        <f>IF(LEN('Providers'!A302)=0,"",IF(LEN('Providers'!E302)=0,"",'Providers'!E302))</f>
        <v/>
      </c>
      <c r="D303" s="34">
        <f>IF(LEN('Providers'!A302)=0,"",IF(ISNUMBER('Providers'!G302),'Providers'!G302,""))</f>
        <v/>
      </c>
      <c r="E303" s="34">
        <f>IF(LEN('Providers'!A302)=0,"",IF(ISNUMBER('Providers'!I302),'Providers'!I302,""))</f>
        <v/>
      </c>
      <c r="F303" s="34">
        <f>IF(LEN('Providers'!A302)=0,"",IF(ISNUMBER('Providers'!K302),'Providers'!K302,""))</f>
        <v/>
      </c>
      <c r="G303" s="34">
        <f>IF(LEN('Providers'!A302)=0,"",IF(ISNUMBER('Providers'!M302),'Providers'!M302,""))</f>
        <v/>
      </c>
      <c r="H303" s="34">
        <f>IF(LEN('Providers'!A302)=0,"",IF(ISNUMBER('Providers'!Q302),'Providers'!Q302,""))</f>
        <v/>
      </c>
      <c r="I303" s="34">
        <f>IF(LEN('Providers'!A302)=0,"",IF(ISNUMBER('Providers'!S302),'Providers'!S302,""))</f>
        <v/>
      </c>
      <c r="J303" s="34">
        <f>IF(LEN('Providers'!A302)=0,"",IF(ISNUMBER('Providers'!W302),'Providers'!W302,""))</f>
        <v/>
      </c>
      <c r="K303" s="34">
        <f>IF(LEN('Providers'!A302)=0,"",IF(ISNUMBER('Providers'!Y302),'Providers'!Y302,""))</f>
        <v/>
      </c>
      <c r="L303" s="34">
        <f>IF(LEN('Providers'!A302)=0,"",IF(ISNUMBER('Providers'!AA302),'Providers'!AA302,""))</f>
        <v/>
      </c>
      <c r="M303" s="34">
        <f>IF(LEN('Providers'!A302)=0,"",IF(ISNUMBER('Providers'!AD302),'Providers'!AD302,""))</f>
        <v/>
      </c>
      <c r="N303" s="35">
        <f>IF(LEN('Providers'!A302)=0,"",IF(LEN('Providers'!AG302)=0,"",'Providers'!AG302))</f>
        <v/>
      </c>
    </row>
    <row r="304">
      <c r="A304" s="32">
        <f>IF(LEN('Providers'!A303)=0,"",IF(LEN('Providers'!A303)=0,"",'Providers'!A303))</f>
        <v/>
      </c>
      <c r="B304" s="33">
        <f>IF(LEN('Providers'!A303)=0,"",IF(LEN('Providers'!B303)=0,"",'Providers'!B303))</f>
        <v/>
      </c>
      <c r="C304" s="33">
        <f>IF(LEN('Providers'!A303)=0,"",IF(LEN('Providers'!E303)=0,"",'Providers'!E303))</f>
        <v/>
      </c>
      <c r="D304" s="34">
        <f>IF(LEN('Providers'!A303)=0,"",IF(ISNUMBER('Providers'!G303),'Providers'!G303,""))</f>
        <v/>
      </c>
      <c r="E304" s="34">
        <f>IF(LEN('Providers'!A303)=0,"",IF(ISNUMBER('Providers'!I303),'Providers'!I303,""))</f>
        <v/>
      </c>
      <c r="F304" s="34">
        <f>IF(LEN('Providers'!A303)=0,"",IF(ISNUMBER('Providers'!K303),'Providers'!K303,""))</f>
        <v/>
      </c>
      <c r="G304" s="34">
        <f>IF(LEN('Providers'!A303)=0,"",IF(ISNUMBER('Providers'!M303),'Providers'!M303,""))</f>
        <v/>
      </c>
      <c r="H304" s="34">
        <f>IF(LEN('Providers'!A303)=0,"",IF(ISNUMBER('Providers'!Q303),'Providers'!Q303,""))</f>
        <v/>
      </c>
      <c r="I304" s="34">
        <f>IF(LEN('Providers'!A303)=0,"",IF(ISNUMBER('Providers'!S303),'Providers'!S303,""))</f>
        <v/>
      </c>
      <c r="J304" s="34">
        <f>IF(LEN('Providers'!A303)=0,"",IF(ISNUMBER('Providers'!W303),'Providers'!W303,""))</f>
        <v/>
      </c>
      <c r="K304" s="34">
        <f>IF(LEN('Providers'!A303)=0,"",IF(ISNUMBER('Providers'!Y303),'Providers'!Y303,""))</f>
        <v/>
      </c>
      <c r="L304" s="34">
        <f>IF(LEN('Providers'!A303)=0,"",IF(ISNUMBER('Providers'!AA303),'Providers'!AA303,""))</f>
        <v/>
      </c>
      <c r="M304" s="34">
        <f>IF(LEN('Providers'!A303)=0,"",IF(ISNUMBER('Providers'!AD303),'Providers'!AD303,""))</f>
        <v/>
      </c>
      <c r="N304" s="35">
        <f>IF(LEN('Providers'!A303)=0,"",IF(LEN('Providers'!AG303)=0,"",'Providers'!AG303))</f>
        <v/>
      </c>
    </row>
    <row r="305">
      <c r="A305" s="32">
        <f>IF(LEN('Providers'!A304)=0,"",IF(LEN('Providers'!A304)=0,"",'Providers'!A304))</f>
        <v/>
      </c>
      <c r="B305" s="33">
        <f>IF(LEN('Providers'!A304)=0,"",IF(LEN('Providers'!B304)=0,"",'Providers'!B304))</f>
        <v/>
      </c>
      <c r="C305" s="33">
        <f>IF(LEN('Providers'!A304)=0,"",IF(LEN('Providers'!E304)=0,"",'Providers'!E304))</f>
        <v/>
      </c>
      <c r="D305" s="34">
        <f>IF(LEN('Providers'!A304)=0,"",IF(ISNUMBER('Providers'!G304),'Providers'!G304,""))</f>
        <v/>
      </c>
      <c r="E305" s="34">
        <f>IF(LEN('Providers'!A304)=0,"",IF(ISNUMBER('Providers'!I304),'Providers'!I304,""))</f>
        <v/>
      </c>
      <c r="F305" s="34">
        <f>IF(LEN('Providers'!A304)=0,"",IF(ISNUMBER('Providers'!K304),'Providers'!K304,""))</f>
        <v/>
      </c>
      <c r="G305" s="34">
        <f>IF(LEN('Providers'!A304)=0,"",IF(ISNUMBER('Providers'!M304),'Providers'!M304,""))</f>
        <v/>
      </c>
      <c r="H305" s="34">
        <f>IF(LEN('Providers'!A304)=0,"",IF(ISNUMBER('Providers'!Q304),'Providers'!Q304,""))</f>
        <v/>
      </c>
      <c r="I305" s="34">
        <f>IF(LEN('Providers'!A304)=0,"",IF(ISNUMBER('Providers'!S304),'Providers'!S304,""))</f>
        <v/>
      </c>
      <c r="J305" s="34">
        <f>IF(LEN('Providers'!A304)=0,"",IF(ISNUMBER('Providers'!W304),'Providers'!W304,""))</f>
        <v/>
      </c>
      <c r="K305" s="34">
        <f>IF(LEN('Providers'!A304)=0,"",IF(ISNUMBER('Providers'!Y304),'Providers'!Y304,""))</f>
        <v/>
      </c>
      <c r="L305" s="34">
        <f>IF(LEN('Providers'!A304)=0,"",IF(ISNUMBER('Providers'!AA304),'Providers'!AA304,""))</f>
        <v/>
      </c>
      <c r="M305" s="34">
        <f>IF(LEN('Providers'!A304)=0,"",IF(ISNUMBER('Providers'!AD304),'Providers'!AD304,""))</f>
        <v/>
      </c>
      <c r="N305" s="35">
        <f>IF(LEN('Providers'!A304)=0,"",IF(LEN('Providers'!AG304)=0,"",'Providers'!AG304))</f>
        <v/>
      </c>
    </row>
    <row r="306">
      <c r="A306" s="32">
        <f>IF(LEN('Providers'!A305)=0,"",IF(LEN('Providers'!A305)=0,"",'Providers'!A305))</f>
        <v/>
      </c>
      <c r="B306" s="33">
        <f>IF(LEN('Providers'!A305)=0,"",IF(LEN('Providers'!B305)=0,"",'Providers'!B305))</f>
        <v/>
      </c>
      <c r="C306" s="33">
        <f>IF(LEN('Providers'!A305)=0,"",IF(LEN('Providers'!E305)=0,"",'Providers'!E305))</f>
        <v/>
      </c>
      <c r="D306" s="34">
        <f>IF(LEN('Providers'!A305)=0,"",IF(ISNUMBER('Providers'!G305),'Providers'!G305,""))</f>
        <v/>
      </c>
      <c r="E306" s="34">
        <f>IF(LEN('Providers'!A305)=0,"",IF(ISNUMBER('Providers'!I305),'Providers'!I305,""))</f>
        <v/>
      </c>
      <c r="F306" s="34">
        <f>IF(LEN('Providers'!A305)=0,"",IF(ISNUMBER('Providers'!K305),'Providers'!K305,""))</f>
        <v/>
      </c>
      <c r="G306" s="34">
        <f>IF(LEN('Providers'!A305)=0,"",IF(ISNUMBER('Providers'!M305),'Providers'!M305,""))</f>
        <v/>
      </c>
      <c r="H306" s="34">
        <f>IF(LEN('Providers'!A305)=0,"",IF(ISNUMBER('Providers'!Q305),'Providers'!Q305,""))</f>
        <v/>
      </c>
      <c r="I306" s="34">
        <f>IF(LEN('Providers'!A305)=0,"",IF(ISNUMBER('Providers'!S305),'Providers'!S305,""))</f>
        <v/>
      </c>
      <c r="J306" s="34">
        <f>IF(LEN('Providers'!A305)=0,"",IF(ISNUMBER('Providers'!W305),'Providers'!W305,""))</f>
        <v/>
      </c>
      <c r="K306" s="34">
        <f>IF(LEN('Providers'!A305)=0,"",IF(ISNUMBER('Providers'!Y305),'Providers'!Y305,""))</f>
        <v/>
      </c>
      <c r="L306" s="34">
        <f>IF(LEN('Providers'!A305)=0,"",IF(ISNUMBER('Providers'!AA305),'Providers'!AA305,""))</f>
        <v/>
      </c>
      <c r="M306" s="34">
        <f>IF(LEN('Providers'!A305)=0,"",IF(ISNUMBER('Providers'!AD305),'Providers'!AD305,""))</f>
        <v/>
      </c>
      <c r="N306" s="35">
        <f>IF(LEN('Providers'!A305)=0,"",IF(LEN('Providers'!AG305)=0,"",'Providers'!AG305))</f>
        <v/>
      </c>
    </row>
    <row r="307">
      <c r="A307" s="32">
        <f>IF(LEN('Providers'!A306)=0,"",IF(LEN('Providers'!A306)=0,"",'Providers'!A306))</f>
        <v/>
      </c>
      <c r="B307" s="33">
        <f>IF(LEN('Providers'!A306)=0,"",IF(LEN('Providers'!B306)=0,"",'Providers'!B306))</f>
        <v/>
      </c>
      <c r="C307" s="33">
        <f>IF(LEN('Providers'!A306)=0,"",IF(LEN('Providers'!E306)=0,"",'Providers'!E306))</f>
        <v/>
      </c>
      <c r="D307" s="34">
        <f>IF(LEN('Providers'!A306)=0,"",IF(ISNUMBER('Providers'!G306),'Providers'!G306,""))</f>
        <v/>
      </c>
      <c r="E307" s="34">
        <f>IF(LEN('Providers'!A306)=0,"",IF(ISNUMBER('Providers'!I306),'Providers'!I306,""))</f>
        <v/>
      </c>
      <c r="F307" s="34">
        <f>IF(LEN('Providers'!A306)=0,"",IF(ISNUMBER('Providers'!K306),'Providers'!K306,""))</f>
        <v/>
      </c>
      <c r="G307" s="34">
        <f>IF(LEN('Providers'!A306)=0,"",IF(ISNUMBER('Providers'!M306),'Providers'!M306,""))</f>
        <v/>
      </c>
      <c r="H307" s="34">
        <f>IF(LEN('Providers'!A306)=0,"",IF(ISNUMBER('Providers'!Q306),'Providers'!Q306,""))</f>
        <v/>
      </c>
      <c r="I307" s="34">
        <f>IF(LEN('Providers'!A306)=0,"",IF(ISNUMBER('Providers'!S306),'Providers'!S306,""))</f>
        <v/>
      </c>
      <c r="J307" s="34">
        <f>IF(LEN('Providers'!A306)=0,"",IF(ISNUMBER('Providers'!W306),'Providers'!W306,""))</f>
        <v/>
      </c>
      <c r="K307" s="34">
        <f>IF(LEN('Providers'!A306)=0,"",IF(ISNUMBER('Providers'!Y306),'Providers'!Y306,""))</f>
        <v/>
      </c>
      <c r="L307" s="34">
        <f>IF(LEN('Providers'!A306)=0,"",IF(ISNUMBER('Providers'!AA306),'Providers'!AA306,""))</f>
        <v/>
      </c>
      <c r="M307" s="34">
        <f>IF(LEN('Providers'!A306)=0,"",IF(ISNUMBER('Providers'!AD306),'Providers'!AD306,""))</f>
        <v/>
      </c>
      <c r="N307" s="35">
        <f>IF(LEN('Providers'!A306)=0,"",IF(LEN('Providers'!AG306)=0,"",'Providers'!AG306))</f>
        <v/>
      </c>
    </row>
    <row r="308">
      <c r="A308" s="32">
        <f>IF(LEN('Providers'!A307)=0,"",IF(LEN('Providers'!A307)=0,"",'Providers'!A307))</f>
        <v/>
      </c>
      <c r="B308" s="33">
        <f>IF(LEN('Providers'!A307)=0,"",IF(LEN('Providers'!B307)=0,"",'Providers'!B307))</f>
        <v/>
      </c>
      <c r="C308" s="33">
        <f>IF(LEN('Providers'!A307)=0,"",IF(LEN('Providers'!E307)=0,"",'Providers'!E307))</f>
        <v/>
      </c>
      <c r="D308" s="34">
        <f>IF(LEN('Providers'!A307)=0,"",IF(ISNUMBER('Providers'!G307),'Providers'!G307,""))</f>
        <v/>
      </c>
      <c r="E308" s="34">
        <f>IF(LEN('Providers'!A307)=0,"",IF(ISNUMBER('Providers'!I307),'Providers'!I307,""))</f>
        <v/>
      </c>
      <c r="F308" s="34">
        <f>IF(LEN('Providers'!A307)=0,"",IF(ISNUMBER('Providers'!K307),'Providers'!K307,""))</f>
        <v/>
      </c>
      <c r="G308" s="34">
        <f>IF(LEN('Providers'!A307)=0,"",IF(ISNUMBER('Providers'!M307),'Providers'!M307,""))</f>
        <v/>
      </c>
      <c r="H308" s="34">
        <f>IF(LEN('Providers'!A307)=0,"",IF(ISNUMBER('Providers'!Q307),'Providers'!Q307,""))</f>
        <v/>
      </c>
      <c r="I308" s="34">
        <f>IF(LEN('Providers'!A307)=0,"",IF(ISNUMBER('Providers'!S307),'Providers'!S307,""))</f>
        <v/>
      </c>
      <c r="J308" s="34">
        <f>IF(LEN('Providers'!A307)=0,"",IF(ISNUMBER('Providers'!W307),'Providers'!W307,""))</f>
        <v/>
      </c>
      <c r="K308" s="34">
        <f>IF(LEN('Providers'!A307)=0,"",IF(ISNUMBER('Providers'!Y307),'Providers'!Y307,""))</f>
        <v/>
      </c>
      <c r="L308" s="34">
        <f>IF(LEN('Providers'!A307)=0,"",IF(ISNUMBER('Providers'!AA307),'Providers'!AA307,""))</f>
        <v/>
      </c>
      <c r="M308" s="34">
        <f>IF(LEN('Providers'!A307)=0,"",IF(ISNUMBER('Providers'!AD307),'Providers'!AD307,""))</f>
        <v/>
      </c>
      <c r="N308" s="35">
        <f>IF(LEN('Providers'!A307)=0,"",IF(LEN('Providers'!AG307)=0,"",'Providers'!AG307))</f>
        <v/>
      </c>
    </row>
    <row r="309">
      <c r="A309" s="32">
        <f>IF(LEN('Providers'!A308)=0,"",IF(LEN('Providers'!A308)=0,"",'Providers'!A308))</f>
        <v/>
      </c>
      <c r="B309" s="33">
        <f>IF(LEN('Providers'!A308)=0,"",IF(LEN('Providers'!B308)=0,"",'Providers'!B308))</f>
        <v/>
      </c>
      <c r="C309" s="33">
        <f>IF(LEN('Providers'!A308)=0,"",IF(LEN('Providers'!E308)=0,"",'Providers'!E308))</f>
        <v/>
      </c>
      <c r="D309" s="34">
        <f>IF(LEN('Providers'!A308)=0,"",IF(ISNUMBER('Providers'!G308),'Providers'!G308,""))</f>
        <v/>
      </c>
      <c r="E309" s="34">
        <f>IF(LEN('Providers'!A308)=0,"",IF(ISNUMBER('Providers'!I308),'Providers'!I308,""))</f>
        <v/>
      </c>
      <c r="F309" s="34">
        <f>IF(LEN('Providers'!A308)=0,"",IF(ISNUMBER('Providers'!K308),'Providers'!K308,""))</f>
        <v/>
      </c>
      <c r="G309" s="34">
        <f>IF(LEN('Providers'!A308)=0,"",IF(ISNUMBER('Providers'!M308),'Providers'!M308,""))</f>
        <v/>
      </c>
      <c r="H309" s="34">
        <f>IF(LEN('Providers'!A308)=0,"",IF(ISNUMBER('Providers'!Q308),'Providers'!Q308,""))</f>
        <v/>
      </c>
      <c r="I309" s="34">
        <f>IF(LEN('Providers'!A308)=0,"",IF(ISNUMBER('Providers'!S308),'Providers'!S308,""))</f>
        <v/>
      </c>
      <c r="J309" s="34">
        <f>IF(LEN('Providers'!A308)=0,"",IF(ISNUMBER('Providers'!W308),'Providers'!W308,""))</f>
        <v/>
      </c>
      <c r="K309" s="34">
        <f>IF(LEN('Providers'!A308)=0,"",IF(ISNUMBER('Providers'!Y308),'Providers'!Y308,""))</f>
        <v/>
      </c>
      <c r="L309" s="34">
        <f>IF(LEN('Providers'!A308)=0,"",IF(ISNUMBER('Providers'!AA308),'Providers'!AA308,""))</f>
        <v/>
      </c>
      <c r="M309" s="34">
        <f>IF(LEN('Providers'!A308)=0,"",IF(ISNUMBER('Providers'!AD308),'Providers'!AD308,""))</f>
        <v/>
      </c>
      <c r="N309" s="35">
        <f>IF(LEN('Providers'!A308)=0,"",IF(LEN('Providers'!AG308)=0,"",'Providers'!AG308))</f>
        <v/>
      </c>
    </row>
    <row r="310">
      <c r="A310" s="32">
        <f>IF(LEN('Providers'!A309)=0,"",IF(LEN('Providers'!A309)=0,"",'Providers'!A309))</f>
        <v/>
      </c>
      <c r="B310" s="33">
        <f>IF(LEN('Providers'!A309)=0,"",IF(LEN('Providers'!B309)=0,"",'Providers'!B309))</f>
        <v/>
      </c>
      <c r="C310" s="33">
        <f>IF(LEN('Providers'!A309)=0,"",IF(LEN('Providers'!E309)=0,"",'Providers'!E309))</f>
        <v/>
      </c>
      <c r="D310" s="34">
        <f>IF(LEN('Providers'!A309)=0,"",IF(ISNUMBER('Providers'!G309),'Providers'!G309,""))</f>
        <v/>
      </c>
      <c r="E310" s="34">
        <f>IF(LEN('Providers'!A309)=0,"",IF(ISNUMBER('Providers'!I309),'Providers'!I309,""))</f>
        <v/>
      </c>
      <c r="F310" s="34">
        <f>IF(LEN('Providers'!A309)=0,"",IF(ISNUMBER('Providers'!K309),'Providers'!K309,""))</f>
        <v/>
      </c>
      <c r="G310" s="34">
        <f>IF(LEN('Providers'!A309)=0,"",IF(ISNUMBER('Providers'!M309),'Providers'!M309,""))</f>
        <v/>
      </c>
      <c r="H310" s="34">
        <f>IF(LEN('Providers'!A309)=0,"",IF(ISNUMBER('Providers'!Q309),'Providers'!Q309,""))</f>
        <v/>
      </c>
      <c r="I310" s="34">
        <f>IF(LEN('Providers'!A309)=0,"",IF(ISNUMBER('Providers'!S309),'Providers'!S309,""))</f>
        <v/>
      </c>
      <c r="J310" s="34">
        <f>IF(LEN('Providers'!A309)=0,"",IF(ISNUMBER('Providers'!W309),'Providers'!W309,""))</f>
        <v/>
      </c>
      <c r="K310" s="34">
        <f>IF(LEN('Providers'!A309)=0,"",IF(ISNUMBER('Providers'!Y309),'Providers'!Y309,""))</f>
        <v/>
      </c>
      <c r="L310" s="34">
        <f>IF(LEN('Providers'!A309)=0,"",IF(ISNUMBER('Providers'!AA309),'Providers'!AA309,""))</f>
        <v/>
      </c>
      <c r="M310" s="34">
        <f>IF(LEN('Providers'!A309)=0,"",IF(ISNUMBER('Providers'!AD309),'Providers'!AD309,""))</f>
        <v/>
      </c>
      <c r="N310" s="35">
        <f>IF(LEN('Providers'!A309)=0,"",IF(LEN('Providers'!AG309)=0,"",'Providers'!AG309))</f>
        <v/>
      </c>
    </row>
    <row r="311">
      <c r="A311" s="32">
        <f>IF(LEN('Providers'!A310)=0,"",IF(LEN('Providers'!A310)=0,"",'Providers'!A310))</f>
        <v/>
      </c>
      <c r="B311" s="33">
        <f>IF(LEN('Providers'!A310)=0,"",IF(LEN('Providers'!B310)=0,"",'Providers'!B310))</f>
        <v/>
      </c>
      <c r="C311" s="33">
        <f>IF(LEN('Providers'!A310)=0,"",IF(LEN('Providers'!E310)=0,"",'Providers'!E310))</f>
        <v/>
      </c>
      <c r="D311" s="34">
        <f>IF(LEN('Providers'!A310)=0,"",IF(ISNUMBER('Providers'!G310),'Providers'!G310,""))</f>
        <v/>
      </c>
      <c r="E311" s="34">
        <f>IF(LEN('Providers'!A310)=0,"",IF(ISNUMBER('Providers'!I310),'Providers'!I310,""))</f>
        <v/>
      </c>
      <c r="F311" s="34">
        <f>IF(LEN('Providers'!A310)=0,"",IF(ISNUMBER('Providers'!K310),'Providers'!K310,""))</f>
        <v/>
      </c>
      <c r="G311" s="34">
        <f>IF(LEN('Providers'!A310)=0,"",IF(ISNUMBER('Providers'!M310),'Providers'!M310,""))</f>
        <v/>
      </c>
      <c r="H311" s="34">
        <f>IF(LEN('Providers'!A310)=0,"",IF(ISNUMBER('Providers'!Q310),'Providers'!Q310,""))</f>
        <v/>
      </c>
      <c r="I311" s="34">
        <f>IF(LEN('Providers'!A310)=0,"",IF(ISNUMBER('Providers'!S310),'Providers'!S310,""))</f>
        <v/>
      </c>
      <c r="J311" s="34">
        <f>IF(LEN('Providers'!A310)=0,"",IF(ISNUMBER('Providers'!W310),'Providers'!W310,""))</f>
        <v/>
      </c>
      <c r="K311" s="34">
        <f>IF(LEN('Providers'!A310)=0,"",IF(ISNUMBER('Providers'!Y310),'Providers'!Y310,""))</f>
        <v/>
      </c>
      <c r="L311" s="34">
        <f>IF(LEN('Providers'!A310)=0,"",IF(ISNUMBER('Providers'!AA310),'Providers'!AA310,""))</f>
        <v/>
      </c>
      <c r="M311" s="34">
        <f>IF(LEN('Providers'!A310)=0,"",IF(ISNUMBER('Providers'!AD310),'Providers'!AD310,""))</f>
        <v/>
      </c>
      <c r="N311" s="35">
        <f>IF(LEN('Providers'!A310)=0,"",IF(LEN('Providers'!AG310)=0,"",'Providers'!AG310))</f>
        <v/>
      </c>
    </row>
    <row r="312">
      <c r="A312" s="32">
        <f>IF(LEN('Providers'!A311)=0,"",IF(LEN('Providers'!A311)=0,"",'Providers'!A311))</f>
        <v/>
      </c>
      <c r="B312" s="33">
        <f>IF(LEN('Providers'!A311)=0,"",IF(LEN('Providers'!B311)=0,"",'Providers'!B311))</f>
        <v/>
      </c>
      <c r="C312" s="33">
        <f>IF(LEN('Providers'!A311)=0,"",IF(LEN('Providers'!E311)=0,"",'Providers'!E311))</f>
        <v/>
      </c>
      <c r="D312" s="34">
        <f>IF(LEN('Providers'!A311)=0,"",IF(ISNUMBER('Providers'!G311),'Providers'!G311,""))</f>
        <v/>
      </c>
      <c r="E312" s="34">
        <f>IF(LEN('Providers'!A311)=0,"",IF(ISNUMBER('Providers'!I311),'Providers'!I311,""))</f>
        <v/>
      </c>
      <c r="F312" s="34">
        <f>IF(LEN('Providers'!A311)=0,"",IF(ISNUMBER('Providers'!K311),'Providers'!K311,""))</f>
        <v/>
      </c>
      <c r="G312" s="34">
        <f>IF(LEN('Providers'!A311)=0,"",IF(ISNUMBER('Providers'!M311),'Providers'!M311,""))</f>
        <v/>
      </c>
      <c r="H312" s="34">
        <f>IF(LEN('Providers'!A311)=0,"",IF(ISNUMBER('Providers'!Q311),'Providers'!Q311,""))</f>
        <v/>
      </c>
      <c r="I312" s="34">
        <f>IF(LEN('Providers'!A311)=0,"",IF(ISNUMBER('Providers'!S311),'Providers'!S311,""))</f>
        <v/>
      </c>
      <c r="J312" s="34">
        <f>IF(LEN('Providers'!A311)=0,"",IF(ISNUMBER('Providers'!W311),'Providers'!W311,""))</f>
        <v/>
      </c>
      <c r="K312" s="34">
        <f>IF(LEN('Providers'!A311)=0,"",IF(ISNUMBER('Providers'!Y311),'Providers'!Y311,""))</f>
        <v/>
      </c>
      <c r="L312" s="34">
        <f>IF(LEN('Providers'!A311)=0,"",IF(ISNUMBER('Providers'!AA311),'Providers'!AA311,""))</f>
        <v/>
      </c>
      <c r="M312" s="34">
        <f>IF(LEN('Providers'!A311)=0,"",IF(ISNUMBER('Providers'!AD311),'Providers'!AD311,""))</f>
        <v/>
      </c>
      <c r="N312" s="35">
        <f>IF(LEN('Providers'!A311)=0,"",IF(LEN('Providers'!AG311)=0,"",'Providers'!AG311))</f>
        <v/>
      </c>
    </row>
    <row r="313">
      <c r="A313" s="32">
        <f>IF(LEN('Providers'!A312)=0,"",IF(LEN('Providers'!A312)=0,"",'Providers'!A312))</f>
        <v/>
      </c>
      <c r="B313" s="33">
        <f>IF(LEN('Providers'!A312)=0,"",IF(LEN('Providers'!B312)=0,"",'Providers'!B312))</f>
        <v/>
      </c>
      <c r="C313" s="33">
        <f>IF(LEN('Providers'!A312)=0,"",IF(LEN('Providers'!E312)=0,"",'Providers'!E312))</f>
        <v/>
      </c>
      <c r="D313" s="34">
        <f>IF(LEN('Providers'!A312)=0,"",IF(ISNUMBER('Providers'!G312),'Providers'!G312,""))</f>
        <v/>
      </c>
      <c r="E313" s="34">
        <f>IF(LEN('Providers'!A312)=0,"",IF(ISNUMBER('Providers'!I312),'Providers'!I312,""))</f>
        <v/>
      </c>
      <c r="F313" s="34">
        <f>IF(LEN('Providers'!A312)=0,"",IF(ISNUMBER('Providers'!K312),'Providers'!K312,""))</f>
        <v/>
      </c>
      <c r="G313" s="34">
        <f>IF(LEN('Providers'!A312)=0,"",IF(ISNUMBER('Providers'!M312),'Providers'!M312,""))</f>
        <v/>
      </c>
      <c r="H313" s="34">
        <f>IF(LEN('Providers'!A312)=0,"",IF(ISNUMBER('Providers'!Q312),'Providers'!Q312,""))</f>
        <v/>
      </c>
      <c r="I313" s="34">
        <f>IF(LEN('Providers'!A312)=0,"",IF(ISNUMBER('Providers'!S312),'Providers'!S312,""))</f>
        <v/>
      </c>
      <c r="J313" s="34">
        <f>IF(LEN('Providers'!A312)=0,"",IF(ISNUMBER('Providers'!W312),'Providers'!W312,""))</f>
        <v/>
      </c>
      <c r="K313" s="34">
        <f>IF(LEN('Providers'!A312)=0,"",IF(ISNUMBER('Providers'!Y312),'Providers'!Y312,""))</f>
        <v/>
      </c>
      <c r="L313" s="34">
        <f>IF(LEN('Providers'!A312)=0,"",IF(ISNUMBER('Providers'!AA312),'Providers'!AA312,""))</f>
        <v/>
      </c>
      <c r="M313" s="34">
        <f>IF(LEN('Providers'!A312)=0,"",IF(ISNUMBER('Providers'!AD312),'Providers'!AD312,""))</f>
        <v/>
      </c>
      <c r="N313" s="35">
        <f>IF(LEN('Providers'!A312)=0,"",IF(LEN('Providers'!AG312)=0,"",'Providers'!AG312))</f>
        <v/>
      </c>
    </row>
    <row r="314">
      <c r="A314" s="32">
        <f>IF(LEN('Providers'!A313)=0,"",IF(LEN('Providers'!A313)=0,"",'Providers'!A313))</f>
        <v/>
      </c>
      <c r="B314" s="33">
        <f>IF(LEN('Providers'!A313)=0,"",IF(LEN('Providers'!B313)=0,"",'Providers'!B313))</f>
        <v/>
      </c>
      <c r="C314" s="33">
        <f>IF(LEN('Providers'!A313)=0,"",IF(LEN('Providers'!E313)=0,"",'Providers'!E313))</f>
        <v/>
      </c>
      <c r="D314" s="34">
        <f>IF(LEN('Providers'!A313)=0,"",IF(ISNUMBER('Providers'!G313),'Providers'!G313,""))</f>
        <v/>
      </c>
      <c r="E314" s="34">
        <f>IF(LEN('Providers'!A313)=0,"",IF(ISNUMBER('Providers'!I313),'Providers'!I313,""))</f>
        <v/>
      </c>
      <c r="F314" s="34">
        <f>IF(LEN('Providers'!A313)=0,"",IF(ISNUMBER('Providers'!K313),'Providers'!K313,""))</f>
        <v/>
      </c>
      <c r="G314" s="34">
        <f>IF(LEN('Providers'!A313)=0,"",IF(ISNUMBER('Providers'!M313),'Providers'!M313,""))</f>
        <v/>
      </c>
      <c r="H314" s="34">
        <f>IF(LEN('Providers'!A313)=0,"",IF(ISNUMBER('Providers'!Q313),'Providers'!Q313,""))</f>
        <v/>
      </c>
      <c r="I314" s="34">
        <f>IF(LEN('Providers'!A313)=0,"",IF(ISNUMBER('Providers'!S313),'Providers'!S313,""))</f>
        <v/>
      </c>
      <c r="J314" s="34">
        <f>IF(LEN('Providers'!A313)=0,"",IF(ISNUMBER('Providers'!W313),'Providers'!W313,""))</f>
        <v/>
      </c>
      <c r="K314" s="34">
        <f>IF(LEN('Providers'!A313)=0,"",IF(ISNUMBER('Providers'!Y313),'Providers'!Y313,""))</f>
        <v/>
      </c>
      <c r="L314" s="34">
        <f>IF(LEN('Providers'!A313)=0,"",IF(ISNUMBER('Providers'!AA313),'Providers'!AA313,""))</f>
        <v/>
      </c>
      <c r="M314" s="34">
        <f>IF(LEN('Providers'!A313)=0,"",IF(ISNUMBER('Providers'!AD313),'Providers'!AD313,""))</f>
        <v/>
      </c>
      <c r="N314" s="35">
        <f>IF(LEN('Providers'!A313)=0,"",IF(LEN('Providers'!AG313)=0,"",'Providers'!AG313))</f>
        <v/>
      </c>
    </row>
    <row r="315">
      <c r="A315" s="32">
        <f>IF(LEN('Providers'!A314)=0,"",IF(LEN('Providers'!A314)=0,"",'Providers'!A314))</f>
        <v/>
      </c>
      <c r="B315" s="33">
        <f>IF(LEN('Providers'!A314)=0,"",IF(LEN('Providers'!B314)=0,"",'Providers'!B314))</f>
        <v/>
      </c>
      <c r="C315" s="33">
        <f>IF(LEN('Providers'!A314)=0,"",IF(LEN('Providers'!E314)=0,"",'Providers'!E314))</f>
        <v/>
      </c>
      <c r="D315" s="34">
        <f>IF(LEN('Providers'!A314)=0,"",IF(ISNUMBER('Providers'!G314),'Providers'!G314,""))</f>
        <v/>
      </c>
      <c r="E315" s="34">
        <f>IF(LEN('Providers'!A314)=0,"",IF(ISNUMBER('Providers'!I314),'Providers'!I314,""))</f>
        <v/>
      </c>
      <c r="F315" s="34">
        <f>IF(LEN('Providers'!A314)=0,"",IF(ISNUMBER('Providers'!K314),'Providers'!K314,""))</f>
        <v/>
      </c>
      <c r="G315" s="34">
        <f>IF(LEN('Providers'!A314)=0,"",IF(ISNUMBER('Providers'!M314),'Providers'!M314,""))</f>
        <v/>
      </c>
      <c r="H315" s="34">
        <f>IF(LEN('Providers'!A314)=0,"",IF(ISNUMBER('Providers'!Q314),'Providers'!Q314,""))</f>
        <v/>
      </c>
      <c r="I315" s="34">
        <f>IF(LEN('Providers'!A314)=0,"",IF(ISNUMBER('Providers'!S314),'Providers'!S314,""))</f>
        <v/>
      </c>
      <c r="J315" s="34">
        <f>IF(LEN('Providers'!A314)=0,"",IF(ISNUMBER('Providers'!W314),'Providers'!W314,""))</f>
        <v/>
      </c>
      <c r="K315" s="34">
        <f>IF(LEN('Providers'!A314)=0,"",IF(ISNUMBER('Providers'!Y314),'Providers'!Y314,""))</f>
        <v/>
      </c>
      <c r="L315" s="34">
        <f>IF(LEN('Providers'!A314)=0,"",IF(ISNUMBER('Providers'!AA314),'Providers'!AA314,""))</f>
        <v/>
      </c>
      <c r="M315" s="34">
        <f>IF(LEN('Providers'!A314)=0,"",IF(ISNUMBER('Providers'!AD314),'Providers'!AD314,""))</f>
        <v/>
      </c>
      <c r="N315" s="35">
        <f>IF(LEN('Providers'!A314)=0,"",IF(LEN('Providers'!AG314)=0,"",'Providers'!AG314))</f>
        <v/>
      </c>
    </row>
    <row r="316">
      <c r="A316" s="32">
        <f>IF(LEN('Providers'!A315)=0,"",IF(LEN('Providers'!A315)=0,"",'Providers'!A315))</f>
        <v/>
      </c>
      <c r="B316" s="33">
        <f>IF(LEN('Providers'!A315)=0,"",IF(LEN('Providers'!B315)=0,"",'Providers'!B315))</f>
        <v/>
      </c>
      <c r="C316" s="33">
        <f>IF(LEN('Providers'!A315)=0,"",IF(LEN('Providers'!E315)=0,"",'Providers'!E315))</f>
        <v/>
      </c>
      <c r="D316" s="34">
        <f>IF(LEN('Providers'!A315)=0,"",IF(ISNUMBER('Providers'!G315),'Providers'!G315,""))</f>
        <v/>
      </c>
      <c r="E316" s="34">
        <f>IF(LEN('Providers'!A315)=0,"",IF(ISNUMBER('Providers'!I315),'Providers'!I315,""))</f>
        <v/>
      </c>
      <c r="F316" s="34">
        <f>IF(LEN('Providers'!A315)=0,"",IF(ISNUMBER('Providers'!K315),'Providers'!K315,""))</f>
        <v/>
      </c>
      <c r="G316" s="34">
        <f>IF(LEN('Providers'!A315)=0,"",IF(ISNUMBER('Providers'!M315),'Providers'!M315,""))</f>
        <v/>
      </c>
      <c r="H316" s="34">
        <f>IF(LEN('Providers'!A315)=0,"",IF(ISNUMBER('Providers'!Q315),'Providers'!Q315,""))</f>
        <v/>
      </c>
      <c r="I316" s="34">
        <f>IF(LEN('Providers'!A315)=0,"",IF(ISNUMBER('Providers'!S315),'Providers'!S315,""))</f>
        <v/>
      </c>
      <c r="J316" s="34">
        <f>IF(LEN('Providers'!A315)=0,"",IF(ISNUMBER('Providers'!W315),'Providers'!W315,""))</f>
        <v/>
      </c>
      <c r="K316" s="34">
        <f>IF(LEN('Providers'!A315)=0,"",IF(ISNUMBER('Providers'!Y315),'Providers'!Y315,""))</f>
        <v/>
      </c>
      <c r="L316" s="34">
        <f>IF(LEN('Providers'!A315)=0,"",IF(ISNUMBER('Providers'!AA315),'Providers'!AA315,""))</f>
        <v/>
      </c>
      <c r="M316" s="34">
        <f>IF(LEN('Providers'!A315)=0,"",IF(ISNUMBER('Providers'!AD315),'Providers'!AD315,""))</f>
        <v/>
      </c>
      <c r="N316" s="35">
        <f>IF(LEN('Providers'!A315)=0,"",IF(LEN('Providers'!AG315)=0,"",'Providers'!AG315))</f>
        <v/>
      </c>
    </row>
    <row r="317">
      <c r="A317" s="32">
        <f>IF(LEN('Providers'!A316)=0,"",IF(LEN('Providers'!A316)=0,"",'Providers'!A316))</f>
        <v/>
      </c>
      <c r="B317" s="33">
        <f>IF(LEN('Providers'!A316)=0,"",IF(LEN('Providers'!B316)=0,"",'Providers'!B316))</f>
        <v/>
      </c>
      <c r="C317" s="33">
        <f>IF(LEN('Providers'!A316)=0,"",IF(LEN('Providers'!E316)=0,"",'Providers'!E316))</f>
        <v/>
      </c>
      <c r="D317" s="34">
        <f>IF(LEN('Providers'!A316)=0,"",IF(ISNUMBER('Providers'!G316),'Providers'!G316,""))</f>
        <v/>
      </c>
      <c r="E317" s="34">
        <f>IF(LEN('Providers'!A316)=0,"",IF(ISNUMBER('Providers'!I316),'Providers'!I316,""))</f>
        <v/>
      </c>
      <c r="F317" s="34">
        <f>IF(LEN('Providers'!A316)=0,"",IF(ISNUMBER('Providers'!K316),'Providers'!K316,""))</f>
        <v/>
      </c>
      <c r="G317" s="34">
        <f>IF(LEN('Providers'!A316)=0,"",IF(ISNUMBER('Providers'!M316),'Providers'!M316,""))</f>
        <v/>
      </c>
      <c r="H317" s="34">
        <f>IF(LEN('Providers'!A316)=0,"",IF(ISNUMBER('Providers'!Q316),'Providers'!Q316,""))</f>
        <v/>
      </c>
      <c r="I317" s="34">
        <f>IF(LEN('Providers'!A316)=0,"",IF(ISNUMBER('Providers'!S316),'Providers'!S316,""))</f>
        <v/>
      </c>
      <c r="J317" s="34">
        <f>IF(LEN('Providers'!A316)=0,"",IF(ISNUMBER('Providers'!W316),'Providers'!W316,""))</f>
        <v/>
      </c>
      <c r="K317" s="34">
        <f>IF(LEN('Providers'!A316)=0,"",IF(ISNUMBER('Providers'!Y316),'Providers'!Y316,""))</f>
        <v/>
      </c>
      <c r="L317" s="34">
        <f>IF(LEN('Providers'!A316)=0,"",IF(ISNUMBER('Providers'!AA316),'Providers'!AA316,""))</f>
        <v/>
      </c>
      <c r="M317" s="34">
        <f>IF(LEN('Providers'!A316)=0,"",IF(ISNUMBER('Providers'!AD316),'Providers'!AD316,""))</f>
        <v/>
      </c>
      <c r="N317" s="35">
        <f>IF(LEN('Providers'!A316)=0,"",IF(LEN('Providers'!AG316)=0,"",'Providers'!AG316))</f>
        <v/>
      </c>
    </row>
    <row r="318">
      <c r="A318" s="32">
        <f>IF(LEN('Providers'!A317)=0,"",IF(LEN('Providers'!A317)=0,"",'Providers'!A317))</f>
        <v/>
      </c>
      <c r="B318" s="33">
        <f>IF(LEN('Providers'!A317)=0,"",IF(LEN('Providers'!B317)=0,"",'Providers'!B317))</f>
        <v/>
      </c>
      <c r="C318" s="33">
        <f>IF(LEN('Providers'!A317)=0,"",IF(LEN('Providers'!E317)=0,"",'Providers'!E317))</f>
        <v/>
      </c>
      <c r="D318" s="34">
        <f>IF(LEN('Providers'!A317)=0,"",IF(ISNUMBER('Providers'!G317),'Providers'!G317,""))</f>
        <v/>
      </c>
      <c r="E318" s="34">
        <f>IF(LEN('Providers'!A317)=0,"",IF(ISNUMBER('Providers'!I317),'Providers'!I317,""))</f>
        <v/>
      </c>
      <c r="F318" s="34">
        <f>IF(LEN('Providers'!A317)=0,"",IF(ISNUMBER('Providers'!K317),'Providers'!K317,""))</f>
        <v/>
      </c>
      <c r="G318" s="34">
        <f>IF(LEN('Providers'!A317)=0,"",IF(ISNUMBER('Providers'!M317),'Providers'!M317,""))</f>
        <v/>
      </c>
      <c r="H318" s="34">
        <f>IF(LEN('Providers'!A317)=0,"",IF(ISNUMBER('Providers'!Q317),'Providers'!Q317,""))</f>
        <v/>
      </c>
      <c r="I318" s="34">
        <f>IF(LEN('Providers'!A317)=0,"",IF(ISNUMBER('Providers'!S317),'Providers'!S317,""))</f>
        <v/>
      </c>
      <c r="J318" s="34">
        <f>IF(LEN('Providers'!A317)=0,"",IF(ISNUMBER('Providers'!W317),'Providers'!W317,""))</f>
        <v/>
      </c>
      <c r="K318" s="34">
        <f>IF(LEN('Providers'!A317)=0,"",IF(ISNUMBER('Providers'!Y317),'Providers'!Y317,""))</f>
        <v/>
      </c>
      <c r="L318" s="34">
        <f>IF(LEN('Providers'!A317)=0,"",IF(ISNUMBER('Providers'!AA317),'Providers'!AA317,""))</f>
        <v/>
      </c>
      <c r="M318" s="34">
        <f>IF(LEN('Providers'!A317)=0,"",IF(ISNUMBER('Providers'!AD317),'Providers'!AD317,""))</f>
        <v/>
      </c>
      <c r="N318" s="35">
        <f>IF(LEN('Providers'!A317)=0,"",IF(LEN('Providers'!AG317)=0,"",'Providers'!AG317))</f>
        <v/>
      </c>
    </row>
    <row r="319">
      <c r="A319" s="32">
        <f>IF(LEN('Providers'!A318)=0,"",IF(LEN('Providers'!A318)=0,"",'Providers'!A318))</f>
        <v/>
      </c>
      <c r="B319" s="33">
        <f>IF(LEN('Providers'!A318)=0,"",IF(LEN('Providers'!B318)=0,"",'Providers'!B318))</f>
        <v/>
      </c>
      <c r="C319" s="33">
        <f>IF(LEN('Providers'!A318)=0,"",IF(LEN('Providers'!E318)=0,"",'Providers'!E318))</f>
        <v/>
      </c>
      <c r="D319" s="34">
        <f>IF(LEN('Providers'!A318)=0,"",IF(ISNUMBER('Providers'!G318),'Providers'!G318,""))</f>
        <v/>
      </c>
      <c r="E319" s="34">
        <f>IF(LEN('Providers'!A318)=0,"",IF(ISNUMBER('Providers'!I318),'Providers'!I318,""))</f>
        <v/>
      </c>
      <c r="F319" s="34">
        <f>IF(LEN('Providers'!A318)=0,"",IF(ISNUMBER('Providers'!K318),'Providers'!K318,""))</f>
        <v/>
      </c>
      <c r="G319" s="34">
        <f>IF(LEN('Providers'!A318)=0,"",IF(ISNUMBER('Providers'!M318),'Providers'!M318,""))</f>
        <v/>
      </c>
      <c r="H319" s="34">
        <f>IF(LEN('Providers'!A318)=0,"",IF(ISNUMBER('Providers'!Q318),'Providers'!Q318,""))</f>
        <v/>
      </c>
      <c r="I319" s="34">
        <f>IF(LEN('Providers'!A318)=0,"",IF(ISNUMBER('Providers'!S318),'Providers'!S318,""))</f>
        <v/>
      </c>
      <c r="J319" s="34">
        <f>IF(LEN('Providers'!A318)=0,"",IF(ISNUMBER('Providers'!W318),'Providers'!W318,""))</f>
        <v/>
      </c>
      <c r="K319" s="34">
        <f>IF(LEN('Providers'!A318)=0,"",IF(ISNUMBER('Providers'!Y318),'Providers'!Y318,""))</f>
        <v/>
      </c>
      <c r="L319" s="34">
        <f>IF(LEN('Providers'!A318)=0,"",IF(ISNUMBER('Providers'!AA318),'Providers'!AA318,""))</f>
        <v/>
      </c>
      <c r="M319" s="34">
        <f>IF(LEN('Providers'!A318)=0,"",IF(ISNUMBER('Providers'!AD318),'Providers'!AD318,""))</f>
        <v/>
      </c>
      <c r="N319" s="35">
        <f>IF(LEN('Providers'!A318)=0,"",IF(LEN('Providers'!AG318)=0,"",'Providers'!AG318))</f>
        <v/>
      </c>
    </row>
    <row r="320">
      <c r="A320" s="32">
        <f>IF(LEN('Providers'!A319)=0,"",IF(LEN('Providers'!A319)=0,"",'Providers'!A319))</f>
        <v/>
      </c>
      <c r="B320" s="33">
        <f>IF(LEN('Providers'!A319)=0,"",IF(LEN('Providers'!B319)=0,"",'Providers'!B319))</f>
        <v/>
      </c>
      <c r="C320" s="33">
        <f>IF(LEN('Providers'!A319)=0,"",IF(LEN('Providers'!E319)=0,"",'Providers'!E319))</f>
        <v/>
      </c>
      <c r="D320" s="34">
        <f>IF(LEN('Providers'!A319)=0,"",IF(ISNUMBER('Providers'!G319),'Providers'!G319,""))</f>
        <v/>
      </c>
      <c r="E320" s="34">
        <f>IF(LEN('Providers'!A319)=0,"",IF(ISNUMBER('Providers'!I319),'Providers'!I319,""))</f>
        <v/>
      </c>
      <c r="F320" s="34">
        <f>IF(LEN('Providers'!A319)=0,"",IF(ISNUMBER('Providers'!K319),'Providers'!K319,""))</f>
        <v/>
      </c>
      <c r="G320" s="34">
        <f>IF(LEN('Providers'!A319)=0,"",IF(ISNUMBER('Providers'!M319),'Providers'!M319,""))</f>
        <v/>
      </c>
      <c r="H320" s="34">
        <f>IF(LEN('Providers'!A319)=0,"",IF(ISNUMBER('Providers'!Q319),'Providers'!Q319,""))</f>
        <v/>
      </c>
      <c r="I320" s="34">
        <f>IF(LEN('Providers'!A319)=0,"",IF(ISNUMBER('Providers'!S319),'Providers'!S319,""))</f>
        <v/>
      </c>
      <c r="J320" s="34">
        <f>IF(LEN('Providers'!A319)=0,"",IF(ISNUMBER('Providers'!W319),'Providers'!W319,""))</f>
        <v/>
      </c>
      <c r="K320" s="34">
        <f>IF(LEN('Providers'!A319)=0,"",IF(ISNUMBER('Providers'!Y319),'Providers'!Y319,""))</f>
        <v/>
      </c>
      <c r="L320" s="34">
        <f>IF(LEN('Providers'!A319)=0,"",IF(ISNUMBER('Providers'!AA319),'Providers'!AA319,""))</f>
        <v/>
      </c>
      <c r="M320" s="34">
        <f>IF(LEN('Providers'!A319)=0,"",IF(ISNUMBER('Providers'!AD319),'Providers'!AD319,""))</f>
        <v/>
      </c>
      <c r="N320" s="35">
        <f>IF(LEN('Providers'!A319)=0,"",IF(LEN('Providers'!AG319)=0,"",'Providers'!AG319))</f>
        <v/>
      </c>
    </row>
    <row r="321">
      <c r="A321" s="32">
        <f>IF(LEN('Providers'!A320)=0,"",IF(LEN('Providers'!A320)=0,"",'Providers'!A320))</f>
        <v/>
      </c>
      <c r="B321" s="33">
        <f>IF(LEN('Providers'!A320)=0,"",IF(LEN('Providers'!B320)=0,"",'Providers'!B320))</f>
        <v/>
      </c>
      <c r="C321" s="33">
        <f>IF(LEN('Providers'!A320)=0,"",IF(LEN('Providers'!E320)=0,"",'Providers'!E320))</f>
        <v/>
      </c>
      <c r="D321" s="34">
        <f>IF(LEN('Providers'!A320)=0,"",IF(ISNUMBER('Providers'!G320),'Providers'!G320,""))</f>
        <v/>
      </c>
      <c r="E321" s="34">
        <f>IF(LEN('Providers'!A320)=0,"",IF(ISNUMBER('Providers'!I320),'Providers'!I320,""))</f>
        <v/>
      </c>
      <c r="F321" s="34">
        <f>IF(LEN('Providers'!A320)=0,"",IF(ISNUMBER('Providers'!K320),'Providers'!K320,""))</f>
        <v/>
      </c>
      <c r="G321" s="34">
        <f>IF(LEN('Providers'!A320)=0,"",IF(ISNUMBER('Providers'!M320),'Providers'!M320,""))</f>
        <v/>
      </c>
      <c r="H321" s="34">
        <f>IF(LEN('Providers'!A320)=0,"",IF(ISNUMBER('Providers'!Q320),'Providers'!Q320,""))</f>
        <v/>
      </c>
      <c r="I321" s="34">
        <f>IF(LEN('Providers'!A320)=0,"",IF(ISNUMBER('Providers'!S320),'Providers'!S320,""))</f>
        <v/>
      </c>
      <c r="J321" s="34">
        <f>IF(LEN('Providers'!A320)=0,"",IF(ISNUMBER('Providers'!W320),'Providers'!W320,""))</f>
        <v/>
      </c>
      <c r="K321" s="34">
        <f>IF(LEN('Providers'!A320)=0,"",IF(ISNUMBER('Providers'!Y320),'Providers'!Y320,""))</f>
        <v/>
      </c>
      <c r="L321" s="34">
        <f>IF(LEN('Providers'!A320)=0,"",IF(ISNUMBER('Providers'!AA320),'Providers'!AA320,""))</f>
        <v/>
      </c>
      <c r="M321" s="34">
        <f>IF(LEN('Providers'!A320)=0,"",IF(ISNUMBER('Providers'!AD320),'Providers'!AD320,""))</f>
        <v/>
      </c>
      <c r="N321" s="35">
        <f>IF(LEN('Providers'!A320)=0,"",IF(LEN('Providers'!AG320)=0,"",'Providers'!AG320))</f>
        <v/>
      </c>
    </row>
    <row r="322">
      <c r="A322" s="32">
        <f>IF(LEN('Providers'!A321)=0,"",IF(LEN('Providers'!A321)=0,"",'Providers'!A321))</f>
        <v/>
      </c>
      <c r="B322" s="33">
        <f>IF(LEN('Providers'!A321)=0,"",IF(LEN('Providers'!B321)=0,"",'Providers'!B321))</f>
        <v/>
      </c>
      <c r="C322" s="33">
        <f>IF(LEN('Providers'!A321)=0,"",IF(LEN('Providers'!E321)=0,"",'Providers'!E321))</f>
        <v/>
      </c>
      <c r="D322" s="34">
        <f>IF(LEN('Providers'!A321)=0,"",IF(ISNUMBER('Providers'!G321),'Providers'!G321,""))</f>
        <v/>
      </c>
      <c r="E322" s="34">
        <f>IF(LEN('Providers'!A321)=0,"",IF(ISNUMBER('Providers'!I321),'Providers'!I321,""))</f>
        <v/>
      </c>
      <c r="F322" s="34">
        <f>IF(LEN('Providers'!A321)=0,"",IF(ISNUMBER('Providers'!K321),'Providers'!K321,""))</f>
        <v/>
      </c>
      <c r="G322" s="34">
        <f>IF(LEN('Providers'!A321)=0,"",IF(ISNUMBER('Providers'!M321),'Providers'!M321,""))</f>
        <v/>
      </c>
      <c r="H322" s="34">
        <f>IF(LEN('Providers'!A321)=0,"",IF(ISNUMBER('Providers'!Q321),'Providers'!Q321,""))</f>
        <v/>
      </c>
      <c r="I322" s="34">
        <f>IF(LEN('Providers'!A321)=0,"",IF(ISNUMBER('Providers'!S321),'Providers'!S321,""))</f>
        <v/>
      </c>
      <c r="J322" s="34">
        <f>IF(LEN('Providers'!A321)=0,"",IF(ISNUMBER('Providers'!W321),'Providers'!W321,""))</f>
        <v/>
      </c>
      <c r="K322" s="34">
        <f>IF(LEN('Providers'!A321)=0,"",IF(ISNUMBER('Providers'!Y321),'Providers'!Y321,""))</f>
        <v/>
      </c>
      <c r="L322" s="34">
        <f>IF(LEN('Providers'!A321)=0,"",IF(ISNUMBER('Providers'!AA321),'Providers'!AA321,""))</f>
        <v/>
      </c>
      <c r="M322" s="34">
        <f>IF(LEN('Providers'!A321)=0,"",IF(ISNUMBER('Providers'!AD321),'Providers'!AD321,""))</f>
        <v/>
      </c>
      <c r="N322" s="35">
        <f>IF(LEN('Providers'!A321)=0,"",IF(LEN('Providers'!AG321)=0,"",'Providers'!AG321))</f>
        <v/>
      </c>
    </row>
    <row r="323">
      <c r="A323" s="32">
        <f>IF(LEN('Providers'!A322)=0,"",IF(LEN('Providers'!A322)=0,"",'Providers'!A322))</f>
        <v/>
      </c>
      <c r="B323" s="33">
        <f>IF(LEN('Providers'!A322)=0,"",IF(LEN('Providers'!B322)=0,"",'Providers'!B322))</f>
        <v/>
      </c>
      <c r="C323" s="33">
        <f>IF(LEN('Providers'!A322)=0,"",IF(LEN('Providers'!E322)=0,"",'Providers'!E322))</f>
        <v/>
      </c>
      <c r="D323" s="34">
        <f>IF(LEN('Providers'!A322)=0,"",IF(ISNUMBER('Providers'!G322),'Providers'!G322,""))</f>
        <v/>
      </c>
      <c r="E323" s="34">
        <f>IF(LEN('Providers'!A322)=0,"",IF(ISNUMBER('Providers'!I322),'Providers'!I322,""))</f>
        <v/>
      </c>
      <c r="F323" s="34">
        <f>IF(LEN('Providers'!A322)=0,"",IF(ISNUMBER('Providers'!K322),'Providers'!K322,""))</f>
        <v/>
      </c>
      <c r="G323" s="34">
        <f>IF(LEN('Providers'!A322)=0,"",IF(ISNUMBER('Providers'!M322),'Providers'!M322,""))</f>
        <v/>
      </c>
      <c r="H323" s="34">
        <f>IF(LEN('Providers'!A322)=0,"",IF(ISNUMBER('Providers'!Q322),'Providers'!Q322,""))</f>
        <v/>
      </c>
      <c r="I323" s="34">
        <f>IF(LEN('Providers'!A322)=0,"",IF(ISNUMBER('Providers'!S322),'Providers'!S322,""))</f>
        <v/>
      </c>
      <c r="J323" s="34">
        <f>IF(LEN('Providers'!A322)=0,"",IF(ISNUMBER('Providers'!W322),'Providers'!W322,""))</f>
        <v/>
      </c>
      <c r="K323" s="34">
        <f>IF(LEN('Providers'!A322)=0,"",IF(ISNUMBER('Providers'!Y322),'Providers'!Y322,""))</f>
        <v/>
      </c>
      <c r="L323" s="34">
        <f>IF(LEN('Providers'!A322)=0,"",IF(ISNUMBER('Providers'!AA322),'Providers'!AA322,""))</f>
        <v/>
      </c>
      <c r="M323" s="34">
        <f>IF(LEN('Providers'!A322)=0,"",IF(ISNUMBER('Providers'!AD322),'Providers'!AD322,""))</f>
        <v/>
      </c>
      <c r="N323" s="35">
        <f>IF(LEN('Providers'!A322)=0,"",IF(LEN('Providers'!AG322)=0,"",'Providers'!AG322))</f>
        <v/>
      </c>
    </row>
    <row r="324">
      <c r="A324" s="32">
        <f>IF(LEN('Providers'!A323)=0,"",IF(LEN('Providers'!A323)=0,"",'Providers'!A323))</f>
        <v/>
      </c>
      <c r="B324" s="33">
        <f>IF(LEN('Providers'!A323)=0,"",IF(LEN('Providers'!B323)=0,"",'Providers'!B323))</f>
        <v/>
      </c>
      <c r="C324" s="33">
        <f>IF(LEN('Providers'!A323)=0,"",IF(LEN('Providers'!E323)=0,"",'Providers'!E323))</f>
        <v/>
      </c>
      <c r="D324" s="34">
        <f>IF(LEN('Providers'!A323)=0,"",IF(ISNUMBER('Providers'!G323),'Providers'!G323,""))</f>
        <v/>
      </c>
      <c r="E324" s="34">
        <f>IF(LEN('Providers'!A323)=0,"",IF(ISNUMBER('Providers'!I323),'Providers'!I323,""))</f>
        <v/>
      </c>
      <c r="F324" s="34">
        <f>IF(LEN('Providers'!A323)=0,"",IF(ISNUMBER('Providers'!K323),'Providers'!K323,""))</f>
        <v/>
      </c>
      <c r="G324" s="34">
        <f>IF(LEN('Providers'!A323)=0,"",IF(ISNUMBER('Providers'!M323),'Providers'!M323,""))</f>
        <v/>
      </c>
      <c r="H324" s="34">
        <f>IF(LEN('Providers'!A323)=0,"",IF(ISNUMBER('Providers'!Q323),'Providers'!Q323,""))</f>
        <v/>
      </c>
      <c r="I324" s="34">
        <f>IF(LEN('Providers'!A323)=0,"",IF(ISNUMBER('Providers'!S323),'Providers'!S323,""))</f>
        <v/>
      </c>
      <c r="J324" s="34">
        <f>IF(LEN('Providers'!A323)=0,"",IF(ISNUMBER('Providers'!W323),'Providers'!W323,""))</f>
        <v/>
      </c>
      <c r="K324" s="34">
        <f>IF(LEN('Providers'!A323)=0,"",IF(ISNUMBER('Providers'!Y323),'Providers'!Y323,""))</f>
        <v/>
      </c>
      <c r="L324" s="34">
        <f>IF(LEN('Providers'!A323)=0,"",IF(ISNUMBER('Providers'!AA323),'Providers'!AA323,""))</f>
        <v/>
      </c>
      <c r="M324" s="34">
        <f>IF(LEN('Providers'!A323)=0,"",IF(ISNUMBER('Providers'!AD323),'Providers'!AD323,""))</f>
        <v/>
      </c>
      <c r="N324" s="35">
        <f>IF(LEN('Providers'!A323)=0,"",IF(LEN('Providers'!AG323)=0,"",'Providers'!AG323))</f>
        <v/>
      </c>
    </row>
    <row r="325">
      <c r="A325" s="32">
        <f>IF(LEN('Providers'!A324)=0,"",IF(LEN('Providers'!A324)=0,"",'Providers'!A324))</f>
        <v/>
      </c>
      <c r="B325" s="33">
        <f>IF(LEN('Providers'!A324)=0,"",IF(LEN('Providers'!B324)=0,"",'Providers'!B324))</f>
        <v/>
      </c>
      <c r="C325" s="33">
        <f>IF(LEN('Providers'!A324)=0,"",IF(LEN('Providers'!E324)=0,"",'Providers'!E324))</f>
        <v/>
      </c>
      <c r="D325" s="34">
        <f>IF(LEN('Providers'!A324)=0,"",IF(ISNUMBER('Providers'!G324),'Providers'!G324,""))</f>
        <v/>
      </c>
      <c r="E325" s="34">
        <f>IF(LEN('Providers'!A324)=0,"",IF(ISNUMBER('Providers'!I324),'Providers'!I324,""))</f>
        <v/>
      </c>
      <c r="F325" s="34">
        <f>IF(LEN('Providers'!A324)=0,"",IF(ISNUMBER('Providers'!K324),'Providers'!K324,""))</f>
        <v/>
      </c>
      <c r="G325" s="34">
        <f>IF(LEN('Providers'!A324)=0,"",IF(ISNUMBER('Providers'!M324),'Providers'!M324,""))</f>
        <v/>
      </c>
      <c r="H325" s="34">
        <f>IF(LEN('Providers'!A324)=0,"",IF(ISNUMBER('Providers'!Q324),'Providers'!Q324,""))</f>
        <v/>
      </c>
      <c r="I325" s="34">
        <f>IF(LEN('Providers'!A324)=0,"",IF(ISNUMBER('Providers'!S324),'Providers'!S324,""))</f>
        <v/>
      </c>
      <c r="J325" s="34">
        <f>IF(LEN('Providers'!A324)=0,"",IF(ISNUMBER('Providers'!W324),'Providers'!W324,""))</f>
        <v/>
      </c>
      <c r="K325" s="34">
        <f>IF(LEN('Providers'!A324)=0,"",IF(ISNUMBER('Providers'!Y324),'Providers'!Y324,""))</f>
        <v/>
      </c>
      <c r="L325" s="34">
        <f>IF(LEN('Providers'!A324)=0,"",IF(ISNUMBER('Providers'!AA324),'Providers'!AA324,""))</f>
        <v/>
      </c>
      <c r="M325" s="34">
        <f>IF(LEN('Providers'!A324)=0,"",IF(ISNUMBER('Providers'!AD324),'Providers'!AD324,""))</f>
        <v/>
      </c>
      <c r="N325" s="35">
        <f>IF(LEN('Providers'!A324)=0,"",IF(LEN('Providers'!AG324)=0,"",'Providers'!AG324))</f>
        <v/>
      </c>
    </row>
    <row r="326">
      <c r="A326" s="32">
        <f>IF(LEN('Providers'!A325)=0,"",IF(LEN('Providers'!A325)=0,"",'Providers'!A325))</f>
        <v/>
      </c>
      <c r="B326" s="33">
        <f>IF(LEN('Providers'!A325)=0,"",IF(LEN('Providers'!B325)=0,"",'Providers'!B325))</f>
        <v/>
      </c>
      <c r="C326" s="33">
        <f>IF(LEN('Providers'!A325)=0,"",IF(LEN('Providers'!E325)=0,"",'Providers'!E325))</f>
        <v/>
      </c>
      <c r="D326" s="34">
        <f>IF(LEN('Providers'!A325)=0,"",IF(ISNUMBER('Providers'!G325),'Providers'!G325,""))</f>
        <v/>
      </c>
      <c r="E326" s="34">
        <f>IF(LEN('Providers'!A325)=0,"",IF(ISNUMBER('Providers'!I325),'Providers'!I325,""))</f>
        <v/>
      </c>
      <c r="F326" s="34">
        <f>IF(LEN('Providers'!A325)=0,"",IF(ISNUMBER('Providers'!K325),'Providers'!K325,""))</f>
        <v/>
      </c>
      <c r="G326" s="34">
        <f>IF(LEN('Providers'!A325)=0,"",IF(ISNUMBER('Providers'!M325),'Providers'!M325,""))</f>
        <v/>
      </c>
      <c r="H326" s="34">
        <f>IF(LEN('Providers'!A325)=0,"",IF(ISNUMBER('Providers'!Q325),'Providers'!Q325,""))</f>
        <v/>
      </c>
      <c r="I326" s="34">
        <f>IF(LEN('Providers'!A325)=0,"",IF(ISNUMBER('Providers'!S325),'Providers'!S325,""))</f>
        <v/>
      </c>
      <c r="J326" s="34">
        <f>IF(LEN('Providers'!A325)=0,"",IF(ISNUMBER('Providers'!W325),'Providers'!W325,""))</f>
        <v/>
      </c>
      <c r="K326" s="34">
        <f>IF(LEN('Providers'!A325)=0,"",IF(ISNUMBER('Providers'!Y325),'Providers'!Y325,""))</f>
        <v/>
      </c>
      <c r="L326" s="34">
        <f>IF(LEN('Providers'!A325)=0,"",IF(ISNUMBER('Providers'!AA325),'Providers'!AA325,""))</f>
        <v/>
      </c>
      <c r="M326" s="34">
        <f>IF(LEN('Providers'!A325)=0,"",IF(ISNUMBER('Providers'!AD325),'Providers'!AD325,""))</f>
        <v/>
      </c>
      <c r="N326" s="35">
        <f>IF(LEN('Providers'!A325)=0,"",IF(LEN('Providers'!AG325)=0,"",'Providers'!AG325))</f>
        <v/>
      </c>
    </row>
    <row r="327">
      <c r="A327" s="32">
        <f>IF(LEN('Providers'!A326)=0,"",IF(LEN('Providers'!A326)=0,"",'Providers'!A326))</f>
        <v/>
      </c>
      <c r="B327" s="33">
        <f>IF(LEN('Providers'!A326)=0,"",IF(LEN('Providers'!B326)=0,"",'Providers'!B326))</f>
        <v/>
      </c>
      <c r="C327" s="33">
        <f>IF(LEN('Providers'!A326)=0,"",IF(LEN('Providers'!E326)=0,"",'Providers'!E326))</f>
        <v/>
      </c>
      <c r="D327" s="34">
        <f>IF(LEN('Providers'!A326)=0,"",IF(ISNUMBER('Providers'!G326),'Providers'!G326,""))</f>
        <v/>
      </c>
      <c r="E327" s="34">
        <f>IF(LEN('Providers'!A326)=0,"",IF(ISNUMBER('Providers'!I326),'Providers'!I326,""))</f>
        <v/>
      </c>
      <c r="F327" s="34">
        <f>IF(LEN('Providers'!A326)=0,"",IF(ISNUMBER('Providers'!K326),'Providers'!K326,""))</f>
        <v/>
      </c>
      <c r="G327" s="34">
        <f>IF(LEN('Providers'!A326)=0,"",IF(ISNUMBER('Providers'!M326),'Providers'!M326,""))</f>
        <v/>
      </c>
      <c r="H327" s="34">
        <f>IF(LEN('Providers'!A326)=0,"",IF(ISNUMBER('Providers'!Q326),'Providers'!Q326,""))</f>
        <v/>
      </c>
      <c r="I327" s="34">
        <f>IF(LEN('Providers'!A326)=0,"",IF(ISNUMBER('Providers'!S326),'Providers'!S326,""))</f>
        <v/>
      </c>
      <c r="J327" s="34">
        <f>IF(LEN('Providers'!A326)=0,"",IF(ISNUMBER('Providers'!W326),'Providers'!W326,""))</f>
        <v/>
      </c>
      <c r="K327" s="34">
        <f>IF(LEN('Providers'!A326)=0,"",IF(ISNUMBER('Providers'!Y326),'Providers'!Y326,""))</f>
        <v/>
      </c>
      <c r="L327" s="34">
        <f>IF(LEN('Providers'!A326)=0,"",IF(ISNUMBER('Providers'!AA326),'Providers'!AA326,""))</f>
        <v/>
      </c>
      <c r="M327" s="34">
        <f>IF(LEN('Providers'!A326)=0,"",IF(ISNUMBER('Providers'!AD326),'Providers'!AD326,""))</f>
        <v/>
      </c>
      <c r="N327" s="35">
        <f>IF(LEN('Providers'!A326)=0,"",IF(LEN('Providers'!AG326)=0,"",'Providers'!AG326))</f>
        <v/>
      </c>
    </row>
    <row r="328">
      <c r="A328" s="32">
        <f>IF(LEN('Providers'!A327)=0,"",IF(LEN('Providers'!A327)=0,"",'Providers'!A327))</f>
        <v/>
      </c>
      <c r="B328" s="33">
        <f>IF(LEN('Providers'!A327)=0,"",IF(LEN('Providers'!B327)=0,"",'Providers'!B327))</f>
        <v/>
      </c>
      <c r="C328" s="33">
        <f>IF(LEN('Providers'!A327)=0,"",IF(LEN('Providers'!E327)=0,"",'Providers'!E327))</f>
        <v/>
      </c>
      <c r="D328" s="34">
        <f>IF(LEN('Providers'!A327)=0,"",IF(ISNUMBER('Providers'!G327),'Providers'!G327,""))</f>
        <v/>
      </c>
      <c r="E328" s="34">
        <f>IF(LEN('Providers'!A327)=0,"",IF(ISNUMBER('Providers'!I327),'Providers'!I327,""))</f>
        <v/>
      </c>
      <c r="F328" s="34">
        <f>IF(LEN('Providers'!A327)=0,"",IF(ISNUMBER('Providers'!K327),'Providers'!K327,""))</f>
        <v/>
      </c>
      <c r="G328" s="34">
        <f>IF(LEN('Providers'!A327)=0,"",IF(ISNUMBER('Providers'!M327),'Providers'!M327,""))</f>
        <v/>
      </c>
      <c r="H328" s="34">
        <f>IF(LEN('Providers'!A327)=0,"",IF(ISNUMBER('Providers'!Q327),'Providers'!Q327,""))</f>
        <v/>
      </c>
      <c r="I328" s="34">
        <f>IF(LEN('Providers'!A327)=0,"",IF(ISNUMBER('Providers'!S327),'Providers'!S327,""))</f>
        <v/>
      </c>
      <c r="J328" s="34">
        <f>IF(LEN('Providers'!A327)=0,"",IF(ISNUMBER('Providers'!W327),'Providers'!W327,""))</f>
        <v/>
      </c>
      <c r="K328" s="34">
        <f>IF(LEN('Providers'!A327)=0,"",IF(ISNUMBER('Providers'!Y327),'Providers'!Y327,""))</f>
        <v/>
      </c>
      <c r="L328" s="34">
        <f>IF(LEN('Providers'!A327)=0,"",IF(ISNUMBER('Providers'!AA327),'Providers'!AA327,""))</f>
        <v/>
      </c>
      <c r="M328" s="34">
        <f>IF(LEN('Providers'!A327)=0,"",IF(ISNUMBER('Providers'!AD327),'Providers'!AD327,""))</f>
        <v/>
      </c>
      <c r="N328" s="35">
        <f>IF(LEN('Providers'!A327)=0,"",IF(LEN('Providers'!AG327)=0,"",'Providers'!AG327))</f>
        <v/>
      </c>
    </row>
    <row r="329">
      <c r="A329" s="32">
        <f>IF(LEN('Providers'!A328)=0,"",IF(LEN('Providers'!A328)=0,"",'Providers'!A328))</f>
        <v/>
      </c>
      <c r="B329" s="33">
        <f>IF(LEN('Providers'!A328)=0,"",IF(LEN('Providers'!B328)=0,"",'Providers'!B328))</f>
        <v/>
      </c>
      <c r="C329" s="33">
        <f>IF(LEN('Providers'!A328)=0,"",IF(LEN('Providers'!E328)=0,"",'Providers'!E328))</f>
        <v/>
      </c>
      <c r="D329" s="34">
        <f>IF(LEN('Providers'!A328)=0,"",IF(ISNUMBER('Providers'!G328),'Providers'!G328,""))</f>
        <v/>
      </c>
      <c r="E329" s="34">
        <f>IF(LEN('Providers'!A328)=0,"",IF(ISNUMBER('Providers'!I328),'Providers'!I328,""))</f>
        <v/>
      </c>
      <c r="F329" s="34">
        <f>IF(LEN('Providers'!A328)=0,"",IF(ISNUMBER('Providers'!K328),'Providers'!K328,""))</f>
        <v/>
      </c>
      <c r="G329" s="34">
        <f>IF(LEN('Providers'!A328)=0,"",IF(ISNUMBER('Providers'!M328),'Providers'!M328,""))</f>
        <v/>
      </c>
      <c r="H329" s="34">
        <f>IF(LEN('Providers'!A328)=0,"",IF(ISNUMBER('Providers'!Q328),'Providers'!Q328,""))</f>
        <v/>
      </c>
      <c r="I329" s="34">
        <f>IF(LEN('Providers'!A328)=0,"",IF(ISNUMBER('Providers'!S328),'Providers'!S328,""))</f>
        <v/>
      </c>
      <c r="J329" s="34">
        <f>IF(LEN('Providers'!A328)=0,"",IF(ISNUMBER('Providers'!W328),'Providers'!W328,""))</f>
        <v/>
      </c>
      <c r="K329" s="34">
        <f>IF(LEN('Providers'!A328)=0,"",IF(ISNUMBER('Providers'!Y328),'Providers'!Y328,""))</f>
        <v/>
      </c>
      <c r="L329" s="34">
        <f>IF(LEN('Providers'!A328)=0,"",IF(ISNUMBER('Providers'!AA328),'Providers'!AA328,""))</f>
        <v/>
      </c>
      <c r="M329" s="34">
        <f>IF(LEN('Providers'!A328)=0,"",IF(ISNUMBER('Providers'!AD328),'Providers'!AD328,""))</f>
        <v/>
      </c>
      <c r="N329" s="35">
        <f>IF(LEN('Providers'!A328)=0,"",IF(LEN('Providers'!AG328)=0,"",'Providers'!AG328))</f>
        <v/>
      </c>
    </row>
    <row r="330">
      <c r="A330" s="32">
        <f>IF(LEN('Providers'!A329)=0,"",IF(LEN('Providers'!A329)=0,"",'Providers'!A329))</f>
        <v/>
      </c>
      <c r="B330" s="33">
        <f>IF(LEN('Providers'!A329)=0,"",IF(LEN('Providers'!B329)=0,"",'Providers'!B329))</f>
        <v/>
      </c>
      <c r="C330" s="33">
        <f>IF(LEN('Providers'!A329)=0,"",IF(LEN('Providers'!E329)=0,"",'Providers'!E329))</f>
        <v/>
      </c>
      <c r="D330" s="34">
        <f>IF(LEN('Providers'!A329)=0,"",IF(ISNUMBER('Providers'!G329),'Providers'!G329,""))</f>
        <v/>
      </c>
      <c r="E330" s="34">
        <f>IF(LEN('Providers'!A329)=0,"",IF(ISNUMBER('Providers'!I329),'Providers'!I329,""))</f>
        <v/>
      </c>
      <c r="F330" s="34">
        <f>IF(LEN('Providers'!A329)=0,"",IF(ISNUMBER('Providers'!K329),'Providers'!K329,""))</f>
        <v/>
      </c>
      <c r="G330" s="34">
        <f>IF(LEN('Providers'!A329)=0,"",IF(ISNUMBER('Providers'!M329),'Providers'!M329,""))</f>
        <v/>
      </c>
      <c r="H330" s="34">
        <f>IF(LEN('Providers'!A329)=0,"",IF(ISNUMBER('Providers'!Q329),'Providers'!Q329,""))</f>
        <v/>
      </c>
      <c r="I330" s="34">
        <f>IF(LEN('Providers'!A329)=0,"",IF(ISNUMBER('Providers'!S329),'Providers'!S329,""))</f>
        <v/>
      </c>
      <c r="J330" s="34">
        <f>IF(LEN('Providers'!A329)=0,"",IF(ISNUMBER('Providers'!W329),'Providers'!W329,""))</f>
        <v/>
      </c>
      <c r="K330" s="34">
        <f>IF(LEN('Providers'!A329)=0,"",IF(ISNUMBER('Providers'!Y329),'Providers'!Y329,""))</f>
        <v/>
      </c>
      <c r="L330" s="34">
        <f>IF(LEN('Providers'!A329)=0,"",IF(ISNUMBER('Providers'!AA329),'Providers'!AA329,""))</f>
        <v/>
      </c>
      <c r="M330" s="34">
        <f>IF(LEN('Providers'!A329)=0,"",IF(ISNUMBER('Providers'!AD329),'Providers'!AD329,""))</f>
        <v/>
      </c>
      <c r="N330" s="35">
        <f>IF(LEN('Providers'!A329)=0,"",IF(LEN('Providers'!AG329)=0,"",'Providers'!AG329))</f>
        <v/>
      </c>
    </row>
    <row r="331">
      <c r="A331" s="32">
        <f>IF(LEN('Providers'!A330)=0,"",IF(LEN('Providers'!A330)=0,"",'Providers'!A330))</f>
        <v/>
      </c>
      <c r="B331" s="33">
        <f>IF(LEN('Providers'!A330)=0,"",IF(LEN('Providers'!B330)=0,"",'Providers'!B330))</f>
        <v/>
      </c>
      <c r="C331" s="33">
        <f>IF(LEN('Providers'!A330)=0,"",IF(LEN('Providers'!E330)=0,"",'Providers'!E330))</f>
        <v/>
      </c>
      <c r="D331" s="34">
        <f>IF(LEN('Providers'!A330)=0,"",IF(ISNUMBER('Providers'!G330),'Providers'!G330,""))</f>
        <v/>
      </c>
      <c r="E331" s="34">
        <f>IF(LEN('Providers'!A330)=0,"",IF(ISNUMBER('Providers'!I330),'Providers'!I330,""))</f>
        <v/>
      </c>
      <c r="F331" s="34">
        <f>IF(LEN('Providers'!A330)=0,"",IF(ISNUMBER('Providers'!K330),'Providers'!K330,""))</f>
        <v/>
      </c>
      <c r="G331" s="34">
        <f>IF(LEN('Providers'!A330)=0,"",IF(ISNUMBER('Providers'!M330),'Providers'!M330,""))</f>
        <v/>
      </c>
      <c r="H331" s="34">
        <f>IF(LEN('Providers'!A330)=0,"",IF(ISNUMBER('Providers'!Q330),'Providers'!Q330,""))</f>
        <v/>
      </c>
      <c r="I331" s="34">
        <f>IF(LEN('Providers'!A330)=0,"",IF(ISNUMBER('Providers'!S330),'Providers'!S330,""))</f>
        <v/>
      </c>
      <c r="J331" s="34">
        <f>IF(LEN('Providers'!A330)=0,"",IF(ISNUMBER('Providers'!W330),'Providers'!W330,""))</f>
        <v/>
      </c>
      <c r="K331" s="34">
        <f>IF(LEN('Providers'!A330)=0,"",IF(ISNUMBER('Providers'!Y330),'Providers'!Y330,""))</f>
        <v/>
      </c>
      <c r="L331" s="34">
        <f>IF(LEN('Providers'!A330)=0,"",IF(ISNUMBER('Providers'!AA330),'Providers'!AA330,""))</f>
        <v/>
      </c>
      <c r="M331" s="34">
        <f>IF(LEN('Providers'!A330)=0,"",IF(ISNUMBER('Providers'!AD330),'Providers'!AD330,""))</f>
        <v/>
      </c>
      <c r="N331" s="35">
        <f>IF(LEN('Providers'!A330)=0,"",IF(LEN('Providers'!AG330)=0,"",'Providers'!AG330))</f>
        <v/>
      </c>
    </row>
    <row r="332">
      <c r="A332" s="32">
        <f>IF(LEN('Providers'!A331)=0,"",IF(LEN('Providers'!A331)=0,"",'Providers'!A331))</f>
        <v/>
      </c>
      <c r="B332" s="33">
        <f>IF(LEN('Providers'!A331)=0,"",IF(LEN('Providers'!B331)=0,"",'Providers'!B331))</f>
        <v/>
      </c>
      <c r="C332" s="33">
        <f>IF(LEN('Providers'!A331)=0,"",IF(LEN('Providers'!E331)=0,"",'Providers'!E331))</f>
        <v/>
      </c>
      <c r="D332" s="34">
        <f>IF(LEN('Providers'!A331)=0,"",IF(ISNUMBER('Providers'!G331),'Providers'!G331,""))</f>
        <v/>
      </c>
      <c r="E332" s="34">
        <f>IF(LEN('Providers'!A331)=0,"",IF(ISNUMBER('Providers'!I331),'Providers'!I331,""))</f>
        <v/>
      </c>
      <c r="F332" s="34">
        <f>IF(LEN('Providers'!A331)=0,"",IF(ISNUMBER('Providers'!K331),'Providers'!K331,""))</f>
        <v/>
      </c>
      <c r="G332" s="34">
        <f>IF(LEN('Providers'!A331)=0,"",IF(ISNUMBER('Providers'!M331),'Providers'!M331,""))</f>
        <v/>
      </c>
      <c r="H332" s="34">
        <f>IF(LEN('Providers'!A331)=0,"",IF(ISNUMBER('Providers'!Q331),'Providers'!Q331,""))</f>
        <v/>
      </c>
      <c r="I332" s="34">
        <f>IF(LEN('Providers'!A331)=0,"",IF(ISNUMBER('Providers'!S331),'Providers'!S331,""))</f>
        <v/>
      </c>
      <c r="J332" s="34">
        <f>IF(LEN('Providers'!A331)=0,"",IF(ISNUMBER('Providers'!W331),'Providers'!W331,""))</f>
        <v/>
      </c>
      <c r="K332" s="34">
        <f>IF(LEN('Providers'!A331)=0,"",IF(ISNUMBER('Providers'!Y331),'Providers'!Y331,""))</f>
        <v/>
      </c>
      <c r="L332" s="34">
        <f>IF(LEN('Providers'!A331)=0,"",IF(ISNUMBER('Providers'!AA331),'Providers'!AA331,""))</f>
        <v/>
      </c>
      <c r="M332" s="34">
        <f>IF(LEN('Providers'!A331)=0,"",IF(ISNUMBER('Providers'!AD331),'Providers'!AD331,""))</f>
        <v/>
      </c>
      <c r="N332" s="35">
        <f>IF(LEN('Providers'!A331)=0,"",IF(LEN('Providers'!AG331)=0,"",'Providers'!AG331))</f>
        <v/>
      </c>
    </row>
    <row r="333">
      <c r="A333" s="32">
        <f>IF(LEN('Providers'!A332)=0,"",IF(LEN('Providers'!A332)=0,"",'Providers'!A332))</f>
        <v/>
      </c>
      <c r="B333" s="33">
        <f>IF(LEN('Providers'!A332)=0,"",IF(LEN('Providers'!B332)=0,"",'Providers'!B332))</f>
        <v/>
      </c>
      <c r="C333" s="33">
        <f>IF(LEN('Providers'!A332)=0,"",IF(LEN('Providers'!E332)=0,"",'Providers'!E332))</f>
        <v/>
      </c>
      <c r="D333" s="34">
        <f>IF(LEN('Providers'!A332)=0,"",IF(ISNUMBER('Providers'!G332),'Providers'!G332,""))</f>
        <v/>
      </c>
      <c r="E333" s="34">
        <f>IF(LEN('Providers'!A332)=0,"",IF(ISNUMBER('Providers'!I332),'Providers'!I332,""))</f>
        <v/>
      </c>
      <c r="F333" s="34">
        <f>IF(LEN('Providers'!A332)=0,"",IF(ISNUMBER('Providers'!K332),'Providers'!K332,""))</f>
        <v/>
      </c>
      <c r="G333" s="34">
        <f>IF(LEN('Providers'!A332)=0,"",IF(ISNUMBER('Providers'!M332),'Providers'!M332,""))</f>
        <v/>
      </c>
      <c r="H333" s="34">
        <f>IF(LEN('Providers'!A332)=0,"",IF(ISNUMBER('Providers'!Q332),'Providers'!Q332,""))</f>
        <v/>
      </c>
      <c r="I333" s="34">
        <f>IF(LEN('Providers'!A332)=0,"",IF(ISNUMBER('Providers'!S332),'Providers'!S332,""))</f>
        <v/>
      </c>
      <c r="J333" s="34">
        <f>IF(LEN('Providers'!A332)=0,"",IF(ISNUMBER('Providers'!W332),'Providers'!W332,""))</f>
        <v/>
      </c>
      <c r="K333" s="34">
        <f>IF(LEN('Providers'!A332)=0,"",IF(ISNUMBER('Providers'!Y332),'Providers'!Y332,""))</f>
        <v/>
      </c>
      <c r="L333" s="34">
        <f>IF(LEN('Providers'!A332)=0,"",IF(ISNUMBER('Providers'!AA332),'Providers'!AA332,""))</f>
        <v/>
      </c>
      <c r="M333" s="34">
        <f>IF(LEN('Providers'!A332)=0,"",IF(ISNUMBER('Providers'!AD332),'Providers'!AD332,""))</f>
        <v/>
      </c>
      <c r="N333" s="35">
        <f>IF(LEN('Providers'!A332)=0,"",IF(LEN('Providers'!AG332)=0,"",'Providers'!AG332))</f>
        <v/>
      </c>
    </row>
    <row r="334">
      <c r="A334" s="32">
        <f>IF(LEN('Providers'!A333)=0,"",IF(LEN('Providers'!A333)=0,"",'Providers'!A333))</f>
        <v/>
      </c>
      <c r="B334" s="33">
        <f>IF(LEN('Providers'!A333)=0,"",IF(LEN('Providers'!B333)=0,"",'Providers'!B333))</f>
        <v/>
      </c>
      <c r="C334" s="33">
        <f>IF(LEN('Providers'!A333)=0,"",IF(LEN('Providers'!E333)=0,"",'Providers'!E333))</f>
        <v/>
      </c>
      <c r="D334" s="34">
        <f>IF(LEN('Providers'!A333)=0,"",IF(ISNUMBER('Providers'!G333),'Providers'!G333,""))</f>
        <v/>
      </c>
      <c r="E334" s="34">
        <f>IF(LEN('Providers'!A333)=0,"",IF(ISNUMBER('Providers'!I333),'Providers'!I333,""))</f>
        <v/>
      </c>
      <c r="F334" s="34">
        <f>IF(LEN('Providers'!A333)=0,"",IF(ISNUMBER('Providers'!K333),'Providers'!K333,""))</f>
        <v/>
      </c>
      <c r="G334" s="34">
        <f>IF(LEN('Providers'!A333)=0,"",IF(ISNUMBER('Providers'!M333),'Providers'!M333,""))</f>
        <v/>
      </c>
      <c r="H334" s="34">
        <f>IF(LEN('Providers'!A333)=0,"",IF(ISNUMBER('Providers'!Q333),'Providers'!Q333,""))</f>
        <v/>
      </c>
      <c r="I334" s="34">
        <f>IF(LEN('Providers'!A333)=0,"",IF(ISNUMBER('Providers'!S333),'Providers'!S333,""))</f>
        <v/>
      </c>
      <c r="J334" s="34">
        <f>IF(LEN('Providers'!A333)=0,"",IF(ISNUMBER('Providers'!W333),'Providers'!W333,""))</f>
        <v/>
      </c>
      <c r="K334" s="34">
        <f>IF(LEN('Providers'!A333)=0,"",IF(ISNUMBER('Providers'!Y333),'Providers'!Y333,""))</f>
        <v/>
      </c>
      <c r="L334" s="34">
        <f>IF(LEN('Providers'!A333)=0,"",IF(ISNUMBER('Providers'!AA333),'Providers'!AA333,""))</f>
        <v/>
      </c>
      <c r="M334" s="34">
        <f>IF(LEN('Providers'!A333)=0,"",IF(ISNUMBER('Providers'!AD333),'Providers'!AD333,""))</f>
        <v/>
      </c>
      <c r="N334" s="35">
        <f>IF(LEN('Providers'!A333)=0,"",IF(LEN('Providers'!AG333)=0,"",'Providers'!AG333))</f>
        <v/>
      </c>
    </row>
    <row r="335">
      <c r="A335" s="32">
        <f>IF(LEN('Providers'!A334)=0,"",IF(LEN('Providers'!A334)=0,"",'Providers'!A334))</f>
        <v/>
      </c>
      <c r="B335" s="33">
        <f>IF(LEN('Providers'!A334)=0,"",IF(LEN('Providers'!B334)=0,"",'Providers'!B334))</f>
        <v/>
      </c>
      <c r="C335" s="33">
        <f>IF(LEN('Providers'!A334)=0,"",IF(LEN('Providers'!E334)=0,"",'Providers'!E334))</f>
        <v/>
      </c>
      <c r="D335" s="34">
        <f>IF(LEN('Providers'!A334)=0,"",IF(ISNUMBER('Providers'!G334),'Providers'!G334,""))</f>
        <v/>
      </c>
      <c r="E335" s="34">
        <f>IF(LEN('Providers'!A334)=0,"",IF(ISNUMBER('Providers'!I334),'Providers'!I334,""))</f>
        <v/>
      </c>
      <c r="F335" s="34">
        <f>IF(LEN('Providers'!A334)=0,"",IF(ISNUMBER('Providers'!K334),'Providers'!K334,""))</f>
        <v/>
      </c>
      <c r="G335" s="34">
        <f>IF(LEN('Providers'!A334)=0,"",IF(ISNUMBER('Providers'!M334),'Providers'!M334,""))</f>
        <v/>
      </c>
      <c r="H335" s="34">
        <f>IF(LEN('Providers'!A334)=0,"",IF(ISNUMBER('Providers'!Q334),'Providers'!Q334,""))</f>
        <v/>
      </c>
      <c r="I335" s="34">
        <f>IF(LEN('Providers'!A334)=0,"",IF(ISNUMBER('Providers'!S334),'Providers'!S334,""))</f>
        <v/>
      </c>
      <c r="J335" s="34">
        <f>IF(LEN('Providers'!A334)=0,"",IF(ISNUMBER('Providers'!W334),'Providers'!W334,""))</f>
        <v/>
      </c>
      <c r="K335" s="34">
        <f>IF(LEN('Providers'!A334)=0,"",IF(ISNUMBER('Providers'!Y334),'Providers'!Y334,""))</f>
        <v/>
      </c>
      <c r="L335" s="34">
        <f>IF(LEN('Providers'!A334)=0,"",IF(ISNUMBER('Providers'!AA334),'Providers'!AA334,""))</f>
        <v/>
      </c>
      <c r="M335" s="34">
        <f>IF(LEN('Providers'!A334)=0,"",IF(ISNUMBER('Providers'!AD334),'Providers'!AD334,""))</f>
        <v/>
      </c>
      <c r="N335" s="35">
        <f>IF(LEN('Providers'!A334)=0,"",IF(LEN('Providers'!AG334)=0,"",'Providers'!AG334))</f>
        <v/>
      </c>
    </row>
    <row r="336">
      <c r="A336" s="32">
        <f>IF(LEN('Providers'!A335)=0,"",IF(LEN('Providers'!A335)=0,"",'Providers'!A335))</f>
        <v/>
      </c>
      <c r="B336" s="33">
        <f>IF(LEN('Providers'!A335)=0,"",IF(LEN('Providers'!B335)=0,"",'Providers'!B335))</f>
        <v/>
      </c>
      <c r="C336" s="33">
        <f>IF(LEN('Providers'!A335)=0,"",IF(LEN('Providers'!E335)=0,"",'Providers'!E335))</f>
        <v/>
      </c>
      <c r="D336" s="34">
        <f>IF(LEN('Providers'!A335)=0,"",IF(ISNUMBER('Providers'!G335),'Providers'!G335,""))</f>
        <v/>
      </c>
      <c r="E336" s="34">
        <f>IF(LEN('Providers'!A335)=0,"",IF(ISNUMBER('Providers'!I335),'Providers'!I335,""))</f>
        <v/>
      </c>
      <c r="F336" s="34">
        <f>IF(LEN('Providers'!A335)=0,"",IF(ISNUMBER('Providers'!K335),'Providers'!K335,""))</f>
        <v/>
      </c>
      <c r="G336" s="34">
        <f>IF(LEN('Providers'!A335)=0,"",IF(ISNUMBER('Providers'!M335),'Providers'!M335,""))</f>
        <v/>
      </c>
      <c r="H336" s="34">
        <f>IF(LEN('Providers'!A335)=0,"",IF(ISNUMBER('Providers'!Q335),'Providers'!Q335,""))</f>
        <v/>
      </c>
      <c r="I336" s="34">
        <f>IF(LEN('Providers'!A335)=0,"",IF(ISNUMBER('Providers'!S335),'Providers'!S335,""))</f>
        <v/>
      </c>
      <c r="J336" s="34">
        <f>IF(LEN('Providers'!A335)=0,"",IF(ISNUMBER('Providers'!W335),'Providers'!W335,""))</f>
        <v/>
      </c>
      <c r="K336" s="34">
        <f>IF(LEN('Providers'!A335)=0,"",IF(ISNUMBER('Providers'!Y335),'Providers'!Y335,""))</f>
        <v/>
      </c>
      <c r="L336" s="34">
        <f>IF(LEN('Providers'!A335)=0,"",IF(ISNUMBER('Providers'!AA335),'Providers'!AA335,""))</f>
        <v/>
      </c>
      <c r="M336" s="34">
        <f>IF(LEN('Providers'!A335)=0,"",IF(ISNUMBER('Providers'!AD335),'Providers'!AD335,""))</f>
        <v/>
      </c>
      <c r="N336" s="35">
        <f>IF(LEN('Providers'!A335)=0,"",IF(LEN('Providers'!AG335)=0,"",'Providers'!AG335))</f>
        <v/>
      </c>
    </row>
    <row r="337">
      <c r="A337" s="32">
        <f>IF(LEN('Providers'!A336)=0,"",IF(LEN('Providers'!A336)=0,"",'Providers'!A336))</f>
        <v/>
      </c>
      <c r="B337" s="33">
        <f>IF(LEN('Providers'!A336)=0,"",IF(LEN('Providers'!B336)=0,"",'Providers'!B336))</f>
        <v/>
      </c>
      <c r="C337" s="33">
        <f>IF(LEN('Providers'!A336)=0,"",IF(LEN('Providers'!E336)=0,"",'Providers'!E336))</f>
        <v/>
      </c>
      <c r="D337" s="34">
        <f>IF(LEN('Providers'!A336)=0,"",IF(ISNUMBER('Providers'!G336),'Providers'!G336,""))</f>
        <v/>
      </c>
      <c r="E337" s="34">
        <f>IF(LEN('Providers'!A336)=0,"",IF(ISNUMBER('Providers'!I336),'Providers'!I336,""))</f>
        <v/>
      </c>
      <c r="F337" s="34">
        <f>IF(LEN('Providers'!A336)=0,"",IF(ISNUMBER('Providers'!K336),'Providers'!K336,""))</f>
        <v/>
      </c>
      <c r="G337" s="34">
        <f>IF(LEN('Providers'!A336)=0,"",IF(ISNUMBER('Providers'!M336),'Providers'!M336,""))</f>
        <v/>
      </c>
      <c r="H337" s="34">
        <f>IF(LEN('Providers'!A336)=0,"",IF(ISNUMBER('Providers'!Q336),'Providers'!Q336,""))</f>
        <v/>
      </c>
      <c r="I337" s="34">
        <f>IF(LEN('Providers'!A336)=0,"",IF(ISNUMBER('Providers'!S336),'Providers'!S336,""))</f>
        <v/>
      </c>
      <c r="J337" s="34">
        <f>IF(LEN('Providers'!A336)=0,"",IF(ISNUMBER('Providers'!W336),'Providers'!W336,""))</f>
        <v/>
      </c>
      <c r="K337" s="34">
        <f>IF(LEN('Providers'!A336)=0,"",IF(ISNUMBER('Providers'!Y336),'Providers'!Y336,""))</f>
        <v/>
      </c>
      <c r="L337" s="34">
        <f>IF(LEN('Providers'!A336)=0,"",IF(ISNUMBER('Providers'!AA336),'Providers'!AA336,""))</f>
        <v/>
      </c>
      <c r="M337" s="34">
        <f>IF(LEN('Providers'!A336)=0,"",IF(ISNUMBER('Providers'!AD336),'Providers'!AD336,""))</f>
        <v/>
      </c>
      <c r="N337" s="35">
        <f>IF(LEN('Providers'!A336)=0,"",IF(LEN('Providers'!AG336)=0,"",'Providers'!AG336))</f>
        <v/>
      </c>
    </row>
    <row r="338">
      <c r="A338" s="32">
        <f>IF(LEN('Providers'!A337)=0,"",IF(LEN('Providers'!A337)=0,"",'Providers'!A337))</f>
        <v/>
      </c>
      <c r="B338" s="33">
        <f>IF(LEN('Providers'!A337)=0,"",IF(LEN('Providers'!B337)=0,"",'Providers'!B337))</f>
        <v/>
      </c>
      <c r="C338" s="33">
        <f>IF(LEN('Providers'!A337)=0,"",IF(LEN('Providers'!E337)=0,"",'Providers'!E337))</f>
        <v/>
      </c>
      <c r="D338" s="34">
        <f>IF(LEN('Providers'!A337)=0,"",IF(ISNUMBER('Providers'!G337),'Providers'!G337,""))</f>
        <v/>
      </c>
      <c r="E338" s="34">
        <f>IF(LEN('Providers'!A337)=0,"",IF(ISNUMBER('Providers'!I337),'Providers'!I337,""))</f>
        <v/>
      </c>
      <c r="F338" s="34">
        <f>IF(LEN('Providers'!A337)=0,"",IF(ISNUMBER('Providers'!K337),'Providers'!K337,""))</f>
        <v/>
      </c>
      <c r="G338" s="34">
        <f>IF(LEN('Providers'!A337)=0,"",IF(ISNUMBER('Providers'!M337),'Providers'!M337,""))</f>
        <v/>
      </c>
      <c r="H338" s="34">
        <f>IF(LEN('Providers'!A337)=0,"",IF(ISNUMBER('Providers'!Q337),'Providers'!Q337,""))</f>
        <v/>
      </c>
      <c r="I338" s="34">
        <f>IF(LEN('Providers'!A337)=0,"",IF(ISNUMBER('Providers'!S337),'Providers'!S337,""))</f>
        <v/>
      </c>
      <c r="J338" s="34">
        <f>IF(LEN('Providers'!A337)=0,"",IF(ISNUMBER('Providers'!W337),'Providers'!W337,""))</f>
        <v/>
      </c>
      <c r="K338" s="34">
        <f>IF(LEN('Providers'!A337)=0,"",IF(ISNUMBER('Providers'!Y337),'Providers'!Y337,""))</f>
        <v/>
      </c>
      <c r="L338" s="34">
        <f>IF(LEN('Providers'!A337)=0,"",IF(ISNUMBER('Providers'!AA337),'Providers'!AA337,""))</f>
        <v/>
      </c>
      <c r="M338" s="34">
        <f>IF(LEN('Providers'!A337)=0,"",IF(ISNUMBER('Providers'!AD337),'Providers'!AD337,""))</f>
        <v/>
      </c>
      <c r="N338" s="35">
        <f>IF(LEN('Providers'!A337)=0,"",IF(LEN('Providers'!AG337)=0,"",'Providers'!AG337))</f>
        <v/>
      </c>
    </row>
    <row r="339">
      <c r="A339" s="32">
        <f>IF(LEN('Providers'!A338)=0,"",IF(LEN('Providers'!A338)=0,"",'Providers'!A338))</f>
        <v/>
      </c>
      <c r="B339" s="33">
        <f>IF(LEN('Providers'!A338)=0,"",IF(LEN('Providers'!B338)=0,"",'Providers'!B338))</f>
        <v/>
      </c>
      <c r="C339" s="33">
        <f>IF(LEN('Providers'!A338)=0,"",IF(LEN('Providers'!E338)=0,"",'Providers'!E338))</f>
        <v/>
      </c>
      <c r="D339" s="34">
        <f>IF(LEN('Providers'!A338)=0,"",IF(ISNUMBER('Providers'!G338),'Providers'!G338,""))</f>
        <v/>
      </c>
      <c r="E339" s="34">
        <f>IF(LEN('Providers'!A338)=0,"",IF(ISNUMBER('Providers'!I338),'Providers'!I338,""))</f>
        <v/>
      </c>
      <c r="F339" s="34">
        <f>IF(LEN('Providers'!A338)=0,"",IF(ISNUMBER('Providers'!K338),'Providers'!K338,""))</f>
        <v/>
      </c>
      <c r="G339" s="34">
        <f>IF(LEN('Providers'!A338)=0,"",IF(ISNUMBER('Providers'!M338),'Providers'!M338,""))</f>
        <v/>
      </c>
      <c r="H339" s="34">
        <f>IF(LEN('Providers'!A338)=0,"",IF(ISNUMBER('Providers'!Q338),'Providers'!Q338,""))</f>
        <v/>
      </c>
      <c r="I339" s="34">
        <f>IF(LEN('Providers'!A338)=0,"",IF(ISNUMBER('Providers'!S338),'Providers'!S338,""))</f>
        <v/>
      </c>
      <c r="J339" s="34">
        <f>IF(LEN('Providers'!A338)=0,"",IF(ISNUMBER('Providers'!W338),'Providers'!W338,""))</f>
        <v/>
      </c>
      <c r="K339" s="34">
        <f>IF(LEN('Providers'!A338)=0,"",IF(ISNUMBER('Providers'!Y338),'Providers'!Y338,""))</f>
        <v/>
      </c>
      <c r="L339" s="34">
        <f>IF(LEN('Providers'!A338)=0,"",IF(ISNUMBER('Providers'!AA338),'Providers'!AA338,""))</f>
        <v/>
      </c>
      <c r="M339" s="34">
        <f>IF(LEN('Providers'!A338)=0,"",IF(ISNUMBER('Providers'!AD338),'Providers'!AD338,""))</f>
        <v/>
      </c>
      <c r="N339" s="35">
        <f>IF(LEN('Providers'!A338)=0,"",IF(LEN('Providers'!AG338)=0,"",'Providers'!AG338))</f>
        <v/>
      </c>
    </row>
    <row r="340">
      <c r="A340" s="32">
        <f>IF(LEN('Providers'!A339)=0,"",IF(LEN('Providers'!A339)=0,"",'Providers'!A339))</f>
        <v/>
      </c>
      <c r="B340" s="33">
        <f>IF(LEN('Providers'!A339)=0,"",IF(LEN('Providers'!B339)=0,"",'Providers'!B339))</f>
        <v/>
      </c>
      <c r="C340" s="33">
        <f>IF(LEN('Providers'!A339)=0,"",IF(LEN('Providers'!E339)=0,"",'Providers'!E339))</f>
        <v/>
      </c>
      <c r="D340" s="34">
        <f>IF(LEN('Providers'!A339)=0,"",IF(ISNUMBER('Providers'!G339),'Providers'!G339,""))</f>
        <v/>
      </c>
      <c r="E340" s="34">
        <f>IF(LEN('Providers'!A339)=0,"",IF(ISNUMBER('Providers'!I339),'Providers'!I339,""))</f>
        <v/>
      </c>
      <c r="F340" s="34">
        <f>IF(LEN('Providers'!A339)=0,"",IF(ISNUMBER('Providers'!K339),'Providers'!K339,""))</f>
        <v/>
      </c>
      <c r="G340" s="34">
        <f>IF(LEN('Providers'!A339)=0,"",IF(ISNUMBER('Providers'!M339),'Providers'!M339,""))</f>
        <v/>
      </c>
      <c r="H340" s="34">
        <f>IF(LEN('Providers'!A339)=0,"",IF(ISNUMBER('Providers'!Q339),'Providers'!Q339,""))</f>
        <v/>
      </c>
      <c r="I340" s="34">
        <f>IF(LEN('Providers'!A339)=0,"",IF(ISNUMBER('Providers'!S339),'Providers'!S339,""))</f>
        <v/>
      </c>
      <c r="J340" s="34">
        <f>IF(LEN('Providers'!A339)=0,"",IF(ISNUMBER('Providers'!W339),'Providers'!W339,""))</f>
        <v/>
      </c>
      <c r="K340" s="34">
        <f>IF(LEN('Providers'!A339)=0,"",IF(ISNUMBER('Providers'!Y339),'Providers'!Y339,""))</f>
        <v/>
      </c>
      <c r="L340" s="34">
        <f>IF(LEN('Providers'!A339)=0,"",IF(ISNUMBER('Providers'!AA339),'Providers'!AA339,""))</f>
        <v/>
      </c>
      <c r="M340" s="34">
        <f>IF(LEN('Providers'!A339)=0,"",IF(ISNUMBER('Providers'!AD339),'Providers'!AD339,""))</f>
        <v/>
      </c>
      <c r="N340" s="35">
        <f>IF(LEN('Providers'!A339)=0,"",IF(LEN('Providers'!AG339)=0,"",'Providers'!AG339))</f>
        <v/>
      </c>
    </row>
    <row r="341">
      <c r="A341" s="32">
        <f>IF(LEN('Providers'!A340)=0,"",IF(LEN('Providers'!A340)=0,"",'Providers'!A340))</f>
        <v/>
      </c>
      <c r="B341" s="33">
        <f>IF(LEN('Providers'!A340)=0,"",IF(LEN('Providers'!B340)=0,"",'Providers'!B340))</f>
        <v/>
      </c>
      <c r="C341" s="33">
        <f>IF(LEN('Providers'!A340)=0,"",IF(LEN('Providers'!E340)=0,"",'Providers'!E340))</f>
        <v/>
      </c>
      <c r="D341" s="34">
        <f>IF(LEN('Providers'!A340)=0,"",IF(ISNUMBER('Providers'!G340),'Providers'!G340,""))</f>
        <v/>
      </c>
      <c r="E341" s="34">
        <f>IF(LEN('Providers'!A340)=0,"",IF(ISNUMBER('Providers'!I340),'Providers'!I340,""))</f>
        <v/>
      </c>
      <c r="F341" s="34">
        <f>IF(LEN('Providers'!A340)=0,"",IF(ISNUMBER('Providers'!K340),'Providers'!K340,""))</f>
        <v/>
      </c>
      <c r="G341" s="34">
        <f>IF(LEN('Providers'!A340)=0,"",IF(ISNUMBER('Providers'!M340),'Providers'!M340,""))</f>
        <v/>
      </c>
      <c r="H341" s="34">
        <f>IF(LEN('Providers'!A340)=0,"",IF(ISNUMBER('Providers'!Q340),'Providers'!Q340,""))</f>
        <v/>
      </c>
      <c r="I341" s="34">
        <f>IF(LEN('Providers'!A340)=0,"",IF(ISNUMBER('Providers'!S340),'Providers'!S340,""))</f>
        <v/>
      </c>
      <c r="J341" s="34">
        <f>IF(LEN('Providers'!A340)=0,"",IF(ISNUMBER('Providers'!W340),'Providers'!W340,""))</f>
        <v/>
      </c>
      <c r="K341" s="34">
        <f>IF(LEN('Providers'!A340)=0,"",IF(ISNUMBER('Providers'!Y340),'Providers'!Y340,""))</f>
        <v/>
      </c>
      <c r="L341" s="34">
        <f>IF(LEN('Providers'!A340)=0,"",IF(ISNUMBER('Providers'!AA340),'Providers'!AA340,""))</f>
        <v/>
      </c>
      <c r="M341" s="34">
        <f>IF(LEN('Providers'!A340)=0,"",IF(ISNUMBER('Providers'!AD340),'Providers'!AD340,""))</f>
        <v/>
      </c>
      <c r="N341" s="35">
        <f>IF(LEN('Providers'!A340)=0,"",IF(LEN('Providers'!AG340)=0,"",'Providers'!AG340))</f>
        <v/>
      </c>
    </row>
    <row r="342">
      <c r="A342" s="32">
        <f>IF(LEN('Providers'!A341)=0,"",IF(LEN('Providers'!A341)=0,"",'Providers'!A341))</f>
        <v/>
      </c>
      <c r="B342" s="33">
        <f>IF(LEN('Providers'!A341)=0,"",IF(LEN('Providers'!B341)=0,"",'Providers'!B341))</f>
        <v/>
      </c>
      <c r="C342" s="33">
        <f>IF(LEN('Providers'!A341)=0,"",IF(LEN('Providers'!E341)=0,"",'Providers'!E341))</f>
        <v/>
      </c>
      <c r="D342" s="34">
        <f>IF(LEN('Providers'!A341)=0,"",IF(ISNUMBER('Providers'!G341),'Providers'!G341,""))</f>
        <v/>
      </c>
      <c r="E342" s="34">
        <f>IF(LEN('Providers'!A341)=0,"",IF(ISNUMBER('Providers'!I341),'Providers'!I341,""))</f>
        <v/>
      </c>
      <c r="F342" s="34">
        <f>IF(LEN('Providers'!A341)=0,"",IF(ISNUMBER('Providers'!K341),'Providers'!K341,""))</f>
        <v/>
      </c>
      <c r="G342" s="34">
        <f>IF(LEN('Providers'!A341)=0,"",IF(ISNUMBER('Providers'!M341),'Providers'!M341,""))</f>
        <v/>
      </c>
      <c r="H342" s="34">
        <f>IF(LEN('Providers'!A341)=0,"",IF(ISNUMBER('Providers'!Q341),'Providers'!Q341,""))</f>
        <v/>
      </c>
      <c r="I342" s="34">
        <f>IF(LEN('Providers'!A341)=0,"",IF(ISNUMBER('Providers'!S341),'Providers'!S341,""))</f>
        <v/>
      </c>
      <c r="J342" s="34">
        <f>IF(LEN('Providers'!A341)=0,"",IF(ISNUMBER('Providers'!W341),'Providers'!W341,""))</f>
        <v/>
      </c>
      <c r="K342" s="34">
        <f>IF(LEN('Providers'!A341)=0,"",IF(ISNUMBER('Providers'!Y341),'Providers'!Y341,""))</f>
        <v/>
      </c>
      <c r="L342" s="34">
        <f>IF(LEN('Providers'!A341)=0,"",IF(ISNUMBER('Providers'!AA341),'Providers'!AA341,""))</f>
        <v/>
      </c>
      <c r="M342" s="34">
        <f>IF(LEN('Providers'!A341)=0,"",IF(ISNUMBER('Providers'!AD341),'Providers'!AD341,""))</f>
        <v/>
      </c>
      <c r="N342" s="35">
        <f>IF(LEN('Providers'!A341)=0,"",IF(LEN('Providers'!AG341)=0,"",'Providers'!AG341))</f>
        <v/>
      </c>
    </row>
    <row r="343">
      <c r="A343" s="32">
        <f>IF(LEN('Providers'!A342)=0,"",IF(LEN('Providers'!A342)=0,"",'Providers'!A342))</f>
        <v/>
      </c>
      <c r="B343" s="33">
        <f>IF(LEN('Providers'!A342)=0,"",IF(LEN('Providers'!B342)=0,"",'Providers'!B342))</f>
        <v/>
      </c>
      <c r="C343" s="33">
        <f>IF(LEN('Providers'!A342)=0,"",IF(LEN('Providers'!E342)=0,"",'Providers'!E342))</f>
        <v/>
      </c>
      <c r="D343" s="34">
        <f>IF(LEN('Providers'!A342)=0,"",IF(ISNUMBER('Providers'!G342),'Providers'!G342,""))</f>
        <v/>
      </c>
      <c r="E343" s="34">
        <f>IF(LEN('Providers'!A342)=0,"",IF(ISNUMBER('Providers'!I342),'Providers'!I342,""))</f>
        <v/>
      </c>
      <c r="F343" s="34">
        <f>IF(LEN('Providers'!A342)=0,"",IF(ISNUMBER('Providers'!K342),'Providers'!K342,""))</f>
        <v/>
      </c>
      <c r="G343" s="34">
        <f>IF(LEN('Providers'!A342)=0,"",IF(ISNUMBER('Providers'!M342),'Providers'!M342,""))</f>
        <v/>
      </c>
      <c r="H343" s="34">
        <f>IF(LEN('Providers'!A342)=0,"",IF(ISNUMBER('Providers'!Q342),'Providers'!Q342,""))</f>
        <v/>
      </c>
      <c r="I343" s="34">
        <f>IF(LEN('Providers'!A342)=0,"",IF(ISNUMBER('Providers'!S342),'Providers'!S342,""))</f>
        <v/>
      </c>
      <c r="J343" s="34">
        <f>IF(LEN('Providers'!A342)=0,"",IF(ISNUMBER('Providers'!W342),'Providers'!W342,""))</f>
        <v/>
      </c>
      <c r="K343" s="34">
        <f>IF(LEN('Providers'!A342)=0,"",IF(ISNUMBER('Providers'!Y342),'Providers'!Y342,""))</f>
        <v/>
      </c>
      <c r="L343" s="34">
        <f>IF(LEN('Providers'!A342)=0,"",IF(ISNUMBER('Providers'!AA342),'Providers'!AA342,""))</f>
        <v/>
      </c>
      <c r="M343" s="34">
        <f>IF(LEN('Providers'!A342)=0,"",IF(ISNUMBER('Providers'!AD342),'Providers'!AD342,""))</f>
        <v/>
      </c>
      <c r="N343" s="35">
        <f>IF(LEN('Providers'!A342)=0,"",IF(LEN('Providers'!AG342)=0,"",'Providers'!AG342))</f>
        <v/>
      </c>
    </row>
    <row r="344">
      <c r="A344" s="32">
        <f>IF(LEN('Providers'!A343)=0,"",IF(LEN('Providers'!A343)=0,"",'Providers'!A343))</f>
        <v/>
      </c>
      <c r="B344" s="33">
        <f>IF(LEN('Providers'!A343)=0,"",IF(LEN('Providers'!B343)=0,"",'Providers'!B343))</f>
        <v/>
      </c>
      <c r="C344" s="33">
        <f>IF(LEN('Providers'!A343)=0,"",IF(LEN('Providers'!E343)=0,"",'Providers'!E343))</f>
        <v/>
      </c>
      <c r="D344" s="34">
        <f>IF(LEN('Providers'!A343)=0,"",IF(ISNUMBER('Providers'!G343),'Providers'!G343,""))</f>
        <v/>
      </c>
      <c r="E344" s="34">
        <f>IF(LEN('Providers'!A343)=0,"",IF(ISNUMBER('Providers'!I343),'Providers'!I343,""))</f>
        <v/>
      </c>
      <c r="F344" s="34">
        <f>IF(LEN('Providers'!A343)=0,"",IF(ISNUMBER('Providers'!K343),'Providers'!K343,""))</f>
        <v/>
      </c>
      <c r="G344" s="34">
        <f>IF(LEN('Providers'!A343)=0,"",IF(ISNUMBER('Providers'!M343),'Providers'!M343,""))</f>
        <v/>
      </c>
      <c r="H344" s="34">
        <f>IF(LEN('Providers'!A343)=0,"",IF(ISNUMBER('Providers'!Q343),'Providers'!Q343,""))</f>
        <v/>
      </c>
      <c r="I344" s="34">
        <f>IF(LEN('Providers'!A343)=0,"",IF(ISNUMBER('Providers'!S343),'Providers'!S343,""))</f>
        <v/>
      </c>
      <c r="J344" s="34">
        <f>IF(LEN('Providers'!A343)=0,"",IF(ISNUMBER('Providers'!W343),'Providers'!W343,""))</f>
        <v/>
      </c>
      <c r="K344" s="34">
        <f>IF(LEN('Providers'!A343)=0,"",IF(ISNUMBER('Providers'!Y343),'Providers'!Y343,""))</f>
        <v/>
      </c>
      <c r="L344" s="34">
        <f>IF(LEN('Providers'!A343)=0,"",IF(ISNUMBER('Providers'!AA343),'Providers'!AA343,""))</f>
        <v/>
      </c>
      <c r="M344" s="34">
        <f>IF(LEN('Providers'!A343)=0,"",IF(ISNUMBER('Providers'!AD343),'Providers'!AD343,""))</f>
        <v/>
      </c>
      <c r="N344" s="35">
        <f>IF(LEN('Providers'!A343)=0,"",IF(LEN('Providers'!AG343)=0,"",'Providers'!AG343))</f>
        <v/>
      </c>
    </row>
    <row r="345">
      <c r="A345" s="32">
        <f>IF(LEN('Providers'!A344)=0,"",IF(LEN('Providers'!A344)=0,"",'Providers'!A344))</f>
        <v/>
      </c>
      <c r="B345" s="33">
        <f>IF(LEN('Providers'!A344)=0,"",IF(LEN('Providers'!B344)=0,"",'Providers'!B344))</f>
        <v/>
      </c>
      <c r="C345" s="33">
        <f>IF(LEN('Providers'!A344)=0,"",IF(LEN('Providers'!E344)=0,"",'Providers'!E344))</f>
        <v/>
      </c>
      <c r="D345" s="34">
        <f>IF(LEN('Providers'!A344)=0,"",IF(ISNUMBER('Providers'!G344),'Providers'!G344,""))</f>
        <v/>
      </c>
      <c r="E345" s="34">
        <f>IF(LEN('Providers'!A344)=0,"",IF(ISNUMBER('Providers'!I344),'Providers'!I344,""))</f>
        <v/>
      </c>
      <c r="F345" s="34">
        <f>IF(LEN('Providers'!A344)=0,"",IF(ISNUMBER('Providers'!K344),'Providers'!K344,""))</f>
        <v/>
      </c>
      <c r="G345" s="34">
        <f>IF(LEN('Providers'!A344)=0,"",IF(ISNUMBER('Providers'!M344),'Providers'!M344,""))</f>
        <v/>
      </c>
      <c r="H345" s="34">
        <f>IF(LEN('Providers'!A344)=0,"",IF(ISNUMBER('Providers'!Q344),'Providers'!Q344,""))</f>
        <v/>
      </c>
      <c r="I345" s="34">
        <f>IF(LEN('Providers'!A344)=0,"",IF(ISNUMBER('Providers'!S344),'Providers'!S344,""))</f>
        <v/>
      </c>
      <c r="J345" s="34">
        <f>IF(LEN('Providers'!A344)=0,"",IF(ISNUMBER('Providers'!W344),'Providers'!W344,""))</f>
        <v/>
      </c>
      <c r="K345" s="34">
        <f>IF(LEN('Providers'!A344)=0,"",IF(ISNUMBER('Providers'!Y344),'Providers'!Y344,""))</f>
        <v/>
      </c>
      <c r="L345" s="34">
        <f>IF(LEN('Providers'!A344)=0,"",IF(ISNUMBER('Providers'!AA344),'Providers'!AA344,""))</f>
        <v/>
      </c>
      <c r="M345" s="34">
        <f>IF(LEN('Providers'!A344)=0,"",IF(ISNUMBER('Providers'!AD344),'Providers'!AD344,""))</f>
        <v/>
      </c>
      <c r="N345" s="35">
        <f>IF(LEN('Providers'!A344)=0,"",IF(LEN('Providers'!AG344)=0,"",'Providers'!AG344))</f>
        <v/>
      </c>
    </row>
    <row r="346">
      <c r="A346" s="32">
        <f>IF(LEN('Providers'!A345)=0,"",IF(LEN('Providers'!A345)=0,"",'Providers'!A345))</f>
        <v/>
      </c>
      <c r="B346" s="33">
        <f>IF(LEN('Providers'!A345)=0,"",IF(LEN('Providers'!B345)=0,"",'Providers'!B345))</f>
        <v/>
      </c>
      <c r="C346" s="33">
        <f>IF(LEN('Providers'!A345)=0,"",IF(LEN('Providers'!E345)=0,"",'Providers'!E345))</f>
        <v/>
      </c>
      <c r="D346" s="34">
        <f>IF(LEN('Providers'!A345)=0,"",IF(ISNUMBER('Providers'!G345),'Providers'!G345,""))</f>
        <v/>
      </c>
      <c r="E346" s="34">
        <f>IF(LEN('Providers'!A345)=0,"",IF(ISNUMBER('Providers'!I345),'Providers'!I345,""))</f>
        <v/>
      </c>
      <c r="F346" s="34">
        <f>IF(LEN('Providers'!A345)=0,"",IF(ISNUMBER('Providers'!K345),'Providers'!K345,""))</f>
        <v/>
      </c>
      <c r="G346" s="34">
        <f>IF(LEN('Providers'!A345)=0,"",IF(ISNUMBER('Providers'!M345),'Providers'!M345,""))</f>
        <v/>
      </c>
      <c r="H346" s="34">
        <f>IF(LEN('Providers'!A345)=0,"",IF(ISNUMBER('Providers'!Q345),'Providers'!Q345,""))</f>
        <v/>
      </c>
      <c r="I346" s="34">
        <f>IF(LEN('Providers'!A345)=0,"",IF(ISNUMBER('Providers'!S345),'Providers'!S345,""))</f>
        <v/>
      </c>
      <c r="J346" s="34">
        <f>IF(LEN('Providers'!A345)=0,"",IF(ISNUMBER('Providers'!W345),'Providers'!W345,""))</f>
        <v/>
      </c>
      <c r="K346" s="34">
        <f>IF(LEN('Providers'!A345)=0,"",IF(ISNUMBER('Providers'!Y345),'Providers'!Y345,""))</f>
        <v/>
      </c>
      <c r="L346" s="34">
        <f>IF(LEN('Providers'!A345)=0,"",IF(ISNUMBER('Providers'!AA345),'Providers'!AA345,""))</f>
        <v/>
      </c>
      <c r="M346" s="34">
        <f>IF(LEN('Providers'!A345)=0,"",IF(ISNUMBER('Providers'!AD345),'Providers'!AD345,""))</f>
        <v/>
      </c>
      <c r="N346" s="35">
        <f>IF(LEN('Providers'!A345)=0,"",IF(LEN('Providers'!AG345)=0,"",'Providers'!AG345))</f>
        <v/>
      </c>
    </row>
    <row r="347">
      <c r="A347" s="32">
        <f>IF(LEN('Providers'!A346)=0,"",IF(LEN('Providers'!A346)=0,"",'Providers'!A346))</f>
        <v/>
      </c>
      <c r="B347" s="33">
        <f>IF(LEN('Providers'!A346)=0,"",IF(LEN('Providers'!B346)=0,"",'Providers'!B346))</f>
        <v/>
      </c>
      <c r="C347" s="33">
        <f>IF(LEN('Providers'!A346)=0,"",IF(LEN('Providers'!E346)=0,"",'Providers'!E346))</f>
        <v/>
      </c>
      <c r="D347" s="34">
        <f>IF(LEN('Providers'!A346)=0,"",IF(ISNUMBER('Providers'!G346),'Providers'!G346,""))</f>
        <v/>
      </c>
      <c r="E347" s="34">
        <f>IF(LEN('Providers'!A346)=0,"",IF(ISNUMBER('Providers'!I346),'Providers'!I346,""))</f>
        <v/>
      </c>
      <c r="F347" s="34">
        <f>IF(LEN('Providers'!A346)=0,"",IF(ISNUMBER('Providers'!K346),'Providers'!K346,""))</f>
        <v/>
      </c>
      <c r="G347" s="34">
        <f>IF(LEN('Providers'!A346)=0,"",IF(ISNUMBER('Providers'!M346),'Providers'!M346,""))</f>
        <v/>
      </c>
      <c r="H347" s="34">
        <f>IF(LEN('Providers'!A346)=0,"",IF(ISNUMBER('Providers'!Q346),'Providers'!Q346,""))</f>
        <v/>
      </c>
      <c r="I347" s="34">
        <f>IF(LEN('Providers'!A346)=0,"",IF(ISNUMBER('Providers'!S346),'Providers'!S346,""))</f>
        <v/>
      </c>
      <c r="J347" s="34">
        <f>IF(LEN('Providers'!A346)=0,"",IF(ISNUMBER('Providers'!W346),'Providers'!W346,""))</f>
        <v/>
      </c>
      <c r="K347" s="34">
        <f>IF(LEN('Providers'!A346)=0,"",IF(ISNUMBER('Providers'!Y346),'Providers'!Y346,""))</f>
        <v/>
      </c>
      <c r="L347" s="34">
        <f>IF(LEN('Providers'!A346)=0,"",IF(ISNUMBER('Providers'!AA346),'Providers'!AA346,""))</f>
        <v/>
      </c>
      <c r="M347" s="34">
        <f>IF(LEN('Providers'!A346)=0,"",IF(ISNUMBER('Providers'!AD346),'Providers'!AD346,""))</f>
        <v/>
      </c>
      <c r="N347" s="35">
        <f>IF(LEN('Providers'!A346)=0,"",IF(LEN('Providers'!AG346)=0,"",'Providers'!AG346))</f>
        <v/>
      </c>
    </row>
    <row r="348">
      <c r="A348" s="32">
        <f>IF(LEN('Providers'!A347)=0,"",IF(LEN('Providers'!A347)=0,"",'Providers'!A347))</f>
        <v/>
      </c>
      <c r="B348" s="33">
        <f>IF(LEN('Providers'!A347)=0,"",IF(LEN('Providers'!B347)=0,"",'Providers'!B347))</f>
        <v/>
      </c>
      <c r="C348" s="33">
        <f>IF(LEN('Providers'!A347)=0,"",IF(LEN('Providers'!E347)=0,"",'Providers'!E347))</f>
        <v/>
      </c>
      <c r="D348" s="34">
        <f>IF(LEN('Providers'!A347)=0,"",IF(ISNUMBER('Providers'!G347),'Providers'!G347,""))</f>
        <v/>
      </c>
      <c r="E348" s="34">
        <f>IF(LEN('Providers'!A347)=0,"",IF(ISNUMBER('Providers'!I347),'Providers'!I347,""))</f>
        <v/>
      </c>
      <c r="F348" s="34">
        <f>IF(LEN('Providers'!A347)=0,"",IF(ISNUMBER('Providers'!K347),'Providers'!K347,""))</f>
        <v/>
      </c>
      <c r="G348" s="34">
        <f>IF(LEN('Providers'!A347)=0,"",IF(ISNUMBER('Providers'!M347),'Providers'!M347,""))</f>
        <v/>
      </c>
      <c r="H348" s="34">
        <f>IF(LEN('Providers'!A347)=0,"",IF(ISNUMBER('Providers'!Q347),'Providers'!Q347,""))</f>
        <v/>
      </c>
      <c r="I348" s="34">
        <f>IF(LEN('Providers'!A347)=0,"",IF(ISNUMBER('Providers'!S347),'Providers'!S347,""))</f>
        <v/>
      </c>
      <c r="J348" s="34">
        <f>IF(LEN('Providers'!A347)=0,"",IF(ISNUMBER('Providers'!W347),'Providers'!W347,""))</f>
        <v/>
      </c>
      <c r="K348" s="34">
        <f>IF(LEN('Providers'!A347)=0,"",IF(ISNUMBER('Providers'!Y347),'Providers'!Y347,""))</f>
        <v/>
      </c>
      <c r="L348" s="34">
        <f>IF(LEN('Providers'!A347)=0,"",IF(ISNUMBER('Providers'!AA347),'Providers'!AA347,""))</f>
        <v/>
      </c>
      <c r="M348" s="34">
        <f>IF(LEN('Providers'!A347)=0,"",IF(ISNUMBER('Providers'!AD347),'Providers'!AD347,""))</f>
        <v/>
      </c>
      <c r="N348" s="35">
        <f>IF(LEN('Providers'!A347)=0,"",IF(LEN('Providers'!AG347)=0,"",'Providers'!AG347))</f>
        <v/>
      </c>
    </row>
    <row r="349">
      <c r="A349" s="32">
        <f>IF(LEN('Providers'!A348)=0,"",IF(LEN('Providers'!A348)=0,"",'Providers'!A348))</f>
        <v/>
      </c>
      <c r="B349" s="33">
        <f>IF(LEN('Providers'!A348)=0,"",IF(LEN('Providers'!B348)=0,"",'Providers'!B348))</f>
        <v/>
      </c>
      <c r="C349" s="33">
        <f>IF(LEN('Providers'!A348)=0,"",IF(LEN('Providers'!E348)=0,"",'Providers'!E348))</f>
        <v/>
      </c>
      <c r="D349" s="34">
        <f>IF(LEN('Providers'!A348)=0,"",IF(ISNUMBER('Providers'!G348),'Providers'!G348,""))</f>
        <v/>
      </c>
      <c r="E349" s="34">
        <f>IF(LEN('Providers'!A348)=0,"",IF(ISNUMBER('Providers'!I348),'Providers'!I348,""))</f>
        <v/>
      </c>
      <c r="F349" s="34">
        <f>IF(LEN('Providers'!A348)=0,"",IF(ISNUMBER('Providers'!K348),'Providers'!K348,""))</f>
        <v/>
      </c>
      <c r="G349" s="34">
        <f>IF(LEN('Providers'!A348)=0,"",IF(ISNUMBER('Providers'!M348),'Providers'!M348,""))</f>
        <v/>
      </c>
      <c r="H349" s="34">
        <f>IF(LEN('Providers'!A348)=0,"",IF(ISNUMBER('Providers'!Q348),'Providers'!Q348,""))</f>
        <v/>
      </c>
      <c r="I349" s="34">
        <f>IF(LEN('Providers'!A348)=0,"",IF(ISNUMBER('Providers'!S348),'Providers'!S348,""))</f>
        <v/>
      </c>
      <c r="J349" s="34">
        <f>IF(LEN('Providers'!A348)=0,"",IF(ISNUMBER('Providers'!W348),'Providers'!W348,""))</f>
        <v/>
      </c>
      <c r="K349" s="34">
        <f>IF(LEN('Providers'!A348)=0,"",IF(ISNUMBER('Providers'!Y348),'Providers'!Y348,""))</f>
        <v/>
      </c>
      <c r="L349" s="34">
        <f>IF(LEN('Providers'!A348)=0,"",IF(ISNUMBER('Providers'!AA348),'Providers'!AA348,""))</f>
        <v/>
      </c>
      <c r="M349" s="34">
        <f>IF(LEN('Providers'!A348)=0,"",IF(ISNUMBER('Providers'!AD348),'Providers'!AD348,""))</f>
        <v/>
      </c>
      <c r="N349" s="35">
        <f>IF(LEN('Providers'!A348)=0,"",IF(LEN('Providers'!AG348)=0,"",'Providers'!AG348))</f>
        <v/>
      </c>
    </row>
    <row r="350">
      <c r="A350" s="32">
        <f>IF(LEN('Providers'!A349)=0,"",IF(LEN('Providers'!A349)=0,"",'Providers'!A349))</f>
        <v/>
      </c>
      <c r="B350" s="33">
        <f>IF(LEN('Providers'!A349)=0,"",IF(LEN('Providers'!B349)=0,"",'Providers'!B349))</f>
        <v/>
      </c>
      <c r="C350" s="33">
        <f>IF(LEN('Providers'!A349)=0,"",IF(LEN('Providers'!E349)=0,"",'Providers'!E349))</f>
        <v/>
      </c>
      <c r="D350" s="34">
        <f>IF(LEN('Providers'!A349)=0,"",IF(ISNUMBER('Providers'!G349),'Providers'!G349,""))</f>
        <v/>
      </c>
      <c r="E350" s="34">
        <f>IF(LEN('Providers'!A349)=0,"",IF(ISNUMBER('Providers'!I349),'Providers'!I349,""))</f>
        <v/>
      </c>
      <c r="F350" s="34">
        <f>IF(LEN('Providers'!A349)=0,"",IF(ISNUMBER('Providers'!K349),'Providers'!K349,""))</f>
        <v/>
      </c>
      <c r="G350" s="34">
        <f>IF(LEN('Providers'!A349)=0,"",IF(ISNUMBER('Providers'!M349),'Providers'!M349,""))</f>
        <v/>
      </c>
      <c r="H350" s="34">
        <f>IF(LEN('Providers'!A349)=0,"",IF(ISNUMBER('Providers'!Q349),'Providers'!Q349,""))</f>
        <v/>
      </c>
      <c r="I350" s="34">
        <f>IF(LEN('Providers'!A349)=0,"",IF(ISNUMBER('Providers'!S349),'Providers'!S349,""))</f>
        <v/>
      </c>
      <c r="J350" s="34">
        <f>IF(LEN('Providers'!A349)=0,"",IF(ISNUMBER('Providers'!W349),'Providers'!W349,""))</f>
        <v/>
      </c>
      <c r="K350" s="34">
        <f>IF(LEN('Providers'!A349)=0,"",IF(ISNUMBER('Providers'!Y349),'Providers'!Y349,""))</f>
        <v/>
      </c>
      <c r="L350" s="34">
        <f>IF(LEN('Providers'!A349)=0,"",IF(ISNUMBER('Providers'!AA349),'Providers'!AA349,""))</f>
        <v/>
      </c>
      <c r="M350" s="34">
        <f>IF(LEN('Providers'!A349)=0,"",IF(ISNUMBER('Providers'!AD349),'Providers'!AD349,""))</f>
        <v/>
      </c>
      <c r="N350" s="35">
        <f>IF(LEN('Providers'!A349)=0,"",IF(LEN('Providers'!AG349)=0,"",'Providers'!AG349))</f>
        <v/>
      </c>
    </row>
    <row r="351">
      <c r="A351" s="32">
        <f>IF(LEN('Providers'!A350)=0,"",IF(LEN('Providers'!A350)=0,"",'Providers'!A350))</f>
        <v/>
      </c>
      <c r="B351" s="33">
        <f>IF(LEN('Providers'!A350)=0,"",IF(LEN('Providers'!B350)=0,"",'Providers'!B350))</f>
        <v/>
      </c>
      <c r="C351" s="33">
        <f>IF(LEN('Providers'!A350)=0,"",IF(LEN('Providers'!E350)=0,"",'Providers'!E350))</f>
        <v/>
      </c>
      <c r="D351" s="34">
        <f>IF(LEN('Providers'!A350)=0,"",IF(ISNUMBER('Providers'!G350),'Providers'!G350,""))</f>
        <v/>
      </c>
      <c r="E351" s="34">
        <f>IF(LEN('Providers'!A350)=0,"",IF(ISNUMBER('Providers'!I350),'Providers'!I350,""))</f>
        <v/>
      </c>
      <c r="F351" s="34">
        <f>IF(LEN('Providers'!A350)=0,"",IF(ISNUMBER('Providers'!K350),'Providers'!K350,""))</f>
        <v/>
      </c>
      <c r="G351" s="34">
        <f>IF(LEN('Providers'!A350)=0,"",IF(ISNUMBER('Providers'!M350),'Providers'!M350,""))</f>
        <v/>
      </c>
      <c r="H351" s="34">
        <f>IF(LEN('Providers'!A350)=0,"",IF(ISNUMBER('Providers'!Q350),'Providers'!Q350,""))</f>
        <v/>
      </c>
      <c r="I351" s="34">
        <f>IF(LEN('Providers'!A350)=0,"",IF(ISNUMBER('Providers'!S350),'Providers'!S350,""))</f>
        <v/>
      </c>
      <c r="J351" s="34">
        <f>IF(LEN('Providers'!A350)=0,"",IF(ISNUMBER('Providers'!W350),'Providers'!W350,""))</f>
        <v/>
      </c>
      <c r="K351" s="34">
        <f>IF(LEN('Providers'!A350)=0,"",IF(ISNUMBER('Providers'!Y350),'Providers'!Y350,""))</f>
        <v/>
      </c>
      <c r="L351" s="34">
        <f>IF(LEN('Providers'!A350)=0,"",IF(ISNUMBER('Providers'!AA350),'Providers'!AA350,""))</f>
        <v/>
      </c>
      <c r="M351" s="34">
        <f>IF(LEN('Providers'!A350)=0,"",IF(ISNUMBER('Providers'!AD350),'Providers'!AD350,""))</f>
        <v/>
      </c>
      <c r="N351" s="35">
        <f>IF(LEN('Providers'!A350)=0,"",IF(LEN('Providers'!AG350)=0,"",'Providers'!AG350))</f>
        <v/>
      </c>
    </row>
    <row r="352">
      <c r="A352" s="32">
        <f>IF(LEN('Providers'!A351)=0,"",IF(LEN('Providers'!A351)=0,"",'Providers'!A351))</f>
        <v/>
      </c>
      <c r="B352" s="33">
        <f>IF(LEN('Providers'!A351)=0,"",IF(LEN('Providers'!B351)=0,"",'Providers'!B351))</f>
        <v/>
      </c>
      <c r="C352" s="33">
        <f>IF(LEN('Providers'!A351)=0,"",IF(LEN('Providers'!E351)=0,"",'Providers'!E351))</f>
        <v/>
      </c>
      <c r="D352" s="34">
        <f>IF(LEN('Providers'!A351)=0,"",IF(ISNUMBER('Providers'!G351),'Providers'!G351,""))</f>
        <v/>
      </c>
      <c r="E352" s="34">
        <f>IF(LEN('Providers'!A351)=0,"",IF(ISNUMBER('Providers'!I351),'Providers'!I351,""))</f>
        <v/>
      </c>
      <c r="F352" s="34">
        <f>IF(LEN('Providers'!A351)=0,"",IF(ISNUMBER('Providers'!K351),'Providers'!K351,""))</f>
        <v/>
      </c>
      <c r="G352" s="34">
        <f>IF(LEN('Providers'!A351)=0,"",IF(ISNUMBER('Providers'!M351),'Providers'!M351,""))</f>
        <v/>
      </c>
      <c r="H352" s="34">
        <f>IF(LEN('Providers'!A351)=0,"",IF(ISNUMBER('Providers'!Q351),'Providers'!Q351,""))</f>
        <v/>
      </c>
      <c r="I352" s="34">
        <f>IF(LEN('Providers'!A351)=0,"",IF(ISNUMBER('Providers'!S351),'Providers'!S351,""))</f>
        <v/>
      </c>
      <c r="J352" s="34">
        <f>IF(LEN('Providers'!A351)=0,"",IF(ISNUMBER('Providers'!W351),'Providers'!W351,""))</f>
        <v/>
      </c>
      <c r="K352" s="34">
        <f>IF(LEN('Providers'!A351)=0,"",IF(ISNUMBER('Providers'!Y351),'Providers'!Y351,""))</f>
        <v/>
      </c>
      <c r="L352" s="34">
        <f>IF(LEN('Providers'!A351)=0,"",IF(ISNUMBER('Providers'!AA351),'Providers'!AA351,""))</f>
        <v/>
      </c>
      <c r="M352" s="34">
        <f>IF(LEN('Providers'!A351)=0,"",IF(ISNUMBER('Providers'!AD351),'Providers'!AD351,""))</f>
        <v/>
      </c>
      <c r="N352" s="35">
        <f>IF(LEN('Providers'!A351)=0,"",IF(LEN('Providers'!AG351)=0,"",'Providers'!AG351))</f>
        <v/>
      </c>
    </row>
    <row r="353">
      <c r="A353" s="32">
        <f>IF(LEN('Providers'!A352)=0,"",IF(LEN('Providers'!A352)=0,"",'Providers'!A352))</f>
        <v/>
      </c>
      <c r="B353" s="33">
        <f>IF(LEN('Providers'!A352)=0,"",IF(LEN('Providers'!B352)=0,"",'Providers'!B352))</f>
        <v/>
      </c>
      <c r="C353" s="33">
        <f>IF(LEN('Providers'!A352)=0,"",IF(LEN('Providers'!E352)=0,"",'Providers'!E352))</f>
        <v/>
      </c>
      <c r="D353" s="34">
        <f>IF(LEN('Providers'!A352)=0,"",IF(ISNUMBER('Providers'!G352),'Providers'!G352,""))</f>
        <v/>
      </c>
      <c r="E353" s="34">
        <f>IF(LEN('Providers'!A352)=0,"",IF(ISNUMBER('Providers'!I352),'Providers'!I352,""))</f>
        <v/>
      </c>
      <c r="F353" s="34">
        <f>IF(LEN('Providers'!A352)=0,"",IF(ISNUMBER('Providers'!K352),'Providers'!K352,""))</f>
        <v/>
      </c>
      <c r="G353" s="34">
        <f>IF(LEN('Providers'!A352)=0,"",IF(ISNUMBER('Providers'!M352),'Providers'!M352,""))</f>
        <v/>
      </c>
      <c r="H353" s="34">
        <f>IF(LEN('Providers'!A352)=0,"",IF(ISNUMBER('Providers'!Q352),'Providers'!Q352,""))</f>
        <v/>
      </c>
      <c r="I353" s="34">
        <f>IF(LEN('Providers'!A352)=0,"",IF(ISNUMBER('Providers'!S352),'Providers'!S352,""))</f>
        <v/>
      </c>
      <c r="J353" s="34">
        <f>IF(LEN('Providers'!A352)=0,"",IF(ISNUMBER('Providers'!W352),'Providers'!W352,""))</f>
        <v/>
      </c>
      <c r="K353" s="34">
        <f>IF(LEN('Providers'!A352)=0,"",IF(ISNUMBER('Providers'!Y352),'Providers'!Y352,""))</f>
        <v/>
      </c>
      <c r="L353" s="34">
        <f>IF(LEN('Providers'!A352)=0,"",IF(ISNUMBER('Providers'!AA352),'Providers'!AA352,""))</f>
        <v/>
      </c>
      <c r="M353" s="34">
        <f>IF(LEN('Providers'!A352)=0,"",IF(ISNUMBER('Providers'!AD352),'Providers'!AD352,""))</f>
        <v/>
      </c>
      <c r="N353" s="35">
        <f>IF(LEN('Providers'!A352)=0,"",IF(LEN('Providers'!AG352)=0,"",'Providers'!AG352))</f>
        <v/>
      </c>
    </row>
    <row r="354">
      <c r="A354" s="32">
        <f>IF(LEN('Providers'!A353)=0,"",IF(LEN('Providers'!A353)=0,"",'Providers'!A353))</f>
        <v/>
      </c>
      <c r="B354" s="33">
        <f>IF(LEN('Providers'!A353)=0,"",IF(LEN('Providers'!B353)=0,"",'Providers'!B353))</f>
        <v/>
      </c>
      <c r="C354" s="33">
        <f>IF(LEN('Providers'!A353)=0,"",IF(LEN('Providers'!E353)=0,"",'Providers'!E353))</f>
        <v/>
      </c>
      <c r="D354" s="34">
        <f>IF(LEN('Providers'!A353)=0,"",IF(ISNUMBER('Providers'!G353),'Providers'!G353,""))</f>
        <v/>
      </c>
      <c r="E354" s="34">
        <f>IF(LEN('Providers'!A353)=0,"",IF(ISNUMBER('Providers'!I353),'Providers'!I353,""))</f>
        <v/>
      </c>
      <c r="F354" s="34">
        <f>IF(LEN('Providers'!A353)=0,"",IF(ISNUMBER('Providers'!K353),'Providers'!K353,""))</f>
        <v/>
      </c>
      <c r="G354" s="34">
        <f>IF(LEN('Providers'!A353)=0,"",IF(ISNUMBER('Providers'!M353),'Providers'!M353,""))</f>
        <v/>
      </c>
      <c r="H354" s="34">
        <f>IF(LEN('Providers'!A353)=0,"",IF(ISNUMBER('Providers'!Q353),'Providers'!Q353,""))</f>
        <v/>
      </c>
      <c r="I354" s="34">
        <f>IF(LEN('Providers'!A353)=0,"",IF(ISNUMBER('Providers'!S353),'Providers'!S353,""))</f>
        <v/>
      </c>
      <c r="J354" s="34">
        <f>IF(LEN('Providers'!A353)=0,"",IF(ISNUMBER('Providers'!W353),'Providers'!W353,""))</f>
        <v/>
      </c>
      <c r="K354" s="34">
        <f>IF(LEN('Providers'!A353)=0,"",IF(ISNUMBER('Providers'!Y353),'Providers'!Y353,""))</f>
        <v/>
      </c>
      <c r="L354" s="34">
        <f>IF(LEN('Providers'!A353)=0,"",IF(ISNUMBER('Providers'!AA353),'Providers'!AA353,""))</f>
        <v/>
      </c>
      <c r="M354" s="34">
        <f>IF(LEN('Providers'!A353)=0,"",IF(ISNUMBER('Providers'!AD353),'Providers'!AD353,""))</f>
        <v/>
      </c>
      <c r="N354" s="35">
        <f>IF(LEN('Providers'!A353)=0,"",IF(LEN('Providers'!AG353)=0,"",'Providers'!AG353))</f>
        <v/>
      </c>
    </row>
    <row r="355">
      <c r="A355" s="32">
        <f>IF(LEN('Providers'!A354)=0,"",IF(LEN('Providers'!A354)=0,"",'Providers'!A354))</f>
        <v/>
      </c>
      <c r="B355" s="33">
        <f>IF(LEN('Providers'!A354)=0,"",IF(LEN('Providers'!B354)=0,"",'Providers'!B354))</f>
        <v/>
      </c>
      <c r="C355" s="33">
        <f>IF(LEN('Providers'!A354)=0,"",IF(LEN('Providers'!E354)=0,"",'Providers'!E354))</f>
        <v/>
      </c>
      <c r="D355" s="34">
        <f>IF(LEN('Providers'!A354)=0,"",IF(ISNUMBER('Providers'!G354),'Providers'!G354,""))</f>
        <v/>
      </c>
      <c r="E355" s="34">
        <f>IF(LEN('Providers'!A354)=0,"",IF(ISNUMBER('Providers'!I354),'Providers'!I354,""))</f>
        <v/>
      </c>
      <c r="F355" s="34">
        <f>IF(LEN('Providers'!A354)=0,"",IF(ISNUMBER('Providers'!K354),'Providers'!K354,""))</f>
        <v/>
      </c>
      <c r="G355" s="34">
        <f>IF(LEN('Providers'!A354)=0,"",IF(ISNUMBER('Providers'!M354),'Providers'!M354,""))</f>
        <v/>
      </c>
      <c r="H355" s="34">
        <f>IF(LEN('Providers'!A354)=0,"",IF(ISNUMBER('Providers'!Q354),'Providers'!Q354,""))</f>
        <v/>
      </c>
      <c r="I355" s="34">
        <f>IF(LEN('Providers'!A354)=0,"",IF(ISNUMBER('Providers'!S354),'Providers'!S354,""))</f>
        <v/>
      </c>
      <c r="J355" s="34">
        <f>IF(LEN('Providers'!A354)=0,"",IF(ISNUMBER('Providers'!W354),'Providers'!W354,""))</f>
        <v/>
      </c>
      <c r="K355" s="34">
        <f>IF(LEN('Providers'!A354)=0,"",IF(ISNUMBER('Providers'!Y354),'Providers'!Y354,""))</f>
        <v/>
      </c>
      <c r="L355" s="34">
        <f>IF(LEN('Providers'!A354)=0,"",IF(ISNUMBER('Providers'!AA354),'Providers'!AA354,""))</f>
        <v/>
      </c>
      <c r="M355" s="34">
        <f>IF(LEN('Providers'!A354)=0,"",IF(ISNUMBER('Providers'!AD354),'Providers'!AD354,""))</f>
        <v/>
      </c>
      <c r="N355" s="35">
        <f>IF(LEN('Providers'!A354)=0,"",IF(LEN('Providers'!AG354)=0,"",'Providers'!AG354))</f>
        <v/>
      </c>
    </row>
    <row r="356">
      <c r="A356" s="32">
        <f>IF(LEN('Providers'!A355)=0,"",IF(LEN('Providers'!A355)=0,"",'Providers'!A355))</f>
        <v/>
      </c>
      <c r="B356" s="33">
        <f>IF(LEN('Providers'!A355)=0,"",IF(LEN('Providers'!B355)=0,"",'Providers'!B355))</f>
        <v/>
      </c>
      <c r="C356" s="33">
        <f>IF(LEN('Providers'!A355)=0,"",IF(LEN('Providers'!E355)=0,"",'Providers'!E355))</f>
        <v/>
      </c>
      <c r="D356" s="34">
        <f>IF(LEN('Providers'!A355)=0,"",IF(ISNUMBER('Providers'!G355),'Providers'!G355,""))</f>
        <v/>
      </c>
      <c r="E356" s="34">
        <f>IF(LEN('Providers'!A355)=0,"",IF(ISNUMBER('Providers'!I355),'Providers'!I355,""))</f>
        <v/>
      </c>
      <c r="F356" s="34">
        <f>IF(LEN('Providers'!A355)=0,"",IF(ISNUMBER('Providers'!K355),'Providers'!K355,""))</f>
        <v/>
      </c>
      <c r="G356" s="34">
        <f>IF(LEN('Providers'!A355)=0,"",IF(ISNUMBER('Providers'!M355),'Providers'!M355,""))</f>
        <v/>
      </c>
      <c r="H356" s="34">
        <f>IF(LEN('Providers'!A355)=0,"",IF(ISNUMBER('Providers'!Q355),'Providers'!Q355,""))</f>
        <v/>
      </c>
      <c r="I356" s="34">
        <f>IF(LEN('Providers'!A355)=0,"",IF(ISNUMBER('Providers'!S355),'Providers'!S355,""))</f>
        <v/>
      </c>
      <c r="J356" s="34">
        <f>IF(LEN('Providers'!A355)=0,"",IF(ISNUMBER('Providers'!W355),'Providers'!W355,""))</f>
        <v/>
      </c>
      <c r="K356" s="34">
        <f>IF(LEN('Providers'!A355)=0,"",IF(ISNUMBER('Providers'!Y355),'Providers'!Y355,""))</f>
        <v/>
      </c>
      <c r="L356" s="34">
        <f>IF(LEN('Providers'!A355)=0,"",IF(ISNUMBER('Providers'!AA355),'Providers'!AA355,""))</f>
        <v/>
      </c>
      <c r="M356" s="34">
        <f>IF(LEN('Providers'!A355)=0,"",IF(ISNUMBER('Providers'!AD355),'Providers'!AD355,""))</f>
        <v/>
      </c>
      <c r="N356" s="35">
        <f>IF(LEN('Providers'!A355)=0,"",IF(LEN('Providers'!AG355)=0,"",'Providers'!AG355))</f>
        <v/>
      </c>
    </row>
    <row r="357">
      <c r="A357" s="32">
        <f>IF(LEN('Providers'!A356)=0,"",IF(LEN('Providers'!A356)=0,"",'Providers'!A356))</f>
        <v/>
      </c>
      <c r="B357" s="33">
        <f>IF(LEN('Providers'!A356)=0,"",IF(LEN('Providers'!B356)=0,"",'Providers'!B356))</f>
        <v/>
      </c>
      <c r="C357" s="33">
        <f>IF(LEN('Providers'!A356)=0,"",IF(LEN('Providers'!E356)=0,"",'Providers'!E356))</f>
        <v/>
      </c>
      <c r="D357" s="34">
        <f>IF(LEN('Providers'!A356)=0,"",IF(ISNUMBER('Providers'!G356),'Providers'!G356,""))</f>
        <v/>
      </c>
      <c r="E357" s="34">
        <f>IF(LEN('Providers'!A356)=0,"",IF(ISNUMBER('Providers'!I356),'Providers'!I356,""))</f>
        <v/>
      </c>
      <c r="F357" s="34">
        <f>IF(LEN('Providers'!A356)=0,"",IF(ISNUMBER('Providers'!K356),'Providers'!K356,""))</f>
        <v/>
      </c>
      <c r="G357" s="34">
        <f>IF(LEN('Providers'!A356)=0,"",IF(ISNUMBER('Providers'!M356),'Providers'!M356,""))</f>
        <v/>
      </c>
      <c r="H357" s="34">
        <f>IF(LEN('Providers'!A356)=0,"",IF(ISNUMBER('Providers'!Q356),'Providers'!Q356,""))</f>
        <v/>
      </c>
      <c r="I357" s="34">
        <f>IF(LEN('Providers'!A356)=0,"",IF(ISNUMBER('Providers'!S356),'Providers'!S356,""))</f>
        <v/>
      </c>
      <c r="J357" s="34">
        <f>IF(LEN('Providers'!A356)=0,"",IF(ISNUMBER('Providers'!W356),'Providers'!W356,""))</f>
        <v/>
      </c>
      <c r="K357" s="34">
        <f>IF(LEN('Providers'!A356)=0,"",IF(ISNUMBER('Providers'!Y356),'Providers'!Y356,""))</f>
        <v/>
      </c>
      <c r="L357" s="34">
        <f>IF(LEN('Providers'!A356)=0,"",IF(ISNUMBER('Providers'!AA356),'Providers'!AA356,""))</f>
        <v/>
      </c>
      <c r="M357" s="34">
        <f>IF(LEN('Providers'!A356)=0,"",IF(ISNUMBER('Providers'!AD356),'Providers'!AD356,""))</f>
        <v/>
      </c>
      <c r="N357" s="35">
        <f>IF(LEN('Providers'!A356)=0,"",IF(LEN('Providers'!AG356)=0,"",'Providers'!AG356))</f>
        <v/>
      </c>
    </row>
    <row r="358">
      <c r="A358" s="32">
        <f>IF(LEN('Providers'!A357)=0,"",IF(LEN('Providers'!A357)=0,"",'Providers'!A357))</f>
        <v/>
      </c>
      <c r="B358" s="33">
        <f>IF(LEN('Providers'!A357)=0,"",IF(LEN('Providers'!B357)=0,"",'Providers'!B357))</f>
        <v/>
      </c>
      <c r="C358" s="33">
        <f>IF(LEN('Providers'!A357)=0,"",IF(LEN('Providers'!E357)=0,"",'Providers'!E357))</f>
        <v/>
      </c>
      <c r="D358" s="34">
        <f>IF(LEN('Providers'!A357)=0,"",IF(ISNUMBER('Providers'!G357),'Providers'!G357,""))</f>
        <v/>
      </c>
      <c r="E358" s="34">
        <f>IF(LEN('Providers'!A357)=0,"",IF(ISNUMBER('Providers'!I357),'Providers'!I357,""))</f>
        <v/>
      </c>
      <c r="F358" s="34">
        <f>IF(LEN('Providers'!A357)=0,"",IF(ISNUMBER('Providers'!K357),'Providers'!K357,""))</f>
        <v/>
      </c>
      <c r="G358" s="34">
        <f>IF(LEN('Providers'!A357)=0,"",IF(ISNUMBER('Providers'!M357),'Providers'!M357,""))</f>
        <v/>
      </c>
      <c r="H358" s="34">
        <f>IF(LEN('Providers'!A357)=0,"",IF(ISNUMBER('Providers'!Q357),'Providers'!Q357,""))</f>
        <v/>
      </c>
      <c r="I358" s="34">
        <f>IF(LEN('Providers'!A357)=0,"",IF(ISNUMBER('Providers'!S357),'Providers'!S357,""))</f>
        <v/>
      </c>
      <c r="J358" s="34">
        <f>IF(LEN('Providers'!A357)=0,"",IF(ISNUMBER('Providers'!W357),'Providers'!W357,""))</f>
        <v/>
      </c>
      <c r="K358" s="34">
        <f>IF(LEN('Providers'!A357)=0,"",IF(ISNUMBER('Providers'!Y357),'Providers'!Y357,""))</f>
        <v/>
      </c>
      <c r="L358" s="34">
        <f>IF(LEN('Providers'!A357)=0,"",IF(ISNUMBER('Providers'!AA357),'Providers'!AA357,""))</f>
        <v/>
      </c>
      <c r="M358" s="34">
        <f>IF(LEN('Providers'!A357)=0,"",IF(ISNUMBER('Providers'!AD357),'Providers'!AD357,""))</f>
        <v/>
      </c>
      <c r="N358" s="35">
        <f>IF(LEN('Providers'!A357)=0,"",IF(LEN('Providers'!AG357)=0,"",'Providers'!AG357))</f>
        <v/>
      </c>
    </row>
    <row r="359">
      <c r="A359" s="32">
        <f>IF(LEN('Providers'!A358)=0,"",IF(LEN('Providers'!A358)=0,"",'Providers'!A358))</f>
        <v/>
      </c>
      <c r="B359" s="33">
        <f>IF(LEN('Providers'!A358)=0,"",IF(LEN('Providers'!B358)=0,"",'Providers'!B358))</f>
        <v/>
      </c>
      <c r="C359" s="33">
        <f>IF(LEN('Providers'!A358)=0,"",IF(LEN('Providers'!E358)=0,"",'Providers'!E358))</f>
        <v/>
      </c>
      <c r="D359" s="34">
        <f>IF(LEN('Providers'!A358)=0,"",IF(ISNUMBER('Providers'!G358),'Providers'!G358,""))</f>
        <v/>
      </c>
      <c r="E359" s="34">
        <f>IF(LEN('Providers'!A358)=0,"",IF(ISNUMBER('Providers'!I358),'Providers'!I358,""))</f>
        <v/>
      </c>
      <c r="F359" s="34">
        <f>IF(LEN('Providers'!A358)=0,"",IF(ISNUMBER('Providers'!K358),'Providers'!K358,""))</f>
        <v/>
      </c>
      <c r="G359" s="34">
        <f>IF(LEN('Providers'!A358)=0,"",IF(ISNUMBER('Providers'!M358),'Providers'!M358,""))</f>
        <v/>
      </c>
      <c r="H359" s="34">
        <f>IF(LEN('Providers'!A358)=0,"",IF(ISNUMBER('Providers'!Q358),'Providers'!Q358,""))</f>
        <v/>
      </c>
      <c r="I359" s="34">
        <f>IF(LEN('Providers'!A358)=0,"",IF(ISNUMBER('Providers'!S358),'Providers'!S358,""))</f>
        <v/>
      </c>
      <c r="J359" s="34">
        <f>IF(LEN('Providers'!A358)=0,"",IF(ISNUMBER('Providers'!W358),'Providers'!W358,""))</f>
        <v/>
      </c>
      <c r="K359" s="34">
        <f>IF(LEN('Providers'!A358)=0,"",IF(ISNUMBER('Providers'!Y358),'Providers'!Y358,""))</f>
        <v/>
      </c>
      <c r="L359" s="34">
        <f>IF(LEN('Providers'!A358)=0,"",IF(ISNUMBER('Providers'!AA358),'Providers'!AA358,""))</f>
        <v/>
      </c>
      <c r="M359" s="34">
        <f>IF(LEN('Providers'!A358)=0,"",IF(ISNUMBER('Providers'!AD358),'Providers'!AD358,""))</f>
        <v/>
      </c>
      <c r="N359" s="35">
        <f>IF(LEN('Providers'!A358)=0,"",IF(LEN('Providers'!AG358)=0,"",'Providers'!AG358))</f>
        <v/>
      </c>
    </row>
    <row r="360">
      <c r="A360" s="32">
        <f>IF(LEN('Providers'!A359)=0,"",IF(LEN('Providers'!A359)=0,"",'Providers'!A359))</f>
        <v/>
      </c>
      <c r="B360" s="33">
        <f>IF(LEN('Providers'!A359)=0,"",IF(LEN('Providers'!B359)=0,"",'Providers'!B359))</f>
        <v/>
      </c>
      <c r="C360" s="33">
        <f>IF(LEN('Providers'!A359)=0,"",IF(LEN('Providers'!E359)=0,"",'Providers'!E359))</f>
        <v/>
      </c>
      <c r="D360" s="34">
        <f>IF(LEN('Providers'!A359)=0,"",IF(ISNUMBER('Providers'!G359),'Providers'!G359,""))</f>
        <v/>
      </c>
      <c r="E360" s="34">
        <f>IF(LEN('Providers'!A359)=0,"",IF(ISNUMBER('Providers'!I359),'Providers'!I359,""))</f>
        <v/>
      </c>
      <c r="F360" s="34">
        <f>IF(LEN('Providers'!A359)=0,"",IF(ISNUMBER('Providers'!K359),'Providers'!K359,""))</f>
        <v/>
      </c>
      <c r="G360" s="34">
        <f>IF(LEN('Providers'!A359)=0,"",IF(ISNUMBER('Providers'!M359),'Providers'!M359,""))</f>
        <v/>
      </c>
      <c r="H360" s="34">
        <f>IF(LEN('Providers'!A359)=0,"",IF(ISNUMBER('Providers'!Q359),'Providers'!Q359,""))</f>
        <v/>
      </c>
      <c r="I360" s="34">
        <f>IF(LEN('Providers'!A359)=0,"",IF(ISNUMBER('Providers'!S359),'Providers'!S359,""))</f>
        <v/>
      </c>
      <c r="J360" s="34">
        <f>IF(LEN('Providers'!A359)=0,"",IF(ISNUMBER('Providers'!W359),'Providers'!W359,""))</f>
        <v/>
      </c>
      <c r="K360" s="34">
        <f>IF(LEN('Providers'!A359)=0,"",IF(ISNUMBER('Providers'!Y359),'Providers'!Y359,""))</f>
        <v/>
      </c>
      <c r="L360" s="34">
        <f>IF(LEN('Providers'!A359)=0,"",IF(ISNUMBER('Providers'!AA359),'Providers'!AA359,""))</f>
        <v/>
      </c>
      <c r="M360" s="34">
        <f>IF(LEN('Providers'!A359)=0,"",IF(ISNUMBER('Providers'!AD359),'Providers'!AD359,""))</f>
        <v/>
      </c>
      <c r="N360" s="35">
        <f>IF(LEN('Providers'!A359)=0,"",IF(LEN('Providers'!AG359)=0,"",'Providers'!AG359))</f>
        <v/>
      </c>
    </row>
    <row r="361">
      <c r="A361" s="32">
        <f>IF(LEN('Providers'!A360)=0,"",IF(LEN('Providers'!A360)=0,"",'Providers'!A360))</f>
        <v/>
      </c>
      <c r="B361" s="33">
        <f>IF(LEN('Providers'!A360)=0,"",IF(LEN('Providers'!B360)=0,"",'Providers'!B360))</f>
        <v/>
      </c>
      <c r="C361" s="33">
        <f>IF(LEN('Providers'!A360)=0,"",IF(LEN('Providers'!E360)=0,"",'Providers'!E360))</f>
        <v/>
      </c>
      <c r="D361" s="34">
        <f>IF(LEN('Providers'!A360)=0,"",IF(ISNUMBER('Providers'!G360),'Providers'!G360,""))</f>
        <v/>
      </c>
      <c r="E361" s="34">
        <f>IF(LEN('Providers'!A360)=0,"",IF(ISNUMBER('Providers'!I360),'Providers'!I360,""))</f>
        <v/>
      </c>
      <c r="F361" s="34">
        <f>IF(LEN('Providers'!A360)=0,"",IF(ISNUMBER('Providers'!K360),'Providers'!K360,""))</f>
        <v/>
      </c>
      <c r="G361" s="34">
        <f>IF(LEN('Providers'!A360)=0,"",IF(ISNUMBER('Providers'!M360),'Providers'!M360,""))</f>
        <v/>
      </c>
      <c r="H361" s="34">
        <f>IF(LEN('Providers'!A360)=0,"",IF(ISNUMBER('Providers'!Q360),'Providers'!Q360,""))</f>
        <v/>
      </c>
      <c r="I361" s="34">
        <f>IF(LEN('Providers'!A360)=0,"",IF(ISNUMBER('Providers'!S360),'Providers'!S360,""))</f>
        <v/>
      </c>
      <c r="J361" s="34">
        <f>IF(LEN('Providers'!A360)=0,"",IF(ISNUMBER('Providers'!W360),'Providers'!W360,""))</f>
        <v/>
      </c>
      <c r="K361" s="34">
        <f>IF(LEN('Providers'!A360)=0,"",IF(ISNUMBER('Providers'!Y360),'Providers'!Y360,""))</f>
        <v/>
      </c>
      <c r="L361" s="34">
        <f>IF(LEN('Providers'!A360)=0,"",IF(ISNUMBER('Providers'!AA360),'Providers'!AA360,""))</f>
        <v/>
      </c>
      <c r="M361" s="34">
        <f>IF(LEN('Providers'!A360)=0,"",IF(ISNUMBER('Providers'!AD360),'Providers'!AD360,""))</f>
        <v/>
      </c>
      <c r="N361" s="35">
        <f>IF(LEN('Providers'!A360)=0,"",IF(LEN('Providers'!AG360)=0,"",'Providers'!AG360))</f>
        <v/>
      </c>
    </row>
    <row r="362">
      <c r="A362" s="32">
        <f>IF(LEN('Providers'!A361)=0,"",IF(LEN('Providers'!A361)=0,"",'Providers'!A361))</f>
        <v/>
      </c>
      <c r="B362" s="33">
        <f>IF(LEN('Providers'!A361)=0,"",IF(LEN('Providers'!B361)=0,"",'Providers'!B361))</f>
        <v/>
      </c>
      <c r="C362" s="33">
        <f>IF(LEN('Providers'!A361)=0,"",IF(LEN('Providers'!E361)=0,"",'Providers'!E361))</f>
        <v/>
      </c>
      <c r="D362" s="34">
        <f>IF(LEN('Providers'!A361)=0,"",IF(ISNUMBER('Providers'!G361),'Providers'!G361,""))</f>
        <v/>
      </c>
      <c r="E362" s="34">
        <f>IF(LEN('Providers'!A361)=0,"",IF(ISNUMBER('Providers'!I361),'Providers'!I361,""))</f>
        <v/>
      </c>
      <c r="F362" s="34">
        <f>IF(LEN('Providers'!A361)=0,"",IF(ISNUMBER('Providers'!K361),'Providers'!K361,""))</f>
        <v/>
      </c>
      <c r="G362" s="34">
        <f>IF(LEN('Providers'!A361)=0,"",IF(ISNUMBER('Providers'!M361),'Providers'!M361,""))</f>
        <v/>
      </c>
      <c r="H362" s="34">
        <f>IF(LEN('Providers'!A361)=0,"",IF(ISNUMBER('Providers'!Q361),'Providers'!Q361,""))</f>
        <v/>
      </c>
      <c r="I362" s="34">
        <f>IF(LEN('Providers'!A361)=0,"",IF(ISNUMBER('Providers'!S361),'Providers'!S361,""))</f>
        <v/>
      </c>
      <c r="J362" s="34">
        <f>IF(LEN('Providers'!A361)=0,"",IF(ISNUMBER('Providers'!W361),'Providers'!W361,""))</f>
        <v/>
      </c>
      <c r="K362" s="34">
        <f>IF(LEN('Providers'!A361)=0,"",IF(ISNUMBER('Providers'!Y361),'Providers'!Y361,""))</f>
        <v/>
      </c>
      <c r="L362" s="34">
        <f>IF(LEN('Providers'!A361)=0,"",IF(ISNUMBER('Providers'!AA361),'Providers'!AA361,""))</f>
        <v/>
      </c>
      <c r="M362" s="34">
        <f>IF(LEN('Providers'!A361)=0,"",IF(ISNUMBER('Providers'!AD361),'Providers'!AD361,""))</f>
        <v/>
      </c>
      <c r="N362" s="35">
        <f>IF(LEN('Providers'!A361)=0,"",IF(LEN('Providers'!AG361)=0,"",'Providers'!AG361))</f>
        <v/>
      </c>
    </row>
    <row r="363">
      <c r="A363" s="32">
        <f>IF(LEN('Providers'!A362)=0,"",IF(LEN('Providers'!A362)=0,"",'Providers'!A362))</f>
        <v/>
      </c>
      <c r="B363" s="33">
        <f>IF(LEN('Providers'!A362)=0,"",IF(LEN('Providers'!B362)=0,"",'Providers'!B362))</f>
        <v/>
      </c>
      <c r="C363" s="33">
        <f>IF(LEN('Providers'!A362)=0,"",IF(LEN('Providers'!E362)=0,"",'Providers'!E362))</f>
        <v/>
      </c>
      <c r="D363" s="34">
        <f>IF(LEN('Providers'!A362)=0,"",IF(ISNUMBER('Providers'!G362),'Providers'!G362,""))</f>
        <v/>
      </c>
      <c r="E363" s="34">
        <f>IF(LEN('Providers'!A362)=0,"",IF(ISNUMBER('Providers'!I362),'Providers'!I362,""))</f>
        <v/>
      </c>
      <c r="F363" s="34">
        <f>IF(LEN('Providers'!A362)=0,"",IF(ISNUMBER('Providers'!K362),'Providers'!K362,""))</f>
        <v/>
      </c>
      <c r="G363" s="34">
        <f>IF(LEN('Providers'!A362)=0,"",IF(ISNUMBER('Providers'!M362),'Providers'!M362,""))</f>
        <v/>
      </c>
      <c r="H363" s="34">
        <f>IF(LEN('Providers'!A362)=0,"",IF(ISNUMBER('Providers'!Q362),'Providers'!Q362,""))</f>
        <v/>
      </c>
      <c r="I363" s="34">
        <f>IF(LEN('Providers'!A362)=0,"",IF(ISNUMBER('Providers'!S362),'Providers'!S362,""))</f>
        <v/>
      </c>
      <c r="J363" s="34">
        <f>IF(LEN('Providers'!A362)=0,"",IF(ISNUMBER('Providers'!W362),'Providers'!W362,""))</f>
        <v/>
      </c>
      <c r="K363" s="34">
        <f>IF(LEN('Providers'!A362)=0,"",IF(ISNUMBER('Providers'!Y362),'Providers'!Y362,""))</f>
        <v/>
      </c>
      <c r="L363" s="34">
        <f>IF(LEN('Providers'!A362)=0,"",IF(ISNUMBER('Providers'!AA362),'Providers'!AA362,""))</f>
        <v/>
      </c>
      <c r="M363" s="34">
        <f>IF(LEN('Providers'!A362)=0,"",IF(ISNUMBER('Providers'!AD362),'Providers'!AD362,""))</f>
        <v/>
      </c>
      <c r="N363" s="35">
        <f>IF(LEN('Providers'!A362)=0,"",IF(LEN('Providers'!AG362)=0,"",'Providers'!AG362))</f>
        <v/>
      </c>
    </row>
    <row r="364">
      <c r="A364" s="32">
        <f>IF(LEN('Providers'!A363)=0,"",IF(LEN('Providers'!A363)=0,"",'Providers'!A363))</f>
        <v/>
      </c>
      <c r="B364" s="33">
        <f>IF(LEN('Providers'!A363)=0,"",IF(LEN('Providers'!B363)=0,"",'Providers'!B363))</f>
        <v/>
      </c>
      <c r="C364" s="33">
        <f>IF(LEN('Providers'!A363)=0,"",IF(LEN('Providers'!E363)=0,"",'Providers'!E363))</f>
        <v/>
      </c>
      <c r="D364" s="34">
        <f>IF(LEN('Providers'!A363)=0,"",IF(ISNUMBER('Providers'!G363),'Providers'!G363,""))</f>
        <v/>
      </c>
      <c r="E364" s="34">
        <f>IF(LEN('Providers'!A363)=0,"",IF(ISNUMBER('Providers'!I363),'Providers'!I363,""))</f>
        <v/>
      </c>
      <c r="F364" s="34">
        <f>IF(LEN('Providers'!A363)=0,"",IF(ISNUMBER('Providers'!K363),'Providers'!K363,""))</f>
        <v/>
      </c>
      <c r="G364" s="34">
        <f>IF(LEN('Providers'!A363)=0,"",IF(ISNUMBER('Providers'!M363),'Providers'!M363,""))</f>
        <v/>
      </c>
      <c r="H364" s="34">
        <f>IF(LEN('Providers'!A363)=0,"",IF(ISNUMBER('Providers'!Q363),'Providers'!Q363,""))</f>
        <v/>
      </c>
      <c r="I364" s="34">
        <f>IF(LEN('Providers'!A363)=0,"",IF(ISNUMBER('Providers'!S363),'Providers'!S363,""))</f>
        <v/>
      </c>
      <c r="J364" s="34">
        <f>IF(LEN('Providers'!A363)=0,"",IF(ISNUMBER('Providers'!W363),'Providers'!W363,""))</f>
        <v/>
      </c>
      <c r="K364" s="34">
        <f>IF(LEN('Providers'!A363)=0,"",IF(ISNUMBER('Providers'!Y363),'Providers'!Y363,""))</f>
        <v/>
      </c>
      <c r="L364" s="34">
        <f>IF(LEN('Providers'!A363)=0,"",IF(ISNUMBER('Providers'!AA363),'Providers'!AA363,""))</f>
        <v/>
      </c>
      <c r="M364" s="34">
        <f>IF(LEN('Providers'!A363)=0,"",IF(ISNUMBER('Providers'!AD363),'Providers'!AD363,""))</f>
        <v/>
      </c>
      <c r="N364" s="35">
        <f>IF(LEN('Providers'!A363)=0,"",IF(LEN('Providers'!AG363)=0,"",'Providers'!AG363))</f>
        <v/>
      </c>
    </row>
    <row r="365">
      <c r="A365" s="32">
        <f>IF(LEN('Providers'!A364)=0,"",IF(LEN('Providers'!A364)=0,"",'Providers'!A364))</f>
        <v/>
      </c>
      <c r="B365" s="33">
        <f>IF(LEN('Providers'!A364)=0,"",IF(LEN('Providers'!B364)=0,"",'Providers'!B364))</f>
        <v/>
      </c>
      <c r="C365" s="33">
        <f>IF(LEN('Providers'!A364)=0,"",IF(LEN('Providers'!E364)=0,"",'Providers'!E364))</f>
        <v/>
      </c>
      <c r="D365" s="34">
        <f>IF(LEN('Providers'!A364)=0,"",IF(ISNUMBER('Providers'!G364),'Providers'!G364,""))</f>
        <v/>
      </c>
      <c r="E365" s="34">
        <f>IF(LEN('Providers'!A364)=0,"",IF(ISNUMBER('Providers'!I364),'Providers'!I364,""))</f>
        <v/>
      </c>
      <c r="F365" s="34">
        <f>IF(LEN('Providers'!A364)=0,"",IF(ISNUMBER('Providers'!K364),'Providers'!K364,""))</f>
        <v/>
      </c>
      <c r="G365" s="34">
        <f>IF(LEN('Providers'!A364)=0,"",IF(ISNUMBER('Providers'!M364),'Providers'!M364,""))</f>
        <v/>
      </c>
      <c r="H365" s="34">
        <f>IF(LEN('Providers'!A364)=0,"",IF(ISNUMBER('Providers'!Q364),'Providers'!Q364,""))</f>
        <v/>
      </c>
      <c r="I365" s="34">
        <f>IF(LEN('Providers'!A364)=0,"",IF(ISNUMBER('Providers'!S364),'Providers'!S364,""))</f>
        <v/>
      </c>
      <c r="J365" s="34">
        <f>IF(LEN('Providers'!A364)=0,"",IF(ISNUMBER('Providers'!W364),'Providers'!W364,""))</f>
        <v/>
      </c>
      <c r="K365" s="34">
        <f>IF(LEN('Providers'!A364)=0,"",IF(ISNUMBER('Providers'!Y364),'Providers'!Y364,""))</f>
        <v/>
      </c>
      <c r="L365" s="34">
        <f>IF(LEN('Providers'!A364)=0,"",IF(ISNUMBER('Providers'!AA364),'Providers'!AA364,""))</f>
        <v/>
      </c>
      <c r="M365" s="34">
        <f>IF(LEN('Providers'!A364)=0,"",IF(ISNUMBER('Providers'!AD364),'Providers'!AD364,""))</f>
        <v/>
      </c>
      <c r="N365" s="35">
        <f>IF(LEN('Providers'!A364)=0,"",IF(LEN('Providers'!AG364)=0,"",'Providers'!AG364))</f>
        <v/>
      </c>
    </row>
    <row r="366">
      <c r="A366" s="32">
        <f>IF(LEN('Providers'!A365)=0,"",IF(LEN('Providers'!A365)=0,"",'Providers'!A365))</f>
        <v/>
      </c>
      <c r="B366" s="33">
        <f>IF(LEN('Providers'!A365)=0,"",IF(LEN('Providers'!B365)=0,"",'Providers'!B365))</f>
        <v/>
      </c>
      <c r="C366" s="33">
        <f>IF(LEN('Providers'!A365)=0,"",IF(LEN('Providers'!E365)=0,"",'Providers'!E365))</f>
        <v/>
      </c>
      <c r="D366" s="34">
        <f>IF(LEN('Providers'!A365)=0,"",IF(ISNUMBER('Providers'!G365),'Providers'!G365,""))</f>
        <v/>
      </c>
      <c r="E366" s="34">
        <f>IF(LEN('Providers'!A365)=0,"",IF(ISNUMBER('Providers'!I365),'Providers'!I365,""))</f>
        <v/>
      </c>
      <c r="F366" s="34">
        <f>IF(LEN('Providers'!A365)=0,"",IF(ISNUMBER('Providers'!K365),'Providers'!K365,""))</f>
        <v/>
      </c>
      <c r="G366" s="34">
        <f>IF(LEN('Providers'!A365)=0,"",IF(ISNUMBER('Providers'!M365),'Providers'!M365,""))</f>
        <v/>
      </c>
      <c r="H366" s="34">
        <f>IF(LEN('Providers'!A365)=0,"",IF(ISNUMBER('Providers'!Q365),'Providers'!Q365,""))</f>
        <v/>
      </c>
      <c r="I366" s="34">
        <f>IF(LEN('Providers'!A365)=0,"",IF(ISNUMBER('Providers'!S365),'Providers'!S365,""))</f>
        <v/>
      </c>
      <c r="J366" s="34">
        <f>IF(LEN('Providers'!A365)=0,"",IF(ISNUMBER('Providers'!W365),'Providers'!W365,""))</f>
        <v/>
      </c>
      <c r="K366" s="34">
        <f>IF(LEN('Providers'!A365)=0,"",IF(ISNUMBER('Providers'!Y365),'Providers'!Y365,""))</f>
        <v/>
      </c>
      <c r="L366" s="34">
        <f>IF(LEN('Providers'!A365)=0,"",IF(ISNUMBER('Providers'!AA365),'Providers'!AA365,""))</f>
        <v/>
      </c>
      <c r="M366" s="34">
        <f>IF(LEN('Providers'!A365)=0,"",IF(ISNUMBER('Providers'!AD365),'Providers'!AD365,""))</f>
        <v/>
      </c>
      <c r="N366" s="35">
        <f>IF(LEN('Providers'!A365)=0,"",IF(LEN('Providers'!AG365)=0,"",'Providers'!AG365))</f>
        <v/>
      </c>
    </row>
    <row r="367">
      <c r="A367" s="32">
        <f>IF(LEN('Providers'!A366)=0,"",IF(LEN('Providers'!A366)=0,"",'Providers'!A366))</f>
        <v/>
      </c>
      <c r="B367" s="33">
        <f>IF(LEN('Providers'!A366)=0,"",IF(LEN('Providers'!B366)=0,"",'Providers'!B366))</f>
        <v/>
      </c>
      <c r="C367" s="33">
        <f>IF(LEN('Providers'!A366)=0,"",IF(LEN('Providers'!E366)=0,"",'Providers'!E366))</f>
        <v/>
      </c>
      <c r="D367" s="34">
        <f>IF(LEN('Providers'!A366)=0,"",IF(ISNUMBER('Providers'!G366),'Providers'!G366,""))</f>
        <v/>
      </c>
      <c r="E367" s="34">
        <f>IF(LEN('Providers'!A366)=0,"",IF(ISNUMBER('Providers'!I366),'Providers'!I366,""))</f>
        <v/>
      </c>
      <c r="F367" s="34">
        <f>IF(LEN('Providers'!A366)=0,"",IF(ISNUMBER('Providers'!K366),'Providers'!K366,""))</f>
        <v/>
      </c>
      <c r="G367" s="34">
        <f>IF(LEN('Providers'!A366)=0,"",IF(ISNUMBER('Providers'!M366),'Providers'!M366,""))</f>
        <v/>
      </c>
      <c r="H367" s="34">
        <f>IF(LEN('Providers'!A366)=0,"",IF(ISNUMBER('Providers'!Q366),'Providers'!Q366,""))</f>
        <v/>
      </c>
      <c r="I367" s="34">
        <f>IF(LEN('Providers'!A366)=0,"",IF(ISNUMBER('Providers'!S366),'Providers'!S366,""))</f>
        <v/>
      </c>
      <c r="J367" s="34">
        <f>IF(LEN('Providers'!A366)=0,"",IF(ISNUMBER('Providers'!W366),'Providers'!W366,""))</f>
        <v/>
      </c>
      <c r="K367" s="34">
        <f>IF(LEN('Providers'!A366)=0,"",IF(ISNUMBER('Providers'!Y366),'Providers'!Y366,""))</f>
        <v/>
      </c>
      <c r="L367" s="34">
        <f>IF(LEN('Providers'!A366)=0,"",IF(ISNUMBER('Providers'!AA366),'Providers'!AA366,""))</f>
        <v/>
      </c>
      <c r="M367" s="34">
        <f>IF(LEN('Providers'!A366)=0,"",IF(ISNUMBER('Providers'!AD366),'Providers'!AD366,""))</f>
        <v/>
      </c>
      <c r="N367" s="35">
        <f>IF(LEN('Providers'!A366)=0,"",IF(LEN('Providers'!AG366)=0,"",'Providers'!AG366))</f>
        <v/>
      </c>
    </row>
    <row r="368">
      <c r="A368" s="32">
        <f>IF(LEN('Providers'!A367)=0,"",IF(LEN('Providers'!A367)=0,"",'Providers'!A367))</f>
        <v/>
      </c>
      <c r="B368" s="33">
        <f>IF(LEN('Providers'!A367)=0,"",IF(LEN('Providers'!B367)=0,"",'Providers'!B367))</f>
        <v/>
      </c>
      <c r="C368" s="33">
        <f>IF(LEN('Providers'!A367)=0,"",IF(LEN('Providers'!E367)=0,"",'Providers'!E367))</f>
        <v/>
      </c>
      <c r="D368" s="34">
        <f>IF(LEN('Providers'!A367)=0,"",IF(ISNUMBER('Providers'!G367),'Providers'!G367,""))</f>
        <v/>
      </c>
      <c r="E368" s="34">
        <f>IF(LEN('Providers'!A367)=0,"",IF(ISNUMBER('Providers'!I367),'Providers'!I367,""))</f>
        <v/>
      </c>
      <c r="F368" s="34">
        <f>IF(LEN('Providers'!A367)=0,"",IF(ISNUMBER('Providers'!K367),'Providers'!K367,""))</f>
        <v/>
      </c>
      <c r="G368" s="34">
        <f>IF(LEN('Providers'!A367)=0,"",IF(ISNUMBER('Providers'!M367),'Providers'!M367,""))</f>
        <v/>
      </c>
      <c r="H368" s="34">
        <f>IF(LEN('Providers'!A367)=0,"",IF(ISNUMBER('Providers'!Q367),'Providers'!Q367,""))</f>
        <v/>
      </c>
      <c r="I368" s="34">
        <f>IF(LEN('Providers'!A367)=0,"",IF(ISNUMBER('Providers'!S367),'Providers'!S367,""))</f>
        <v/>
      </c>
      <c r="J368" s="34">
        <f>IF(LEN('Providers'!A367)=0,"",IF(ISNUMBER('Providers'!W367),'Providers'!W367,""))</f>
        <v/>
      </c>
      <c r="K368" s="34">
        <f>IF(LEN('Providers'!A367)=0,"",IF(ISNUMBER('Providers'!Y367),'Providers'!Y367,""))</f>
        <v/>
      </c>
      <c r="L368" s="34">
        <f>IF(LEN('Providers'!A367)=0,"",IF(ISNUMBER('Providers'!AA367),'Providers'!AA367,""))</f>
        <v/>
      </c>
      <c r="M368" s="34">
        <f>IF(LEN('Providers'!A367)=0,"",IF(ISNUMBER('Providers'!AD367),'Providers'!AD367,""))</f>
        <v/>
      </c>
      <c r="N368" s="35">
        <f>IF(LEN('Providers'!A367)=0,"",IF(LEN('Providers'!AG367)=0,"",'Providers'!AG367))</f>
        <v/>
      </c>
    </row>
    <row r="369">
      <c r="A369" s="32">
        <f>IF(LEN('Providers'!A368)=0,"",IF(LEN('Providers'!A368)=0,"",'Providers'!A368))</f>
        <v/>
      </c>
      <c r="B369" s="33">
        <f>IF(LEN('Providers'!A368)=0,"",IF(LEN('Providers'!B368)=0,"",'Providers'!B368))</f>
        <v/>
      </c>
      <c r="C369" s="33">
        <f>IF(LEN('Providers'!A368)=0,"",IF(LEN('Providers'!E368)=0,"",'Providers'!E368))</f>
        <v/>
      </c>
      <c r="D369" s="34">
        <f>IF(LEN('Providers'!A368)=0,"",IF(ISNUMBER('Providers'!G368),'Providers'!G368,""))</f>
        <v/>
      </c>
      <c r="E369" s="34">
        <f>IF(LEN('Providers'!A368)=0,"",IF(ISNUMBER('Providers'!I368),'Providers'!I368,""))</f>
        <v/>
      </c>
      <c r="F369" s="34">
        <f>IF(LEN('Providers'!A368)=0,"",IF(ISNUMBER('Providers'!K368),'Providers'!K368,""))</f>
        <v/>
      </c>
      <c r="G369" s="34">
        <f>IF(LEN('Providers'!A368)=0,"",IF(ISNUMBER('Providers'!M368),'Providers'!M368,""))</f>
        <v/>
      </c>
      <c r="H369" s="34">
        <f>IF(LEN('Providers'!A368)=0,"",IF(ISNUMBER('Providers'!Q368),'Providers'!Q368,""))</f>
        <v/>
      </c>
      <c r="I369" s="34">
        <f>IF(LEN('Providers'!A368)=0,"",IF(ISNUMBER('Providers'!S368),'Providers'!S368,""))</f>
        <v/>
      </c>
      <c r="J369" s="34">
        <f>IF(LEN('Providers'!A368)=0,"",IF(ISNUMBER('Providers'!W368),'Providers'!W368,""))</f>
        <v/>
      </c>
      <c r="K369" s="34">
        <f>IF(LEN('Providers'!A368)=0,"",IF(ISNUMBER('Providers'!Y368),'Providers'!Y368,""))</f>
        <v/>
      </c>
      <c r="L369" s="34">
        <f>IF(LEN('Providers'!A368)=0,"",IF(ISNUMBER('Providers'!AA368),'Providers'!AA368,""))</f>
        <v/>
      </c>
      <c r="M369" s="34">
        <f>IF(LEN('Providers'!A368)=0,"",IF(ISNUMBER('Providers'!AD368),'Providers'!AD368,""))</f>
        <v/>
      </c>
      <c r="N369" s="35">
        <f>IF(LEN('Providers'!A368)=0,"",IF(LEN('Providers'!AG368)=0,"",'Providers'!AG368))</f>
        <v/>
      </c>
    </row>
    <row r="370">
      <c r="A370" s="32">
        <f>IF(LEN('Providers'!A369)=0,"",IF(LEN('Providers'!A369)=0,"",'Providers'!A369))</f>
        <v/>
      </c>
      <c r="B370" s="33">
        <f>IF(LEN('Providers'!A369)=0,"",IF(LEN('Providers'!B369)=0,"",'Providers'!B369))</f>
        <v/>
      </c>
      <c r="C370" s="33">
        <f>IF(LEN('Providers'!A369)=0,"",IF(LEN('Providers'!E369)=0,"",'Providers'!E369))</f>
        <v/>
      </c>
      <c r="D370" s="34">
        <f>IF(LEN('Providers'!A369)=0,"",IF(ISNUMBER('Providers'!G369),'Providers'!G369,""))</f>
        <v/>
      </c>
      <c r="E370" s="34">
        <f>IF(LEN('Providers'!A369)=0,"",IF(ISNUMBER('Providers'!I369),'Providers'!I369,""))</f>
        <v/>
      </c>
      <c r="F370" s="34">
        <f>IF(LEN('Providers'!A369)=0,"",IF(ISNUMBER('Providers'!K369),'Providers'!K369,""))</f>
        <v/>
      </c>
      <c r="G370" s="34">
        <f>IF(LEN('Providers'!A369)=0,"",IF(ISNUMBER('Providers'!M369),'Providers'!M369,""))</f>
        <v/>
      </c>
      <c r="H370" s="34">
        <f>IF(LEN('Providers'!A369)=0,"",IF(ISNUMBER('Providers'!Q369),'Providers'!Q369,""))</f>
        <v/>
      </c>
      <c r="I370" s="34">
        <f>IF(LEN('Providers'!A369)=0,"",IF(ISNUMBER('Providers'!S369),'Providers'!S369,""))</f>
        <v/>
      </c>
      <c r="J370" s="34">
        <f>IF(LEN('Providers'!A369)=0,"",IF(ISNUMBER('Providers'!W369),'Providers'!W369,""))</f>
        <v/>
      </c>
      <c r="K370" s="34">
        <f>IF(LEN('Providers'!A369)=0,"",IF(ISNUMBER('Providers'!Y369),'Providers'!Y369,""))</f>
        <v/>
      </c>
      <c r="L370" s="34">
        <f>IF(LEN('Providers'!A369)=0,"",IF(ISNUMBER('Providers'!AA369),'Providers'!AA369,""))</f>
        <v/>
      </c>
      <c r="M370" s="34">
        <f>IF(LEN('Providers'!A369)=0,"",IF(ISNUMBER('Providers'!AD369),'Providers'!AD369,""))</f>
        <v/>
      </c>
      <c r="N370" s="35">
        <f>IF(LEN('Providers'!A369)=0,"",IF(LEN('Providers'!AG369)=0,"",'Providers'!AG369))</f>
        <v/>
      </c>
    </row>
    <row r="371">
      <c r="A371" s="32">
        <f>IF(LEN('Providers'!A370)=0,"",IF(LEN('Providers'!A370)=0,"",'Providers'!A370))</f>
        <v/>
      </c>
      <c r="B371" s="33">
        <f>IF(LEN('Providers'!A370)=0,"",IF(LEN('Providers'!B370)=0,"",'Providers'!B370))</f>
        <v/>
      </c>
      <c r="C371" s="33">
        <f>IF(LEN('Providers'!A370)=0,"",IF(LEN('Providers'!E370)=0,"",'Providers'!E370))</f>
        <v/>
      </c>
      <c r="D371" s="34">
        <f>IF(LEN('Providers'!A370)=0,"",IF(ISNUMBER('Providers'!G370),'Providers'!G370,""))</f>
        <v/>
      </c>
      <c r="E371" s="34">
        <f>IF(LEN('Providers'!A370)=0,"",IF(ISNUMBER('Providers'!I370),'Providers'!I370,""))</f>
        <v/>
      </c>
      <c r="F371" s="34">
        <f>IF(LEN('Providers'!A370)=0,"",IF(ISNUMBER('Providers'!K370),'Providers'!K370,""))</f>
        <v/>
      </c>
      <c r="G371" s="34">
        <f>IF(LEN('Providers'!A370)=0,"",IF(ISNUMBER('Providers'!M370),'Providers'!M370,""))</f>
        <v/>
      </c>
      <c r="H371" s="34">
        <f>IF(LEN('Providers'!A370)=0,"",IF(ISNUMBER('Providers'!Q370),'Providers'!Q370,""))</f>
        <v/>
      </c>
      <c r="I371" s="34">
        <f>IF(LEN('Providers'!A370)=0,"",IF(ISNUMBER('Providers'!S370),'Providers'!S370,""))</f>
        <v/>
      </c>
      <c r="J371" s="34">
        <f>IF(LEN('Providers'!A370)=0,"",IF(ISNUMBER('Providers'!W370),'Providers'!W370,""))</f>
        <v/>
      </c>
      <c r="K371" s="34">
        <f>IF(LEN('Providers'!A370)=0,"",IF(ISNUMBER('Providers'!Y370),'Providers'!Y370,""))</f>
        <v/>
      </c>
      <c r="L371" s="34">
        <f>IF(LEN('Providers'!A370)=0,"",IF(ISNUMBER('Providers'!AA370),'Providers'!AA370,""))</f>
        <v/>
      </c>
      <c r="M371" s="34">
        <f>IF(LEN('Providers'!A370)=0,"",IF(ISNUMBER('Providers'!AD370),'Providers'!AD370,""))</f>
        <v/>
      </c>
      <c r="N371" s="35">
        <f>IF(LEN('Providers'!A370)=0,"",IF(LEN('Providers'!AG370)=0,"",'Providers'!AG370))</f>
        <v/>
      </c>
    </row>
    <row r="372">
      <c r="A372" s="32">
        <f>IF(LEN('Providers'!A371)=0,"",IF(LEN('Providers'!A371)=0,"",'Providers'!A371))</f>
        <v/>
      </c>
      <c r="B372" s="33">
        <f>IF(LEN('Providers'!A371)=0,"",IF(LEN('Providers'!B371)=0,"",'Providers'!B371))</f>
        <v/>
      </c>
      <c r="C372" s="33">
        <f>IF(LEN('Providers'!A371)=0,"",IF(LEN('Providers'!E371)=0,"",'Providers'!E371))</f>
        <v/>
      </c>
      <c r="D372" s="34">
        <f>IF(LEN('Providers'!A371)=0,"",IF(ISNUMBER('Providers'!G371),'Providers'!G371,""))</f>
        <v/>
      </c>
      <c r="E372" s="34">
        <f>IF(LEN('Providers'!A371)=0,"",IF(ISNUMBER('Providers'!I371),'Providers'!I371,""))</f>
        <v/>
      </c>
      <c r="F372" s="34">
        <f>IF(LEN('Providers'!A371)=0,"",IF(ISNUMBER('Providers'!K371),'Providers'!K371,""))</f>
        <v/>
      </c>
      <c r="G372" s="34">
        <f>IF(LEN('Providers'!A371)=0,"",IF(ISNUMBER('Providers'!M371),'Providers'!M371,""))</f>
        <v/>
      </c>
      <c r="H372" s="34">
        <f>IF(LEN('Providers'!A371)=0,"",IF(ISNUMBER('Providers'!Q371),'Providers'!Q371,""))</f>
        <v/>
      </c>
      <c r="I372" s="34">
        <f>IF(LEN('Providers'!A371)=0,"",IF(ISNUMBER('Providers'!S371),'Providers'!S371,""))</f>
        <v/>
      </c>
      <c r="J372" s="34">
        <f>IF(LEN('Providers'!A371)=0,"",IF(ISNUMBER('Providers'!W371),'Providers'!W371,""))</f>
        <v/>
      </c>
      <c r="K372" s="34">
        <f>IF(LEN('Providers'!A371)=0,"",IF(ISNUMBER('Providers'!Y371),'Providers'!Y371,""))</f>
        <v/>
      </c>
      <c r="L372" s="34">
        <f>IF(LEN('Providers'!A371)=0,"",IF(ISNUMBER('Providers'!AA371),'Providers'!AA371,""))</f>
        <v/>
      </c>
      <c r="M372" s="34">
        <f>IF(LEN('Providers'!A371)=0,"",IF(ISNUMBER('Providers'!AD371),'Providers'!AD371,""))</f>
        <v/>
      </c>
      <c r="N372" s="35">
        <f>IF(LEN('Providers'!A371)=0,"",IF(LEN('Providers'!AG371)=0,"",'Providers'!AG371))</f>
        <v/>
      </c>
    </row>
    <row r="373">
      <c r="A373" s="32">
        <f>IF(LEN('Providers'!A372)=0,"",IF(LEN('Providers'!A372)=0,"",'Providers'!A372))</f>
        <v/>
      </c>
      <c r="B373" s="33">
        <f>IF(LEN('Providers'!A372)=0,"",IF(LEN('Providers'!B372)=0,"",'Providers'!B372))</f>
        <v/>
      </c>
      <c r="C373" s="33">
        <f>IF(LEN('Providers'!A372)=0,"",IF(LEN('Providers'!E372)=0,"",'Providers'!E372))</f>
        <v/>
      </c>
      <c r="D373" s="34">
        <f>IF(LEN('Providers'!A372)=0,"",IF(ISNUMBER('Providers'!G372),'Providers'!G372,""))</f>
        <v/>
      </c>
      <c r="E373" s="34">
        <f>IF(LEN('Providers'!A372)=0,"",IF(ISNUMBER('Providers'!I372),'Providers'!I372,""))</f>
        <v/>
      </c>
      <c r="F373" s="34">
        <f>IF(LEN('Providers'!A372)=0,"",IF(ISNUMBER('Providers'!K372),'Providers'!K372,""))</f>
        <v/>
      </c>
      <c r="G373" s="34">
        <f>IF(LEN('Providers'!A372)=0,"",IF(ISNUMBER('Providers'!M372),'Providers'!M372,""))</f>
        <v/>
      </c>
      <c r="H373" s="34">
        <f>IF(LEN('Providers'!A372)=0,"",IF(ISNUMBER('Providers'!Q372),'Providers'!Q372,""))</f>
        <v/>
      </c>
      <c r="I373" s="34">
        <f>IF(LEN('Providers'!A372)=0,"",IF(ISNUMBER('Providers'!S372),'Providers'!S372,""))</f>
        <v/>
      </c>
      <c r="J373" s="34">
        <f>IF(LEN('Providers'!A372)=0,"",IF(ISNUMBER('Providers'!W372),'Providers'!W372,""))</f>
        <v/>
      </c>
      <c r="K373" s="34">
        <f>IF(LEN('Providers'!A372)=0,"",IF(ISNUMBER('Providers'!Y372),'Providers'!Y372,""))</f>
        <v/>
      </c>
      <c r="L373" s="34">
        <f>IF(LEN('Providers'!A372)=0,"",IF(ISNUMBER('Providers'!AA372),'Providers'!AA372,""))</f>
        <v/>
      </c>
      <c r="M373" s="34">
        <f>IF(LEN('Providers'!A372)=0,"",IF(ISNUMBER('Providers'!AD372),'Providers'!AD372,""))</f>
        <v/>
      </c>
      <c r="N373" s="35">
        <f>IF(LEN('Providers'!A372)=0,"",IF(LEN('Providers'!AG372)=0,"",'Providers'!AG372))</f>
        <v/>
      </c>
    </row>
    <row r="374">
      <c r="A374" s="32">
        <f>IF(LEN('Providers'!A373)=0,"",IF(LEN('Providers'!A373)=0,"",'Providers'!A373))</f>
        <v/>
      </c>
      <c r="B374" s="33">
        <f>IF(LEN('Providers'!A373)=0,"",IF(LEN('Providers'!B373)=0,"",'Providers'!B373))</f>
        <v/>
      </c>
      <c r="C374" s="33">
        <f>IF(LEN('Providers'!A373)=0,"",IF(LEN('Providers'!E373)=0,"",'Providers'!E373))</f>
        <v/>
      </c>
      <c r="D374" s="34">
        <f>IF(LEN('Providers'!A373)=0,"",IF(ISNUMBER('Providers'!G373),'Providers'!G373,""))</f>
        <v/>
      </c>
      <c r="E374" s="34">
        <f>IF(LEN('Providers'!A373)=0,"",IF(ISNUMBER('Providers'!I373),'Providers'!I373,""))</f>
        <v/>
      </c>
      <c r="F374" s="34">
        <f>IF(LEN('Providers'!A373)=0,"",IF(ISNUMBER('Providers'!K373),'Providers'!K373,""))</f>
        <v/>
      </c>
      <c r="G374" s="34">
        <f>IF(LEN('Providers'!A373)=0,"",IF(ISNUMBER('Providers'!M373),'Providers'!M373,""))</f>
        <v/>
      </c>
      <c r="H374" s="34">
        <f>IF(LEN('Providers'!A373)=0,"",IF(ISNUMBER('Providers'!Q373),'Providers'!Q373,""))</f>
        <v/>
      </c>
      <c r="I374" s="34">
        <f>IF(LEN('Providers'!A373)=0,"",IF(ISNUMBER('Providers'!S373),'Providers'!S373,""))</f>
        <v/>
      </c>
      <c r="J374" s="34">
        <f>IF(LEN('Providers'!A373)=0,"",IF(ISNUMBER('Providers'!W373),'Providers'!W373,""))</f>
        <v/>
      </c>
      <c r="K374" s="34">
        <f>IF(LEN('Providers'!A373)=0,"",IF(ISNUMBER('Providers'!Y373),'Providers'!Y373,""))</f>
        <v/>
      </c>
      <c r="L374" s="34">
        <f>IF(LEN('Providers'!A373)=0,"",IF(ISNUMBER('Providers'!AA373),'Providers'!AA373,""))</f>
        <v/>
      </c>
      <c r="M374" s="34">
        <f>IF(LEN('Providers'!A373)=0,"",IF(ISNUMBER('Providers'!AD373),'Providers'!AD373,""))</f>
        <v/>
      </c>
      <c r="N374" s="35">
        <f>IF(LEN('Providers'!A373)=0,"",IF(LEN('Providers'!AG373)=0,"",'Providers'!AG373))</f>
        <v/>
      </c>
    </row>
    <row r="375">
      <c r="A375" s="32">
        <f>IF(LEN('Providers'!A374)=0,"",IF(LEN('Providers'!A374)=0,"",'Providers'!A374))</f>
        <v/>
      </c>
      <c r="B375" s="33">
        <f>IF(LEN('Providers'!A374)=0,"",IF(LEN('Providers'!B374)=0,"",'Providers'!B374))</f>
        <v/>
      </c>
      <c r="C375" s="33">
        <f>IF(LEN('Providers'!A374)=0,"",IF(LEN('Providers'!E374)=0,"",'Providers'!E374))</f>
        <v/>
      </c>
      <c r="D375" s="34">
        <f>IF(LEN('Providers'!A374)=0,"",IF(ISNUMBER('Providers'!G374),'Providers'!G374,""))</f>
        <v/>
      </c>
      <c r="E375" s="34">
        <f>IF(LEN('Providers'!A374)=0,"",IF(ISNUMBER('Providers'!I374),'Providers'!I374,""))</f>
        <v/>
      </c>
      <c r="F375" s="34">
        <f>IF(LEN('Providers'!A374)=0,"",IF(ISNUMBER('Providers'!K374),'Providers'!K374,""))</f>
        <v/>
      </c>
      <c r="G375" s="34">
        <f>IF(LEN('Providers'!A374)=0,"",IF(ISNUMBER('Providers'!M374),'Providers'!M374,""))</f>
        <v/>
      </c>
      <c r="H375" s="34">
        <f>IF(LEN('Providers'!A374)=0,"",IF(ISNUMBER('Providers'!Q374),'Providers'!Q374,""))</f>
        <v/>
      </c>
      <c r="I375" s="34">
        <f>IF(LEN('Providers'!A374)=0,"",IF(ISNUMBER('Providers'!S374),'Providers'!S374,""))</f>
        <v/>
      </c>
      <c r="J375" s="34">
        <f>IF(LEN('Providers'!A374)=0,"",IF(ISNUMBER('Providers'!W374),'Providers'!W374,""))</f>
        <v/>
      </c>
      <c r="K375" s="34">
        <f>IF(LEN('Providers'!A374)=0,"",IF(ISNUMBER('Providers'!Y374),'Providers'!Y374,""))</f>
        <v/>
      </c>
      <c r="L375" s="34">
        <f>IF(LEN('Providers'!A374)=0,"",IF(ISNUMBER('Providers'!AA374),'Providers'!AA374,""))</f>
        <v/>
      </c>
      <c r="M375" s="34">
        <f>IF(LEN('Providers'!A374)=0,"",IF(ISNUMBER('Providers'!AD374),'Providers'!AD374,""))</f>
        <v/>
      </c>
      <c r="N375" s="35">
        <f>IF(LEN('Providers'!A374)=0,"",IF(LEN('Providers'!AG374)=0,"",'Providers'!AG374))</f>
        <v/>
      </c>
    </row>
    <row r="376">
      <c r="A376" s="32">
        <f>IF(LEN('Providers'!A375)=0,"",IF(LEN('Providers'!A375)=0,"",'Providers'!A375))</f>
        <v/>
      </c>
      <c r="B376" s="33">
        <f>IF(LEN('Providers'!A375)=0,"",IF(LEN('Providers'!B375)=0,"",'Providers'!B375))</f>
        <v/>
      </c>
      <c r="C376" s="33">
        <f>IF(LEN('Providers'!A375)=0,"",IF(LEN('Providers'!E375)=0,"",'Providers'!E375))</f>
        <v/>
      </c>
      <c r="D376" s="34">
        <f>IF(LEN('Providers'!A375)=0,"",IF(ISNUMBER('Providers'!G375),'Providers'!G375,""))</f>
        <v/>
      </c>
      <c r="E376" s="34">
        <f>IF(LEN('Providers'!A375)=0,"",IF(ISNUMBER('Providers'!I375),'Providers'!I375,""))</f>
        <v/>
      </c>
      <c r="F376" s="34">
        <f>IF(LEN('Providers'!A375)=0,"",IF(ISNUMBER('Providers'!K375),'Providers'!K375,""))</f>
        <v/>
      </c>
      <c r="G376" s="34">
        <f>IF(LEN('Providers'!A375)=0,"",IF(ISNUMBER('Providers'!M375),'Providers'!M375,""))</f>
        <v/>
      </c>
      <c r="H376" s="34">
        <f>IF(LEN('Providers'!A375)=0,"",IF(ISNUMBER('Providers'!Q375),'Providers'!Q375,""))</f>
        <v/>
      </c>
      <c r="I376" s="34">
        <f>IF(LEN('Providers'!A375)=0,"",IF(ISNUMBER('Providers'!S375),'Providers'!S375,""))</f>
        <v/>
      </c>
      <c r="J376" s="34">
        <f>IF(LEN('Providers'!A375)=0,"",IF(ISNUMBER('Providers'!W375),'Providers'!W375,""))</f>
        <v/>
      </c>
      <c r="K376" s="34">
        <f>IF(LEN('Providers'!A375)=0,"",IF(ISNUMBER('Providers'!Y375),'Providers'!Y375,""))</f>
        <v/>
      </c>
      <c r="L376" s="34">
        <f>IF(LEN('Providers'!A375)=0,"",IF(ISNUMBER('Providers'!AA375),'Providers'!AA375,""))</f>
        <v/>
      </c>
      <c r="M376" s="34">
        <f>IF(LEN('Providers'!A375)=0,"",IF(ISNUMBER('Providers'!AD375),'Providers'!AD375,""))</f>
        <v/>
      </c>
      <c r="N376" s="35">
        <f>IF(LEN('Providers'!A375)=0,"",IF(LEN('Providers'!AG375)=0,"",'Providers'!AG375))</f>
        <v/>
      </c>
    </row>
    <row r="377">
      <c r="A377" s="32">
        <f>IF(LEN('Providers'!A376)=0,"",IF(LEN('Providers'!A376)=0,"",'Providers'!A376))</f>
        <v/>
      </c>
      <c r="B377" s="33">
        <f>IF(LEN('Providers'!A376)=0,"",IF(LEN('Providers'!B376)=0,"",'Providers'!B376))</f>
        <v/>
      </c>
      <c r="C377" s="33">
        <f>IF(LEN('Providers'!A376)=0,"",IF(LEN('Providers'!E376)=0,"",'Providers'!E376))</f>
        <v/>
      </c>
      <c r="D377" s="34">
        <f>IF(LEN('Providers'!A376)=0,"",IF(ISNUMBER('Providers'!G376),'Providers'!G376,""))</f>
        <v/>
      </c>
      <c r="E377" s="34">
        <f>IF(LEN('Providers'!A376)=0,"",IF(ISNUMBER('Providers'!I376),'Providers'!I376,""))</f>
        <v/>
      </c>
      <c r="F377" s="34">
        <f>IF(LEN('Providers'!A376)=0,"",IF(ISNUMBER('Providers'!K376),'Providers'!K376,""))</f>
        <v/>
      </c>
      <c r="G377" s="34">
        <f>IF(LEN('Providers'!A376)=0,"",IF(ISNUMBER('Providers'!M376),'Providers'!M376,""))</f>
        <v/>
      </c>
      <c r="H377" s="34">
        <f>IF(LEN('Providers'!A376)=0,"",IF(ISNUMBER('Providers'!Q376),'Providers'!Q376,""))</f>
        <v/>
      </c>
      <c r="I377" s="34">
        <f>IF(LEN('Providers'!A376)=0,"",IF(ISNUMBER('Providers'!S376),'Providers'!S376,""))</f>
        <v/>
      </c>
      <c r="J377" s="34">
        <f>IF(LEN('Providers'!A376)=0,"",IF(ISNUMBER('Providers'!W376),'Providers'!W376,""))</f>
        <v/>
      </c>
      <c r="K377" s="34">
        <f>IF(LEN('Providers'!A376)=0,"",IF(ISNUMBER('Providers'!Y376),'Providers'!Y376,""))</f>
        <v/>
      </c>
      <c r="L377" s="34">
        <f>IF(LEN('Providers'!A376)=0,"",IF(ISNUMBER('Providers'!AA376),'Providers'!AA376,""))</f>
        <v/>
      </c>
      <c r="M377" s="34">
        <f>IF(LEN('Providers'!A376)=0,"",IF(ISNUMBER('Providers'!AD376),'Providers'!AD376,""))</f>
        <v/>
      </c>
      <c r="N377" s="35">
        <f>IF(LEN('Providers'!A376)=0,"",IF(LEN('Providers'!AG376)=0,"",'Providers'!AG376))</f>
        <v/>
      </c>
    </row>
    <row r="378">
      <c r="A378" s="32">
        <f>IF(LEN('Providers'!A377)=0,"",IF(LEN('Providers'!A377)=0,"",'Providers'!A377))</f>
        <v/>
      </c>
      <c r="B378" s="33">
        <f>IF(LEN('Providers'!A377)=0,"",IF(LEN('Providers'!B377)=0,"",'Providers'!B377))</f>
        <v/>
      </c>
      <c r="C378" s="33">
        <f>IF(LEN('Providers'!A377)=0,"",IF(LEN('Providers'!E377)=0,"",'Providers'!E377))</f>
        <v/>
      </c>
      <c r="D378" s="34">
        <f>IF(LEN('Providers'!A377)=0,"",IF(ISNUMBER('Providers'!G377),'Providers'!G377,""))</f>
        <v/>
      </c>
      <c r="E378" s="34">
        <f>IF(LEN('Providers'!A377)=0,"",IF(ISNUMBER('Providers'!I377),'Providers'!I377,""))</f>
        <v/>
      </c>
      <c r="F378" s="34">
        <f>IF(LEN('Providers'!A377)=0,"",IF(ISNUMBER('Providers'!K377),'Providers'!K377,""))</f>
        <v/>
      </c>
      <c r="G378" s="34">
        <f>IF(LEN('Providers'!A377)=0,"",IF(ISNUMBER('Providers'!M377),'Providers'!M377,""))</f>
        <v/>
      </c>
      <c r="H378" s="34">
        <f>IF(LEN('Providers'!A377)=0,"",IF(ISNUMBER('Providers'!Q377),'Providers'!Q377,""))</f>
        <v/>
      </c>
      <c r="I378" s="34">
        <f>IF(LEN('Providers'!A377)=0,"",IF(ISNUMBER('Providers'!S377),'Providers'!S377,""))</f>
        <v/>
      </c>
      <c r="J378" s="34">
        <f>IF(LEN('Providers'!A377)=0,"",IF(ISNUMBER('Providers'!W377),'Providers'!W377,""))</f>
        <v/>
      </c>
      <c r="K378" s="34">
        <f>IF(LEN('Providers'!A377)=0,"",IF(ISNUMBER('Providers'!Y377),'Providers'!Y377,""))</f>
        <v/>
      </c>
      <c r="L378" s="34">
        <f>IF(LEN('Providers'!A377)=0,"",IF(ISNUMBER('Providers'!AA377),'Providers'!AA377,""))</f>
        <v/>
      </c>
      <c r="M378" s="34">
        <f>IF(LEN('Providers'!A377)=0,"",IF(ISNUMBER('Providers'!AD377),'Providers'!AD377,""))</f>
        <v/>
      </c>
      <c r="N378" s="35">
        <f>IF(LEN('Providers'!A377)=0,"",IF(LEN('Providers'!AG377)=0,"",'Providers'!AG377))</f>
        <v/>
      </c>
    </row>
    <row r="379">
      <c r="A379" s="32">
        <f>IF(LEN('Providers'!A378)=0,"",IF(LEN('Providers'!A378)=0,"",'Providers'!A378))</f>
        <v/>
      </c>
      <c r="B379" s="33">
        <f>IF(LEN('Providers'!A378)=0,"",IF(LEN('Providers'!B378)=0,"",'Providers'!B378))</f>
        <v/>
      </c>
      <c r="C379" s="33">
        <f>IF(LEN('Providers'!A378)=0,"",IF(LEN('Providers'!E378)=0,"",'Providers'!E378))</f>
        <v/>
      </c>
      <c r="D379" s="34">
        <f>IF(LEN('Providers'!A378)=0,"",IF(ISNUMBER('Providers'!G378),'Providers'!G378,""))</f>
        <v/>
      </c>
      <c r="E379" s="34">
        <f>IF(LEN('Providers'!A378)=0,"",IF(ISNUMBER('Providers'!I378),'Providers'!I378,""))</f>
        <v/>
      </c>
      <c r="F379" s="34">
        <f>IF(LEN('Providers'!A378)=0,"",IF(ISNUMBER('Providers'!K378),'Providers'!K378,""))</f>
        <v/>
      </c>
      <c r="G379" s="34">
        <f>IF(LEN('Providers'!A378)=0,"",IF(ISNUMBER('Providers'!M378),'Providers'!M378,""))</f>
        <v/>
      </c>
      <c r="H379" s="34">
        <f>IF(LEN('Providers'!A378)=0,"",IF(ISNUMBER('Providers'!Q378),'Providers'!Q378,""))</f>
        <v/>
      </c>
      <c r="I379" s="34">
        <f>IF(LEN('Providers'!A378)=0,"",IF(ISNUMBER('Providers'!S378),'Providers'!S378,""))</f>
        <v/>
      </c>
      <c r="J379" s="34">
        <f>IF(LEN('Providers'!A378)=0,"",IF(ISNUMBER('Providers'!W378),'Providers'!W378,""))</f>
        <v/>
      </c>
      <c r="K379" s="34">
        <f>IF(LEN('Providers'!A378)=0,"",IF(ISNUMBER('Providers'!Y378),'Providers'!Y378,""))</f>
        <v/>
      </c>
      <c r="L379" s="34">
        <f>IF(LEN('Providers'!A378)=0,"",IF(ISNUMBER('Providers'!AA378),'Providers'!AA378,""))</f>
        <v/>
      </c>
      <c r="M379" s="34">
        <f>IF(LEN('Providers'!A378)=0,"",IF(ISNUMBER('Providers'!AD378),'Providers'!AD378,""))</f>
        <v/>
      </c>
      <c r="N379" s="35">
        <f>IF(LEN('Providers'!A378)=0,"",IF(LEN('Providers'!AG378)=0,"",'Providers'!AG378))</f>
        <v/>
      </c>
    </row>
    <row r="380">
      <c r="A380" s="32">
        <f>IF(LEN('Providers'!A379)=0,"",IF(LEN('Providers'!A379)=0,"",'Providers'!A379))</f>
        <v/>
      </c>
      <c r="B380" s="33">
        <f>IF(LEN('Providers'!A379)=0,"",IF(LEN('Providers'!B379)=0,"",'Providers'!B379))</f>
        <v/>
      </c>
      <c r="C380" s="33">
        <f>IF(LEN('Providers'!A379)=0,"",IF(LEN('Providers'!E379)=0,"",'Providers'!E379))</f>
        <v/>
      </c>
      <c r="D380" s="34">
        <f>IF(LEN('Providers'!A379)=0,"",IF(ISNUMBER('Providers'!G379),'Providers'!G379,""))</f>
        <v/>
      </c>
      <c r="E380" s="34">
        <f>IF(LEN('Providers'!A379)=0,"",IF(ISNUMBER('Providers'!I379),'Providers'!I379,""))</f>
        <v/>
      </c>
      <c r="F380" s="34">
        <f>IF(LEN('Providers'!A379)=0,"",IF(ISNUMBER('Providers'!K379),'Providers'!K379,""))</f>
        <v/>
      </c>
      <c r="G380" s="34">
        <f>IF(LEN('Providers'!A379)=0,"",IF(ISNUMBER('Providers'!M379),'Providers'!M379,""))</f>
        <v/>
      </c>
      <c r="H380" s="34">
        <f>IF(LEN('Providers'!A379)=0,"",IF(ISNUMBER('Providers'!Q379),'Providers'!Q379,""))</f>
        <v/>
      </c>
      <c r="I380" s="34">
        <f>IF(LEN('Providers'!A379)=0,"",IF(ISNUMBER('Providers'!S379),'Providers'!S379,""))</f>
        <v/>
      </c>
      <c r="J380" s="34">
        <f>IF(LEN('Providers'!A379)=0,"",IF(ISNUMBER('Providers'!W379),'Providers'!W379,""))</f>
        <v/>
      </c>
      <c r="K380" s="34">
        <f>IF(LEN('Providers'!A379)=0,"",IF(ISNUMBER('Providers'!Y379),'Providers'!Y379,""))</f>
        <v/>
      </c>
      <c r="L380" s="34">
        <f>IF(LEN('Providers'!A379)=0,"",IF(ISNUMBER('Providers'!AA379),'Providers'!AA379,""))</f>
        <v/>
      </c>
      <c r="M380" s="34">
        <f>IF(LEN('Providers'!A379)=0,"",IF(ISNUMBER('Providers'!AD379),'Providers'!AD379,""))</f>
        <v/>
      </c>
      <c r="N380" s="35">
        <f>IF(LEN('Providers'!A379)=0,"",IF(LEN('Providers'!AG379)=0,"",'Providers'!AG379))</f>
        <v/>
      </c>
    </row>
    <row r="381">
      <c r="A381" s="32">
        <f>IF(LEN('Providers'!A380)=0,"",IF(LEN('Providers'!A380)=0,"",'Providers'!A380))</f>
        <v/>
      </c>
      <c r="B381" s="33">
        <f>IF(LEN('Providers'!A380)=0,"",IF(LEN('Providers'!B380)=0,"",'Providers'!B380))</f>
        <v/>
      </c>
      <c r="C381" s="33">
        <f>IF(LEN('Providers'!A380)=0,"",IF(LEN('Providers'!E380)=0,"",'Providers'!E380))</f>
        <v/>
      </c>
      <c r="D381" s="34">
        <f>IF(LEN('Providers'!A380)=0,"",IF(ISNUMBER('Providers'!G380),'Providers'!G380,""))</f>
        <v/>
      </c>
      <c r="E381" s="34">
        <f>IF(LEN('Providers'!A380)=0,"",IF(ISNUMBER('Providers'!I380),'Providers'!I380,""))</f>
        <v/>
      </c>
      <c r="F381" s="34">
        <f>IF(LEN('Providers'!A380)=0,"",IF(ISNUMBER('Providers'!K380),'Providers'!K380,""))</f>
        <v/>
      </c>
      <c r="G381" s="34">
        <f>IF(LEN('Providers'!A380)=0,"",IF(ISNUMBER('Providers'!M380),'Providers'!M380,""))</f>
        <v/>
      </c>
      <c r="H381" s="34">
        <f>IF(LEN('Providers'!A380)=0,"",IF(ISNUMBER('Providers'!Q380),'Providers'!Q380,""))</f>
        <v/>
      </c>
      <c r="I381" s="34">
        <f>IF(LEN('Providers'!A380)=0,"",IF(ISNUMBER('Providers'!S380),'Providers'!S380,""))</f>
        <v/>
      </c>
      <c r="J381" s="34">
        <f>IF(LEN('Providers'!A380)=0,"",IF(ISNUMBER('Providers'!W380),'Providers'!W380,""))</f>
        <v/>
      </c>
      <c r="K381" s="34">
        <f>IF(LEN('Providers'!A380)=0,"",IF(ISNUMBER('Providers'!Y380),'Providers'!Y380,""))</f>
        <v/>
      </c>
      <c r="L381" s="34">
        <f>IF(LEN('Providers'!A380)=0,"",IF(ISNUMBER('Providers'!AA380),'Providers'!AA380,""))</f>
        <v/>
      </c>
      <c r="M381" s="34">
        <f>IF(LEN('Providers'!A380)=0,"",IF(ISNUMBER('Providers'!AD380),'Providers'!AD380,""))</f>
        <v/>
      </c>
      <c r="N381" s="35">
        <f>IF(LEN('Providers'!A380)=0,"",IF(LEN('Providers'!AG380)=0,"",'Providers'!AG380))</f>
        <v/>
      </c>
    </row>
    <row r="382">
      <c r="A382" s="32">
        <f>IF(LEN('Providers'!A381)=0,"",IF(LEN('Providers'!A381)=0,"",'Providers'!A381))</f>
        <v/>
      </c>
      <c r="B382" s="33">
        <f>IF(LEN('Providers'!A381)=0,"",IF(LEN('Providers'!B381)=0,"",'Providers'!B381))</f>
        <v/>
      </c>
      <c r="C382" s="33">
        <f>IF(LEN('Providers'!A381)=0,"",IF(LEN('Providers'!E381)=0,"",'Providers'!E381))</f>
        <v/>
      </c>
      <c r="D382" s="34">
        <f>IF(LEN('Providers'!A381)=0,"",IF(ISNUMBER('Providers'!G381),'Providers'!G381,""))</f>
        <v/>
      </c>
      <c r="E382" s="34">
        <f>IF(LEN('Providers'!A381)=0,"",IF(ISNUMBER('Providers'!I381),'Providers'!I381,""))</f>
        <v/>
      </c>
      <c r="F382" s="34">
        <f>IF(LEN('Providers'!A381)=0,"",IF(ISNUMBER('Providers'!K381),'Providers'!K381,""))</f>
        <v/>
      </c>
      <c r="G382" s="34">
        <f>IF(LEN('Providers'!A381)=0,"",IF(ISNUMBER('Providers'!M381),'Providers'!M381,""))</f>
        <v/>
      </c>
      <c r="H382" s="34">
        <f>IF(LEN('Providers'!A381)=0,"",IF(ISNUMBER('Providers'!Q381),'Providers'!Q381,""))</f>
        <v/>
      </c>
      <c r="I382" s="34">
        <f>IF(LEN('Providers'!A381)=0,"",IF(ISNUMBER('Providers'!S381),'Providers'!S381,""))</f>
        <v/>
      </c>
      <c r="J382" s="34">
        <f>IF(LEN('Providers'!A381)=0,"",IF(ISNUMBER('Providers'!W381),'Providers'!W381,""))</f>
        <v/>
      </c>
      <c r="K382" s="34">
        <f>IF(LEN('Providers'!A381)=0,"",IF(ISNUMBER('Providers'!Y381),'Providers'!Y381,""))</f>
        <v/>
      </c>
      <c r="L382" s="34">
        <f>IF(LEN('Providers'!A381)=0,"",IF(ISNUMBER('Providers'!AA381),'Providers'!AA381,""))</f>
        <v/>
      </c>
      <c r="M382" s="34">
        <f>IF(LEN('Providers'!A381)=0,"",IF(ISNUMBER('Providers'!AD381),'Providers'!AD381,""))</f>
        <v/>
      </c>
      <c r="N382" s="35">
        <f>IF(LEN('Providers'!A381)=0,"",IF(LEN('Providers'!AG381)=0,"",'Providers'!AG381))</f>
        <v/>
      </c>
    </row>
    <row r="383">
      <c r="A383" s="32">
        <f>IF(LEN('Providers'!A382)=0,"",IF(LEN('Providers'!A382)=0,"",'Providers'!A382))</f>
        <v/>
      </c>
      <c r="B383" s="33">
        <f>IF(LEN('Providers'!A382)=0,"",IF(LEN('Providers'!B382)=0,"",'Providers'!B382))</f>
        <v/>
      </c>
      <c r="C383" s="33">
        <f>IF(LEN('Providers'!A382)=0,"",IF(LEN('Providers'!E382)=0,"",'Providers'!E382))</f>
        <v/>
      </c>
      <c r="D383" s="34">
        <f>IF(LEN('Providers'!A382)=0,"",IF(ISNUMBER('Providers'!G382),'Providers'!G382,""))</f>
        <v/>
      </c>
      <c r="E383" s="34">
        <f>IF(LEN('Providers'!A382)=0,"",IF(ISNUMBER('Providers'!I382),'Providers'!I382,""))</f>
        <v/>
      </c>
      <c r="F383" s="34">
        <f>IF(LEN('Providers'!A382)=0,"",IF(ISNUMBER('Providers'!K382),'Providers'!K382,""))</f>
        <v/>
      </c>
      <c r="G383" s="34">
        <f>IF(LEN('Providers'!A382)=0,"",IF(ISNUMBER('Providers'!M382),'Providers'!M382,""))</f>
        <v/>
      </c>
      <c r="H383" s="34">
        <f>IF(LEN('Providers'!A382)=0,"",IF(ISNUMBER('Providers'!Q382),'Providers'!Q382,""))</f>
        <v/>
      </c>
      <c r="I383" s="34">
        <f>IF(LEN('Providers'!A382)=0,"",IF(ISNUMBER('Providers'!S382),'Providers'!S382,""))</f>
        <v/>
      </c>
      <c r="J383" s="34">
        <f>IF(LEN('Providers'!A382)=0,"",IF(ISNUMBER('Providers'!W382),'Providers'!W382,""))</f>
        <v/>
      </c>
      <c r="K383" s="34">
        <f>IF(LEN('Providers'!A382)=0,"",IF(ISNUMBER('Providers'!Y382),'Providers'!Y382,""))</f>
        <v/>
      </c>
      <c r="L383" s="34">
        <f>IF(LEN('Providers'!A382)=0,"",IF(ISNUMBER('Providers'!AA382),'Providers'!AA382,""))</f>
        <v/>
      </c>
      <c r="M383" s="34">
        <f>IF(LEN('Providers'!A382)=0,"",IF(ISNUMBER('Providers'!AD382),'Providers'!AD382,""))</f>
        <v/>
      </c>
      <c r="N383" s="35">
        <f>IF(LEN('Providers'!A382)=0,"",IF(LEN('Providers'!AG382)=0,"",'Providers'!AG382))</f>
        <v/>
      </c>
    </row>
    <row r="384">
      <c r="A384" s="32">
        <f>IF(LEN('Providers'!A383)=0,"",IF(LEN('Providers'!A383)=0,"",'Providers'!A383))</f>
        <v/>
      </c>
      <c r="B384" s="33">
        <f>IF(LEN('Providers'!A383)=0,"",IF(LEN('Providers'!B383)=0,"",'Providers'!B383))</f>
        <v/>
      </c>
      <c r="C384" s="33">
        <f>IF(LEN('Providers'!A383)=0,"",IF(LEN('Providers'!E383)=0,"",'Providers'!E383))</f>
        <v/>
      </c>
      <c r="D384" s="34">
        <f>IF(LEN('Providers'!A383)=0,"",IF(ISNUMBER('Providers'!G383),'Providers'!G383,""))</f>
        <v/>
      </c>
      <c r="E384" s="34">
        <f>IF(LEN('Providers'!A383)=0,"",IF(ISNUMBER('Providers'!I383),'Providers'!I383,""))</f>
        <v/>
      </c>
      <c r="F384" s="34">
        <f>IF(LEN('Providers'!A383)=0,"",IF(ISNUMBER('Providers'!K383),'Providers'!K383,""))</f>
        <v/>
      </c>
      <c r="G384" s="34">
        <f>IF(LEN('Providers'!A383)=0,"",IF(ISNUMBER('Providers'!M383),'Providers'!M383,""))</f>
        <v/>
      </c>
      <c r="H384" s="34">
        <f>IF(LEN('Providers'!A383)=0,"",IF(ISNUMBER('Providers'!Q383),'Providers'!Q383,""))</f>
        <v/>
      </c>
      <c r="I384" s="34">
        <f>IF(LEN('Providers'!A383)=0,"",IF(ISNUMBER('Providers'!S383),'Providers'!S383,""))</f>
        <v/>
      </c>
      <c r="J384" s="34">
        <f>IF(LEN('Providers'!A383)=0,"",IF(ISNUMBER('Providers'!W383),'Providers'!W383,""))</f>
        <v/>
      </c>
      <c r="K384" s="34">
        <f>IF(LEN('Providers'!A383)=0,"",IF(ISNUMBER('Providers'!Y383),'Providers'!Y383,""))</f>
        <v/>
      </c>
      <c r="L384" s="34">
        <f>IF(LEN('Providers'!A383)=0,"",IF(ISNUMBER('Providers'!AA383),'Providers'!AA383,""))</f>
        <v/>
      </c>
      <c r="M384" s="34">
        <f>IF(LEN('Providers'!A383)=0,"",IF(ISNUMBER('Providers'!AD383),'Providers'!AD383,""))</f>
        <v/>
      </c>
      <c r="N384" s="35">
        <f>IF(LEN('Providers'!A383)=0,"",IF(LEN('Providers'!AG383)=0,"",'Providers'!AG383))</f>
        <v/>
      </c>
    </row>
    <row r="385">
      <c r="A385" s="32">
        <f>IF(LEN('Providers'!A384)=0,"",IF(LEN('Providers'!A384)=0,"",'Providers'!A384))</f>
        <v/>
      </c>
      <c r="B385" s="33">
        <f>IF(LEN('Providers'!A384)=0,"",IF(LEN('Providers'!B384)=0,"",'Providers'!B384))</f>
        <v/>
      </c>
      <c r="C385" s="33">
        <f>IF(LEN('Providers'!A384)=0,"",IF(LEN('Providers'!E384)=0,"",'Providers'!E384))</f>
        <v/>
      </c>
      <c r="D385" s="34">
        <f>IF(LEN('Providers'!A384)=0,"",IF(ISNUMBER('Providers'!G384),'Providers'!G384,""))</f>
        <v/>
      </c>
      <c r="E385" s="34">
        <f>IF(LEN('Providers'!A384)=0,"",IF(ISNUMBER('Providers'!I384),'Providers'!I384,""))</f>
        <v/>
      </c>
      <c r="F385" s="34">
        <f>IF(LEN('Providers'!A384)=0,"",IF(ISNUMBER('Providers'!K384),'Providers'!K384,""))</f>
        <v/>
      </c>
      <c r="G385" s="34">
        <f>IF(LEN('Providers'!A384)=0,"",IF(ISNUMBER('Providers'!M384),'Providers'!M384,""))</f>
        <v/>
      </c>
      <c r="H385" s="34">
        <f>IF(LEN('Providers'!A384)=0,"",IF(ISNUMBER('Providers'!Q384),'Providers'!Q384,""))</f>
        <v/>
      </c>
      <c r="I385" s="34">
        <f>IF(LEN('Providers'!A384)=0,"",IF(ISNUMBER('Providers'!S384),'Providers'!S384,""))</f>
        <v/>
      </c>
      <c r="J385" s="34">
        <f>IF(LEN('Providers'!A384)=0,"",IF(ISNUMBER('Providers'!W384),'Providers'!W384,""))</f>
        <v/>
      </c>
      <c r="K385" s="34">
        <f>IF(LEN('Providers'!A384)=0,"",IF(ISNUMBER('Providers'!Y384),'Providers'!Y384,""))</f>
        <v/>
      </c>
      <c r="L385" s="34">
        <f>IF(LEN('Providers'!A384)=0,"",IF(ISNUMBER('Providers'!AA384),'Providers'!AA384,""))</f>
        <v/>
      </c>
      <c r="M385" s="34">
        <f>IF(LEN('Providers'!A384)=0,"",IF(ISNUMBER('Providers'!AD384),'Providers'!AD384,""))</f>
        <v/>
      </c>
      <c r="N385" s="35">
        <f>IF(LEN('Providers'!A384)=0,"",IF(LEN('Providers'!AG384)=0,"",'Providers'!AG384))</f>
        <v/>
      </c>
    </row>
    <row r="386">
      <c r="A386" s="32">
        <f>IF(LEN('Providers'!A385)=0,"",IF(LEN('Providers'!A385)=0,"",'Providers'!A385))</f>
        <v/>
      </c>
      <c r="B386" s="33">
        <f>IF(LEN('Providers'!A385)=0,"",IF(LEN('Providers'!B385)=0,"",'Providers'!B385))</f>
        <v/>
      </c>
      <c r="C386" s="33">
        <f>IF(LEN('Providers'!A385)=0,"",IF(LEN('Providers'!E385)=0,"",'Providers'!E385))</f>
        <v/>
      </c>
      <c r="D386" s="34">
        <f>IF(LEN('Providers'!A385)=0,"",IF(ISNUMBER('Providers'!G385),'Providers'!G385,""))</f>
        <v/>
      </c>
      <c r="E386" s="34">
        <f>IF(LEN('Providers'!A385)=0,"",IF(ISNUMBER('Providers'!I385),'Providers'!I385,""))</f>
        <v/>
      </c>
      <c r="F386" s="34">
        <f>IF(LEN('Providers'!A385)=0,"",IF(ISNUMBER('Providers'!K385),'Providers'!K385,""))</f>
        <v/>
      </c>
      <c r="G386" s="34">
        <f>IF(LEN('Providers'!A385)=0,"",IF(ISNUMBER('Providers'!M385),'Providers'!M385,""))</f>
        <v/>
      </c>
      <c r="H386" s="34">
        <f>IF(LEN('Providers'!A385)=0,"",IF(ISNUMBER('Providers'!Q385),'Providers'!Q385,""))</f>
        <v/>
      </c>
      <c r="I386" s="34">
        <f>IF(LEN('Providers'!A385)=0,"",IF(ISNUMBER('Providers'!S385),'Providers'!S385,""))</f>
        <v/>
      </c>
      <c r="J386" s="34">
        <f>IF(LEN('Providers'!A385)=0,"",IF(ISNUMBER('Providers'!W385),'Providers'!W385,""))</f>
        <v/>
      </c>
      <c r="K386" s="34">
        <f>IF(LEN('Providers'!A385)=0,"",IF(ISNUMBER('Providers'!Y385),'Providers'!Y385,""))</f>
        <v/>
      </c>
      <c r="L386" s="34">
        <f>IF(LEN('Providers'!A385)=0,"",IF(ISNUMBER('Providers'!AA385),'Providers'!AA385,""))</f>
        <v/>
      </c>
      <c r="M386" s="34">
        <f>IF(LEN('Providers'!A385)=0,"",IF(ISNUMBER('Providers'!AD385),'Providers'!AD385,""))</f>
        <v/>
      </c>
      <c r="N386" s="35">
        <f>IF(LEN('Providers'!A385)=0,"",IF(LEN('Providers'!AG385)=0,"",'Providers'!AG385))</f>
        <v/>
      </c>
    </row>
    <row r="387">
      <c r="A387" s="32">
        <f>IF(LEN('Providers'!A386)=0,"",IF(LEN('Providers'!A386)=0,"",'Providers'!A386))</f>
        <v/>
      </c>
      <c r="B387" s="33">
        <f>IF(LEN('Providers'!A386)=0,"",IF(LEN('Providers'!B386)=0,"",'Providers'!B386))</f>
        <v/>
      </c>
      <c r="C387" s="33">
        <f>IF(LEN('Providers'!A386)=0,"",IF(LEN('Providers'!E386)=0,"",'Providers'!E386))</f>
        <v/>
      </c>
      <c r="D387" s="34">
        <f>IF(LEN('Providers'!A386)=0,"",IF(ISNUMBER('Providers'!G386),'Providers'!G386,""))</f>
        <v/>
      </c>
      <c r="E387" s="34">
        <f>IF(LEN('Providers'!A386)=0,"",IF(ISNUMBER('Providers'!I386),'Providers'!I386,""))</f>
        <v/>
      </c>
      <c r="F387" s="34">
        <f>IF(LEN('Providers'!A386)=0,"",IF(ISNUMBER('Providers'!K386),'Providers'!K386,""))</f>
        <v/>
      </c>
      <c r="G387" s="34">
        <f>IF(LEN('Providers'!A386)=0,"",IF(ISNUMBER('Providers'!M386),'Providers'!M386,""))</f>
        <v/>
      </c>
      <c r="H387" s="34">
        <f>IF(LEN('Providers'!A386)=0,"",IF(ISNUMBER('Providers'!Q386),'Providers'!Q386,""))</f>
        <v/>
      </c>
      <c r="I387" s="34">
        <f>IF(LEN('Providers'!A386)=0,"",IF(ISNUMBER('Providers'!S386),'Providers'!S386,""))</f>
        <v/>
      </c>
      <c r="J387" s="34">
        <f>IF(LEN('Providers'!A386)=0,"",IF(ISNUMBER('Providers'!W386),'Providers'!W386,""))</f>
        <v/>
      </c>
      <c r="K387" s="34">
        <f>IF(LEN('Providers'!A386)=0,"",IF(ISNUMBER('Providers'!Y386),'Providers'!Y386,""))</f>
        <v/>
      </c>
      <c r="L387" s="34">
        <f>IF(LEN('Providers'!A386)=0,"",IF(ISNUMBER('Providers'!AA386),'Providers'!AA386,""))</f>
        <v/>
      </c>
      <c r="M387" s="34">
        <f>IF(LEN('Providers'!A386)=0,"",IF(ISNUMBER('Providers'!AD386),'Providers'!AD386,""))</f>
        <v/>
      </c>
      <c r="N387" s="35">
        <f>IF(LEN('Providers'!A386)=0,"",IF(LEN('Providers'!AG386)=0,"",'Providers'!AG386))</f>
        <v/>
      </c>
    </row>
    <row r="388">
      <c r="A388" s="32">
        <f>IF(LEN('Providers'!A387)=0,"",IF(LEN('Providers'!A387)=0,"",'Providers'!A387))</f>
        <v/>
      </c>
      <c r="B388" s="33">
        <f>IF(LEN('Providers'!A387)=0,"",IF(LEN('Providers'!B387)=0,"",'Providers'!B387))</f>
        <v/>
      </c>
      <c r="C388" s="33">
        <f>IF(LEN('Providers'!A387)=0,"",IF(LEN('Providers'!E387)=0,"",'Providers'!E387))</f>
        <v/>
      </c>
      <c r="D388" s="34">
        <f>IF(LEN('Providers'!A387)=0,"",IF(ISNUMBER('Providers'!G387),'Providers'!G387,""))</f>
        <v/>
      </c>
      <c r="E388" s="34">
        <f>IF(LEN('Providers'!A387)=0,"",IF(ISNUMBER('Providers'!I387),'Providers'!I387,""))</f>
        <v/>
      </c>
      <c r="F388" s="34">
        <f>IF(LEN('Providers'!A387)=0,"",IF(ISNUMBER('Providers'!K387),'Providers'!K387,""))</f>
        <v/>
      </c>
      <c r="G388" s="34">
        <f>IF(LEN('Providers'!A387)=0,"",IF(ISNUMBER('Providers'!M387),'Providers'!M387,""))</f>
        <v/>
      </c>
      <c r="H388" s="34">
        <f>IF(LEN('Providers'!A387)=0,"",IF(ISNUMBER('Providers'!Q387),'Providers'!Q387,""))</f>
        <v/>
      </c>
      <c r="I388" s="34">
        <f>IF(LEN('Providers'!A387)=0,"",IF(ISNUMBER('Providers'!S387),'Providers'!S387,""))</f>
        <v/>
      </c>
      <c r="J388" s="34">
        <f>IF(LEN('Providers'!A387)=0,"",IF(ISNUMBER('Providers'!W387),'Providers'!W387,""))</f>
        <v/>
      </c>
      <c r="K388" s="34">
        <f>IF(LEN('Providers'!A387)=0,"",IF(ISNUMBER('Providers'!Y387),'Providers'!Y387,""))</f>
        <v/>
      </c>
      <c r="L388" s="34">
        <f>IF(LEN('Providers'!A387)=0,"",IF(ISNUMBER('Providers'!AA387),'Providers'!AA387,""))</f>
        <v/>
      </c>
      <c r="M388" s="34">
        <f>IF(LEN('Providers'!A387)=0,"",IF(ISNUMBER('Providers'!AD387),'Providers'!AD387,""))</f>
        <v/>
      </c>
      <c r="N388" s="35">
        <f>IF(LEN('Providers'!A387)=0,"",IF(LEN('Providers'!AG387)=0,"",'Providers'!AG387))</f>
        <v/>
      </c>
    </row>
    <row r="389">
      <c r="A389" s="32">
        <f>IF(LEN('Providers'!A388)=0,"",IF(LEN('Providers'!A388)=0,"",'Providers'!A388))</f>
        <v/>
      </c>
      <c r="B389" s="33">
        <f>IF(LEN('Providers'!A388)=0,"",IF(LEN('Providers'!B388)=0,"",'Providers'!B388))</f>
        <v/>
      </c>
      <c r="C389" s="33">
        <f>IF(LEN('Providers'!A388)=0,"",IF(LEN('Providers'!E388)=0,"",'Providers'!E388))</f>
        <v/>
      </c>
      <c r="D389" s="34">
        <f>IF(LEN('Providers'!A388)=0,"",IF(ISNUMBER('Providers'!G388),'Providers'!G388,""))</f>
        <v/>
      </c>
      <c r="E389" s="34">
        <f>IF(LEN('Providers'!A388)=0,"",IF(ISNUMBER('Providers'!I388),'Providers'!I388,""))</f>
        <v/>
      </c>
      <c r="F389" s="34">
        <f>IF(LEN('Providers'!A388)=0,"",IF(ISNUMBER('Providers'!K388),'Providers'!K388,""))</f>
        <v/>
      </c>
      <c r="G389" s="34">
        <f>IF(LEN('Providers'!A388)=0,"",IF(ISNUMBER('Providers'!M388),'Providers'!M388,""))</f>
        <v/>
      </c>
      <c r="H389" s="34">
        <f>IF(LEN('Providers'!A388)=0,"",IF(ISNUMBER('Providers'!Q388),'Providers'!Q388,""))</f>
        <v/>
      </c>
      <c r="I389" s="34">
        <f>IF(LEN('Providers'!A388)=0,"",IF(ISNUMBER('Providers'!S388),'Providers'!S388,""))</f>
        <v/>
      </c>
      <c r="J389" s="34">
        <f>IF(LEN('Providers'!A388)=0,"",IF(ISNUMBER('Providers'!W388),'Providers'!W388,""))</f>
        <v/>
      </c>
      <c r="K389" s="34">
        <f>IF(LEN('Providers'!A388)=0,"",IF(ISNUMBER('Providers'!Y388),'Providers'!Y388,""))</f>
        <v/>
      </c>
      <c r="L389" s="34">
        <f>IF(LEN('Providers'!A388)=0,"",IF(ISNUMBER('Providers'!AA388),'Providers'!AA388,""))</f>
        <v/>
      </c>
      <c r="M389" s="34">
        <f>IF(LEN('Providers'!A388)=0,"",IF(ISNUMBER('Providers'!AD388),'Providers'!AD388,""))</f>
        <v/>
      </c>
      <c r="N389" s="35">
        <f>IF(LEN('Providers'!A388)=0,"",IF(LEN('Providers'!AG388)=0,"",'Providers'!AG388))</f>
        <v/>
      </c>
    </row>
    <row r="390">
      <c r="A390" s="32">
        <f>IF(LEN('Providers'!A389)=0,"",IF(LEN('Providers'!A389)=0,"",'Providers'!A389))</f>
        <v/>
      </c>
      <c r="B390" s="33">
        <f>IF(LEN('Providers'!A389)=0,"",IF(LEN('Providers'!B389)=0,"",'Providers'!B389))</f>
        <v/>
      </c>
      <c r="C390" s="33">
        <f>IF(LEN('Providers'!A389)=0,"",IF(LEN('Providers'!E389)=0,"",'Providers'!E389))</f>
        <v/>
      </c>
      <c r="D390" s="34">
        <f>IF(LEN('Providers'!A389)=0,"",IF(ISNUMBER('Providers'!G389),'Providers'!G389,""))</f>
        <v/>
      </c>
      <c r="E390" s="34">
        <f>IF(LEN('Providers'!A389)=0,"",IF(ISNUMBER('Providers'!I389),'Providers'!I389,""))</f>
        <v/>
      </c>
      <c r="F390" s="34">
        <f>IF(LEN('Providers'!A389)=0,"",IF(ISNUMBER('Providers'!K389),'Providers'!K389,""))</f>
        <v/>
      </c>
      <c r="G390" s="34">
        <f>IF(LEN('Providers'!A389)=0,"",IF(ISNUMBER('Providers'!M389),'Providers'!M389,""))</f>
        <v/>
      </c>
      <c r="H390" s="34">
        <f>IF(LEN('Providers'!A389)=0,"",IF(ISNUMBER('Providers'!Q389),'Providers'!Q389,""))</f>
        <v/>
      </c>
      <c r="I390" s="34">
        <f>IF(LEN('Providers'!A389)=0,"",IF(ISNUMBER('Providers'!S389),'Providers'!S389,""))</f>
        <v/>
      </c>
      <c r="J390" s="34">
        <f>IF(LEN('Providers'!A389)=0,"",IF(ISNUMBER('Providers'!W389),'Providers'!W389,""))</f>
        <v/>
      </c>
      <c r="K390" s="34">
        <f>IF(LEN('Providers'!A389)=0,"",IF(ISNUMBER('Providers'!Y389),'Providers'!Y389,""))</f>
        <v/>
      </c>
      <c r="L390" s="34">
        <f>IF(LEN('Providers'!A389)=0,"",IF(ISNUMBER('Providers'!AA389),'Providers'!AA389,""))</f>
        <v/>
      </c>
      <c r="M390" s="34">
        <f>IF(LEN('Providers'!A389)=0,"",IF(ISNUMBER('Providers'!AD389),'Providers'!AD389,""))</f>
        <v/>
      </c>
      <c r="N390" s="35">
        <f>IF(LEN('Providers'!A389)=0,"",IF(LEN('Providers'!AG389)=0,"",'Providers'!AG389))</f>
        <v/>
      </c>
    </row>
    <row r="391">
      <c r="A391" s="32">
        <f>IF(LEN('Providers'!A390)=0,"",IF(LEN('Providers'!A390)=0,"",'Providers'!A390))</f>
        <v/>
      </c>
      <c r="B391" s="33">
        <f>IF(LEN('Providers'!A390)=0,"",IF(LEN('Providers'!B390)=0,"",'Providers'!B390))</f>
        <v/>
      </c>
      <c r="C391" s="33">
        <f>IF(LEN('Providers'!A390)=0,"",IF(LEN('Providers'!E390)=0,"",'Providers'!E390))</f>
        <v/>
      </c>
      <c r="D391" s="34">
        <f>IF(LEN('Providers'!A390)=0,"",IF(ISNUMBER('Providers'!G390),'Providers'!G390,""))</f>
        <v/>
      </c>
      <c r="E391" s="34">
        <f>IF(LEN('Providers'!A390)=0,"",IF(ISNUMBER('Providers'!I390),'Providers'!I390,""))</f>
        <v/>
      </c>
      <c r="F391" s="34">
        <f>IF(LEN('Providers'!A390)=0,"",IF(ISNUMBER('Providers'!K390),'Providers'!K390,""))</f>
        <v/>
      </c>
      <c r="G391" s="34">
        <f>IF(LEN('Providers'!A390)=0,"",IF(ISNUMBER('Providers'!M390),'Providers'!M390,""))</f>
        <v/>
      </c>
      <c r="H391" s="34">
        <f>IF(LEN('Providers'!A390)=0,"",IF(ISNUMBER('Providers'!Q390),'Providers'!Q390,""))</f>
        <v/>
      </c>
      <c r="I391" s="34">
        <f>IF(LEN('Providers'!A390)=0,"",IF(ISNUMBER('Providers'!S390),'Providers'!S390,""))</f>
        <v/>
      </c>
      <c r="J391" s="34">
        <f>IF(LEN('Providers'!A390)=0,"",IF(ISNUMBER('Providers'!W390),'Providers'!W390,""))</f>
        <v/>
      </c>
      <c r="K391" s="34">
        <f>IF(LEN('Providers'!A390)=0,"",IF(ISNUMBER('Providers'!Y390),'Providers'!Y390,""))</f>
        <v/>
      </c>
      <c r="L391" s="34">
        <f>IF(LEN('Providers'!A390)=0,"",IF(ISNUMBER('Providers'!AA390),'Providers'!AA390,""))</f>
        <v/>
      </c>
      <c r="M391" s="34">
        <f>IF(LEN('Providers'!A390)=0,"",IF(ISNUMBER('Providers'!AD390),'Providers'!AD390,""))</f>
        <v/>
      </c>
      <c r="N391" s="35">
        <f>IF(LEN('Providers'!A390)=0,"",IF(LEN('Providers'!AG390)=0,"",'Providers'!AG390))</f>
        <v/>
      </c>
    </row>
    <row r="392">
      <c r="A392" s="32">
        <f>IF(LEN('Providers'!A391)=0,"",IF(LEN('Providers'!A391)=0,"",'Providers'!A391))</f>
        <v/>
      </c>
      <c r="B392" s="33">
        <f>IF(LEN('Providers'!A391)=0,"",IF(LEN('Providers'!B391)=0,"",'Providers'!B391))</f>
        <v/>
      </c>
      <c r="C392" s="33">
        <f>IF(LEN('Providers'!A391)=0,"",IF(LEN('Providers'!E391)=0,"",'Providers'!E391))</f>
        <v/>
      </c>
      <c r="D392" s="34">
        <f>IF(LEN('Providers'!A391)=0,"",IF(ISNUMBER('Providers'!G391),'Providers'!G391,""))</f>
        <v/>
      </c>
      <c r="E392" s="34">
        <f>IF(LEN('Providers'!A391)=0,"",IF(ISNUMBER('Providers'!I391),'Providers'!I391,""))</f>
        <v/>
      </c>
      <c r="F392" s="34">
        <f>IF(LEN('Providers'!A391)=0,"",IF(ISNUMBER('Providers'!K391),'Providers'!K391,""))</f>
        <v/>
      </c>
      <c r="G392" s="34">
        <f>IF(LEN('Providers'!A391)=0,"",IF(ISNUMBER('Providers'!M391),'Providers'!M391,""))</f>
        <v/>
      </c>
      <c r="H392" s="34">
        <f>IF(LEN('Providers'!A391)=0,"",IF(ISNUMBER('Providers'!Q391),'Providers'!Q391,""))</f>
        <v/>
      </c>
      <c r="I392" s="34">
        <f>IF(LEN('Providers'!A391)=0,"",IF(ISNUMBER('Providers'!S391),'Providers'!S391,""))</f>
        <v/>
      </c>
      <c r="J392" s="34">
        <f>IF(LEN('Providers'!A391)=0,"",IF(ISNUMBER('Providers'!W391),'Providers'!W391,""))</f>
        <v/>
      </c>
      <c r="K392" s="34">
        <f>IF(LEN('Providers'!A391)=0,"",IF(ISNUMBER('Providers'!Y391),'Providers'!Y391,""))</f>
        <v/>
      </c>
      <c r="L392" s="34">
        <f>IF(LEN('Providers'!A391)=0,"",IF(ISNUMBER('Providers'!AA391),'Providers'!AA391,""))</f>
        <v/>
      </c>
      <c r="M392" s="34">
        <f>IF(LEN('Providers'!A391)=0,"",IF(ISNUMBER('Providers'!AD391),'Providers'!AD391,""))</f>
        <v/>
      </c>
      <c r="N392" s="35">
        <f>IF(LEN('Providers'!A391)=0,"",IF(LEN('Providers'!AG391)=0,"",'Providers'!AG391))</f>
        <v/>
      </c>
    </row>
    <row r="393">
      <c r="A393" s="32">
        <f>IF(LEN('Providers'!A392)=0,"",IF(LEN('Providers'!A392)=0,"",'Providers'!A392))</f>
        <v/>
      </c>
      <c r="B393" s="33">
        <f>IF(LEN('Providers'!A392)=0,"",IF(LEN('Providers'!B392)=0,"",'Providers'!B392))</f>
        <v/>
      </c>
      <c r="C393" s="33">
        <f>IF(LEN('Providers'!A392)=0,"",IF(LEN('Providers'!E392)=0,"",'Providers'!E392))</f>
        <v/>
      </c>
      <c r="D393" s="34">
        <f>IF(LEN('Providers'!A392)=0,"",IF(ISNUMBER('Providers'!G392),'Providers'!G392,""))</f>
        <v/>
      </c>
      <c r="E393" s="34">
        <f>IF(LEN('Providers'!A392)=0,"",IF(ISNUMBER('Providers'!I392),'Providers'!I392,""))</f>
        <v/>
      </c>
      <c r="F393" s="34">
        <f>IF(LEN('Providers'!A392)=0,"",IF(ISNUMBER('Providers'!K392),'Providers'!K392,""))</f>
        <v/>
      </c>
      <c r="G393" s="34">
        <f>IF(LEN('Providers'!A392)=0,"",IF(ISNUMBER('Providers'!M392),'Providers'!M392,""))</f>
        <v/>
      </c>
      <c r="H393" s="34">
        <f>IF(LEN('Providers'!A392)=0,"",IF(ISNUMBER('Providers'!Q392),'Providers'!Q392,""))</f>
        <v/>
      </c>
      <c r="I393" s="34">
        <f>IF(LEN('Providers'!A392)=0,"",IF(ISNUMBER('Providers'!S392),'Providers'!S392,""))</f>
        <v/>
      </c>
      <c r="J393" s="34">
        <f>IF(LEN('Providers'!A392)=0,"",IF(ISNUMBER('Providers'!W392),'Providers'!W392,""))</f>
        <v/>
      </c>
      <c r="K393" s="34">
        <f>IF(LEN('Providers'!A392)=0,"",IF(ISNUMBER('Providers'!Y392),'Providers'!Y392,""))</f>
        <v/>
      </c>
      <c r="L393" s="34">
        <f>IF(LEN('Providers'!A392)=0,"",IF(ISNUMBER('Providers'!AA392),'Providers'!AA392,""))</f>
        <v/>
      </c>
      <c r="M393" s="34">
        <f>IF(LEN('Providers'!A392)=0,"",IF(ISNUMBER('Providers'!AD392),'Providers'!AD392,""))</f>
        <v/>
      </c>
      <c r="N393" s="35">
        <f>IF(LEN('Providers'!A392)=0,"",IF(LEN('Providers'!AG392)=0,"",'Providers'!AG392))</f>
        <v/>
      </c>
    </row>
    <row r="394">
      <c r="A394" s="32">
        <f>IF(LEN('Providers'!A393)=0,"",IF(LEN('Providers'!A393)=0,"",'Providers'!A393))</f>
        <v/>
      </c>
      <c r="B394" s="33">
        <f>IF(LEN('Providers'!A393)=0,"",IF(LEN('Providers'!B393)=0,"",'Providers'!B393))</f>
        <v/>
      </c>
      <c r="C394" s="33">
        <f>IF(LEN('Providers'!A393)=0,"",IF(LEN('Providers'!E393)=0,"",'Providers'!E393))</f>
        <v/>
      </c>
      <c r="D394" s="34">
        <f>IF(LEN('Providers'!A393)=0,"",IF(ISNUMBER('Providers'!G393),'Providers'!G393,""))</f>
        <v/>
      </c>
      <c r="E394" s="34">
        <f>IF(LEN('Providers'!A393)=0,"",IF(ISNUMBER('Providers'!I393),'Providers'!I393,""))</f>
        <v/>
      </c>
      <c r="F394" s="34">
        <f>IF(LEN('Providers'!A393)=0,"",IF(ISNUMBER('Providers'!K393),'Providers'!K393,""))</f>
        <v/>
      </c>
      <c r="G394" s="34">
        <f>IF(LEN('Providers'!A393)=0,"",IF(ISNUMBER('Providers'!M393),'Providers'!M393,""))</f>
        <v/>
      </c>
      <c r="H394" s="34">
        <f>IF(LEN('Providers'!A393)=0,"",IF(ISNUMBER('Providers'!Q393),'Providers'!Q393,""))</f>
        <v/>
      </c>
      <c r="I394" s="34">
        <f>IF(LEN('Providers'!A393)=0,"",IF(ISNUMBER('Providers'!S393),'Providers'!S393,""))</f>
        <v/>
      </c>
      <c r="J394" s="34">
        <f>IF(LEN('Providers'!A393)=0,"",IF(ISNUMBER('Providers'!W393),'Providers'!W393,""))</f>
        <v/>
      </c>
      <c r="K394" s="34">
        <f>IF(LEN('Providers'!A393)=0,"",IF(ISNUMBER('Providers'!Y393),'Providers'!Y393,""))</f>
        <v/>
      </c>
      <c r="L394" s="34">
        <f>IF(LEN('Providers'!A393)=0,"",IF(ISNUMBER('Providers'!AA393),'Providers'!AA393,""))</f>
        <v/>
      </c>
      <c r="M394" s="34">
        <f>IF(LEN('Providers'!A393)=0,"",IF(ISNUMBER('Providers'!AD393),'Providers'!AD393,""))</f>
        <v/>
      </c>
      <c r="N394" s="35">
        <f>IF(LEN('Providers'!A393)=0,"",IF(LEN('Providers'!AG393)=0,"",'Providers'!AG393))</f>
        <v/>
      </c>
    </row>
    <row r="395">
      <c r="A395" s="32">
        <f>IF(LEN('Providers'!A394)=0,"",IF(LEN('Providers'!A394)=0,"",'Providers'!A394))</f>
        <v/>
      </c>
      <c r="B395" s="33">
        <f>IF(LEN('Providers'!A394)=0,"",IF(LEN('Providers'!B394)=0,"",'Providers'!B394))</f>
        <v/>
      </c>
      <c r="C395" s="33">
        <f>IF(LEN('Providers'!A394)=0,"",IF(LEN('Providers'!E394)=0,"",'Providers'!E394))</f>
        <v/>
      </c>
      <c r="D395" s="34">
        <f>IF(LEN('Providers'!A394)=0,"",IF(ISNUMBER('Providers'!G394),'Providers'!G394,""))</f>
        <v/>
      </c>
      <c r="E395" s="34">
        <f>IF(LEN('Providers'!A394)=0,"",IF(ISNUMBER('Providers'!I394),'Providers'!I394,""))</f>
        <v/>
      </c>
      <c r="F395" s="34">
        <f>IF(LEN('Providers'!A394)=0,"",IF(ISNUMBER('Providers'!K394),'Providers'!K394,""))</f>
        <v/>
      </c>
      <c r="G395" s="34">
        <f>IF(LEN('Providers'!A394)=0,"",IF(ISNUMBER('Providers'!M394),'Providers'!M394,""))</f>
        <v/>
      </c>
      <c r="H395" s="34">
        <f>IF(LEN('Providers'!A394)=0,"",IF(ISNUMBER('Providers'!Q394),'Providers'!Q394,""))</f>
        <v/>
      </c>
      <c r="I395" s="34">
        <f>IF(LEN('Providers'!A394)=0,"",IF(ISNUMBER('Providers'!S394),'Providers'!S394,""))</f>
        <v/>
      </c>
      <c r="J395" s="34">
        <f>IF(LEN('Providers'!A394)=0,"",IF(ISNUMBER('Providers'!W394),'Providers'!W394,""))</f>
        <v/>
      </c>
      <c r="K395" s="34">
        <f>IF(LEN('Providers'!A394)=0,"",IF(ISNUMBER('Providers'!Y394),'Providers'!Y394,""))</f>
        <v/>
      </c>
      <c r="L395" s="34">
        <f>IF(LEN('Providers'!A394)=0,"",IF(ISNUMBER('Providers'!AA394),'Providers'!AA394,""))</f>
        <v/>
      </c>
      <c r="M395" s="34">
        <f>IF(LEN('Providers'!A394)=0,"",IF(ISNUMBER('Providers'!AD394),'Providers'!AD394,""))</f>
        <v/>
      </c>
      <c r="N395" s="35">
        <f>IF(LEN('Providers'!A394)=0,"",IF(LEN('Providers'!AG394)=0,"",'Providers'!AG394))</f>
        <v/>
      </c>
    </row>
    <row r="396">
      <c r="A396" s="32">
        <f>IF(LEN('Providers'!A395)=0,"",IF(LEN('Providers'!A395)=0,"",'Providers'!A395))</f>
        <v/>
      </c>
      <c r="B396" s="33">
        <f>IF(LEN('Providers'!A395)=0,"",IF(LEN('Providers'!B395)=0,"",'Providers'!B395))</f>
        <v/>
      </c>
      <c r="C396" s="33">
        <f>IF(LEN('Providers'!A395)=0,"",IF(LEN('Providers'!E395)=0,"",'Providers'!E395))</f>
        <v/>
      </c>
      <c r="D396" s="34">
        <f>IF(LEN('Providers'!A395)=0,"",IF(ISNUMBER('Providers'!G395),'Providers'!G395,""))</f>
        <v/>
      </c>
      <c r="E396" s="34">
        <f>IF(LEN('Providers'!A395)=0,"",IF(ISNUMBER('Providers'!I395),'Providers'!I395,""))</f>
        <v/>
      </c>
      <c r="F396" s="34">
        <f>IF(LEN('Providers'!A395)=0,"",IF(ISNUMBER('Providers'!K395),'Providers'!K395,""))</f>
        <v/>
      </c>
      <c r="G396" s="34">
        <f>IF(LEN('Providers'!A395)=0,"",IF(ISNUMBER('Providers'!M395),'Providers'!M395,""))</f>
        <v/>
      </c>
      <c r="H396" s="34">
        <f>IF(LEN('Providers'!A395)=0,"",IF(ISNUMBER('Providers'!Q395),'Providers'!Q395,""))</f>
        <v/>
      </c>
      <c r="I396" s="34">
        <f>IF(LEN('Providers'!A395)=0,"",IF(ISNUMBER('Providers'!S395),'Providers'!S395,""))</f>
        <v/>
      </c>
      <c r="J396" s="34">
        <f>IF(LEN('Providers'!A395)=0,"",IF(ISNUMBER('Providers'!W395),'Providers'!W395,""))</f>
        <v/>
      </c>
      <c r="K396" s="34">
        <f>IF(LEN('Providers'!A395)=0,"",IF(ISNUMBER('Providers'!Y395),'Providers'!Y395,""))</f>
        <v/>
      </c>
      <c r="L396" s="34">
        <f>IF(LEN('Providers'!A395)=0,"",IF(ISNUMBER('Providers'!AA395),'Providers'!AA395,""))</f>
        <v/>
      </c>
      <c r="M396" s="34">
        <f>IF(LEN('Providers'!A395)=0,"",IF(ISNUMBER('Providers'!AD395),'Providers'!AD395,""))</f>
        <v/>
      </c>
      <c r="N396" s="35">
        <f>IF(LEN('Providers'!A395)=0,"",IF(LEN('Providers'!AG395)=0,"",'Providers'!AG395))</f>
        <v/>
      </c>
    </row>
    <row r="397">
      <c r="A397" s="32">
        <f>IF(LEN('Providers'!A396)=0,"",IF(LEN('Providers'!A396)=0,"",'Providers'!A396))</f>
        <v/>
      </c>
      <c r="B397" s="33">
        <f>IF(LEN('Providers'!A396)=0,"",IF(LEN('Providers'!B396)=0,"",'Providers'!B396))</f>
        <v/>
      </c>
      <c r="C397" s="33">
        <f>IF(LEN('Providers'!A396)=0,"",IF(LEN('Providers'!E396)=0,"",'Providers'!E396))</f>
        <v/>
      </c>
      <c r="D397" s="34">
        <f>IF(LEN('Providers'!A396)=0,"",IF(ISNUMBER('Providers'!G396),'Providers'!G396,""))</f>
        <v/>
      </c>
      <c r="E397" s="34">
        <f>IF(LEN('Providers'!A396)=0,"",IF(ISNUMBER('Providers'!I396),'Providers'!I396,""))</f>
        <v/>
      </c>
      <c r="F397" s="34">
        <f>IF(LEN('Providers'!A396)=0,"",IF(ISNUMBER('Providers'!K396),'Providers'!K396,""))</f>
        <v/>
      </c>
      <c r="G397" s="34">
        <f>IF(LEN('Providers'!A396)=0,"",IF(ISNUMBER('Providers'!M396),'Providers'!M396,""))</f>
        <v/>
      </c>
      <c r="H397" s="34">
        <f>IF(LEN('Providers'!A396)=0,"",IF(ISNUMBER('Providers'!Q396),'Providers'!Q396,""))</f>
        <v/>
      </c>
      <c r="I397" s="34">
        <f>IF(LEN('Providers'!A396)=0,"",IF(ISNUMBER('Providers'!S396),'Providers'!S396,""))</f>
        <v/>
      </c>
      <c r="J397" s="34">
        <f>IF(LEN('Providers'!A396)=0,"",IF(ISNUMBER('Providers'!W396),'Providers'!W396,""))</f>
        <v/>
      </c>
      <c r="K397" s="34">
        <f>IF(LEN('Providers'!A396)=0,"",IF(ISNUMBER('Providers'!Y396),'Providers'!Y396,""))</f>
        <v/>
      </c>
      <c r="L397" s="34">
        <f>IF(LEN('Providers'!A396)=0,"",IF(ISNUMBER('Providers'!AA396),'Providers'!AA396,""))</f>
        <v/>
      </c>
      <c r="M397" s="34">
        <f>IF(LEN('Providers'!A396)=0,"",IF(ISNUMBER('Providers'!AD396),'Providers'!AD396,""))</f>
        <v/>
      </c>
      <c r="N397" s="35">
        <f>IF(LEN('Providers'!A396)=0,"",IF(LEN('Providers'!AG396)=0,"",'Providers'!AG396))</f>
        <v/>
      </c>
    </row>
    <row r="398">
      <c r="A398" s="32">
        <f>IF(LEN('Providers'!A397)=0,"",IF(LEN('Providers'!A397)=0,"",'Providers'!A397))</f>
        <v/>
      </c>
      <c r="B398" s="33">
        <f>IF(LEN('Providers'!A397)=0,"",IF(LEN('Providers'!B397)=0,"",'Providers'!B397))</f>
        <v/>
      </c>
      <c r="C398" s="33">
        <f>IF(LEN('Providers'!A397)=0,"",IF(LEN('Providers'!E397)=0,"",'Providers'!E397))</f>
        <v/>
      </c>
      <c r="D398" s="34">
        <f>IF(LEN('Providers'!A397)=0,"",IF(ISNUMBER('Providers'!G397),'Providers'!G397,""))</f>
        <v/>
      </c>
      <c r="E398" s="34">
        <f>IF(LEN('Providers'!A397)=0,"",IF(ISNUMBER('Providers'!I397),'Providers'!I397,""))</f>
        <v/>
      </c>
      <c r="F398" s="34">
        <f>IF(LEN('Providers'!A397)=0,"",IF(ISNUMBER('Providers'!K397),'Providers'!K397,""))</f>
        <v/>
      </c>
      <c r="G398" s="34">
        <f>IF(LEN('Providers'!A397)=0,"",IF(ISNUMBER('Providers'!M397),'Providers'!M397,""))</f>
        <v/>
      </c>
      <c r="H398" s="34">
        <f>IF(LEN('Providers'!A397)=0,"",IF(ISNUMBER('Providers'!Q397),'Providers'!Q397,""))</f>
        <v/>
      </c>
      <c r="I398" s="34">
        <f>IF(LEN('Providers'!A397)=0,"",IF(ISNUMBER('Providers'!S397),'Providers'!S397,""))</f>
        <v/>
      </c>
      <c r="J398" s="34">
        <f>IF(LEN('Providers'!A397)=0,"",IF(ISNUMBER('Providers'!W397),'Providers'!W397,""))</f>
        <v/>
      </c>
      <c r="K398" s="34">
        <f>IF(LEN('Providers'!A397)=0,"",IF(ISNUMBER('Providers'!Y397),'Providers'!Y397,""))</f>
        <v/>
      </c>
      <c r="L398" s="34">
        <f>IF(LEN('Providers'!A397)=0,"",IF(ISNUMBER('Providers'!AA397),'Providers'!AA397,""))</f>
        <v/>
      </c>
      <c r="M398" s="34">
        <f>IF(LEN('Providers'!A397)=0,"",IF(ISNUMBER('Providers'!AD397),'Providers'!AD397,""))</f>
        <v/>
      </c>
      <c r="N398" s="35">
        <f>IF(LEN('Providers'!A397)=0,"",IF(LEN('Providers'!AG397)=0,"",'Providers'!AG397))</f>
        <v/>
      </c>
    </row>
    <row r="399">
      <c r="A399" s="32">
        <f>IF(LEN('Providers'!A398)=0,"",IF(LEN('Providers'!A398)=0,"",'Providers'!A398))</f>
        <v/>
      </c>
      <c r="B399" s="33">
        <f>IF(LEN('Providers'!A398)=0,"",IF(LEN('Providers'!B398)=0,"",'Providers'!B398))</f>
        <v/>
      </c>
      <c r="C399" s="33">
        <f>IF(LEN('Providers'!A398)=0,"",IF(LEN('Providers'!E398)=0,"",'Providers'!E398))</f>
        <v/>
      </c>
      <c r="D399" s="34">
        <f>IF(LEN('Providers'!A398)=0,"",IF(ISNUMBER('Providers'!G398),'Providers'!G398,""))</f>
        <v/>
      </c>
      <c r="E399" s="34">
        <f>IF(LEN('Providers'!A398)=0,"",IF(ISNUMBER('Providers'!I398),'Providers'!I398,""))</f>
        <v/>
      </c>
      <c r="F399" s="34">
        <f>IF(LEN('Providers'!A398)=0,"",IF(ISNUMBER('Providers'!K398),'Providers'!K398,""))</f>
        <v/>
      </c>
      <c r="G399" s="34">
        <f>IF(LEN('Providers'!A398)=0,"",IF(ISNUMBER('Providers'!M398),'Providers'!M398,""))</f>
        <v/>
      </c>
      <c r="H399" s="34">
        <f>IF(LEN('Providers'!A398)=0,"",IF(ISNUMBER('Providers'!Q398),'Providers'!Q398,""))</f>
        <v/>
      </c>
      <c r="I399" s="34">
        <f>IF(LEN('Providers'!A398)=0,"",IF(ISNUMBER('Providers'!S398),'Providers'!S398,""))</f>
        <v/>
      </c>
      <c r="J399" s="34">
        <f>IF(LEN('Providers'!A398)=0,"",IF(ISNUMBER('Providers'!W398),'Providers'!W398,""))</f>
        <v/>
      </c>
      <c r="K399" s="34">
        <f>IF(LEN('Providers'!A398)=0,"",IF(ISNUMBER('Providers'!Y398),'Providers'!Y398,""))</f>
        <v/>
      </c>
      <c r="L399" s="34">
        <f>IF(LEN('Providers'!A398)=0,"",IF(ISNUMBER('Providers'!AA398),'Providers'!AA398,""))</f>
        <v/>
      </c>
      <c r="M399" s="34">
        <f>IF(LEN('Providers'!A398)=0,"",IF(ISNUMBER('Providers'!AD398),'Providers'!AD398,""))</f>
        <v/>
      </c>
      <c r="N399" s="35">
        <f>IF(LEN('Providers'!A398)=0,"",IF(LEN('Providers'!AG398)=0,"",'Providers'!AG398))</f>
        <v/>
      </c>
    </row>
    <row r="400">
      <c r="A400" s="32">
        <f>IF(LEN('Providers'!A399)=0,"",IF(LEN('Providers'!A399)=0,"",'Providers'!A399))</f>
        <v/>
      </c>
      <c r="B400" s="33">
        <f>IF(LEN('Providers'!A399)=0,"",IF(LEN('Providers'!B399)=0,"",'Providers'!B399))</f>
        <v/>
      </c>
      <c r="C400" s="33">
        <f>IF(LEN('Providers'!A399)=0,"",IF(LEN('Providers'!E399)=0,"",'Providers'!E399))</f>
        <v/>
      </c>
      <c r="D400" s="34">
        <f>IF(LEN('Providers'!A399)=0,"",IF(ISNUMBER('Providers'!G399),'Providers'!G399,""))</f>
        <v/>
      </c>
      <c r="E400" s="34">
        <f>IF(LEN('Providers'!A399)=0,"",IF(ISNUMBER('Providers'!I399),'Providers'!I399,""))</f>
        <v/>
      </c>
      <c r="F400" s="34">
        <f>IF(LEN('Providers'!A399)=0,"",IF(ISNUMBER('Providers'!K399),'Providers'!K399,""))</f>
        <v/>
      </c>
      <c r="G400" s="34">
        <f>IF(LEN('Providers'!A399)=0,"",IF(ISNUMBER('Providers'!M399),'Providers'!M399,""))</f>
        <v/>
      </c>
      <c r="H400" s="34">
        <f>IF(LEN('Providers'!A399)=0,"",IF(ISNUMBER('Providers'!Q399),'Providers'!Q399,""))</f>
        <v/>
      </c>
      <c r="I400" s="34">
        <f>IF(LEN('Providers'!A399)=0,"",IF(ISNUMBER('Providers'!S399),'Providers'!S399,""))</f>
        <v/>
      </c>
      <c r="J400" s="34">
        <f>IF(LEN('Providers'!A399)=0,"",IF(ISNUMBER('Providers'!W399),'Providers'!W399,""))</f>
        <v/>
      </c>
      <c r="K400" s="34">
        <f>IF(LEN('Providers'!A399)=0,"",IF(ISNUMBER('Providers'!Y399),'Providers'!Y399,""))</f>
        <v/>
      </c>
      <c r="L400" s="34">
        <f>IF(LEN('Providers'!A399)=0,"",IF(ISNUMBER('Providers'!AA399),'Providers'!AA399,""))</f>
        <v/>
      </c>
      <c r="M400" s="34">
        <f>IF(LEN('Providers'!A399)=0,"",IF(ISNUMBER('Providers'!AD399),'Providers'!AD399,""))</f>
        <v/>
      </c>
      <c r="N400" s="35">
        <f>IF(LEN('Providers'!A399)=0,"",IF(LEN('Providers'!AG399)=0,"",'Providers'!AG399))</f>
        <v/>
      </c>
    </row>
    <row r="401">
      <c r="A401" s="32">
        <f>IF(LEN('Providers'!A400)=0,"",IF(LEN('Providers'!A400)=0,"",'Providers'!A400))</f>
        <v/>
      </c>
      <c r="B401" s="33">
        <f>IF(LEN('Providers'!A400)=0,"",IF(LEN('Providers'!B400)=0,"",'Providers'!B400))</f>
        <v/>
      </c>
      <c r="C401" s="33">
        <f>IF(LEN('Providers'!A400)=0,"",IF(LEN('Providers'!E400)=0,"",'Providers'!E400))</f>
        <v/>
      </c>
      <c r="D401" s="34">
        <f>IF(LEN('Providers'!A400)=0,"",IF(ISNUMBER('Providers'!G400),'Providers'!G400,""))</f>
        <v/>
      </c>
      <c r="E401" s="34">
        <f>IF(LEN('Providers'!A400)=0,"",IF(ISNUMBER('Providers'!I400),'Providers'!I400,""))</f>
        <v/>
      </c>
      <c r="F401" s="34">
        <f>IF(LEN('Providers'!A400)=0,"",IF(ISNUMBER('Providers'!K400),'Providers'!K400,""))</f>
        <v/>
      </c>
      <c r="G401" s="34">
        <f>IF(LEN('Providers'!A400)=0,"",IF(ISNUMBER('Providers'!M400),'Providers'!M400,""))</f>
        <v/>
      </c>
      <c r="H401" s="34">
        <f>IF(LEN('Providers'!A400)=0,"",IF(ISNUMBER('Providers'!Q400),'Providers'!Q400,""))</f>
        <v/>
      </c>
      <c r="I401" s="34">
        <f>IF(LEN('Providers'!A400)=0,"",IF(ISNUMBER('Providers'!S400),'Providers'!S400,""))</f>
        <v/>
      </c>
      <c r="J401" s="34">
        <f>IF(LEN('Providers'!A400)=0,"",IF(ISNUMBER('Providers'!W400),'Providers'!W400,""))</f>
        <v/>
      </c>
      <c r="K401" s="34">
        <f>IF(LEN('Providers'!A400)=0,"",IF(ISNUMBER('Providers'!Y400),'Providers'!Y400,""))</f>
        <v/>
      </c>
      <c r="L401" s="34">
        <f>IF(LEN('Providers'!A400)=0,"",IF(ISNUMBER('Providers'!AA400),'Providers'!AA400,""))</f>
        <v/>
      </c>
      <c r="M401" s="34">
        <f>IF(LEN('Providers'!A400)=0,"",IF(ISNUMBER('Providers'!AD400),'Providers'!AD400,""))</f>
        <v/>
      </c>
      <c r="N401" s="35">
        <f>IF(LEN('Providers'!A400)=0,"",IF(LEN('Providers'!AG400)=0,"",'Providers'!AG400))</f>
        <v/>
      </c>
    </row>
    <row r="402">
      <c r="A402" s="32">
        <f>IF(LEN('Providers'!A401)=0,"",IF(LEN('Providers'!A401)=0,"",'Providers'!A401))</f>
        <v/>
      </c>
      <c r="B402" s="33">
        <f>IF(LEN('Providers'!A401)=0,"",IF(LEN('Providers'!B401)=0,"",'Providers'!B401))</f>
        <v/>
      </c>
      <c r="C402" s="33">
        <f>IF(LEN('Providers'!A401)=0,"",IF(LEN('Providers'!E401)=0,"",'Providers'!E401))</f>
        <v/>
      </c>
      <c r="D402" s="34">
        <f>IF(LEN('Providers'!A401)=0,"",IF(ISNUMBER('Providers'!G401),'Providers'!G401,""))</f>
        <v/>
      </c>
      <c r="E402" s="34">
        <f>IF(LEN('Providers'!A401)=0,"",IF(ISNUMBER('Providers'!I401),'Providers'!I401,""))</f>
        <v/>
      </c>
      <c r="F402" s="34">
        <f>IF(LEN('Providers'!A401)=0,"",IF(ISNUMBER('Providers'!K401),'Providers'!K401,""))</f>
        <v/>
      </c>
      <c r="G402" s="34">
        <f>IF(LEN('Providers'!A401)=0,"",IF(ISNUMBER('Providers'!M401),'Providers'!M401,""))</f>
        <v/>
      </c>
      <c r="H402" s="34">
        <f>IF(LEN('Providers'!A401)=0,"",IF(ISNUMBER('Providers'!Q401),'Providers'!Q401,""))</f>
        <v/>
      </c>
      <c r="I402" s="34">
        <f>IF(LEN('Providers'!A401)=0,"",IF(ISNUMBER('Providers'!S401),'Providers'!S401,""))</f>
        <v/>
      </c>
      <c r="J402" s="34">
        <f>IF(LEN('Providers'!A401)=0,"",IF(ISNUMBER('Providers'!W401),'Providers'!W401,""))</f>
        <v/>
      </c>
      <c r="K402" s="34">
        <f>IF(LEN('Providers'!A401)=0,"",IF(ISNUMBER('Providers'!Y401),'Providers'!Y401,""))</f>
        <v/>
      </c>
      <c r="L402" s="34">
        <f>IF(LEN('Providers'!A401)=0,"",IF(ISNUMBER('Providers'!AA401),'Providers'!AA401,""))</f>
        <v/>
      </c>
      <c r="M402" s="34">
        <f>IF(LEN('Providers'!A401)=0,"",IF(ISNUMBER('Providers'!AD401),'Providers'!AD401,""))</f>
        <v/>
      </c>
      <c r="N402" s="35">
        <f>IF(LEN('Providers'!A401)=0,"",IF(LEN('Providers'!AG401)=0,"",'Providers'!AG401))</f>
        <v/>
      </c>
    </row>
    <row r="403">
      <c r="A403" s="32">
        <f>IF(LEN('Providers'!A402)=0,"",IF(LEN('Providers'!A402)=0,"",'Providers'!A402))</f>
        <v/>
      </c>
      <c r="B403" s="33">
        <f>IF(LEN('Providers'!A402)=0,"",IF(LEN('Providers'!B402)=0,"",'Providers'!B402))</f>
        <v/>
      </c>
      <c r="C403" s="33">
        <f>IF(LEN('Providers'!A402)=0,"",IF(LEN('Providers'!E402)=0,"",'Providers'!E402))</f>
        <v/>
      </c>
      <c r="D403" s="34">
        <f>IF(LEN('Providers'!A402)=0,"",IF(ISNUMBER('Providers'!G402),'Providers'!G402,""))</f>
        <v/>
      </c>
      <c r="E403" s="34">
        <f>IF(LEN('Providers'!A402)=0,"",IF(ISNUMBER('Providers'!I402),'Providers'!I402,""))</f>
        <v/>
      </c>
      <c r="F403" s="34">
        <f>IF(LEN('Providers'!A402)=0,"",IF(ISNUMBER('Providers'!K402),'Providers'!K402,""))</f>
        <v/>
      </c>
      <c r="G403" s="34">
        <f>IF(LEN('Providers'!A402)=0,"",IF(ISNUMBER('Providers'!M402),'Providers'!M402,""))</f>
        <v/>
      </c>
      <c r="H403" s="34">
        <f>IF(LEN('Providers'!A402)=0,"",IF(ISNUMBER('Providers'!Q402),'Providers'!Q402,""))</f>
        <v/>
      </c>
      <c r="I403" s="34">
        <f>IF(LEN('Providers'!A402)=0,"",IF(ISNUMBER('Providers'!S402),'Providers'!S402,""))</f>
        <v/>
      </c>
      <c r="J403" s="34">
        <f>IF(LEN('Providers'!A402)=0,"",IF(ISNUMBER('Providers'!W402),'Providers'!W402,""))</f>
        <v/>
      </c>
      <c r="K403" s="34">
        <f>IF(LEN('Providers'!A402)=0,"",IF(ISNUMBER('Providers'!Y402),'Providers'!Y402,""))</f>
        <v/>
      </c>
      <c r="L403" s="34">
        <f>IF(LEN('Providers'!A402)=0,"",IF(ISNUMBER('Providers'!AA402),'Providers'!AA402,""))</f>
        <v/>
      </c>
      <c r="M403" s="34">
        <f>IF(LEN('Providers'!A402)=0,"",IF(ISNUMBER('Providers'!AD402),'Providers'!AD402,""))</f>
        <v/>
      </c>
      <c r="N403" s="35">
        <f>IF(LEN('Providers'!A402)=0,"",IF(LEN('Providers'!AG402)=0,"",'Providers'!AG402))</f>
        <v/>
      </c>
    </row>
    <row r="404">
      <c r="A404" s="32">
        <f>IF(LEN('Providers'!A403)=0,"",IF(LEN('Providers'!A403)=0,"",'Providers'!A403))</f>
        <v/>
      </c>
      <c r="B404" s="33">
        <f>IF(LEN('Providers'!A403)=0,"",IF(LEN('Providers'!B403)=0,"",'Providers'!B403))</f>
        <v/>
      </c>
      <c r="C404" s="33">
        <f>IF(LEN('Providers'!A403)=0,"",IF(LEN('Providers'!E403)=0,"",'Providers'!E403))</f>
        <v/>
      </c>
      <c r="D404" s="34">
        <f>IF(LEN('Providers'!A403)=0,"",IF(ISNUMBER('Providers'!G403),'Providers'!G403,""))</f>
        <v/>
      </c>
      <c r="E404" s="34">
        <f>IF(LEN('Providers'!A403)=0,"",IF(ISNUMBER('Providers'!I403),'Providers'!I403,""))</f>
        <v/>
      </c>
      <c r="F404" s="34">
        <f>IF(LEN('Providers'!A403)=0,"",IF(ISNUMBER('Providers'!K403),'Providers'!K403,""))</f>
        <v/>
      </c>
      <c r="G404" s="34">
        <f>IF(LEN('Providers'!A403)=0,"",IF(ISNUMBER('Providers'!M403),'Providers'!M403,""))</f>
        <v/>
      </c>
      <c r="H404" s="34">
        <f>IF(LEN('Providers'!A403)=0,"",IF(ISNUMBER('Providers'!Q403),'Providers'!Q403,""))</f>
        <v/>
      </c>
      <c r="I404" s="34">
        <f>IF(LEN('Providers'!A403)=0,"",IF(ISNUMBER('Providers'!S403),'Providers'!S403,""))</f>
        <v/>
      </c>
      <c r="J404" s="34">
        <f>IF(LEN('Providers'!A403)=0,"",IF(ISNUMBER('Providers'!W403),'Providers'!W403,""))</f>
        <v/>
      </c>
      <c r="K404" s="34">
        <f>IF(LEN('Providers'!A403)=0,"",IF(ISNUMBER('Providers'!Y403),'Providers'!Y403,""))</f>
        <v/>
      </c>
      <c r="L404" s="34">
        <f>IF(LEN('Providers'!A403)=0,"",IF(ISNUMBER('Providers'!AA403),'Providers'!AA403,""))</f>
        <v/>
      </c>
      <c r="M404" s="34">
        <f>IF(LEN('Providers'!A403)=0,"",IF(ISNUMBER('Providers'!AD403),'Providers'!AD403,""))</f>
        <v/>
      </c>
      <c r="N404" s="35">
        <f>IF(LEN('Providers'!A403)=0,"",IF(LEN('Providers'!AG403)=0,"",'Providers'!AG403))</f>
        <v/>
      </c>
    </row>
    <row r="405">
      <c r="A405" s="32">
        <f>IF(LEN('Providers'!A404)=0,"",IF(LEN('Providers'!A404)=0,"",'Providers'!A404))</f>
        <v/>
      </c>
      <c r="B405" s="33">
        <f>IF(LEN('Providers'!A404)=0,"",IF(LEN('Providers'!B404)=0,"",'Providers'!B404))</f>
        <v/>
      </c>
      <c r="C405" s="33">
        <f>IF(LEN('Providers'!A404)=0,"",IF(LEN('Providers'!E404)=0,"",'Providers'!E404))</f>
        <v/>
      </c>
      <c r="D405" s="34">
        <f>IF(LEN('Providers'!A404)=0,"",IF(ISNUMBER('Providers'!G404),'Providers'!G404,""))</f>
        <v/>
      </c>
      <c r="E405" s="34">
        <f>IF(LEN('Providers'!A404)=0,"",IF(ISNUMBER('Providers'!I404),'Providers'!I404,""))</f>
        <v/>
      </c>
      <c r="F405" s="34">
        <f>IF(LEN('Providers'!A404)=0,"",IF(ISNUMBER('Providers'!K404),'Providers'!K404,""))</f>
        <v/>
      </c>
      <c r="G405" s="34">
        <f>IF(LEN('Providers'!A404)=0,"",IF(ISNUMBER('Providers'!M404),'Providers'!M404,""))</f>
        <v/>
      </c>
      <c r="H405" s="34">
        <f>IF(LEN('Providers'!A404)=0,"",IF(ISNUMBER('Providers'!Q404),'Providers'!Q404,""))</f>
        <v/>
      </c>
      <c r="I405" s="34">
        <f>IF(LEN('Providers'!A404)=0,"",IF(ISNUMBER('Providers'!S404),'Providers'!S404,""))</f>
        <v/>
      </c>
      <c r="J405" s="34">
        <f>IF(LEN('Providers'!A404)=0,"",IF(ISNUMBER('Providers'!W404),'Providers'!W404,""))</f>
        <v/>
      </c>
      <c r="K405" s="34">
        <f>IF(LEN('Providers'!A404)=0,"",IF(ISNUMBER('Providers'!Y404),'Providers'!Y404,""))</f>
        <v/>
      </c>
      <c r="L405" s="34">
        <f>IF(LEN('Providers'!A404)=0,"",IF(ISNUMBER('Providers'!AA404),'Providers'!AA404,""))</f>
        <v/>
      </c>
      <c r="M405" s="34">
        <f>IF(LEN('Providers'!A404)=0,"",IF(ISNUMBER('Providers'!AD404),'Providers'!AD404,""))</f>
        <v/>
      </c>
      <c r="N405" s="35">
        <f>IF(LEN('Providers'!A404)=0,"",IF(LEN('Providers'!AG404)=0,"",'Providers'!AG404))</f>
        <v/>
      </c>
    </row>
    <row r="406">
      <c r="A406" s="32">
        <f>IF(LEN('Providers'!A405)=0,"",IF(LEN('Providers'!A405)=0,"",'Providers'!A405))</f>
        <v/>
      </c>
      <c r="B406" s="33">
        <f>IF(LEN('Providers'!A405)=0,"",IF(LEN('Providers'!B405)=0,"",'Providers'!B405))</f>
        <v/>
      </c>
      <c r="C406" s="33">
        <f>IF(LEN('Providers'!A405)=0,"",IF(LEN('Providers'!E405)=0,"",'Providers'!E405))</f>
        <v/>
      </c>
      <c r="D406" s="34">
        <f>IF(LEN('Providers'!A405)=0,"",IF(ISNUMBER('Providers'!G405),'Providers'!G405,""))</f>
        <v/>
      </c>
      <c r="E406" s="34">
        <f>IF(LEN('Providers'!A405)=0,"",IF(ISNUMBER('Providers'!I405),'Providers'!I405,""))</f>
        <v/>
      </c>
      <c r="F406" s="34">
        <f>IF(LEN('Providers'!A405)=0,"",IF(ISNUMBER('Providers'!K405),'Providers'!K405,""))</f>
        <v/>
      </c>
      <c r="G406" s="34">
        <f>IF(LEN('Providers'!A405)=0,"",IF(ISNUMBER('Providers'!M405),'Providers'!M405,""))</f>
        <v/>
      </c>
      <c r="H406" s="34">
        <f>IF(LEN('Providers'!A405)=0,"",IF(ISNUMBER('Providers'!Q405),'Providers'!Q405,""))</f>
        <v/>
      </c>
      <c r="I406" s="34">
        <f>IF(LEN('Providers'!A405)=0,"",IF(ISNUMBER('Providers'!S405),'Providers'!S405,""))</f>
        <v/>
      </c>
      <c r="J406" s="34">
        <f>IF(LEN('Providers'!A405)=0,"",IF(ISNUMBER('Providers'!W405),'Providers'!W405,""))</f>
        <v/>
      </c>
      <c r="K406" s="34">
        <f>IF(LEN('Providers'!A405)=0,"",IF(ISNUMBER('Providers'!Y405),'Providers'!Y405,""))</f>
        <v/>
      </c>
      <c r="L406" s="34">
        <f>IF(LEN('Providers'!A405)=0,"",IF(ISNUMBER('Providers'!AA405),'Providers'!AA405,""))</f>
        <v/>
      </c>
      <c r="M406" s="34">
        <f>IF(LEN('Providers'!A405)=0,"",IF(ISNUMBER('Providers'!AD405),'Providers'!AD405,""))</f>
        <v/>
      </c>
      <c r="N406" s="35">
        <f>IF(LEN('Providers'!A405)=0,"",IF(LEN('Providers'!AG405)=0,"",'Providers'!AG405))</f>
        <v/>
      </c>
    </row>
    <row r="407">
      <c r="A407" s="32">
        <f>IF(LEN('Providers'!A406)=0,"",IF(LEN('Providers'!A406)=0,"",'Providers'!A406))</f>
        <v/>
      </c>
      <c r="B407" s="33">
        <f>IF(LEN('Providers'!A406)=0,"",IF(LEN('Providers'!B406)=0,"",'Providers'!B406))</f>
        <v/>
      </c>
      <c r="C407" s="33">
        <f>IF(LEN('Providers'!A406)=0,"",IF(LEN('Providers'!E406)=0,"",'Providers'!E406))</f>
        <v/>
      </c>
      <c r="D407" s="34">
        <f>IF(LEN('Providers'!A406)=0,"",IF(ISNUMBER('Providers'!G406),'Providers'!G406,""))</f>
        <v/>
      </c>
      <c r="E407" s="34">
        <f>IF(LEN('Providers'!A406)=0,"",IF(ISNUMBER('Providers'!I406),'Providers'!I406,""))</f>
        <v/>
      </c>
      <c r="F407" s="34">
        <f>IF(LEN('Providers'!A406)=0,"",IF(ISNUMBER('Providers'!K406),'Providers'!K406,""))</f>
        <v/>
      </c>
      <c r="G407" s="34">
        <f>IF(LEN('Providers'!A406)=0,"",IF(ISNUMBER('Providers'!M406),'Providers'!M406,""))</f>
        <v/>
      </c>
      <c r="H407" s="34">
        <f>IF(LEN('Providers'!A406)=0,"",IF(ISNUMBER('Providers'!Q406),'Providers'!Q406,""))</f>
        <v/>
      </c>
      <c r="I407" s="34">
        <f>IF(LEN('Providers'!A406)=0,"",IF(ISNUMBER('Providers'!S406),'Providers'!S406,""))</f>
        <v/>
      </c>
      <c r="J407" s="34">
        <f>IF(LEN('Providers'!A406)=0,"",IF(ISNUMBER('Providers'!W406),'Providers'!W406,""))</f>
        <v/>
      </c>
      <c r="K407" s="34">
        <f>IF(LEN('Providers'!A406)=0,"",IF(ISNUMBER('Providers'!Y406),'Providers'!Y406,""))</f>
        <v/>
      </c>
      <c r="L407" s="34">
        <f>IF(LEN('Providers'!A406)=0,"",IF(ISNUMBER('Providers'!AA406),'Providers'!AA406,""))</f>
        <v/>
      </c>
      <c r="M407" s="34">
        <f>IF(LEN('Providers'!A406)=0,"",IF(ISNUMBER('Providers'!AD406),'Providers'!AD406,""))</f>
        <v/>
      </c>
      <c r="N407" s="35">
        <f>IF(LEN('Providers'!A406)=0,"",IF(LEN('Providers'!AG406)=0,"",'Providers'!AG406))</f>
        <v/>
      </c>
    </row>
    <row r="408">
      <c r="A408" s="32">
        <f>IF(LEN('Providers'!A407)=0,"",IF(LEN('Providers'!A407)=0,"",'Providers'!A407))</f>
        <v/>
      </c>
      <c r="B408" s="33">
        <f>IF(LEN('Providers'!A407)=0,"",IF(LEN('Providers'!B407)=0,"",'Providers'!B407))</f>
        <v/>
      </c>
      <c r="C408" s="33">
        <f>IF(LEN('Providers'!A407)=0,"",IF(LEN('Providers'!E407)=0,"",'Providers'!E407))</f>
        <v/>
      </c>
      <c r="D408" s="34">
        <f>IF(LEN('Providers'!A407)=0,"",IF(ISNUMBER('Providers'!G407),'Providers'!G407,""))</f>
        <v/>
      </c>
      <c r="E408" s="34">
        <f>IF(LEN('Providers'!A407)=0,"",IF(ISNUMBER('Providers'!I407),'Providers'!I407,""))</f>
        <v/>
      </c>
      <c r="F408" s="34">
        <f>IF(LEN('Providers'!A407)=0,"",IF(ISNUMBER('Providers'!K407),'Providers'!K407,""))</f>
        <v/>
      </c>
      <c r="G408" s="34">
        <f>IF(LEN('Providers'!A407)=0,"",IF(ISNUMBER('Providers'!M407),'Providers'!M407,""))</f>
        <v/>
      </c>
      <c r="H408" s="34">
        <f>IF(LEN('Providers'!A407)=0,"",IF(ISNUMBER('Providers'!Q407),'Providers'!Q407,""))</f>
        <v/>
      </c>
      <c r="I408" s="34">
        <f>IF(LEN('Providers'!A407)=0,"",IF(ISNUMBER('Providers'!S407),'Providers'!S407,""))</f>
        <v/>
      </c>
      <c r="J408" s="34">
        <f>IF(LEN('Providers'!A407)=0,"",IF(ISNUMBER('Providers'!W407),'Providers'!W407,""))</f>
        <v/>
      </c>
      <c r="K408" s="34">
        <f>IF(LEN('Providers'!A407)=0,"",IF(ISNUMBER('Providers'!Y407),'Providers'!Y407,""))</f>
        <v/>
      </c>
      <c r="L408" s="34">
        <f>IF(LEN('Providers'!A407)=0,"",IF(ISNUMBER('Providers'!AA407),'Providers'!AA407,""))</f>
        <v/>
      </c>
      <c r="M408" s="34">
        <f>IF(LEN('Providers'!A407)=0,"",IF(ISNUMBER('Providers'!AD407),'Providers'!AD407,""))</f>
        <v/>
      </c>
      <c r="N408" s="35">
        <f>IF(LEN('Providers'!A407)=0,"",IF(LEN('Providers'!AG407)=0,"",'Providers'!AG407))</f>
        <v/>
      </c>
    </row>
    <row r="409">
      <c r="A409" s="32">
        <f>IF(LEN('Providers'!A408)=0,"",IF(LEN('Providers'!A408)=0,"",'Providers'!A408))</f>
        <v/>
      </c>
      <c r="B409" s="33">
        <f>IF(LEN('Providers'!A408)=0,"",IF(LEN('Providers'!B408)=0,"",'Providers'!B408))</f>
        <v/>
      </c>
      <c r="C409" s="33">
        <f>IF(LEN('Providers'!A408)=0,"",IF(LEN('Providers'!E408)=0,"",'Providers'!E408))</f>
        <v/>
      </c>
      <c r="D409" s="34">
        <f>IF(LEN('Providers'!A408)=0,"",IF(ISNUMBER('Providers'!G408),'Providers'!G408,""))</f>
        <v/>
      </c>
      <c r="E409" s="34">
        <f>IF(LEN('Providers'!A408)=0,"",IF(ISNUMBER('Providers'!I408),'Providers'!I408,""))</f>
        <v/>
      </c>
      <c r="F409" s="34">
        <f>IF(LEN('Providers'!A408)=0,"",IF(ISNUMBER('Providers'!K408),'Providers'!K408,""))</f>
        <v/>
      </c>
      <c r="G409" s="34">
        <f>IF(LEN('Providers'!A408)=0,"",IF(ISNUMBER('Providers'!M408),'Providers'!M408,""))</f>
        <v/>
      </c>
      <c r="H409" s="34">
        <f>IF(LEN('Providers'!A408)=0,"",IF(ISNUMBER('Providers'!Q408),'Providers'!Q408,""))</f>
        <v/>
      </c>
      <c r="I409" s="34">
        <f>IF(LEN('Providers'!A408)=0,"",IF(ISNUMBER('Providers'!S408),'Providers'!S408,""))</f>
        <v/>
      </c>
      <c r="J409" s="34">
        <f>IF(LEN('Providers'!A408)=0,"",IF(ISNUMBER('Providers'!W408),'Providers'!W408,""))</f>
        <v/>
      </c>
      <c r="K409" s="34">
        <f>IF(LEN('Providers'!A408)=0,"",IF(ISNUMBER('Providers'!Y408),'Providers'!Y408,""))</f>
        <v/>
      </c>
      <c r="L409" s="34">
        <f>IF(LEN('Providers'!A408)=0,"",IF(ISNUMBER('Providers'!AA408),'Providers'!AA408,""))</f>
        <v/>
      </c>
      <c r="M409" s="34">
        <f>IF(LEN('Providers'!A408)=0,"",IF(ISNUMBER('Providers'!AD408),'Providers'!AD408,""))</f>
        <v/>
      </c>
      <c r="N409" s="35">
        <f>IF(LEN('Providers'!A408)=0,"",IF(LEN('Providers'!AG408)=0,"",'Providers'!AG408))</f>
        <v/>
      </c>
    </row>
    <row r="410">
      <c r="A410" s="32">
        <f>IF(LEN('Providers'!A409)=0,"",IF(LEN('Providers'!A409)=0,"",'Providers'!A409))</f>
        <v/>
      </c>
      <c r="B410" s="33">
        <f>IF(LEN('Providers'!A409)=0,"",IF(LEN('Providers'!B409)=0,"",'Providers'!B409))</f>
        <v/>
      </c>
      <c r="C410" s="33">
        <f>IF(LEN('Providers'!A409)=0,"",IF(LEN('Providers'!E409)=0,"",'Providers'!E409))</f>
        <v/>
      </c>
      <c r="D410" s="34">
        <f>IF(LEN('Providers'!A409)=0,"",IF(ISNUMBER('Providers'!G409),'Providers'!G409,""))</f>
        <v/>
      </c>
      <c r="E410" s="34">
        <f>IF(LEN('Providers'!A409)=0,"",IF(ISNUMBER('Providers'!I409),'Providers'!I409,""))</f>
        <v/>
      </c>
      <c r="F410" s="34">
        <f>IF(LEN('Providers'!A409)=0,"",IF(ISNUMBER('Providers'!K409),'Providers'!K409,""))</f>
        <v/>
      </c>
      <c r="G410" s="34">
        <f>IF(LEN('Providers'!A409)=0,"",IF(ISNUMBER('Providers'!M409),'Providers'!M409,""))</f>
        <v/>
      </c>
      <c r="H410" s="34">
        <f>IF(LEN('Providers'!A409)=0,"",IF(ISNUMBER('Providers'!Q409),'Providers'!Q409,""))</f>
        <v/>
      </c>
      <c r="I410" s="34">
        <f>IF(LEN('Providers'!A409)=0,"",IF(ISNUMBER('Providers'!S409),'Providers'!S409,""))</f>
        <v/>
      </c>
      <c r="J410" s="34">
        <f>IF(LEN('Providers'!A409)=0,"",IF(ISNUMBER('Providers'!W409),'Providers'!W409,""))</f>
        <v/>
      </c>
      <c r="K410" s="34">
        <f>IF(LEN('Providers'!A409)=0,"",IF(ISNUMBER('Providers'!Y409),'Providers'!Y409,""))</f>
        <v/>
      </c>
      <c r="L410" s="34">
        <f>IF(LEN('Providers'!A409)=0,"",IF(ISNUMBER('Providers'!AA409),'Providers'!AA409,""))</f>
        <v/>
      </c>
      <c r="M410" s="34">
        <f>IF(LEN('Providers'!A409)=0,"",IF(ISNUMBER('Providers'!AD409),'Providers'!AD409,""))</f>
        <v/>
      </c>
      <c r="N410" s="35">
        <f>IF(LEN('Providers'!A409)=0,"",IF(LEN('Providers'!AG409)=0,"",'Providers'!AG409))</f>
        <v/>
      </c>
    </row>
    <row r="411">
      <c r="A411" s="32">
        <f>IF(LEN('Providers'!A410)=0,"",IF(LEN('Providers'!A410)=0,"",'Providers'!A410))</f>
        <v/>
      </c>
      <c r="B411" s="33">
        <f>IF(LEN('Providers'!A410)=0,"",IF(LEN('Providers'!B410)=0,"",'Providers'!B410))</f>
        <v/>
      </c>
      <c r="C411" s="33">
        <f>IF(LEN('Providers'!A410)=0,"",IF(LEN('Providers'!E410)=0,"",'Providers'!E410))</f>
        <v/>
      </c>
      <c r="D411" s="34">
        <f>IF(LEN('Providers'!A410)=0,"",IF(ISNUMBER('Providers'!G410),'Providers'!G410,""))</f>
        <v/>
      </c>
      <c r="E411" s="34">
        <f>IF(LEN('Providers'!A410)=0,"",IF(ISNUMBER('Providers'!I410),'Providers'!I410,""))</f>
        <v/>
      </c>
      <c r="F411" s="34">
        <f>IF(LEN('Providers'!A410)=0,"",IF(ISNUMBER('Providers'!K410),'Providers'!K410,""))</f>
        <v/>
      </c>
      <c r="G411" s="34">
        <f>IF(LEN('Providers'!A410)=0,"",IF(ISNUMBER('Providers'!M410),'Providers'!M410,""))</f>
        <v/>
      </c>
      <c r="H411" s="34">
        <f>IF(LEN('Providers'!A410)=0,"",IF(ISNUMBER('Providers'!Q410),'Providers'!Q410,""))</f>
        <v/>
      </c>
      <c r="I411" s="34">
        <f>IF(LEN('Providers'!A410)=0,"",IF(ISNUMBER('Providers'!S410),'Providers'!S410,""))</f>
        <v/>
      </c>
      <c r="J411" s="34">
        <f>IF(LEN('Providers'!A410)=0,"",IF(ISNUMBER('Providers'!W410),'Providers'!W410,""))</f>
        <v/>
      </c>
      <c r="K411" s="34">
        <f>IF(LEN('Providers'!A410)=0,"",IF(ISNUMBER('Providers'!Y410),'Providers'!Y410,""))</f>
        <v/>
      </c>
      <c r="L411" s="34">
        <f>IF(LEN('Providers'!A410)=0,"",IF(ISNUMBER('Providers'!AA410),'Providers'!AA410,""))</f>
        <v/>
      </c>
      <c r="M411" s="34">
        <f>IF(LEN('Providers'!A410)=0,"",IF(ISNUMBER('Providers'!AD410),'Providers'!AD410,""))</f>
        <v/>
      </c>
      <c r="N411" s="35">
        <f>IF(LEN('Providers'!A410)=0,"",IF(LEN('Providers'!AG410)=0,"",'Providers'!AG410))</f>
        <v/>
      </c>
    </row>
    <row r="412">
      <c r="A412" s="32">
        <f>IF(LEN('Providers'!A411)=0,"",IF(LEN('Providers'!A411)=0,"",'Providers'!A411))</f>
        <v/>
      </c>
      <c r="B412" s="33">
        <f>IF(LEN('Providers'!A411)=0,"",IF(LEN('Providers'!B411)=0,"",'Providers'!B411))</f>
        <v/>
      </c>
      <c r="C412" s="33">
        <f>IF(LEN('Providers'!A411)=0,"",IF(LEN('Providers'!E411)=0,"",'Providers'!E411))</f>
        <v/>
      </c>
      <c r="D412" s="34">
        <f>IF(LEN('Providers'!A411)=0,"",IF(ISNUMBER('Providers'!G411),'Providers'!G411,""))</f>
        <v/>
      </c>
      <c r="E412" s="34">
        <f>IF(LEN('Providers'!A411)=0,"",IF(ISNUMBER('Providers'!I411),'Providers'!I411,""))</f>
        <v/>
      </c>
      <c r="F412" s="34">
        <f>IF(LEN('Providers'!A411)=0,"",IF(ISNUMBER('Providers'!K411),'Providers'!K411,""))</f>
        <v/>
      </c>
      <c r="G412" s="34">
        <f>IF(LEN('Providers'!A411)=0,"",IF(ISNUMBER('Providers'!M411),'Providers'!M411,""))</f>
        <v/>
      </c>
      <c r="H412" s="34">
        <f>IF(LEN('Providers'!A411)=0,"",IF(ISNUMBER('Providers'!Q411),'Providers'!Q411,""))</f>
        <v/>
      </c>
      <c r="I412" s="34">
        <f>IF(LEN('Providers'!A411)=0,"",IF(ISNUMBER('Providers'!S411),'Providers'!S411,""))</f>
        <v/>
      </c>
      <c r="J412" s="34">
        <f>IF(LEN('Providers'!A411)=0,"",IF(ISNUMBER('Providers'!W411),'Providers'!W411,""))</f>
        <v/>
      </c>
      <c r="K412" s="34">
        <f>IF(LEN('Providers'!A411)=0,"",IF(ISNUMBER('Providers'!Y411),'Providers'!Y411,""))</f>
        <v/>
      </c>
      <c r="L412" s="34">
        <f>IF(LEN('Providers'!A411)=0,"",IF(ISNUMBER('Providers'!AA411),'Providers'!AA411,""))</f>
        <v/>
      </c>
      <c r="M412" s="34">
        <f>IF(LEN('Providers'!A411)=0,"",IF(ISNUMBER('Providers'!AD411),'Providers'!AD411,""))</f>
        <v/>
      </c>
      <c r="N412" s="35">
        <f>IF(LEN('Providers'!A411)=0,"",IF(LEN('Providers'!AG411)=0,"",'Providers'!AG411))</f>
        <v/>
      </c>
    </row>
    <row r="413">
      <c r="A413" s="32">
        <f>IF(LEN('Providers'!A412)=0,"",IF(LEN('Providers'!A412)=0,"",'Providers'!A412))</f>
        <v/>
      </c>
      <c r="B413" s="33">
        <f>IF(LEN('Providers'!A412)=0,"",IF(LEN('Providers'!B412)=0,"",'Providers'!B412))</f>
        <v/>
      </c>
      <c r="C413" s="33">
        <f>IF(LEN('Providers'!A412)=0,"",IF(LEN('Providers'!E412)=0,"",'Providers'!E412))</f>
        <v/>
      </c>
      <c r="D413" s="34">
        <f>IF(LEN('Providers'!A412)=0,"",IF(ISNUMBER('Providers'!G412),'Providers'!G412,""))</f>
        <v/>
      </c>
      <c r="E413" s="34">
        <f>IF(LEN('Providers'!A412)=0,"",IF(ISNUMBER('Providers'!I412),'Providers'!I412,""))</f>
        <v/>
      </c>
      <c r="F413" s="34">
        <f>IF(LEN('Providers'!A412)=0,"",IF(ISNUMBER('Providers'!K412),'Providers'!K412,""))</f>
        <v/>
      </c>
      <c r="G413" s="34">
        <f>IF(LEN('Providers'!A412)=0,"",IF(ISNUMBER('Providers'!M412),'Providers'!M412,""))</f>
        <v/>
      </c>
      <c r="H413" s="34">
        <f>IF(LEN('Providers'!A412)=0,"",IF(ISNUMBER('Providers'!Q412),'Providers'!Q412,""))</f>
        <v/>
      </c>
      <c r="I413" s="34">
        <f>IF(LEN('Providers'!A412)=0,"",IF(ISNUMBER('Providers'!S412),'Providers'!S412,""))</f>
        <v/>
      </c>
      <c r="J413" s="34">
        <f>IF(LEN('Providers'!A412)=0,"",IF(ISNUMBER('Providers'!W412),'Providers'!W412,""))</f>
        <v/>
      </c>
      <c r="K413" s="34">
        <f>IF(LEN('Providers'!A412)=0,"",IF(ISNUMBER('Providers'!Y412),'Providers'!Y412,""))</f>
        <v/>
      </c>
      <c r="L413" s="34">
        <f>IF(LEN('Providers'!A412)=0,"",IF(ISNUMBER('Providers'!AA412),'Providers'!AA412,""))</f>
        <v/>
      </c>
      <c r="M413" s="34">
        <f>IF(LEN('Providers'!A412)=0,"",IF(ISNUMBER('Providers'!AD412),'Providers'!AD412,""))</f>
        <v/>
      </c>
      <c r="N413" s="35">
        <f>IF(LEN('Providers'!A412)=0,"",IF(LEN('Providers'!AG412)=0,"",'Providers'!AG412))</f>
        <v/>
      </c>
    </row>
    <row r="414">
      <c r="A414" s="32">
        <f>IF(LEN('Providers'!A413)=0,"",IF(LEN('Providers'!A413)=0,"",'Providers'!A413))</f>
        <v/>
      </c>
      <c r="B414" s="33">
        <f>IF(LEN('Providers'!A413)=0,"",IF(LEN('Providers'!B413)=0,"",'Providers'!B413))</f>
        <v/>
      </c>
      <c r="C414" s="33">
        <f>IF(LEN('Providers'!A413)=0,"",IF(LEN('Providers'!E413)=0,"",'Providers'!E413))</f>
        <v/>
      </c>
      <c r="D414" s="34">
        <f>IF(LEN('Providers'!A413)=0,"",IF(ISNUMBER('Providers'!G413),'Providers'!G413,""))</f>
        <v/>
      </c>
      <c r="E414" s="34">
        <f>IF(LEN('Providers'!A413)=0,"",IF(ISNUMBER('Providers'!I413),'Providers'!I413,""))</f>
        <v/>
      </c>
      <c r="F414" s="34">
        <f>IF(LEN('Providers'!A413)=0,"",IF(ISNUMBER('Providers'!K413),'Providers'!K413,""))</f>
        <v/>
      </c>
      <c r="G414" s="34">
        <f>IF(LEN('Providers'!A413)=0,"",IF(ISNUMBER('Providers'!M413),'Providers'!M413,""))</f>
        <v/>
      </c>
      <c r="H414" s="34">
        <f>IF(LEN('Providers'!A413)=0,"",IF(ISNUMBER('Providers'!Q413),'Providers'!Q413,""))</f>
        <v/>
      </c>
      <c r="I414" s="34">
        <f>IF(LEN('Providers'!A413)=0,"",IF(ISNUMBER('Providers'!S413),'Providers'!S413,""))</f>
        <v/>
      </c>
      <c r="J414" s="34">
        <f>IF(LEN('Providers'!A413)=0,"",IF(ISNUMBER('Providers'!W413),'Providers'!W413,""))</f>
        <v/>
      </c>
      <c r="K414" s="34">
        <f>IF(LEN('Providers'!A413)=0,"",IF(ISNUMBER('Providers'!Y413),'Providers'!Y413,""))</f>
        <v/>
      </c>
      <c r="L414" s="34">
        <f>IF(LEN('Providers'!A413)=0,"",IF(ISNUMBER('Providers'!AA413),'Providers'!AA413,""))</f>
        <v/>
      </c>
      <c r="M414" s="34">
        <f>IF(LEN('Providers'!A413)=0,"",IF(ISNUMBER('Providers'!AD413),'Providers'!AD413,""))</f>
        <v/>
      </c>
      <c r="N414" s="35">
        <f>IF(LEN('Providers'!A413)=0,"",IF(LEN('Providers'!AG413)=0,"",'Providers'!AG413))</f>
        <v/>
      </c>
    </row>
    <row r="415">
      <c r="A415" s="32">
        <f>IF(LEN('Providers'!A414)=0,"",IF(LEN('Providers'!A414)=0,"",'Providers'!A414))</f>
        <v/>
      </c>
      <c r="B415" s="33">
        <f>IF(LEN('Providers'!A414)=0,"",IF(LEN('Providers'!B414)=0,"",'Providers'!B414))</f>
        <v/>
      </c>
      <c r="C415" s="33">
        <f>IF(LEN('Providers'!A414)=0,"",IF(LEN('Providers'!E414)=0,"",'Providers'!E414))</f>
        <v/>
      </c>
      <c r="D415" s="34">
        <f>IF(LEN('Providers'!A414)=0,"",IF(ISNUMBER('Providers'!G414),'Providers'!G414,""))</f>
        <v/>
      </c>
      <c r="E415" s="34">
        <f>IF(LEN('Providers'!A414)=0,"",IF(ISNUMBER('Providers'!I414),'Providers'!I414,""))</f>
        <v/>
      </c>
      <c r="F415" s="34">
        <f>IF(LEN('Providers'!A414)=0,"",IF(ISNUMBER('Providers'!K414),'Providers'!K414,""))</f>
        <v/>
      </c>
      <c r="G415" s="34">
        <f>IF(LEN('Providers'!A414)=0,"",IF(ISNUMBER('Providers'!M414),'Providers'!M414,""))</f>
        <v/>
      </c>
      <c r="H415" s="34">
        <f>IF(LEN('Providers'!A414)=0,"",IF(ISNUMBER('Providers'!Q414),'Providers'!Q414,""))</f>
        <v/>
      </c>
      <c r="I415" s="34">
        <f>IF(LEN('Providers'!A414)=0,"",IF(ISNUMBER('Providers'!S414),'Providers'!S414,""))</f>
        <v/>
      </c>
      <c r="J415" s="34">
        <f>IF(LEN('Providers'!A414)=0,"",IF(ISNUMBER('Providers'!W414),'Providers'!W414,""))</f>
        <v/>
      </c>
      <c r="K415" s="34">
        <f>IF(LEN('Providers'!A414)=0,"",IF(ISNUMBER('Providers'!Y414),'Providers'!Y414,""))</f>
        <v/>
      </c>
      <c r="L415" s="34">
        <f>IF(LEN('Providers'!A414)=0,"",IF(ISNUMBER('Providers'!AA414),'Providers'!AA414,""))</f>
        <v/>
      </c>
      <c r="M415" s="34">
        <f>IF(LEN('Providers'!A414)=0,"",IF(ISNUMBER('Providers'!AD414),'Providers'!AD414,""))</f>
        <v/>
      </c>
      <c r="N415" s="35">
        <f>IF(LEN('Providers'!A414)=0,"",IF(LEN('Providers'!AG414)=0,"",'Providers'!AG414))</f>
        <v/>
      </c>
    </row>
    <row r="416">
      <c r="A416" s="32">
        <f>IF(LEN('Providers'!A415)=0,"",IF(LEN('Providers'!A415)=0,"",'Providers'!A415))</f>
        <v/>
      </c>
      <c r="B416" s="33">
        <f>IF(LEN('Providers'!A415)=0,"",IF(LEN('Providers'!B415)=0,"",'Providers'!B415))</f>
        <v/>
      </c>
      <c r="C416" s="33">
        <f>IF(LEN('Providers'!A415)=0,"",IF(LEN('Providers'!E415)=0,"",'Providers'!E415))</f>
        <v/>
      </c>
      <c r="D416" s="34">
        <f>IF(LEN('Providers'!A415)=0,"",IF(ISNUMBER('Providers'!G415),'Providers'!G415,""))</f>
        <v/>
      </c>
      <c r="E416" s="34">
        <f>IF(LEN('Providers'!A415)=0,"",IF(ISNUMBER('Providers'!I415),'Providers'!I415,""))</f>
        <v/>
      </c>
      <c r="F416" s="34">
        <f>IF(LEN('Providers'!A415)=0,"",IF(ISNUMBER('Providers'!K415),'Providers'!K415,""))</f>
        <v/>
      </c>
      <c r="G416" s="34">
        <f>IF(LEN('Providers'!A415)=0,"",IF(ISNUMBER('Providers'!M415),'Providers'!M415,""))</f>
        <v/>
      </c>
      <c r="H416" s="34">
        <f>IF(LEN('Providers'!A415)=0,"",IF(ISNUMBER('Providers'!Q415),'Providers'!Q415,""))</f>
        <v/>
      </c>
      <c r="I416" s="34">
        <f>IF(LEN('Providers'!A415)=0,"",IF(ISNUMBER('Providers'!S415),'Providers'!S415,""))</f>
        <v/>
      </c>
      <c r="J416" s="34">
        <f>IF(LEN('Providers'!A415)=0,"",IF(ISNUMBER('Providers'!W415),'Providers'!W415,""))</f>
        <v/>
      </c>
      <c r="K416" s="34">
        <f>IF(LEN('Providers'!A415)=0,"",IF(ISNUMBER('Providers'!Y415),'Providers'!Y415,""))</f>
        <v/>
      </c>
      <c r="L416" s="34">
        <f>IF(LEN('Providers'!A415)=0,"",IF(ISNUMBER('Providers'!AA415),'Providers'!AA415,""))</f>
        <v/>
      </c>
      <c r="M416" s="34">
        <f>IF(LEN('Providers'!A415)=0,"",IF(ISNUMBER('Providers'!AD415),'Providers'!AD415,""))</f>
        <v/>
      </c>
      <c r="N416" s="35">
        <f>IF(LEN('Providers'!A415)=0,"",IF(LEN('Providers'!AG415)=0,"",'Providers'!AG415))</f>
        <v/>
      </c>
    </row>
    <row r="417">
      <c r="A417" s="32">
        <f>IF(LEN('Providers'!A416)=0,"",IF(LEN('Providers'!A416)=0,"",'Providers'!A416))</f>
        <v/>
      </c>
      <c r="B417" s="33">
        <f>IF(LEN('Providers'!A416)=0,"",IF(LEN('Providers'!B416)=0,"",'Providers'!B416))</f>
        <v/>
      </c>
      <c r="C417" s="33">
        <f>IF(LEN('Providers'!A416)=0,"",IF(LEN('Providers'!E416)=0,"",'Providers'!E416))</f>
        <v/>
      </c>
      <c r="D417" s="34">
        <f>IF(LEN('Providers'!A416)=0,"",IF(ISNUMBER('Providers'!G416),'Providers'!G416,""))</f>
        <v/>
      </c>
      <c r="E417" s="34">
        <f>IF(LEN('Providers'!A416)=0,"",IF(ISNUMBER('Providers'!I416),'Providers'!I416,""))</f>
        <v/>
      </c>
      <c r="F417" s="34">
        <f>IF(LEN('Providers'!A416)=0,"",IF(ISNUMBER('Providers'!K416),'Providers'!K416,""))</f>
        <v/>
      </c>
      <c r="G417" s="34">
        <f>IF(LEN('Providers'!A416)=0,"",IF(ISNUMBER('Providers'!M416),'Providers'!M416,""))</f>
        <v/>
      </c>
      <c r="H417" s="34">
        <f>IF(LEN('Providers'!A416)=0,"",IF(ISNUMBER('Providers'!Q416),'Providers'!Q416,""))</f>
        <v/>
      </c>
      <c r="I417" s="34">
        <f>IF(LEN('Providers'!A416)=0,"",IF(ISNUMBER('Providers'!S416),'Providers'!S416,""))</f>
        <v/>
      </c>
      <c r="J417" s="34">
        <f>IF(LEN('Providers'!A416)=0,"",IF(ISNUMBER('Providers'!W416),'Providers'!W416,""))</f>
        <v/>
      </c>
      <c r="K417" s="34">
        <f>IF(LEN('Providers'!A416)=0,"",IF(ISNUMBER('Providers'!Y416),'Providers'!Y416,""))</f>
        <v/>
      </c>
      <c r="L417" s="34">
        <f>IF(LEN('Providers'!A416)=0,"",IF(ISNUMBER('Providers'!AA416),'Providers'!AA416,""))</f>
        <v/>
      </c>
      <c r="M417" s="34">
        <f>IF(LEN('Providers'!A416)=0,"",IF(ISNUMBER('Providers'!AD416),'Providers'!AD416,""))</f>
        <v/>
      </c>
      <c r="N417" s="35">
        <f>IF(LEN('Providers'!A416)=0,"",IF(LEN('Providers'!AG416)=0,"",'Providers'!AG416))</f>
        <v/>
      </c>
    </row>
    <row r="418">
      <c r="A418" s="32">
        <f>IF(LEN('Providers'!A417)=0,"",IF(LEN('Providers'!A417)=0,"",'Providers'!A417))</f>
        <v/>
      </c>
      <c r="B418" s="33">
        <f>IF(LEN('Providers'!A417)=0,"",IF(LEN('Providers'!B417)=0,"",'Providers'!B417))</f>
        <v/>
      </c>
      <c r="C418" s="33">
        <f>IF(LEN('Providers'!A417)=0,"",IF(LEN('Providers'!E417)=0,"",'Providers'!E417))</f>
        <v/>
      </c>
      <c r="D418" s="34">
        <f>IF(LEN('Providers'!A417)=0,"",IF(ISNUMBER('Providers'!G417),'Providers'!G417,""))</f>
        <v/>
      </c>
      <c r="E418" s="34">
        <f>IF(LEN('Providers'!A417)=0,"",IF(ISNUMBER('Providers'!I417),'Providers'!I417,""))</f>
        <v/>
      </c>
      <c r="F418" s="34">
        <f>IF(LEN('Providers'!A417)=0,"",IF(ISNUMBER('Providers'!K417),'Providers'!K417,""))</f>
        <v/>
      </c>
      <c r="G418" s="34">
        <f>IF(LEN('Providers'!A417)=0,"",IF(ISNUMBER('Providers'!M417),'Providers'!M417,""))</f>
        <v/>
      </c>
      <c r="H418" s="34">
        <f>IF(LEN('Providers'!A417)=0,"",IF(ISNUMBER('Providers'!Q417),'Providers'!Q417,""))</f>
        <v/>
      </c>
      <c r="I418" s="34">
        <f>IF(LEN('Providers'!A417)=0,"",IF(ISNUMBER('Providers'!S417),'Providers'!S417,""))</f>
        <v/>
      </c>
      <c r="J418" s="34">
        <f>IF(LEN('Providers'!A417)=0,"",IF(ISNUMBER('Providers'!W417),'Providers'!W417,""))</f>
        <v/>
      </c>
      <c r="K418" s="34">
        <f>IF(LEN('Providers'!A417)=0,"",IF(ISNUMBER('Providers'!Y417),'Providers'!Y417,""))</f>
        <v/>
      </c>
      <c r="L418" s="34">
        <f>IF(LEN('Providers'!A417)=0,"",IF(ISNUMBER('Providers'!AA417),'Providers'!AA417,""))</f>
        <v/>
      </c>
      <c r="M418" s="34">
        <f>IF(LEN('Providers'!A417)=0,"",IF(ISNUMBER('Providers'!AD417),'Providers'!AD417,""))</f>
        <v/>
      </c>
      <c r="N418" s="35">
        <f>IF(LEN('Providers'!A417)=0,"",IF(LEN('Providers'!AG417)=0,"",'Providers'!AG417))</f>
        <v/>
      </c>
    </row>
    <row r="419">
      <c r="A419" s="32">
        <f>IF(LEN('Providers'!A418)=0,"",IF(LEN('Providers'!A418)=0,"",'Providers'!A418))</f>
        <v/>
      </c>
      <c r="B419" s="33">
        <f>IF(LEN('Providers'!A418)=0,"",IF(LEN('Providers'!B418)=0,"",'Providers'!B418))</f>
        <v/>
      </c>
      <c r="C419" s="33">
        <f>IF(LEN('Providers'!A418)=0,"",IF(LEN('Providers'!E418)=0,"",'Providers'!E418))</f>
        <v/>
      </c>
      <c r="D419" s="34">
        <f>IF(LEN('Providers'!A418)=0,"",IF(ISNUMBER('Providers'!G418),'Providers'!G418,""))</f>
        <v/>
      </c>
      <c r="E419" s="34">
        <f>IF(LEN('Providers'!A418)=0,"",IF(ISNUMBER('Providers'!I418),'Providers'!I418,""))</f>
        <v/>
      </c>
      <c r="F419" s="34">
        <f>IF(LEN('Providers'!A418)=0,"",IF(ISNUMBER('Providers'!K418),'Providers'!K418,""))</f>
        <v/>
      </c>
      <c r="G419" s="34">
        <f>IF(LEN('Providers'!A418)=0,"",IF(ISNUMBER('Providers'!M418),'Providers'!M418,""))</f>
        <v/>
      </c>
      <c r="H419" s="34">
        <f>IF(LEN('Providers'!A418)=0,"",IF(ISNUMBER('Providers'!Q418),'Providers'!Q418,""))</f>
        <v/>
      </c>
      <c r="I419" s="34">
        <f>IF(LEN('Providers'!A418)=0,"",IF(ISNUMBER('Providers'!S418),'Providers'!S418,""))</f>
        <v/>
      </c>
      <c r="J419" s="34">
        <f>IF(LEN('Providers'!A418)=0,"",IF(ISNUMBER('Providers'!W418),'Providers'!W418,""))</f>
        <v/>
      </c>
      <c r="K419" s="34">
        <f>IF(LEN('Providers'!A418)=0,"",IF(ISNUMBER('Providers'!Y418),'Providers'!Y418,""))</f>
        <v/>
      </c>
      <c r="L419" s="34">
        <f>IF(LEN('Providers'!A418)=0,"",IF(ISNUMBER('Providers'!AA418),'Providers'!AA418,""))</f>
        <v/>
      </c>
      <c r="M419" s="34">
        <f>IF(LEN('Providers'!A418)=0,"",IF(ISNUMBER('Providers'!AD418),'Providers'!AD418,""))</f>
        <v/>
      </c>
      <c r="N419" s="35">
        <f>IF(LEN('Providers'!A418)=0,"",IF(LEN('Providers'!AG418)=0,"",'Providers'!AG418))</f>
        <v/>
      </c>
    </row>
    <row r="420">
      <c r="A420" s="32">
        <f>IF(LEN('Providers'!A419)=0,"",IF(LEN('Providers'!A419)=0,"",'Providers'!A419))</f>
        <v/>
      </c>
      <c r="B420" s="33">
        <f>IF(LEN('Providers'!A419)=0,"",IF(LEN('Providers'!B419)=0,"",'Providers'!B419))</f>
        <v/>
      </c>
      <c r="C420" s="33">
        <f>IF(LEN('Providers'!A419)=0,"",IF(LEN('Providers'!E419)=0,"",'Providers'!E419))</f>
        <v/>
      </c>
      <c r="D420" s="34">
        <f>IF(LEN('Providers'!A419)=0,"",IF(ISNUMBER('Providers'!G419),'Providers'!G419,""))</f>
        <v/>
      </c>
      <c r="E420" s="34">
        <f>IF(LEN('Providers'!A419)=0,"",IF(ISNUMBER('Providers'!I419),'Providers'!I419,""))</f>
        <v/>
      </c>
      <c r="F420" s="34">
        <f>IF(LEN('Providers'!A419)=0,"",IF(ISNUMBER('Providers'!K419),'Providers'!K419,""))</f>
        <v/>
      </c>
      <c r="G420" s="34">
        <f>IF(LEN('Providers'!A419)=0,"",IF(ISNUMBER('Providers'!M419),'Providers'!M419,""))</f>
        <v/>
      </c>
      <c r="H420" s="34">
        <f>IF(LEN('Providers'!A419)=0,"",IF(ISNUMBER('Providers'!Q419),'Providers'!Q419,""))</f>
        <v/>
      </c>
      <c r="I420" s="34">
        <f>IF(LEN('Providers'!A419)=0,"",IF(ISNUMBER('Providers'!S419),'Providers'!S419,""))</f>
        <v/>
      </c>
      <c r="J420" s="34">
        <f>IF(LEN('Providers'!A419)=0,"",IF(ISNUMBER('Providers'!W419),'Providers'!W419,""))</f>
        <v/>
      </c>
      <c r="K420" s="34">
        <f>IF(LEN('Providers'!A419)=0,"",IF(ISNUMBER('Providers'!Y419),'Providers'!Y419,""))</f>
        <v/>
      </c>
      <c r="L420" s="34">
        <f>IF(LEN('Providers'!A419)=0,"",IF(ISNUMBER('Providers'!AA419),'Providers'!AA419,""))</f>
        <v/>
      </c>
      <c r="M420" s="34">
        <f>IF(LEN('Providers'!A419)=0,"",IF(ISNUMBER('Providers'!AD419),'Providers'!AD419,""))</f>
        <v/>
      </c>
      <c r="N420" s="35">
        <f>IF(LEN('Providers'!A419)=0,"",IF(LEN('Providers'!AG419)=0,"",'Providers'!AG419))</f>
        <v/>
      </c>
    </row>
    <row r="421">
      <c r="A421" s="32">
        <f>IF(LEN('Providers'!A420)=0,"",IF(LEN('Providers'!A420)=0,"",'Providers'!A420))</f>
        <v/>
      </c>
      <c r="B421" s="33">
        <f>IF(LEN('Providers'!A420)=0,"",IF(LEN('Providers'!B420)=0,"",'Providers'!B420))</f>
        <v/>
      </c>
      <c r="C421" s="33">
        <f>IF(LEN('Providers'!A420)=0,"",IF(LEN('Providers'!E420)=0,"",'Providers'!E420))</f>
        <v/>
      </c>
      <c r="D421" s="34">
        <f>IF(LEN('Providers'!A420)=0,"",IF(ISNUMBER('Providers'!G420),'Providers'!G420,""))</f>
        <v/>
      </c>
      <c r="E421" s="34">
        <f>IF(LEN('Providers'!A420)=0,"",IF(ISNUMBER('Providers'!I420),'Providers'!I420,""))</f>
        <v/>
      </c>
      <c r="F421" s="34">
        <f>IF(LEN('Providers'!A420)=0,"",IF(ISNUMBER('Providers'!K420),'Providers'!K420,""))</f>
        <v/>
      </c>
      <c r="G421" s="34">
        <f>IF(LEN('Providers'!A420)=0,"",IF(ISNUMBER('Providers'!M420),'Providers'!M420,""))</f>
        <v/>
      </c>
      <c r="H421" s="34">
        <f>IF(LEN('Providers'!A420)=0,"",IF(ISNUMBER('Providers'!Q420),'Providers'!Q420,""))</f>
        <v/>
      </c>
      <c r="I421" s="34">
        <f>IF(LEN('Providers'!A420)=0,"",IF(ISNUMBER('Providers'!S420),'Providers'!S420,""))</f>
        <v/>
      </c>
      <c r="J421" s="34">
        <f>IF(LEN('Providers'!A420)=0,"",IF(ISNUMBER('Providers'!W420),'Providers'!W420,""))</f>
        <v/>
      </c>
      <c r="K421" s="34">
        <f>IF(LEN('Providers'!A420)=0,"",IF(ISNUMBER('Providers'!Y420),'Providers'!Y420,""))</f>
        <v/>
      </c>
      <c r="L421" s="34">
        <f>IF(LEN('Providers'!A420)=0,"",IF(ISNUMBER('Providers'!AA420),'Providers'!AA420,""))</f>
        <v/>
      </c>
      <c r="M421" s="34">
        <f>IF(LEN('Providers'!A420)=0,"",IF(ISNUMBER('Providers'!AD420),'Providers'!AD420,""))</f>
        <v/>
      </c>
      <c r="N421" s="35">
        <f>IF(LEN('Providers'!A420)=0,"",IF(LEN('Providers'!AG420)=0,"",'Providers'!AG420))</f>
        <v/>
      </c>
    </row>
    <row r="422">
      <c r="A422" s="32">
        <f>IF(LEN('Providers'!A421)=0,"",IF(LEN('Providers'!A421)=0,"",'Providers'!A421))</f>
        <v/>
      </c>
      <c r="B422" s="33">
        <f>IF(LEN('Providers'!A421)=0,"",IF(LEN('Providers'!B421)=0,"",'Providers'!B421))</f>
        <v/>
      </c>
      <c r="C422" s="33">
        <f>IF(LEN('Providers'!A421)=0,"",IF(LEN('Providers'!E421)=0,"",'Providers'!E421))</f>
        <v/>
      </c>
      <c r="D422" s="34">
        <f>IF(LEN('Providers'!A421)=0,"",IF(ISNUMBER('Providers'!G421),'Providers'!G421,""))</f>
        <v/>
      </c>
      <c r="E422" s="34">
        <f>IF(LEN('Providers'!A421)=0,"",IF(ISNUMBER('Providers'!I421),'Providers'!I421,""))</f>
        <v/>
      </c>
      <c r="F422" s="34">
        <f>IF(LEN('Providers'!A421)=0,"",IF(ISNUMBER('Providers'!K421),'Providers'!K421,""))</f>
        <v/>
      </c>
      <c r="G422" s="34">
        <f>IF(LEN('Providers'!A421)=0,"",IF(ISNUMBER('Providers'!M421),'Providers'!M421,""))</f>
        <v/>
      </c>
      <c r="H422" s="34">
        <f>IF(LEN('Providers'!A421)=0,"",IF(ISNUMBER('Providers'!Q421),'Providers'!Q421,""))</f>
        <v/>
      </c>
      <c r="I422" s="34">
        <f>IF(LEN('Providers'!A421)=0,"",IF(ISNUMBER('Providers'!S421),'Providers'!S421,""))</f>
        <v/>
      </c>
      <c r="J422" s="34">
        <f>IF(LEN('Providers'!A421)=0,"",IF(ISNUMBER('Providers'!W421),'Providers'!W421,""))</f>
        <v/>
      </c>
      <c r="K422" s="34">
        <f>IF(LEN('Providers'!A421)=0,"",IF(ISNUMBER('Providers'!Y421),'Providers'!Y421,""))</f>
        <v/>
      </c>
      <c r="L422" s="34">
        <f>IF(LEN('Providers'!A421)=0,"",IF(ISNUMBER('Providers'!AA421),'Providers'!AA421,""))</f>
        <v/>
      </c>
      <c r="M422" s="34">
        <f>IF(LEN('Providers'!A421)=0,"",IF(ISNUMBER('Providers'!AD421),'Providers'!AD421,""))</f>
        <v/>
      </c>
      <c r="N422" s="35">
        <f>IF(LEN('Providers'!A421)=0,"",IF(LEN('Providers'!AG421)=0,"",'Providers'!AG421))</f>
        <v/>
      </c>
    </row>
    <row r="423">
      <c r="A423" s="32">
        <f>IF(LEN('Providers'!A422)=0,"",IF(LEN('Providers'!A422)=0,"",'Providers'!A422))</f>
        <v/>
      </c>
      <c r="B423" s="33">
        <f>IF(LEN('Providers'!A422)=0,"",IF(LEN('Providers'!B422)=0,"",'Providers'!B422))</f>
        <v/>
      </c>
      <c r="C423" s="33">
        <f>IF(LEN('Providers'!A422)=0,"",IF(LEN('Providers'!E422)=0,"",'Providers'!E422))</f>
        <v/>
      </c>
      <c r="D423" s="34">
        <f>IF(LEN('Providers'!A422)=0,"",IF(ISNUMBER('Providers'!G422),'Providers'!G422,""))</f>
        <v/>
      </c>
      <c r="E423" s="34">
        <f>IF(LEN('Providers'!A422)=0,"",IF(ISNUMBER('Providers'!I422),'Providers'!I422,""))</f>
        <v/>
      </c>
      <c r="F423" s="34">
        <f>IF(LEN('Providers'!A422)=0,"",IF(ISNUMBER('Providers'!K422),'Providers'!K422,""))</f>
        <v/>
      </c>
      <c r="G423" s="34">
        <f>IF(LEN('Providers'!A422)=0,"",IF(ISNUMBER('Providers'!M422),'Providers'!M422,""))</f>
        <v/>
      </c>
      <c r="H423" s="34">
        <f>IF(LEN('Providers'!A422)=0,"",IF(ISNUMBER('Providers'!Q422),'Providers'!Q422,""))</f>
        <v/>
      </c>
      <c r="I423" s="34">
        <f>IF(LEN('Providers'!A422)=0,"",IF(ISNUMBER('Providers'!S422),'Providers'!S422,""))</f>
        <v/>
      </c>
      <c r="J423" s="34">
        <f>IF(LEN('Providers'!A422)=0,"",IF(ISNUMBER('Providers'!W422),'Providers'!W422,""))</f>
        <v/>
      </c>
      <c r="K423" s="34">
        <f>IF(LEN('Providers'!A422)=0,"",IF(ISNUMBER('Providers'!Y422),'Providers'!Y422,""))</f>
        <v/>
      </c>
      <c r="L423" s="34">
        <f>IF(LEN('Providers'!A422)=0,"",IF(ISNUMBER('Providers'!AA422),'Providers'!AA422,""))</f>
        <v/>
      </c>
      <c r="M423" s="34">
        <f>IF(LEN('Providers'!A422)=0,"",IF(ISNUMBER('Providers'!AD422),'Providers'!AD422,""))</f>
        <v/>
      </c>
      <c r="N423" s="35">
        <f>IF(LEN('Providers'!A422)=0,"",IF(LEN('Providers'!AG422)=0,"",'Providers'!AG422))</f>
        <v/>
      </c>
    </row>
    <row r="424">
      <c r="A424" s="32">
        <f>IF(LEN('Providers'!A423)=0,"",IF(LEN('Providers'!A423)=0,"",'Providers'!A423))</f>
        <v/>
      </c>
      <c r="B424" s="33">
        <f>IF(LEN('Providers'!A423)=0,"",IF(LEN('Providers'!B423)=0,"",'Providers'!B423))</f>
        <v/>
      </c>
      <c r="C424" s="33">
        <f>IF(LEN('Providers'!A423)=0,"",IF(LEN('Providers'!E423)=0,"",'Providers'!E423))</f>
        <v/>
      </c>
      <c r="D424" s="34">
        <f>IF(LEN('Providers'!A423)=0,"",IF(ISNUMBER('Providers'!G423),'Providers'!G423,""))</f>
        <v/>
      </c>
      <c r="E424" s="34">
        <f>IF(LEN('Providers'!A423)=0,"",IF(ISNUMBER('Providers'!I423),'Providers'!I423,""))</f>
        <v/>
      </c>
      <c r="F424" s="34">
        <f>IF(LEN('Providers'!A423)=0,"",IF(ISNUMBER('Providers'!K423),'Providers'!K423,""))</f>
        <v/>
      </c>
      <c r="G424" s="34">
        <f>IF(LEN('Providers'!A423)=0,"",IF(ISNUMBER('Providers'!M423),'Providers'!M423,""))</f>
        <v/>
      </c>
      <c r="H424" s="34">
        <f>IF(LEN('Providers'!A423)=0,"",IF(ISNUMBER('Providers'!Q423),'Providers'!Q423,""))</f>
        <v/>
      </c>
      <c r="I424" s="34">
        <f>IF(LEN('Providers'!A423)=0,"",IF(ISNUMBER('Providers'!S423),'Providers'!S423,""))</f>
        <v/>
      </c>
      <c r="J424" s="34">
        <f>IF(LEN('Providers'!A423)=0,"",IF(ISNUMBER('Providers'!W423),'Providers'!W423,""))</f>
        <v/>
      </c>
      <c r="K424" s="34">
        <f>IF(LEN('Providers'!A423)=0,"",IF(ISNUMBER('Providers'!Y423),'Providers'!Y423,""))</f>
        <v/>
      </c>
      <c r="L424" s="34">
        <f>IF(LEN('Providers'!A423)=0,"",IF(ISNUMBER('Providers'!AA423),'Providers'!AA423,""))</f>
        <v/>
      </c>
      <c r="M424" s="34">
        <f>IF(LEN('Providers'!A423)=0,"",IF(ISNUMBER('Providers'!AD423),'Providers'!AD423,""))</f>
        <v/>
      </c>
      <c r="N424" s="35">
        <f>IF(LEN('Providers'!A423)=0,"",IF(LEN('Providers'!AG423)=0,"",'Providers'!AG423))</f>
        <v/>
      </c>
    </row>
    <row r="425">
      <c r="A425" s="32">
        <f>IF(LEN('Providers'!A424)=0,"",IF(LEN('Providers'!A424)=0,"",'Providers'!A424))</f>
        <v/>
      </c>
      <c r="B425" s="33">
        <f>IF(LEN('Providers'!A424)=0,"",IF(LEN('Providers'!B424)=0,"",'Providers'!B424))</f>
        <v/>
      </c>
      <c r="C425" s="33">
        <f>IF(LEN('Providers'!A424)=0,"",IF(LEN('Providers'!E424)=0,"",'Providers'!E424))</f>
        <v/>
      </c>
      <c r="D425" s="34">
        <f>IF(LEN('Providers'!A424)=0,"",IF(ISNUMBER('Providers'!G424),'Providers'!G424,""))</f>
        <v/>
      </c>
      <c r="E425" s="34">
        <f>IF(LEN('Providers'!A424)=0,"",IF(ISNUMBER('Providers'!I424),'Providers'!I424,""))</f>
        <v/>
      </c>
      <c r="F425" s="34">
        <f>IF(LEN('Providers'!A424)=0,"",IF(ISNUMBER('Providers'!K424),'Providers'!K424,""))</f>
        <v/>
      </c>
      <c r="G425" s="34">
        <f>IF(LEN('Providers'!A424)=0,"",IF(ISNUMBER('Providers'!M424),'Providers'!M424,""))</f>
        <v/>
      </c>
      <c r="H425" s="34">
        <f>IF(LEN('Providers'!A424)=0,"",IF(ISNUMBER('Providers'!Q424),'Providers'!Q424,""))</f>
        <v/>
      </c>
      <c r="I425" s="34">
        <f>IF(LEN('Providers'!A424)=0,"",IF(ISNUMBER('Providers'!S424),'Providers'!S424,""))</f>
        <v/>
      </c>
      <c r="J425" s="34">
        <f>IF(LEN('Providers'!A424)=0,"",IF(ISNUMBER('Providers'!W424),'Providers'!W424,""))</f>
        <v/>
      </c>
      <c r="K425" s="34">
        <f>IF(LEN('Providers'!A424)=0,"",IF(ISNUMBER('Providers'!Y424),'Providers'!Y424,""))</f>
        <v/>
      </c>
      <c r="L425" s="34">
        <f>IF(LEN('Providers'!A424)=0,"",IF(ISNUMBER('Providers'!AA424),'Providers'!AA424,""))</f>
        <v/>
      </c>
      <c r="M425" s="34">
        <f>IF(LEN('Providers'!A424)=0,"",IF(ISNUMBER('Providers'!AD424),'Providers'!AD424,""))</f>
        <v/>
      </c>
      <c r="N425" s="35">
        <f>IF(LEN('Providers'!A424)=0,"",IF(LEN('Providers'!AG424)=0,"",'Providers'!AG424))</f>
        <v/>
      </c>
    </row>
    <row r="426">
      <c r="A426" s="32">
        <f>IF(LEN('Providers'!A425)=0,"",IF(LEN('Providers'!A425)=0,"",'Providers'!A425))</f>
        <v/>
      </c>
      <c r="B426" s="33">
        <f>IF(LEN('Providers'!A425)=0,"",IF(LEN('Providers'!B425)=0,"",'Providers'!B425))</f>
        <v/>
      </c>
      <c r="C426" s="33">
        <f>IF(LEN('Providers'!A425)=0,"",IF(LEN('Providers'!E425)=0,"",'Providers'!E425))</f>
        <v/>
      </c>
      <c r="D426" s="34">
        <f>IF(LEN('Providers'!A425)=0,"",IF(ISNUMBER('Providers'!G425),'Providers'!G425,""))</f>
        <v/>
      </c>
      <c r="E426" s="34">
        <f>IF(LEN('Providers'!A425)=0,"",IF(ISNUMBER('Providers'!I425),'Providers'!I425,""))</f>
        <v/>
      </c>
      <c r="F426" s="34">
        <f>IF(LEN('Providers'!A425)=0,"",IF(ISNUMBER('Providers'!K425),'Providers'!K425,""))</f>
        <v/>
      </c>
      <c r="G426" s="34">
        <f>IF(LEN('Providers'!A425)=0,"",IF(ISNUMBER('Providers'!M425),'Providers'!M425,""))</f>
        <v/>
      </c>
      <c r="H426" s="34">
        <f>IF(LEN('Providers'!A425)=0,"",IF(ISNUMBER('Providers'!Q425),'Providers'!Q425,""))</f>
        <v/>
      </c>
      <c r="I426" s="34">
        <f>IF(LEN('Providers'!A425)=0,"",IF(ISNUMBER('Providers'!S425),'Providers'!S425,""))</f>
        <v/>
      </c>
      <c r="J426" s="34">
        <f>IF(LEN('Providers'!A425)=0,"",IF(ISNUMBER('Providers'!W425),'Providers'!W425,""))</f>
        <v/>
      </c>
      <c r="K426" s="34">
        <f>IF(LEN('Providers'!A425)=0,"",IF(ISNUMBER('Providers'!Y425),'Providers'!Y425,""))</f>
        <v/>
      </c>
      <c r="L426" s="34">
        <f>IF(LEN('Providers'!A425)=0,"",IF(ISNUMBER('Providers'!AA425),'Providers'!AA425,""))</f>
        <v/>
      </c>
      <c r="M426" s="34">
        <f>IF(LEN('Providers'!A425)=0,"",IF(ISNUMBER('Providers'!AD425),'Providers'!AD425,""))</f>
        <v/>
      </c>
      <c r="N426" s="35">
        <f>IF(LEN('Providers'!A425)=0,"",IF(LEN('Providers'!AG425)=0,"",'Providers'!AG425))</f>
        <v/>
      </c>
    </row>
    <row r="427">
      <c r="A427" s="32">
        <f>IF(LEN('Providers'!A426)=0,"",IF(LEN('Providers'!A426)=0,"",'Providers'!A426))</f>
        <v/>
      </c>
      <c r="B427" s="33">
        <f>IF(LEN('Providers'!A426)=0,"",IF(LEN('Providers'!B426)=0,"",'Providers'!B426))</f>
        <v/>
      </c>
      <c r="C427" s="33">
        <f>IF(LEN('Providers'!A426)=0,"",IF(LEN('Providers'!E426)=0,"",'Providers'!E426))</f>
        <v/>
      </c>
      <c r="D427" s="34">
        <f>IF(LEN('Providers'!A426)=0,"",IF(ISNUMBER('Providers'!G426),'Providers'!G426,""))</f>
        <v/>
      </c>
      <c r="E427" s="34">
        <f>IF(LEN('Providers'!A426)=0,"",IF(ISNUMBER('Providers'!I426),'Providers'!I426,""))</f>
        <v/>
      </c>
      <c r="F427" s="34">
        <f>IF(LEN('Providers'!A426)=0,"",IF(ISNUMBER('Providers'!K426),'Providers'!K426,""))</f>
        <v/>
      </c>
      <c r="G427" s="34">
        <f>IF(LEN('Providers'!A426)=0,"",IF(ISNUMBER('Providers'!M426),'Providers'!M426,""))</f>
        <v/>
      </c>
      <c r="H427" s="34">
        <f>IF(LEN('Providers'!A426)=0,"",IF(ISNUMBER('Providers'!Q426),'Providers'!Q426,""))</f>
        <v/>
      </c>
      <c r="I427" s="34">
        <f>IF(LEN('Providers'!A426)=0,"",IF(ISNUMBER('Providers'!S426),'Providers'!S426,""))</f>
        <v/>
      </c>
      <c r="J427" s="34">
        <f>IF(LEN('Providers'!A426)=0,"",IF(ISNUMBER('Providers'!W426),'Providers'!W426,""))</f>
        <v/>
      </c>
      <c r="K427" s="34">
        <f>IF(LEN('Providers'!A426)=0,"",IF(ISNUMBER('Providers'!Y426),'Providers'!Y426,""))</f>
        <v/>
      </c>
      <c r="L427" s="34">
        <f>IF(LEN('Providers'!A426)=0,"",IF(ISNUMBER('Providers'!AA426),'Providers'!AA426,""))</f>
        <v/>
      </c>
      <c r="M427" s="34">
        <f>IF(LEN('Providers'!A426)=0,"",IF(ISNUMBER('Providers'!AD426),'Providers'!AD426,""))</f>
        <v/>
      </c>
      <c r="N427" s="35">
        <f>IF(LEN('Providers'!A426)=0,"",IF(LEN('Providers'!AG426)=0,"",'Providers'!AG426))</f>
        <v/>
      </c>
    </row>
    <row r="428">
      <c r="A428" s="32">
        <f>IF(LEN('Providers'!A427)=0,"",IF(LEN('Providers'!A427)=0,"",'Providers'!A427))</f>
        <v/>
      </c>
      <c r="B428" s="33">
        <f>IF(LEN('Providers'!A427)=0,"",IF(LEN('Providers'!B427)=0,"",'Providers'!B427))</f>
        <v/>
      </c>
      <c r="C428" s="33">
        <f>IF(LEN('Providers'!A427)=0,"",IF(LEN('Providers'!E427)=0,"",'Providers'!E427))</f>
        <v/>
      </c>
      <c r="D428" s="34">
        <f>IF(LEN('Providers'!A427)=0,"",IF(ISNUMBER('Providers'!G427),'Providers'!G427,""))</f>
        <v/>
      </c>
      <c r="E428" s="34">
        <f>IF(LEN('Providers'!A427)=0,"",IF(ISNUMBER('Providers'!I427),'Providers'!I427,""))</f>
        <v/>
      </c>
      <c r="F428" s="34">
        <f>IF(LEN('Providers'!A427)=0,"",IF(ISNUMBER('Providers'!K427),'Providers'!K427,""))</f>
        <v/>
      </c>
      <c r="G428" s="34">
        <f>IF(LEN('Providers'!A427)=0,"",IF(ISNUMBER('Providers'!M427),'Providers'!M427,""))</f>
        <v/>
      </c>
      <c r="H428" s="34">
        <f>IF(LEN('Providers'!A427)=0,"",IF(ISNUMBER('Providers'!Q427),'Providers'!Q427,""))</f>
        <v/>
      </c>
      <c r="I428" s="34">
        <f>IF(LEN('Providers'!A427)=0,"",IF(ISNUMBER('Providers'!S427),'Providers'!S427,""))</f>
        <v/>
      </c>
      <c r="J428" s="34">
        <f>IF(LEN('Providers'!A427)=0,"",IF(ISNUMBER('Providers'!W427),'Providers'!W427,""))</f>
        <v/>
      </c>
      <c r="K428" s="34">
        <f>IF(LEN('Providers'!A427)=0,"",IF(ISNUMBER('Providers'!Y427),'Providers'!Y427,""))</f>
        <v/>
      </c>
      <c r="L428" s="34">
        <f>IF(LEN('Providers'!A427)=0,"",IF(ISNUMBER('Providers'!AA427),'Providers'!AA427,""))</f>
        <v/>
      </c>
      <c r="M428" s="34">
        <f>IF(LEN('Providers'!A427)=0,"",IF(ISNUMBER('Providers'!AD427),'Providers'!AD427,""))</f>
        <v/>
      </c>
      <c r="N428" s="35">
        <f>IF(LEN('Providers'!A427)=0,"",IF(LEN('Providers'!AG427)=0,"",'Providers'!AG427))</f>
        <v/>
      </c>
    </row>
    <row r="429">
      <c r="A429" s="32">
        <f>IF(LEN('Providers'!A428)=0,"",IF(LEN('Providers'!A428)=0,"",'Providers'!A428))</f>
        <v/>
      </c>
      <c r="B429" s="33">
        <f>IF(LEN('Providers'!A428)=0,"",IF(LEN('Providers'!B428)=0,"",'Providers'!B428))</f>
        <v/>
      </c>
      <c r="C429" s="33">
        <f>IF(LEN('Providers'!A428)=0,"",IF(LEN('Providers'!E428)=0,"",'Providers'!E428))</f>
        <v/>
      </c>
      <c r="D429" s="34">
        <f>IF(LEN('Providers'!A428)=0,"",IF(ISNUMBER('Providers'!G428),'Providers'!G428,""))</f>
        <v/>
      </c>
      <c r="E429" s="34">
        <f>IF(LEN('Providers'!A428)=0,"",IF(ISNUMBER('Providers'!I428),'Providers'!I428,""))</f>
        <v/>
      </c>
      <c r="F429" s="34">
        <f>IF(LEN('Providers'!A428)=0,"",IF(ISNUMBER('Providers'!K428),'Providers'!K428,""))</f>
        <v/>
      </c>
      <c r="G429" s="34">
        <f>IF(LEN('Providers'!A428)=0,"",IF(ISNUMBER('Providers'!M428),'Providers'!M428,""))</f>
        <v/>
      </c>
      <c r="H429" s="34">
        <f>IF(LEN('Providers'!A428)=0,"",IF(ISNUMBER('Providers'!Q428),'Providers'!Q428,""))</f>
        <v/>
      </c>
      <c r="I429" s="34">
        <f>IF(LEN('Providers'!A428)=0,"",IF(ISNUMBER('Providers'!S428),'Providers'!S428,""))</f>
        <v/>
      </c>
      <c r="J429" s="34">
        <f>IF(LEN('Providers'!A428)=0,"",IF(ISNUMBER('Providers'!W428),'Providers'!W428,""))</f>
        <v/>
      </c>
      <c r="K429" s="34">
        <f>IF(LEN('Providers'!A428)=0,"",IF(ISNUMBER('Providers'!Y428),'Providers'!Y428,""))</f>
        <v/>
      </c>
      <c r="L429" s="34">
        <f>IF(LEN('Providers'!A428)=0,"",IF(ISNUMBER('Providers'!AA428),'Providers'!AA428,""))</f>
        <v/>
      </c>
      <c r="M429" s="34">
        <f>IF(LEN('Providers'!A428)=0,"",IF(ISNUMBER('Providers'!AD428),'Providers'!AD428,""))</f>
        <v/>
      </c>
      <c r="N429" s="35">
        <f>IF(LEN('Providers'!A428)=0,"",IF(LEN('Providers'!AG428)=0,"",'Providers'!AG428))</f>
        <v/>
      </c>
    </row>
    <row r="430">
      <c r="A430" s="32">
        <f>IF(LEN('Providers'!A429)=0,"",IF(LEN('Providers'!A429)=0,"",'Providers'!A429))</f>
        <v/>
      </c>
      <c r="B430" s="33">
        <f>IF(LEN('Providers'!A429)=0,"",IF(LEN('Providers'!B429)=0,"",'Providers'!B429))</f>
        <v/>
      </c>
      <c r="C430" s="33">
        <f>IF(LEN('Providers'!A429)=0,"",IF(LEN('Providers'!E429)=0,"",'Providers'!E429))</f>
        <v/>
      </c>
      <c r="D430" s="34">
        <f>IF(LEN('Providers'!A429)=0,"",IF(ISNUMBER('Providers'!G429),'Providers'!G429,""))</f>
        <v/>
      </c>
      <c r="E430" s="34">
        <f>IF(LEN('Providers'!A429)=0,"",IF(ISNUMBER('Providers'!I429),'Providers'!I429,""))</f>
        <v/>
      </c>
      <c r="F430" s="34">
        <f>IF(LEN('Providers'!A429)=0,"",IF(ISNUMBER('Providers'!K429),'Providers'!K429,""))</f>
        <v/>
      </c>
      <c r="G430" s="34">
        <f>IF(LEN('Providers'!A429)=0,"",IF(ISNUMBER('Providers'!M429),'Providers'!M429,""))</f>
        <v/>
      </c>
      <c r="H430" s="34">
        <f>IF(LEN('Providers'!A429)=0,"",IF(ISNUMBER('Providers'!Q429),'Providers'!Q429,""))</f>
        <v/>
      </c>
      <c r="I430" s="34">
        <f>IF(LEN('Providers'!A429)=0,"",IF(ISNUMBER('Providers'!S429),'Providers'!S429,""))</f>
        <v/>
      </c>
      <c r="J430" s="34">
        <f>IF(LEN('Providers'!A429)=0,"",IF(ISNUMBER('Providers'!W429),'Providers'!W429,""))</f>
        <v/>
      </c>
      <c r="K430" s="34">
        <f>IF(LEN('Providers'!A429)=0,"",IF(ISNUMBER('Providers'!Y429),'Providers'!Y429,""))</f>
        <v/>
      </c>
      <c r="L430" s="34">
        <f>IF(LEN('Providers'!A429)=0,"",IF(ISNUMBER('Providers'!AA429),'Providers'!AA429,""))</f>
        <v/>
      </c>
      <c r="M430" s="34">
        <f>IF(LEN('Providers'!A429)=0,"",IF(ISNUMBER('Providers'!AD429),'Providers'!AD429,""))</f>
        <v/>
      </c>
      <c r="N430" s="35">
        <f>IF(LEN('Providers'!A429)=0,"",IF(LEN('Providers'!AG429)=0,"",'Providers'!AG429))</f>
        <v/>
      </c>
    </row>
    <row r="431">
      <c r="A431" s="32">
        <f>IF(LEN('Providers'!A430)=0,"",IF(LEN('Providers'!A430)=0,"",'Providers'!A430))</f>
        <v/>
      </c>
      <c r="B431" s="33">
        <f>IF(LEN('Providers'!A430)=0,"",IF(LEN('Providers'!B430)=0,"",'Providers'!B430))</f>
        <v/>
      </c>
      <c r="C431" s="33">
        <f>IF(LEN('Providers'!A430)=0,"",IF(LEN('Providers'!E430)=0,"",'Providers'!E430))</f>
        <v/>
      </c>
      <c r="D431" s="34">
        <f>IF(LEN('Providers'!A430)=0,"",IF(ISNUMBER('Providers'!G430),'Providers'!G430,""))</f>
        <v/>
      </c>
      <c r="E431" s="34">
        <f>IF(LEN('Providers'!A430)=0,"",IF(ISNUMBER('Providers'!I430),'Providers'!I430,""))</f>
        <v/>
      </c>
      <c r="F431" s="34">
        <f>IF(LEN('Providers'!A430)=0,"",IF(ISNUMBER('Providers'!K430),'Providers'!K430,""))</f>
        <v/>
      </c>
      <c r="G431" s="34">
        <f>IF(LEN('Providers'!A430)=0,"",IF(ISNUMBER('Providers'!M430),'Providers'!M430,""))</f>
        <v/>
      </c>
      <c r="H431" s="34">
        <f>IF(LEN('Providers'!A430)=0,"",IF(ISNUMBER('Providers'!Q430),'Providers'!Q430,""))</f>
        <v/>
      </c>
      <c r="I431" s="34">
        <f>IF(LEN('Providers'!A430)=0,"",IF(ISNUMBER('Providers'!S430),'Providers'!S430,""))</f>
        <v/>
      </c>
      <c r="J431" s="34">
        <f>IF(LEN('Providers'!A430)=0,"",IF(ISNUMBER('Providers'!W430),'Providers'!W430,""))</f>
        <v/>
      </c>
      <c r="K431" s="34">
        <f>IF(LEN('Providers'!A430)=0,"",IF(ISNUMBER('Providers'!Y430),'Providers'!Y430,""))</f>
        <v/>
      </c>
      <c r="L431" s="34">
        <f>IF(LEN('Providers'!A430)=0,"",IF(ISNUMBER('Providers'!AA430),'Providers'!AA430,""))</f>
        <v/>
      </c>
      <c r="M431" s="34">
        <f>IF(LEN('Providers'!A430)=0,"",IF(ISNUMBER('Providers'!AD430),'Providers'!AD430,""))</f>
        <v/>
      </c>
      <c r="N431" s="35">
        <f>IF(LEN('Providers'!A430)=0,"",IF(LEN('Providers'!AG430)=0,"",'Providers'!AG430))</f>
        <v/>
      </c>
    </row>
    <row r="432">
      <c r="A432" s="32">
        <f>IF(LEN('Providers'!A431)=0,"",IF(LEN('Providers'!A431)=0,"",'Providers'!A431))</f>
        <v/>
      </c>
      <c r="B432" s="33">
        <f>IF(LEN('Providers'!A431)=0,"",IF(LEN('Providers'!B431)=0,"",'Providers'!B431))</f>
        <v/>
      </c>
      <c r="C432" s="33">
        <f>IF(LEN('Providers'!A431)=0,"",IF(LEN('Providers'!E431)=0,"",'Providers'!E431))</f>
        <v/>
      </c>
      <c r="D432" s="34">
        <f>IF(LEN('Providers'!A431)=0,"",IF(ISNUMBER('Providers'!G431),'Providers'!G431,""))</f>
        <v/>
      </c>
      <c r="E432" s="34">
        <f>IF(LEN('Providers'!A431)=0,"",IF(ISNUMBER('Providers'!I431),'Providers'!I431,""))</f>
        <v/>
      </c>
      <c r="F432" s="34">
        <f>IF(LEN('Providers'!A431)=0,"",IF(ISNUMBER('Providers'!K431),'Providers'!K431,""))</f>
        <v/>
      </c>
      <c r="G432" s="34">
        <f>IF(LEN('Providers'!A431)=0,"",IF(ISNUMBER('Providers'!M431),'Providers'!M431,""))</f>
        <v/>
      </c>
      <c r="H432" s="34">
        <f>IF(LEN('Providers'!A431)=0,"",IF(ISNUMBER('Providers'!Q431),'Providers'!Q431,""))</f>
        <v/>
      </c>
      <c r="I432" s="34">
        <f>IF(LEN('Providers'!A431)=0,"",IF(ISNUMBER('Providers'!S431),'Providers'!S431,""))</f>
        <v/>
      </c>
      <c r="J432" s="34">
        <f>IF(LEN('Providers'!A431)=0,"",IF(ISNUMBER('Providers'!W431),'Providers'!W431,""))</f>
        <v/>
      </c>
      <c r="K432" s="34">
        <f>IF(LEN('Providers'!A431)=0,"",IF(ISNUMBER('Providers'!Y431),'Providers'!Y431,""))</f>
        <v/>
      </c>
      <c r="L432" s="34">
        <f>IF(LEN('Providers'!A431)=0,"",IF(ISNUMBER('Providers'!AA431),'Providers'!AA431,""))</f>
        <v/>
      </c>
      <c r="M432" s="34">
        <f>IF(LEN('Providers'!A431)=0,"",IF(ISNUMBER('Providers'!AD431),'Providers'!AD431,""))</f>
        <v/>
      </c>
      <c r="N432" s="35">
        <f>IF(LEN('Providers'!A431)=0,"",IF(LEN('Providers'!AG431)=0,"",'Providers'!AG431))</f>
        <v/>
      </c>
    </row>
    <row r="433">
      <c r="A433" s="32">
        <f>IF(LEN('Providers'!A432)=0,"",IF(LEN('Providers'!A432)=0,"",'Providers'!A432))</f>
        <v/>
      </c>
      <c r="B433" s="33">
        <f>IF(LEN('Providers'!A432)=0,"",IF(LEN('Providers'!B432)=0,"",'Providers'!B432))</f>
        <v/>
      </c>
      <c r="C433" s="33">
        <f>IF(LEN('Providers'!A432)=0,"",IF(LEN('Providers'!E432)=0,"",'Providers'!E432))</f>
        <v/>
      </c>
      <c r="D433" s="34">
        <f>IF(LEN('Providers'!A432)=0,"",IF(ISNUMBER('Providers'!G432),'Providers'!G432,""))</f>
        <v/>
      </c>
      <c r="E433" s="34">
        <f>IF(LEN('Providers'!A432)=0,"",IF(ISNUMBER('Providers'!I432),'Providers'!I432,""))</f>
        <v/>
      </c>
      <c r="F433" s="34">
        <f>IF(LEN('Providers'!A432)=0,"",IF(ISNUMBER('Providers'!K432),'Providers'!K432,""))</f>
        <v/>
      </c>
      <c r="G433" s="34">
        <f>IF(LEN('Providers'!A432)=0,"",IF(ISNUMBER('Providers'!M432),'Providers'!M432,""))</f>
        <v/>
      </c>
      <c r="H433" s="34">
        <f>IF(LEN('Providers'!A432)=0,"",IF(ISNUMBER('Providers'!Q432),'Providers'!Q432,""))</f>
        <v/>
      </c>
      <c r="I433" s="34">
        <f>IF(LEN('Providers'!A432)=0,"",IF(ISNUMBER('Providers'!S432),'Providers'!S432,""))</f>
        <v/>
      </c>
      <c r="J433" s="34">
        <f>IF(LEN('Providers'!A432)=0,"",IF(ISNUMBER('Providers'!W432),'Providers'!W432,""))</f>
        <v/>
      </c>
      <c r="K433" s="34">
        <f>IF(LEN('Providers'!A432)=0,"",IF(ISNUMBER('Providers'!Y432),'Providers'!Y432,""))</f>
        <v/>
      </c>
      <c r="L433" s="34">
        <f>IF(LEN('Providers'!A432)=0,"",IF(ISNUMBER('Providers'!AA432),'Providers'!AA432,""))</f>
        <v/>
      </c>
      <c r="M433" s="34">
        <f>IF(LEN('Providers'!A432)=0,"",IF(ISNUMBER('Providers'!AD432),'Providers'!AD432,""))</f>
        <v/>
      </c>
      <c r="N433" s="35">
        <f>IF(LEN('Providers'!A432)=0,"",IF(LEN('Providers'!AG432)=0,"",'Providers'!AG432))</f>
        <v/>
      </c>
    </row>
    <row r="434">
      <c r="A434" s="32">
        <f>IF(LEN('Providers'!A433)=0,"",IF(LEN('Providers'!A433)=0,"",'Providers'!A433))</f>
        <v/>
      </c>
      <c r="B434" s="33">
        <f>IF(LEN('Providers'!A433)=0,"",IF(LEN('Providers'!B433)=0,"",'Providers'!B433))</f>
        <v/>
      </c>
      <c r="C434" s="33">
        <f>IF(LEN('Providers'!A433)=0,"",IF(LEN('Providers'!E433)=0,"",'Providers'!E433))</f>
        <v/>
      </c>
      <c r="D434" s="34">
        <f>IF(LEN('Providers'!A433)=0,"",IF(ISNUMBER('Providers'!G433),'Providers'!G433,""))</f>
        <v/>
      </c>
      <c r="E434" s="34">
        <f>IF(LEN('Providers'!A433)=0,"",IF(ISNUMBER('Providers'!I433),'Providers'!I433,""))</f>
        <v/>
      </c>
      <c r="F434" s="34">
        <f>IF(LEN('Providers'!A433)=0,"",IF(ISNUMBER('Providers'!K433),'Providers'!K433,""))</f>
        <v/>
      </c>
      <c r="G434" s="34">
        <f>IF(LEN('Providers'!A433)=0,"",IF(ISNUMBER('Providers'!M433),'Providers'!M433,""))</f>
        <v/>
      </c>
      <c r="H434" s="34">
        <f>IF(LEN('Providers'!A433)=0,"",IF(ISNUMBER('Providers'!Q433),'Providers'!Q433,""))</f>
        <v/>
      </c>
      <c r="I434" s="34">
        <f>IF(LEN('Providers'!A433)=0,"",IF(ISNUMBER('Providers'!S433),'Providers'!S433,""))</f>
        <v/>
      </c>
      <c r="J434" s="34">
        <f>IF(LEN('Providers'!A433)=0,"",IF(ISNUMBER('Providers'!W433),'Providers'!W433,""))</f>
        <v/>
      </c>
      <c r="K434" s="34">
        <f>IF(LEN('Providers'!A433)=0,"",IF(ISNUMBER('Providers'!Y433),'Providers'!Y433,""))</f>
        <v/>
      </c>
      <c r="L434" s="34">
        <f>IF(LEN('Providers'!A433)=0,"",IF(ISNUMBER('Providers'!AA433),'Providers'!AA433,""))</f>
        <v/>
      </c>
      <c r="M434" s="34">
        <f>IF(LEN('Providers'!A433)=0,"",IF(ISNUMBER('Providers'!AD433),'Providers'!AD433,""))</f>
        <v/>
      </c>
      <c r="N434" s="35">
        <f>IF(LEN('Providers'!A433)=0,"",IF(LEN('Providers'!AG433)=0,"",'Providers'!AG433))</f>
        <v/>
      </c>
    </row>
    <row r="435">
      <c r="A435" s="32">
        <f>IF(LEN('Providers'!A434)=0,"",IF(LEN('Providers'!A434)=0,"",'Providers'!A434))</f>
        <v/>
      </c>
      <c r="B435" s="33">
        <f>IF(LEN('Providers'!A434)=0,"",IF(LEN('Providers'!B434)=0,"",'Providers'!B434))</f>
        <v/>
      </c>
      <c r="C435" s="33">
        <f>IF(LEN('Providers'!A434)=0,"",IF(LEN('Providers'!E434)=0,"",'Providers'!E434))</f>
        <v/>
      </c>
      <c r="D435" s="34">
        <f>IF(LEN('Providers'!A434)=0,"",IF(ISNUMBER('Providers'!G434),'Providers'!G434,""))</f>
        <v/>
      </c>
      <c r="E435" s="34">
        <f>IF(LEN('Providers'!A434)=0,"",IF(ISNUMBER('Providers'!I434),'Providers'!I434,""))</f>
        <v/>
      </c>
      <c r="F435" s="34">
        <f>IF(LEN('Providers'!A434)=0,"",IF(ISNUMBER('Providers'!K434),'Providers'!K434,""))</f>
        <v/>
      </c>
      <c r="G435" s="34">
        <f>IF(LEN('Providers'!A434)=0,"",IF(ISNUMBER('Providers'!M434),'Providers'!M434,""))</f>
        <v/>
      </c>
      <c r="H435" s="34">
        <f>IF(LEN('Providers'!A434)=0,"",IF(ISNUMBER('Providers'!Q434),'Providers'!Q434,""))</f>
        <v/>
      </c>
      <c r="I435" s="34">
        <f>IF(LEN('Providers'!A434)=0,"",IF(ISNUMBER('Providers'!S434),'Providers'!S434,""))</f>
        <v/>
      </c>
      <c r="J435" s="34">
        <f>IF(LEN('Providers'!A434)=0,"",IF(ISNUMBER('Providers'!W434),'Providers'!W434,""))</f>
        <v/>
      </c>
      <c r="K435" s="34">
        <f>IF(LEN('Providers'!A434)=0,"",IF(ISNUMBER('Providers'!Y434),'Providers'!Y434,""))</f>
        <v/>
      </c>
      <c r="L435" s="34">
        <f>IF(LEN('Providers'!A434)=0,"",IF(ISNUMBER('Providers'!AA434),'Providers'!AA434,""))</f>
        <v/>
      </c>
      <c r="M435" s="34">
        <f>IF(LEN('Providers'!A434)=0,"",IF(ISNUMBER('Providers'!AD434),'Providers'!AD434,""))</f>
        <v/>
      </c>
      <c r="N435" s="35">
        <f>IF(LEN('Providers'!A434)=0,"",IF(LEN('Providers'!AG434)=0,"",'Providers'!AG434))</f>
        <v/>
      </c>
    </row>
    <row r="436">
      <c r="A436" s="32">
        <f>IF(LEN('Providers'!A435)=0,"",IF(LEN('Providers'!A435)=0,"",'Providers'!A435))</f>
        <v/>
      </c>
      <c r="B436" s="33">
        <f>IF(LEN('Providers'!A435)=0,"",IF(LEN('Providers'!B435)=0,"",'Providers'!B435))</f>
        <v/>
      </c>
      <c r="C436" s="33">
        <f>IF(LEN('Providers'!A435)=0,"",IF(LEN('Providers'!E435)=0,"",'Providers'!E435))</f>
        <v/>
      </c>
      <c r="D436" s="34">
        <f>IF(LEN('Providers'!A435)=0,"",IF(ISNUMBER('Providers'!G435),'Providers'!G435,""))</f>
        <v/>
      </c>
      <c r="E436" s="34">
        <f>IF(LEN('Providers'!A435)=0,"",IF(ISNUMBER('Providers'!I435),'Providers'!I435,""))</f>
        <v/>
      </c>
      <c r="F436" s="34">
        <f>IF(LEN('Providers'!A435)=0,"",IF(ISNUMBER('Providers'!K435),'Providers'!K435,""))</f>
        <v/>
      </c>
      <c r="G436" s="34">
        <f>IF(LEN('Providers'!A435)=0,"",IF(ISNUMBER('Providers'!M435),'Providers'!M435,""))</f>
        <v/>
      </c>
      <c r="H436" s="34">
        <f>IF(LEN('Providers'!A435)=0,"",IF(ISNUMBER('Providers'!Q435),'Providers'!Q435,""))</f>
        <v/>
      </c>
      <c r="I436" s="34">
        <f>IF(LEN('Providers'!A435)=0,"",IF(ISNUMBER('Providers'!S435),'Providers'!S435,""))</f>
        <v/>
      </c>
      <c r="J436" s="34">
        <f>IF(LEN('Providers'!A435)=0,"",IF(ISNUMBER('Providers'!W435),'Providers'!W435,""))</f>
        <v/>
      </c>
      <c r="K436" s="34">
        <f>IF(LEN('Providers'!A435)=0,"",IF(ISNUMBER('Providers'!Y435),'Providers'!Y435,""))</f>
        <v/>
      </c>
      <c r="L436" s="34">
        <f>IF(LEN('Providers'!A435)=0,"",IF(ISNUMBER('Providers'!AA435),'Providers'!AA435,""))</f>
        <v/>
      </c>
      <c r="M436" s="34">
        <f>IF(LEN('Providers'!A435)=0,"",IF(ISNUMBER('Providers'!AD435),'Providers'!AD435,""))</f>
        <v/>
      </c>
      <c r="N436" s="35">
        <f>IF(LEN('Providers'!A435)=0,"",IF(LEN('Providers'!AG435)=0,"",'Providers'!AG435))</f>
        <v/>
      </c>
    </row>
    <row r="437">
      <c r="A437" s="32">
        <f>IF(LEN('Providers'!A436)=0,"",IF(LEN('Providers'!A436)=0,"",'Providers'!A436))</f>
        <v/>
      </c>
      <c r="B437" s="33">
        <f>IF(LEN('Providers'!A436)=0,"",IF(LEN('Providers'!B436)=0,"",'Providers'!B436))</f>
        <v/>
      </c>
      <c r="C437" s="33">
        <f>IF(LEN('Providers'!A436)=0,"",IF(LEN('Providers'!E436)=0,"",'Providers'!E436))</f>
        <v/>
      </c>
      <c r="D437" s="34">
        <f>IF(LEN('Providers'!A436)=0,"",IF(ISNUMBER('Providers'!G436),'Providers'!G436,""))</f>
        <v/>
      </c>
      <c r="E437" s="34">
        <f>IF(LEN('Providers'!A436)=0,"",IF(ISNUMBER('Providers'!I436),'Providers'!I436,""))</f>
        <v/>
      </c>
      <c r="F437" s="34">
        <f>IF(LEN('Providers'!A436)=0,"",IF(ISNUMBER('Providers'!K436),'Providers'!K436,""))</f>
        <v/>
      </c>
      <c r="G437" s="34">
        <f>IF(LEN('Providers'!A436)=0,"",IF(ISNUMBER('Providers'!M436),'Providers'!M436,""))</f>
        <v/>
      </c>
      <c r="H437" s="34">
        <f>IF(LEN('Providers'!A436)=0,"",IF(ISNUMBER('Providers'!Q436),'Providers'!Q436,""))</f>
        <v/>
      </c>
      <c r="I437" s="34">
        <f>IF(LEN('Providers'!A436)=0,"",IF(ISNUMBER('Providers'!S436),'Providers'!S436,""))</f>
        <v/>
      </c>
      <c r="J437" s="34">
        <f>IF(LEN('Providers'!A436)=0,"",IF(ISNUMBER('Providers'!W436),'Providers'!W436,""))</f>
        <v/>
      </c>
      <c r="K437" s="34">
        <f>IF(LEN('Providers'!A436)=0,"",IF(ISNUMBER('Providers'!Y436),'Providers'!Y436,""))</f>
        <v/>
      </c>
      <c r="L437" s="34">
        <f>IF(LEN('Providers'!A436)=0,"",IF(ISNUMBER('Providers'!AA436),'Providers'!AA436,""))</f>
        <v/>
      </c>
      <c r="M437" s="34">
        <f>IF(LEN('Providers'!A436)=0,"",IF(ISNUMBER('Providers'!AD436),'Providers'!AD436,""))</f>
        <v/>
      </c>
      <c r="N437" s="35">
        <f>IF(LEN('Providers'!A436)=0,"",IF(LEN('Providers'!AG436)=0,"",'Providers'!AG436))</f>
        <v/>
      </c>
    </row>
    <row r="438">
      <c r="A438" s="32">
        <f>IF(LEN('Providers'!A437)=0,"",IF(LEN('Providers'!A437)=0,"",'Providers'!A437))</f>
        <v/>
      </c>
      <c r="B438" s="33">
        <f>IF(LEN('Providers'!A437)=0,"",IF(LEN('Providers'!B437)=0,"",'Providers'!B437))</f>
        <v/>
      </c>
      <c r="C438" s="33">
        <f>IF(LEN('Providers'!A437)=0,"",IF(LEN('Providers'!E437)=0,"",'Providers'!E437))</f>
        <v/>
      </c>
      <c r="D438" s="34">
        <f>IF(LEN('Providers'!A437)=0,"",IF(ISNUMBER('Providers'!G437),'Providers'!G437,""))</f>
        <v/>
      </c>
      <c r="E438" s="34">
        <f>IF(LEN('Providers'!A437)=0,"",IF(ISNUMBER('Providers'!I437),'Providers'!I437,""))</f>
        <v/>
      </c>
      <c r="F438" s="34">
        <f>IF(LEN('Providers'!A437)=0,"",IF(ISNUMBER('Providers'!K437),'Providers'!K437,""))</f>
        <v/>
      </c>
      <c r="G438" s="34">
        <f>IF(LEN('Providers'!A437)=0,"",IF(ISNUMBER('Providers'!M437),'Providers'!M437,""))</f>
        <v/>
      </c>
      <c r="H438" s="34">
        <f>IF(LEN('Providers'!A437)=0,"",IF(ISNUMBER('Providers'!Q437),'Providers'!Q437,""))</f>
        <v/>
      </c>
      <c r="I438" s="34">
        <f>IF(LEN('Providers'!A437)=0,"",IF(ISNUMBER('Providers'!S437),'Providers'!S437,""))</f>
        <v/>
      </c>
      <c r="J438" s="34">
        <f>IF(LEN('Providers'!A437)=0,"",IF(ISNUMBER('Providers'!W437),'Providers'!W437,""))</f>
        <v/>
      </c>
      <c r="K438" s="34">
        <f>IF(LEN('Providers'!A437)=0,"",IF(ISNUMBER('Providers'!Y437),'Providers'!Y437,""))</f>
        <v/>
      </c>
      <c r="L438" s="34">
        <f>IF(LEN('Providers'!A437)=0,"",IF(ISNUMBER('Providers'!AA437),'Providers'!AA437,""))</f>
        <v/>
      </c>
      <c r="M438" s="34">
        <f>IF(LEN('Providers'!A437)=0,"",IF(ISNUMBER('Providers'!AD437),'Providers'!AD437,""))</f>
        <v/>
      </c>
      <c r="N438" s="35">
        <f>IF(LEN('Providers'!A437)=0,"",IF(LEN('Providers'!AG437)=0,"",'Providers'!AG437))</f>
        <v/>
      </c>
    </row>
    <row r="439">
      <c r="A439" s="32">
        <f>IF(LEN('Providers'!A438)=0,"",IF(LEN('Providers'!A438)=0,"",'Providers'!A438))</f>
        <v/>
      </c>
      <c r="B439" s="33">
        <f>IF(LEN('Providers'!A438)=0,"",IF(LEN('Providers'!B438)=0,"",'Providers'!B438))</f>
        <v/>
      </c>
      <c r="C439" s="33">
        <f>IF(LEN('Providers'!A438)=0,"",IF(LEN('Providers'!E438)=0,"",'Providers'!E438))</f>
        <v/>
      </c>
      <c r="D439" s="34">
        <f>IF(LEN('Providers'!A438)=0,"",IF(ISNUMBER('Providers'!G438),'Providers'!G438,""))</f>
        <v/>
      </c>
      <c r="E439" s="34">
        <f>IF(LEN('Providers'!A438)=0,"",IF(ISNUMBER('Providers'!I438),'Providers'!I438,""))</f>
        <v/>
      </c>
      <c r="F439" s="34">
        <f>IF(LEN('Providers'!A438)=0,"",IF(ISNUMBER('Providers'!K438),'Providers'!K438,""))</f>
        <v/>
      </c>
      <c r="G439" s="34">
        <f>IF(LEN('Providers'!A438)=0,"",IF(ISNUMBER('Providers'!M438),'Providers'!M438,""))</f>
        <v/>
      </c>
      <c r="H439" s="34">
        <f>IF(LEN('Providers'!A438)=0,"",IF(ISNUMBER('Providers'!Q438),'Providers'!Q438,""))</f>
        <v/>
      </c>
      <c r="I439" s="34">
        <f>IF(LEN('Providers'!A438)=0,"",IF(ISNUMBER('Providers'!S438),'Providers'!S438,""))</f>
        <v/>
      </c>
      <c r="J439" s="34">
        <f>IF(LEN('Providers'!A438)=0,"",IF(ISNUMBER('Providers'!W438),'Providers'!W438,""))</f>
        <v/>
      </c>
      <c r="K439" s="34">
        <f>IF(LEN('Providers'!A438)=0,"",IF(ISNUMBER('Providers'!Y438),'Providers'!Y438,""))</f>
        <v/>
      </c>
      <c r="L439" s="34">
        <f>IF(LEN('Providers'!A438)=0,"",IF(ISNUMBER('Providers'!AA438),'Providers'!AA438,""))</f>
        <v/>
      </c>
      <c r="M439" s="34">
        <f>IF(LEN('Providers'!A438)=0,"",IF(ISNUMBER('Providers'!AD438),'Providers'!AD438,""))</f>
        <v/>
      </c>
      <c r="N439" s="35">
        <f>IF(LEN('Providers'!A438)=0,"",IF(LEN('Providers'!AG438)=0,"",'Providers'!AG438))</f>
        <v/>
      </c>
    </row>
    <row r="440">
      <c r="A440" s="32">
        <f>IF(LEN('Providers'!A439)=0,"",IF(LEN('Providers'!A439)=0,"",'Providers'!A439))</f>
        <v/>
      </c>
      <c r="B440" s="33">
        <f>IF(LEN('Providers'!A439)=0,"",IF(LEN('Providers'!B439)=0,"",'Providers'!B439))</f>
        <v/>
      </c>
      <c r="C440" s="33">
        <f>IF(LEN('Providers'!A439)=0,"",IF(LEN('Providers'!E439)=0,"",'Providers'!E439))</f>
        <v/>
      </c>
      <c r="D440" s="34">
        <f>IF(LEN('Providers'!A439)=0,"",IF(ISNUMBER('Providers'!G439),'Providers'!G439,""))</f>
        <v/>
      </c>
      <c r="E440" s="34">
        <f>IF(LEN('Providers'!A439)=0,"",IF(ISNUMBER('Providers'!I439),'Providers'!I439,""))</f>
        <v/>
      </c>
      <c r="F440" s="34">
        <f>IF(LEN('Providers'!A439)=0,"",IF(ISNUMBER('Providers'!K439),'Providers'!K439,""))</f>
        <v/>
      </c>
      <c r="G440" s="34">
        <f>IF(LEN('Providers'!A439)=0,"",IF(ISNUMBER('Providers'!M439),'Providers'!M439,""))</f>
        <v/>
      </c>
      <c r="H440" s="34">
        <f>IF(LEN('Providers'!A439)=0,"",IF(ISNUMBER('Providers'!Q439),'Providers'!Q439,""))</f>
        <v/>
      </c>
      <c r="I440" s="34">
        <f>IF(LEN('Providers'!A439)=0,"",IF(ISNUMBER('Providers'!S439),'Providers'!S439,""))</f>
        <v/>
      </c>
      <c r="J440" s="34">
        <f>IF(LEN('Providers'!A439)=0,"",IF(ISNUMBER('Providers'!W439),'Providers'!W439,""))</f>
        <v/>
      </c>
      <c r="K440" s="34">
        <f>IF(LEN('Providers'!A439)=0,"",IF(ISNUMBER('Providers'!Y439),'Providers'!Y439,""))</f>
        <v/>
      </c>
      <c r="L440" s="34">
        <f>IF(LEN('Providers'!A439)=0,"",IF(ISNUMBER('Providers'!AA439),'Providers'!AA439,""))</f>
        <v/>
      </c>
      <c r="M440" s="34">
        <f>IF(LEN('Providers'!A439)=0,"",IF(ISNUMBER('Providers'!AD439),'Providers'!AD439,""))</f>
        <v/>
      </c>
      <c r="N440" s="35">
        <f>IF(LEN('Providers'!A439)=0,"",IF(LEN('Providers'!AG439)=0,"",'Providers'!AG439))</f>
        <v/>
      </c>
    </row>
    <row r="441">
      <c r="A441" s="32">
        <f>IF(LEN('Providers'!A440)=0,"",IF(LEN('Providers'!A440)=0,"",'Providers'!A440))</f>
        <v/>
      </c>
      <c r="B441" s="33">
        <f>IF(LEN('Providers'!A440)=0,"",IF(LEN('Providers'!B440)=0,"",'Providers'!B440))</f>
        <v/>
      </c>
      <c r="C441" s="33">
        <f>IF(LEN('Providers'!A440)=0,"",IF(LEN('Providers'!E440)=0,"",'Providers'!E440))</f>
        <v/>
      </c>
      <c r="D441" s="34">
        <f>IF(LEN('Providers'!A440)=0,"",IF(ISNUMBER('Providers'!G440),'Providers'!G440,""))</f>
        <v/>
      </c>
      <c r="E441" s="34">
        <f>IF(LEN('Providers'!A440)=0,"",IF(ISNUMBER('Providers'!I440),'Providers'!I440,""))</f>
        <v/>
      </c>
      <c r="F441" s="34">
        <f>IF(LEN('Providers'!A440)=0,"",IF(ISNUMBER('Providers'!K440),'Providers'!K440,""))</f>
        <v/>
      </c>
      <c r="G441" s="34">
        <f>IF(LEN('Providers'!A440)=0,"",IF(ISNUMBER('Providers'!M440),'Providers'!M440,""))</f>
        <v/>
      </c>
      <c r="H441" s="34">
        <f>IF(LEN('Providers'!A440)=0,"",IF(ISNUMBER('Providers'!Q440),'Providers'!Q440,""))</f>
        <v/>
      </c>
      <c r="I441" s="34">
        <f>IF(LEN('Providers'!A440)=0,"",IF(ISNUMBER('Providers'!S440),'Providers'!S440,""))</f>
        <v/>
      </c>
      <c r="J441" s="34">
        <f>IF(LEN('Providers'!A440)=0,"",IF(ISNUMBER('Providers'!W440),'Providers'!W440,""))</f>
        <v/>
      </c>
      <c r="K441" s="34">
        <f>IF(LEN('Providers'!A440)=0,"",IF(ISNUMBER('Providers'!Y440),'Providers'!Y440,""))</f>
        <v/>
      </c>
      <c r="L441" s="34">
        <f>IF(LEN('Providers'!A440)=0,"",IF(ISNUMBER('Providers'!AA440),'Providers'!AA440,""))</f>
        <v/>
      </c>
      <c r="M441" s="34">
        <f>IF(LEN('Providers'!A440)=0,"",IF(ISNUMBER('Providers'!AD440),'Providers'!AD440,""))</f>
        <v/>
      </c>
      <c r="N441" s="35">
        <f>IF(LEN('Providers'!A440)=0,"",IF(LEN('Providers'!AG440)=0,"",'Providers'!AG440))</f>
        <v/>
      </c>
    </row>
    <row r="442">
      <c r="A442" s="32">
        <f>IF(LEN('Providers'!A441)=0,"",IF(LEN('Providers'!A441)=0,"",'Providers'!A441))</f>
        <v/>
      </c>
      <c r="B442" s="33">
        <f>IF(LEN('Providers'!A441)=0,"",IF(LEN('Providers'!B441)=0,"",'Providers'!B441))</f>
        <v/>
      </c>
      <c r="C442" s="33">
        <f>IF(LEN('Providers'!A441)=0,"",IF(LEN('Providers'!E441)=0,"",'Providers'!E441))</f>
        <v/>
      </c>
      <c r="D442" s="34">
        <f>IF(LEN('Providers'!A441)=0,"",IF(ISNUMBER('Providers'!G441),'Providers'!G441,""))</f>
        <v/>
      </c>
      <c r="E442" s="34">
        <f>IF(LEN('Providers'!A441)=0,"",IF(ISNUMBER('Providers'!I441),'Providers'!I441,""))</f>
        <v/>
      </c>
      <c r="F442" s="34">
        <f>IF(LEN('Providers'!A441)=0,"",IF(ISNUMBER('Providers'!K441),'Providers'!K441,""))</f>
        <v/>
      </c>
      <c r="G442" s="34">
        <f>IF(LEN('Providers'!A441)=0,"",IF(ISNUMBER('Providers'!M441),'Providers'!M441,""))</f>
        <v/>
      </c>
      <c r="H442" s="34">
        <f>IF(LEN('Providers'!A441)=0,"",IF(ISNUMBER('Providers'!Q441),'Providers'!Q441,""))</f>
        <v/>
      </c>
      <c r="I442" s="34">
        <f>IF(LEN('Providers'!A441)=0,"",IF(ISNUMBER('Providers'!S441),'Providers'!S441,""))</f>
        <v/>
      </c>
      <c r="J442" s="34">
        <f>IF(LEN('Providers'!A441)=0,"",IF(ISNUMBER('Providers'!W441),'Providers'!W441,""))</f>
        <v/>
      </c>
      <c r="K442" s="34">
        <f>IF(LEN('Providers'!A441)=0,"",IF(ISNUMBER('Providers'!Y441),'Providers'!Y441,""))</f>
        <v/>
      </c>
      <c r="L442" s="34">
        <f>IF(LEN('Providers'!A441)=0,"",IF(ISNUMBER('Providers'!AA441),'Providers'!AA441,""))</f>
        <v/>
      </c>
      <c r="M442" s="34">
        <f>IF(LEN('Providers'!A441)=0,"",IF(ISNUMBER('Providers'!AD441),'Providers'!AD441,""))</f>
        <v/>
      </c>
      <c r="N442" s="35">
        <f>IF(LEN('Providers'!A441)=0,"",IF(LEN('Providers'!AG441)=0,"",'Providers'!AG441))</f>
        <v/>
      </c>
    </row>
    <row r="443">
      <c r="A443" s="32">
        <f>IF(LEN('Providers'!A442)=0,"",IF(LEN('Providers'!A442)=0,"",'Providers'!A442))</f>
        <v/>
      </c>
      <c r="B443" s="33">
        <f>IF(LEN('Providers'!A442)=0,"",IF(LEN('Providers'!B442)=0,"",'Providers'!B442))</f>
        <v/>
      </c>
      <c r="C443" s="33">
        <f>IF(LEN('Providers'!A442)=0,"",IF(LEN('Providers'!E442)=0,"",'Providers'!E442))</f>
        <v/>
      </c>
      <c r="D443" s="34">
        <f>IF(LEN('Providers'!A442)=0,"",IF(ISNUMBER('Providers'!G442),'Providers'!G442,""))</f>
        <v/>
      </c>
      <c r="E443" s="34">
        <f>IF(LEN('Providers'!A442)=0,"",IF(ISNUMBER('Providers'!I442),'Providers'!I442,""))</f>
        <v/>
      </c>
      <c r="F443" s="34">
        <f>IF(LEN('Providers'!A442)=0,"",IF(ISNUMBER('Providers'!K442),'Providers'!K442,""))</f>
        <v/>
      </c>
      <c r="G443" s="34">
        <f>IF(LEN('Providers'!A442)=0,"",IF(ISNUMBER('Providers'!M442),'Providers'!M442,""))</f>
        <v/>
      </c>
      <c r="H443" s="34">
        <f>IF(LEN('Providers'!A442)=0,"",IF(ISNUMBER('Providers'!Q442),'Providers'!Q442,""))</f>
        <v/>
      </c>
      <c r="I443" s="34">
        <f>IF(LEN('Providers'!A442)=0,"",IF(ISNUMBER('Providers'!S442),'Providers'!S442,""))</f>
        <v/>
      </c>
      <c r="J443" s="34">
        <f>IF(LEN('Providers'!A442)=0,"",IF(ISNUMBER('Providers'!W442),'Providers'!W442,""))</f>
        <v/>
      </c>
      <c r="K443" s="34">
        <f>IF(LEN('Providers'!A442)=0,"",IF(ISNUMBER('Providers'!Y442),'Providers'!Y442,""))</f>
        <v/>
      </c>
      <c r="L443" s="34">
        <f>IF(LEN('Providers'!A442)=0,"",IF(ISNUMBER('Providers'!AA442),'Providers'!AA442,""))</f>
        <v/>
      </c>
      <c r="M443" s="34">
        <f>IF(LEN('Providers'!A442)=0,"",IF(ISNUMBER('Providers'!AD442),'Providers'!AD442,""))</f>
        <v/>
      </c>
      <c r="N443" s="35">
        <f>IF(LEN('Providers'!A442)=0,"",IF(LEN('Providers'!AG442)=0,"",'Providers'!AG442))</f>
        <v/>
      </c>
    </row>
    <row r="444">
      <c r="A444" s="32">
        <f>IF(LEN('Providers'!A443)=0,"",IF(LEN('Providers'!A443)=0,"",'Providers'!A443))</f>
        <v/>
      </c>
      <c r="B444" s="33">
        <f>IF(LEN('Providers'!A443)=0,"",IF(LEN('Providers'!B443)=0,"",'Providers'!B443))</f>
        <v/>
      </c>
      <c r="C444" s="33">
        <f>IF(LEN('Providers'!A443)=0,"",IF(LEN('Providers'!E443)=0,"",'Providers'!E443))</f>
        <v/>
      </c>
      <c r="D444" s="34">
        <f>IF(LEN('Providers'!A443)=0,"",IF(ISNUMBER('Providers'!G443),'Providers'!G443,""))</f>
        <v/>
      </c>
      <c r="E444" s="34">
        <f>IF(LEN('Providers'!A443)=0,"",IF(ISNUMBER('Providers'!I443),'Providers'!I443,""))</f>
        <v/>
      </c>
      <c r="F444" s="34">
        <f>IF(LEN('Providers'!A443)=0,"",IF(ISNUMBER('Providers'!K443),'Providers'!K443,""))</f>
        <v/>
      </c>
      <c r="G444" s="34">
        <f>IF(LEN('Providers'!A443)=0,"",IF(ISNUMBER('Providers'!M443),'Providers'!M443,""))</f>
        <v/>
      </c>
      <c r="H444" s="34">
        <f>IF(LEN('Providers'!A443)=0,"",IF(ISNUMBER('Providers'!Q443),'Providers'!Q443,""))</f>
        <v/>
      </c>
      <c r="I444" s="34">
        <f>IF(LEN('Providers'!A443)=0,"",IF(ISNUMBER('Providers'!S443),'Providers'!S443,""))</f>
        <v/>
      </c>
      <c r="J444" s="34">
        <f>IF(LEN('Providers'!A443)=0,"",IF(ISNUMBER('Providers'!W443),'Providers'!W443,""))</f>
        <v/>
      </c>
      <c r="K444" s="34">
        <f>IF(LEN('Providers'!A443)=0,"",IF(ISNUMBER('Providers'!Y443),'Providers'!Y443,""))</f>
        <v/>
      </c>
      <c r="L444" s="34">
        <f>IF(LEN('Providers'!A443)=0,"",IF(ISNUMBER('Providers'!AA443),'Providers'!AA443,""))</f>
        <v/>
      </c>
      <c r="M444" s="34">
        <f>IF(LEN('Providers'!A443)=0,"",IF(ISNUMBER('Providers'!AD443),'Providers'!AD443,""))</f>
        <v/>
      </c>
      <c r="N444" s="35">
        <f>IF(LEN('Providers'!A443)=0,"",IF(LEN('Providers'!AG443)=0,"",'Providers'!AG443))</f>
        <v/>
      </c>
    </row>
    <row r="445">
      <c r="A445" s="32">
        <f>IF(LEN('Providers'!A444)=0,"",IF(LEN('Providers'!A444)=0,"",'Providers'!A444))</f>
        <v/>
      </c>
      <c r="B445" s="33">
        <f>IF(LEN('Providers'!A444)=0,"",IF(LEN('Providers'!B444)=0,"",'Providers'!B444))</f>
        <v/>
      </c>
      <c r="C445" s="33">
        <f>IF(LEN('Providers'!A444)=0,"",IF(LEN('Providers'!E444)=0,"",'Providers'!E444))</f>
        <v/>
      </c>
      <c r="D445" s="34">
        <f>IF(LEN('Providers'!A444)=0,"",IF(ISNUMBER('Providers'!G444),'Providers'!G444,""))</f>
        <v/>
      </c>
      <c r="E445" s="34">
        <f>IF(LEN('Providers'!A444)=0,"",IF(ISNUMBER('Providers'!I444),'Providers'!I444,""))</f>
        <v/>
      </c>
      <c r="F445" s="34">
        <f>IF(LEN('Providers'!A444)=0,"",IF(ISNUMBER('Providers'!K444),'Providers'!K444,""))</f>
        <v/>
      </c>
      <c r="G445" s="34">
        <f>IF(LEN('Providers'!A444)=0,"",IF(ISNUMBER('Providers'!M444),'Providers'!M444,""))</f>
        <v/>
      </c>
      <c r="H445" s="34">
        <f>IF(LEN('Providers'!A444)=0,"",IF(ISNUMBER('Providers'!Q444),'Providers'!Q444,""))</f>
        <v/>
      </c>
      <c r="I445" s="34">
        <f>IF(LEN('Providers'!A444)=0,"",IF(ISNUMBER('Providers'!S444),'Providers'!S444,""))</f>
        <v/>
      </c>
      <c r="J445" s="34">
        <f>IF(LEN('Providers'!A444)=0,"",IF(ISNUMBER('Providers'!W444),'Providers'!W444,""))</f>
        <v/>
      </c>
      <c r="K445" s="34">
        <f>IF(LEN('Providers'!A444)=0,"",IF(ISNUMBER('Providers'!Y444),'Providers'!Y444,""))</f>
        <v/>
      </c>
      <c r="L445" s="34">
        <f>IF(LEN('Providers'!A444)=0,"",IF(ISNUMBER('Providers'!AA444),'Providers'!AA444,""))</f>
        <v/>
      </c>
      <c r="M445" s="34">
        <f>IF(LEN('Providers'!A444)=0,"",IF(ISNUMBER('Providers'!AD444),'Providers'!AD444,""))</f>
        <v/>
      </c>
      <c r="N445" s="35">
        <f>IF(LEN('Providers'!A444)=0,"",IF(LEN('Providers'!AG444)=0,"",'Providers'!AG444))</f>
        <v/>
      </c>
    </row>
    <row r="446">
      <c r="A446" s="32">
        <f>IF(LEN('Providers'!A445)=0,"",IF(LEN('Providers'!A445)=0,"",'Providers'!A445))</f>
        <v/>
      </c>
      <c r="B446" s="33">
        <f>IF(LEN('Providers'!A445)=0,"",IF(LEN('Providers'!B445)=0,"",'Providers'!B445))</f>
        <v/>
      </c>
      <c r="C446" s="33">
        <f>IF(LEN('Providers'!A445)=0,"",IF(LEN('Providers'!E445)=0,"",'Providers'!E445))</f>
        <v/>
      </c>
      <c r="D446" s="34">
        <f>IF(LEN('Providers'!A445)=0,"",IF(ISNUMBER('Providers'!G445),'Providers'!G445,""))</f>
        <v/>
      </c>
      <c r="E446" s="34">
        <f>IF(LEN('Providers'!A445)=0,"",IF(ISNUMBER('Providers'!I445),'Providers'!I445,""))</f>
        <v/>
      </c>
      <c r="F446" s="34">
        <f>IF(LEN('Providers'!A445)=0,"",IF(ISNUMBER('Providers'!K445),'Providers'!K445,""))</f>
        <v/>
      </c>
      <c r="G446" s="34">
        <f>IF(LEN('Providers'!A445)=0,"",IF(ISNUMBER('Providers'!M445),'Providers'!M445,""))</f>
        <v/>
      </c>
      <c r="H446" s="34">
        <f>IF(LEN('Providers'!A445)=0,"",IF(ISNUMBER('Providers'!Q445),'Providers'!Q445,""))</f>
        <v/>
      </c>
      <c r="I446" s="34">
        <f>IF(LEN('Providers'!A445)=0,"",IF(ISNUMBER('Providers'!S445),'Providers'!S445,""))</f>
        <v/>
      </c>
      <c r="J446" s="34">
        <f>IF(LEN('Providers'!A445)=0,"",IF(ISNUMBER('Providers'!W445),'Providers'!W445,""))</f>
        <v/>
      </c>
      <c r="K446" s="34">
        <f>IF(LEN('Providers'!A445)=0,"",IF(ISNUMBER('Providers'!Y445),'Providers'!Y445,""))</f>
        <v/>
      </c>
      <c r="L446" s="34">
        <f>IF(LEN('Providers'!A445)=0,"",IF(ISNUMBER('Providers'!AA445),'Providers'!AA445,""))</f>
        <v/>
      </c>
      <c r="M446" s="34">
        <f>IF(LEN('Providers'!A445)=0,"",IF(ISNUMBER('Providers'!AD445),'Providers'!AD445,""))</f>
        <v/>
      </c>
      <c r="N446" s="35">
        <f>IF(LEN('Providers'!A445)=0,"",IF(LEN('Providers'!AG445)=0,"",'Providers'!AG445))</f>
        <v/>
      </c>
    </row>
    <row r="447">
      <c r="A447" s="32">
        <f>IF(LEN('Providers'!A446)=0,"",IF(LEN('Providers'!A446)=0,"",'Providers'!A446))</f>
        <v/>
      </c>
      <c r="B447" s="33">
        <f>IF(LEN('Providers'!A446)=0,"",IF(LEN('Providers'!B446)=0,"",'Providers'!B446))</f>
        <v/>
      </c>
      <c r="C447" s="33">
        <f>IF(LEN('Providers'!A446)=0,"",IF(LEN('Providers'!E446)=0,"",'Providers'!E446))</f>
        <v/>
      </c>
      <c r="D447" s="34">
        <f>IF(LEN('Providers'!A446)=0,"",IF(ISNUMBER('Providers'!G446),'Providers'!G446,""))</f>
        <v/>
      </c>
      <c r="E447" s="34">
        <f>IF(LEN('Providers'!A446)=0,"",IF(ISNUMBER('Providers'!I446),'Providers'!I446,""))</f>
        <v/>
      </c>
      <c r="F447" s="34">
        <f>IF(LEN('Providers'!A446)=0,"",IF(ISNUMBER('Providers'!K446),'Providers'!K446,""))</f>
        <v/>
      </c>
      <c r="G447" s="34">
        <f>IF(LEN('Providers'!A446)=0,"",IF(ISNUMBER('Providers'!M446),'Providers'!M446,""))</f>
        <v/>
      </c>
      <c r="H447" s="34">
        <f>IF(LEN('Providers'!A446)=0,"",IF(ISNUMBER('Providers'!Q446),'Providers'!Q446,""))</f>
        <v/>
      </c>
      <c r="I447" s="34">
        <f>IF(LEN('Providers'!A446)=0,"",IF(ISNUMBER('Providers'!S446),'Providers'!S446,""))</f>
        <v/>
      </c>
      <c r="J447" s="34">
        <f>IF(LEN('Providers'!A446)=0,"",IF(ISNUMBER('Providers'!W446),'Providers'!W446,""))</f>
        <v/>
      </c>
      <c r="K447" s="34">
        <f>IF(LEN('Providers'!A446)=0,"",IF(ISNUMBER('Providers'!Y446),'Providers'!Y446,""))</f>
        <v/>
      </c>
      <c r="L447" s="34">
        <f>IF(LEN('Providers'!A446)=0,"",IF(ISNUMBER('Providers'!AA446),'Providers'!AA446,""))</f>
        <v/>
      </c>
      <c r="M447" s="34">
        <f>IF(LEN('Providers'!A446)=0,"",IF(ISNUMBER('Providers'!AD446),'Providers'!AD446,""))</f>
        <v/>
      </c>
      <c r="N447" s="35">
        <f>IF(LEN('Providers'!A446)=0,"",IF(LEN('Providers'!AG446)=0,"",'Providers'!AG446))</f>
        <v/>
      </c>
    </row>
    <row r="448">
      <c r="A448" s="32">
        <f>IF(LEN('Providers'!A447)=0,"",IF(LEN('Providers'!A447)=0,"",'Providers'!A447))</f>
        <v/>
      </c>
      <c r="B448" s="33">
        <f>IF(LEN('Providers'!A447)=0,"",IF(LEN('Providers'!B447)=0,"",'Providers'!B447))</f>
        <v/>
      </c>
      <c r="C448" s="33">
        <f>IF(LEN('Providers'!A447)=0,"",IF(LEN('Providers'!E447)=0,"",'Providers'!E447))</f>
        <v/>
      </c>
      <c r="D448" s="34">
        <f>IF(LEN('Providers'!A447)=0,"",IF(ISNUMBER('Providers'!G447),'Providers'!G447,""))</f>
        <v/>
      </c>
      <c r="E448" s="34">
        <f>IF(LEN('Providers'!A447)=0,"",IF(ISNUMBER('Providers'!I447),'Providers'!I447,""))</f>
        <v/>
      </c>
      <c r="F448" s="34">
        <f>IF(LEN('Providers'!A447)=0,"",IF(ISNUMBER('Providers'!K447),'Providers'!K447,""))</f>
        <v/>
      </c>
      <c r="G448" s="34">
        <f>IF(LEN('Providers'!A447)=0,"",IF(ISNUMBER('Providers'!M447),'Providers'!M447,""))</f>
        <v/>
      </c>
      <c r="H448" s="34">
        <f>IF(LEN('Providers'!A447)=0,"",IF(ISNUMBER('Providers'!Q447),'Providers'!Q447,""))</f>
        <v/>
      </c>
      <c r="I448" s="34">
        <f>IF(LEN('Providers'!A447)=0,"",IF(ISNUMBER('Providers'!S447),'Providers'!S447,""))</f>
        <v/>
      </c>
      <c r="J448" s="34">
        <f>IF(LEN('Providers'!A447)=0,"",IF(ISNUMBER('Providers'!W447),'Providers'!W447,""))</f>
        <v/>
      </c>
      <c r="K448" s="34">
        <f>IF(LEN('Providers'!A447)=0,"",IF(ISNUMBER('Providers'!Y447),'Providers'!Y447,""))</f>
        <v/>
      </c>
      <c r="L448" s="34">
        <f>IF(LEN('Providers'!A447)=0,"",IF(ISNUMBER('Providers'!AA447),'Providers'!AA447,""))</f>
        <v/>
      </c>
      <c r="M448" s="34">
        <f>IF(LEN('Providers'!A447)=0,"",IF(ISNUMBER('Providers'!AD447),'Providers'!AD447,""))</f>
        <v/>
      </c>
      <c r="N448" s="35">
        <f>IF(LEN('Providers'!A447)=0,"",IF(LEN('Providers'!AG447)=0,"",'Providers'!AG447))</f>
        <v/>
      </c>
    </row>
    <row r="449">
      <c r="A449" s="32">
        <f>IF(LEN('Providers'!A448)=0,"",IF(LEN('Providers'!A448)=0,"",'Providers'!A448))</f>
        <v/>
      </c>
      <c r="B449" s="33">
        <f>IF(LEN('Providers'!A448)=0,"",IF(LEN('Providers'!B448)=0,"",'Providers'!B448))</f>
        <v/>
      </c>
      <c r="C449" s="33">
        <f>IF(LEN('Providers'!A448)=0,"",IF(LEN('Providers'!E448)=0,"",'Providers'!E448))</f>
        <v/>
      </c>
      <c r="D449" s="34">
        <f>IF(LEN('Providers'!A448)=0,"",IF(ISNUMBER('Providers'!G448),'Providers'!G448,""))</f>
        <v/>
      </c>
      <c r="E449" s="34">
        <f>IF(LEN('Providers'!A448)=0,"",IF(ISNUMBER('Providers'!I448),'Providers'!I448,""))</f>
        <v/>
      </c>
      <c r="F449" s="34">
        <f>IF(LEN('Providers'!A448)=0,"",IF(ISNUMBER('Providers'!K448),'Providers'!K448,""))</f>
        <v/>
      </c>
      <c r="G449" s="34">
        <f>IF(LEN('Providers'!A448)=0,"",IF(ISNUMBER('Providers'!M448),'Providers'!M448,""))</f>
        <v/>
      </c>
      <c r="H449" s="34">
        <f>IF(LEN('Providers'!A448)=0,"",IF(ISNUMBER('Providers'!Q448),'Providers'!Q448,""))</f>
        <v/>
      </c>
      <c r="I449" s="34">
        <f>IF(LEN('Providers'!A448)=0,"",IF(ISNUMBER('Providers'!S448),'Providers'!S448,""))</f>
        <v/>
      </c>
      <c r="J449" s="34">
        <f>IF(LEN('Providers'!A448)=0,"",IF(ISNUMBER('Providers'!W448),'Providers'!W448,""))</f>
        <v/>
      </c>
      <c r="K449" s="34">
        <f>IF(LEN('Providers'!A448)=0,"",IF(ISNUMBER('Providers'!Y448),'Providers'!Y448,""))</f>
        <v/>
      </c>
      <c r="L449" s="34">
        <f>IF(LEN('Providers'!A448)=0,"",IF(ISNUMBER('Providers'!AA448),'Providers'!AA448,""))</f>
        <v/>
      </c>
      <c r="M449" s="34">
        <f>IF(LEN('Providers'!A448)=0,"",IF(ISNUMBER('Providers'!AD448),'Providers'!AD448,""))</f>
        <v/>
      </c>
      <c r="N449" s="35">
        <f>IF(LEN('Providers'!A448)=0,"",IF(LEN('Providers'!AG448)=0,"",'Providers'!AG448))</f>
        <v/>
      </c>
    </row>
    <row r="450">
      <c r="A450" s="32">
        <f>IF(LEN('Providers'!A449)=0,"",IF(LEN('Providers'!A449)=0,"",'Providers'!A449))</f>
        <v/>
      </c>
      <c r="B450" s="33">
        <f>IF(LEN('Providers'!A449)=0,"",IF(LEN('Providers'!B449)=0,"",'Providers'!B449))</f>
        <v/>
      </c>
      <c r="C450" s="33">
        <f>IF(LEN('Providers'!A449)=0,"",IF(LEN('Providers'!E449)=0,"",'Providers'!E449))</f>
        <v/>
      </c>
      <c r="D450" s="34">
        <f>IF(LEN('Providers'!A449)=0,"",IF(ISNUMBER('Providers'!G449),'Providers'!G449,""))</f>
        <v/>
      </c>
      <c r="E450" s="34">
        <f>IF(LEN('Providers'!A449)=0,"",IF(ISNUMBER('Providers'!I449),'Providers'!I449,""))</f>
        <v/>
      </c>
      <c r="F450" s="34">
        <f>IF(LEN('Providers'!A449)=0,"",IF(ISNUMBER('Providers'!K449),'Providers'!K449,""))</f>
        <v/>
      </c>
      <c r="G450" s="34">
        <f>IF(LEN('Providers'!A449)=0,"",IF(ISNUMBER('Providers'!M449),'Providers'!M449,""))</f>
        <v/>
      </c>
      <c r="H450" s="34">
        <f>IF(LEN('Providers'!A449)=0,"",IF(ISNUMBER('Providers'!Q449),'Providers'!Q449,""))</f>
        <v/>
      </c>
      <c r="I450" s="34">
        <f>IF(LEN('Providers'!A449)=0,"",IF(ISNUMBER('Providers'!S449),'Providers'!S449,""))</f>
        <v/>
      </c>
      <c r="J450" s="34">
        <f>IF(LEN('Providers'!A449)=0,"",IF(ISNUMBER('Providers'!W449),'Providers'!W449,""))</f>
        <v/>
      </c>
      <c r="K450" s="34">
        <f>IF(LEN('Providers'!A449)=0,"",IF(ISNUMBER('Providers'!Y449),'Providers'!Y449,""))</f>
        <v/>
      </c>
      <c r="L450" s="34">
        <f>IF(LEN('Providers'!A449)=0,"",IF(ISNUMBER('Providers'!AA449),'Providers'!AA449,""))</f>
        <v/>
      </c>
      <c r="M450" s="34">
        <f>IF(LEN('Providers'!A449)=0,"",IF(ISNUMBER('Providers'!AD449),'Providers'!AD449,""))</f>
        <v/>
      </c>
      <c r="N450" s="35">
        <f>IF(LEN('Providers'!A449)=0,"",IF(LEN('Providers'!AG449)=0,"",'Providers'!AG449))</f>
        <v/>
      </c>
    </row>
    <row r="451">
      <c r="A451" s="32">
        <f>IF(LEN('Providers'!A450)=0,"",IF(LEN('Providers'!A450)=0,"",'Providers'!A450))</f>
        <v/>
      </c>
      <c r="B451" s="33">
        <f>IF(LEN('Providers'!A450)=0,"",IF(LEN('Providers'!B450)=0,"",'Providers'!B450))</f>
        <v/>
      </c>
      <c r="C451" s="33">
        <f>IF(LEN('Providers'!A450)=0,"",IF(LEN('Providers'!E450)=0,"",'Providers'!E450))</f>
        <v/>
      </c>
      <c r="D451" s="34">
        <f>IF(LEN('Providers'!A450)=0,"",IF(ISNUMBER('Providers'!G450),'Providers'!G450,""))</f>
        <v/>
      </c>
      <c r="E451" s="34">
        <f>IF(LEN('Providers'!A450)=0,"",IF(ISNUMBER('Providers'!I450),'Providers'!I450,""))</f>
        <v/>
      </c>
      <c r="F451" s="34">
        <f>IF(LEN('Providers'!A450)=0,"",IF(ISNUMBER('Providers'!K450),'Providers'!K450,""))</f>
        <v/>
      </c>
      <c r="G451" s="34">
        <f>IF(LEN('Providers'!A450)=0,"",IF(ISNUMBER('Providers'!M450),'Providers'!M450,""))</f>
        <v/>
      </c>
      <c r="H451" s="34">
        <f>IF(LEN('Providers'!A450)=0,"",IF(ISNUMBER('Providers'!Q450),'Providers'!Q450,""))</f>
        <v/>
      </c>
      <c r="I451" s="34">
        <f>IF(LEN('Providers'!A450)=0,"",IF(ISNUMBER('Providers'!S450),'Providers'!S450,""))</f>
        <v/>
      </c>
      <c r="J451" s="34">
        <f>IF(LEN('Providers'!A450)=0,"",IF(ISNUMBER('Providers'!W450),'Providers'!W450,""))</f>
        <v/>
      </c>
      <c r="K451" s="34">
        <f>IF(LEN('Providers'!A450)=0,"",IF(ISNUMBER('Providers'!Y450),'Providers'!Y450,""))</f>
        <v/>
      </c>
      <c r="L451" s="34">
        <f>IF(LEN('Providers'!A450)=0,"",IF(ISNUMBER('Providers'!AA450),'Providers'!AA450,""))</f>
        <v/>
      </c>
      <c r="M451" s="34">
        <f>IF(LEN('Providers'!A450)=0,"",IF(ISNUMBER('Providers'!AD450),'Providers'!AD450,""))</f>
        <v/>
      </c>
      <c r="N451" s="35">
        <f>IF(LEN('Providers'!A450)=0,"",IF(LEN('Providers'!AG450)=0,"",'Providers'!AG450))</f>
        <v/>
      </c>
    </row>
    <row r="452">
      <c r="A452" s="32">
        <f>IF(LEN('Providers'!A451)=0,"",IF(LEN('Providers'!A451)=0,"",'Providers'!A451))</f>
        <v/>
      </c>
      <c r="B452" s="33">
        <f>IF(LEN('Providers'!A451)=0,"",IF(LEN('Providers'!B451)=0,"",'Providers'!B451))</f>
        <v/>
      </c>
      <c r="C452" s="33">
        <f>IF(LEN('Providers'!A451)=0,"",IF(LEN('Providers'!E451)=0,"",'Providers'!E451))</f>
        <v/>
      </c>
      <c r="D452" s="34">
        <f>IF(LEN('Providers'!A451)=0,"",IF(ISNUMBER('Providers'!G451),'Providers'!G451,""))</f>
        <v/>
      </c>
      <c r="E452" s="34">
        <f>IF(LEN('Providers'!A451)=0,"",IF(ISNUMBER('Providers'!I451),'Providers'!I451,""))</f>
        <v/>
      </c>
      <c r="F452" s="34">
        <f>IF(LEN('Providers'!A451)=0,"",IF(ISNUMBER('Providers'!K451),'Providers'!K451,""))</f>
        <v/>
      </c>
      <c r="G452" s="34">
        <f>IF(LEN('Providers'!A451)=0,"",IF(ISNUMBER('Providers'!M451),'Providers'!M451,""))</f>
        <v/>
      </c>
      <c r="H452" s="34">
        <f>IF(LEN('Providers'!A451)=0,"",IF(ISNUMBER('Providers'!Q451),'Providers'!Q451,""))</f>
        <v/>
      </c>
      <c r="I452" s="34">
        <f>IF(LEN('Providers'!A451)=0,"",IF(ISNUMBER('Providers'!S451),'Providers'!S451,""))</f>
        <v/>
      </c>
      <c r="J452" s="34">
        <f>IF(LEN('Providers'!A451)=0,"",IF(ISNUMBER('Providers'!W451),'Providers'!W451,""))</f>
        <v/>
      </c>
      <c r="K452" s="34">
        <f>IF(LEN('Providers'!A451)=0,"",IF(ISNUMBER('Providers'!Y451),'Providers'!Y451,""))</f>
        <v/>
      </c>
      <c r="L452" s="34">
        <f>IF(LEN('Providers'!A451)=0,"",IF(ISNUMBER('Providers'!AA451),'Providers'!AA451,""))</f>
        <v/>
      </c>
      <c r="M452" s="34">
        <f>IF(LEN('Providers'!A451)=0,"",IF(ISNUMBER('Providers'!AD451),'Providers'!AD451,""))</f>
        <v/>
      </c>
      <c r="N452" s="35">
        <f>IF(LEN('Providers'!A451)=0,"",IF(LEN('Providers'!AG451)=0,"",'Providers'!AG451))</f>
        <v/>
      </c>
    </row>
    <row r="453">
      <c r="A453" s="32">
        <f>IF(LEN('Providers'!A452)=0,"",IF(LEN('Providers'!A452)=0,"",'Providers'!A452))</f>
        <v/>
      </c>
      <c r="B453" s="33">
        <f>IF(LEN('Providers'!A452)=0,"",IF(LEN('Providers'!B452)=0,"",'Providers'!B452))</f>
        <v/>
      </c>
      <c r="C453" s="33">
        <f>IF(LEN('Providers'!A452)=0,"",IF(LEN('Providers'!E452)=0,"",'Providers'!E452))</f>
        <v/>
      </c>
      <c r="D453" s="34">
        <f>IF(LEN('Providers'!A452)=0,"",IF(ISNUMBER('Providers'!G452),'Providers'!G452,""))</f>
        <v/>
      </c>
      <c r="E453" s="34">
        <f>IF(LEN('Providers'!A452)=0,"",IF(ISNUMBER('Providers'!I452),'Providers'!I452,""))</f>
        <v/>
      </c>
      <c r="F453" s="34">
        <f>IF(LEN('Providers'!A452)=0,"",IF(ISNUMBER('Providers'!K452),'Providers'!K452,""))</f>
        <v/>
      </c>
      <c r="G453" s="34">
        <f>IF(LEN('Providers'!A452)=0,"",IF(ISNUMBER('Providers'!M452),'Providers'!M452,""))</f>
        <v/>
      </c>
      <c r="H453" s="34">
        <f>IF(LEN('Providers'!A452)=0,"",IF(ISNUMBER('Providers'!Q452),'Providers'!Q452,""))</f>
        <v/>
      </c>
      <c r="I453" s="34">
        <f>IF(LEN('Providers'!A452)=0,"",IF(ISNUMBER('Providers'!S452),'Providers'!S452,""))</f>
        <v/>
      </c>
      <c r="J453" s="34">
        <f>IF(LEN('Providers'!A452)=0,"",IF(ISNUMBER('Providers'!W452),'Providers'!W452,""))</f>
        <v/>
      </c>
      <c r="K453" s="34">
        <f>IF(LEN('Providers'!A452)=0,"",IF(ISNUMBER('Providers'!Y452),'Providers'!Y452,""))</f>
        <v/>
      </c>
      <c r="L453" s="34">
        <f>IF(LEN('Providers'!A452)=0,"",IF(ISNUMBER('Providers'!AA452),'Providers'!AA452,""))</f>
        <v/>
      </c>
      <c r="M453" s="34">
        <f>IF(LEN('Providers'!A452)=0,"",IF(ISNUMBER('Providers'!AD452),'Providers'!AD452,""))</f>
        <v/>
      </c>
      <c r="N453" s="35">
        <f>IF(LEN('Providers'!A452)=0,"",IF(LEN('Providers'!AG452)=0,"",'Providers'!AG452))</f>
        <v/>
      </c>
    </row>
    <row r="454">
      <c r="A454" s="32">
        <f>IF(LEN('Providers'!A453)=0,"",IF(LEN('Providers'!A453)=0,"",'Providers'!A453))</f>
        <v/>
      </c>
      <c r="B454" s="33">
        <f>IF(LEN('Providers'!A453)=0,"",IF(LEN('Providers'!B453)=0,"",'Providers'!B453))</f>
        <v/>
      </c>
      <c r="C454" s="33">
        <f>IF(LEN('Providers'!A453)=0,"",IF(LEN('Providers'!E453)=0,"",'Providers'!E453))</f>
        <v/>
      </c>
      <c r="D454" s="34">
        <f>IF(LEN('Providers'!A453)=0,"",IF(ISNUMBER('Providers'!G453),'Providers'!G453,""))</f>
        <v/>
      </c>
      <c r="E454" s="34">
        <f>IF(LEN('Providers'!A453)=0,"",IF(ISNUMBER('Providers'!I453),'Providers'!I453,""))</f>
        <v/>
      </c>
      <c r="F454" s="34">
        <f>IF(LEN('Providers'!A453)=0,"",IF(ISNUMBER('Providers'!K453),'Providers'!K453,""))</f>
        <v/>
      </c>
      <c r="G454" s="34">
        <f>IF(LEN('Providers'!A453)=0,"",IF(ISNUMBER('Providers'!M453),'Providers'!M453,""))</f>
        <v/>
      </c>
      <c r="H454" s="34">
        <f>IF(LEN('Providers'!A453)=0,"",IF(ISNUMBER('Providers'!Q453),'Providers'!Q453,""))</f>
        <v/>
      </c>
      <c r="I454" s="34">
        <f>IF(LEN('Providers'!A453)=0,"",IF(ISNUMBER('Providers'!S453),'Providers'!S453,""))</f>
        <v/>
      </c>
      <c r="J454" s="34">
        <f>IF(LEN('Providers'!A453)=0,"",IF(ISNUMBER('Providers'!W453),'Providers'!W453,""))</f>
        <v/>
      </c>
      <c r="K454" s="34">
        <f>IF(LEN('Providers'!A453)=0,"",IF(ISNUMBER('Providers'!Y453),'Providers'!Y453,""))</f>
        <v/>
      </c>
      <c r="L454" s="34">
        <f>IF(LEN('Providers'!A453)=0,"",IF(ISNUMBER('Providers'!AA453),'Providers'!AA453,""))</f>
        <v/>
      </c>
      <c r="M454" s="34">
        <f>IF(LEN('Providers'!A453)=0,"",IF(ISNUMBER('Providers'!AD453),'Providers'!AD453,""))</f>
        <v/>
      </c>
      <c r="N454" s="35">
        <f>IF(LEN('Providers'!A453)=0,"",IF(LEN('Providers'!AG453)=0,"",'Providers'!AG453))</f>
        <v/>
      </c>
    </row>
    <row r="455">
      <c r="A455" s="32">
        <f>IF(LEN('Providers'!A454)=0,"",IF(LEN('Providers'!A454)=0,"",'Providers'!A454))</f>
        <v/>
      </c>
      <c r="B455" s="33">
        <f>IF(LEN('Providers'!A454)=0,"",IF(LEN('Providers'!B454)=0,"",'Providers'!B454))</f>
        <v/>
      </c>
      <c r="C455" s="33">
        <f>IF(LEN('Providers'!A454)=0,"",IF(LEN('Providers'!E454)=0,"",'Providers'!E454))</f>
        <v/>
      </c>
      <c r="D455" s="34">
        <f>IF(LEN('Providers'!A454)=0,"",IF(ISNUMBER('Providers'!G454),'Providers'!G454,""))</f>
        <v/>
      </c>
      <c r="E455" s="34">
        <f>IF(LEN('Providers'!A454)=0,"",IF(ISNUMBER('Providers'!I454),'Providers'!I454,""))</f>
        <v/>
      </c>
      <c r="F455" s="34">
        <f>IF(LEN('Providers'!A454)=0,"",IF(ISNUMBER('Providers'!K454),'Providers'!K454,""))</f>
        <v/>
      </c>
      <c r="G455" s="34">
        <f>IF(LEN('Providers'!A454)=0,"",IF(ISNUMBER('Providers'!M454),'Providers'!M454,""))</f>
        <v/>
      </c>
      <c r="H455" s="34">
        <f>IF(LEN('Providers'!A454)=0,"",IF(ISNUMBER('Providers'!Q454),'Providers'!Q454,""))</f>
        <v/>
      </c>
      <c r="I455" s="34">
        <f>IF(LEN('Providers'!A454)=0,"",IF(ISNUMBER('Providers'!S454),'Providers'!S454,""))</f>
        <v/>
      </c>
      <c r="J455" s="34">
        <f>IF(LEN('Providers'!A454)=0,"",IF(ISNUMBER('Providers'!W454),'Providers'!W454,""))</f>
        <v/>
      </c>
      <c r="K455" s="34">
        <f>IF(LEN('Providers'!A454)=0,"",IF(ISNUMBER('Providers'!Y454),'Providers'!Y454,""))</f>
        <v/>
      </c>
      <c r="L455" s="34">
        <f>IF(LEN('Providers'!A454)=0,"",IF(ISNUMBER('Providers'!AA454),'Providers'!AA454,""))</f>
        <v/>
      </c>
      <c r="M455" s="34">
        <f>IF(LEN('Providers'!A454)=0,"",IF(ISNUMBER('Providers'!AD454),'Providers'!AD454,""))</f>
        <v/>
      </c>
      <c r="N455" s="35">
        <f>IF(LEN('Providers'!A454)=0,"",IF(LEN('Providers'!AG454)=0,"",'Providers'!AG454))</f>
        <v/>
      </c>
    </row>
    <row r="456">
      <c r="A456" s="32">
        <f>IF(LEN('Providers'!A455)=0,"",IF(LEN('Providers'!A455)=0,"",'Providers'!A455))</f>
        <v/>
      </c>
      <c r="B456" s="33">
        <f>IF(LEN('Providers'!A455)=0,"",IF(LEN('Providers'!B455)=0,"",'Providers'!B455))</f>
        <v/>
      </c>
      <c r="C456" s="33">
        <f>IF(LEN('Providers'!A455)=0,"",IF(LEN('Providers'!E455)=0,"",'Providers'!E455))</f>
        <v/>
      </c>
      <c r="D456" s="34">
        <f>IF(LEN('Providers'!A455)=0,"",IF(ISNUMBER('Providers'!G455),'Providers'!G455,""))</f>
        <v/>
      </c>
      <c r="E456" s="34">
        <f>IF(LEN('Providers'!A455)=0,"",IF(ISNUMBER('Providers'!I455),'Providers'!I455,""))</f>
        <v/>
      </c>
      <c r="F456" s="34">
        <f>IF(LEN('Providers'!A455)=0,"",IF(ISNUMBER('Providers'!K455),'Providers'!K455,""))</f>
        <v/>
      </c>
      <c r="G456" s="34">
        <f>IF(LEN('Providers'!A455)=0,"",IF(ISNUMBER('Providers'!M455),'Providers'!M455,""))</f>
        <v/>
      </c>
      <c r="H456" s="34">
        <f>IF(LEN('Providers'!A455)=0,"",IF(ISNUMBER('Providers'!Q455),'Providers'!Q455,""))</f>
        <v/>
      </c>
      <c r="I456" s="34">
        <f>IF(LEN('Providers'!A455)=0,"",IF(ISNUMBER('Providers'!S455),'Providers'!S455,""))</f>
        <v/>
      </c>
      <c r="J456" s="34">
        <f>IF(LEN('Providers'!A455)=0,"",IF(ISNUMBER('Providers'!W455),'Providers'!W455,""))</f>
        <v/>
      </c>
      <c r="K456" s="34">
        <f>IF(LEN('Providers'!A455)=0,"",IF(ISNUMBER('Providers'!Y455),'Providers'!Y455,""))</f>
        <v/>
      </c>
      <c r="L456" s="34">
        <f>IF(LEN('Providers'!A455)=0,"",IF(ISNUMBER('Providers'!AA455),'Providers'!AA455,""))</f>
        <v/>
      </c>
      <c r="M456" s="34">
        <f>IF(LEN('Providers'!A455)=0,"",IF(ISNUMBER('Providers'!AD455),'Providers'!AD455,""))</f>
        <v/>
      </c>
      <c r="N456" s="35">
        <f>IF(LEN('Providers'!A455)=0,"",IF(LEN('Providers'!AG455)=0,"",'Providers'!AG455))</f>
        <v/>
      </c>
    </row>
    <row r="457">
      <c r="A457" s="32">
        <f>IF(LEN('Providers'!A456)=0,"",IF(LEN('Providers'!A456)=0,"",'Providers'!A456))</f>
        <v/>
      </c>
      <c r="B457" s="33">
        <f>IF(LEN('Providers'!A456)=0,"",IF(LEN('Providers'!B456)=0,"",'Providers'!B456))</f>
        <v/>
      </c>
      <c r="C457" s="33">
        <f>IF(LEN('Providers'!A456)=0,"",IF(LEN('Providers'!E456)=0,"",'Providers'!E456))</f>
        <v/>
      </c>
      <c r="D457" s="34">
        <f>IF(LEN('Providers'!A456)=0,"",IF(ISNUMBER('Providers'!G456),'Providers'!G456,""))</f>
        <v/>
      </c>
      <c r="E457" s="34">
        <f>IF(LEN('Providers'!A456)=0,"",IF(ISNUMBER('Providers'!I456),'Providers'!I456,""))</f>
        <v/>
      </c>
      <c r="F457" s="34">
        <f>IF(LEN('Providers'!A456)=0,"",IF(ISNUMBER('Providers'!K456),'Providers'!K456,""))</f>
        <v/>
      </c>
      <c r="G457" s="34">
        <f>IF(LEN('Providers'!A456)=0,"",IF(ISNUMBER('Providers'!M456),'Providers'!M456,""))</f>
        <v/>
      </c>
      <c r="H457" s="34">
        <f>IF(LEN('Providers'!A456)=0,"",IF(ISNUMBER('Providers'!Q456),'Providers'!Q456,""))</f>
        <v/>
      </c>
      <c r="I457" s="34">
        <f>IF(LEN('Providers'!A456)=0,"",IF(ISNUMBER('Providers'!S456),'Providers'!S456,""))</f>
        <v/>
      </c>
      <c r="J457" s="34">
        <f>IF(LEN('Providers'!A456)=0,"",IF(ISNUMBER('Providers'!W456),'Providers'!W456,""))</f>
        <v/>
      </c>
      <c r="K457" s="34">
        <f>IF(LEN('Providers'!A456)=0,"",IF(ISNUMBER('Providers'!Y456),'Providers'!Y456,""))</f>
        <v/>
      </c>
      <c r="L457" s="34">
        <f>IF(LEN('Providers'!A456)=0,"",IF(ISNUMBER('Providers'!AA456),'Providers'!AA456,""))</f>
        <v/>
      </c>
      <c r="M457" s="34">
        <f>IF(LEN('Providers'!A456)=0,"",IF(ISNUMBER('Providers'!AD456),'Providers'!AD456,""))</f>
        <v/>
      </c>
      <c r="N457" s="35">
        <f>IF(LEN('Providers'!A456)=0,"",IF(LEN('Providers'!AG456)=0,"",'Providers'!AG456))</f>
        <v/>
      </c>
    </row>
    <row r="458">
      <c r="A458" s="32">
        <f>IF(LEN('Providers'!A457)=0,"",IF(LEN('Providers'!A457)=0,"",'Providers'!A457))</f>
        <v/>
      </c>
      <c r="B458" s="33">
        <f>IF(LEN('Providers'!A457)=0,"",IF(LEN('Providers'!B457)=0,"",'Providers'!B457))</f>
        <v/>
      </c>
      <c r="C458" s="33">
        <f>IF(LEN('Providers'!A457)=0,"",IF(LEN('Providers'!E457)=0,"",'Providers'!E457))</f>
        <v/>
      </c>
      <c r="D458" s="34">
        <f>IF(LEN('Providers'!A457)=0,"",IF(ISNUMBER('Providers'!G457),'Providers'!G457,""))</f>
        <v/>
      </c>
      <c r="E458" s="34">
        <f>IF(LEN('Providers'!A457)=0,"",IF(ISNUMBER('Providers'!I457),'Providers'!I457,""))</f>
        <v/>
      </c>
      <c r="F458" s="34">
        <f>IF(LEN('Providers'!A457)=0,"",IF(ISNUMBER('Providers'!K457),'Providers'!K457,""))</f>
        <v/>
      </c>
      <c r="G458" s="34">
        <f>IF(LEN('Providers'!A457)=0,"",IF(ISNUMBER('Providers'!M457),'Providers'!M457,""))</f>
        <v/>
      </c>
      <c r="H458" s="34">
        <f>IF(LEN('Providers'!A457)=0,"",IF(ISNUMBER('Providers'!Q457),'Providers'!Q457,""))</f>
        <v/>
      </c>
      <c r="I458" s="34">
        <f>IF(LEN('Providers'!A457)=0,"",IF(ISNUMBER('Providers'!S457),'Providers'!S457,""))</f>
        <v/>
      </c>
      <c r="J458" s="34">
        <f>IF(LEN('Providers'!A457)=0,"",IF(ISNUMBER('Providers'!W457),'Providers'!W457,""))</f>
        <v/>
      </c>
      <c r="K458" s="34">
        <f>IF(LEN('Providers'!A457)=0,"",IF(ISNUMBER('Providers'!Y457),'Providers'!Y457,""))</f>
        <v/>
      </c>
      <c r="L458" s="34">
        <f>IF(LEN('Providers'!A457)=0,"",IF(ISNUMBER('Providers'!AA457),'Providers'!AA457,""))</f>
        <v/>
      </c>
      <c r="M458" s="34">
        <f>IF(LEN('Providers'!A457)=0,"",IF(ISNUMBER('Providers'!AD457),'Providers'!AD457,""))</f>
        <v/>
      </c>
      <c r="N458" s="35">
        <f>IF(LEN('Providers'!A457)=0,"",IF(LEN('Providers'!AG457)=0,"",'Providers'!AG457))</f>
        <v/>
      </c>
    </row>
    <row r="459">
      <c r="A459" s="32">
        <f>IF(LEN('Providers'!A458)=0,"",IF(LEN('Providers'!A458)=0,"",'Providers'!A458))</f>
        <v/>
      </c>
      <c r="B459" s="33">
        <f>IF(LEN('Providers'!A458)=0,"",IF(LEN('Providers'!B458)=0,"",'Providers'!B458))</f>
        <v/>
      </c>
      <c r="C459" s="33">
        <f>IF(LEN('Providers'!A458)=0,"",IF(LEN('Providers'!E458)=0,"",'Providers'!E458))</f>
        <v/>
      </c>
      <c r="D459" s="34">
        <f>IF(LEN('Providers'!A458)=0,"",IF(ISNUMBER('Providers'!G458),'Providers'!G458,""))</f>
        <v/>
      </c>
      <c r="E459" s="34">
        <f>IF(LEN('Providers'!A458)=0,"",IF(ISNUMBER('Providers'!I458),'Providers'!I458,""))</f>
        <v/>
      </c>
      <c r="F459" s="34">
        <f>IF(LEN('Providers'!A458)=0,"",IF(ISNUMBER('Providers'!K458),'Providers'!K458,""))</f>
        <v/>
      </c>
      <c r="G459" s="34">
        <f>IF(LEN('Providers'!A458)=0,"",IF(ISNUMBER('Providers'!M458),'Providers'!M458,""))</f>
        <v/>
      </c>
      <c r="H459" s="34">
        <f>IF(LEN('Providers'!A458)=0,"",IF(ISNUMBER('Providers'!Q458),'Providers'!Q458,""))</f>
        <v/>
      </c>
      <c r="I459" s="34">
        <f>IF(LEN('Providers'!A458)=0,"",IF(ISNUMBER('Providers'!S458),'Providers'!S458,""))</f>
        <v/>
      </c>
      <c r="J459" s="34">
        <f>IF(LEN('Providers'!A458)=0,"",IF(ISNUMBER('Providers'!W458),'Providers'!W458,""))</f>
        <v/>
      </c>
      <c r="K459" s="34">
        <f>IF(LEN('Providers'!A458)=0,"",IF(ISNUMBER('Providers'!Y458),'Providers'!Y458,""))</f>
        <v/>
      </c>
      <c r="L459" s="34">
        <f>IF(LEN('Providers'!A458)=0,"",IF(ISNUMBER('Providers'!AA458),'Providers'!AA458,""))</f>
        <v/>
      </c>
      <c r="M459" s="34">
        <f>IF(LEN('Providers'!A458)=0,"",IF(ISNUMBER('Providers'!AD458),'Providers'!AD458,""))</f>
        <v/>
      </c>
      <c r="N459" s="35">
        <f>IF(LEN('Providers'!A458)=0,"",IF(LEN('Providers'!AG458)=0,"",'Providers'!AG458))</f>
        <v/>
      </c>
    </row>
    <row r="460">
      <c r="A460" s="32">
        <f>IF(LEN('Providers'!A459)=0,"",IF(LEN('Providers'!A459)=0,"",'Providers'!A459))</f>
        <v/>
      </c>
      <c r="B460" s="33">
        <f>IF(LEN('Providers'!A459)=0,"",IF(LEN('Providers'!B459)=0,"",'Providers'!B459))</f>
        <v/>
      </c>
      <c r="C460" s="33">
        <f>IF(LEN('Providers'!A459)=0,"",IF(LEN('Providers'!E459)=0,"",'Providers'!E459))</f>
        <v/>
      </c>
      <c r="D460" s="34">
        <f>IF(LEN('Providers'!A459)=0,"",IF(ISNUMBER('Providers'!G459),'Providers'!G459,""))</f>
        <v/>
      </c>
      <c r="E460" s="34">
        <f>IF(LEN('Providers'!A459)=0,"",IF(ISNUMBER('Providers'!I459),'Providers'!I459,""))</f>
        <v/>
      </c>
      <c r="F460" s="34">
        <f>IF(LEN('Providers'!A459)=0,"",IF(ISNUMBER('Providers'!K459),'Providers'!K459,""))</f>
        <v/>
      </c>
      <c r="G460" s="34">
        <f>IF(LEN('Providers'!A459)=0,"",IF(ISNUMBER('Providers'!M459),'Providers'!M459,""))</f>
        <v/>
      </c>
      <c r="H460" s="34">
        <f>IF(LEN('Providers'!A459)=0,"",IF(ISNUMBER('Providers'!Q459),'Providers'!Q459,""))</f>
        <v/>
      </c>
      <c r="I460" s="34">
        <f>IF(LEN('Providers'!A459)=0,"",IF(ISNUMBER('Providers'!S459),'Providers'!S459,""))</f>
        <v/>
      </c>
      <c r="J460" s="34">
        <f>IF(LEN('Providers'!A459)=0,"",IF(ISNUMBER('Providers'!W459),'Providers'!W459,""))</f>
        <v/>
      </c>
      <c r="K460" s="34">
        <f>IF(LEN('Providers'!A459)=0,"",IF(ISNUMBER('Providers'!Y459),'Providers'!Y459,""))</f>
        <v/>
      </c>
      <c r="L460" s="34">
        <f>IF(LEN('Providers'!A459)=0,"",IF(ISNUMBER('Providers'!AA459),'Providers'!AA459,""))</f>
        <v/>
      </c>
      <c r="M460" s="34">
        <f>IF(LEN('Providers'!A459)=0,"",IF(ISNUMBER('Providers'!AD459),'Providers'!AD459,""))</f>
        <v/>
      </c>
      <c r="N460" s="35">
        <f>IF(LEN('Providers'!A459)=0,"",IF(LEN('Providers'!AG459)=0,"",'Providers'!AG459))</f>
        <v/>
      </c>
    </row>
    <row r="461">
      <c r="A461" s="32">
        <f>IF(LEN('Providers'!A460)=0,"",IF(LEN('Providers'!A460)=0,"",'Providers'!A460))</f>
        <v/>
      </c>
      <c r="B461" s="33">
        <f>IF(LEN('Providers'!A460)=0,"",IF(LEN('Providers'!B460)=0,"",'Providers'!B460))</f>
        <v/>
      </c>
      <c r="C461" s="33">
        <f>IF(LEN('Providers'!A460)=0,"",IF(LEN('Providers'!E460)=0,"",'Providers'!E460))</f>
        <v/>
      </c>
      <c r="D461" s="34">
        <f>IF(LEN('Providers'!A460)=0,"",IF(ISNUMBER('Providers'!G460),'Providers'!G460,""))</f>
        <v/>
      </c>
      <c r="E461" s="34">
        <f>IF(LEN('Providers'!A460)=0,"",IF(ISNUMBER('Providers'!I460),'Providers'!I460,""))</f>
        <v/>
      </c>
      <c r="F461" s="34">
        <f>IF(LEN('Providers'!A460)=0,"",IF(ISNUMBER('Providers'!K460),'Providers'!K460,""))</f>
        <v/>
      </c>
      <c r="G461" s="34">
        <f>IF(LEN('Providers'!A460)=0,"",IF(ISNUMBER('Providers'!M460),'Providers'!M460,""))</f>
        <v/>
      </c>
      <c r="H461" s="34">
        <f>IF(LEN('Providers'!A460)=0,"",IF(ISNUMBER('Providers'!Q460),'Providers'!Q460,""))</f>
        <v/>
      </c>
      <c r="I461" s="34">
        <f>IF(LEN('Providers'!A460)=0,"",IF(ISNUMBER('Providers'!S460),'Providers'!S460,""))</f>
        <v/>
      </c>
      <c r="J461" s="34">
        <f>IF(LEN('Providers'!A460)=0,"",IF(ISNUMBER('Providers'!W460),'Providers'!W460,""))</f>
        <v/>
      </c>
      <c r="K461" s="34">
        <f>IF(LEN('Providers'!A460)=0,"",IF(ISNUMBER('Providers'!Y460),'Providers'!Y460,""))</f>
        <v/>
      </c>
      <c r="L461" s="34">
        <f>IF(LEN('Providers'!A460)=0,"",IF(ISNUMBER('Providers'!AA460),'Providers'!AA460,""))</f>
        <v/>
      </c>
      <c r="M461" s="34">
        <f>IF(LEN('Providers'!A460)=0,"",IF(ISNUMBER('Providers'!AD460),'Providers'!AD460,""))</f>
        <v/>
      </c>
      <c r="N461" s="35">
        <f>IF(LEN('Providers'!A460)=0,"",IF(LEN('Providers'!AG460)=0,"",'Providers'!AG460))</f>
        <v/>
      </c>
    </row>
    <row r="462">
      <c r="A462" s="32">
        <f>IF(LEN('Providers'!A461)=0,"",IF(LEN('Providers'!A461)=0,"",'Providers'!A461))</f>
        <v/>
      </c>
      <c r="B462" s="33">
        <f>IF(LEN('Providers'!A461)=0,"",IF(LEN('Providers'!B461)=0,"",'Providers'!B461))</f>
        <v/>
      </c>
      <c r="C462" s="33">
        <f>IF(LEN('Providers'!A461)=0,"",IF(LEN('Providers'!E461)=0,"",'Providers'!E461))</f>
        <v/>
      </c>
      <c r="D462" s="34">
        <f>IF(LEN('Providers'!A461)=0,"",IF(ISNUMBER('Providers'!G461),'Providers'!G461,""))</f>
        <v/>
      </c>
      <c r="E462" s="34">
        <f>IF(LEN('Providers'!A461)=0,"",IF(ISNUMBER('Providers'!I461),'Providers'!I461,""))</f>
        <v/>
      </c>
      <c r="F462" s="34">
        <f>IF(LEN('Providers'!A461)=0,"",IF(ISNUMBER('Providers'!K461),'Providers'!K461,""))</f>
        <v/>
      </c>
      <c r="G462" s="34">
        <f>IF(LEN('Providers'!A461)=0,"",IF(ISNUMBER('Providers'!M461),'Providers'!M461,""))</f>
        <v/>
      </c>
      <c r="H462" s="34">
        <f>IF(LEN('Providers'!A461)=0,"",IF(ISNUMBER('Providers'!Q461),'Providers'!Q461,""))</f>
        <v/>
      </c>
      <c r="I462" s="34">
        <f>IF(LEN('Providers'!A461)=0,"",IF(ISNUMBER('Providers'!S461),'Providers'!S461,""))</f>
        <v/>
      </c>
      <c r="J462" s="34">
        <f>IF(LEN('Providers'!A461)=0,"",IF(ISNUMBER('Providers'!W461),'Providers'!W461,""))</f>
        <v/>
      </c>
      <c r="K462" s="34">
        <f>IF(LEN('Providers'!A461)=0,"",IF(ISNUMBER('Providers'!Y461),'Providers'!Y461,""))</f>
        <v/>
      </c>
      <c r="L462" s="34">
        <f>IF(LEN('Providers'!A461)=0,"",IF(ISNUMBER('Providers'!AA461),'Providers'!AA461,""))</f>
        <v/>
      </c>
      <c r="M462" s="34">
        <f>IF(LEN('Providers'!A461)=0,"",IF(ISNUMBER('Providers'!AD461),'Providers'!AD461,""))</f>
        <v/>
      </c>
      <c r="N462" s="35">
        <f>IF(LEN('Providers'!A461)=0,"",IF(LEN('Providers'!AG461)=0,"",'Providers'!AG461))</f>
        <v/>
      </c>
    </row>
    <row r="463">
      <c r="A463" s="32">
        <f>IF(LEN('Providers'!A462)=0,"",IF(LEN('Providers'!A462)=0,"",'Providers'!A462))</f>
        <v/>
      </c>
      <c r="B463" s="33">
        <f>IF(LEN('Providers'!A462)=0,"",IF(LEN('Providers'!B462)=0,"",'Providers'!B462))</f>
        <v/>
      </c>
      <c r="C463" s="33">
        <f>IF(LEN('Providers'!A462)=0,"",IF(LEN('Providers'!E462)=0,"",'Providers'!E462))</f>
        <v/>
      </c>
      <c r="D463" s="34">
        <f>IF(LEN('Providers'!A462)=0,"",IF(ISNUMBER('Providers'!G462),'Providers'!G462,""))</f>
        <v/>
      </c>
      <c r="E463" s="34">
        <f>IF(LEN('Providers'!A462)=0,"",IF(ISNUMBER('Providers'!I462),'Providers'!I462,""))</f>
        <v/>
      </c>
      <c r="F463" s="34">
        <f>IF(LEN('Providers'!A462)=0,"",IF(ISNUMBER('Providers'!K462),'Providers'!K462,""))</f>
        <v/>
      </c>
      <c r="G463" s="34">
        <f>IF(LEN('Providers'!A462)=0,"",IF(ISNUMBER('Providers'!M462),'Providers'!M462,""))</f>
        <v/>
      </c>
      <c r="H463" s="34">
        <f>IF(LEN('Providers'!A462)=0,"",IF(ISNUMBER('Providers'!Q462),'Providers'!Q462,""))</f>
        <v/>
      </c>
      <c r="I463" s="34">
        <f>IF(LEN('Providers'!A462)=0,"",IF(ISNUMBER('Providers'!S462),'Providers'!S462,""))</f>
        <v/>
      </c>
      <c r="J463" s="34">
        <f>IF(LEN('Providers'!A462)=0,"",IF(ISNUMBER('Providers'!W462),'Providers'!W462,""))</f>
        <v/>
      </c>
      <c r="K463" s="34">
        <f>IF(LEN('Providers'!A462)=0,"",IF(ISNUMBER('Providers'!Y462),'Providers'!Y462,""))</f>
        <v/>
      </c>
      <c r="L463" s="34">
        <f>IF(LEN('Providers'!A462)=0,"",IF(ISNUMBER('Providers'!AA462),'Providers'!AA462,""))</f>
        <v/>
      </c>
      <c r="M463" s="34">
        <f>IF(LEN('Providers'!A462)=0,"",IF(ISNUMBER('Providers'!AD462),'Providers'!AD462,""))</f>
        <v/>
      </c>
      <c r="N463" s="35">
        <f>IF(LEN('Providers'!A462)=0,"",IF(LEN('Providers'!AG462)=0,"",'Providers'!AG462))</f>
        <v/>
      </c>
    </row>
    <row r="464">
      <c r="A464" s="32">
        <f>IF(LEN('Providers'!A463)=0,"",IF(LEN('Providers'!A463)=0,"",'Providers'!A463))</f>
        <v/>
      </c>
      <c r="B464" s="33">
        <f>IF(LEN('Providers'!A463)=0,"",IF(LEN('Providers'!B463)=0,"",'Providers'!B463))</f>
        <v/>
      </c>
      <c r="C464" s="33">
        <f>IF(LEN('Providers'!A463)=0,"",IF(LEN('Providers'!E463)=0,"",'Providers'!E463))</f>
        <v/>
      </c>
      <c r="D464" s="34">
        <f>IF(LEN('Providers'!A463)=0,"",IF(ISNUMBER('Providers'!G463),'Providers'!G463,""))</f>
        <v/>
      </c>
      <c r="E464" s="34">
        <f>IF(LEN('Providers'!A463)=0,"",IF(ISNUMBER('Providers'!I463),'Providers'!I463,""))</f>
        <v/>
      </c>
      <c r="F464" s="34">
        <f>IF(LEN('Providers'!A463)=0,"",IF(ISNUMBER('Providers'!K463),'Providers'!K463,""))</f>
        <v/>
      </c>
      <c r="G464" s="34">
        <f>IF(LEN('Providers'!A463)=0,"",IF(ISNUMBER('Providers'!M463),'Providers'!M463,""))</f>
        <v/>
      </c>
      <c r="H464" s="34">
        <f>IF(LEN('Providers'!A463)=0,"",IF(ISNUMBER('Providers'!Q463),'Providers'!Q463,""))</f>
        <v/>
      </c>
      <c r="I464" s="34">
        <f>IF(LEN('Providers'!A463)=0,"",IF(ISNUMBER('Providers'!S463),'Providers'!S463,""))</f>
        <v/>
      </c>
      <c r="J464" s="34">
        <f>IF(LEN('Providers'!A463)=0,"",IF(ISNUMBER('Providers'!W463),'Providers'!W463,""))</f>
        <v/>
      </c>
      <c r="K464" s="34">
        <f>IF(LEN('Providers'!A463)=0,"",IF(ISNUMBER('Providers'!Y463),'Providers'!Y463,""))</f>
        <v/>
      </c>
      <c r="L464" s="34">
        <f>IF(LEN('Providers'!A463)=0,"",IF(ISNUMBER('Providers'!AA463),'Providers'!AA463,""))</f>
        <v/>
      </c>
      <c r="M464" s="34">
        <f>IF(LEN('Providers'!A463)=0,"",IF(ISNUMBER('Providers'!AD463),'Providers'!AD463,""))</f>
        <v/>
      </c>
      <c r="N464" s="35">
        <f>IF(LEN('Providers'!A463)=0,"",IF(LEN('Providers'!AG463)=0,"",'Providers'!AG463))</f>
        <v/>
      </c>
    </row>
    <row r="465">
      <c r="A465" s="32">
        <f>IF(LEN('Providers'!A464)=0,"",IF(LEN('Providers'!A464)=0,"",'Providers'!A464))</f>
        <v/>
      </c>
      <c r="B465" s="33">
        <f>IF(LEN('Providers'!A464)=0,"",IF(LEN('Providers'!B464)=0,"",'Providers'!B464))</f>
        <v/>
      </c>
      <c r="C465" s="33">
        <f>IF(LEN('Providers'!A464)=0,"",IF(LEN('Providers'!E464)=0,"",'Providers'!E464))</f>
        <v/>
      </c>
      <c r="D465" s="34">
        <f>IF(LEN('Providers'!A464)=0,"",IF(ISNUMBER('Providers'!G464),'Providers'!G464,""))</f>
        <v/>
      </c>
      <c r="E465" s="34">
        <f>IF(LEN('Providers'!A464)=0,"",IF(ISNUMBER('Providers'!I464),'Providers'!I464,""))</f>
        <v/>
      </c>
      <c r="F465" s="34">
        <f>IF(LEN('Providers'!A464)=0,"",IF(ISNUMBER('Providers'!K464),'Providers'!K464,""))</f>
        <v/>
      </c>
      <c r="G465" s="34">
        <f>IF(LEN('Providers'!A464)=0,"",IF(ISNUMBER('Providers'!M464),'Providers'!M464,""))</f>
        <v/>
      </c>
      <c r="H465" s="34">
        <f>IF(LEN('Providers'!A464)=0,"",IF(ISNUMBER('Providers'!Q464),'Providers'!Q464,""))</f>
        <v/>
      </c>
      <c r="I465" s="34">
        <f>IF(LEN('Providers'!A464)=0,"",IF(ISNUMBER('Providers'!S464),'Providers'!S464,""))</f>
        <v/>
      </c>
      <c r="J465" s="34">
        <f>IF(LEN('Providers'!A464)=0,"",IF(ISNUMBER('Providers'!W464),'Providers'!W464,""))</f>
        <v/>
      </c>
      <c r="K465" s="34">
        <f>IF(LEN('Providers'!A464)=0,"",IF(ISNUMBER('Providers'!Y464),'Providers'!Y464,""))</f>
        <v/>
      </c>
      <c r="L465" s="34">
        <f>IF(LEN('Providers'!A464)=0,"",IF(ISNUMBER('Providers'!AA464),'Providers'!AA464,""))</f>
        <v/>
      </c>
      <c r="M465" s="34">
        <f>IF(LEN('Providers'!A464)=0,"",IF(ISNUMBER('Providers'!AD464),'Providers'!AD464,""))</f>
        <v/>
      </c>
      <c r="N465" s="35">
        <f>IF(LEN('Providers'!A464)=0,"",IF(LEN('Providers'!AG464)=0,"",'Providers'!AG464))</f>
        <v/>
      </c>
    </row>
    <row r="466">
      <c r="A466" s="32">
        <f>IF(LEN('Providers'!A465)=0,"",IF(LEN('Providers'!A465)=0,"",'Providers'!A465))</f>
        <v/>
      </c>
      <c r="B466" s="33">
        <f>IF(LEN('Providers'!A465)=0,"",IF(LEN('Providers'!B465)=0,"",'Providers'!B465))</f>
        <v/>
      </c>
      <c r="C466" s="33">
        <f>IF(LEN('Providers'!A465)=0,"",IF(LEN('Providers'!E465)=0,"",'Providers'!E465))</f>
        <v/>
      </c>
      <c r="D466" s="34">
        <f>IF(LEN('Providers'!A465)=0,"",IF(ISNUMBER('Providers'!G465),'Providers'!G465,""))</f>
        <v/>
      </c>
      <c r="E466" s="34">
        <f>IF(LEN('Providers'!A465)=0,"",IF(ISNUMBER('Providers'!I465),'Providers'!I465,""))</f>
        <v/>
      </c>
      <c r="F466" s="34">
        <f>IF(LEN('Providers'!A465)=0,"",IF(ISNUMBER('Providers'!K465),'Providers'!K465,""))</f>
        <v/>
      </c>
      <c r="G466" s="34">
        <f>IF(LEN('Providers'!A465)=0,"",IF(ISNUMBER('Providers'!M465),'Providers'!M465,""))</f>
        <v/>
      </c>
      <c r="H466" s="34">
        <f>IF(LEN('Providers'!A465)=0,"",IF(ISNUMBER('Providers'!Q465),'Providers'!Q465,""))</f>
        <v/>
      </c>
      <c r="I466" s="34">
        <f>IF(LEN('Providers'!A465)=0,"",IF(ISNUMBER('Providers'!S465),'Providers'!S465,""))</f>
        <v/>
      </c>
      <c r="J466" s="34">
        <f>IF(LEN('Providers'!A465)=0,"",IF(ISNUMBER('Providers'!W465),'Providers'!W465,""))</f>
        <v/>
      </c>
      <c r="K466" s="34">
        <f>IF(LEN('Providers'!A465)=0,"",IF(ISNUMBER('Providers'!Y465),'Providers'!Y465,""))</f>
        <v/>
      </c>
      <c r="L466" s="34">
        <f>IF(LEN('Providers'!A465)=0,"",IF(ISNUMBER('Providers'!AA465),'Providers'!AA465,""))</f>
        <v/>
      </c>
      <c r="M466" s="34">
        <f>IF(LEN('Providers'!A465)=0,"",IF(ISNUMBER('Providers'!AD465),'Providers'!AD465,""))</f>
        <v/>
      </c>
      <c r="N466" s="35">
        <f>IF(LEN('Providers'!A465)=0,"",IF(LEN('Providers'!AG465)=0,"",'Providers'!AG465))</f>
        <v/>
      </c>
    </row>
    <row r="467">
      <c r="A467" s="32">
        <f>IF(LEN('Providers'!A466)=0,"",IF(LEN('Providers'!A466)=0,"",'Providers'!A466))</f>
        <v/>
      </c>
      <c r="B467" s="33">
        <f>IF(LEN('Providers'!A466)=0,"",IF(LEN('Providers'!B466)=0,"",'Providers'!B466))</f>
        <v/>
      </c>
      <c r="C467" s="33">
        <f>IF(LEN('Providers'!A466)=0,"",IF(LEN('Providers'!E466)=0,"",'Providers'!E466))</f>
        <v/>
      </c>
      <c r="D467" s="34">
        <f>IF(LEN('Providers'!A466)=0,"",IF(ISNUMBER('Providers'!G466),'Providers'!G466,""))</f>
        <v/>
      </c>
      <c r="E467" s="34">
        <f>IF(LEN('Providers'!A466)=0,"",IF(ISNUMBER('Providers'!I466),'Providers'!I466,""))</f>
        <v/>
      </c>
      <c r="F467" s="34">
        <f>IF(LEN('Providers'!A466)=0,"",IF(ISNUMBER('Providers'!K466),'Providers'!K466,""))</f>
        <v/>
      </c>
      <c r="G467" s="34">
        <f>IF(LEN('Providers'!A466)=0,"",IF(ISNUMBER('Providers'!M466),'Providers'!M466,""))</f>
        <v/>
      </c>
      <c r="H467" s="34">
        <f>IF(LEN('Providers'!A466)=0,"",IF(ISNUMBER('Providers'!Q466),'Providers'!Q466,""))</f>
        <v/>
      </c>
      <c r="I467" s="34">
        <f>IF(LEN('Providers'!A466)=0,"",IF(ISNUMBER('Providers'!S466),'Providers'!S466,""))</f>
        <v/>
      </c>
      <c r="J467" s="34">
        <f>IF(LEN('Providers'!A466)=0,"",IF(ISNUMBER('Providers'!W466),'Providers'!W466,""))</f>
        <v/>
      </c>
      <c r="K467" s="34">
        <f>IF(LEN('Providers'!A466)=0,"",IF(ISNUMBER('Providers'!Y466),'Providers'!Y466,""))</f>
        <v/>
      </c>
      <c r="L467" s="34">
        <f>IF(LEN('Providers'!A466)=0,"",IF(ISNUMBER('Providers'!AA466),'Providers'!AA466,""))</f>
        <v/>
      </c>
      <c r="M467" s="34">
        <f>IF(LEN('Providers'!A466)=0,"",IF(ISNUMBER('Providers'!AD466),'Providers'!AD466,""))</f>
        <v/>
      </c>
      <c r="N467" s="35">
        <f>IF(LEN('Providers'!A466)=0,"",IF(LEN('Providers'!AG466)=0,"",'Providers'!AG466))</f>
        <v/>
      </c>
    </row>
    <row r="468">
      <c r="A468" s="32">
        <f>IF(LEN('Providers'!A467)=0,"",IF(LEN('Providers'!A467)=0,"",'Providers'!A467))</f>
        <v/>
      </c>
      <c r="B468" s="33">
        <f>IF(LEN('Providers'!A467)=0,"",IF(LEN('Providers'!B467)=0,"",'Providers'!B467))</f>
        <v/>
      </c>
      <c r="C468" s="33">
        <f>IF(LEN('Providers'!A467)=0,"",IF(LEN('Providers'!E467)=0,"",'Providers'!E467))</f>
        <v/>
      </c>
      <c r="D468" s="34">
        <f>IF(LEN('Providers'!A467)=0,"",IF(ISNUMBER('Providers'!G467),'Providers'!G467,""))</f>
        <v/>
      </c>
      <c r="E468" s="34">
        <f>IF(LEN('Providers'!A467)=0,"",IF(ISNUMBER('Providers'!I467),'Providers'!I467,""))</f>
        <v/>
      </c>
      <c r="F468" s="34">
        <f>IF(LEN('Providers'!A467)=0,"",IF(ISNUMBER('Providers'!K467),'Providers'!K467,""))</f>
        <v/>
      </c>
      <c r="G468" s="34">
        <f>IF(LEN('Providers'!A467)=0,"",IF(ISNUMBER('Providers'!M467),'Providers'!M467,""))</f>
        <v/>
      </c>
      <c r="H468" s="34">
        <f>IF(LEN('Providers'!A467)=0,"",IF(ISNUMBER('Providers'!Q467),'Providers'!Q467,""))</f>
        <v/>
      </c>
      <c r="I468" s="34">
        <f>IF(LEN('Providers'!A467)=0,"",IF(ISNUMBER('Providers'!S467),'Providers'!S467,""))</f>
        <v/>
      </c>
      <c r="J468" s="34">
        <f>IF(LEN('Providers'!A467)=0,"",IF(ISNUMBER('Providers'!W467),'Providers'!W467,""))</f>
        <v/>
      </c>
      <c r="K468" s="34">
        <f>IF(LEN('Providers'!A467)=0,"",IF(ISNUMBER('Providers'!Y467),'Providers'!Y467,""))</f>
        <v/>
      </c>
      <c r="L468" s="34">
        <f>IF(LEN('Providers'!A467)=0,"",IF(ISNUMBER('Providers'!AA467),'Providers'!AA467,""))</f>
        <v/>
      </c>
      <c r="M468" s="34">
        <f>IF(LEN('Providers'!A467)=0,"",IF(ISNUMBER('Providers'!AD467),'Providers'!AD467,""))</f>
        <v/>
      </c>
      <c r="N468" s="35">
        <f>IF(LEN('Providers'!A467)=0,"",IF(LEN('Providers'!AG467)=0,"",'Providers'!AG467))</f>
        <v/>
      </c>
    </row>
    <row r="469">
      <c r="A469" s="32">
        <f>IF(LEN('Providers'!A468)=0,"",IF(LEN('Providers'!A468)=0,"",'Providers'!A468))</f>
        <v/>
      </c>
      <c r="B469" s="33">
        <f>IF(LEN('Providers'!A468)=0,"",IF(LEN('Providers'!B468)=0,"",'Providers'!B468))</f>
        <v/>
      </c>
      <c r="C469" s="33">
        <f>IF(LEN('Providers'!A468)=0,"",IF(LEN('Providers'!E468)=0,"",'Providers'!E468))</f>
        <v/>
      </c>
      <c r="D469" s="34">
        <f>IF(LEN('Providers'!A468)=0,"",IF(ISNUMBER('Providers'!G468),'Providers'!G468,""))</f>
        <v/>
      </c>
      <c r="E469" s="34">
        <f>IF(LEN('Providers'!A468)=0,"",IF(ISNUMBER('Providers'!I468),'Providers'!I468,""))</f>
        <v/>
      </c>
      <c r="F469" s="34">
        <f>IF(LEN('Providers'!A468)=0,"",IF(ISNUMBER('Providers'!K468),'Providers'!K468,""))</f>
        <v/>
      </c>
      <c r="G469" s="34">
        <f>IF(LEN('Providers'!A468)=0,"",IF(ISNUMBER('Providers'!M468),'Providers'!M468,""))</f>
        <v/>
      </c>
      <c r="H469" s="34">
        <f>IF(LEN('Providers'!A468)=0,"",IF(ISNUMBER('Providers'!Q468),'Providers'!Q468,""))</f>
        <v/>
      </c>
      <c r="I469" s="34">
        <f>IF(LEN('Providers'!A468)=0,"",IF(ISNUMBER('Providers'!S468),'Providers'!S468,""))</f>
        <v/>
      </c>
      <c r="J469" s="34">
        <f>IF(LEN('Providers'!A468)=0,"",IF(ISNUMBER('Providers'!W468),'Providers'!W468,""))</f>
        <v/>
      </c>
      <c r="K469" s="34">
        <f>IF(LEN('Providers'!A468)=0,"",IF(ISNUMBER('Providers'!Y468),'Providers'!Y468,""))</f>
        <v/>
      </c>
      <c r="L469" s="34">
        <f>IF(LEN('Providers'!A468)=0,"",IF(ISNUMBER('Providers'!AA468),'Providers'!AA468,""))</f>
        <v/>
      </c>
      <c r="M469" s="34">
        <f>IF(LEN('Providers'!A468)=0,"",IF(ISNUMBER('Providers'!AD468),'Providers'!AD468,""))</f>
        <v/>
      </c>
      <c r="N469" s="35">
        <f>IF(LEN('Providers'!A468)=0,"",IF(LEN('Providers'!AG468)=0,"",'Providers'!AG468))</f>
        <v/>
      </c>
    </row>
    <row r="470">
      <c r="A470" s="32">
        <f>IF(LEN('Providers'!A469)=0,"",IF(LEN('Providers'!A469)=0,"",'Providers'!A469))</f>
        <v/>
      </c>
      <c r="B470" s="33">
        <f>IF(LEN('Providers'!A469)=0,"",IF(LEN('Providers'!B469)=0,"",'Providers'!B469))</f>
        <v/>
      </c>
      <c r="C470" s="33">
        <f>IF(LEN('Providers'!A469)=0,"",IF(LEN('Providers'!E469)=0,"",'Providers'!E469))</f>
        <v/>
      </c>
      <c r="D470" s="34">
        <f>IF(LEN('Providers'!A469)=0,"",IF(ISNUMBER('Providers'!G469),'Providers'!G469,""))</f>
        <v/>
      </c>
      <c r="E470" s="34">
        <f>IF(LEN('Providers'!A469)=0,"",IF(ISNUMBER('Providers'!I469),'Providers'!I469,""))</f>
        <v/>
      </c>
      <c r="F470" s="34">
        <f>IF(LEN('Providers'!A469)=0,"",IF(ISNUMBER('Providers'!K469),'Providers'!K469,""))</f>
        <v/>
      </c>
      <c r="G470" s="34">
        <f>IF(LEN('Providers'!A469)=0,"",IF(ISNUMBER('Providers'!M469),'Providers'!M469,""))</f>
        <v/>
      </c>
      <c r="H470" s="34">
        <f>IF(LEN('Providers'!A469)=0,"",IF(ISNUMBER('Providers'!Q469),'Providers'!Q469,""))</f>
        <v/>
      </c>
      <c r="I470" s="34">
        <f>IF(LEN('Providers'!A469)=0,"",IF(ISNUMBER('Providers'!S469),'Providers'!S469,""))</f>
        <v/>
      </c>
      <c r="J470" s="34">
        <f>IF(LEN('Providers'!A469)=0,"",IF(ISNUMBER('Providers'!W469),'Providers'!W469,""))</f>
        <v/>
      </c>
      <c r="K470" s="34">
        <f>IF(LEN('Providers'!A469)=0,"",IF(ISNUMBER('Providers'!Y469),'Providers'!Y469,""))</f>
        <v/>
      </c>
      <c r="L470" s="34">
        <f>IF(LEN('Providers'!A469)=0,"",IF(ISNUMBER('Providers'!AA469),'Providers'!AA469,""))</f>
        <v/>
      </c>
      <c r="M470" s="34">
        <f>IF(LEN('Providers'!A469)=0,"",IF(ISNUMBER('Providers'!AD469),'Providers'!AD469,""))</f>
        <v/>
      </c>
      <c r="N470" s="35">
        <f>IF(LEN('Providers'!A469)=0,"",IF(LEN('Providers'!AG469)=0,"",'Providers'!AG469))</f>
        <v/>
      </c>
    </row>
    <row r="471">
      <c r="A471" s="32">
        <f>IF(LEN('Providers'!A470)=0,"",IF(LEN('Providers'!A470)=0,"",'Providers'!A470))</f>
        <v/>
      </c>
      <c r="B471" s="33">
        <f>IF(LEN('Providers'!A470)=0,"",IF(LEN('Providers'!B470)=0,"",'Providers'!B470))</f>
        <v/>
      </c>
      <c r="C471" s="33">
        <f>IF(LEN('Providers'!A470)=0,"",IF(LEN('Providers'!E470)=0,"",'Providers'!E470))</f>
        <v/>
      </c>
      <c r="D471" s="34">
        <f>IF(LEN('Providers'!A470)=0,"",IF(ISNUMBER('Providers'!G470),'Providers'!G470,""))</f>
        <v/>
      </c>
      <c r="E471" s="34">
        <f>IF(LEN('Providers'!A470)=0,"",IF(ISNUMBER('Providers'!I470),'Providers'!I470,""))</f>
        <v/>
      </c>
      <c r="F471" s="34">
        <f>IF(LEN('Providers'!A470)=0,"",IF(ISNUMBER('Providers'!K470),'Providers'!K470,""))</f>
        <v/>
      </c>
      <c r="G471" s="34">
        <f>IF(LEN('Providers'!A470)=0,"",IF(ISNUMBER('Providers'!M470),'Providers'!M470,""))</f>
        <v/>
      </c>
      <c r="H471" s="34">
        <f>IF(LEN('Providers'!A470)=0,"",IF(ISNUMBER('Providers'!Q470),'Providers'!Q470,""))</f>
        <v/>
      </c>
      <c r="I471" s="34">
        <f>IF(LEN('Providers'!A470)=0,"",IF(ISNUMBER('Providers'!S470),'Providers'!S470,""))</f>
        <v/>
      </c>
      <c r="J471" s="34">
        <f>IF(LEN('Providers'!A470)=0,"",IF(ISNUMBER('Providers'!W470),'Providers'!W470,""))</f>
        <v/>
      </c>
      <c r="K471" s="34">
        <f>IF(LEN('Providers'!A470)=0,"",IF(ISNUMBER('Providers'!Y470),'Providers'!Y470,""))</f>
        <v/>
      </c>
      <c r="L471" s="34">
        <f>IF(LEN('Providers'!A470)=0,"",IF(ISNUMBER('Providers'!AA470),'Providers'!AA470,""))</f>
        <v/>
      </c>
      <c r="M471" s="34">
        <f>IF(LEN('Providers'!A470)=0,"",IF(ISNUMBER('Providers'!AD470),'Providers'!AD470,""))</f>
        <v/>
      </c>
      <c r="N471" s="35">
        <f>IF(LEN('Providers'!A470)=0,"",IF(LEN('Providers'!AG470)=0,"",'Providers'!AG470))</f>
        <v/>
      </c>
    </row>
    <row r="472">
      <c r="A472" s="32">
        <f>IF(LEN('Providers'!A471)=0,"",IF(LEN('Providers'!A471)=0,"",'Providers'!A471))</f>
        <v/>
      </c>
      <c r="B472" s="33">
        <f>IF(LEN('Providers'!A471)=0,"",IF(LEN('Providers'!B471)=0,"",'Providers'!B471))</f>
        <v/>
      </c>
      <c r="C472" s="33">
        <f>IF(LEN('Providers'!A471)=0,"",IF(LEN('Providers'!E471)=0,"",'Providers'!E471))</f>
        <v/>
      </c>
      <c r="D472" s="34">
        <f>IF(LEN('Providers'!A471)=0,"",IF(ISNUMBER('Providers'!G471),'Providers'!G471,""))</f>
        <v/>
      </c>
      <c r="E472" s="34">
        <f>IF(LEN('Providers'!A471)=0,"",IF(ISNUMBER('Providers'!I471),'Providers'!I471,""))</f>
        <v/>
      </c>
      <c r="F472" s="34">
        <f>IF(LEN('Providers'!A471)=0,"",IF(ISNUMBER('Providers'!K471),'Providers'!K471,""))</f>
        <v/>
      </c>
      <c r="G472" s="34">
        <f>IF(LEN('Providers'!A471)=0,"",IF(ISNUMBER('Providers'!M471),'Providers'!M471,""))</f>
        <v/>
      </c>
      <c r="H472" s="34">
        <f>IF(LEN('Providers'!A471)=0,"",IF(ISNUMBER('Providers'!Q471),'Providers'!Q471,""))</f>
        <v/>
      </c>
      <c r="I472" s="34">
        <f>IF(LEN('Providers'!A471)=0,"",IF(ISNUMBER('Providers'!S471),'Providers'!S471,""))</f>
        <v/>
      </c>
      <c r="J472" s="34">
        <f>IF(LEN('Providers'!A471)=0,"",IF(ISNUMBER('Providers'!W471),'Providers'!W471,""))</f>
        <v/>
      </c>
      <c r="K472" s="34">
        <f>IF(LEN('Providers'!A471)=0,"",IF(ISNUMBER('Providers'!Y471),'Providers'!Y471,""))</f>
        <v/>
      </c>
      <c r="L472" s="34">
        <f>IF(LEN('Providers'!A471)=0,"",IF(ISNUMBER('Providers'!AA471),'Providers'!AA471,""))</f>
        <v/>
      </c>
      <c r="M472" s="34">
        <f>IF(LEN('Providers'!A471)=0,"",IF(ISNUMBER('Providers'!AD471),'Providers'!AD471,""))</f>
        <v/>
      </c>
      <c r="N472" s="35">
        <f>IF(LEN('Providers'!A471)=0,"",IF(LEN('Providers'!AG471)=0,"",'Providers'!AG471))</f>
        <v/>
      </c>
    </row>
    <row r="473">
      <c r="A473" s="32">
        <f>IF(LEN('Providers'!A472)=0,"",IF(LEN('Providers'!A472)=0,"",'Providers'!A472))</f>
        <v/>
      </c>
      <c r="B473" s="33">
        <f>IF(LEN('Providers'!A472)=0,"",IF(LEN('Providers'!B472)=0,"",'Providers'!B472))</f>
        <v/>
      </c>
      <c r="C473" s="33">
        <f>IF(LEN('Providers'!A472)=0,"",IF(LEN('Providers'!E472)=0,"",'Providers'!E472))</f>
        <v/>
      </c>
      <c r="D473" s="34">
        <f>IF(LEN('Providers'!A472)=0,"",IF(ISNUMBER('Providers'!G472),'Providers'!G472,""))</f>
        <v/>
      </c>
      <c r="E473" s="34">
        <f>IF(LEN('Providers'!A472)=0,"",IF(ISNUMBER('Providers'!I472),'Providers'!I472,""))</f>
        <v/>
      </c>
      <c r="F473" s="34">
        <f>IF(LEN('Providers'!A472)=0,"",IF(ISNUMBER('Providers'!K472),'Providers'!K472,""))</f>
        <v/>
      </c>
      <c r="G473" s="34">
        <f>IF(LEN('Providers'!A472)=0,"",IF(ISNUMBER('Providers'!M472),'Providers'!M472,""))</f>
        <v/>
      </c>
      <c r="H473" s="34">
        <f>IF(LEN('Providers'!A472)=0,"",IF(ISNUMBER('Providers'!Q472),'Providers'!Q472,""))</f>
        <v/>
      </c>
      <c r="I473" s="34">
        <f>IF(LEN('Providers'!A472)=0,"",IF(ISNUMBER('Providers'!S472),'Providers'!S472,""))</f>
        <v/>
      </c>
      <c r="J473" s="34">
        <f>IF(LEN('Providers'!A472)=0,"",IF(ISNUMBER('Providers'!W472),'Providers'!W472,""))</f>
        <v/>
      </c>
      <c r="K473" s="34">
        <f>IF(LEN('Providers'!A472)=0,"",IF(ISNUMBER('Providers'!Y472),'Providers'!Y472,""))</f>
        <v/>
      </c>
      <c r="L473" s="34">
        <f>IF(LEN('Providers'!A472)=0,"",IF(ISNUMBER('Providers'!AA472),'Providers'!AA472,""))</f>
        <v/>
      </c>
      <c r="M473" s="34">
        <f>IF(LEN('Providers'!A472)=0,"",IF(ISNUMBER('Providers'!AD472),'Providers'!AD472,""))</f>
        <v/>
      </c>
      <c r="N473" s="35">
        <f>IF(LEN('Providers'!A472)=0,"",IF(LEN('Providers'!AG472)=0,"",'Providers'!AG472))</f>
        <v/>
      </c>
    </row>
    <row r="474">
      <c r="A474" s="32">
        <f>IF(LEN('Providers'!A473)=0,"",IF(LEN('Providers'!A473)=0,"",'Providers'!A473))</f>
        <v/>
      </c>
      <c r="B474" s="33">
        <f>IF(LEN('Providers'!A473)=0,"",IF(LEN('Providers'!B473)=0,"",'Providers'!B473))</f>
        <v/>
      </c>
      <c r="C474" s="33">
        <f>IF(LEN('Providers'!A473)=0,"",IF(LEN('Providers'!E473)=0,"",'Providers'!E473))</f>
        <v/>
      </c>
      <c r="D474" s="34">
        <f>IF(LEN('Providers'!A473)=0,"",IF(ISNUMBER('Providers'!G473),'Providers'!G473,""))</f>
        <v/>
      </c>
      <c r="E474" s="34">
        <f>IF(LEN('Providers'!A473)=0,"",IF(ISNUMBER('Providers'!I473),'Providers'!I473,""))</f>
        <v/>
      </c>
      <c r="F474" s="34">
        <f>IF(LEN('Providers'!A473)=0,"",IF(ISNUMBER('Providers'!K473),'Providers'!K473,""))</f>
        <v/>
      </c>
      <c r="G474" s="34">
        <f>IF(LEN('Providers'!A473)=0,"",IF(ISNUMBER('Providers'!M473),'Providers'!M473,""))</f>
        <v/>
      </c>
      <c r="H474" s="34">
        <f>IF(LEN('Providers'!A473)=0,"",IF(ISNUMBER('Providers'!Q473),'Providers'!Q473,""))</f>
        <v/>
      </c>
      <c r="I474" s="34">
        <f>IF(LEN('Providers'!A473)=0,"",IF(ISNUMBER('Providers'!S473),'Providers'!S473,""))</f>
        <v/>
      </c>
      <c r="J474" s="34">
        <f>IF(LEN('Providers'!A473)=0,"",IF(ISNUMBER('Providers'!W473),'Providers'!W473,""))</f>
        <v/>
      </c>
      <c r="K474" s="34">
        <f>IF(LEN('Providers'!A473)=0,"",IF(ISNUMBER('Providers'!Y473),'Providers'!Y473,""))</f>
        <v/>
      </c>
      <c r="L474" s="34">
        <f>IF(LEN('Providers'!A473)=0,"",IF(ISNUMBER('Providers'!AA473),'Providers'!AA473,""))</f>
        <v/>
      </c>
      <c r="M474" s="34">
        <f>IF(LEN('Providers'!A473)=0,"",IF(ISNUMBER('Providers'!AD473),'Providers'!AD473,""))</f>
        <v/>
      </c>
      <c r="N474" s="35">
        <f>IF(LEN('Providers'!A473)=0,"",IF(LEN('Providers'!AG473)=0,"",'Providers'!AG473))</f>
        <v/>
      </c>
    </row>
    <row r="475">
      <c r="A475" s="32">
        <f>IF(LEN('Providers'!A474)=0,"",IF(LEN('Providers'!A474)=0,"",'Providers'!A474))</f>
        <v/>
      </c>
      <c r="B475" s="33">
        <f>IF(LEN('Providers'!A474)=0,"",IF(LEN('Providers'!B474)=0,"",'Providers'!B474))</f>
        <v/>
      </c>
      <c r="C475" s="33">
        <f>IF(LEN('Providers'!A474)=0,"",IF(LEN('Providers'!E474)=0,"",'Providers'!E474))</f>
        <v/>
      </c>
      <c r="D475" s="34">
        <f>IF(LEN('Providers'!A474)=0,"",IF(ISNUMBER('Providers'!G474),'Providers'!G474,""))</f>
        <v/>
      </c>
      <c r="E475" s="34">
        <f>IF(LEN('Providers'!A474)=0,"",IF(ISNUMBER('Providers'!I474),'Providers'!I474,""))</f>
        <v/>
      </c>
      <c r="F475" s="34">
        <f>IF(LEN('Providers'!A474)=0,"",IF(ISNUMBER('Providers'!K474),'Providers'!K474,""))</f>
        <v/>
      </c>
      <c r="G475" s="34">
        <f>IF(LEN('Providers'!A474)=0,"",IF(ISNUMBER('Providers'!M474),'Providers'!M474,""))</f>
        <v/>
      </c>
      <c r="H475" s="34">
        <f>IF(LEN('Providers'!A474)=0,"",IF(ISNUMBER('Providers'!Q474),'Providers'!Q474,""))</f>
        <v/>
      </c>
      <c r="I475" s="34">
        <f>IF(LEN('Providers'!A474)=0,"",IF(ISNUMBER('Providers'!S474),'Providers'!S474,""))</f>
        <v/>
      </c>
      <c r="J475" s="34">
        <f>IF(LEN('Providers'!A474)=0,"",IF(ISNUMBER('Providers'!W474),'Providers'!W474,""))</f>
        <v/>
      </c>
      <c r="K475" s="34">
        <f>IF(LEN('Providers'!A474)=0,"",IF(ISNUMBER('Providers'!Y474),'Providers'!Y474,""))</f>
        <v/>
      </c>
      <c r="L475" s="34">
        <f>IF(LEN('Providers'!A474)=0,"",IF(ISNUMBER('Providers'!AA474),'Providers'!AA474,""))</f>
        <v/>
      </c>
      <c r="M475" s="34">
        <f>IF(LEN('Providers'!A474)=0,"",IF(ISNUMBER('Providers'!AD474),'Providers'!AD474,""))</f>
        <v/>
      </c>
      <c r="N475" s="35">
        <f>IF(LEN('Providers'!A474)=0,"",IF(LEN('Providers'!AG474)=0,"",'Providers'!AG474))</f>
        <v/>
      </c>
    </row>
    <row r="476">
      <c r="A476" s="32">
        <f>IF(LEN('Providers'!A475)=0,"",IF(LEN('Providers'!A475)=0,"",'Providers'!A475))</f>
        <v/>
      </c>
      <c r="B476" s="33">
        <f>IF(LEN('Providers'!A475)=0,"",IF(LEN('Providers'!B475)=0,"",'Providers'!B475))</f>
        <v/>
      </c>
      <c r="C476" s="33">
        <f>IF(LEN('Providers'!A475)=0,"",IF(LEN('Providers'!E475)=0,"",'Providers'!E475))</f>
        <v/>
      </c>
      <c r="D476" s="34">
        <f>IF(LEN('Providers'!A475)=0,"",IF(ISNUMBER('Providers'!G475),'Providers'!G475,""))</f>
        <v/>
      </c>
      <c r="E476" s="34">
        <f>IF(LEN('Providers'!A475)=0,"",IF(ISNUMBER('Providers'!I475),'Providers'!I475,""))</f>
        <v/>
      </c>
      <c r="F476" s="34">
        <f>IF(LEN('Providers'!A475)=0,"",IF(ISNUMBER('Providers'!K475),'Providers'!K475,""))</f>
        <v/>
      </c>
      <c r="G476" s="34">
        <f>IF(LEN('Providers'!A475)=0,"",IF(ISNUMBER('Providers'!M475),'Providers'!M475,""))</f>
        <v/>
      </c>
      <c r="H476" s="34">
        <f>IF(LEN('Providers'!A475)=0,"",IF(ISNUMBER('Providers'!Q475),'Providers'!Q475,""))</f>
        <v/>
      </c>
      <c r="I476" s="34">
        <f>IF(LEN('Providers'!A475)=0,"",IF(ISNUMBER('Providers'!S475),'Providers'!S475,""))</f>
        <v/>
      </c>
      <c r="J476" s="34">
        <f>IF(LEN('Providers'!A475)=0,"",IF(ISNUMBER('Providers'!W475),'Providers'!W475,""))</f>
        <v/>
      </c>
      <c r="K476" s="34">
        <f>IF(LEN('Providers'!A475)=0,"",IF(ISNUMBER('Providers'!Y475),'Providers'!Y475,""))</f>
        <v/>
      </c>
      <c r="L476" s="34">
        <f>IF(LEN('Providers'!A475)=0,"",IF(ISNUMBER('Providers'!AA475),'Providers'!AA475,""))</f>
        <v/>
      </c>
      <c r="M476" s="34">
        <f>IF(LEN('Providers'!A475)=0,"",IF(ISNUMBER('Providers'!AD475),'Providers'!AD475,""))</f>
        <v/>
      </c>
      <c r="N476" s="35">
        <f>IF(LEN('Providers'!A475)=0,"",IF(LEN('Providers'!AG475)=0,"",'Providers'!AG475))</f>
        <v/>
      </c>
    </row>
    <row r="477">
      <c r="A477" s="32">
        <f>IF(LEN('Providers'!A476)=0,"",IF(LEN('Providers'!A476)=0,"",'Providers'!A476))</f>
        <v/>
      </c>
      <c r="B477" s="33">
        <f>IF(LEN('Providers'!A476)=0,"",IF(LEN('Providers'!B476)=0,"",'Providers'!B476))</f>
        <v/>
      </c>
      <c r="C477" s="33">
        <f>IF(LEN('Providers'!A476)=0,"",IF(LEN('Providers'!E476)=0,"",'Providers'!E476))</f>
        <v/>
      </c>
      <c r="D477" s="34">
        <f>IF(LEN('Providers'!A476)=0,"",IF(ISNUMBER('Providers'!G476),'Providers'!G476,""))</f>
        <v/>
      </c>
      <c r="E477" s="34">
        <f>IF(LEN('Providers'!A476)=0,"",IF(ISNUMBER('Providers'!I476),'Providers'!I476,""))</f>
        <v/>
      </c>
      <c r="F477" s="34">
        <f>IF(LEN('Providers'!A476)=0,"",IF(ISNUMBER('Providers'!K476),'Providers'!K476,""))</f>
        <v/>
      </c>
      <c r="G477" s="34">
        <f>IF(LEN('Providers'!A476)=0,"",IF(ISNUMBER('Providers'!M476),'Providers'!M476,""))</f>
        <v/>
      </c>
      <c r="H477" s="34">
        <f>IF(LEN('Providers'!A476)=0,"",IF(ISNUMBER('Providers'!Q476),'Providers'!Q476,""))</f>
        <v/>
      </c>
      <c r="I477" s="34">
        <f>IF(LEN('Providers'!A476)=0,"",IF(ISNUMBER('Providers'!S476),'Providers'!S476,""))</f>
        <v/>
      </c>
      <c r="J477" s="34">
        <f>IF(LEN('Providers'!A476)=0,"",IF(ISNUMBER('Providers'!W476),'Providers'!W476,""))</f>
        <v/>
      </c>
      <c r="K477" s="34">
        <f>IF(LEN('Providers'!A476)=0,"",IF(ISNUMBER('Providers'!Y476),'Providers'!Y476,""))</f>
        <v/>
      </c>
      <c r="L477" s="34">
        <f>IF(LEN('Providers'!A476)=0,"",IF(ISNUMBER('Providers'!AA476),'Providers'!AA476,""))</f>
        <v/>
      </c>
      <c r="M477" s="34">
        <f>IF(LEN('Providers'!A476)=0,"",IF(ISNUMBER('Providers'!AD476),'Providers'!AD476,""))</f>
        <v/>
      </c>
      <c r="N477" s="35">
        <f>IF(LEN('Providers'!A476)=0,"",IF(LEN('Providers'!AG476)=0,"",'Providers'!AG476))</f>
        <v/>
      </c>
    </row>
    <row r="478">
      <c r="A478" s="32">
        <f>IF(LEN('Providers'!A477)=0,"",IF(LEN('Providers'!A477)=0,"",'Providers'!A477))</f>
        <v/>
      </c>
      <c r="B478" s="33">
        <f>IF(LEN('Providers'!A477)=0,"",IF(LEN('Providers'!B477)=0,"",'Providers'!B477))</f>
        <v/>
      </c>
      <c r="C478" s="33">
        <f>IF(LEN('Providers'!A477)=0,"",IF(LEN('Providers'!E477)=0,"",'Providers'!E477))</f>
        <v/>
      </c>
      <c r="D478" s="34">
        <f>IF(LEN('Providers'!A477)=0,"",IF(ISNUMBER('Providers'!G477),'Providers'!G477,""))</f>
        <v/>
      </c>
      <c r="E478" s="34">
        <f>IF(LEN('Providers'!A477)=0,"",IF(ISNUMBER('Providers'!I477),'Providers'!I477,""))</f>
        <v/>
      </c>
      <c r="F478" s="34">
        <f>IF(LEN('Providers'!A477)=0,"",IF(ISNUMBER('Providers'!K477),'Providers'!K477,""))</f>
        <v/>
      </c>
      <c r="G478" s="34">
        <f>IF(LEN('Providers'!A477)=0,"",IF(ISNUMBER('Providers'!M477),'Providers'!M477,""))</f>
        <v/>
      </c>
      <c r="H478" s="34">
        <f>IF(LEN('Providers'!A477)=0,"",IF(ISNUMBER('Providers'!Q477),'Providers'!Q477,""))</f>
        <v/>
      </c>
      <c r="I478" s="34">
        <f>IF(LEN('Providers'!A477)=0,"",IF(ISNUMBER('Providers'!S477),'Providers'!S477,""))</f>
        <v/>
      </c>
      <c r="J478" s="34">
        <f>IF(LEN('Providers'!A477)=0,"",IF(ISNUMBER('Providers'!W477),'Providers'!W477,""))</f>
        <v/>
      </c>
      <c r="K478" s="34">
        <f>IF(LEN('Providers'!A477)=0,"",IF(ISNUMBER('Providers'!Y477),'Providers'!Y477,""))</f>
        <v/>
      </c>
      <c r="L478" s="34">
        <f>IF(LEN('Providers'!A477)=0,"",IF(ISNUMBER('Providers'!AA477),'Providers'!AA477,""))</f>
        <v/>
      </c>
      <c r="M478" s="34">
        <f>IF(LEN('Providers'!A477)=0,"",IF(ISNUMBER('Providers'!AD477),'Providers'!AD477,""))</f>
        <v/>
      </c>
      <c r="N478" s="35">
        <f>IF(LEN('Providers'!A477)=0,"",IF(LEN('Providers'!AG477)=0,"",'Providers'!AG477))</f>
        <v/>
      </c>
    </row>
    <row r="479">
      <c r="A479" s="32">
        <f>IF(LEN('Providers'!A478)=0,"",IF(LEN('Providers'!A478)=0,"",'Providers'!A478))</f>
        <v/>
      </c>
      <c r="B479" s="33">
        <f>IF(LEN('Providers'!A478)=0,"",IF(LEN('Providers'!B478)=0,"",'Providers'!B478))</f>
        <v/>
      </c>
      <c r="C479" s="33">
        <f>IF(LEN('Providers'!A478)=0,"",IF(LEN('Providers'!E478)=0,"",'Providers'!E478))</f>
        <v/>
      </c>
      <c r="D479" s="34">
        <f>IF(LEN('Providers'!A478)=0,"",IF(ISNUMBER('Providers'!G478),'Providers'!G478,""))</f>
        <v/>
      </c>
      <c r="E479" s="34">
        <f>IF(LEN('Providers'!A478)=0,"",IF(ISNUMBER('Providers'!I478),'Providers'!I478,""))</f>
        <v/>
      </c>
      <c r="F479" s="34">
        <f>IF(LEN('Providers'!A478)=0,"",IF(ISNUMBER('Providers'!K478),'Providers'!K478,""))</f>
        <v/>
      </c>
      <c r="G479" s="34">
        <f>IF(LEN('Providers'!A478)=0,"",IF(ISNUMBER('Providers'!M478),'Providers'!M478,""))</f>
        <v/>
      </c>
      <c r="H479" s="34">
        <f>IF(LEN('Providers'!A478)=0,"",IF(ISNUMBER('Providers'!Q478),'Providers'!Q478,""))</f>
        <v/>
      </c>
      <c r="I479" s="34">
        <f>IF(LEN('Providers'!A478)=0,"",IF(ISNUMBER('Providers'!S478),'Providers'!S478,""))</f>
        <v/>
      </c>
      <c r="J479" s="34">
        <f>IF(LEN('Providers'!A478)=0,"",IF(ISNUMBER('Providers'!W478),'Providers'!W478,""))</f>
        <v/>
      </c>
      <c r="K479" s="34">
        <f>IF(LEN('Providers'!A478)=0,"",IF(ISNUMBER('Providers'!Y478),'Providers'!Y478,""))</f>
        <v/>
      </c>
      <c r="L479" s="34">
        <f>IF(LEN('Providers'!A478)=0,"",IF(ISNUMBER('Providers'!AA478),'Providers'!AA478,""))</f>
        <v/>
      </c>
      <c r="M479" s="34">
        <f>IF(LEN('Providers'!A478)=0,"",IF(ISNUMBER('Providers'!AD478),'Providers'!AD478,""))</f>
        <v/>
      </c>
      <c r="N479" s="35">
        <f>IF(LEN('Providers'!A478)=0,"",IF(LEN('Providers'!AG478)=0,"",'Providers'!AG478))</f>
        <v/>
      </c>
    </row>
    <row r="480">
      <c r="A480" s="32">
        <f>IF(LEN('Providers'!A479)=0,"",IF(LEN('Providers'!A479)=0,"",'Providers'!A479))</f>
        <v/>
      </c>
      <c r="B480" s="33">
        <f>IF(LEN('Providers'!A479)=0,"",IF(LEN('Providers'!B479)=0,"",'Providers'!B479))</f>
        <v/>
      </c>
      <c r="C480" s="33">
        <f>IF(LEN('Providers'!A479)=0,"",IF(LEN('Providers'!E479)=0,"",'Providers'!E479))</f>
        <v/>
      </c>
      <c r="D480" s="34">
        <f>IF(LEN('Providers'!A479)=0,"",IF(ISNUMBER('Providers'!G479),'Providers'!G479,""))</f>
        <v/>
      </c>
      <c r="E480" s="34">
        <f>IF(LEN('Providers'!A479)=0,"",IF(ISNUMBER('Providers'!I479),'Providers'!I479,""))</f>
        <v/>
      </c>
      <c r="F480" s="34">
        <f>IF(LEN('Providers'!A479)=0,"",IF(ISNUMBER('Providers'!K479),'Providers'!K479,""))</f>
        <v/>
      </c>
      <c r="G480" s="34">
        <f>IF(LEN('Providers'!A479)=0,"",IF(ISNUMBER('Providers'!M479),'Providers'!M479,""))</f>
        <v/>
      </c>
      <c r="H480" s="34">
        <f>IF(LEN('Providers'!A479)=0,"",IF(ISNUMBER('Providers'!Q479),'Providers'!Q479,""))</f>
        <v/>
      </c>
      <c r="I480" s="34">
        <f>IF(LEN('Providers'!A479)=0,"",IF(ISNUMBER('Providers'!S479),'Providers'!S479,""))</f>
        <v/>
      </c>
      <c r="J480" s="34">
        <f>IF(LEN('Providers'!A479)=0,"",IF(ISNUMBER('Providers'!W479),'Providers'!W479,""))</f>
        <v/>
      </c>
      <c r="K480" s="34">
        <f>IF(LEN('Providers'!A479)=0,"",IF(ISNUMBER('Providers'!Y479),'Providers'!Y479,""))</f>
        <v/>
      </c>
      <c r="L480" s="34">
        <f>IF(LEN('Providers'!A479)=0,"",IF(ISNUMBER('Providers'!AA479),'Providers'!AA479,""))</f>
        <v/>
      </c>
      <c r="M480" s="34">
        <f>IF(LEN('Providers'!A479)=0,"",IF(ISNUMBER('Providers'!AD479),'Providers'!AD479,""))</f>
        <v/>
      </c>
      <c r="N480" s="35">
        <f>IF(LEN('Providers'!A479)=0,"",IF(LEN('Providers'!AG479)=0,"",'Providers'!AG479))</f>
        <v/>
      </c>
    </row>
    <row r="481">
      <c r="A481" s="32">
        <f>IF(LEN('Providers'!A480)=0,"",IF(LEN('Providers'!A480)=0,"",'Providers'!A480))</f>
        <v/>
      </c>
      <c r="B481" s="33">
        <f>IF(LEN('Providers'!A480)=0,"",IF(LEN('Providers'!B480)=0,"",'Providers'!B480))</f>
        <v/>
      </c>
      <c r="C481" s="33">
        <f>IF(LEN('Providers'!A480)=0,"",IF(LEN('Providers'!E480)=0,"",'Providers'!E480))</f>
        <v/>
      </c>
      <c r="D481" s="34">
        <f>IF(LEN('Providers'!A480)=0,"",IF(ISNUMBER('Providers'!G480),'Providers'!G480,""))</f>
        <v/>
      </c>
      <c r="E481" s="34">
        <f>IF(LEN('Providers'!A480)=0,"",IF(ISNUMBER('Providers'!I480),'Providers'!I480,""))</f>
        <v/>
      </c>
      <c r="F481" s="34">
        <f>IF(LEN('Providers'!A480)=0,"",IF(ISNUMBER('Providers'!K480),'Providers'!K480,""))</f>
        <v/>
      </c>
      <c r="G481" s="34">
        <f>IF(LEN('Providers'!A480)=0,"",IF(ISNUMBER('Providers'!M480),'Providers'!M480,""))</f>
        <v/>
      </c>
      <c r="H481" s="34">
        <f>IF(LEN('Providers'!A480)=0,"",IF(ISNUMBER('Providers'!Q480),'Providers'!Q480,""))</f>
        <v/>
      </c>
      <c r="I481" s="34">
        <f>IF(LEN('Providers'!A480)=0,"",IF(ISNUMBER('Providers'!S480),'Providers'!S480,""))</f>
        <v/>
      </c>
      <c r="J481" s="34">
        <f>IF(LEN('Providers'!A480)=0,"",IF(ISNUMBER('Providers'!W480),'Providers'!W480,""))</f>
        <v/>
      </c>
      <c r="K481" s="34">
        <f>IF(LEN('Providers'!A480)=0,"",IF(ISNUMBER('Providers'!Y480),'Providers'!Y480,""))</f>
        <v/>
      </c>
      <c r="L481" s="34">
        <f>IF(LEN('Providers'!A480)=0,"",IF(ISNUMBER('Providers'!AA480),'Providers'!AA480,""))</f>
        <v/>
      </c>
      <c r="M481" s="34">
        <f>IF(LEN('Providers'!A480)=0,"",IF(ISNUMBER('Providers'!AD480),'Providers'!AD480,""))</f>
        <v/>
      </c>
      <c r="N481" s="35">
        <f>IF(LEN('Providers'!A480)=0,"",IF(LEN('Providers'!AG480)=0,"",'Providers'!AG480))</f>
        <v/>
      </c>
    </row>
    <row r="482">
      <c r="A482" s="32">
        <f>IF(LEN('Providers'!A481)=0,"",IF(LEN('Providers'!A481)=0,"",'Providers'!A481))</f>
        <v/>
      </c>
      <c r="B482" s="33">
        <f>IF(LEN('Providers'!A481)=0,"",IF(LEN('Providers'!B481)=0,"",'Providers'!B481))</f>
        <v/>
      </c>
      <c r="C482" s="33">
        <f>IF(LEN('Providers'!A481)=0,"",IF(LEN('Providers'!E481)=0,"",'Providers'!E481))</f>
        <v/>
      </c>
      <c r="D482" s="34">
        <f>IF(LEN('Providers'!A481)=0,"",IF(ISNUMBER('Providers'!G481),'Providers'!G481,""))</f>
        <v/>
      </c>
      <c r="E482" s="34">
        <f>IF(LEN('Providers'!A481)=0,"",IF(ISNUMBER('Providers'!I481),'Providers'!I481,""))</f>
        <v/>
      </c>
      <c r="F482" s="34">
        <f>IF(LEN('Providers'!A481)=0,"",IF(ISNUMBER('Providers'!K481),'Providers'!K481,""))</f>
        <v/>
      </c>
      <c r="G482" s="34">
        <f>IF(LEN('Providers'!A481)=0,"",IF(ISNUMBER('Providers'!M481),'Providers'!M481,""))</f>
        <v/>
      </c>
      <c r="H482" s="34">
        <f>IF(LEN('Providers'!A481)=0,"",IF(ISNUMBER('Providers'!Q481),'Providers'!Q481,""))</f>
        <v/>
      </c>
      <c r="I482" s="34">
        <f>IF(LEN('Providers'!A481)=0,"",IF(ISNUMBER('Providers'!S481),'Providers'!S481,""))</f>
        <v/>
      </c>
      <c r="J482" s="34">
        <f>IF(LEN('Providers'!A481)=0,"",IF(ISNUMBER('Providers'!W481),'Providers'!W481,""))</f>
        <v/>
      </c>
      <c r="K482" s="34">
        <f>IF(LEN('Providers'!A481)=0,"",IF(ISNUMBER('Providers'!Y481),'Providers'!Y481,""))</f>
        <v/>
      </c>
      <c r="L482" s="34">
        <f>IF(LEN('Providers'!A481)=0,"",IF(ISNUMBER('Providers'!AA481),'Providers'!AA481,""))</f>
        <v/>
      </c>
      <c r="M482" s="34">
        <f>IF(LEN('Providers'!A481)=0,"",IF(ISNUMBER('Providers'!AD481),'Providers'!AD481,""))</f>
        <v/>
      </c>
      <c r="N482" s="35">
        <f>IF(LEN('Providers'!A481)=0,"",IF(LEN('Providers'!AG481)=0,"",'Providers'!AG481))</f>
        <v/>
      </c>
    </row>
    <row r="483">
      <c r="A483" s="32">
        <f>IF(LEN('Providers'!A482)=0,"",IF(LEN('Providers'!A482)=0,"",'Providers'!A482))</f>
        <v/>
      </c>
      <c r="B483" s="33">
        <f>IF(LEN('Providers'!A482)=0,"",IF(LEN('Providers'!B482)=0,"",'Providers'!B482))</f>
        <v/>
      </c>
      <c r="C483" s="33">
        <f>IF(LEN('Providers'!A482)=0,"",IF(LEN('Providers'!E482)=0,"",'Providers'!E482))</f>
        <v/>
      </c>
      <c r="D483" s="34">
        <f>IF(LEN('Providers'!A482)=0,"",IF(ISNUMBER('Providers'!G482),'Providers'!G482,""))</f>
        <v/>
      </c>
      <c r="E483" s="34">
        <f>IF(LEN('Providers'!A482)=0,"",IF(ISNUMBER('Providers'!I482),'Providers'!I482,""))</f>
        <v/>
      </c>
      <c r="F483" s="34">
        <f>IF(LEN('Providers'!A482)=0,"",IF(ISNUMBER('Providers'!K482),'Providers'!K482,""))</f>
        <v/>
      </c>
      <c r="G483" s="34">
        <f>IF(LEN('Providers'!A482)=0,"",IF(ISNUMBER('Providers'!M482),'Providers'!M482,""))</f>
        <v/>
      </c>
      <c r="H483" s="34">
        <f>IF(LEN('Providers'!A482)=0,"",IF(ISNUMBER('Providers'!Q482),'Providers'!Q482,""))</f>
        <v/>
      </c>
      <c r="I483" s="34">
        <f>IF(LEN('Providers'!A482)=0,"",IF(ISNUMBER('Providers'!S482),'Providers'!S482,""))</f>
        <v/>
      </c>
      <c r="J483" s="34">
        <f>IF(LEN('Providers'!A482)=0,"",IF(ISNUMBER('Providers'!W482),'Providers'!W482,""))</f>
        <v/>
      </c>
      <c r="K483" s="34">
        <f>IF(LEN('Providers'!A482)=0,"",IF(ISNUMBER('Providers'!Y482),'Providers'!Y482,""))</f>
        <v/>
      </c>
      <c r="L483" s="34">
        <f>IF(LEN('Providers'!A482)=0,"",IF(ISNUMBER('Providers'!AA482),'Providers'!AA482,""))</f>
        <v/>
      </c>
      <c r="M483" s="34">
        <f>IF(LEN('Providers'!A482)=0,"",IF(ISNUMBER('Providers'!AD482),'Providers'!AD482,""))</f>
        <v/>
      </c>
      <c r="N483" s="35">
        <f>IF(LEN('Providers'!A482)=0,"",IF(LEN('Providers'!AG482)=0,"",'Providers'!AG482))</f>
        <v/>
      </c>
    </row>
    <row r="484">
      <c r="A484" s="32">
        <f>IF(LEN('Providers'!A483)=0,"",IF(LEN('Providers'!A483)=0,"",'Providers'!A483))</f>
        <v/>
      </c>
      <c r="B484" s="33">
        <f>IF(LEN('Providers'!A483)=0,"",IF(LEN('Providers'!B483)=0,"",'Providers'!B483))</f>
        <v/>
      </c>
      <c r="C484" s="33">
        <f>IF(LEN('Providers'!A483)=0,"",IF(LEN('Providers'!E483)=0,"",'Providers'!E483))</f>
        <v/>
      </c>
      <c r="D484" s="34">
        <f>IF(LEN('Providers'!A483)=0,"",IF(ISNUMBER('Providers'!G483),'Providers'!G483,""))</f>
        <v/>
      </c>
      <c r="E484" s="34">
        <f>IF(LEN('Providers'!A483)=0,"",IF(ISNUMBER('Providers'!I483),'Providers'!I483,""))</f>
        <v/>
      </c>
      <c r="F484" s="34">
        <f>IF(LEN('Providers'!A483)=0,"",IF(ISNUMBER('Providers'!K483),'Providers'!K483,""))</f>
        <v/>
      </c>
      <c r="G484" s="34">
        <f>IF(LEN('Providers'!A483)=0,"",IF(ISNUMBER('Providers'!M483),'Providers'!M483,""))</f>
        <v/>
      </c>
      <c r="H484" s="34">
        <f>IF(LEN('Providers'!A483)=0,"",IF(ISNUMBER('Providers'!Q483),'Providers'!Q483,""))</f>
        <v/>
      </c>
      <c r="I484" s="34">
        <f>IF(LEN('Providers'!A483)=0,"",IF(ISNUMBER('Providers'!S483),'Providers'!S483,""))</f>
        <v/>
      </c>
      <c r="J484" s="34">
        <f>IF(LEN('Providers'!A483)=0,"",IF(ISNUMBER('Providers'!W483),'Providers'!W483,""))</f>
        <v/>
      </c>
      <c r="K484" s="34">
        <f>IF(LEN('Providers'!A483)=0,"",IF(ISNUMBER('Providers'!Y483),'Providers'!Y483,""))</f>
        <v/>
      </c>
      <c r="L484" s="34">
        <f>IF(LEN('Providers'!A483)=0,"",IF(ISNUMBER('Providers'!AA483),'Providers'!AA483,""))</f>
        <v/>
      </c>
      <c r="M484" s="34">
        <f>IF(LEN('Providers'!A483)=0,"",IF(ISNUMBER('Providers'!AD483),'Providers'!AD483,""))</f>
        <v/>
      </c>
      <c r="N484" s="35">
        <f>IF(LEN('Providers'!A483)=0,"",IF(LEN('Providers'!AG483)=0,"",'Providers'!AG483))</f>
        <v/>
      </c>
    </row>
    <row r="485">
      <c r="A485" s="32">
        <f>IF(LEN('Providers'!A484)=0,"",IF(LEN('Providers'!A484)=0,"",'Providers'!A484))</f>
        <v/>
      </c>
      <c r="B485" s="33">
        <f>IF(LEN('Providers'!A484)=0,"",IF(LEN('Providers'!B484)=0,"",'Providers'!B484))</f>
        <v/>
      </c>
      <c r="C485" s="33">
        <f>IF(LEN('Providers'!A484)=0,"",IF(LEN('Providers'!E484)=0,"",'Providers'!E484))</f>
        <v/>
      </c>
      <c r="D485" s="34">
        <f>IF(LEN('Providers'!A484)=0,"",IF(ISNUMBER('Providers'!G484),'Providers'!G484,""))</f>
        <v/>
      </c>
      <c r="E485" s="34">
        <f>IF(LEN('Providers'!A484)=0,"",IF(ISNUMBER('Providers'!I484),'Providers'!I484,""))</f>
        <v/>
      </c>
      <c r="F485" s="34">
        <f>IF(LEN('Providers'!A484)=0,"",IF(ISNUMBER('Providers'!K484),'Providers'!K484,""))</f>
        <v/>
      </c>
      <c r="G485" s="34">
        <f>IF(LEN('Providers'!A484)=0,"",IF(ISNUMBER('Providers'!M484),'Providers'!M484,""))</f>
        <v/>
      </c>
      <c r="H485" s="34">
        <f>IF(LEN('Providers'!A484)=0,"",IF(ISNUMBER('Providers'!Q484),'Providers'!Q484,""))</f>
        <v/>
      </c>
      <c r="I485" s="34">
        <f>IF(LEN('Providers'!A484)=0,"",IF(ISNUMBER('Providers'!S484),'Providers'!S484,""))</f>
        <v/>
      </c>
      <c r="J485" s="34">
        <f>IF(LEN('Providers'!A484)=0,"",IF(ISNUMBER('Providers'!W484),'Providers'!W484,""))</f>
        <v/>
      </c>
      <c r="K485" s="34">
        <f>IF(LEN('Providers'!A484)=0,"",IF(ISNUMBER('Providers'!Y484),'Providers'!Y484,""))</f>
        <v/>
      </c>
      <c r="L485" s="34">
        <f>IF(LEN('Providers'!A484)=0,"",IF(ISNUMBER('Providers'!AA484),'Providers'!AA484,""))</f>
        <v/>
      </c>
      <c r="M485" s="34">
        <f>IF(LEN('Providers'!A484)=0,"",IF(ISNUMBER('Providers'!AD484),'Providers'!AD484,""))</f>
        <v/>
      </c>
      <c r="N485" s="35">
        <f>IF(LEN('Providers'!A484)=0,"",IF(LEN('Providers'!AG484)=0,"",'Providers'!AG484))</f>
        <v/>
      </c>
    </row>
    <row r="486">
      <c r="A486" s="32">
        <f>IF(LEN('Providers'!A485)=0,"",IF(LEN('Providers'!A485)=0,"",'Providers'!A485))</f>
        <v/>
      </c>
      <c r="B486" s="33">
        <f>IF(LEN('Providers'!A485)=0,"",IF(LEN('Providers'!B485)=0,"",'Providers'!B485))</f>
        <v/>
      </c>
      <c r="C486" s="33">
        <f>IF(LEN('Providers'!A485)=0,"",IF(LEN('Providers'!E485)=0,"",'Providers'!E485))</f>
        <v/>
      </c>
      <c r="D486" s="34">
        <f>IF(LEN('Providers'!A485)=0,"",IF(ISNUMBER('Providers'!G485),'Providers'!G485,""))</f>
        <v/>
      </c>
      <c r="E486" s="34">
        <f>IF(LEN('Providers'!A485)=0,"",IF(ISNUMBER('Providers'!I485),'Providers'!I485,""))</f>
        <v/>
      </c>
      <c r="F486" s="34">
        <f>IF(LEN('Providers'!A485)=0,"",IF(ISNUMBER('Providers'!K485),'Providers'!K485,""))</f>
        <v/>
      </c>
      <c r="G486" s="34">
        <f>IF(LEN('Providers'!A485)=0,"",IF(ISNUMBER('Providers'!M485),'Providers'!M485,""))</f>
        <v/>
      </c>
      <c r="H486" s="34">
        <f>IF(LEN('Providers'!A485)=0,"",IF(ISNUMBER('Providers'!Q485),'Providers'!Q485,""))</f>
        <v/>
      </c>
      <c r="I486" s="34">
        <f>IF(LEN('Providers'!A485)=0,"",IF(ISNUMBER('Providers'!S485),'Providers'!S485,""))</f>
        <v/>
      </c>
      <c r="J486" s="34">
        <f>IF(LEN('Providers'!A485)=0,"",IF(ISNUMBER('Providers'!W485),'Providers'!W485,""))</f>
        <v/>
      </c>
      <c r="K486" s="34">
        <f>IF(LEN('Providers'!A485)=0,"",IF(ISNUMBER('Providers'!Y485),'Providers'!Y485,""))</f>
        <v/>
      </c>
      <c r="L486" s="34">
        <f>IF(LEN('Providers'!A485)=0,"",IF(ISNUMBER('Providers'!AA485),'Providers'!AA485,""))</f>
        <v/>
      </c>
      <c r="M486" s="34">
        <f>IF(LEN('Providers'!A485)=0,"",IF(ISNUMBER('Providers'!AD485),'Providers'!AD485,""))</f>
        <v/>
      </c>
      <c r="N486" s="35">
        <f>IF(LEN('Providers'!A485)=0,"",IF(LEN('Providers'!AG485)=0,"",'Providers'!AG485))</f>
        <v/>
      </c>
    </row>
    <row r="487">
      <c r="A487" s="32">
        <f>IF(LEN('Providers'!A486)=0,"",IF(LEN('Providers'!A486)=0,"",'Providers'!A486))</f>
        <v/>
      </c>
      <c r="B487" s="33">
        <f>IF(LEN('Providers'!A486)=0,"",IF(LEN('Providers'!B486)=0,"",'Providers'!B486))</f>
        <v/>
      </c>
      <c r="C487" s="33">
        <f>IF(LEN('Providers'!A486)=0,"",IF(LEN('Providers'!E486)=0,"",'Providers'!E486))</f>
        <v/>
      </c>
      <c r="D487" s="34">
        <f>IF(LEN('Providers'!A486)=0,"",IF(ISNUMBER('Providers'!G486),'Providers'!G486,""))</f>
        <v/>
      </c>
      <c r="E487" s="34">
        <f>IF(LEN('Providers'!A486)=0,"",IF(ISNUMBER('Providers'!I486),'Providers'!I486,""))</f>
        <v/>
      </c>
      <c r="F487" s="34">
        <f>IF(LEN('Providers'!A486)=0,"",IF(ISNUMBER('Providers'!K486),'Providers'!K486,""))</f>
        <v/>
      </c>
      <c r="G487" s="34">
        <f>IF(LEN('Providers'!A486)=0,"",IF(ISNUMBER('Providers'!M486),'Providers'!M486,""))</f>
        <v/>
      </c>
      <c r="H487" s="34">
        <f>IF(LEN('Providers'!A486)=0,"",IF(ISNUMBER('Providers'!Q486),'Providers'!Q486,""))</f>
        <v/>
      </c>
      <c r="I487" s="34">
        <f>IF(LEN('Providers'!A486)=0,"",IF(ISNUMBER('Providers'!S486),'Providers'!S486,""))</f>
        <v/>
      </c>
      <c r="J487" s="34">
        <f>IF(LEN('Providers'!A486)=0,"",IF(ISNUMBER('Providers'!W486),'Providers'!W486,""))</f>
        <v/>
      </c>
      <c r="K487" s="34">
        <f>IF(LEN('Providers'!A486)=0,"",IF(ISNUMBER('Providers'!Y486),'Providers'!Y486,""))</f>
        <v/>
      </c>
      <c r="L487" s="34">
        <f>IF(LEN('Providers'!A486)=0,"",IF(ISNUMBER('Providers'!AA486),'Providers'!AA486,""))</f>
        <v/>
      </c>
      <c r="M487" s="34">
        <f>IF(LEN('Providers'!A486)=0,"",IF(ISNUMBER('Providers'!AD486),'Providers'!AD486,""))</f>
        <v/>
      </c>
      <c r="N487" s="35">
        <f>IF(LEN('Providers'!A486)=0,"",IF(LEN('Providers'!AG486)=0,"",'Providers'!AG486))</f>
        <v/>
      </c>
    </row>
    <row r="488">
      <c r="A488" s="32">
        <f>IF(LEN('Providers'!A487)=0,"",IF(LEN('Providers'!A487)=0,"",'Providers'!A487))</f>
        <v/>
      </c>
      <c r="B488" s="33">
        <f>IF(LEN('Providers'!A487)=0,"",IF(LEN('Providers'!B487)=0,"",'Providers'!B487))</f>
        <v/>
      </c>
      <c r="C488" s="33">
        <f>IF(LEN('Providers'!A487)=0,"",IF(LEN('Providers'!E487)=0,"",'Providers'!E487))</f>
        <v/>
      </c>
      <c r="D488" s="34">
        <f>IF(LEN('Providers'!A487)=0,"",IF(ISNUMBER('Providers'!G487),'Providers'!G487,""))</f>
        <v/>
      </c>
      <c r="E488" s="34">
        <f>IF(LEN('Providers'!A487)=0,"",IF(ISNUMBER('Providers'!I487),'Providers'!I487,""))</f>
        <v/>
      </c>
      <c r="F488" s="34">
        <f>IF(LEN('Providers'!A487)=0,"",IF(ISNUMBER('Providers'!K487),'Providers'!K487,""))</f>
        <v/>
      </c>
      <c r="G488" s="34">
        <f>IF(LEN('Providers'!A487)=0,"",IF(ISNUMBER('Providers'!M487),'Providers'!M487,""))</f>
        <v/>
      </c>
      <c r="H488" s="34">
        <f>IF(LEN('Providers'!A487)=0,"",IF(ISNUMBER('Providers'!Q487),'Providers'!Q487,""))</f>
        <v/>
      </c>
      <c r="I488" s="34">
        <f>IF(LEN('Providers'!A487)=0,"",IF(ISNUMBER('Providers'!S487),'Providers'!S487,""))</f>
        <v/>
      </c>
      <c r="J488" s="34">
        <f>IF(LEN('Providers'!A487)=0,"",IF(ISNUMBER('Providers'!W487),'Providers'!W487,""))</f>
        <v/>
      </c>
      <c r="K488" s="34">
        <f>IF(LEN('Providers'!A487)=0,"",IF(ISNUMBER('Providers'!Y487),'Providers'!Y487,""))</f>
        <v/>
      </c>
      <c r="L488" s="34">
        <f>IF(LEN('Providers'!A487)=0,"",IF(ISNUMBER('Providers'!AA487),'Providers'!AA487,""))</f>
        <v/>
      </c>
      <c r="M488" s="34">
        <f>IF(LEN('Providers'!A487)=0,"",IF(ISNUMBER('Providers'!AD487),'Providers'!AD487,""))</f>
        <v/>
      </c>
      <c r="N488" s="35">
        <f>IF(LEN('Providers'!A487)=0,"",IF(LEN('Providers'!AG487)=0,"",'Providers'!AG487))</f>
        <v/>
      </c>
    </row>
    <row r="489">
      <c r="A489" s="32">
        <f>IF(LEN('Providers'!A488)=0,"",IF(LEN('Providers'!A488)=0,"",'Providers'!A488))</f>
        <v/>
      </c>
      <c r="B489" s="33">
        <f>IF(LEN('Providers'!A488)=0,"",IF(LEN('Providers'!B488)=0,"",'Providers'!B488))</f>
        <v/>
      </c>
      <c r="C489" s="33">
        <f>IF(LEN('Providers'!A488)=0,"",IF(LEN('Providers'!E488)=0,"",'Providers'!E488))</f>
        <v/>
      </c>
      <c r="D489" s="34">
        <f>IF(LEN('Providers'!A488)=0,"",IF(ISNUMBER('Providers'!G488),'Providers'!G488,""))</f>
        <v/>
      </c>
      <c r="E489" s="34">
        <f>IF(LEN('Providers'!A488)=0,"",IF(ISNUMBER('Providers'!I488),'Providers'!I488,""))</f>
        <v/>
      </c>
      <c r="F489" s="34">
        <f>IF(LEN('Providers'!A488)=0,"",IF(ISNUMBER('Providers'!K488),'Providers'!K488,""))</f>
        <v/>
      </c>
      <c r="G489" s="34">
        <f>IF(LEN('Providers'!A488)=0,"",IF(ISNUMBER('Providers'!M488),'Providers'!M488,""))</f>
        <v/>
      </c>
      <c r="H489" s="34">
        <f>IF(LEN('Providers'!A488)=0,"",IF(ISNUMBER('Providers'!Q488),'Providers'!Q488,""))</f>
        <v/>
      </c>
      <c r="I489" s="34">
        <f>IF(LEN('Providers'!A488)=0,"",IF(ISNUMBER('Providers'!S488),'Providers'!S488,""))</f>
        <v/>
      </c>
      <c r="J489" s="34">
        <f>IF(LEN('Providers'!A488)=0,"",IF(ISNUMBER('Providers'!W488),'Providers'!W488,""))</f>
        <v/>
      </c>
      <c r="K489" s="34">
        <f>IF(LEN('Providers'!A488)=0,"",IF(ISNUMBER('Providers'!Y488),'Providers'!Y488,""))</f>
        <v/>
      </c>
      <c r="L489" s="34">
        <f>IF(LEN('Providers'!A488)=0,"",IF(ISNUMBER('Providers'!AA488),'Providers'!AA488,""))</f>
        <v/>
      </c>
      <c r="M489" s="34">
        <f>IF(LEN('Providers'!A488)=0,"",IF(ISNUMBER('Providers'!AD488),'Providers'!AD488,""))</f>
        <v/>
      </c>
      <c r="N489" s="35">
        <f>IF(LEN('Providers'!A488)=0,"",IF(LEN('Providers'!AG488)=0,"",'Providers'!AG488))</f>
        <v/>
      </c>
    </row>
    <row r="490">
      <c r="A490" s="32">
        <f>IF(LEN('Providers'!A489)=0,"",IF(LEN('Providers'!A489)=0,"",'Providers'!A489))</f>
        <v/>
      </c>
      <c r="B490" s="33">
        <f>IF(LEN('Providers'!A489)=0,"",IF(LEN('Providers'!B489)=0,"",'Providers'!B489))</f>
        <v/>
      </c>
      <c r="C490" s="33">
        <f>IF(LEN('Providers'!A489)=0,"",IF(LEN('Providers'!E489)=0,"",'Providers'!E489))</f>
        <v/>
      </c>
      <c r="D490" s="34">
        <f>IF(LEN('Providers'!A489)=0,"",IF(ISNUMBER('Providers'!G489),'Providers'!G489,""))</f>
        <v/>
      </c>
      <c r="E490" s="34">
        <f>IF(LEN('Providers'!A489)=0,"",IF(ISNUMBER('Providers'!I489),'Providers'!I489,""))</f>
        <v/>
      </c>
      <c r="F490" s="34">
        <f>IF(LEN('Providers'!A489)=0,"",IF(ISNUMBER('Providers'!K489),'Providers'!K489,""))</f>
        <v/>
      </c>
      <c r="G490" s="34">
        <f>IF(LEN('Providers'!A489)=0,"",IF(ISNUMBER('Providers'!M489),'Providers'!M489,""))</f>
        <v/>
      </c>
      <c r="H490" s="34">
        <f>IF(LEN('Providers'!A489)=0,"",IF(ISNUMBER('Providers'!Q489),'Providers'!Q489,""))</f>
        <v/>
      </c>
      <c r="I490" s="34">
        <f>IF(LEN('Providers'!A489)=0,"",IF(ISNUMBER('Providers'!S489),'Providers'!S489,""))</f>
        <v/>
      </c>
      <c r="J490" s="34">
        <f>IF(LEN('Providers'!A489)=0,"",IF(ISNUMBER('Providers'!W489),'Providers'!W489,""))</f>
        <v/>
      </c>
      <c r="K490" s="34">
        <f>IF(LEN('Providers'!A489)=0,"",IF(ISNUMBER('Providers'!Y489),'Providers'!Y489,""))</f>
        <v/>
      </c>
      <c r="L490" s="34">
        <f>IF(LEN('Providers'!A489)=0,"",IF(ISNUMBER('Providers'!AA489),'Providers'!AA489,""))</f>
        <v/>
      </c>
      <c r="M490" s="34">
        <f>IF(LEN('Providers'!A489)=0,"",IF(ISNUMBER('Providers'!AD489),'Providers'!AD489,""))</f>
        <v/>
      </c>
      <c r="N490" s="35">
        <f>IF(LEN('Providers'!A489)=0,"",IF(LEN('Providers'!AG489)=0,"",'Providers'!AG489))</f>
        <v/>
      </c>
    </row>
    <row r="491">
      <c r="A491" s="32">
        <f>IF(LEN('Providers'!A490)=0,"",IF(LEN('Providers'!A490)=0,"",'Providers'!A490))</f>
        <v/>
      </c>
      <c r="B491" s="33">
        <f>IF(LEN('Providers'!A490)=0,"",IF(LEN('Providers'!B490)=0,"",'Providers'!B490))</f>
        <v/>
      </c>
      <c r="C491" s="33">
        <f>IF(LEN('Providers'!A490)=0,"",IF(LEN('Providers'!E490)=0,"",'Providers'!E490))</f>
        <v/>
      </c>
      <c r="D491" s="34">
        <f>IF(LEN('Providers'!A490)=0,"",IF(ISNUMBER('Providers'!G490),'Providers'!G490,""))</f>
        <v/>
      </c>
      <c r="E491" s="34">
        <f>IF(LEN('Providers'!A490)=0,"",IF(ISNUMBER('Providers'!I490),'Providers'!I490,""))</f>
        <v/>
      </c>
      <c r="F491" s="34">
        <f>IF(LEN('Providers'!A490)=0,"",IF(ISNUMBER('Providers'!K490),'Providers'!K490,""))</f>
        <v/>
      </c>
      <c r="G491" s="34">
        <f>IF(LEN('Providers'!A490)=0,"",IF(ISNUMBER('Providers'!M490),'Providers'!M490,""))</f>
        <v/>
      </c>
      <c r="H491" s="34">
        <f>IF(LEN('Providers'!A490)=0,"",IF(ISNUMBER('Providers'!Q490),'Providers'!Q490,""))</f>
        <v/>
      </c>
      <c r="I491" s="34">
        <f>IF(LEN('Providers'!A490)=0,"",IF(ISNUMBER('Providers'!S490),'Providers'!S490,""))</f>
        <v/>
      </c>
      <c r="J491" s="34">
        <f>IF(LEN('Providers'!A490)=0,"",IF(ISNUMBER('Providers'!W490),'Providers'!W490,""))</f>
        <v/>
      </c>
      <c r="K491" s="34">
        <f>IF(LEN('Providers'!A490)=0,"",IF(ISNUMBER('Providers'!Y490),'Providers'!Y490,""))</f>
        <v/>
      </c>
      <c r="L491" s="34">
        <f>IF(LEN('Providers'!A490)=0,"",IF(ISNUMBER('Providers'!AA490),'Providers'!AA490,""))</f>
        <v/>
      </c>
      <c r="M491" s="34">
        <f>IF(LEN('Providers'!A490)=0,"",IF(ISNUMBER('Providers'!AD490),'Providers'!AD490,""))</f>
        <v/>
      </c>
      <c r="N491" s="35">
        <f>IF(LEN('Providers'!A490)=0,"",IF(LEN('Providers'!AG490)=0,"",'Providers'!AG490))</f>
        <v/>
      </c>
    </row>
    <row r="492">
      <c r="A492" s="32">
        <f>IF(LEN('Providers'!A491)=0,"",IF(LEN('Providers'!A491)=0,"",'Providers'!A491))</f>
        <v/>
      </c>
      <c r="B492" s="33">
        <f>IF(LEN('Providers'!A491)=0,"",IF(LEN('Providers'!B491)=0,"",'Providers'!B491))</f>
        <v/>
      </c>
      <c r="C492" s="33">
        <f>IF(LEN('Providers'!A491)=0,"",IF(LEN('Providers'!E491)=0,"",'Providers'!E491))</f>
        <v/>
      </c>
      <c r="D492" s="34">
        <f>IF(LEN('Providers'!A491)=0,"",IF(ISNUMBER('Providers'!G491),'Providers'!G491,""))</f>
        <v/>
      </c>
      <c r="E492" s="34">
        <f>IF(LEN('Providers'!A491)=0,"",IF(ISNUMBER('Providers'!I491),'Providers'!I491,""))</f>
        <v/>
      </c>
      <c r="F492" s="34">
        <f>IF(LEN('Providers'!A491)=0,"",IF(ISNUMBER('Providers'!K491),'Providers'!K491,""))</f>
        <v/>
      </c>
      <c r="G492" s="34">
        <f>IF(LEN('Providers'!A491)=0,"",IF(ISNUMBER('Providers'!M491),'Providers'!M491,""))</f>
        <v/>
      </c>
      <c r="H492" s="34">
        <f>IF(LEN('Providers'!A491)=0,"",IF(ISNUMBER('Providers'!Q491),'Providers'!Q491,""))</f>
        <v/>
      </c>
      <c r="I492" s="34">
        <f>IF(LEN('Providers'!A491)=0,"",IF(ISNUMBER('Providers'!S491),'Providers'!S491,""))</f>
        <v/>
      </c>
      <c r="J492" s="34">
        <f>IF(LEN('Providers'!A491)=0,"",IF(ISNUMBER('Providers'!W491),'Providers'!W491,""))</f>
        <v/>
      </c>
      <c r="K492" s="34">
        <f>IF(LEN('Providers'!A491)=0,"",IF(ISNUMBER('Providers'!Y491),'Providers'!Y491,""))</f>
        <v/>
      </c>
      <c r="L492" s="34">
        <f>IF(LEN('Providers'!A491)=0,"",IF(ISNUMBER('Providers'!AA491),'Providers'!AA491,""))</f>
        <v/>
      </c>
      <c r="M492" s="34">
        <f>IF(LEN('Providers'!A491)=0,"",IF(ISNUMBER('Providers'!AD491),'Providers'!AD491,""))</f>
        <v/>
      </c>
      <c r="N492" s="35">
        <f>IF(LEN('Providers'!A491)=0,"",IF(LEN('Providers'!AG491)=0,"",'Providers'!AG491))</f>
        <v/>
      </c>
    </row>
    <row r="493">
      <c r="A493" s="32">
        <f>IF(LEN('Providers'!A492)=0,"",IF(LEN('Providers'!A492)=0,"",'Providers'!A492))</f>
        <v/>
      </c>
      <c r="B493" s="33">
        <f>IF(LEN('Providers'!A492)=0,"",IF(LEN('Providers'!B492)=0,"",'Providers'!B492))</f>
        <v/>
      </c>
      <c r="C493" s="33">
        <f>IF(LEN('Providers'!A492)=0,"",IF(LEN('Providers'!E492)=0,"",'Providers'!E492))</f>
        <v/>
      </c>
      <c r="D493" s="34">
        <f>IF(LEN('Providers'!A492)=0,"",IF(ISNUMBER('Providers'!G492),'Providers'!G492,""))</f>
        <v/>
      </c>
      <c r="E493" s="34">
        <f>IF(LEN('Providers'!A492)=0,"",IF(ISNUMBER('Providers'!I492),'Providers'!I492,""))</f>
        <v/>
      </c>
      <c r="F493" s="34">
        <f>IF(LEN('Providers'!A492)=0,"",IF(ISNUMBER('Providers'!K492),'Providers'!K492,""))</f>
        <v/>
      </c>
      <c r="G493" s="34">
        <f>IF(LEN('Providers'!A492)=0,"",IF(ISNUMBER('Providers'!M492),'Providers'!M492,""))</f>
        <v/>
      </c>
      <c r="H493" s="34">
        <f>IF(LEN('Providers'!A492)=0,"",IF(ISNUMBER('Providers'!Q492),'Providers'!Q492,""))</f>
        <v/>
      </c>
      <c r="I493" s="34">
        <f>IF(LEN('Providers'!A492)=0,"",IF(ISNUMBER('Providers'!S492),'Providers'!S492,""))</f>
        <v/>
      </c>
      <c r="J493" s="34">
        <f>IF(LEN('Providers'!A492)=0,"",IF(ISNUMBER('Providers'!W492),'Providers'!W492,""))</f>
        <v/>
      </c>
      <c r="K493" s="34">
        <f>IF(LEN('Providers'!A492)=0,"",IF(ISNUMBER('Providers'!Y492),'Providers'!Y492,""))</f>
        <v/>
      </c>
      <c r="L493" s="34">
        <f>IF(LEN('Providers'!A492)=0,"",IF(ISNUMBER('Providers'!AA492),'Providers'!AA492,""))</f>
        <v/>
      </c>
      <c r="M493" s="34">
        <f>IF(LEN('Providers'!A492)=0,"",IF(ISNUMBER('Providers'!AD492),'Providers'!AD492,""))</f>
        <v/>
      </c>
      <c r="N493" s="35">
        <f>IF(LEN('Providers'!A492)=0,"",IF(LEN('Providers'!AG492)=0,"",'Providers'!AG492))</f>
        <v/>
      </c>
    </row>
    <row r="494">
      <c r="A494" s="32">
        <f>IF(LEN('Providers'!A493)=0,"",IF(LEN('Providers'!A493)=0,"",'Providers'!A493))</f>
        <v/>
      </c>
      <c r="B494" s="33">
        <f>IF(LEN('Providers'!A493)=0,"",IF(LEN('Providers'!B493)=0,"",'Providers'!B493))</f>
        <v/>
      </c>
      <c r="C494" s="33">
        <f>IF(LEN('Providers'!A493)=0,"",IF(LEN('Providers'!E493)=0,"",'Providers'!E493))</f>
        <v/>
      </c>
      <c r="D494" s="34">
        <f>IF(LEN('Providers'!A493)=0,"",IF(ISNUMBER('Providers'!G493),'Providers'!G493,""))</f>
        <v/>
      </c>
      <c r="E494" s="34">
        <f>IF(LEN('Providers'!A493)=0,"",IF(ISNUMBER('Providers'!I493),'Providers'!I493,""))</f>
        <v/>
      </c>
      <c r="F494" s="34">
        <f>IF(LEN('Providers'!A493)=0,"",IF(ISNUMBER('Providers'!K493),'Providers'!K493,""))</f>
        <v/>
      </c>
      <c r="G494" s="34">
        <f>IF(LEN('Providers'!A493)=0,"",IF(ISNUMBER('Providers'!M493),'Providers'!M493,""))</f>
        <v/>
      </c>
      <c r="H494" s="34">
        <f>IF(LEN('Providers'!A493)=0,"",IF(ISNUMBER('Providers'!Q493),'Providers'!Q493,""))</f>
        <v/>
      </c>
      <c r="I494" s="34">
        <f>IF(LEN('Providers'!A493)=0,"",IF(ISNUMBER('Providers'!S493),'Providers'!S493,""))</f>
        <v/>
      </c>
      <c r="J494" s="34">
        <f>IF(LEN('Providers'!A493)=0,"",IF(ISNUMBER('Providers'!W493),'Providers'!W493,""))</f>
        <v/>
      </c>
      <c r="K494" s="34">
        <f>IF(LEN('Providers'!A493)=0,"",IF(ISNUMBER('Providers'!Y493),'Providers'!Y493,""))</f>
        <v/>
      </c>
      <c r="L494" s="34">
        <f>IF(LEN('Providers'!A493)=0,"",IF(ISNUMBER('Providers'!AA493),'Providers'!AA493,""))</f>
        <v/>
      </c>
      <c r="M494" s="34">
        <f>IF(LEN('Providers'!A493)=0,"",IF(ISNUMBER('Providers'!AD493),'Providers'!AD493,""))</f>
        <v/>
      </c>
      <c r="N494" s="35">
        <f>IF(LEN('Providers'!A493)=0,"",IF(LEN('Providers'!AG493)=0,"",'Providers'!AG493))</f>
        <v/>
      </c>
    </row>
    <row r="495">
      <c r="A495" s="32">
        <f>IF(LEN('Providers'!A494)=0,"",IF(LEN('Providers'!A494)=0,"",'Providers'!A494))</f>
        <v/>
      </c>
      <c r="B495" s="33">
        <f>IF(LEN('Providers'!A494)=0,"",IF(LEN('Providers'!B494)=0,"",'Providers'!B494))</f>
        <v/>
      </c>
      <c r="C495" s="33">
        <f>IF(LEN('Providers'!A494)=0,"",IF(LEN('Providers'!E494)=0,"",'Providers'!E494))</f>
        <v/>
      </c>
      <c r="D495" s="34">
        <f>IF(LEN('Providers'!A494)=0,"",IF(ISNUMBER('Providers'!G494),'Providers'!G494,""))</f>
        <v/>
      </c>
      <c r="E495" s="34">
        <f>IF(LEN('Providers'!A494)=0,"",IF(ISNUMBER('Providers'!I494),'Providers'!I494,""))</f>
        <v/>
      </c>
      <c r="F495" s="34">
        <f>IF(LEN('Providers'!A494)=0,"",IF(ISNUMBER('Providers'!K494),'Providers'!K494,""))</f>
        <v/>
      </c>
      <c r="G495" s="34">
        <f>IF(LEN('Providers'!A494)=0,"",IF(ISNUMBER('Providers'!M494),'Providers'!M494,""))</f>
        <v/>
      </c>
      <c r="H495" s="34">
        <f>IF(LEN('Providers'!A494)=0,"",IF(ISNUMBER('Providers'!Q494),'Providers'!Q494,""))</f>
        <v/>
      </c>
      <c r="I495" s="34">
        <f>IF(LEN('Providers'!A494)=0,"",IF(ISNUMBER('Providers'!S494),'Providers'!S494,""))</f>
        <v/>
      </c>
      <c r="J495" s="34">
        <f>IF(LEN('Providers'!A494)=0,"",IF(ISNUMBER('Providers'!W494),'Providers'!W494,""))</f>
        <v/>
      </c>
      <c r="K495" s="34">
        <f>IF(LEN('Providers'!A494)=0,"",IF(ISNUMBER('Providers'!Y494),'Providers'!Y494,""))</f>
        <v/>
      </c>
      <c r="L495" s="34">
        <f>IF(LEN('Providers'!A494)=0,"",IF(ISNUMBER('Providers'!AA494),'Providers'!AA494,""))</f>
        <v/>
      </c>
      <c r="M495" s="34">
        <f>IF(LEN('Providers'!A494)=0,"",IF(ISNUMBER('Providers'!AD494),'Providers'!AD494,""))</f>
        <v/>
      </c>
      <c r="N495" s="35">
        <f>IF(LEN('Providers'!A494)=0,"",IF(LEN('Providers'!AG494)=0,"",'Providers'!AG494))</f>
        <v/>
      </c>
    </row>
    <row r="496">
      <c r="A496" s="32">
        <f>IF(LEN('Providers'!A495)=0,"",IF(LEN('Providers'!A495)=0,"",'Providers'!A495))</f>
        <v/>
      </c>
      <c r="B496" s="33">
        <f>IF(LEN('Providers'!A495)=0,"",IF(LEN('Providers'!B495)=0,"",'Providers'!B495))</f>
        <v/>
      </c>
      <c r="C496" s="33">
        <f>IF(LEN('Providers'!A495)=0,"",IF(LEN('Providers'!E495)=0,"",'Providers'!E495))</f>
        <v/>
      </c>
      <c r="D496" s="34">
        <f>IF(LEN('Providers'!A495)=0,"",IF(ISNUMBER('Providers'!G495),'Providers'!G495,""))</f>
        <v/>
      </c>
      <c r="E496" s="34">
        <f>IF(LEN('Providers'!A495)=0,"",IF(ISNUMBER('Providers'!I495),'Providers'!I495,""))</f>
        <v/>
      </c>
      <c r="F496" s="34">
        <f>IF(LEN('Providers'!A495)=0,"",IF(ISNUMBER('Providers'!K495),'Providers'!K495,""))</f>
        <v/>
      </c>
      <c r="G496" s="34">
        <f>IF(LEN('Providers'!A495)=0,"",IF(ISNUMBER('Providers'!M495),'Providers'!M495,""))</f>
        <v/>
      </c>
      <c r="H496" s="34">
        <f>IF(LEN('Providers'!A495)=0,"",IF(ISNUMBER('Providers'!Q495),'Providers'!Q495,""))</f>
        <v/>
      </c>
      <c r="I496" s="34">
        <f>IF(LEN('Providers'!A495)=0,"",IF(ISNUMBER('Providers'!S495),'Providers'!S495,""))</f>
        <v/>
      </c>
      <c r="J496" s="34">
        <f>IF(LEN('Providers'!A495)=0,"",IF(ISNUMBER('Providers'!W495),'Providers'!W495,""))</f>
        <v/>
      </c>
      <c r="K496" s="34">
        <f>IF(LEN('Providers'!A495)=0,"",IF(ISNUMBER('Providers'!Y495),'Providers'!Y495,""))</f>
        <v/>
      </c>
      <c r="L496" s="34">
        <f>IF(LEN('Providers'!A495)=0,"",IF(ISNUMBER('Providers'!AA495),'Providers'!AA495,""))</f>
        <v/>
      </c>
      <c r="M496" s="34">
        <f>IF(LEN('Providers'!A495)=0,"",IF(ISNUMBER('Providers'!AD495),'Providers'!AD495,""))</f>
        <v/>
      </c>
      <c r="N496" s="35">
        <f>IF(LEN('Providers'!A495)=0,"",IF(LEN('Providers'!AG495)=0,"",'Providers'!AG495))</f>
        <v/>
      </c>
    </row>
    <row r="497">
      <c r="A497" s="32">
        <f>IF(LEN('Providers'!A496)=0,"",IF(LEN('Providers'!A496)=0,"",'Providers'!A496))</f>
        <v/>
      </c>
      <c r="B497" s="33">
        <f>IF(LEN('Providers'!A496)=0,"",IF(LEN('Providers'!B496)=0,"",'Providers'!B496))</f>
        <v/>
      </c>
      <c r="C497" s="33">
        <f>IF(LEN('Providers'!A496)=0,"",IF(LEN('Providers'!E496)=0,"",'Providers'!E496))</f>
        <v/>
      </c>
      <c r="D497" s="34">
        <f>IF(LEN('Providers'!A496)=0,"",IF(ISNUMBER('Providers'!G496),'Providers'!G496,""))</f>
        <v/>
      </c>
      <c r="E497" s="34">
        <f>IF(LEN('Providers'!A496)=0,"",IF(ISNUMBER('Providers'!I496),'Providers'!I496,""))</f>
        <v/>
      </c>
      <c r="F497" s="34">
        <f>IF(LEN('Providers'!A496)=0,"",IF(ISNUMBER('Providers'!K496),'Providers'!K496,""))</f>
        <v/>
      </c>
      <c r="G497" s="34">
        <f>IF(LEN('Providers'!A496)=0,"",IF(ISNUMBER('Providers'!M496),'Providers'!M496,""))</f>
        <v/>
      </c>
      <c r="H497" s="34">
        <f>IF(LEN('Providers'!A496)=0,"",IF(ISNUMBER('Providers'!Q496),'Providers'!Q496,""))</f>
        <v/>
      </c>
      <c r="I497" s="34">
        <f>IF(LEN('Providers'!A496)=0,"",IF(ISNUMBER('Providers'!S496),'Providers'!S496,""))</f>
        <v/>
      </c>
      <c r="J497" s="34">
        <f>IF(LEN('Providers'!A496)=0,"",IF(ISNUMBER('Providers'!W496),'Providers'!W496,""))</f>
        <v/>
      </c>
      <c r="K497" s="34">
        <f>IF(LEN('Providers'!A496)=0,"",IF(ISNUMBER('Providers'!Y496),'Providers'!Y496,""))</f>
        <v/>
      </c>
      <c r="L497" s="34">
        <f>IF(LEN('Providers'!A496)=0,"",IF(ISNUMBER('Providers'!AA496),'Providers'!AA496,""))</f>
        <v/>
      </c>
      <c r="M497" s="34">
        <f>IF(LEN('Providers'!A496)=0,"",IF(ISNUMBER('Providers'!AD496),'Providers'!AD496,""))</f>
        <v/>
      </c>
      <c r="N497" s="35">
        <f>IF(LEN('Providers'!A496)=0,"",IF(LEN('Providers'!AG496)=0,"",'Providers'!AG496))</f>
        <v/>
      </c>
    </row>
    <row r="498">
      <c r="A498" s="32">
        <f>IF(LEN('Providers'!A497)=0,"",IF(LEN('Providers'!A497)=0,"",'Providers'!A497))</f>
        <v/>
      </c>
      <c r="B498" s="33">
        <f>IF(LEN('Providers'!A497)=0,"",IF(LEN('Providers'!B497)=0,"",'Providers'!B497))</f>
        <v/>
      </c>
      <c r="C498" s="33">
        <f>IF(LEN('Providers'!A497)=0,"",IF(LEN('Providers'!E497)=0,"",'Providers'!E497))</f>
        <v/>
      </c>
      <c r="D498" s="34">
        <f>IF(LEN('Providers'!A497)=0,"",IF(ISNUMBER('Providers'!G497),'Providers'!G497,""))</f>
        <v/>
      </c>
      <c r="E498" s="34">
        <f>IF(LEN('Providers'!A497)=0,"",IF(ISNUMBER('Providers'!I497),'Providers'!I497,""))</f>
        <v/>
      </c>
      <c r="F498" s="34">
        <f>IF(LEN('Providers'!A497)=0,"",IF(ISNUMBER('Providers'!K497),'Providers'!K497,""))</f>
        <v/>
      </c>
      <c r="G498" s="34">
        <f>IF(LEN('Providers'!A497)=0,"",IF(ISNUMBER('Providers'!M497),'Providers'!M497,""))</f>
        <v/>
      </c>
      <c r="H498" s="34">
        <f>IF(LEN('Providers'!A497)=0,"",IF(ISNUMBER('Providers'!Q497),'Providers'!Q497,""))</f>
        <v/>
      </c>
      <c r="I498" s="34">
        <f>IF(LEN('Providers'!A497)=0,"",IF(ISNUMBER('Providers'!S497),'Providers'!S497,""))</f>
        <v/>
      </c>
      <c r="J498" s="34">
        <f>IF(LEN('Providers'!A497)=0,"",IF(ISNUMBER('Providers'!W497),'Providers'!W497,""))</f>
        <v/>
      </c>
      <c r="K498" s="34">
        <f>IF(LEN('Providers'!A497)=0,"",IF(ISNUMBER('Providers'!Y497),'Providers'!Y497,""))</f>
        <v/>
      </c>
      <c r="L498" s="34">
        <f>IF(LEN('Providers'!A497)=0,"",IF(ISNUMBER('Providers'!AA497),'Providers'!AA497,""))</f>
        <v/>
      </c>
      <c r="M498" s="34">
        <f>IF(LEN('Providers'!A497)=0,"",IF(ISNUMBER('Providers'!AD497),'Providers'!AD497,""))</f>
        <v/>
      </c>
      <c r="N498" s="35">
        <f>IF(LEN('Providers'!A497)=0,"",IF(LEN('Providers'!AG497)=0,"",'Providers'!AG497))</f>
        <v/>
      </c>
    </row>
    <row r="499">
      <c r="A499" s="32">
        <f>IF(LEN('Providers'!A498)=0,"",IF(LEN('Providers'!A498)=0,"",'Providers'!A498))</f>
        <v/>
      </c>
      <c r="B499" s="33">
        <f>IF(LEN('Providers'!A498)=0,"",IF(LEN('Providers'!B498)=0,"",'Providers'!B498))</f>
        <v/>
      </c>
      <c r="C499" s="33">
        <f>IF(LEN('Providers'!A498)=0,"",IF(LEN('Providers'!E498)=0,"",'Providers'!E498))</f>
        <v/>
      </c>
      <c r="D499" s="34">
        <f>IF(LEN('Providers'!A498)=0,"",IF(ISNUMBER('Providers'!G498),'Providers'!G498,""))</f>
        <v/>
      </c>
      <c r="E499" s="34">
        <f>IF(LEN('Providers'!A498)=0,"",IF(ISNUMBER('Providers'!I498),'Providers'!I498,""))</f>
        <v/>
      </c>
      <c r="F499" s="34">
        <f>IF(LEN('Providers'!A498)=0,"",IF(ISNUMBER('Providers'!K498),'Providers'!K498,""))</f>
        <v/>
      </c>
      <c r="G499" s="34">
        <f>IF(LEN('Providers'!A498)=0,"",IF(ISNUMBER('Providers'!M498),'Providers'!M498,""))</f>
        <v/>
      </c>
      <c r="H499" s="34">
        <f>IF(LEN('Providers'!A498)=0,"",IF(ISNUMBER('Providers'!Q498),'Providers'!Q498,""))</f>
        <v/>
      </c>
      <c r="I499" s="34">
        <f>IF(LEN('Providers'!A498)=0,"",IF(ISNUMBER('Providers'!S498),'Providers'!S498,""))</f>
        <v/>
      </c>
      <c r="J499" s="34">
        <f>IF(LEN('Providers'!A498)=0,"",IF(ISNUMBER('Providers'!W498),'Providers'!W498,""))</f>
        <v/>
      </c>
      <c r="K499" s="34">
        <f>IF(LEN('Providers'!A498)=0,"",IF(ISNUMBER('Providers'!Y498),'Providers'!Y498,""))</f>
        <v/>
      </c>
      <c r="L499" s="34">
        <f>IF(LEN('Providers'!A498)=0,"",IF(ISNUMBER('Providers'!AA498),'Providers'!AA498,""))</f>
        <v/>
      </c>
      <c r="M499" s="34">
        <f>IF(LEN('Providers'!A498)=0,"",IF(ISNUMBER('Providers'!AD498),'Providers'!AD498,""))</f>
        <v/>
      </c>
      <c r="N499" s="35">
        <f>IF(LEN('Providers'!A498)=0,"",IF(LEN('Providers'!AG498)=0,"",'Providers'!AG498))</f>
        <v/>
      </c>
    </row>
    <row r="500">
      <c r="A500" s="32">
        <f>IF(LEN('Providers'!A499)=0,"",IF(LEN('Providers'!A499)=0,"",'Providers'!A499))</f>
        <v/>
      </c>
      <c r="B500" s="33">
        <f>IF(LEN('Providers'!A499)=0,"",IF(LEN('Providers'!B499)=0,"",'Providers'!B499))</f>
        <v/>
      </c>
      <c r="C500" s="33">
        <f>IF(LEN('Providers'!A499)=0,"",IF(LEN('Providers'!E499)=0,"",'Providers'!E499))</f>
        <v/>
      </c>
      <c r="D500" s="34">
        <f>IF(LEN('Providers'!A499)=0,"",IF(ISNUMBER('Providers'!G499),'Providers'!G499,""))</f>
        <v/>
      </c>
      <c r="E500" s="34">
        <f>IF(LEN('Providers'!A499)=0,"",IF(ISNUMBER('Providers'!I499),'Providers'!I499,""))</f>
        <v/>
      </c>
      <c r="F500" s="34">
        <f>IF(LEN('Providers'!A499)=0,"",IF(ISNUMBER('Providers'!K499),'Providers'!K499,""))</f>
        <v/>
      </c>
      <c r="G500" s="34">
        <f>IF(LEN('Providers'!A499)=0,"",IF(ISNUMBER('Providers'!M499),'Providers'!M499,""))</f>
        <v/>
      </c>
      <c r="H500" s="34">
        <f>IF(LEN('Providers'!A499)=0,"",IF(ISNUMBER('Providers'!Q499),'Providers'!Q499,""))</f>
        <v/>
      </c>
      <c r="I500" s="34">
        <f>IF(LEN('Providers'!A499)=0,"",IF(ISNUMBER('Providers'!S499),'Providers'!S499,""))</f>
        <v/>
      </c>
      <c r="J500" s="34">
        <f>IF(LEN('Providers'!A499)=0,"",IF(ISNUMBER('Providers'!W499),'Providers'!W499,""))</f>
        <v/>
      </c>
      <c r="K500" s="34">
        <f>IF(LEN('Providers'!A499)=0,"",IF(ISNUMBER('Providers'!Y499),'Providers'!Y499,""))</f>
        <v/>
      </c>
      <c r="L500" s="34">
        <f>IF(LEN('Providers'!A499)=0,"",IF(ISNUMBER('Providers'!AA499),'Providers'!AA499,""))</f>
        <v/>
      </c>
      <c r="M500" s="34">
        <f>IF(LEN('Providers'!A499)=0,"",IF(ISNUMBER('Providers'!AD499),'Providers'!AD499,""))</f>
        <v/>
      </c>
      <c r="N500" s="35">
        <f>IF(LEN('Providers'!A499)=0,"",IF(LEN('Providers'!AG499)=0,"",'Providers'!AG499))</f>
        <v/>
      </c>
    </row>
    <row r="501">
      <c r="A501" s="32">
        <f>IF(LEN('Providers'!A500)=0,"",IF(LEN('Providers'!A500)=0,"",'Providers'!A500))</f>
        <v/>
      </c>
      <c r="B501" s="33">
        <f>IF(LEN('Providers'!A500)=0,"",IF(LEN('Providers'!B500)=0,"",'Providers'!B500))</f>
        <v/>
      </c>
      <c r="C501" s="33">
        <f>IF(LEN('Providers'!A500)=0,"",IF(LEN('Providers'!E500)=0,"",'Providers'!E500))</f>
        <v/>
      </c>
      <c r="D501" s="34">
        <f>IF(LEN('Providers'!A500)=0,"",IF(ISNUMBER('Providers'!G500),'Providers'!G500,""))</f>
        <v/>
      </c>
      <c r="E501" s="34">
        <f>IF(LEN('Providers'!A500)=0,"",IF(ISNUMBER('Providers'!I500),'Providers'!I500,""))</f>
        <v/>
      </c>
      <c r="F501" s="34">
        <f>IF(LEN('Providers'!A500)=0,"",IF(ISNUMBER('Providers'!K500),'Providers'!K500,""))</f>
        <v/>
      </c>
      <c r="G501" s="34">
        <f>IF(LEN('Providers'!A500)=0,"",IF(ISNUMBER('Providers'!M500),'Providers'!M500,""))</f>
        <v/>
      </c>
      <c r="H501" s="34">
        <f>IF(LEN('Providers'!A500)=0,"",IF(ISNUMBER('Providers'!Q500),'Providers'!Q500,""))</f>
        <v/>
      </c>
      <c r="I501" s="34">
        <f>IF(LEN('Providers'!A500)=0,"",IF(ISNUMBER('Providers'!S500),'Providers'!S500,""))</f>
        <v/>
      </c>
      <c r="J501" s="34">
        <f>IF(LEN('Providers'!A500)=0,"",IF(ISNUMBER('Providers'!W500),'Providers'!W500,""))</f>
        <v/>
      </c>
      <c r="K501" s="34">
        <f>IF(LEN('Providers'!A500)=0,"",IF(ISNUMBER('Providers'!Y500),'Providers'!Y500,""))</f>
        <v/>
      </c>
      <c r="L501" s="34">
        <f>IF(LEN('Providers'!A500)=0,"",IF(ISNUMBER('Providers'!AA500),'Providers'!AA500,""))</f>
        <v/>
      </c>
      <c r="M501" s="34">
        <f>IF(LEN('Providers'!A500)=0,"",IF(ISNUMBER('Providers'!AD500),'Providers'!AD500,""))</f>
        <v/>
      </c>
      <c r="N501" s="35">
        <f>IF(LEN('Providers'!A500)=0,"",IF(LEN('Providers'!AG500)=0,"",'Providers'!AG500))</f>
        <v/>
      </c>
    </row>
    <row r="502">
      <c r="A502" s="32">
        <f>IF(LEN('Providers'!A501)=0,"",IF(LEN('Providers'!A501)=0,"",'Providers'!A501))</f>
        <v/>
      </c>
      <c r="B502" s="33">
        <f>IF(LEN('Providers'!A501)=0,"",IF(LEN('Providers'!B501)=0,"",'Providers'!B501))</f>
        <v/>
      </c>
      <c r="C502" s="33">
        <f>IF(LEN('Providers'!A501)=0,"",IF(LEN('Providers'!E501)=0,"",'Providers'!E501))</f>
        <v/>
      </c>
      <c r="D502" s="34">
        <f>IF(LEN('Providers'!A501)=0,"",IF(ISNUMBER('Providers'!G501),'Providers'!G501,""))</f>
        <v/>
      </c>
      <c r="E502" s="34">
        <f>IF(LEN('Providers'!A501)=0,"",IF(ISNUMBER('Providers'!I501),'Providers'!I501,""))</f>
        <v/>
      </c>
      <c r="F502" s="34">
        <f>IF(LEN('Providers'!A501)=0,"",IF(ISNUMBER('Providers'!K501),'Providers'!K501,""))</f>
        <v/>
      </c>
      <c r="G502" s="34">
        <f>IF(LEN('Providers'!A501)=0,"",IF(ISNUMBER('Providers'!M501),'Providers'!M501,""))</f>
        <v/>
      </c>
      <c r="H502" s="34">
        <f>IF(LEN('Providers'!A501)=0,"",IF(ISNUMBER('Providers'!Q501),'Providers'!Q501,""))</f>
        <v/>
      </c>
      <c r="I502" s="34">
        <f>IF(LEN('Providers'!A501)=0,"",IF(ISNUMBER('Providers'!S501),'Providers'!S501,""))</f>
        <v/>
      </c>
      <c r="J502" s="34">
        <f>IF(LEN('Providers'!A501)=0,"",IF(ISNUMBER('Providers'!W501),'Providers'!W501,""))</f>
        <v/>
      </c>
      <c r="K502" s="34">
        <f>IF(LEN('Providers'!A501)=0,"",IF(ISNUMBER('Providers'!Y501),'Providers'!Y501,""))</f>
        <v/>
      </c>
      <c r="L502" s="34">
        <f>IF(LEN('Providers'!A501)=0,"",IF(ISNUMBER('Providers'!AA501),'Providers'!AA501,""))</f>
        <v/>
      </c>
      <c r="M502" s="34">
        <f>IF(LEN('Providers'!A501)=0,"",IF(ISNUMBER('Providers'!AD501),'Providers'!AD501,""))</f>
        <v/>
      </c>
      <c r="N502" s="35">
        <f>IF(LEN('Providers'!A501)=0,"",IF(LEN('Providers'!AG501)=0,"",'Providers'!AG501))</f>
        <v/>
      </c>
    </row>
    <row r="503">
      <c r="A503" s="32">
        <f>IF(LEN('Providers'!A502)=0,"",IF(LEN('Providers'!A502)=0,"",'Providers'!A502))</f>
        <v/>
      </c>
      <c r="B503" s="33">
        <f>IF(LEN('Providers'!A502)=0,"",IF(LEN('Providers'!B502)=0,"",'Providers'!B502))</f>
        <v/>
      </c>
      <c r="C503" s="33">
        <f>IF(LEN('Providers'!A502)=0,"",IF(LEN('Providers'!E502)=0,"",'Providers'!E502))</f>
        <v/>
      </c>
      <c r="D503" s="34">
        <f>IF(LEN('Providers'!A502)=0,"",IF(ISNUMBER('Providers'!G502),'Providers'!G502,""))</f>
        <v/>
      </c>
      <c r="E503" s="34">
        <f>IF(LEN('Providers'!A502)=0,"",IF(ISNUMBER('Providers'!I502),'Providers'!I502,""))</f>
        <v/>
      </c>
      <c r="F503" s="34">
        <f>IF(LEN('Providers'!A502)=0,"",IF(ISNUMBER('Providers'!K502),'Providers'!K502,""))</f>
        <v/>
      </c>
      <c r="G503" s="34">
        <f>IF(LEN('Providers'!A502)=0,"",IF(ISNUMBER('Providers'!M502),'Providers'!M502,""))</f>
        <v/>
      </c>
      <c r="H503" s="34">
        <f>IF(LEN('Providers'!A502)=0,"",IF(ISNUMBER('Providers'!Q502),'Providers'!Q502,""))</f>
        <v/>
      </c>
      <c r="I503" s="34">
        <f>IF(LEN('Providers'!A502)=0,"",IF(ISNUMBER('Providers'!S502),'Providers'!S502,""))</f>
        <v/>
      </c>
      <c r="J503" s="34">
        <f>IF(LEN('Providers'!A502)=0,"",IF(ISNUMBER('Providers'!W502),'Providers'!W502,""))</f>
        <v/>
      </c>
      <c r="K503" s="34">
        <f>IF(LEN('Providers'!A502)=0,"",IF(ISNUMBER('Providers'!Y502),'Providers'!Y502,""))</f>
        <v/>
      </c>
      <c r="L503" s="34">
        <f>IF(LEN('Providers'!A502)=0,"",IF(ISNUMBER('Providers'!AA502),'Providers'!AA502,""))</f>
        <v/>
      </c>
      <c r="M503" s="34">
        <f>IF(LEN('Providers'!A502)=0,"",IF(ISNUMBER('Providers'!AD502),'Providers'!AD502,""))</f>
        <v/>
      </c>
      <c r="N503" s="35">
        <f>IF(LEN('Providers'!A502)=0,"",IF(LEN('Providers'!AG502)=0,"",'Providers'!AG502))</f>
        <v/>
      </c>
    </row>
    <row r="504">
      <c r="A504" s="32">
        <f>IF(LEN('Providers'!A503)=0,"",IF(LEN('Providers'!A503)=0,"",'Providers'!A503))</f>
        <v/>
      </c>
      <c r="B504" s="33">
        <f>IF(LEN('Providers'!A503)=0,"",IF(LEN('Providers'!B503)=0,"",'Providers'!B503))</f>
        <v/>
      </c>
      <c r="C504" s="33">
        <f>IF(LEN('Providers'!A503)=0,"",IF(LEN('Providers'!E503)=0,"",'Providers'!E503))</f>
        <v/>
      </c>
      <c r="D504" s="34">
        <f>IF(LEN('Providers'!A503)=0,"",IF(ISNUMBER('Providers'!G503),'Providers'!G503,""))</f>
        <v/>
      </c>
      <c r="E504" s="34">
        <f>IF(LEN('Providers'!A503)=0,"",IF(ISNUMBER('Providers'!I503),'Providers'!I503,""))</f>
        <v/>
      </c>
      <c r="F504" s="34">
        <f>IF(LEN('Providers'!A503)=0,"",IF(ISNUMBER('Providers'!K503),'Providers'!K503,""))</f>
        <v/>
      </c>
      <c r="G504" s="34">
        <f>IF(LEN('Providers'!A503)=0,"",IF(ISNUMBER('Providers'!M503),'Providers'!M503,""))</f>
        <v/>
      </c>
      <c r="H504" s="34">
        <f>IF(LEN('Providers'!A503)=0,"",IF(ISNUMBER('Providers'!Q503),'Providers'!Q503,""))</f>
        <v/>
      </c>
      <c r="I504" s="34">
        <f>IF(LEN('Providers'!A503)=0,"",IF(ISNUMBER('Providers'!S503),'Providers'!S503,""))</f>
        <v/>
      </c>
      <c r="J504" s="34">
        <f>IF(LEN('Providers'!A503)=0,"",IF(ISNUMBER('Providers'!W503),'Providers'!W503,""))</f>
        <v/>
      </c>
      <c r="K504" s="34">
        <f>IF(LEN('Providers'!A503)=0,"",IF(ISNUMBER('Providers'!Y503),'Providers'!Y503,""))</f>
        <v/>
      </c>
      <c r="L504" s="34">
        <f>IF(LEN('Providers'!A503)=0,"",IF(ISNUMBER('Providers'!AA503),'Providers'!AA503,""))</f>
        <v/>
      </c>
      <c r="M504" s="34">
        <f>IF(LEN('Providers'!A503)=0,"",IF(ISNUMBER('Providers'!AD503),'Providers'!AD503,""))</f>
        <v/>
      </c>
      <c r="N504" s="35">
        <f>IF(LEN('Providers'!A503)=0,"",IF(LEN('Providers'!AG503)=0,"",'Providers'!AG503))</f>
        <v/>
      </c>
    </row>
  </sheetData>
  <conditionalFormatting sqref="D5:D504 E5:E504 F5:F504 G5:G504 H5:H504 I5:I504 J5:J504 K5:K504 L5:L504 M5:M504">
    <cfRule type="expression" priority="1" dxfId="0" stopIfTrue="1">
      <formula>AND(ISNUMBER(D5),D5&lt;TODAY())</formula>
    </cfRule>
    <cfRule type="expression" priority="2" dxfId="1" stopIfTrue="1">
      <formula>AND(ISNUMBER(D5),D5&lt;=TODAY()+30)</formula>
    </cfRule>
    <cfRule type="expression" priority="3" dxfId="2" stopIfTrue="1">
      <formula>AND(ISNUMBER(D5),D5&lt;=TODAY()+90)</formula>
    </cfRule>
    <cfRule type="expression" priority="4" dxfId="3" stopIfTrue="1">
      <formula>ISNUMBER(D5)</formula>
    </cfRule>
  </conditionalFormatting>
  <conditionalFormatting sqref="N5:N504">
    <cfRule type="expression" priority="5" dxfId="0" stopIfTrue="1">
      <formula>N5="Expired"</formula>
    </cfRule>
    <cfRule type="expression" priority="6" dxfId="1" stopIfTrue="1">
      <formula>N5="Due ≤30 days"</formula>
    </cfRule>
    <cfRule type="expression" priority="7" dxfId="2" stopIfTrue="1">
      <formula>N5="Due ≤90 days"</formula>
    </cfRule>
    <cfRule type="expression" priority="8" dxfId="3" stopIfTrue="1">
      <formula>N5="OK"</formula>
    </cfRule>
  </conditionalFormatting>
  <conditionalFormatting sqref="A5:A504">
    <cfRule type="expression" priority="9" dxfId="4">
      <formula>LEFT($A5,9)="Example –"</formula>
    </cfRule>
  </conditionalFormatting>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G41"/>
  <sheetViews>
    <sheetView showGridLines="0" tabSelected="0" workbookViewId="0">
      <selection activeCell="A1" sqref="A1"/>
    </sheetView>
  </sheetViews>
  <sheetFormatPr baseColWidth="8" defaultRowHeight="15"/>
  <cols>
    <col width="3" customWidth="1" min="1" max="1"/>
    <col width="6" customWidth="1" min="2" max="2"/>
    <col width="46" customWidth="1" min="3" max="3"/>
    <col width="15" customWidth="1" min="4" max="4"/>
    <col width="10" customWidth="1" min="5" max="5"/>
    <col width="15" customWidth="1" min="6" max="6"/>
    <col width="28" customWidth="1" min="7" max="7"/>
    <col width="6" customWidth="1" min="8" max="8"/>
  </cols>
  <sheetData>
    <row r="1">
      <c r="B1" s="36" t="inlineStr">
        <is>
          <t>Dashboard</t>
        </is>
      </c>
    </row>
    <row r="2">
      <c r="B2" s="3" t="inlineStr">
        <is>
          <t>As of</t>
        </is>
      </c>
      <c r="C2" s="37">
        <f>TODAY()</f>
        <v/>
      </c>
    </row>
    <row r="4">
      <c r="B4" s="38" t="inlineStr">
        <is>
          <t>Where things stand</t>
        </is>
      </c>
    </row>
    <row r="5">
      <c r="B5" s="39" t="n"/>
      <c r="C5" s="40" t="inlineStr">
        <is>
          <t>Status</t>
        </is>
      </c>
      <c r="D5" s="41" t="inlineStr">
        <is>
          <t>Providers</t>
        </is>
      </c>
    </row>
    <row r="6">
      <c r="C6" s="42" t="inlineStr">
        <is>
          <t>Expired</t>
        </is>
      </c>
      <c r="D6" s="43">
        <f>COUNTIF('Providers'!$AG$4:$AG$503,"Expired")</f>
        <v/>
      </c>
    </row>
    <row r="7">
      <c r="C7" s="44" t="inlineStr">
        <is>
          <t>Due ≤30 days</t>
        </is>
      </c>
      <c r="D7" s="43">
        <f>COUNTIF('Providers'!$AG$4:$AG$503,"Due ≤30 days")</f>
        <v/>
      </c>
    </row>
    <row r="8">
      <c r="C8" s="45" t="inlineStr">
        <is>
          <t>Due ≤90 days</t>
        </is>
      </c>
      <c r="D8" s="43">
        <f>COUNTIF('Providers'!$AG$4:$AG$503,"Due ≤90 days")</f>
        <v/>
      </c>
    </row>
    <row r="9">
      <c r="C9" s="46" t="inlineStr">
        <is>
          <t>OK</t>
        </is>
      </c>
      <c r="D9" s="43">
        <f>COUNTIF('Providers'!$AG$4:$AG$503,"OK")</f>
        <v/>
      </c>
    </row>
    <row r="10">
      <c r="C10" s="47" t="inlineStr">
        <is>
          <t>Date missing or not a date</t>
        </is>
      </c>
      <c r="D10" s="43">
        <f>SUMPRODUCT((LEN('Providers'!$A$4:$A$503)&gt;0)*(ISNUMBER('Providers'!$AD$4:$AD$503)=FALSE))</f>
        <v/>
      </c>
    </row>
    <row r="11">
      <c r="C11" s="47" t="inlineStr">
        <is>
          <t>Total rows</t>
        </is>
      </c>
      <c r="D11" s="43">
        <f>COUNTIF('Providers'!$A$4:$A$503,"?*")</f>
        <v/>
      </c>
    </row>
    <row r="12">
      <c r="C12" s="3" t="inlineStr">
        <is>
          <t>Status is calculated from the next due date. Counts update every time the file recalculates.</t>
        </is>
      </c>
    </row>
    <row r="14">
      <c r="B14" s="38" t="inlineStr">
        <is>
          <t>Next 10 due</t>
        </is>
      </c>
    </row>
    <row r="15">
      <c r="B15" s="13" t="inlineStr">
        <is>
          <t>#</t>
        </is>
      </c>
      <c r="C15" s="13" t="inlineStr">
        <is>
          <t>Item</t>
        </is>
      </c>
      <c r="D15" s="13" t="inlineStr">
        <is>
          <t>Next due date</t>
        </is>
      </c>
      <c r="E15" s="13" t="inlineStr">
        <is>
          <t>Days left</t>
        </is>
      </c>
      <c r="F15" s="13" t="inlineStr">
        <is>
          <t>Status</t>
        </is>
      </c>
      <c r="G15" s="13" t="inlineStr">
        <is>
          <t>Owner email</t>
        </is>
      </c>
    </row>
    <row r="16">
      <c r="B16" s="48" t="n">
        <v>1</v>
      </c>
      <c r="C16" s="49">
        <f>IF(_calc!$D$4="","",INDEX('Providers'!$A$4:$A$503,_calc!$D$4)&amp;" – "&amp;INDEX('Providers'!$AC$4:$AC$503,_calc!$D$4))</f>
        <v/>
      </c>
      <c r="D16" s="50">
        <f>IF(_calc!$C$4="","",INT(_calc!$C$4))</f>
        <v/>
      </c>
      <c r="E16" s="51">
        <f>IF(_calc!$C$4="","",INT(_calc!$C$4)-TODAY())</f>
        <v/>
      </c>
      <c r="F16" s="47">
        <f>IF(E16="","",IF(E16&lt;0,"Expired",IF(E16&lt;=30,"Due ≤30 days",IF(E16&lt;=90,"Due ≤90 days","OK"))))</f>
        <v/>
      </c>
      <c r="G16" s="49">
        <f>IF(_calc!$D$4="","",IF(LEN(INDEX('Providers'!$AI$4:$AI$503,_calc!$D$4))=0,"",INDEX('Providers'!$AI$4:$AI$503,_calc!$D$4)))</f>
        <v/>
      </c>
    </row>
    <row r="17">
      <c r="B17" s="48" t="n">
        <v>2</v>
      </c>
      <c r="C17" s="49">
        <f>IF(_calc!$D$5="","",INDEX('Providers'!$A$4:$A$503,_calc!$D$5)&amp;" – "&amp;INDEX('Providers'!$AC$4:$AC$503,_calc!$D$5))</f>
        <v/>
      </c>
      <c r="D17" s="50">
        <f>IF(_calc!$C$5="","",INT(_calc!$C$5))</f>
        <v/>
      </c>
      <c r="E17" s="51">
        <f>IF(_calc!$C$5="","",INT(_calc!$C$5)-TODAY())</f>
        <v/>
      </c>
      <c r="F17" s="47">
        <f>IF(E17="","",IF(E17&lt;0,"Expired",IF(E17&lt;=30,"Due ≤30 days",IF(E17&lt;=90,"Due ≤90 days","OK"))))</f>
        <v/>
      </c>
      <c r="G17" s="49">
        <f>IF(_calc!$D$5="","",IF(LEN(INDEX('Providers'!$AI$4:$AI$503,_calc!$D$5))=0,"",INDEX('Providers'!$AI$4:$AI$503,_calc!$D$5)))</f>
        <v/>
      </c>
    </row>
    <row r="18">
      <c r="B18" s="48" t="n">
        <v>3</v>
      </c>
      <c r="C18" s="49">
        <f>IF(_calc!$D$6="","",INDEX('Providers'!$A$4:$A$503,_calc!$D$6)&amp;" – "&amp;INDEX('Providers'!$AC$4:$AC$503,_calc!$D$6))</f>
        <v/>
      </c>
      <c r="D18" s="50">
        <f>IF(_calc!$C$6="","",INT(_calc!$C$6))</f>
        <v/>
      </c>
      <c r="E18" s="51">
        <f>IF(_calc!$C$6="","",INT(_calc!$C$6)-TODAY())</f>
        <v/>
      </c>
      <c r="F18" s="47">
        <f>IF(E18="","",IF(E18&lt;0,"Expired",IF(E18&lt;=30,"Due ≤30 days",IF(E18&lt;=90,"Due ≤90 days","OK"))))</f>
        <v/>
      </c>
      <c r="G18" s="49">
        <f>IF(_calc!$D$6="","",IF(LEN(INDEX('Providers'!$AI$4:$AI$503,_calc!$D$6))=0,"",INDEX('Providers'!$AI$4:$AI$503,_calc!$D$6)))</f>
        <v/>
      </c>
    </row>
    <row r="19">
      <c r="B19" s="48" t="n">
        <v>4</v>
      </c>
      <c r="C19" s="49">
        <f>IF(_calc!$D$7="","",INDEX('Providers'!$A$4:$A$503,_calc!$D$7)&amp;" – "&amp;INDEX('Providers'!$AC$4:$AC$503,_calc!$D$7))</f>
        <v/>
      </c>
      <c r="D19" s="50">
        <f>IF(_calc!$C$7="","",INT(_calc!$C$7))</f>
        <v/>
      </c>
      <c r="E19" s="51">
        <f>IF(_calc!$C$7="","",INT(_calc!$C$7)-TODAY())</f>
        <v/>
      </c>
      <c r="F19" s="47">
        <f>IF(E19="","",IF(E19&lt;0,"Expired",IF(E19&lt;=30,"Due ≤30 days",IF(E19&lt;=90,"Due ≤90 days","OK"))))</f>
        <v/>
      </c>
      <c r="G19" s="49">
        <f>IF(_calc!$D$7="","",IF(LEN(INDEX('Providers'!$AI$4:$AI$503,_calc!$D$7))=0,"",INDEX('Providers'!$AI$4:$AI$503,_calc!$D$7)))</f>
        <v/>
      </c>
    </row>
    <row r="20">
      <c r="B20" s="48" t="n">
        <v>5</v>
      </c>
      <c r="C20" s="49">
        <f>IF(_calc!$D$8="","",INDEX('Providers'!$A$4:$A$503,_calc!$D$8)&amp;" – "&amp;INDEX('Providers'!$AC$4:$AC$503,_calc!$D$8))</f>
        <v/>
      </c>
      <c r="D20" s="50">
        <f>IF(_calc!$C$8="","",INT(_calc!$C$8))</f>
        <v/>
      </c>
      <c r="E20" s="51">
        <f>IF(_calc!$C$8="","",INT(_calc!$C$8)-TODAY())</f>
        <v/>
      </c>
      <c r="F20" s="47">
        <f>IF(E20="","",IF(E20&lt;0,"Expired",IF(E20&lt;=30,"Due ≤30 days",IF(E20&lt;=90,"Due ≤90 days","OK"))))</f>
        <v/>
      </c>
      <c r="G20" s="49">
        <f>IF(_calc!$D$8="","",IF(LEN(INDEX('Providers'!$AI$4:$AI$503,_calc!$D$8))=0,"",INDEX('Providers'!$AI$4:$AI$503,_calc!$D$8)))</f>
        <v/>
      </c>
    </row>
    <row r="21">
      <c r="B21" s="48" t="n">
        <v>6</v>
      </c>
      <c r="C21" s="49">
        <f>IF(_calc!$D$9="","",INDEX('Providers'!$A$4:$A$503,_calc!$D$9)&amp;" – "&amp;INDEX('Providers'!$AC$4:$AC$503,_calc!$D$9))</f>
        <v/>
      </c>
      <c r="D21" s="50">
        <f>IF(_calc!$C$9="","",INT(_calc!$C$9))</f>
        <v/>
      </c>
      <c r="E21" s="51">
        <f>IF(_calc!$C$9="","",INT(_calc!$C$9)-TODAY())</f>
        <v/>
      </c>
      <c r="F21" s="47">
        <f>IF(E21="","",IF(E21&lt;0,"Expired",IF(E21&lt;=30,"Due ≤30 days",IF(E21&lt;=90,"Due ≤90 days","OK"))))</f>
        <v/>
      </c>
      <c r="G21" s="49">
        <f>IF(_calc!$D$9="","",IF(LEN(INDEX('Providers'!$AI$4:$AI$503,_calc!$D$9))=0,"",INDEX('Providers'!$AI$4:$AI$503,_calc!$D$9)))</f>
        <v/>
      </c>
    </row>
    <row r="22">
      <c r="B22" s="48" t="n">
        <v>7</v>
      </c>
      <c r="C22" s="49">
        <f>IF(_calc!$D$10="","",INDEX('Providers'!$A$4:$A$503,_calc!$D$10)&amp;" – "&amp;INDEX('Providers'!$AC$4:$AC$503,_calc!$D$10))</f>
        <v/>
      </c>
      <c r="D22" s="50">
        <f>IF(_calc!$C$10="","",INT(_calc!$C$10))</f>
        <v/>
      </c>
      <c r="E22" s="51">
        <f>IF(_calc!$C$10="","",INT(_calc!$C$10)-TODAY())</f>
        <v/>
      </c>
      <c r="F22" s="47">
        <f>IF(E22="","",IF(E22&lt;0,"Expired",IF(E22&lt;=30,"Due ≤30 days",IF(E22&lt;=90,"Due ≤90 days","OK"))))</f>
        <v/>
      </c>
      <c r="G22" s="49">
        <f>IF(_calc!$D$10="","",IF(LEN(INDEX('Providers'!$AI$4:$AI$503,_calc!$D$10))=0,"",INDEX('Providers'!$AI$4:$AI$503,_calc!$D$10)))</f>
        <v/>
      </c>
    </row>
    <row r="23">
      <c r="B23" s="48" t="n">
        <v>8</v>
      </c>
      <c r="C23" s="49">
        <f>IF(_calc!$D$11="","",INDEX('Providers'!$A$4:$A$503,_calc!$D$11)&amp;" – "&amp;INDEX('Providers'!$AC$4:$AC$503,_calc!$D$11))</f>
        <v/>
      </c>
      <c r="D23" s="50">
        <f>IF(_calc!$C$11="","",INT(_calc!$C$11))</f>
        <v/>
      </c>
      <c r="E23" s="51">
        <f>IF(_calc!$C$11="","",INT(_calc!$C$11)-TODAY())</f>
        <v/>
      </c>
      <c r="F23" s="47">
        <f>IF(E23="","",IF(E23&lt;0,"Expired",IF(E23&lt;=30,"Due ≤30 days",IF(E23&lt;=90,"Due ≤90 days","OK"))))</f>
        <v/>
      </c>
      <c r="G23" s="49">
        <f>IF(_calc!$D$11="","",IF(LEN(INDEX('Providers'!$AI$4:$AI$503,_calc!$D$11))=0,"",INDEX('Providers'!$AI$4:$AI$503,_calc!$D$11)))</f>
        <v/>
      </c>
    </row>
    <row r="24">
      <c r="B24" s="48" t="n">
        <v>9</v>
      </c>
      <c r="C24" s="49">
        <f>IF(_calc!$D$12="","",INDEX('Providers'!$A$4:$A$503,_calc!$D$12)&amp;" – "&amp;INDEX('Providers'!$AC$4:$AC$503,_calc!$D$12))</f>
        <v/>
      </c>
      <c r="D24" s="50">
        <f>IF(_calc!$C$12="","",INT(_calc!$C$12))</f>
        <v/>
      </c>
      <c r="E24" s="51">
        <f>IF(_calc!$C$12="","",INT(_calc!$C$12)-TODAY())</f>
        <v/>
      </c>
      <c r="F24" s="47">
        <f>IF(E24="","",IF(E24&lt;0,"Expired",IF(E24&lt;=30,"Due ≤30 days",IF(E24&lt;=90,"Due ≤90 days","OK"))))</f>
        <v/>
      </c>
      <c r="G24" s="49">
        <f>IF(_calc!$D$12="","",IF(LEN(INDEX('Providers'!$AI$4:$AI$503,_calc!$D$12))=0,"",INDEX('Providers'!$AI$4:$AI$503,_calc!$D$12)))</f>
        <v/>
      </c>
    </row>
    <row r="25">
      <c r="B25" s="48" t="n">
        <v>10</v>
      </c>
      <c r="C25" s="49">
        <f>IF(_calc!$D$13="","",INDEX('Providers'!$A$4:$A$503,_calc!$D$13)&amp;" – "&amp;INDEX('Providers'!$AC$4:$AC$503,_calc!$D$13))</f>
        <v/>
      </c>
      <c r="D25" s="50">
        <f>IF(_calc!$C$13="","",INT(_calc!$C$13))</f>
        <v/>
      </c>
      <c r="E25" s="51">
        <f>IF(_calc!$C$13="","",INT(_calc!$C$13)-TODAY())</f>
        <v/>
      </c>
      <c r="F25" s="47">
        <f>IF(E25="","",IF(E25&lt;0,"Expired",IF(E25&lt;=30,"Due ≤30 days",IF(E25&lt;=90,"Due ≤90 days","OK"))))</f>
        <v/>
      </c>
      <c r="G25" s="49">
        <f>IF(_calc!$D$13="","",IF(LEN(INDEX('Providers'!$AI$4:$AI$503,_calc!$D$13))=0,"",INDEX('Providers'!$AI$4:$AI$503,_calc!$D$13)))</f>
        <v/>
      </c>
    </row>
    <row r="26">
      <c r="C26" s="3" t="inlineStr">
        <is>
          <t>Earliest dates first, including anything already expired.</t>
        </is>
      </c>
    </row>
    <row r="27">
      <c r="C27" s="3" t="n"/>
    </row>
    <row r="28">
      <c r="B28" s="38" t="inlineStr">
        <is>
          <t>Credentials by type</t>
        </is>
      </c>
    </row>
    <row r="29">
      <c r="B29" s="39" t="n"/>
      <c r="C29" s="52" t="inlineStr">
        <is>
          <t>Credential</t>
        </is>
      </c>
      <c r="D29" s="53" t="inlineStr">
        <is>
          <t>Expired</t>
        </is>
      </c>
      <c r="E29" s="53" t="inlineStr">
        <is>
          <t>Due ≤30</t>
        </is>
      </c>
      <c r="F29" s="53" t="inlineStr">
        <is>
          <t>Due 31–90</t>
        </is>
      </c>
      <c r="G29" s="53" t="inlineStr">
        <is>
          <t>OK</t>
        </is>
      </c>
    </row>
    <row r="30">
      <c r="C30" s="47" t="inlineStr">
        <is>
          <t>State license</t>
        </is>
      </c>
      <c r="D30" s="43">
        <f>COUNTIFS('Providers'!$G$4:$G$503,"&lt;"&amp;TODAY())</f>
        <v/>
      </c>
      <c r="E30" s="43">
        <f>COUNTIFS('Providers'!$G$4:$G$503,"&gt;="&amp;TODAY(),'Providers'!$G$4:$G$503,"&lt;="&amp;TODAY()+30)</f>
        <v/>
      </c>
      <c r="F30" s="43">
        <f>COUNTIFS('Providers'!$G$4:$G$503,"&gt;"&amp;TODAY()+30,'Providers'!$G$4:$G$503,"&lt;="&amp;TODAY()+90)</f>
        <v/>
      </c>
      <c r="G30" s="43">
        <f>COUNTIFS('Providers'!$G$4:$G$503,"&gt;"&amp;TODAY()+90)</f>
        <v/>
      </c>
    </row>
    <row r="31">
      <c r="C31" s="47" t="inlineStr">
        <is>
          <t>DEA registration</t>
        </is>
      </c>
      <c r="D31" s="43">
        <f>COUNTIFS('Providers'!$I$4:$I$503,"&lt;"&amp;TODAY())</f>
        <v/>
      </c>
      <c r="E31" s="43">
        <f>COUNTIFS('Providers'!$I$4:$I$503,"&gt;="&amp;TODAY(),'Providers'!$I$4:$I$503,"&lt;="&amp;TODAY()+30)</f>
        <v/>
      </c>
      <c r="F31" s="43">
        <f>COUNTIFS('Providers'!$I$4:$I$503,"&gt;"&amp;TODAY()+30,'Providers'!$I$4:$I$503,"&lt;="&amp;TODAY()+90)</f>
        <v/>
      </c>
      <c r="G31" s="43">
        <f>COUNTIFS('Providers'!$I$4:$I$503,"&gt;"&amp;TODAY()+90)</f>
        <v/>
      </c>
    </row>
    <row r="32">
      <c r="C32" s="47" t="inlineStr">
        <is>
          <t>State CSR</t>
        </is>
      </c>
      <c r="D32" s="43">
        <f>COUNTIFS('Providers'!$K$4:$K$503,"&lt;"&amp;TODAY())</f>
        <v/>
      </c>
      <c r="E32" s="43">
        <f>COUNTIFS('Providers'!$K$4:$K$503,"&gt;="&amp;TODAY(),'Providers'!$K$4:$K$503,"&lt;="&amp;TODAY()+30)</f>
        <v/>
      </c>
      <c r="F32" s="43">
        <f>COUNTIFS('Providers'!$K$4:$K$503,"&gt;"&amp;TODAY()+30,'Providers'!$K$4:$K$503,"&lt;="&amp;TODAY()+90)</f>
        <v/>
      </c>
      <c r="G32" s="43">
        <f>COUNTIFS('Providers'!$K$4:$K$503,"&gt;"&amp;TODAY()+90)</f>
        <v/>
      </c>
    </row>
    <row r="33">
      <c r="C33" s="47" t="inlineStr">
        <is>
          <t>Board certification</t>
        </is>
      </c>
      <c r="D33" s="43">
        <f>COUNTIFS('Providers'!$M$4:$M$503,"&lt;"&amp;TODAY())</f>
        <v/>
      </c>
      <c r="E33" s="43">
        <f>COUNTIFS('Providers'!$M$4:$M$503,"&gt;="&amp;TODAY(),'Providers'!$M$4:$M$503,"&lt;="&amp;TODAY()+30)</f>
        <v/>
      </c>
      <c r="F33" s="43">
        <f>COUNTIFS('Providers'!$M$4:$M$503,"&gt;"&amp;TODAY()+30,'Providers'!$M$4:$M$503,"&lt;="&amp;TODAY()+90)</f>
        <v/>
      </c>
      <c r="G33" s="43">
        <f>COUNTIFS('Providers'!$M$4:$M$503,"&gt;"&amp;TODAY()+90)</f>
        <v/>
      </c>
    </row>
    <row r="34">
      <c r="C34" s="47" t="inlineStr">
        <is>
          <t>Malpractice</t>
        </is>
      </c>
      <c r="D34" s="43">
        <f>COUNTIFS('Providers'!$Q$4:$Q$503,"&lt;"&amp;TODAY())</f>
        <v/>
      </c>
      <c r="E34" s="43">
        <f>COUNTIFS('Providers'!$Q$4:$Q$503,"&gt;="&amp;TODAY(),'Providers'!$Q$4:$Q$503,"&lt;="&amp;TODAY()+30)</f>
        <v/>
      </c>
      <c r="F34" s="43">
        <f>COUNTIFS('Providers'!$Q$4:$Q$503,"&gt;"&amp;TODAY()+30,'Providers'!$Q$4:$Q$503,"&lt;="&amp;TODAY()+90)</f>
        <v/>
      </c>
      <c r="G34" s="43">
        <f>COUNTIFS('Providers'!$Q$4:$Q$503,"&gt;"&amp;TODAY()+90)</f>
        <v/>
      </c>
    </row>
    <row r="35">
      <c r="C35" s="47" t="inlineStr">
        <is>
          <t>Life support</t>
        </is>
      </c>
      <c r="D35" s="43">
        <f>COUNTIFS('Providers'!$S$4:$S$503,"&lt;"&amp;TODAY())</f>
        <v/>
      </c>
      <c r="E35" s="43">
        <f>COUNTIFS('Providers'!$S$4:$S$503,"&gt;="&amp;TODAY(),'Providers'!$S$4:$S$503,"&lt;="&amp;TODAY()+30)</f>
        <v/>
      </c>
      <c r="F35" s="43">
        <f>COUNTIFS('Providers'!$S$4:$S$503,"&gt;"&amp;TODAY()+30,'Providers'!$S$4:$S$503,"&lt;="&amp;TODAY()+90)</f>
        <v/>
      </c>
      <c r="G35" s="43">
        <f>COUNTIFS('Providers'!$S$4:$S$503,"&gt;"&amp;TODAY()+90)</f>
        <v/>
      </c>
    </row>
    <row r="36">
      <c r="C36" s="47" t="inlineStr">
        <is>
          <t>CAQH re-attestation</t>
        </is>
      </c>
      <c r="D36" s="43">
        <f>COUNTIFS('Providers'!$W$4:$W$503,"&lt;"&amp;TODAY())</f>
        <v/>
      </c>
      <c r="E36" s="43">
        <f>COUNTIFS('Providers'!$W$4:$W$503,"&gt;="&amp;TODAY(),'Providers'!$W$4:$W$503,"&lt;="&amp;TODAY()+30)</f>
        <v/>
      </c>
      <c r="F36" s="43">
        <f>COUNTIFS('Providers'!$W$4:$W$503,"&gt;"&amp;TODAY()+30,'Providers'!$W$4:$W$503,"&lt;="&amp;TODAY()+90)</f>
        <v/>
      </c>
      <c r="G36" s="43">
        <f>COUNTIFS('Providers'!$W$4:$W$503,"&gt;"&amp;TODAY()+90)</f>
        <v/>
      </c>
    </row>
    <row r="37">
      <c r="C37" s="47" t="inlineStr">
        <is>
          <t>Privileges reappointment</t>
        </is>
      </c>
      <c r="D37" s="43">
        <f>COUNTIFS('Providers'!$Y$4:$Y$503,"&lt;"&amp;TODAY())</f>
        <v/>
      </c>
      <c r="E37" s="43">
        <f>COUNTIFS('Providers'!$Y$4:$Y$503,"&gt;="&amp;TODAY(),'Providers'!$Y$4:$Y$503,"&lt;="&amp;TODAY()+30)</f>
        <v/>
      </c>
      <c r="F37" s="43">
        <f>COUNTIFS('Providers'!$Y$4:$Y$503,"&gt;"&amp;TODAY()+30,'Providers'!$Y$4:$Y$503,"&lt;="&amp;TODAY()+90)</f>
        <v/>
      </c>
      <c r="G37" s="43">
        <f>COUNTIFS('Providers'!$Y$4:$Y$503,"&gt;"&amp;TODAY()+90)</f>
        <v/>
      </c>
    </row>
    <row r="38">
      <c r="C38" s="47" t="inlineStr">
        <is>
          <t>Payer recredentialing</t>
        </is>
      </c>
      <c r="D38" s="43">
        <f>COUNTIFS('Providers'!$AA$4:$AA$503,"&lt;"&amp;TODAY())</f>
        <v/>
      </c>
      <c r="E38" s="43">
        <f>COUNTIFS('Providers'!$AA$4:$AA$503,"&gt;="&amp;TODAY(),'Providers'!$AA$4:$AA$503,"&lt;="&amp;TODAY()+30)</f>
        <v/>
      </c>
      <c r="F38" s="43">
        <f>COUNTIFS('Providers'!$AA$4:$AA$503,"&gt;"&amp;TODAY()+30,'Providers'!$AA$4:$AA$503,"&lt;="&amp;TODAY()+90)</f>
        <v/>
      </c>
      <c r="G38" s="43">
        <f>COUNTIFS('Providers'!$AA$4:$AA$503,"&gt;"&amp;TODAY()+90)</f>
        <v/>
      </c>
    </row>
    <row r="39">
      <c r="C39" s="3" t="inlineStr">
        <is>
          <t>Counts every dated credential on the Providers sheet, so one provider can appear in several rows.</t>
        </is>
      </c>
    </row>
    <row r="41">
      <c r="C41" s="3" t="inlineStr">
        <is>
          <t>Made by ExpiryEdge · expiryedge.com</t>
        </is>
      </c>
    </row>
  </sheetData>
  <conditionalFormatting sqref="D16:F25">
    <cfRule type="expression" priority="1" dxfId="0" stopIfTrue="1">
      <formula>AND(ISNUMBER($E16),$E16&lt;0)</formula>
    </cfRule>
    <cfRule type="expression" priority="2" dxfId="1" stopIfTrue="1">
      <formula>AND(ISNUMBER($E16),$E16&lt;=30)</formula>
    </cfRule>
    <cfRule type="expression" priority="3" dxfId="2" stopIfTrue="1">
      <formula>AND(ISNUMBER($E16),$E16&lt;=90)</formula>
    </cfRule>
    <cfRule type="expression" priority="4" dxfId="3" stopIfTrue="1">
      <formula>ISNUMBER($E16)</formula>
    </cfRule>
  </conditionalFormatting>
  <conditionalFormatting sqref="D30:D38">
    <cfRule type="expression" priority="5" dxfId="0">
      <formula>D30&gt;0</formula>
    </cfRule>
  </conditionalFormatting>
  <conditionalFormatting sqref="E30:E38">
    <cfRule type="expression" priority="6" dxfId="1">
      <formula>E30&gt;0</formula>
    </cfRule>
  </conditionalFormatting>
  <conditionalFormatting sqref="F30:F38">
    <cfRule type="expression" priority="7" dxfId="6">
      <formula>F30&gt;0</formula>
    </cfRule>
  </conditionalFormatting>
  <conditionalFormatting sqref="G30:G38">
    <cfRule type="expression" priority="8" dxfId="7">
      <formula>G30&gt;0</formula>
    </cfRule>
  </conditionalFormatting>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5.xml><?xml version="1.0" encoding="utf-8"?>
<worksheet xmlns="http://schemas.openxmlformats.org/spreadsheetml/2006/main">
  <sheetPr>
    <tabColor rgb="0035584B"/>
    <outlinePr summaryBelow="1" summaryRight="1"/>
    <pageSetUpPr fitToPage="1"/>
  </sheetPr>
  <dimension ref="A1:K4501"/>
  <sheetViews>
    <sheetView showGridLines="0" tabSelected="0" workbookViewId="0">
      <pane ySplit="1" topLeftCell="A2" activePane="bottomLeft" state="frozen"/>
      <selection pane="bottomLeft" activeCell="A1" sqref="A1"/>
    </sheetView>
  </sheetViews>
  <sheetFormatPr baseColWidth="8" defaultRowHeight="15"/>
  <cols>
    <col width="48" customWidth="1" min="1" max="1"/>
    <col width="13" customWidth="1" min="2" max="2"/>
    <col width="16" customWidth="1" min="3" max="3"/>
    <col width="13" customWidth="1" min="4" max="4"/>
    <col width="13" customWidth="1" min="5" max="5"/>
    <col width="64" customWidth="1" min="6" max="6"/>
    <col width="24" customWidth="1" min="7" max="7"/>
    <col width="13" customWidth="1" min="8" max="8"/>
    <col width="13" customWidth="1" min="9" max="9"/>
    <col width="13" customWidth="1" min="10" max="10"/>
    <col width="26" customWidth="1" min="11" max="11"/>
  </cols>
  <sheetData>
    <row r="1">
      <c r="A1" s="12" t="inlineStr">
        <is>
          <t>name</t>
        </is>
      </c>
      <c r="B1" s="12" t="inlineStr">
        <is>
          <t>expiry_date</t>
        </is>
      </c>
      <c r="C1" s="12" t="inlineStr">
        <is>
          <t>type</t>
        </is>
      </c>
      <c r="D1" s="12" t="inlineStr">
        <is>
          <t>start_date</t>
        </is>
      </c>
      <c r="E1" s="12" t="inlineStr">
        <is>
          <t>priority</t>
        </is>
      </c>
      <c r="F1" s="12" t="inlineStr">
        <is>
          <t>notes</t>
        </is>
      </c>
      <c r="G1" s="12" t="inlineStr">
        <is>
          <t>url</t>
        </is>
      </c>
      <c r="H1" s="12" t="inlineStr">
        <is>
          <t>value</t>
        </is>
      </c>
      <c r="I1" s="12" t="inlineStr">
        <is>
          <t>currency</t>
        </is>
      </c>
      <c r="J1" s="12" t="inlineStr">
        <is>
          <t>penalty_amount</t>
        </is>
      </c>
      <c r="K1" s="12" t="inlineStr">
        <is>
          <t>notification_email</t>
        </is>
      </c>
    </row>
    <row r="2">
      <c r="A2" s="54">
        <f>IF(_imp!$C$4="","",INDEX(_imp!$D$4:$D$4503,_imp!$C$4))</f>
        <v/>
      </c>
      <c r="B2" s="54">
        <f>IF(_imp!$C$4="","",INDEX(_imp!$E$4:$E$4503,_imp!$C$4))</f>
        <v/>
      </c>
      <c r="C2" s="54">
        <f>IF(_imp!$C$4="","",INDEX(_imp!$F$4:$F$4503,_imp!$C$4))</f>
        <v/>
      </c>
      <c r="D2" s="54">
        <f>IF(_imp!$C$4="","",INDEX(_imp!$G$4:$G$4503,_imp!$C$4))</f>
        <v/>
      </c>
      <c r="E2" s="54">
        <f>IF(_imp!$C$4="","",INDEX(_imp!$H$4:$H$4503,_imp!$C$4))</f>
        <v/>
      </c>
      <c r="F2" s="54">
        <f>IF(_imp!$C$4="","",INDEX(_imp!$I$4:$I$4503,_imp!$C$4))</f>
        <v/>
      </c>
      <c r="G2" s="54">
        <f>IF(_imp!$C$4="","",INDEX(_imp!$J$4:$J$4503,_imp!$C$4))</f>
        <v/>
      </c>
      <c r="K2" s="54">
        <f>IF(_imp!$C$4="","",INDEX(_imp!$K$4:$K$4503,_imp!$C$4))</f>
        <v/>
      </c>
    </row>
    <row r="3">
      <c r="A3" s="54">
        <f>IF(_imp!$C$5="","",INDEX(_imp!$D$4:$D$4503,_imp!$C$5))</f>
        <v/>
      </c>
      <c r="B3" s="54">
        <f>IF(_imp!$C$5="","",INDEX(_imp!$E$4:$E$4503,_imp!$C$5))</f>
        <v/>
      </c>
      <c r="C3" s="54">
        <f>IF(_imp!$C$5="","",INDEX(_imp!$F$4:$F$4503,_imp!$C$5))</f>
        <v/>
      </c>
      <c r="D3" s="54">
        <f>IF(_imp!$C$5="","",INDEX(_imp!$G$4:$G$4503,_imp!$C$5))</f>
        <v/>
      </c>
      <c r="E3" s="54">
        <f>IF(_imp!$C$5="","",INDEX(_imp!$H$4:$H$4503,_imp!$C$5))</f>
        <v/>
      </c>
      <c r="F3" s="54">
        <f>IF(_imp!$C$5="","",INDEX(_imp!$I$4:$I$4503,_imp!$C$5))</f>
        <v/>
      </c>
      <c r="G3" s="54">
        <f>IF(_imp!$C$5="","",INDEX(_imp!$J$4:$J$4503,_imp!$C$5))</f>
        <v/>
      </c>
      <c r="K3" s="54">
        <f>IF(_imp!$C$5="","",INDEX(_imp!$K$4:$K$4503,_imp!$C$5))</f>
        <v/>
      </c>
    </row>
    <row r="4">
      <c r="A4" s="54">
        <f>IF(_imp!$C$6="","",INDEX(_imp!$D$4:$D$4503,_imp!$C$6))</f>
        <v/>
      </c>
      <c r="B4" s="54">
        <f>IF(_imp!$C$6="","",INDEX(_imp!$E$4:$E$4503,_imp!$C$6))</f>
        <v/>
      </c>
      <c r="C4" s="54">
        <f>IF(_imp!$C$6="","",INDEX(_imp!$F$4:$F$4503,_imp!$C$6))</f>
        <v/>
      </c>
      <c r="D4" s="54">
        <f>IF(_imp!$C$6="","",INDEX(_imp!$G$4:$G$4503,_imp!$C$6))</f>
        <v/>
      </c>
      <c r="E4" s="54">
        <f>IF(_imp!$C$6="","",INDEX(_imp!$H$4:$H$4503,_imp!$C$6))</f>
        <v/>
      </c>
      <c r="F4" s="54">
        <f>IF(_imp!$C$6="","",INDEX(_imp!$I$4:$I$4503,_imp!$C$6))</f>
        <v/>
      </c>
      <c r="G4" s="54">
        <f>IF(_imp!$C$6="","",INDEX(_imp!$J$4:$J$4503,_imp!$C$6))</f>
        <v/>
      </c>
      <c r="K4" s="54">
        <f>IF(_imp!$C$6="","",INDEX(_imp!$K$4:$K$4503,_imp!$C$6))</f>
        <v/>
      </c>
    </row>
    <row r="5">
      <c r="A5" s="54">
        <f>IF(_imp!$C$7="","",INDEX(_imp!$D$4:$D$4503,_imp!$C$7))</f>
        <v/>
      </c>
      <c r="B5" s="54">
        <f>IF(_imp!$C$7="","",INDEX(_imp!$E$4:$E$4503,_imp!$C$7))</f>
        <v/>
      </c>
      <c r="C5" s="54">
        <f>IF(_imp!$C$7="","",INDEX(_imp!$F$4:$F$4503,_imp!$C$7))</f>
        <v/>
      </c>
      <c r="D5" s="54">
        <f>IF(_imp!$C$7="","",INDEX(_imp!$G$4:$G$4503,_imp!$C$7))</f>
        <v/>
      </c>
      <c r="E5" s="54">
        <f>IF(_imp!$C$7="","",INDEX(_imp!$H$4:$H$4503,_imp!$C$7))</f>
        <v/>
      </c>
      <c r="F5" s="54">
        <f>IF(_imp!$C$7="","",INDEX(_imp!$I$4:$I$4503,_imp!$C$7))</f>
        <v/>
      </c>
      <c r="G5" s="54">
        <f>IF(_imp!$C$7="","",INDEX(_imp!$J$4:$J$4503,_imp!$C$7))</f>
        <v/>
      </c>
      <c r="K5" s="54">
        <f>IF(_imp!$C$7="","",INDEX(_imp!$K$4:$K$4503,_imp!$C$7))</f>
        <v/>
      </c>
    </row>
    <row r="6">
      <c r="A6" s="54">
        <f>IF(_imp!$C$8="","",INDEX(_imp!$D$4:$D$4503,_imp!$C$8))</f>
        <v/>
      </c>
      <c r="B6" s="54">
        <f>IF(_imp!$C$8="","",INDEX(_imp!$E$4:$E$4503,_imp!$C$8))</f>
        <v/>
      </c>
      <c r="C6" s="54">
        <f>IF(_imp!$C$8="","",INDEX(_imp!$F$4:$F$4503,_imp!$C$8))</f>
        <v/>
      </c>
      <c r="D6" s="54">
        <f>IF(_imp!$C$8="","",INDEX(_imp!$G$4:$G$4503,_imp!$C$8))</f>
        <v/>
      </c>
      <c r="E6" s="54">
        <f>IF(_imp!$C$8="","",INDEX(_imp!$H$4:$H$4503,_imp!$C$8))</f>
        <v/>
      </c>
      <c r="F6" s="54">
        <f>IF(_imp!$C$8="","",INDEX(_imp!$I$4:$I$4503,_imp!$C$8))</f>
        <v/>
      </c>
      <c r="G6" s="54">
        <f>IF(_imp!$C$8="","",INDEX(_imp!$J$4:$J$4503,_imp!$C$8))</f>
        <v/>
      </c>
      <c r="K6" s="54">
        <f>IF(_imp!$C$8="","",INDEX(_imp!$K$4:$K$4503,_imp!$C$8))</f>
        <v/>
      </c>
    </row>
    <row r="7">
      <c r="A7" s="54">
        <f>IF(_imp!$C$9="","",INDEX(_imp!$D$4:$D$4503,_imp!$C$9))</f>
        <v/>
      </c>
      <c r="B7" s="54">
        <f>IF(_imp!$C$9="","",INDEX(_imp!$E$4:$E$4503,_imp!$C$9))</f>
        <v/>
      </c>
      <c r="C7" s="54">
        <f>IF(_imp!$C$9="","",INDEX(_imp!$F$4:$F$4503,_imp!$C$9))</f>
        <v/>
      </c>
      <c r="D7" s="54">
        <f>IF(_imp!$C$9="","",INDEX(_imp!$G$4:$G$4503,_imp!$C$9))</f>
        <v/>
      </c>
      <c r="E7" s="54">
        <f>IF(_imp!$C$9="","",INDEX(_imp!$H$4:$H$4503,_imp!$C$9))</f>
        <v/>
      </c>
      <c r="F7" s="54">
        <f>IF(_imp!$C$9="","",INDEX(_imp!$I$4:$I$4503,_imp!$C$9))</f>
        <v/>
      </c>
      <c r="G7" s="54">
        <f>IF(_imp!$C$9="","",INDEX(_imp!$J$4:$J$4503,_imp!$C$9))</f>
        <v/>
      </c>
      <c r="K7" s="54">
        <f>IF(_imp!$C$9="","",INDEX(_imp!$K$4:$K$4503,_imp!$C$9))</f>
        <v/>
      </c>
    </row>
    <row r="8">
      <c r="A8" s="54">
        <f>IF(_imp!$C$10="","",INDEX(_imp!$D$4:$D$4503,_imp!$C$10))</f>
        <v/>
      </c>
      <c r="B8" s="54">
        <f>IF(_imp!$C$10="","",INDEX(_imp!$E$4:$E$4503,_imp!$C$10))</f>
        <v/>
      </c>
      <c r="C8" s="54">
        <f>IF(_imp!$C$10="","",INDEX(_imp!$F$4:$F$4503,_imp!$C$10))</f>
        <v/>
      </c>
      <c r="D8" s="54">
        <f>IF(_imp!$C$10="","",INDEX(_imp!$G$4:$G$4503,_imp!$C$10))</f>
        <v/>
      </c>
      <c r="E8" s="54">
        <f>IF(_imp!$C$10="","",INDEX(_imp!$H$4:$H$4503,_imp!$C$10))</f>
        <v/>
      </c>
      <c r="F8" s="54">
        <f>IF(_imp!$C$10="","",INDEX(_imp!$I$4:$I$4503,_imp!$C$10))</f>
        <v/>
      </c>
      <c r="G8" s="54">
        <f>IF(_imp!$C$10="","",INDEX(_imp!$J$4:$J$4503,_imp!$C$10))</f>
        <v/>
      </c>
      <c r="K8" s="54">
        <f>IF(_imp!$C$10="","",INDEX(_imp!$K$4:$K$4503,_imp!$C$10))</f>
        <v/>
      </c>
    </row>
    <row r="9">
      <c r="A9" s="54">
        <f>IF(_imp!$C$11="","",INDEX(_imp!$D$4:$D$4503,_imp!$C$11))</f>
        <v/>
      </c>
      <c r="B9" s="54">
        <f>IF(_imp!$C$11="","",INDEX(_imp!$E$4:$E$4503,_imp!$C$11))</f>
        <v/>
      </c>
      <c r="C9" s="54">
        <f>IF(_imp!$C$11="","",INDEX(_imp!$F$4:$F$4503,_imp!$C$11))</f>
        <v/>
      </c>
      <c r="D9" s="54">
        <f>IF(_imp!$C$11="","",INDEX(_imp!$G$4:$G$4503,_imp!$C$11))</f>
        <v/>
      </c>
      <c r="E9" s="54">
        <f>IF(_imp!$C$11="","",INDEX(_imp!$H$4:$H$4503,_imp!$C$11))</f>
        <v/>
      </c>
      <c r="F9" s="54">
        <f>IF(_imp!$C$11="","",INDEX(_imp!$I$4:$I$4503,_imp!$C$11))</f>
        <v/>
      </c>
      <c r="G9" s="54">
        <f>IF(_imp!$C$11="","",INDEX(_imp!$J$4:$J$4503,_imp!$C$11))</f>
        <v/>
      </c>
      <c r="K9" s="54">
        <f>IF(_imp!$C$11="","",INDEX(_imp!$K$4:$K$4503,_imp!$C$11))</f>
        <v/>
      </c>
    </row>
    <row r="10">
      <c r="A10" s="54">
        <f>IF(_imp!$C$12="","",INDEX(_imp!$D$4:$D$4503,_imp!$C$12))</f>
        <v/>
      </c>
      <c r="B10" s="54">
        <f>IF(_imp!$C$12="","",INDEX(_imp!$E$4:$E$4503,_imp!$C$12))</f>
        <v/>
      </c>
      <c r="C10" s="54">
        <f>IF(_imp!$C$12="","",INDEX(_imp!$F$4:$F$4503,_imp!$C$12))</f>
        <v/>
      </c>
      <c r="D10" s="54">
        <f>IF(_imp!$C$12="","",INDEX(_imp!$G$4:$G$4503,_imp!$C$12))</f>
        <v/>
      </c>
      <c r="E10" s="54">
        <f>IF(_imp!$C$12="","",INDEX(_imp!$H$4:$H$4503,_imp!$C$12))</f>
        <v/>
      </c>
      <c r="F10" s="54">
        <f>IF(_imp!$C$12="","",INDEX(_imp!$I$4:$I$4503,_imp!$C$12))</f>
        <v/>
      </c>
      <c r="G10" s="54">
        <f>IF(_imp!$C$12="","",INDEX(_imp!$J$4:$J$4503,_imp!$C$12))</f>
        <v/>
      </c>
      <c r="K10" s="54">
        <f>IF(_imp!$C$12="","",INDEX(_imp!$K$4:$K$4503,_imp!$C$12))</f>
        <v/>
      </c>
    </row>
    <row r="11">
      <c r="A11" s="54">
        <f>IF(_imp!$C$13="","",INDEX(_imp!$D$4:$D$4503,_imp!$C$13))</f>
        <v/>
      </c>
      <c r="B11" s="54">
        <f>IF(_imp!$C$13="","",INDEX(_imp!$E$4:$E$4503,_imp!$C$13))</f>
        <v/>
      </c>
      <c r="C11" s="54">
        <f>IF(_imp!$C$13="","",INDEX(_imp!$F$4:$F$4503,_imp!$C$13))</f>
        <v/>
      </c>
      <c r="D11" s="54">
        <f>IF(_imp!$C$13="","",INDEX(_imp!$G$4:$G$4503,_imp!$C$13))</f>
        <v/>
      </c>
      <c r="E11" s="54">
        <f>IF(_imp!$C$13="","",INDEX(_imp!$H$4:$H$4503,_imp!$C$13))</f>
        <v/>
      </c>
      <c r="F11" s="54">
        <f>IF(_imp!$C$13="","",INDEX(_imp!$I$4:$I$4503,_imp!$C$13))</f>
        <v/>
      </c>
      <c r="G11" s="54">
        <f>IF(_imp!$C$13="","",INDEX(_imp!$J$4:$J$4503,_imp!$C$13))</f>
        <v/>
      </c>
      <c r="K11" s="54">
        <f>IF(_imp!$C$13="","",INDEX(_imp!$K$4:$K$4503,_imp!$C$13))</f>
        <v/>
      </c>
    </row>
    <row r="12">
      <c r="A12" s="54">
        <f>IF(_imp!$C$14="","",INDEX(_imp!$D$4:$D$4503,_imp!$C$14))</f>
        <v/>
      </c>
      <c r="B12" s="54">
        <f>IF(_imp!$C$14="","",INDEX(_imp!$E$4:$E$4503,_imp!$C$14))</f>
        <v/>
      </c>
      <c r="C12" s="54">
        <f>IF(_imp!$C$14="","",INDEX(_imp!$F$4:$F$4503,_imp!$C$14))</f>
        <v/>
      </c>
      <c r="D12" s="54">
        <f>IF(_imp!$C$14="","",INDEX(_imp!$G$4:$G$4503,_imp!$C$14))</f>
        <v/>
      </c>
      <c r="E12" s="54">
        <f>IF(_imp!$C$14="","",INDEX(_imp!$H$4:$H$4503,_imp!$C$14))</f>
        <v/>
      </c>
      <c r="F12" s="54">
        <f>IF(_imp!$C$14="","",INDEX(_imp!$I$4:$I$4503,_imp!$C$14))</f>
        <v/>
      </c>
      <c r="G12" s="54">
        <f>IF(_imp!$C$14="","",INDEX(_imp!$J$4:$J$4503,_imp!$C$14))</f>
        <v/>
      </c>
      <c r="K12" s="54">
        <f>IF(_imp!$C$14="","",INDEX(_imp!$K$4:$K$4503,_imp!$C$14))</f>
        <v/>
      </c>
    </row>
    <row r="13">
      <c r="A13" s="54">
        <f>IF(_imp!$C$15="","",INDEX(_imp!$D$4:$D$4503,_imp!$C$15))</f>
        <v/>
      </c>
      <c r="B13" s="54">
        <f>IF(_imp!$C$15="","",INDEX(_imp!$E$4:$E$4503,_imp!$C$15))</f>
        <v/>
      </c>
      <c r="C13" s="54">
        <f>IF(_imp!$C$15="","",INDEX(_imp!$F$4:$F$4503,_imp!$C$15))</f>
        <v/>
      </c>
      <c r="D13" s="54">
        <f>IF(_imp!$C$15="","",INDEX(_imp!$G$4:$G$4503,_imp!$C$15))</f>
        <v/>
      </c>
      <c r="E13" s="54">
        <f>IF(_imp!$C$15="","",INDEX(_imp!$H$4:$H$4503,_imp!$C$15))</f>
        <v/>
      </c>
      <c r="F13" s="54">
        <f>IF(_imp!$C$15="","",INDEX(_imp!$I$4:$I$4503,_imp!$C$15))</f>
        <v/>
      </c>
      <c r="G13" s="54">
        <f>IF(_imp!$C$15="","",INDEX(_imp!$J$4:$J$4503,_imp!$C$15))</f>
        <v/>
      </c>
      <c r="K13" s="54">
        <f>IF(_imp!$C$15="","",INDEX(_imp!$K$4:$K$4503,_imp!$C$15))</f>
        <v/>
      </c>
    </row>
    <row r="14">
      <c r="A14" s="54">
        <f>IF(_imp!$C$16="","",INDEX(_imp!$D$4:$D$4503,_imp!$C$16))</f>
        <v/>
      </c>
      <c r="B14" s="54">
        <f>IF(_imp!$C$16="","",INDEX(_imp!$E$4:$E$4503,_imp!$C$16))</f>
        <v/>
      </c>
      <c r="C14" s="54">
        <f>IF(_imp!$C$16="","",INDEX(_imp!$F$4:$F$4503,_imp!$C$16))</f>
        <v/>
      </c>
      <c r="D14" s="54">
        <f>IF(_imp!$C$16="","",INDEX(_imp!$G$4:$G$4503,_imp!$C$16))</f>
        <v/>
      </c>
      <c r="E14" s="54">
        <f>IF(_imp!$C$16="","",INDEX(_imp!$H$4:$H$4503,_imp!$C$16))</f>
        <v/>
      </c>
      <c r="F14" s="54">
        <f>IF(_imp!$C$16="","",INDEX(_imp!$I$4:$I$4503,_imp!$C$16))</f>
        <v/>
      </c>
      <c r="G14" s="54">
        <f>IF(_imp!$C$16="","",INDEX(_imp!$J$4:$J$4503,_imp!$C$16))</f>
        <v/>
      </c>
      <c r="K14" s="54">
        <f>IF(_imp!$C$16="","",INDEX(_imp!$K$4:$K$4503,_imp!$C$16))</f>
        <v/>
      </c>
    </row>
    <row r="15">
      <c r="A15" s="54">
        <f>IF(_imp!$C$17="","",INDEX(_imp!$D$4:$D$4503,_imp!$C$17))</f>
        <v/>
      </c>
      <c r="B15" s="54">
        <f>IF(_imp!$C$17="","",INDEX(_imp!$E$4:$E$4503,_imp!$C$17))</f>
        <v/>
      </c>
      <c r="C15" s="54">
        <f>IF(_imp!$C$17="","",INDEX(_imp!$F$4:$F$4503,_imp!$C$17))</f>
        <v/>
      </c>
      <c r="D15" s="54">
        <f>IF(_imp!$C$17="","",INDEX(_imp!$G$4:$G$4503,_imp!$C$17))</f>
        <v/>
      </c>
      <c r="E15" s="54">
        <f>IF(_imp!$C$17="","",INDEX(_imp!$H$4:$H$4503,_imp!$C$17))</f>
        <v/>
      </c>
      <c r="F15" s="54">
        <f>IF(_imp!$C$17="","",INDEX(_imp!$I$4:$I$4503,_imp!$C$17))</f>
        <v/>
      </c>
      <c r="G15" s="54">
        <f>IF(_imp!$C$17="","",INDEX(_imp!$J$4:$J$4503,_imp!$C$17))</f>
        <v/>
      </c>
      <c r="K15" s="54">
        <f>IF(_imp!$C$17="","",INDEX(_imp!$K$4:$K$4503,_imp!$C$17))</f>
        <v/>
      </c>
    </row>
    <row r="16">
      <c r="A16" s="54">
        <f>IF(_imp!$C$18="","",INDEX(_imp!$D$4:$D$4503,_imp!$C$18))</f>
        <v/>
      </c>
      <c r="B16" s="54">
        <f>IF(_imp!$C$18="","",INDEX(_imp!$E$4:$E$4503,_imp!$C$18))</f>
        <v/>
      </c>
      <c r="C16" s="54">
        <f>IF(_imp!$C$18="","",INDEX(_imp!$F$4:$F$4503,_imp!$C$18))</f>
        <v/>
      </c>
      <c r="D16" s="54">
        <f>IF(_imp!$C$18="","",INDEX(_imp!$G$4:$G$4503,_imp!$C$18))</f>
        <v/>
      </c>
      <c r="E16" s="54">
        <f>IF(_imp!$C$18="","",INDEX(_imp!$H$4:$H$4503,_imp!$C$18))</f>
        <v/>
      </c>
      <c r="F16" s="54">
        <f>IF(_imp!$C$18="","",INDEX(_imp!$I$4:$I$4503,_imp!$C$18))</f>
        <v/>
      </c>
      <c r="G16" s="54">
        <f>IF(_imp!$C$18="","",INDEX(_imp!$J$4:$J$4503,_imp!$C$18))</f>
        <v/>
      </c>
      <c r="K16" s="54">
        <f>IF(_imp!$C$18="","",INDEX(_imp!$K$4:$K$4503,_imp!$C$18))</f>
        <v/>
      </c>
    </row>
    <row r="17">
      <c r="A17" s="54">
        <f>IF(_imp!$C$19="","",INDEX(_imp!$D$4:$D$4503,_imp!$C$19))</f>
        <v/>
      </c>
      <c r="B17" s="54">
        <f>IF(_imp!$C$19="","",INDEX(_imp!$E$4:$E$4503,_imp!$C$19))</f>
        <v/>
      </c>
      <c r="C17" s="54">
        <f>IF(_imp!$C$19="","",INDEX(_imp!$F$4:$F$4503,_imp!$C$19))</f>
        <v/>
      </c>
      <c r="D17" s="54">
        <f>IF(_imp!$C$19="","",INDEX(_imp!$G$4:$G$4503,_imp!$C$19))</f>
        <v/>
      </c>
      <c r="E17" s="54">
        <f>IF(_imp!$C$19="","",INDEX(_imp!$H$4:$H$4503,_imp!$C$19))</f>
        <v/>
      </c>
      <c r="F17" s="54">
        <f>IF(_imp!$C$19="","",INDEX(_imp!$I$4:$I$4503,_imp!$C$19))</f>
        <v/>
      </c>
      <c r="G17" s="54">
        <f>IF(_imp!$C$19="","",INDEX(_imp!$J$4:$J$4503,_imp!$C$19))</f>
        <v/>
      </c>
      <c r="K17" s="54">
        <f>IF(_imp!$C$19="","",INDEX(_imp!$K$4:$K$4503,_imp!$C$19))</f>
        <v/>
      </c>
    </row>
    <row r="18">
      <c r="A18" s="54">
        <f>IF(_imp!$C$20="","",INDEX(_imp!$D$4:$D$4503,_imp!$C$20))</f>
        <v/>
      </c>
      <c r="B18" s="54">
        <f>IF(_imp!$C$20="","",INDEX(_imp!$E$4:$E$4503,_imp!$C$20))</f>
        <v/>
      </c>
      <c r="C18" s="54">
        <f>IF(_imp!$C$20="","",INDEX(_imp!$F$4:$F$4503,_imp!$C$20))</f>
        <v/>
      </c>
      <c r="D18" s="54">
        <f>IF(_imp!$C$20="","",INDEX(_imp!$G$4:$G$4503,_imp!$C$20))</f>
        <v/>
      </c>
      <c r="E18" s="54">
        <f>IF(_imp!$C$20="","",INDEX(_imp!$H$4:$H$4503,_imp!$C$20))</f>
        <v/>
      </c>
      <c r="F18" s="54">
        <f>IF(_imp!$C$20="","",INDEX(_imp!$I$4:$I$4503,_imp!$C$20))</f>
        <v/>
      </c>
      <c r="G18" s="54">
        <f>IF(_imp!$C$20="","",INDEX(_imp!$J$4:$J$4503,_imp!$C$20))</f>
        <v/>
      </c>
      <c r="K18" s="54">
        <f>IF(_imp!$C$20="","",INDEX(_imp!$K$4:$K$4503,_imp!$C$20))</f>
        <v/>
      </c>
    </row>
    <row r="19">
      <c r="A19" s="54">
        <f>IF(_imp!$C$21="","",INDEX(_imp!$D$4:$D$4503,_imp!$C$21))</f>
        <v/>
      </c>
      <c r="B19" s="54">
        <f>IF(_imp!$C$21="","",INDEX(_imp!$E$4:$E$4503,_imp!$C$21))</f>
        <v/>
      </c>
      <c r="C19" s="54">
        <f>IF(_imp!$C$21="","",INDEX(_imp!$F$4:$F$4503,_imp!$C$21))</f>
        <v/>
      </c>
      <c r="D19" s="54">
        <f>IF(_imp!$C$21="","",INDEX(_imp!$G$4:$G$4503,_imp!$C$21))</f>
        <v/>
      </c>
      <c r="E19" s="54">
        <f>IF(_imp!$C$21="","",INDEX(_imp!$H$4:$H$4503,_imp!$C$21))</f>
        <v/>
      </c>
      <c r="F19" s="54">
        <f>IF(_imp!$C$21="","",INDEX(_imp!$I$4:$I$4503,_imp!$C$21))</f>
        <v/>
      </c>
      <c r="G19" s="54">
        <f>IF(_imp!$C$21="","",INDEX(_imp!$J$4:$J$4503,_imp!$C$21))</f>
        <v/>
      </c>
      <c r="K19" s="54">
        <f>IF(_imp!$C$21="","",INDEX(_imp!$K$4:$K$4503,_imp!$C$21))</f>
        <v/>
      </c>
    </row>
    <row r="20">
      <c r="A20" s="54">
        <f>IF(_imp!$C$22="","",INDEX(_imp!$D$4:$D$4503,_imp!$C$22))</f>
        <v/>
      </c>
      <c r="B20" s="54">
        <f>IF(_imp!$C$22="","",INDEX(_imp!$E$4:$E$4503,_imp!$C$22))</f>
        <v/>
      </c>
      <c r="C20" s="54">
        <f>IF(_imp!$C$22="","",INDEX(_imp!$F$4:$F$4503,_imp!$C$22))</f>
        <v/>
      </c>
      <c r="D20" s="54">
        <f>IF(_imp!$C$22="","",INDEX(_imp!$G$4:$G$4503,_imp!$C$22))</f>
        <v/>
      </c>
      <c r="E20" s="54">
        <f>IF(_imp!$C$22="","",INDEX(_imp!$H$4:$H$4503,_imp!$C$22))</f>
        <v/>
      </c>
      <c r="F20" s="54">
        <f>IF(_imp!$C$22="","",INDEX(_imp!$I$4:$I$4503,_imp!$C$22))</f>
        <v/>
      </c>
      <c r="G20" s="54">
        <f>IF(_imp!$C$22="","",INDEX(_imp!$J$4:$J$4503,_imp!$C$22))</f>
        <v/>
      </c>
      <c r="K20" s="54">
        <f>IF(_imp!$C$22="","",INDEX(_imp!$K$4:$K$4503,_imp!$C$22))</f>
        <v/>
      </c>
    </row>
    <row r="21">
      <c r="A21" s="54">
        <f>IF(_imp!$C$23="","",INDEX(_imp!$D$4:$D$4503,_imp!$C$23))</f>
        <v/>
      </c>
      <c r="B21" s="54">
        <f>IF(_imp!$C$23="","",INDEX(_imp!$E$4:$E$4503,_imp!$C$23))</f>
        <v/>
      </c>
      <c r="C21" s="54">
        <f>IF(_imp!$C$23="","",INDEX(_imp!$F$4:$F$4503,_imp!$C$23))</f>
        <v/>
      </c>
      <c r="D21" s="54">
        <f>IF(_imp!$C$23="","",INDEX(_imp!$G$4:$G$4503,_imp!$C$23))</f>
        <v/>
      </c>
      <c r="E21" s="54">
        <f>IF(_imp!$C$23="","",INDEX(_imp!$H$4:$H$4503,_imp!$C$23))</f>
        <v/>
      </c>
      <c r="F21" s="54">
        <f>IF(_imp!$C$23="","",INDEX(_imp!$I$4:$I$4503,_imp!$C$23))</f>
        <v/>
      </c>
      <c r="G21" s="54">
        <f>IF(_imp!$C$23="","",INDEX(_imp!$J$4:$J$4503,_imp!$C$23))</f>
        <v/>
      </c>
      <c r="K21" s="54">
        <f>IF(_imp!$C$23="","",INDEX(_imp!$K$4:$K$4503,_imp!$C$23))</f>
        <v/>
      </c>
    </row>
    <row r="22">
      <c r="A22" s="54">
        <f>IF(_imp!$C$24="","",INDEX(_imp!$D$4:$D$4503,_imp!$C$24))</f>
        <v/>
      </c>
      <c r="B22" s="54">
        <f>IF(_imp!$C$24="","",INDEX(_imp!$E$4:$E$4503,_imp!$C$24))</f>
        <v/>
      </c>
      <c r="C22" s="54">
        <f>IF(_imp!$C$24="","",INDEX(_imp!$F$4:$F$4503,_imp!$C$24))</f>
        <v/>
      </c>
      <c r="D22" s="54">
        <f>IF(_imp!$C$24="","",INDEX(_imp!$G$4:$G$4503,_imp!$C$24))</f>
        <v/>
      </c>
      <c r="E22" s="54">
        <f>IF(_imp!$C$24="","",INDEX(_imp!$H$4:$H$4503,_imp!$C$24))</f>
        <v/>
      </c>
      <c r="F22" s="54">
        <f>IF(_imp!$C$24="","",INDEX(_imp!$I$4:$I$4503,_imp!$C$24))</f>
        <v/>
      </c>
      <c r="G22" s="54">
        <f>IF(_imp!$C$24="","",INDEX(_imp!$J$4:$J$4503,_imp!$C$24))</f>
        <v/>
      </c>
      <c r="K22" s="54">
        <f>IF(_imp!$C$24="","",INDEX(_imp!$K$4:$K$4503,_imp!$C$24))</f>
        <v/>
      </c>
    </row>
    <row r="23">
      <c r="A23" s="54">
        <f>IF(_imp!$C$25="","",INDEX(_imp!$D$4:$D$4503,_imp!$C$25))</f>
        <v/>
      </c>
      <c r="B23" s="54">
        <f>IF(_imp!$C$25="","",INDEX(_imp!$E$4:$E$4503,_imp!$C$25))</f>
        <v/>
      </c>
      <c r="C23" s="54">
        <f>IF(_imp!$C$25="","",INDEX(_imp!$F$4:$F$4503,_imp!$C$25))</f>
        <v/>
      </c>
      <c r="D23" s="54">
        <f>IF(_imp!$C$25="","",INDEX(_imp!$G$4:$G$4503,_imp!$C$25))</f>
        <v/>
      </c>
      <c r="E23" s="54">
        <f>IF(_imp!$C$25="","",INDEX(_imp!$H$4:$H$4503,_imp!$C$25))</f>
        <v/>
      </c>
      <c r="F23" s="54">
        <f>IF(_imp!$C$25="","",INDEX(_imp!$I$4:$I$4503,_imp!$C$25))</f>
        <v/>
      </c>
      <c r="G23" s="54">
        <f>IF(_imp!$C$25="","",INDEX(_imp!$J$4:$J$4503,_imp!$C$25))</f>
        <v/>
      </c>
      <c r="K23" s="54">
        <f>IF(_imp!$C$25="","",INDEX(_imp!$K$4:$K$4503,_imp!$C$25))</f>
        <v/>
      </c>
    </row>
    <row r="24">
      <c r="A24" s="54">
        <f>IF(_imp!$C$26="","",INDEX(_imp!$D$4:$D$4503,_imp!$C$26))</f>
        <v/>
      </c>
      <c r="B24" s="54">
        <f>IF(_imp!$C$26="","",INDEX(_imp!$E$4:$E$4503,_imp!$C$26))</f>
        <v/>
      </c>
      <c r="C24" s="54">
        <f>IF(_imp!$C$26="","",INDEX(_imp!$F$4:$F$4503,_imp!$C$26))</f>
        <v/>
      </c>
      <c r="D24" s="54">
        <f>IF(_imp!$C$26="","",INDEX(_imp!$G$4:$G$4503,_imp!$C$26))</f>
        <v/>
      </c>
      <c r="E24" s="54">
        <f>IF(_imp!$C$26="","",INDEX(_imp!$H$4:$H$4503,_imp!$C$26))</f>
        <v/>
      </c>
      <c r="F24" s="54">
        <f>IF(_imp!$C$26="","",INDEX(_imp!$I$4:$I$4503,_imp!$C$26))</f>
        <v/>
      </c>
      <c r="G24" s="54">
        <f>IF(_imp!$C$26="","",INDEX(_imp!$J$4:$J$4503,_imp!$C$26))</f>
        <v/>
      </c>
      <c r="K24" s="54">
        <f>IF(_imp!$C$26="","",INDEX(_imp!$K$4:$K$4503,_imp!$C$26))</f>
        <v/>
      </c>
    </row>
    <row r="25">
      <c r="A25" s="54">
        <f>IF(_imp!$C$27="","",INDEX(_imp!$D$4:$D$4503,_imp!$C$27))</f>
        <v/>
      </c>
      <c r="B25" s="54">
        <f>IF(_imp!$C$27="","",INDEX(_imp!$E$4:$E$4503,_imp!$C$27))</f>
        <v/>
      </c>
      <c r="C25" s="54">
        <f>IF(_imp!$C$27="","",INDEX(_imp!$F$4:$F$4503,_imp!$C$27))</f>
        <v/>
      </c>
      <c r="D25" s="54">
        <f>IF(_imp!$C$27="","",INDEX(_imp!$G$4:$G$4503,_imp!$C$27))</f>
        <v/>
      </c>
      <c r="E25" s="54">
        <f>IF(_imp!$C$27="","",INDEX(_imp!$H$4:$H$4503,_imp!$C$27))</f>
        <v/>
      </c>
      <c r="F25" s="54">
        <f>IF(_imp!$C$27="","",INDEX(_imp!$I$4:$I$4503,_imp!$C$27))</f>
        <v/>
      </c>
      <c r="G25" s="54">
        <f>IF(_imp!$C$27="","",INDEX(_imp!$J$4:$J$4503,_imp!$C$27))</f>
        <v/>
      </c>
      <c r="K25" s="54">
        <f>IF(_imp!$C$27="","",INDEX(_imp!$K$4:$K$4503,_imp!$C$27))</f>
        <v/>
      </c>
    </row>
    <row r="26">
      <c r="A26" s="54">
        <f>IF(_imp!$C$28="","",INDEX(_imp!$D$4:$D$4503,_imp!$C$28))</f>
        <v/>
      </c>
      <c r="B26" s="54">
        <f>IF(_imp!$C$28="","",INDEX(_imp!$E$4:$E$4503,_imp!$C$28))</f>
        <v/>
      </c>
      <c r="C26" s="54">
        <f>IF(_imp!$C$28="","",INDEX(_imp!$F$4:$F$4503,_imp!$C$28))</f>
        <v/>
      </c>
      <c r="D26" s="54">
        <f>IF(_imp!$C$28="","",INDEX(_imp!$G$4:$G$4503,_imp!$C$28))</f>
        <v/>
      </c>
      <c r="E26" s="54">
        <f>IF(_imp!$C$28="","",INDEX(_imp!$H$4:$H$4503,_imp!$C$28))</f>
        <v/>
      </c>
      <c r="F26" s="54">
        <f>IF(_imp!$C$28="","",INDEX(_imp!$I$4:$I$4503,_imp!$C$28))</f>
        <v/>
      </c>
      <c r="G26" s="54">
        <f>IF(_imp!$C$28="","",INDEX(_imp!$J$4:$J$4503,_imp!$C$28))</f>
        <v/>
      </c>
      <c r="K26" s="54">
        <f>IF(_imp!$C$28="","",INDEX(_imp!$K$4:$K$4503,_imp!$C$28))</f>
        <v/>
      </c>
    </row>
    <row r="27">
      <c r="A27" s="54">
        <f>IF(_imp!$C$29="","",INDEX(_imp!$D$4:$D$4503,_imp!$C$29))</f>
        <v/>
      </c>
      <c r="B27" s="54">
        <f>IF(_imp!$C$29="","",INDEX(_imp!$E$4:$E$4503,_imp!$C$29))</f>
        <v/>
      </c>
      <c r="C27" s="54">
        <f>IF(_imp!$C$29="","",INDEX(_imp!$F$4:$F$4503,_imp!$C$29))</f>
        <v/>
      </c>
      <c r="D27" s="54">
        <f>IF(_imp!$C$29="","",INDEX(_imp!$G$4:$G$4503,_imp!$C$29))</f>
        <v/>
      </c>
      <c r="E27" s="54">
        <f>IF(_imp!$C$29="","",INDEX(_imp!$H$4:$H$4503,_imp!$C$29))</f>
        <v/>
      </c>
      <c r="F27" s="54">
        <f>IF(_imp!$C$29="","",INDEX(_imp!$I$4:$I$4503,_imp!$C$29))</f>
        <v/>
      </c>
      <c r="G27" s="54">
        <f>IF(_imp!$C$29="","",INDEX(_imp!$J$4:$J$4503,_imp!$C$29))</f>
        <v/>
      </c>
      <c r="K27" s="54">
        <f>IF(_imp!$C$29="","",INDEX(_imp!$K$4:$K$4503,_imp!$C$29))</f>
        <v/>
      </c>
    </row>
    <row r="28">
      <c r="A28" s="54">
        <f>IF(_imp!$C$30="","",INDEX(_imp!$D$4:$D$4503,_imp!$C$30))</f>
        <v/>
      </c>
      <c r="B28" s="54">
        <f>IF(_imp!$C$30="","",INDEX(_imp!$E$4:$E$4503,_imp!$C$30))</f>
        <v/>
      </c>
      <c r="C28" s="54">
        <f>IF(_imp!$C$30="","",INDEX(_imp!$F$4:$F$4503,_imp!$C$30))</f>
        <v/>
      </c>
      <c r="D28" s="54">
        <f>IF(_imp!$C$30="","",INDEX(_imp!$G$4:$G$4503,_imp!$C$30))</f>
        <v/>
      </c>
      <c r="E28" s="54">
        <f>IF(_imp!$C$30="","",INDEX(_imp!$H$4:$H$4503,_imp!$C$30))</f>
        <v/>
      </c>
      <c r="F28" s="54">
        <f>IF(_imp!$C$30="","",INDEX(_imp!$I$4:$I$4503,_imp!$C$30))</f>
        <v/>
      </c>
      <c r="G28" s="54">
        <f>IF(_imp!$C$30="","",INDEX(_imp!$J$4:$J$4503,_imp!$C$30))</f>
        <v/>
      </c>
      <c r="K28" s="54">
        <f>IF(_imp!$C$30="","",INDEX(_imp!$K$4:$K$4503,_imp!$C$30))</f>
        <v/>
      </c>
    </row>
    <row r="29">
      <c r="A29" s="54">
        <f>IF(_imp!$C$31="","",INDEX(_imp!$D$4:$D$4503,_imp!$C$31))</f>
        <v/>
      </c>
      <c r="B29" s="54">
        <f>IF(_imp!$C$31="","",INDEX(_imp!$E$4:$E$4503,_imp!$C$31))</f>
        <v/>
      </c>
      <c r="C29" s="54">
        <f>IF(_imp!$C$31="","",INDEX(_imp!$F$4:$F$4503,_imp!$C$31))</f>
        <v/>
      </c>
      <c r="D29" s="54">
        <f>IF(_imp!$C$31="","",INDEX(_imp!$G$4:$G$4503,_imp!$C$31))</f>
        <v/>
      </c>
      <c r="E29" s="54">
        <f>IF(_imp!$C$31="","",INDEX(_imp!$H$4:$H$4503,_imp!$C$31))</f>
        <v/>
      </c>
      <c r="F29" s="54">
        <f>IF(_imp!$C$31="","",INDEX(_imp!$I$4:$I$4503,_imp!$C$31))</f>
        <v/>
      </c>
      <c r="G29" s="54">
        <f>IF(_imp!$C$31="","",INDEX(_imp!$J$4:$J$4503,_imp!$C$31))</f>
        <v/>
      </c>
      <c r="K29" s="54">
        <f>IF(_imp!$C$31="","",INDEX(_imp!$K$4:$K$4503,_imp!$C$31))</f>
        <v/>
      </c>
    </row>
    <row r="30">
      <c r="A30" s="54">
        <f>IF(_imp!$C$32="","",INDEX(_imp!$D$4:$D$4503,_imp!$C$32))</f>
        <v/>
      </c>
      <c r="B30" s="54">
        <f>IF(_imp!$C$32="","",INDEX(_imp!$E$4:$E$4503,_imp!$C$32))</f>
        <v/>
      </c>
      <c r="C30" s="54">
        <f>IF(_imp!$C$32="","",INDEX(_imp!$F$4:$F$4503,_imp!$C$32))</f>
        <v/>
      </c>
      <c r="D30" s="54">
        <f>IF(_imp!$C$32="","",INDEX(_imp!$G$4:$G$4503,_imp!$C$32))</f>
        <v/>
      </c>
      <c r="E30" s="54">
        <f>IF(_imp!$C$32="","",INDEX(_imp!$H$4:$H$4503,_imp!$C$32))</f>
        <v/>
      </c>
      <c r="F30" s="54">
        <f>IF(_imp!$C$32="","",INDEX(_imp!$I$4:$I$4503,_imp!$C$32))</f>
        <v/>
      </c>
      <c r="G30" s="54">
        <f>IF(_imp!$C$32="","",INDEX(_imp!$J$4:$J$4503,_imp!$C$32))</f>
        <v/>
      </c>
      <c r="K30" s="54">
        <f>IF(_imp!$C$32="","",INDEX(_imp!$K$4:$K$4503,_imp!$C$32))</f>
        <v/>
      </c>
    </row>
    <row r="31">
      <c r="A31" s="54">
        <f>IF(_imp!$C$33="","",INDEX(_imp!$D$4:$D$4503,_imp!$C$33))</f>
        <v/>
      </c>
      <c r="B31" s="54">
        <f>IF(_imp!$C$33="","",INDEX(_imp!$E$4:$E$4503,_imp!$C$33))</f>
        <v/>
      </c>
      <c r="C31" s="54">
        <f>IF(_imp!$C$33="","",INDEX(_imp!$F$4:$F$4503,_imp!$C$33))</f>
        <v/>
      </c>
      <c r="D31" s="54">
        <f>IF(_imp!$C$33="","",INDEX(_imp!$G$4:$G$4503,_imp!$C$33))</f>
        <v/>
      </c>
      <c r="E31" s="54">
        <f>IF(_imp!$C$33="","",INDEX(_imp!$H$4:$H$4503,_imp!$C$33))</f>
        <v/>
      </c>
      <c r="F31" s="54">
        <f>IF(_imp!$C$33="","",INDEX(_imp!$I$4:$I$4503,_imp!$C$33))</f>
        <v/>
      </c>
      <c r="G31" s="54">
        <f>IF(_imp!$C$33="","",INDEX(_imp!$J$4:$J$4503,_imp!$C$33))</f>
        <v/>
      </c>
      <c r="K31" s="54">
        <f>IF(_imp!$C$33="","",INDEX(_imp!$K$4:$K$4503,_imp!$C$33))</f>
        <v/>
      </c>
    </row>
    <row r="32">
      <c r="A32" s="54">
        <f>IF(_imp!$C$34="","",INDEX(_imp!$D$4:$D$4503,_imp!$C$34))</f>
        <v/>
      </c>
      <c r="B32" s="54">
        <f>IF(_imp!$C$34="","",INDEX(_imp!$E$4:$E$4503,_imp!$C$34))</f>
        <v/>
      </c>
      <c r="C32" s="54">
        <f>IF(_imp!$C$34="","",INDEX(_imp!$F$4:$F$4503,_imp!$C$34))</f>
        <v/>
      </c>
      <c r="D32" s="54">
        <f>IF(_imp!$C$34="","",INDEX(_imp!$G$4:$G$4503,_imp!$C$34))</f>
        <v/>
      </c>
      <c r="E32" s="54">
        <f>IF(_imp!$C$34="","",INDEX(_imp!$H$4:$H$4503,_imp!$C$34))</f>
        <v/>
      </c>
      <c r="F32" s="54">
        <f>IF(_imp!$C$34="","",INDEX(_imp!$I$4:$I$4503,_imp!$C$34))</f>
        <v/>
      </c>
      <c r="G32" s="54">
        <f>IF(_imp!$C$34="","",INDEX(_imp!$J$4:$J$4503,_imp!$C$34))</f>
        <v/>
      </c>
      <c r="K32" s="54">
        <f>IF(_imp!$C$34="","",INDEX(_imp!$K$4:$K$4503,_imp!$C$34))</f>
        <v/>
      </c>
    </row>
    <row r="33">
      <c r="A33" s="54">
        <f>IF(_imp!$C$35="","",INDEX(_imp!$D$4:$D$4503,_imp!$C$35))</f>
        <v/>
      </c>
      <c r="B33" s="54">
        <f>IF(_imp!$C$35="","",INDEX(_imp!$E$4:$E$4503,_imp!$C$35))</f>
        <v/>
      </c>
      <c r="C33" s="54">
        <f>IF(_imp!$C$35="","",INDEX(_imp!$F$4:$F$4503,_imp!$C$35))</f>
        <v/>
      </c>
      <c r="D33" s="54">
        <f>IF(_imp!$C$35="","",INDEX(_imp!$G$4:$G$4503,_imp!$C$35))</f>
        <v/>
      </c>
      <c r="E33" s="54">
        <f>IF(_imp!$C$35="","",INDEX(_imp!$H$4:$H$4503,_imp!$C$35))</f>
        <v/>
      </c>
      <c r="F33" s="54">
        <f>IF(_imp!$C$35="","",INDEX(_imp!$I$4:$I$4503,_imp!$C$35))</f>
        <v/>
      </c>
      <c r="G33" s="54">
        <f>IF(_imp!$C$35="","",INDEX(_imp!$J$4:$J$4503,_imp!$C$35))</f>
        <v/>
      </c>
      <c r="K33" s="54">
        <f>IF(_imp!$C$35="","",INDEX(_imp!$K$4:$K$4503,_imp!$C$35))</f>
        <v/>
      </c>
    </row>
    <row r="34">
      <c r="A34" s="54">
        <f>IF(_imp!$C$36="","",INDEX(_imp!$D$4:$D$4503,_imp!$C$36))</f>
        <v/>
      </c>
      <c r="B34" s="54">
        <f>IF(_imp!$C$36="","",INDEX(_imp!$E$4:$E$4503,_imp!$C$36))</f>
        <v/>
      </c>
      <c r="C34" s="54">
        <f>IF(_imp!$C$36="","",INDEX(_imp!$F$4:$F$4503,_imp!$C$36))</f>
        <v/>
      </c>
      <c r="D34" s="54">
        <f>IF(_imp!$C$36="","",INDEX(_imp!$G$4:$G$4503,_imp!$C$36))</f>
        <v/>
      </c>
      <c r="E34" s="54">
        <f>IF(_imp!$C$36="","",INDEX(_imp!$H$4:$H$4503,_imp!$C$36))</f>
        <v/>
      </c>
      <c r="F34" s="54">
        <f>IF(_imp!$C$36="","",INDEX(_imp!$I$4:$I$4503,_imp!$C$36))</f>
        <v/>
      </c>
      <c r="G34" s="54">
        <f>IF(_imp!$C$36="","",INDEX(_imp!$J$4:$J$4503,_imp!$C$36))</f>
        <v/>
      </c>
      <c r="K34" s="54">
        <f>IF(_imp!$C$36="","",INDEX(_imp!$K$4:$K$4503,_imp!$C$36))</f>
        <v/>
      </c>
    </row>
    <row r="35">
      <c r="A35" s="54">
        <f>IF(_imp!$C$37="","",INDEX(_imp!$D$4:$D$4503,_imp!$C$37))</f>
        <v/>
      </c>
      <c r="B35" s="54">
        <f>IF(_imp!$C$37="","",INDEX(_imp!$E$4:$E$4503,_imp!$C$37))</f>
        <v/>
      </c>
      <c r="C35" s="54">
        <f>IF(_imp!$C$37="","",INDEX(_imp!$F$4:$F$4503,_imp!$C$37))</f>
        <v/>
      </c>
      <c r="D35" s="54">
        <f>IF(_imp!$C$37="","",INDEX(_imp!$G$4:$G$4503,_imp!$C$37))</f>
        <v/>
      </c>
      <c r="E35" s="54">
        <f>IF(_imp!$C$37="","",INDEX(_imp!$H$4:$H$4503,_imp!$C$37))</f>
        <v/>
      </c>
      <c r="F35" s="54">
        <f>IF(_imp!$C$37="","",INDEX(_imp!$I$4:$I$4503,_imp!$C$37))</f>
        <v/>
      </c>
      <c r="G35" s="54">
        <f>IF(_imp!$C$37="","",INDEX(_imp!$J$4:$J$4503,_imp!$C$37))</f>
        <v/>
      </c>
      <c r="K35" s="54">
        <f>IF(_imp!$C$37="","",INDEX(_imp!$K$4:$K$4503,_imp!$C$37))</f>
        <v/>
      </c>
    </row>
    <row r="36">
      <c r="A36" s="54">
        <f>IF(_imp!$C$38="","",INDEX(_imp!$D$4:$D$4503,_imp!$C$38))</f>
        <v/>
      </c>
      <c r="B36" s="54">
        <f>IF(_imp!$C$38="","",INDEX(_imp!$E$4:$E$4503,_imp!$C$38))</f>
        <v/>
      </c>
      <c r="C36" s="54">
        <f>IF(_imp!$C$38="","",INDEX(_imp!$F$4:$F$4503,_imp!$C$38))</f>
        <v/>
      </c>
      <c r="D36" s="54">
        <f>IF(_imp!$C$38="","",INDEX(_imp!$G$4:$G$4503,_imp!$C$38))</f>
        <v/>
      </c>
      <c r="E36" s="54">
        <f>IF(_imp!$C$38="","",INDEX(_imp!$H$4:$H$4503,_imp!$C$38))</f>
        <v/>
      </c>
      <c r="F36" s="54">
        <f>IF(_imp!$C$38="","",INDEX(_imp!$I$4:$I$4503,_imp!$C$38))</f>
        <v/>
      </c>
      <c r="G36" s="54">
        <f>IF(_imp!$C$38="","",INDEX(_imp!$J$4:$J$4503,_imp!$C$38))</f>
        <v/>
      </c>
      <c r="K36" s="54">
        <f>IF(_imp!$C$38="","",INDEX(_imp!$K$4:$K$4503,_imp!$C$38))</f>
        <v/>
      </c>
    </row>
    <row r="37">
      <c r="A37" s="54">
        <f>IF(_imp!$C$39="","",INDEX(_imp!$D$4:$D$4503,_imp!$C$39))</f>
        <v/>
      </c>
      <c r="B37" s="54">
        <f>IF(_imp!$C$39="","",INDEX(_imp!$E$4:$E$4503,_imp!$C$39))</f>
        <v/>
      </c>
      <c r="C37" s="54">
        <f>IF(_imp!$C$39="","",INDEX(_imp!$F$4:$F$4503,_imp!$C$39))</f>
        <v/>
      </c>
      <c r="D37" s="54">
        <f>IF(_imp!$C$39="","",INDEX(_imp!$G$4:$G$4503,_imp!$C$39))</f>
        <v/>
      </c>
      <c r="E37" s="54">
        <f>IF(_imp!$C$39="","",INDEX(_imp!$H$4:$H$4503,_imp!$C$39))</f>
        <v/>
      </c>
      <c r="F37" s="54">
        <f>IF(_imp!$C$39="","",INDEX(_imp!$I$4:$I$4503,_imp!$C$39))</f>
        <v/>
      </c>
      <c r="G37" s="54">
        <f>IF(_imp!$C$39="","",INDEX(_imp!$J$4:$J$4503,_imp!$C$39))</f>
        <v/>
      </c>
      <c r="K37" s="54">
        <f>IF(_imp!$C$39="","",INDEX(_imp!$K$4:$K$4503,_imp!$C$39))</f>
        <v/>
      </c>
    </row>
    <row r="38">
      <c r="A38" s="54">
        <f>IF(_imp!$C$40="","",INDEX(_imp!$D$4:$D$4503,_imp!$C$40))</f>
        <v/>
      </c>
      <c r="B38" s="54">
        <f>IF(_imp!$C$40="","",INDEX(_imp!$E$4:$E$4503,_imp!$C$40))</f>
        <v/>
      </c>
      <c r="C38" s="54">
        <f>IF(_imp!$C$40="","",INDEX(_imp!$F$4:$F$4503,_imp!$C$40))</f>
        <v/>
      </c>
      <c r="D38" s="54">
        <f>IF(_imp!$C$40="","",INDEX(_imp!$G$4:$G$4503,_imp!$C$40))</f>
        <v/>
      </c>
      <c r="E38" s="54">
        <f>IF(_imp!$C$40="","",INDEX(_imp!$H$4:$H$4503,_imp!$C$40))</f>
        <v/>
      </c>
      <c r="F38" s="54">
        <f>IF(_imp!$C$40="","",INDEX(_imp!$I$4:$I$4503,_imp!$C$40))</f>
        <v/>
      </c>
      <c r="G38" s="54">
        <f>IF(_imp!$C$40="","",INDEX(_imp!$J$4:$J$4503,_imp!$C$40))</f>
        <v/>
      </c>
      <c r="K38" s="54">
        <f>IF(_imp!$C$40="","",INDEX(_imp!$K$4:$K$4503,_imp!$C$40))</f>
        <v/>
      </c>
    </row>
    <row r="39">
      <c r="A39" s="54">
        <f>IF(_imp!$C$41="","",INDEX(_imp!$D$4:$D$4503,_imp!$C$41))</f>
        <v/>
      </c>
      <c r="B39" s="54">
        <f>IF(_imp!$C$41="","",INDEX(_imp!$E$4:$E$4503,_imp!$C$41))</f>
        <v/>
      </c>
      <c r="C39" s="54">
        <f>IF(_imp!$C$41="","",INDEX(_imp!$F$4:$F$4503,_imp!$C$41))</f>
        <v/>
      </c>
      <c r="D39" s="54">
        <f>IF(_imp!$C$41="","",INDEX(_imp!$G$4:$G$4503,_imp!$C$41))</f>
        <v/>
      </c>
      <c r="E39" s="54">
        <f>IF(_imp!$C$41="","",INDEX(_imp!$H$4:$H$4503,_imp!$C$41))</f>
        <v/>
      </c>
      <c r="F39" s="54">
        <f>IF(_imp!$C$41="","",INDEX(_imp!$I$4:$I$4503,_imp!$C$41))</f>
        <v/>
      </c>
      <c r="G39" s="54">
        <f>IF(_imp!$C$41="","",INDEX(_imp!$J$4:$J$4503,_imp!$C$41))</f>
        <v/>
      </c>
      <c r="K39" s="54">
        <f>IF(_imp!$C$41="","",INDEX(_imp!$K$4:$K$4503,_imp!$C$41))</f>
        <v/>
      </c>
    </row>
    <row r="40">
      <c r="A40" s="54">
        <f>IF(_imp!$C$42="","",INDEX(_imp!$D$4:$D$4503,_imp!$C$42))</f>
        <v/>
      </c>
      <c r="B40" s="54">
        <f>IF(_imp!$C$42="","",INDEX(_imp!$E$4:$E$4503,_imp!$C$42))</f>
        <v/>
      </c>
      <c r="C40" s="54">
        <f>IF(_imp!$C$42="","",INDEX(_imp!$F$4:$F$4503,_imp!$C$42))</f>
        <v/>
      </c>
      <c r="D40" s="54">
        <f>IF(_imp!$C$42="","",INDEX(_imp!$G$4:$G$4503,_imp!$C$42))</f>
        <v/>
      </c>
      <c r="E40" s="54">
        <f>IF(_imp!$C$42="","",INDEX(_imp!$H$4:$H$4503,_imp!$C$42))</f>
        <v/>
      </c>
      <c r="F40" s="54">
        <f>IF(_imp!$C$42="","",INDEX(_imp!$I$4:$I$4503,_imp!$C$42))</f>
        <v/>
      </c>
      <c r="G40" s="54">
        <f>IF(_imp!$C$42="","",INDEX(_imp!$J$4:$J$4503,_imp!$C$42))</f>
        <v/>
      </c>
      <c r="K40" s="54">
        <f>IF(_imp!$C$42="","",INDEX(_imp!$K$4:$K$4503,_imp!$C$42))</f>
        <v/>
      </c>
    </row>
    <row r="41">
      <c r="A41" s="54">
        <f>IF(_imp!$C$43="","",INDEX(_imp!$D$4:$D$4503,_imp!$C$43))</f>
        <v/>
      </c>
      <c r="B41" s="54">
        <f>IF(_imp!$C$43="","",INDEX(_imp!$E$4:$E$4503,_imp!$C$43))</f>
        <v/>
      </c>
      <c r="C41" s="54">
        <f>IF(_imp!$C$43="","",INDEX(_imp!$F$4:$F$4503,_imp!$C$43))</f>
        <v/>
      </c>
      <c r="D41" s="54">
        <f>IF(_imp!$C$43="","",INDEX(_imp!$G$4:$G$4503,_imp!$C$43))</f>
        <v/>
      </c>
      <c r="E41" s="54">
        <f>IF(_imp!$C$43="","",INDEX(_imp!$H$4:$H$4503,_imp!$C$43))</f>
        <v/>
      </c>
      <c r="F41" s="54">
        <f>IF(_imp!$C$43="","",INDEX(_imp!$I$4:$I$4503,_imp!$C$43))</f>
        <v/>
      </c>
      <c r="G41" s="54">
        <f>IF(_imp!$C$43="","",INDEX(_imp!$J$4:$J$4503,_imp!$C$43))</f>
        <v/>
      </c>
      <c r="K41" s="54">
        <f>IF(_imp!$C$43="","",INDEX(_imp!$K$4:$K$4503,_imp!$C$43))</f>
        <v/>
      </c>
    </row>
    <row r="42">
      <c r="A42" s="54">
        <f>IF(_imp!$C$44="","",INDEX(_imp!$D$4:$D$4503,_imp!$C$44))</f>
        <v/>
      </c>
      <c r="B42" s="54">
        <f>IF(_imp!$C$44="","",INDEX(_imp!$E$4:$E$4503,_imp!$C$44))</f>
        <v/>
      </c>
      <c r="C42" s="54">
        <f>IF(_imp!$C$44="","",INDEX(_imp!$F$4:$F$4503,_imp!$C$44))</f>
        <v/>
      </c>
      <c r="D42" s="54">
        <f>IF(_imp!$C$44="","",INDEX(_imp!$G$4:$G$4503,_imp!$C$44))</f>
        <v/>
      </c>
      <c r="E42" s="54">
        <f>IF(_imp!$C$44="","",INDEX(_imp!$H$4:$H$4503,_imp!$C$44))</f>
        <v/>
      </c>
      <c r="F42" s="54">
        <f>IF(_imp!$C$44="","",INDEX(_imp!$I$4:$I$4503,_imp!$C$44))</f>
        <v/>
      </c>
      <c r="G42" s="54">
        <f>IF(_imp!$C$44="","",INDEX(_imp!$J$4:$J$4503,_imp!$C$44))</f>
        <v/>
      </c>
      <c r="K42" s="54">
        <f>IF(_imp!$C$44="","",INDEX(_imp!$K$4:$K$4503,_imp!$C$44))</f>
        <v/>
      </c>
    </row>
    <row r="43">
      <c r="A43" s="54">
        <f>IF(_imp!$C$45="","",INDEX(_imp!$D$4:$D$4503,_imp!$C$45))</f>
        <v/>
      </c>
      <c r="B43" s="54">
        <f>IF(_imp!$C$45="","",INDEX(_imp!$E$4:$E$4503,_imp!$C$45))</f>
        <v/>
      </c>
      <c r="C43" s="54">
        <f>IF(_imp!$C$45="","",INDEX(_imp!$F$4:$F$4503,_imp!$C$45))</f>
        <v/>
      </c>
      <c r="D43" s="54">
        <f>IF(_imp!$C$45="","",INDEX(_imp!$G$4:$G$4503,_imp!$C$45))</f>
        <v/>
      </c>
      <c r="E43" s="54">
        <f>IF(_imp!$C$45="","",INDEX(_imp!$H$4:$H$4503,_imp!$C$45))</f>
        <v/>
      </c>
      <c r="F43" s="54">
        <f>IF(_imp!$C$45="","",INDEX(_imp!$I$4:$I$4503,_imp!$C$45))</f>
        <v/>
      </c>
      <c r="G43" s="54">
        <f>IF(_imp!$C$45="","",INDEX(_imp!$J$4:$J$4503,_imp!$C$45))</f>
        <v/>
      </c>
      <c r="K43" s="54">
        <f>IF(_imp!$C$45="","",INDEX(_imp!$K$4:$K$4503,_imp!$C$45))</f>
        <v/>
      </c>
    </row>
    <row r="44">
      <c r="A44" s="54">
        <f>IF(_imp!$C$46="","",INDEX(_imp!$D$4:$D$4503,_imp!$C$46))</f>
        <v/>
      </c>
      <c r="B44" s="54">
        <f>IF(_imp!$C$46="","",INDEX(_imp!$E$4:$E$4503,_imp!$C$46))</f>
        <v/>
      </c>
      <c r="C44" s="54">
        <f>IF(_imp!$C$46="","",INDEX(_imp!$F$4:$F$4503,_imp!$C$46))</f>
        <v/>
      </c>
      <c r="D44" s="54">
        <f>IF(_imp!$C$46="","",INDEX(_imp!$G$4:$G$4503,_imp!$C$46))</f>
        <v/>
      </c>
      <c r="E44" s="54">
        <f>IF(_imp!$C$46="","",INDEX(_imp!$H$4:$H$4503,_imp!$C$46))</f>
        <v/>
      </c>
      <c r="F44" s="54">
        <f>IF(_imp!$C$46="","",INDEX(_imp!$I$4:$I$4503,_imp!$C$46))</f>
        <v/>
      </c>
      <c r="G44" s="54">
        <f>IF(_imp!$C$46="","",INDEX(_imp!$J$4:$J$4503,_imp!$C$46))</f>
        <v/>
      </c>
      <c r="K44" s="54">
        <f>IF(_imp!$C$46="","",INDEX(_imp!$K$4:$K$4503,_imp!$C$46))</f>
        <v/>
      </c>
    </row>
    <row r="45">
      <c r="A45" s="54">
        <f>IF(_imp!$C$47="","",INDEX(_imp!$D$4:$D$4503,_imp!$C$47))</f>
        <v/>
      </c>
      <c r="B45" s="54">
        <f>IF(_imp!$C$47="","",INDEX(_imp!$E$4:$E$4503,_imp!$C$47))</f>
        <v/>
      </c>
      <c r="C45" s="54">
        <f>IF(_imp!$C$47="","",INDEX(_imp!$F$4:$F$4503,_imp!$C$47))</f>
        <v/>
      </c>
      <c r="D45" s="54">
        <f>IF(_imp!$C$47="","",INDEX(_imp!$G$4:$G$4503,_imp!$C$47))</f>
        <v/>
      </c>
      <c r="E45" s="54">
        <f>IF(_imp!$C$47="","",INDEX(_imp!$H$4:$H$4503,_imp!$C$47))</f>
        <v/>
      </c>
      <c r="F45" s="54">
        <f>IF(_imp!$C$47="","",INDEX(_imp!$I$4:$I$4503,_imp!$C$47))</f>
        <v/>
      </c>
      <c r="G45" s="54">
        <f>IF(_imp!$C$47="","",INDEX(_imp!$J$4:$J$4503,_imp!$C$47))</f>
        <v/>
      </c>
      <c r="K45" s="54">
        <f>IF(_imp!$C$47="","",INDEX(_imp!$K$4:$K$4503,_imp!$C$47))</f>
        <v/>
      </c>
    </row>
    <row r="46">
      <c r="A46" s="54">
        <f>IF(_imp!$C$48="","",INDEX(_imp!$D$4:$D$4503,_imp!$C$48))</f>
        <v/>
      </c>
      <c r="B46" s="54">
        <f>IF(_imp!$C$48="","",INDEX(_imp!$E$4:$E$4503,_imp!$C$48))</f>
        <v/>
      </c>
      <c r="C46" s="54">
        <f>IF(_imp!$C$48="","",INDEX(_imp!$F$4:$F$4503,_imp!$C$48))</f>
        <v/>
      </c>
      <c r="D46" s="54">
        <f>IF(_imp!$C$48="","",INDEX(_imp!$G$4:$G$4503,_imp!$C$48))</f>
        <v/>
      </c>
      <c r="E46" s="54">
        <f>IF(_imp!$C$48="","",INDEX(_imp!$H$4:$H$4503,_imp!$C$48))</f>
        <v/>
      </c>
      <c r="F46" s="54">
        <f>IF(_imp!$C$48="","",INDEX(_imp!$I$4:$I$4503,_imp!$C$48))</f>
        <v/>
      </c>
      <c r="G46" s="54">
        <f>IF(_imp!$C$48="","",INDEX(_imp!$J$4:$J$4503,_imp!$C$48))</f>
        <v/>
      </c>
      <c r="K46" s="54">
        <f>IF(_imp!$C$48="","",INDEX(_imp!$K$4:$K$4503,_imp!$C$48))</f>
        <v/>
      </c>
    </row>
    <row r="47">
      <c r="A47" s="54">
        <f>IF(_imp!$C$49="","",INDEX(_imp!$D$4:$D$4503,_imp!$C$49))</f>
        <v/>
      </c>
      <c r="B47" s="54">
        <f>IF(_imp!$C$49="","",INDEX(_imp!$E$4:$E$4503,_imp!$C$49))</f>
        <v/>
      </c>
      <c r="C47" s="54">
        <f>IF(_imp!$C$49="","",INDEX(_imp!$F$4:$F$4503,_imp!$C$49))</f>
        <v/>
      </c>
      <c r="D47" s="54">
        <f>IF(_imp!$C$49="","",INDEX(_imp!$G$4:$G$4503,_imp!$C$49))</f>
        <v/>
      </c>
      <c r="E47" s="54">
        <f>IF(_imp!$C$49="","",INDEX(_imp!$H$4:$H$4503,_imp!$C$49))</f>
        <v/>
      </c>
      <c r="F47" s="54">
        <f>IF(_imp!$C$49="","",INDEX(_imp!$I$4:$I$4503,_imp!$C$49))</f>
        <v/>
      </c>
      <c r="G47" s="54">
        <f>IF(_imp!$C$49="","",INDEX(_imp!$J$4:$J$4503,_imp!$C$49))</f>
        <v/>
      </c>
      <c r="K47" s="54">
        <f>IF(_imp!$C$49="","",INDEX(_imp!$K$4:$K$4503,_imp!$C$49))</f>
        <v/>
      </c>
    </row>
    <row r="48">
      <c r="A48" s="54">
        <f>IF(_imp!$C$50="","",INDEX(_imp!$D$4:$D$4503,_imp!$C$50))</f>
        <v/>
      </c>
      <c r="B48" s="54">
        <f>IF(_imp!$C$50="","",INDEX(_imp!$E$4:$E$4503,_imp!$C$50))</f>
        <v/>
      </c>
      <c r="C48" s="54">
        <f>IF(_imp!$C$50="","",INDEX(_imp!$F$4:$F$4503,_imp!$C$50))</f>
        <v/>
      </c>
      <c r="D48" s="54">
        <f>IF(_imp!$C$50="","",INDEX(_imp!$G$4:$G$4503,_imp!$C$50))</f>
        <v/>
      </c>
      <c r="E48" s="54">
        <f>IF(_imp!$C$50="","",INDEX(_imp!$H$4:$H$4503,_imp!$C$50))</f>
        <v/>
      </c>
      <c r="F48" s="54">
        <f>IF(_imp!$C$50="","",INDEX(_imp!$I$4:$I$4503,_imp!$C$50))</f>
        <v/>
      </c>
      <c r="G48" s="54">
        <f>IF(_imp!$C$50="","",INDEX(_imp!$J$4:$J$4503,_imp!$C$50))</f>
        <v/>
      </c>
      <c r="K48" s="54">
        <f>IF(_imp!$C$50="","",INDEX(_imp!$K$4:$K$4503,_imp!$C$50))</f>
        <v/>
      </c>
    </row>
    <row r="49">
      <c r="A49" s="54">
        <f>IF(_imp!$C$51="","",INDEX(_imp!$D$4:$D$4503,_imp!$C$51))</f>
        <v/>
      </c>
      <c r="B49" s="54">
        <f>IF(_imp!$C$51="","",INDEX(_imp!$E$4:$E$4503,_imp!$C$51))</f>
        <v/>
      </c>
      <c r="C49" s="54">
        <f>IF(_imp!$C$51="","",INDEX(_imp!$F$4:$F$4503,_imp!$C$51))</f>
        <v/>
      </c>
      <c r="D49" s="54">
        <f>IF(_imp!$C$51="","",INDEX(_imp!$G$4:$G$4503,_imp!$C$51))</f>
        <v/>
      </c>
      <c r="E49" s="54">
        <f>IF(_imp!$C$51="","",INDEX(_imp!$H$4:$H$4503,_imp!$C$51))</f>
        <v/>
      </c>
      <c r="F49" s="54">
        <f>IF(_imp!$C$51="","",INDEX(_imp!$I$4:$I$4503,_imp!$C$51))</f>
        <v/>
      </c>
      <c r="G49" s="54">
        <f>IF(_imp!$C$51="","",INDEX(_imp!$J$4:$J$4503,_imp!$C$51))</f>
        <v/>
      </c>
      <c r="K49" s="54">
        <f>IF(_imp!$C$51="","",INDEX(_imp!$K$4:$K$4503,_imp!$C$51))</f>
        <v/>
      </c>
    </row>
    <row r="50">
      <c r="A50" s="54">
        <f>IF(_imp!$C$52="","",INDEX(_imp!$D$4:$D$4503,_imp!$C$52))</f>
        <v/>
      </c>
      <c r="B50" s="54">
        <f>IF(_imp!$C$52="","",INDEX(_imp!$E$4:$E$4503,_imp!$C$52))</f>
        <v/>
      </c>
      <c r="C50" s="54">
        <f>IF(_imp!$C$52="","",INDEX(_imp!$F$4:$F$4503,_imp!$C$52))</f>
        <v/>
      </c>
      <c r="D50" s="54">
        <f>IF(_imp!$C$52="","",INDEX(_imp!$G$4:$G$4503,_imp!$C$52))</f>
        <v/>
      </c>
      <c r="E50" s="54">
        <f>IF(_imp!$C$52="","",INDEX(_imp!$H$4:$H$4503,_imp!$C$52))</f>
        <v/>
      </c>
      <c r="F50" s="54">
        <f>IF(_imp!$C$52="","",INDEX(_imp!$I$4:$I$4503,_imp!$C$52))</f>
        <v/>
      </c>
      <c r="G50" s="54">
        <f>IF(_imp!$C$52="","",INDEX(_imp!$J$4:$J$4503,_imp!$C$52))</f>
        <v/>
      </c>
      <c r="K50" s="54">
        <f>IF(_imp!$C$52="","",INDEX(_imp!$K$4:$K$4503,_imp!$C$52))</f>
        <v/>
      </c>
    </row>
    <row r="51">
      <c r="A51" s="54">
        <f>IF(_imp!$C$53="","",INDEX(_imp!$D$4:$D$4503,_imp!$C$53))</f>
        <v/>
      </c>
      <c r="B51" s="54">
        <f>IF(_imp!$C$53="","",INDEX(_imp!$E$4:$E$4503,_imp!$C$53))</f>
        <v/>
      </c>
      <c r="C51" s="54">
        <f>IF(_imp!$C$53="","",INDEX(_imp!$F$4:$F$4503,_imp!$C$53))</f>
        <v/>
      </c>
      <c r="D51" s="54">
        <f>IF(_imp!$C$53="","",INDEX(_imp!$G$4:$G$4503,_imp!$C$53))</f>
        <v/>
      </c>
      <c r="E51" s="54">
        <f>IF(_imp!$C$53="","",INDEX(_imp!$H$4:$H$4503,_imp!$C$53))</f>
        <v/>
      </c>
      <c r="F51" s="54">
        <f>IF(_imp!$C$53="","",INDEX(_imp!$I$4:$I$4503,_imp!$C$53))</f>
        <v/>
      </c>
      <c r="G51" s="54">
        <f>IF(_imp!$C$53="","",INDEX(_imp!$J$4:$J$4503,_imp!$C$53))</f>
        <v/>
      </c>
      <c r="K51" s="54">
        <f>IF(_imp!$C$53="","",INDEX(_imp!$K$4:$K$4503,_imp!$C$53))</f>
        <v/>
      </c>
    </row>
    <row r="52">
      <c r="A52" s="54">
        <f>IF(_imp!$C$54="","",INDEX(_imp!$D$4:$D$4503,_imp!$C$54))</f>
        <v/>
      </c>
      <c r="B52" s="54">
        <f>IF(_imp!$C$54="","",INDEX(_imp!$E$4:$E$4503,_imp!$C$54))</f>
        <v/>
      </c>
      <c r="C52" s="54">
        <f>IF(_imp!$C$54="","",INDEX(_imp!$F$4:$F$4503,_imp!$C$54))</f>
        <v/>
      </c>
      <c r="D52" s="54">
        <f>IF(_imp!$C$54="","",INDEX(_imp!$G$4:$G$4503,_imp!$C$54))</f>
        <v/>
      </c>
      <c r="E52" s="54">
        <f>IF(_imp!$C$54="","",INDEX(_imp!$H$4:$H$4503,_imp!$C$54))</f>
        <v/>
      </c>
      <c r="F52" s="54">
        <f>IF(_imp!$C$54="","",INDEX(_imp!$I$4:$I$4503,_imp!$C$54))</f>
        <v/>
      </c>
      <c r="G52" s="54">
        <f>IF(_imp!$C$54="","",INDEX(_imp!$J$4:$J$4503,_imp!$C$54))</f>
        <v/>
      </c>
      <c r="K52" s="54">
        <f>IF(_imp!$C$54="","",INDEX(_imp!$K$4:$K$4503,_imp!$C$54))</f>
        <v/>
      </c>
    </row>
    <row r="53">
      <c r="A53" s="54">
        <f>IF(_imp!$C$55="","",INDEX(_imp!$D$4:$D$4503,_imp!$C$55))</f>
        <v/>
      </c>
      <c r="B53" s="54">
        <f>IF(_imp!$C$55="","",INDEX(_imp!$E$4:$E$4503,_imp!$C$55))</f>
        <v/>
      </c>
      <c r="C53" s="54">
        <f>IF(_imp!$C$55="","",INDEX(_imp!$F$4:$F$4503,_imp!$C$55))</f>
        <v/>
      </c>
      <c r="D53" s="54">
        <f>IF(_imp!$C$55="","",INDEX(_imp!$G$4:$G$4503,_imp!$C$55))</f>
        <v/>
      </c>
      <c r="E53" s="54">
        <f>IF(_imp!$C$55="","",INDEX(_imp!$H$4:$H$4503,_imp!$C$55))</f>
        <v/>
      </c>
      <c r="F53" s="54">
        <f>IF(_imp!$C$55="","",INDEX(_imp!$I$4:$I$4503,_imp!$C$55))</f>
        <v/>
      </c>
      <c r="G53" s="54">
        <f>IF(_imp!$C$55="","",INDEX(_imp!$J$4:$J$4503,_imp!$C$55))</f>
        <v/>
      </c>
      <c r="K53" s="54">
        <f>IF(_imp!$C$55="","",INDEX(_imp!$K$4:$K$4503,_imp!$C$55))</f>
        <v/>
      </c>
    </row>
    <row r="54">
      <c r="A54" s="54">
        <f>IF(_imp!$C$56="","",INDEX(_imp!$D$4:$D$4503,_imp!$C$56))</f>
        <v/>
      </c>
      <c r="B54" s="54">
        <f>IF(_imp!$C$56="","",INDEX(_imp!$E$4:$E$4503,_imp!$C$56))</f>
        <v/>
      </c>
      <c r="C54" s="54">
        <f>IF(_imp!$C$56="","",INDEX(_imp!$F$4:$F$4503,_imp!$C$56))</f>
        <v/>
      </c>
      <c r="D54" s="54">
        <f>IF(_imp!$C$56="","",INDEX(_imp!$G$4:$G$4503,_imp!$C$56))</f>
        <v/>
      </c>
      <c r="E54" s="54">
        <f>IF(_imp!$C$56="","",INDEX(_imp!$H$4:$H$4503,_imp!$C$56))</f>
        <v/>
      </c>
      <c r="F54" s="54">
        <f>IF(_imp!$C$56="","",INDEX(_imp!$I$4:$I$4503,_imp!$C$56))</f>
        <v/>
      </c>
      <c r="G54" s="54">
        <f>IF(_imp!$C$56="","",INDEX(_imp!$J$4:$J$4503,_imp!$C$56))</f>
        <v/>
      </c>
      <c r="K54" s="54">
        <f>IF(_imp!$C$56="","",INDEX(_imp!$K$4:$K$4503,_imp!$C$56))</f>
        <v/>
      </c>
    </row>
    <row r="55">
      <c r="A55" s="54">
        <f>IF(_imp!$C$57="","",INDEX(_imp!$D$4:$D$4503,_imp!$C$57))</f>
        <v/>
      </c>
      <c r="B55" s="54">
        <f>IF(_imp!$C$57="","",INDEX(_imp!$E$4:$E$4503,_imp!$C$57))</f>
        <v/>
      </c>
      <c r="C55" s="54">
        <f>IF(_imp!$C$57="","",INDEX(_imp!$F$4:$F$4503,_imp!$C$57))</f>
        <v/>
      </c>
      <c r="D55" s="54">
        <f>IF(_imp!$C$57="","",INDEX(_imp!$G$4:$G$4503,_imp!$C$57))</f>
        <v/>
      </c>
      <c r="E55" s="54">
        <f>IF(_imp!$C$57="","",INDEX(_imp!$H$4:$H$4503,_imp!$C$57))</f>
        <v/>
      </c>
      <c r="F55" s="54">
        <f>IF(_imp!$C$57="","",INDEX(_imp!$I$4:$I$4503,_imp!$C$57))</f>
        <v/>
      </c>
      <c r="G55" s="54">
        <f>IF(_imp!$C$57="","",INDEX(_imp!$J$4:$J$4503,_imp!$C$57))</f>
        <v/>
      </c>
      <c r="K55" s="54">
        <f>IF(_imp!$C$57="","",INDEX(_imp!$K$4:$K$4503,_imp!$C$57))</f>
        <v/>
      </c>
    </row>
    <row r="56">
      <c r="A56" s="54">
        <f>IF(_imp!$C$58="","",INDEX(_imp!$D$4:$D$4503,_imp!$C$58))</f>
        <v/>
      </c>
      <c r="B56" s="54">
        <f>IF(_imp!$C$58="","",INDEX(_imp!$E$4:$E$4503,_imp!$C$58))</f>
        <v/>
      </c>
      <c r="C56" s="54">
        <f>IF(_imp!$C$58="","",INDEX(_imp!$F$4:$F$4503,_imp!$C$58))</f>
        <v/>
      </c>
      <c r="D56" s="54">
        <f>IF(_imp!$C$58="","",INDEX(_imp!$G$4:$G$4503,_imp!$C$58))</f>
        <v/>
      </c>
      <c r="E56" s="54">
        <f>IF(_imp!$C$58="","",INDEX(_imp!$H$4:$H$4503,_imp!$C$58))</f>
        <v/>
      </c>
      <c r="F56" s="54">
        <f>IF(_imp!$C$58="","",INDEX(_imp!$I$4:$I$4503,_imp!$C$58))</f>
        <v/>
      </c>
      <c r="G56" s="54">
        <f>IF(_imp!$C$58="","",INDEX(_imp!$J$4:$J$4503,_imp!$C$58))</f>
        <v/>
      </c>
      <c r="K56" s="54">
        <f>IF(_imp!$C$58="","",INDEX(_imp!$K$4:$K$4503,_imp!$C$58))</f>
        <v/>
      </c>
    </row>
    <row r="57">
      <c r="A57" s="54">
        <f>IF(_imp!$C$59="","",INDEX(_imp!$D$4:$D$4503,_imp!$C$59))</f>
        <v/>
      </c>
      <c r="B57" s="54">
        <f>IF(_imp!$C$59="","",INDEX(_imp!$E$4:$E$4503,_imp!$C$59))</f>
        <v/>
      </c>
      <c r="C57" s="54">
        <f>IF(_imp!$C$59="","",INDEX(_imp!$F$4:$F$4503,_imp!$C$59))</f>
        <v/>
      </c>
      <c r="D57" s="54">
        <f>IF(_imp!$C$59="","",INDEX(_imp!$G$4:$G$4503,_imp!$C$59))</f>
        <v/>
      </c>
      <c r="E57" s="54">
        <f>IF(_imp!$C$59="","",INDEX(_imp!$H$4:$H$4503,_imp!$C$59))</f>
        <v/>
      </c>
      <c r="F57" s="54">
        <f>IF(_imp!$C$59="","",INDEX(_imp!$I$4:$I$4503,_imp!$C$59))</f>
        <v/>
      </c>
      <c r="G57" s="54">
        <f>IF(_imp!$C$59="","",INDEX(_imp!$J$4:$J$4503,_imp!$C$59))</f>
        <v/>
      </c>
      <c r="K57" s="54">
        <f>IF(_imp!$C$59="","",INDEX(_imp!$K$4:$K$4503,_imp!$C$59))</f>
        <v/>
      </c>
    </row>
    <row r="58">
      <c r="A58" s="54">
        <f>IF(_imp!$C$60="","",INDEX(_imp!$D$4:$D$4503,_imp!$C$60))</f>
        <v/>
      </c>
      <c r="B58" s="54">
        <f>IF(_imp!$C$60="","",INDEX(_imp!$E$4:$E$4503,_imp!$C$60))</f>
        <v/>
      </c>
      <c r="C58" s="54">
        <f>IF(_imp!$C$60="","",INDEX(_imp!$F$4:$F$4503,_imp!$C$60))</f>
        <v/>
      </c>
      <c r="D58" s="54">
        <f>IF(_imp!$C$60="","",INDEX(_imp!$G$4:$G$4503,_imp!$C$60))</f>
        <v/>
      </c>
      <c r="E58" s="54">
        <f>IF(_imp!$C$60="","",INDEX(_imp!$H$4:$H$4503,_imp!$C$60))</f>
        <v/>
      </c>
      <c r="F58" s="54">
        <f>IF(_imp!$C$60="","",INDEX(_imp!$I$4:$I$4503,_imp!$C$60))</f>
        <v/>
      </c>
      <c r="G58" s="54">
        <f>IF(_imp!$C$60="","",INDEX(_imp!$J$4:$J$4503,_imp!$C$60))</f>
        <v/>
      </c>
      <c r="K58" s="54">
        <f>IF(_imp!$C$60="","",INDEX(_imp!$K$4:$K$4503,_imp!$C$60))</f>
        <v/>
      </c>
    </row>
    <row r="59">
      <c r="A59" s="54">
        <f>IF(_imp!$C$61="","",INDEX(_imp!$D$4:$D$4503,_imp!$C$61))</f>
        <v/>
      </c>
      <c r="B59" s="54">
        <f>IF(_imp!$C$61="","",INDEX(_imp!$E$4:$E$4503,_imp!$C$61))</f>
        <v/>
      </c>
      <c r="C59" s="54">
        <f>IF(_imp!$C$61="","",INDEX(_imp!$F$4:$F$4503,_imp!$C$61))</f>
        <v/>
      </c>
      <c r="D59" s="54">
        <f>IF(_imp!$C$61="","",INDEX(_imp!$G$4:$G$4503,_imp!$C$61))</f>
        <v/>
      </c>
      <c r="E59" s="54">
        <f>IF(_imp!$C$61="","",INDEX(_imp!$H$4:$H$4503,_imp!$C$61))</f>
        <v/>
      </c>
      <c r="F59" s="54">
        <f>IF(_imp!$C$61="","",INDEX(_imp!$I$4:$I$4503,_imp!$C$61))</f>
        <v/>
      </c>
      <c r="G59" s="54">
        <f>IF(_imp!$C$61="","",INDEX(_imp!$J$4:$J$4503,_imp!$C$61))</f>
        <v/>
      </c>
      <c r="K59" s="54">
        <f>IF(_imp!$C$61="","",INDEX(_imp!$K$4:$K$4503,_imp!$C$61))</f>
        <v/>
      </c>
    </row>
    <row r="60">
      <c r="A60" s="54">
        <f>IF(_imp!$C$62="","",INDEX(_imp!$D$4:$D$4503,_imp!$C$62))</f>
        <v/>
      </c>
      <c r="B60" s="54">
        <f>IF(_imp!$C$62="","",INDEX(_imp!$E$4:$E$4503,_imp!$C$62))</f>
        <v/>
      </c>
      <c r="C60" s="54">
        <f>IF(_imp!$C$62="","",INDEX(_imp!$F$4:$F$4503,_imp!$C$62))</f>
        <v/>
      </c>
      <c r="D60" s="54">
        <f>IF(_imp!$C$62="","",INDEX(_imp!$G$4:$G$4503,_imp!$C$62))</f>
        <v/>
      </c>
      <c r="E60" s="54">
        <f>IF(_imp!$C$62="","",INDEX(_imp!$H$4:$H$4503,_imp!$C$62))</f>
        <v/>
      </c>
      <c r="F60" s="54">
        <f>IF(_imp!$C$62="","",INDEX(_imp!$I$4:$I$4503,_imp!$C$62))</f>
        <v/>
      </c>
      <c r="G60" s="54">
        <f>IF(_imp!$C$62="","",INDEX(_imp!$J$4:$J$4503,_imp!$C$62))</f>
        <v/>
      </c>
      <c r="K60" s="54">
        <f>IF(_imp!$C$62="","",INDEX(_imp!$K$4:$K$4503,_imp!$C$62))</f>
        <v/>
      </c>
    </row>
    <row r="61">
      <c r="A61" s="54">
        <f>IF(_imp!$C$63="","",INDEX(_imp!$D$4:$D$4503,_imp!$C$63))</f>
        <v/>
      </c>
      <c r="B61" s="54">
        <f>IF(_imp!$C$63="","",INDEX(_imp!$E$4:$E$4503,_imp!$C$63))</f>
        <v/>
      </c>
      <c r="C61" s="54">
        <f>IF(_imp!$C$63="","",INDEX(_imp!$F$4:$F$4503,_imp!$C$63))</f>
        <v/>
      </c>
      <c r="D61" s="54">
        <f>IF(_imp!$C$63="","",INDEX(_imp!$G$4:$G$4503,_imp!$C$63))</f>
        <v/>
      </c>
      <c r="E61" s="54">
        <f>IF(_imp!$C$63="","",INDEX(_imp!$H$4:$H$4503,_imp!$C$63))</f>
        <v/>
      </c>
      <c r="F61" s="54">
        <f>IF(_imp!$C$63="","",INDEX(_imp!$I$4:$I$4503,_imp!$C$63))</f>
        <v/>
      </c>
      <c r="G61" s="54">
        <f>IF(_imp!$C$63="","",INDEX(_imp!$J$4:$J$4503,_imp!$C$63))</f>
        <v/>
      </c>
      <c r="K61" s="54">
        <f>IF(_imp!$C$63="","",INDEX(_imp!$K$4:$K$4503,_imp!$C$63))</f>
        <v/>
      </c>
    </row>
    <row r="62">
      <c r="A62" s="54">
        <f>IF(_imp!$C$64="","",INDEX(_imp!$D$4:$D$4503,_imp!$C$64))</f>
        <v/>
      </c>
      <c r="B62" s="54">
        <f>IF(_imp!$C$64="","",INDEX(_imp!$E$4:$E$4503,_imp!$C$64))</f>
        <v/>
      </c>
      <c r="C62" s="54">
        <f>IF(_imp!$C$64="","",INDEX(_imp!$F$4:$F$4503,_imp!$C$64))</f>
        <v/>
      </c>
      <c r="D62" s="54">
        <f>IF(_imp!$C$64="","",INDEX(_imp!$G$4:$G$4503,_imp!$C$64))</f>
        <v/>
      </c>
      <c r="E62" s="54">
        <f>IF(_imp!$C$64="","",INDEX(_imp!$H$4:$H$4503,_imp!$C$64))</f>
        <v/>
      </c>
      <c r="F62" s="54">
        <f>IF(_imp!$C$64="","",INDEX(_imp!$I$4:$I$4503,_imp!$C$64))</f>
        <v/>
      </c>
      <c r="G62" s="54">
        <f>IF(_imp!$C$64="","",INDEX(_imp!$J$4:$J$4503,_imp!$C$64))</f>
        <v/>
      </c>
      <c r="K62" s="54">
        <f>IF(_imp!$C$64="","",INDEX(_imp!$K$4:$K$4503,_imp!$C$64))</f>
        <v/>
      </c>
    </row>
    <row r="63">
      <c r="A63" s="54">
        <f>IF(_imp!$C$65="","",INDEX(_imp!$D$4:$D$4503,_imp!$C$65))</f>
        <v/>
      </c>
      <c r="B63" s="54">
        <f>IF(_imp!$C$65="","",INDEX(_imp!$E$4:$E$4503,_imp!$C$65))</f>
        <v/>
      </c>
      <c r="C63" s="54">
        <f>IF(_imp!$C$65="","",INDEX(_imp!$F$4:$F$4503,_imp!$C$65))</f>
        <v/>
      </c>
      <c r="D63" s="54">
        <f>IF(_imp!$C$65="","",INDEX(_imp!$G$4:$G$4503,_imp!$C$65))</f>
        <v/>
      </c>
      <c r="E63" s="54">
        <f>IF(_imp!$C$65="","",INDEX(_imp!$H$4:$H$4503,_imp!$C$65))</f>
        <v/>
      </c>
      <c r="F63" s="54">
        <f>IF(_imp!$C$65="","",INDEX(_imp!$I$4:$I$4503,_imp!$C$65))</f>
        <v/>
      </c>
      <c r="G63" s="54">
        <f>IF(_imp!$C$65="","",INDEX(_imp!$J$4:$J$4503,_imp!$C$65))</f>
        <v/>
      </c>
      <c r="K63" s="54">
        <f>IF(_imp!$C$65="","",INDEX(_imp!$K$4:$K$4503,_imp!$C$65))</f>
        <v/>
      </c>
    </row>
    <row r="64">
      <c r="A64" s="54">
        <f>IF(_imp!$C$66="","",INDEX(_imp!$D$4:$D$4503,_imp!$C$66))</f>
        <v/>
      </c>
      <c r="B64" s="54">
        <f>IF(_imp!$C$66="","",INDEX(_imp!$E$4:$E$4503,_imp!$C$66))</f>
        <v/>
      </c>
      <c r="C64" s="54">
        <f>IF(_imp!$C$66="","",INDEX(_imp!$F$4:$F$4503,_imp!$C$66))</f>
        <v/>
      </c>
      <c r="D64" s="54">
        <f>IF(_imp!$C$66="","",INDEX(_imp!$G$4:$G$4503,_imp!$C$66))</f>
        <v/>
      </c>
      <c r="E64" s="54">
        <f>IF(_imp!$C$66="","",INDEX(_imp!$H$4:$H$4503,_imp!$C$66))</f>
        <v/>
      </c>
      <c r="F64" s="54">
        <f>IF(_imp!$C$66="","",INDEX(_imp!$I$4:$I$4503,_imp!$C$66))</f>
        <v/>
      </c>
      <c r="G64" s="54">
        <f>IF(_imp!$C$66="","",INDEX(_imp!$J$4:$J$4503,_imp!$C$66))</f>
        <v/>
      </c>
      <c r="K64" s="54">
        <f>IF(_imp!$C$66="","",INDEX(_imp!$K$4:$K$4503,_imp!$C$66))</f>
        <v/>
      </c>
    </row>
    <row r="65">
      <c r="A65" s="54">
        <f>IF(_imp!$C$67="","",INDEX(_imp!$D$4:$D$4503,_imp!$C$67))</f>
        <v/>
      </c>
      <c r="B65" s="54">
        <f>IF(_imp!$C$67="","",INDEX(_imp!$E$4:$E$4503,_imp!$C$67))</f>
        <v/>
      </c>
      <c r="C65" s="54">
        <f>IF(_imp!$C$67="","",INDEX(_imp!$F$4:$F$4503,_imp!$C$67))</f>
        <v/>
      </c>
      <c r="D65" s="54">
        <f>IF(_imp!$C$67="","",INDEX(_imp!$G$4:$G$4503,_imp!$C$67))</f>
        <v/>
      </c>
      <c r="E65" s="54">
        <f>IF(_imp!$C$67="","",INDEX(_imp!$H$4:$H$4503,_imp!$C$67))</f>
        <v/>
      </c>
      <c r="F65" s="54">
        <f>IF(_imp!$C$67="","",INDEX(_imp!$I$4:$I$4503,_imp!$C$67))</f>
        <v/>
      </c>
      <c r="G65" s="54">
        <f>IF(_imp!$C$67="","",INDEX(_imp!$J$4:$J$4503,_imp!$C$67))</f>
        <v/>
      </c>
      <c r="K65" s="54">
        <f>IF(_imp!$C$67="","",INDEX(_imp!$K$4:$K$4503,_imp!$C$67))</f>
        <v/>
      </c>
    </row>
    <row r="66">
      <c r="A66" s="54">
        <f>IF(_imp!$C$68="","",INDEX(_imp!$D$4:$D$4503,_imp!$C$68))</f>
        <v/>
      </c>
      <c r="B66" s="54">
        <f>IF(_imp!$C$68="","",INDEX(_imp!$E$4:$E$4503,_imp!$C$68))</f>
        <v/>
      </c>
      <c r="C66" s="54">
        <f>IF(_imp!$C$68="","",INDEX(_imp!$F$4:$F$4503,_imp!$C$68))</f>
        <v/>
      </c>
      <c r="D66" s="54">
        <f>IF(_imp!$C$68="","",INDEX(_imp!$G$4:$G$4503,_imp!$C$68))</f>
        <v/>
      </c>
      <c r="E66" s="54">
        <f>IF(_imp!$C$68="","",INDEX(_imp!$H$4:$H$4503,_imp!$C$68))</f>
        <v/>
      </c>
      <c r="F66" s="54">
        <f>IF(_imp!$C$68="","",INDEX(_imp!$I$4:$I$4503,_imp!$C$68))</f>
        <v/>
      </c>
      <c r="G66" s="54">
        <f>IF(_imp!$C$68="","",INDEX(_imp!$J$4:$J$4503,_imp!$C$68))</f>
        <v/>
      </c>
      <c r="K66" s="54">
        <f>IF(_imp!$C$68="","",INDEX(_imp!$K$4:$K$4503,_imp!$C$68))</f>
        <v/>
      </c>
    </row>
    <row r="67">
      <c r="A67" s="54">
        <f>IF(_imp!$C$69="","",INDEX(_imp!$D$4:$D$4503,_imp!$C$69))</f>
        <v/>
      </c>
      <c r="B67" s="54">
        <f>IF(_imp!$C$69="","",INDEX(_imp!$E$4:$E$4503,_imp!$C$69))</f>
        <v/>
      </c>
      <c r="C67" s="54">
        <f>IF(_imp!$C$69="","",INDEX(_imp!$F$4:$F$4503,_imp!$C$69))</f>
        <v/>
      </c>
      <c r="D67" s="54">
        <f>IF(_imp!$C$69="","",INDEX(_imp!$G$4:$G$4503,_imp!$C$69))</f>
        <v/>
      </c>
      <c r="E67" s="54">
        <f>IF(_imp!$C$69="","",INDEX(_imp!$H$4:$H$4503,_imp!$C$69))</f>
        <v/>
      </c>
      <c r="F67" s="54">
        <f>IF(_imp!$C$69="","",INDEX(_imp!$I$4:$I$4503,_imp!$C$69))</f>
        <v/>
      </c>
      <c r="G67" s="54">
        <f>IF(_imp!$C$69="","",INDEX(_imp!$J$4:$J$4503,_imp!$C$69))</f>
        <v/>
      </c>
      <c r="K67" s="54">
        <f>IF(_imp!$C$69="","",INDEX(_imp!$K$4:$K$4503,_imp!$C$69))</f>
        <v/>
      </c>
    </row>
    <row r="68">
      <c r="A68" s="54">
        <f>IF(_imp!$C$70="","",INDEX(_imp!$D$4:$D$4503,_imp!$C$70))</f>
        <v/>
      </c>
      <c r="B68" s="54">
        <f>IF(_imp!$C$70="","",INDEX(_imp!$E$4:$E$4503,_imp!$C$70))</f>
        <v/>
      </c>
      <c r="C68" s="54">
        <f>IF(_imp!$C$70="","",INDEX(_imp!$F$4:$F$4503,_imp!$C$70))</f>
        <v/>
      </c>
      <c r="D68" s="54">
        <f>IF(_imp!$C$70="","",INDEX(_imp!$G$4:$G$4503,_imp!$C$70))</f>
        <v/>
      </c>
      <c r="E68" s="54">
        <f>IF(_imp!$C$70="","",INDEX(_imp!$H$4:$H$4503,_imp!$C$70))</f>
        <v/>
      </c>
      <c r="F68" s="54">
        <f>IF(_imp!$C$70="","",INDEX(_imp!$I$4:$I$4503,_imp!$C$70))</f>
        <v/>
      </c>
      <c r="G68" s="54">
        <f>IF(_imp!$C$70="","",INDEX(_imp!$J$4:$J$4503,_imp!$C$70))</f>
        <v/>
      </c>
      <c r="K68" s="54">
        <f>IF(_imp!$C$70="","",INDEX(_imp!$K$4:$K$4503,_imp!$C$70))</f>
        <v/>
      </c>
    </row>
    <row r="69">
      <c r="A69" s="54">
        <f>IF(_imp!$C$71="","",INDEX(_imp!$D$4:$D$4503,_imp!$C$71))</f>
        <v/>
      </c>
      <c r="B69" s="54">
        <f>IF(_imp!$C$71="","",INDEX(_imp!$E$4:$E$4503,_imp!$C$71))</f>
        <v/>
      </c>
      <c r="C69" s="54">
        <f>IF(_imp!$C$71="","",INDEX(_imp!$F$4:$F$4503,_imp!$C$71))</f>
        <v/>
      </c>
      <c r="D69" s="54">
        <f>IF(_imp!$C$71="","",INDEX(_imp!$G$4:$G$4503,_imp!$C$71))</f>
        <v/>
      </c>
      <c r="E69" s="54">
        <f>IF(_imp!$C$71="","",INDEX(_imp!$H$4:$H$4503,_imp!$C$71))</f>
        <v/>
      </c>
      <c r="F69" s="54">
        <f>IF(_imp!$C$71="","",INDEX(_imp!$I$4:$I$4503,_imp!$C$71))</f>
        <v/>
      </c>
      <c r="G69" s="54">
        <f>IF(_imp!$C$71="","",INDEX(_imp!$J$4:$J$4503,_imp!$C$71))</f>
        <v/>
      </c>
      <c r="K69" s="54">
        <f>IF(_imp!$C$71="","",INDEX(_imp!$K$4:$K$4503,_imp!$C$71))</f>
        <v/>
      </c>
    </row>
    <row r="70">
      <c r="A70" s="54">
        <f>IF(_imp!$C$72="","",INDEX(_imp!$D$4:$D$4503,_imp!$C$72))</f>
        <v/>
      </c>
      <c r="B70" s="54">
        <f>IF(_imp!$C$72="","",INDEX(_imp!$E$4:$E$4503,_imp!$C$72))</f>
        <v/>
      </c>
      <c r="C70" s="54">
        <f>IF(_imp!$C$72="","",INDEX(_imp!$F$4:$F$4503,_imp!$C$72))</f>
        <v/>
      </c>
      <c r="D70" s="54">
        <f>IF(_imp!$C$72="","",INDEX(_imp!$G$4:$G$4503,_imp!$C$72))</f>
        <v/>
      </c>
      <c r="E70" s="54">
        <f>IF(_imp!$C$72="","",INDEX(_imp!$H$4:$H$4503,_imp!$C$72))</f>
        <v/>
      </c>
      <c r="F70" s="54">
        <f>IF(_imp!$C$72="","",INDEX(_imp!$I$4:$I$4503,_imp!$C$72))</f>
        <v/>
      </c>
      <c r="G70" s="54">
        <f>IF(_imp!$C$72="","",INDEX(_imp!$J$4:$J$4503,_imp!$C$72))</f>
        <v/>
      </c>
      <c r="K70" s="54">
        <f>IF(_imp!$C$72="","",INDEX(_imp!$K$4:$K$4503,_imp!$C$72))</f>
        <v/>
      </c>
    </row>
    <row r="71">
      <c r="A71" s="54">
        <f>IF(_imp!$C$73="","",INDEX(_imp!$D$4:$D$4503,_imp!$C$73))</f>
        <v/>
      </c>
      <c r="B71" s="54">
        <f>IF(_imp!$C$73="","",INDEX(_imp!$E$4:$E$4503,_imp!$C$73))</f>
        <v/>
      </c>
      <c r="C71" s="54">
        <f>IF(_imp!$C$73="","",INDEX(_imp!$F$4:$F$4503,_imp!$C$73))</f>
        <v/>
      </c>
      <c r="D71" s="54">
        <f>IF(_imp!$C$73="","",INDEX(_imp!$G$4:$G$4503,_imp!$C$73))</f>
        <v/>
      </c>
      <c r="E71" s="54">
        <f>IF(_imp!$C$73="","",INDEX(_imp!$H$4:$H$4503,_imp!$C$73))</f>
        <v/>
      </c>
      <c r="F71" s="54">
        <f>IF(_imp!$C$73="","",INDEX(_imp!$I$4:$I$4503,_imp!$C$73))</f>
        <v/>
      </c>
      <c r="G71" s="54">
        <f>IF(_imp!$C$73="","",INDEX(_imp!$J$4:$J$4503,_imp!$C$73))</f>
        <v/>
      </c>
      <c r="K71" s="54">
        <f>IF(_imp!$C$73="","",INDEX(_imp!$K$4:$K$4503,_imp!$C$73))</f>
        <v/>
      </c>
    </row>
    <row r="72">
      <c r="A72" s="54">
        <f>IF(_imp!$C$74="","",INDEX(_imp!$D$4:$D$4503,_imp!$C$74))</f>
        <v/>
      </c>
      <c r="B72" s="54">
        <f>IF(_imp!$C$74="","",INDEX(_imp!$E$4:$E$4503,_imp!$C$74))</f>
        <v/>
      </c>
      <c r="C72" s="54">
        <f>IF(_imp!$C$74="","",INDEX(_imp!$F$4:$F$4503,_imp!$C$74))</f>
        <v/>
      </c>
      <c r="D72" s="54">
        <f>IF(_imp!$C$74="","",INDEX(_imp!$G$4:$G$4503,_imp!$C$74))</f>
        <v/>
      </c>
      <c r="E72" s="54">
        <f>IF(_imp!$C$74="","",INDEX(_imp!$H$4:$H$4503,_imp!$C$74))</f>
        <v/>
      </c>
      <c r="F72" s="54">
        <f>IF(_imp!$C$74="","",INDEX(_imp!$I$4:$I$4503,_imp!$C$74))</f>
        <v/>
      </c>
      <c r="G72" s="54">
        <f>IF(_imp!$C$74="","",INDEX(_imp!$J$4:$J$4503,_imp!$C$74))</f>
        <v/>
      </c>
      <c r="K72" s="54">
        <f>IF(_imp!$C$74="","",INDEX(_imp!$K$4:$K$4503,_imp!$C$74))</f>
        <v/>
      </c>
    </row>
    <row r="73">
      <c r="A73" s="54">
        <f>IF(_imp!$C$75="","",INDEX(_imp!$D$4:$D$4503,_imp!$C$75))</f>
        <v/>
      </c>
      <c r="B73" s="54">
        <f>IF(_imp!$C$75="","",INDEX(_imp!$E$4:$E$4503,_imp!$C$75))</f>
        <v/>
      </c>
      <c r="C73" s="54">
        <f>IF(_imp!$C$75="","",INDEX(_imp!$F$4:$F$4503,_imp!$C$75))</f>
        <v/>
      </c>
      <c r="D73" s="54">
        <f>IF(_imp!$C$75="","",INDEX(_imp!$G$4:$G$4503,_imp!$C$75))</f>
        <v/>
      </c>
      <c r="E73" s="54">
        <f>IF(_imp!$C$75="","",INDEX(_imp!$H$4:$H$4503,_imp!$C$75))</f>
        <v/>
      </c>
      <c r="F73" s="54">
        <f>IF(_imp!$C$75="","",INDEX(_imp!$I$4:$I$4503,_imp!$C$75))</f>
        <v/>
      </c>
      <c r="G73" s="54">
        <f>IF(_imp!$C$75="","",INDEX(_imp!$J$4:$J$4503,_imp!$C$75))</f>
        <v/>
      </c>
      <c r="K73" s="54">
        <f>IF(_imp!$C$75="","",INDEX(_imp!$K$4:$K$4503,_imp!$C$75))</f>
        <v/>
      </c>
    </row>
    <row r="74">
      <c r="A74" s="54">
        <f>IF(_imp!$C$76="","",INDEX(_imp!$D$4:$D$4503,_imp!$C$76))</f>
        <v/>
      </c>
      <c r="B74" s="54">
        <f>IF(_imp!$C$76="","",INDEX(_imp!$E$4:$E$4503,_imp!$C$76))</f>
        <v/>
      </c>
      <c r="C74" s="54">
        <f>IF(_imp!$C$76="","",INDEX(_imp!$F$4:$F$4503,_imp!$C$76))</f>
        <v/>
      </c>
      <c r="D74" s="54">
        <f>IF(_imp!$C$76="","",INDEX(_imp!$G$4:$G$4503,_imp!$C$76))</f>
        <v/>
      </c>
      <c r="E74" s="54">
        <f>IF(_imp!$C$76="","",INDEX(_imp!$H$4:$H$4503,_imp!$C$76))</f>
        <v/>
      </c>
      <c r="F74" s="54">
        <f>IF(_imp!$C$76="","",INDEX(_imp!$I$4:$I$4503,_imp!$C$76))</f>
        <v/>
      </c>
      <c r="G74" s="54">
        <f>IF(_imp!$C$76="","",INDEX(_imp!$J$4:$J$4503,_imp!$C$76))</f>
        <v/>
      </c>
      <c r="K74" s="54">
        <f>IF(_imp!$C$76="","",INDEX(_imp!$K$4:$K$4503,_imp!$C$76))</f>
        <v/>
      </c>
    </row>
    <row r="75">
      <c r="A75" s="54">
        <f>IF(_imp!$C$77="","",INDEX(_imp!$D$4:$D$4503,_imp!$C$77))</f>
        <v/>
      </c>
      <c r="B75" s="54">
        <f>IF(_imp!$C$77="","",INDEX(_imp!$E$4:$E$4503,_imp!$C$77))</f>
        <v/>
      </c>
      <c r="C75" s="54">
        <f>IF(_imp!$C$77="","",INDEX(_imp!$F$4:$F$4503,_imp!$C$77))</f>
        <v/>
      </c>
      <c r="D75" s="54">
        <f>IF(_imp!$C$77="","",INDEX(_imp!$G$4:$G$4503,_imp!$C$77))</f>
        <v/>
      </c>
      <c r="E75" s="54">
        <f>IF(_imp!$C$77="","",INDEX(_imp!$H$4:$H$4503,_imp!$C$77))</f>
        <v/>
      </c>
      <c r="F75" s="54">
        <f>IF(_imp!$C$77="","",INDEX(_imp!$I$4:$I$4503,_imp!$C$77))</f>
        <v/>
      </c>
      <c r="G75" s="54">
        <f>IF(_imp!$C$77="","",INDEX(_imp!$J$4:$J$4503,_imp!$C$77))</f>
        <v/>
      </c>
      <c r="K75" s="54">
        <f>IF(_imp!$C$77="","",INDEX(_imp!$K$4:$K$4503,_imp!$C$77))</f>
        <v/>
      </c>
    </row>
    <row r="76">
      <c r="A76" s="54">
        <f>IF(_imp!$C$78="","",INDEX(_imp!$D$4:$D$4503,_imp!$C$78))</f>
        <v/>
      </c>
      <c r="B76" s="54">
        <f>IF(_imp!$C$78="","",INDEX(_imp!$E$4:$E$4503,_imp!$C$78))</f>
        <v/>
      </c>
      <c r="C76" s="54">
        <f>IF(_imp!$C$78="","",INDEX(_imp!$F$4:$F$4503,_imp!$C$78))</f>
        <v/>
      </c>
      <c r="D76" s="54">
        <f>IF(_imp!$C$78="","",INDEX(_imp!$G$4:$G$4503,_imp!$C$78))</f>
        <v/>
      </c>
      <c r="E76" s="54">
        <f>IF(_imp!$C$78="","",INDEX(_imp!$H$4:$H$4503,_imp!$C$78))</f>
        <v/>
      </c>
      <c r="F76" s="54">
        <f>IF(_imp!$C$78="","",INDEX(_imp!$I$4:$I$4503,_imp!$C$78))</f>
        <v/>
      </c>
      <c r="G76" s="54">
        <f>IF(_imp!$C$78="","",INDEX(_imp!$J$4:$J$4503,_imp!$C$78))</f>
        <v/>
      </c>
      <c r="K76" s="54">
        <f>IF(_imp!$C$78="","",INDEX(_imp!$K$4:$K$4503,_imp!$C$78))</f>
        <v/>
      </c>
    </row>
    <row r="77">
      <c r="A77" s="54">
        <f>IF(_imp!$C$79="","",INDEX(_imp!$D$4:$D$4503,_imp!$C$79))</f>
        <v/>
      </c>
      <c r="B77" s="54">
        <f>IF(_imp!$C$79="","",INDEX(_imp!$E$4:$E$4503,_imp!$C$79))</f>
        <v/>
      </c>
      <c r="C77" s="54">
        <f>IF(_imp!$C$79="","",INDEX(_imp!$F$4:$F$4503,_imp!$C$79))</f>
        <v/>
      </c>
      <c r="D77" s="54">
        <f>IF(_imp!$C$79="","",INDEX(_imp!$G$4:$G$4503,_imp!$C$79))</f>
        <v/>
      </c>
      <c r="E77" s="54">
        <f>IF(_imp!$C$79="","",INDEX(_imp!$H$4:$H$4503,_imp!$C$79))</f>
        <v/>
      </c>
      <c r="F77" s="54">
        <f>IF(_imp!$C$79="","",INDEX(_imp!$I$4:$I$4503,_imp!$C$79))</f>
        <v/>
      </c>
      <c r="G77" s="54">
        <f>IF(_imp!$C$79="","",INDEX(_imp!$J$4:$J$4503,_imp!$C$79))</f>
        <v/>
      </c>
      <c r="K77" s="54">
        <f>IF(_imp!$C$79="","",INDEX(_imp!$K$4:$K$4503,_imp!$C$79))</f>
        <v/>
      </c>
    </row>
    <row r="78">
      <c r="A78" s="54">
        <f>IF(_imp!$C$80="","",INDEX(_imp!$D$4:$D$4503,_imp!$C$80))</f>
        <v/>
      </c>
      <c r="B78" s="54">
        <f>IF(_imp!$C$80="","",INDEX(_imp!$E$4:$E$4503,_imp!$C$80))</f>
        <v/>
      </c>
      <c r="C78" s="54">
        <f>IF(_imp!$C$80="","",INDEX(_imp!$F$4:$F$4503,_imp!$C$80))</f>
        <v/>
      </c>
      <c r="D78" s="54">
        <f>IF(_imp!$C$80="","",INDEX(_imp!$G$4:$G$4503,_imp!$C$80))</f>
        <v/>
      </c>
      <c r="E78" s="54">
        <f>IF(_imp!$C$80="","",INDEX(_imp!$H$4:$H$4503,_imp!$C$80))</f>
        <v/>
      </c>
      <c r="F78" s="54">
        <f>IF(_imp!$C$80="","",INDEX(_imp!$I$4:$I$4503,_imp!$C$80))</f>
        <v/>
      </c>
      <c r="G78" s="54">
        <f>IF(_imp!$C$80="","",INDEX(_imp!$J$4:$J$4503,_imp!$C$80))</f>
        <v/>
      </c>
      <c r="K78" s="54">
        <f>IF(_imp!$C$80="","",INDEX(_imp!$K$4:$K$4503,_imp!$C$80))</f>
        <v/>
      </c>
    </row>
    <row r="79">
      <c r="A79" s="54">
        <f>IF(_imp!$C$81="","",INDEX(_imp!$D$4:$D$4503,_imp!$C$81))</f>
        <v/>
      </c>
      <c r="B79" s="54">
        <f>IF(_imp!$C$81="","",INDEX(_imp!$E$4:$E$4503,_imp!$C$81))</f>
        <v/>
      </c>
      <c r="C79" s="54">
        <f>IF(_imp!$C$81="","",INDEX(_imp!$F$4:$F$4503,_imp!$C$81))</f>
        <v/>
      </c>
      <c r="D79" s="54">
        <f>IF(_imp!$C$81="","",INDEX(_imp!$G$4:$G$4503,_imp!$C$81))</f>
        <v/>
      </c>
      <c r="E79" s="54">
        <f>IF(_imp!$C$81="","",INDEX(_imp!$H$4:$H$4503,_imp!$C$81))</f>
        <v/>
      </c>
      <c r="F79" s="54">
        <f>IF(_imp!$C$81="","",INDEX(_imp!$I$4:$I$4503,_imp!$C$81))</f>
        <v/>
      </c>
      <c r="G79" s="54">
        <f>IF(_imp!$C$81="","",INDEX(_imp!$J$4:$J$4503,_imp!$C$81))</f>
        <v/>
      </c>
      <c r="K79" s="54">
        <f>IF(_imp!$C$81="","",INDEX(_imp!$K$4:$K$4503,_imp!$C$81))</f>
        <v/>
      </c>
    </row>
    <row r="80">
      <c r="A80" s="54">
        <f>IF(_imp!$C$82="","",INDEX(_imp!$D$4:$D$4503,_imp!$C$82))</f>
        <v/>
      </c>
      <c r="B80" s="54">
        <f>IF(_imp!$C$82="","",INDEX(_imp!$E$4:$E$4503,_imp!$C$82))</f>
        <v/>
      </c>
      <c r="C80" s="54">
        <f>IF(_imp!$C$82="","",INDEX(_imp!$F$4:$F$4503,_imp!$C$82))</f>
        <v/>
      </c>
      <c r="D80" s="54">
        <f>IF(_imp!$C$82="","",INDEX(_imp!$G$4:$G$4503,_imp!$C$82))</f>
        <v/>
      </c>
      <c r="E80" s="54">
        <f>IF(_imp!$C$82="","",INDEX(_imp!$H$4:$H$4503,_imp!$C$82))</f>
        <v/>
      </c>
      <c r="F80" s="54">
        <f>IF(_imp!$C$82="","",INDEX(_imp!$I$4:$I$4503,_imp!$C$82))</f>
        <v/>
      </c>
      <c r="G80" s="54">
        <f>IF(_imp!$C$82="","",INDEX(_imp!$J$4:$J$4503,_imp!$C$82))</f>
        <v/>
      </c>
      <c r="K80" s="54">
        <f>IF(_imp!$C$82="","",INDEX(_imp!$K$4:$K$4503,_imp!$C$82))</f>
        <v/>
      </c>
    </row>
    <row r="81">
      <c r="A81" s="54">
        <f>IF(_imp!$C$83="","",INDEX(_imp!$D$4:$D$4503,_imp!$C$83))</f>
        <v/>
      </c>
      <c r="B81" s="54">
        <f>IF(_imp!$C$83="","",INDEX(_imp!$E$4:$E$4503,_imp!$C$83))</f>
        <v/>
      </c>
      <c r="C81" s="54">
        <f>IF(_imp!$C$83="","",INDEX(_imp!$F$4:$F$4503,_imp!$C$83))</f>
        <v/>
      </c>
      <c r="D81" s="54">
        <f>IF(_imp!$C$83="","",INDEX(_imp!$G$4:$G$4503,_imp!$C$83))</f>
        <v/>
      </c>
      <c r="E81" s="54">
        <f>IF(_imp!$C$83="","",INDEX(_imp!$H$4:$H$4503,_imp!$C$83))</f>
        <v/>
      </c>
      <c r="F81" s="54">
        <f>IF(_imp!$C$83="","",INDEX(_imp!$I$4:$I$4503,_imp!$C$83))</f>
        <v/>
      </c>
      <c r="G81" s="54">
        <f>IF(_imp!$C$83="","",INDEX(_imp!$J$4:$J$4503,_imp!$C$83))</f>
        <v/>
      </c>
      <c r="K81" s="54">
        <f>IF(_imp!$C$83="","",INDEX(_imp!$K$4:$K$4503,_imp!$C$83))</f>
        <v/>
      </c>
    </row>
    <row r="82">
      <c r="A82" s="54">
        <f>IF(_imp!$C$84="","",INDEX(_imp!$D$4:$D$4503,_imp!$C$84))</f>
        <v/>
      </c>
      <c r="B82" s="54">
        <f>IF(_imp!$C$84="","",INDEX(_imp!$E$4:$E$4503,_imp!$C$84))</f>
        <v/>
      </c>
      <c r="C82" s="54">
        <f>IF(_imp!$C$84="","",INDEX(_imp!$F$4:$F$4503,_imp!$C$84))</f>
        <v/>
      </c>
      <c r="D82" s="54">
        <f>IF(_imp!$C$84="","",INDEX(_imp!$G$4:$G$4503,_imp!$C$84))</f>
        <v/>
      </c>
      <c r="E82" s="54">
        <f>IF(_imp!$C$84="","",INDEX(_imp!$H$4:$H$4503,_imp!$C$84))</f>
        <v/>
      </c>
      <c r="F82" s="54">
        <f>IF(_imp!$C$84="","",INDEX(_imp!$I$4:$I$4503,_imp!$C$84))</f>
        <v/>
      </c>
      <c r="G82" s="54">
        <f>IF(_imp!$C$84="","",INDEX(_imp!$J$4:$J$4503,_imp!$C$84))</f>
        <v/>
      </c>
      <c r="K82" s="54">
        <f>IF(_imp!$C$84="","",INDEX(_imp!$K$4:$K$4503,_imp!$C$84))</f>
        <v/>
      </c>
    </row>
    <row r="83">
      <c r="A83" s="54">
        <f>IF(_imp!$C$85="","",INDEX(_imp!$D$4:$D$4503,_imp!$C$85))</f>
        <v/>
      </c>
      <c r="B83" s="54">
        <f>IF(_imp!$C$85="","",INDEX(_imp!$E$4:$E$4503,_imp!$C$85))</f>
        <v/>
      </c>
      <c r="C83" s="54">
        <f>IF(_imp!$C$85="","",INDEX(_imp!$F$4:$F$4503,_imp!$C$85))</f>
        <v/>
      </c>
      <c r="D83" s="54">
        <f>IF(_imp!$C$85="","",INDEX(_imp!$G$4:$G$4503,_imp!$C$85))</f>
        <v/>
      </c>
      <c r="E83" s="54">
        <f>IF(_imp!$C$85="","",INDEX(_imp!$H$4:$H$4503,_imp!$C$85))</f>
        <v/>
      </c>
      <c r="F83" s="54">
        <f>IF(_imp!$C$85="","",INDEX(_imp!$I$4:$I$4503,_imp!$C$85))</f>
        <v/>
      </c>
      <c r="G83" s="54">
        <f>IF(_imp!$C$85="","",INDEX(_imp!$J$4:$J$4503,_imp!$C$85))</f>
        <v/>
      </c>
      <c r="K83" s="54">
        <f>IF(_imp!$C$85="","",INDEX(_imp!$K$4:$K$4503,_imp!$C$85))</f>
        <v/>
      </c>
    </row>
    <row r="84">
      <c r="A84" s="54">
        <f>IF(_imp!$C$86="","",INDEX(_imp!$D$4:$D$4503,_imp!$C$86))</f>
        <v/>
      </c>
      <c r="B84" s="54">
        <f>IF(_imp!$C$86="","",INDEX(_imp!$E$4:$E$4503,_imp!$C$86))</f>
        <v/>
      </c>
      <c r="C84" s="54">
        <f>IF(_imp!$C$86="","",INDEX(_imp!$F$4:$F$4503,_imp!$C$86))</f>
        <v/>
      </c>
      <c r="D84" s="54">
        <f>IF(_imp!$C$86="","",INDEX(_imp!$G$4:$G$4503,_imp!$C$86))</f>
        <v/>
      </c>
      <c r="E84" s="54">
        <f>IF(_imp!$C$86="","",INDEX(_imp!$H$4:$H$4503,_imp!$C$86))</f>
        <v/>
      </c>
      <c r="F84" s="54">
        <f>IF(_imp!$C$86="","",INDEX(_imp!$I$4:$I$4503,_imp!$C$86))</f>
        <v/>
      </c>
      <c r="G84" s="54">
        <f>IF(_imp!$C$86="","",INDEX(_imp!$J$4:$J$4503,_imp!$C$86))</f>
        <v/>
      </c>
      <c r="K84" s="54">
        <f>IF(_imp!$C$86="","",INDEX(_imp!$K$4:$K$4503,_imp!$C$86))</f>
        <v/>
      </c>
    </row>
    <row r="85">
      <c r="A85" s="54">
        <f>IF(_imp!$C$87="","",INDEX(_imp!$D$4:$D$4503,_imp!$C$87))</f>
        <v/>
      </c>
      <c r="B85" s="54">
        <f>IF(_imp!$C$87="","",INDEX(_imp!$E$4:$E$4503,_imp!$C$87))</f>
        <v/>
      </c>
      <c r="C85" s="54">
        <f>IF(_imp!$C$87="","",INDEX(_imp!$F$4:$F$4503,_imp!$C$87))</f>
        <v/>
      </c>
      <c r="D85" s="54">
        <f>IF(_imp!$C$87="","",INDEX(_imp!$G$4:$G$4503,_imp!$C$87))</f>
        <v/>
      </c>
      <c r="E85" s="54">
        <f>IF(_imp!$C$87="","",INDEX(_imp!$H$4:$H$4503,_imp!$C$87))</f>
        <v/>
      </c>
      <c r="F85" s="54">
        <f>IF(_imp!$C$87="","",INDEX(_imp!$I$4:$I$4503,_imp!$C$87))</f>
        <v/>
      </c>
      <c r="G85" s="54">
        <f>IF(_imp!$C$87="","",INDEX(_imp!$J$4:$J$4503,_imp!$C$87))</f>
        <v/>
      </c>
      <c r="K85" s="54">
        <f>IF(_imp!$C$87="","",INDEX(_imp!$K$4:$K$4503,_imp!$C$87))</f>
        <v/>
      </c>
    </row>
    <row r="86">
      <c r="A86" s="54">
        <f>IF(_imp!$C$88="","",INDEX(_imp!$D$4:$D$4503,_imp!$C$88))</f>
        <v/>
      </c>
      <c r="B86" s="54">
        <f>IF(_imp!$C$88="","",INDEX(_imp!$E$4:$E$4503,_imp!$C$88))</f>
        <v/>
      </c>
      <c r="C86" s="54">
        <f>IF(_imp!$C$88="","",INDEX(_imp!$F$4:$F$4503,_imp!$C$88))</f>
        <v/>
      </c>
      <c r="D86" s="54">
        <f>IF(_imp!$C$88="","",INDEX(_imp!$G$4:$G$4503,_imp!$C$88))</f>
        <v/>
      </c>
      <c r="E86" s="54">
        <f>IF(_imp!$C$88="","",INDEX(_imp!$H$4:$H$4503,_imp!$C$88))</f>
        <v/>
      </c>
      <c r="F86" s="54">
        <f>IF(_imp!$C$88="","",INDEX(_imp!$I$4:$I$4503,_imp!$C$88))</f>
        <v/>
      </c>
      <c r="G86" s="54">
        <f>IF(_imp!$C$88="","",INDEX(_imp!$J$4:$J$4503,_imp!$C$88))</f>
        <v/>
      </c>
      <c r="K86" s="54">
        <f>IF(_imp!$C$88="","",INDEX(_imp!$K$4:$K$4503,_imp!$C$88))</f>
        <v/>
      </c>
    </row>
    <row r="87">
      <c r="A87" s="54">
        <f>IF(_imp!$C$89="","",INDEX(_imp!$D$4:$D$4503,_imp!$C$89))</f>
        <v/>
      </c>
      <c r="B87" s="54">
        <f>IF(_imp!$C$89="","",INDEX(_imp!$E$4:$E$4503,_imp!$C$89))</f>
        <v/>
      </c>
      <c r="C87" s="54">
        <f>IF(_imp!$C$89="","",INDEX(_imp!$F$4:$F$4503,_imp!$C$89))</f>
        <v/>
      </c>
      <c r="D87" s="54">
        <f>IF(_imp!$C$89="","",INDEX(_imp!$G$4:$G$4503,_imp!$C$89))</f>
        <v/>
      </c>
      <c r="E87" s="54">
        <f>IF(_imp!$C$89="","",INDEX(_imp!$H$4:$H$4503,_imp!$C$89))</f>
        <v/>
      </c>
      <c r="F87" s="54">
        <f>IF(_imp!$C$89="","",INDEX(_imp!$I$4:$I$4503,_imp!$C$89))</f>
        <v/>
      </c>
      <c r="G87" s="54">
        <f>IF(_imp!$C$89="","",INDEX(_imp!$J$4:$J$4503,_imp!$C$89))</f>
        <v/>
      </c>
      <c r="K87" s="54">
        <f>IF(_imp!$C$89="","",INDEX(_imp!$K$4:$K$4503,_imp!$C$89))</f>
        <v/>
      </c>
    </row>
    <row r="88">
      <c r="A88" s="54">
        <f>IF(_imp!$C$90="","",INDEX(_imp!$D$4:$D$4503,_imp!$C$90))</f>
        <v/>
      </c>
      <c r="B88" s="54">
        <f>IF(_imp!$C$90="","",INDEX(_imp!$E$4:$E$4503,_imp!$C$90))</f>
        <v/>
      </c>
      <c r="C88" s="54">
        <f>IF(_imp!$C$90="","",INDEX(_imp!$F$4:$F$4503,_imp!$C$90))</f>
        <v/>
      </c>
      <c r="D88" s="54">
        <f>IF(_imp!$C$90="","",INDEX(_imp!$G$4:$G$4503,_imp!$C$90))</f>
        <v/>
      </c>
      <c r="E88" s="54">
        <f>IF(_imp!$C$90="","",INDEX(_imp!$H$4:$H$4503,_imp!$C$90))</f>
        <v/>
      </c>
      <c r="F88" s="54">
        <f>IF(_imp!$C$90="","",INDEX(_imp!$I$4:$I$4503,_imp!$C$90))</f>
        <v/>
      </c>
      <c r="G88" s="54">
        <f>IF(_imp!$C$90="","",INDEX(_imp!$J$4:$J$4503,_imp!$C$90))</f>
        <v/>
      </c>
      <c r="K88" s="54">
        <f>IF(_imp!$C$90="","",INDEX(_imp!$K$4:$K$4503,_imp!$C$90))</f>
        <v/>
      </c>
    </row>
    <row r="89">
      <c r="A89" s="54">
        <f>IF(_imp!$C$91="","",INDEX(_imp!$D$4:$D$4503,_imp!$C$91))</f>
        <v/>
      </c>
      <c r="B89" s="54">
        <f>IF(_imp!$C$91="","",INDEX(_imp!$E$4:$E$4503,_imp!$C$91))</f>
        <v/>
      </c>
      <c r="C89" s="54">
        <f>IF(_imp!$C$91="","",INDEX(_imp!$F$4:$F$4503,_imp!$C$91))</f>
        <v/>
      </c>
      <c r="D89" s="54">
        <f>IF(_imp!$C$91="","",INDEX(_imp!$G$4:$G$4503,_imp!$C$91))</f>
        <v/>
      </c>
      <c r="E89" s="54">
        <f>IF(_imp!$C$91="","",INDEX(_imp!$H$4:$H$4503,_imp!$C$91))</f>
        <v/>
      </c>
      <c r="F89" s="54">
        <f>IF(_imp!$C$91="","",INDEX(_imp!$I$4:$I$4503,_imp!$C$91))</f>
        <v/>
      </c>
      <c r="G89" s="54">
        <f>IF(_imp!$C$91="","",INDEX(_imp!$J$4:$J$4503,_imp!$C$91))</f>
        <v/>
      </c>
      <c r="K89" s="54">
        <f>IF(_imp!$C$91="","",INDEX(_imp!$K$4:$K$4503,_imp!$C$91))</f>
        <v/>
      </c>
    </row>
    <row r="90">
      <c r="A90" s="54">
        <f>IF(_imp!$C$92="","",INDEX(_imp!$D$4:$D$4503,_imp!$C$92))</f>
        <v/>
      </c>
      <c r="B90" s="54">
        <f>IF(_imp!$C$92="","",INDEX(_imp!$E$4:$E$4503,_imp!$C$92))</f>
        <v/>
      </c>
      <c r="C90" s="54">
        <f>IF(_imp!$C$92="","",INDEX(_imp!$F$4:$F$4503,_imp!$C$92))</f>
        <v/>
      </c>
      <c r="D90" s="54">
        <f>IF(_imp!$C$92="","",INDEX(_imp!$G$4:$G$4503,_imp!$C$92))</f>
        <v/>
      </c>
      <c r="E90" s="54">
        <f>IF(_imp!$C$92="","",INDEX(_imp!$H$4:$H$4503,_imp!$C$92))</f>
        <v/>
      </c>
      <c r="F90" s="54">
        <f>IF(_imp!$C$92="","",INDEX(_imp!$I$4:$I$4503,_imp!$C$92))</f>
        <v/>
      </c>
      <c r="G90" s="54">
        <f>IF(_imp!$C$92="","",INDEX(_imp!$J$4:$J$4503,_imp!$C$92))</f>
        <v/>
      </c>
      <c r="K90" s="54">
        <f>IF(_imp!$C$92="","",INDEX(_imp!$K$4:$K$4503,_imp!$C$92))</f>
        <v/>
      </c>
    </row>
    <row r="91">
      <c r="A91" s="54">
        <f>IF(_imp!$C$93="","",INDEX(_imp!$D$4:$D$4503,_imp!$C$93))</f>
        <v/>
      </c>
      <c r="B91" s="54">
        <f>IF(_imp!$C$93="","",INDEX(_imp!$E$4:$E$4503,_imp!$C$93))</f>
        <v/>
      </c>
      <c r="C91" s="54">
        <f>IF(_imp!$C$93="","",INDEX(_imp!$F$4:$F$4503,_imp!$C$93))</f>
        <v/>
      </c>
      <c r="D91" s="54">
        <f>IF(_imp!$C$93="","",INDEX(_imp!$G$4:$G$4503,_imp!$C$93))</f>
        <v/>
      </c>
      <c r="E91" s="54">
        <f>IF(_imp!$C$93="","",INDEX(_imp!$H$4:$H$4503,_imp!$C$93))</f>
        <v/>
      </c>
      <c r="F91" s="54">
        <f>IF(_imp!$C$93="","",INDEX(_imp!$I$4:$I$4503,_imp!$C$93))</f>
        <v/>
      </c>
      <c r="G91" s="54">
        <f>IF(_imp!$C$93="","",INDEX(_imp!$J$4:$J$4503,_imp!$C$93))</f>
        <v/>
      </c>
      <c r="K91" s="54">
        <f>IF(_imp!$C$93="","",INDEX(_imp!$K$4:$K$4503,_imp!$C$93))</f>
        <v/>
      </c>
    </row>
    <row r="92">
      <c r="A92" s="54">
        <f>IF(_imp!$C$94="","",INDEX(_imp!$D$4:$D$4503,_imp!$C$94))</f>
        <v/>
      </c>
      <c r="B92" s="54">
        <f>IF(_imp!$C$94="","",INDEX(_imp!$E$4:$E$4503,_imp!$C$94))</f>
        <v/>
      </c>
      <c r="C92" s="54">
        <f>IF(_imp!$C$94="","",INDEX(_imp!$F$4:$F$4503,_imp!$C$94))</f>
        <v/>
      </c>
      <c r="D92" s="54">
        <f>IF(_imp!$C$94="","",INDEX(_imp!$G$4:$G$4503,_imp!$C$94))</f>
        <v/>
      </c>
      <c r="E92" s="54">
        <f>IF(_imp!$C$94="","",INDEX(_imp!$H$4:$H$4503,_imp!$C$94))</f>
        <v/>
      </c>
      <c r="F92" s="54">
        <f>IF(_imp!$C$94="","",INDEX(_imp!$I$4:$I$4503,_imp!$C$94))</f>
        <v/>
      </c>
      <c r="G92" s="54">
        <f>IF(_imp!$C$94="","",INDEX(_imp!$J$4:$J$4503,_imp!$C$94))</f>
        <v/>
      </c>
      <c r="K92" s="54">
        <f>IF(_imp!$C$94="","",INDEX(_imp!$K$4:$K$4503,_imp!$C$94))</f>
        <v/>
      </c>
    </row>
    <row r="93">
      <c r="A93" s="54">
        <f>IF(_imp!$C$95="","",INDEX(_imp!$D$4:$D$4503,_imp!$C$95))</f>
        <v/>
      </c>
      <c r="B93" s="54">
        <f>IF(_imp!$C$95="","",INDEX(_imp!$E$4:$E$4503,_imp!$C$95))</f>
        <v/>
      </c>
      <c r="C93" s="54">
        <f>IF(_imp!$C$95="","",INDEX(_imp!$F$4:$F$4503,_imp!$C$95))</f>
        <v/>
      </c>
      <c r="D93" s="54">
        <f>IF(_imp!$C$95="","",INDEX(_imp!$G$4:$G$4503,_imp!$C$95))</f>
        <v/>
      </c>
      <c r="E93" s="54">
        <f>IF(_imp!$C$95="","",INDEX(_imp!$H$4:$H$4503,_imp!$C$95))</f>
        <v/>
      </c>
      <c r="F93" s="54">
        <f>IF(_imp!$C$95="","",INDEX(_imp!$I$4:$I$4503,_imp!$C$95))</f>
        <v/>
      </c>
      <c r="G93" s="54">
        <f>IF(_imp!$C$95="","",INDEX(_imp!$J$4:$J$4503,_imp!$C$95))</f>
        <v/>
      </c>
      <c r="K93" s="54">
        <f>IF(_imp!$C$95="","",INDEX(_imp!$K$4:$K$4503,_imp!$C$95))</f>
        <v/>
      </c>
    </row>
    <row r="94">
      <c r="A94" s="54">
        <f>IF(_imp!$C$96="","",INDEX(_imp!$D$4:$D$4503,_imp!$C$96))</f>
        <v/>
      </c>
      <c r="B94" s="54">
        <f>IF(_imp!$C$96="","",INDEX(_imp!$E$4:$E$4503,_imp!$C$96))</f>
        <v/>
      </c>
      <c r="C94" s="54">
        <f>IF(_imp!$C$96="","",INDEX(_imp!$F$4:$F$4503,_imp!$C$96))</f>
        <v/>
      </c>
      <c r="D94" s="54">
        <f>IF(_imp!$C$96="","",INDEX(_imp!$G$4:$G$4503,_imp!$C$96))</f>
        <v/>
      </c>
      <c r="E94" s="54">
        <f>IF(_imp!$C$96="","",INDEX(_imp!$H$4:$H$4503,_imp!$C$96))</f>
        <v/>
      </c>
      <c r="F94" s="54">
        <f>IF(_imp!$C$96="","",INDEX(_imp!$I$4:$I$4503,_imp!$C$96))</f>
        <v/>
      </c>
      <c r="G94" s="54">
        <f>IF(_imp!$C$96="","",INDEX(_imp!$J$4:$J$4503,_imp!$C$96))</f>
        <v/>
      </c>
      <c r="K94" s="54">
        <f>IF(_imp!$C$96="","",INDEX(_imp!$K$4:$K$4503,_imp!$C$96))</f>
        <v/>
      </c>
    </row>
    <row r="95">
      <c r="A95" s="54">
        <f>IF(_imp!$C$97="","",INDEX(_imp!$D$4:$D$4503,_imp!$C$97))</f>
        <v/>
      </c>
      <c r="B95" s="54">
        <f>IF(_imp!$C$97="","",INDEX(_imp!$E$4:$E$4503,_imp!$C$97))</f>
        <v/>
      </c>
      <c r="C95" s="54">
        <f>IF(_imp!$C$97="","",INDEX(_imp!$F$4:$F$4503,_imp!$C$97))</f>
        <v/>
      </c>
      <c r="D95" s="54">
        <f>IF(_imp!$C$97="","",INDEX(_imp!$G$4:$G$4503,_imp!$C$97))</f>
        <v/>
      </c>
      <c r="E95" s="54">
        <f>IF(_imp!$C$97="","",INDEX(_imp!$H$4:$H$4503,_imp!$C$97))</f>
        <v/>
      </c>
      <c r="F95" s="54">
        <f>IF(_imp!$C$97="","",INDEX(_imp!$I$4:$I$4503,_imp!$C$97))</f>
        <v/>
      </c>
      <c r="G95" s="54">
        <f>IF(_imp!$C$97="","",INDEX(_imp!$J$4:$J$4503,_imp!$C$97))</f>
        <v/>
      </c>
      <c r="K95" s="54">
        <f>IF(_imp!$C$97="","",INDEX(_imp!$K$4:$K$4503,_imp!$C$97))</f>
        <v/>
      </c>
    </row>
    <row r="96">
      <c r="A96" s="54">
        <f>IF(_imp!$C$98="","",INDEX(_imp!$D$4:$D$4503,_imp!$C$98))</f>
        <v/>
      </c>
      <c r="B96" s="54">
        <f>IF(_imp!$C$98="","",INDEX(_imp!$E$4:$E$4503,_imp!$C$98))</f>
        <v/>
      </c>
      <c r="C96" s="54">
        <f>IF(_imp!$C$98="","",INDEX(_imp!$F$4:$F$4503,_imp!$C$98))</f>
        <v/>
      </c>
      <c r="D96" s="54">
        <f>IF(_imp!$C$98="","",INDEX(_imp!$G$4:$G$4503,_imp!$C$98))</f>
        <v/>
      </c>
      <c r="E96" s="54">
        <f>IF(_imp!$C$98="","",INDEX(_imp!$H$4:$H$4503,_imp!$C$98))</f>
        <v/>
      </c>
      <c r="F96" s="54">
        <f>IF(_imp!$C$98="","",INDEX(_imp!$I$4:$I$4503,_imp!$C$98))</f>
        <v/>
      </c>
      <c r="G96" s="54">
        <f>IF(_imp!$C$98="","",INDEX(_imp!$J$4:$J$4503,_imp!$C$98))</f>
        <v/>
      </c>
      <c r="K96" s="54">
        <f>IF(_imp!$C$98="","",INDEX(_imp!$K$4:$K$4503,_imp!$C$98))</f>
        <v/>
      </c>
    </row>
    <row r="97">
      <c r="A97" s="54">
        <f>IF(_imp!$C$99="","",INDEX(_imp!$D$4:$D$4503,_imp!$C$99))</f>
        <v/>
      </c>
      <c r="B97" s="54">
        <f>IF(_imp!$C$99="","",INDEX(_imp!$E$4:$E$4503,_imp!$C$99))</f>
        <v/>
      </c>
      <c r="C97" s="54">
        <f>IF(_imp!$C$99="","",INDEX(_imp!$F$4:$F$4503,_imp!$C$99))</f>
        <v/>
      </c>
      <c r="D97" s="54">
        <f>IF(_imp!$C$99="","",INDEX(_imp!$G$4:$G$4503,_imp!$C$99))</f>
        <v/>
      </c>
      <c r="E97" s="54">
        <f>IF(_imp!$C$99="","",INDEX(_imp!$H$4:$H$4503,_imp!$C$99))</f>
        <v/>
      </c>
      <c r="F97" s="54">
        <f>IF(_imp!$C$99="","",INDEX(_imp!$I$4:$I$4503,_imp!$C$99))</f>
        <v/>
      </c>
      <c r="G97" s="54">
        <f>IF(_imp!$C$99="","",INDEX(_imp!$J$4:$J$4503,_imp!$C$99))</f>
        <v/>
      </c>
      <c r="K97" s="54">
        <f>IF(_imp!$C$99="","",INDEX(_imp!$K$4:$K$4503,_imp!$C$99))</f>
        <v/>
      </c>
    </row>
    <row r="98">
      <c r="A98" s="54">
        <f>IF(_imp!$C$100="","",INDEX(_imp!$D$4:$D$4503,_imp!$C$100))</f>
        <v/>
      </c>
      <c r="B98" s="54">
        <f>IF(_imp!$C$100="","",INDEX(_imp!$E$4:$E$4503,_imp!$C$100))</f>
        <v/>
      </c>
      <c r="C98" s="54">
        <f>IF(_imp!$C$100="","",INDEX(_imp!$F$4:$F$4503,_imp!$C$100))</f>
        <v/>
      </c>
      <c r="D98" s="54">
        <f>IF(_imp!$C$100="","",INDEX(_imp!$G$4:$G$4503,_imp!$C$100))</f>
        <v/>
      </c>
      <c r="E98" s="54">
        <f>IF(_imp!$C$100="","",INDEX(_imp!$H$4:$H$4503,_imp!$C$100))</f>
        <v/>
      </c>
      <c r="F98" s="54">
        <f>IF(_imp!$C$100="","",INDEX(_imp!$I$4:$I$4503,_imp!$C$100))</f>
        <v/>
      </c>
      <c r="G98" s="54">
        <f>IF(_imp!$C$100="","",INDEX(_imp!$J$4:$J$4503,_imp!$C$100))</f>
        <v/>
      </c>
      <c r="K98" s="54">
        <f>IF(_imp!$C$100="","",INDEX(_imp!$K$4:$K$4503,_imp!$C$100))</f>
        <v/>
      </c>
    </row>
    <row r="99">
      <c r="A99" s="54">
        <f>IF(_imp!$C$101="","",INDEX(_imp!$D$4:$D$4503,_imp!$C$101))</f>
        <v/>
      </c>
      <c r="B99" s="54">
        <f>IF(_imp!$C$101="","",INDEX(_imp!$E$4:$E$4503,_imp!$C$101))</f>
        <v/>
      </c>
      <c r="C99" s="54">
        <f>IF(_imp!$C$101="","",INDEX(_imp!$F$4:$F$4503,_imp!$C$101))</f>
        <v/>
      </c>
      <c r="D99" s="54">
        <f>IF(_imp!$C$101="","",INDEX(_imp!$G$4:$G$4503,_imp!$C$101))</f>
        <v/>
      </c>
      <c r="E99" s="54">
        <f>IF(_imp!$C$101="","",INDEX(_imp!$H$4:$H$4503,_imp!$C$101))</f>
        <v/>
      </c>
      <c r="F99" s="54">
        <f>IF(_imp!$C$101="","",INDEX(_imp!$I$4:$I$4503,_imp!$C$101))</f>
        <v/>
      </c>
      <c r="G99" s="54">
        <f>IF(_imp!$C$101="","",INDEX(_imp!$J$4:$J$4503,_imp!$C$101))</f>
        <v/>
      </c>
      <c r="K99" s="54">
        <f>IF(_imp!$C$101="","",INDEX(_imp!$K$4:$K$4503,_imp!$C$101))</f>
        <v/>
      </c>
    </row>
    <row r="100">
      <c r="A100" s="54">
        <f>IF(_imp!$C$102="","",INDEX(_imp!$D$4:$D$4503,_imp!$C$102))</f>
        <v/>
      </c>
      <c r="B100" s="54">
        <f>IF(_imp!$C$102="","",INDEX(_imp!$E$4:$E$4503,_imp!$C$102))</f>
        <v/>
      </c>
      <c r="C100" s="54">
        <f>IF(_imp!$C$102="","",INDEX(_imp!$F$4:$F$4503,_imp!$C$102))</f>
        <v/>
      </c>
      <c r="D100" s="54">
        <f>IF(_imp!$C$102="","",INDEX(_imp!$G$4:$G$4503,_imp!$C$102))</f>
        <v/>
      </c>
      <c r="E100" s="54">
        <f>IF(_imp!$C$102="","",INDEX(_imp!$H$4:$H$4503,_imp!$C$102))</f>
        <v/>
      </c>
      <c r="F100" s="54">
        <f>IF(_imp!$C$102="","",INDEX(_imp!$I$4:$I$4503,_imp!$C$102))</f>
        <v/>
      </c>
      <c r="G100" s="54">
        <f>IF(_imp!$C$102="","",INDEX(_imp!$J$4:$J$4503,_imp!$C$102))</f>
        <v/>
      </c>
      <c r="K100" s="54">
        <f>IF(_imp!$C$102="","",INDEX(_imp!$K$4:$K$4503,_imp!$C$102))</f>
        <v/>
      </c>
    </row>
    <row r="101">
      <c r="A101" s="54">
        <f>IF(_imp!$C$103="","",INDEX(_imp!$D$4:$D$4503,_imp!$C$103))</f>
        <v/>
      </c>
      <c r="B101" s="54">
        <f>IF(_imp!$C$103="","",INDEX(_imp!$E$4:$E$4503,_imp!$C$103))</f>
        <v/>
      </c>
      <c r="C101" s="54">
        <f>IF(_imp!$C$103="","",INDEX(_imp!$F$4:$F$4503,_imp!$C$103))</f>
        <v/>
      </c>
      <c r="D101" s="54">
        <f>IF(_imp!$C$103="","",INDEX(_imp!$G$4:$G$4503,_imp!$C$103))</f>
        <v/>
      </c>
      <c r="E101" s="54">
        <f>IF(_imp!$C$103="","",INDEX(_imp!$H$4:$H$4503,_imp!$C$103))</f>
        <v/>
      </c>
      <c r="F101" s="54">
        <f>IF(_imp!$C$103="","",INDEX(_imp!$I$4:$I$4503,_imp!$C$103))</f>
        <v/>
      </c>
      <c r="G101" s="54">
        <f>IF(_imp!$C$103="","",INDEX(_imp!$J$4:$J$4503,_imp!$C$103))</f>
        <v/>
      </c>
      <c r="K101" s="54">
        <f>IF(_imp!$C$103="","",INDEX(_imp!$K$4:$K$4503,_imp!$C$103))</f>
        <v/>
      </c>
    </row>
    <row r="102">
      <c r="A102" s="54">
        <f>IF(_imp!$C$104="","",INDEX(_imp!$D$4:$D$4503,_imp!$C$104))</f>
        <v/>
      </c>
      <c r="B102" s="54">
        <f>IF(_imp!$C$104="","",INDEX(_imp!$E$4:$E$4503,_imp!$C$104))</f>
        <v/>
      </c>
      <c r="C102" s="54">
        <f>IF(_imp!$C$104="","",INDEX(_imp!$F$4:$F$4503,_imp!$C$104))</f>
        <v/>
      </c>
      <c r="D102" s="54">
        <f>IF(_imp!$C$104="","",INDEX(_imp!$G$4:$G$4503,_imp!$C$104))</f>
        <v/>
      </c>
      <c r="E102" s="54">
        <f>IF(_imp!$C$104="","",INDEX(_imp!$H$4:$H$4503,_imp!$C$104))</f>
        <v/>
      </c>
      <c r="F102" s="54">
        <f>IF(_imp!$C$104="","",INDEX(_imp!$I$4:$I$4503,_imp!$C$104))</f>
        <v/>
      </c>
      <c r="G102" s="54">
        <f>IF(_imp!$C$104="","",INDEX(_imp!$J$4:$J$4503,_imp!$C$104))</f>
        <v/>
      </c>
      <c r="K102" s="54">
        <f>IF(_imp!$C$104="","",INDEX(_imp!$K$4:$K$4503,_imp!$C$104))</f>
        <v/>
      </c>
    </row>
    <row r="103">
      <c r="A103" s="54">
        <f>IF(_imp!$C$105="","",INDEX(_imp!$D$4:$D$4503,_imp!$C$105))</f>
        <v/>
      </c>
      <c r="B103" s="54">
        <f>IF(_imp!$C$105="","",INDEX(_imp!$E$4:$E$4503,_imp!$C$105))</f>
        <v/>
      </c>
      <c r="C103" s="54">
        <f>IF(_imp!$C$105="","",INDEX(_imp!$F$4:$F$4503,_imp!$C$105))</f>
        <v/>
      </c>
      <c r="D103" s="54">
        <f>IF(_imp!$C$105="","",INDEX(_imp!$G$4:$G$4503,_imp!$C$105))</f>
        <v/>
      </c>
      <c r="E103" s="54">
        <f>IF(_imp!$C$105="","",INDEX(_imp!$H$4:$H$4503,_imp!$C$105))</f>
        <v/>
      </c>
      <c r="F103" s="54">
        <f>IF(_imp!$C$105="","",INDEX(_imp!$I$4:$I$4503,_imp!$C$105))</f>
        <v/>
      </c>
      <c r="G103" s="54">
        <f>IF(_imp!$C$105="","",INDEX(_imp!$J$4:$J$4503,_imp!$C$105))</f>
        <v/>
      </c>
      <c r="K103" s="54">
        <f>IF(_imp!$C$105="","",INDEX(_imp!$K$4:$K$4503,_imp!$C$105))</f>
        <v/>
      </c>
    </row>
    <row r="104">
      <c r="A104" s="54">
        <f>IF(_imp!$C$106="","",INDEX(_imp!$D$4:$D$4503,_imp!$C$106))</f>
        <v/>
      </c>
      <c r="B104" s="54">
        <f>IF(_imp!$C$106="","",INDEX(_imp!$E$4:$E$4503,_imp!$C$106))</f>
        <v/>
      </c>
      <c r="C104" s="54">
        <f>IF(_imp!$C$106="","",INDEX(_imp!$F$4:$F$4503,_imp!$C$106))</f>
        <v/>
      </c>
      <c r="D104" s="54">
        <f>IF(_imp!$C$106="","",INDEX(_imp!$G$4:$G$4503,_imp!$C$106))</f>
        <v/>
      </c>
      <c r="E104" s="54">
        <f>IF(_imp!$C$106="","",INDEX(_imp!$H$4:$H$4503,_imp!$C$106))</f>
        <v/>
      </c>
      <c r="F104" s="54">
        <f>IF(_imp!$C$106="","",INDEX(_imp!$I$4:$I$4503,_imp!$C$106))</f>
        <v/>
      </c>
      <c r="G104" s="54">
        <f>IF(_imp!$C$106="","",INDEX(_imp!$J$4:$J$4503,_imp!$C$106))</f>
        <v/>
      </c>
      <c r="K104" s="54">
        <f>IF(_imp!$C$106="","",INDEX(_imp!$K$4:$K$4503,_imp!$C$106))</f>
        <v/>
      </c>
    </row>
    <row r="105">
      <c r="A105" s="54">
        <f>IF(_imp!$C$107="","",INDEX(_imp!$D$4:$D$4503,_imp!$C$107))</f>
        <v/>
      </c>
      <c r="B105" s="54">
        <f>IF(_imp!$C$107="","",INDEX(_imp!$E$4:$E$4503,_imp!$C$107))</f>
        <v/>
      </c>
      <c r="C105" s="54">
        <f>IF(_imp!$C$107="","",INDEX(_imp!$F$4:$F$4503,_imp!$C$107))</f>
        <v/>
      </c>
      <c r="D105" s="54">
        <f>IF(_imp!$C$107="","",INDEX(_imp!$G$4:$G$4503,_imp!$C$107))</f>
        <v/>
      </c>
      <c r="E105" s="54">
        <f>IF(_imp!$C$107="","",INDEX(_imp!$H$4:$H$4503,_imp!$C$107))</f>
        <v/>
      </c>
      <c r="F105" s="54">
        <f>IF(_imp!$C$107="","",INDEX(_imp!$I$4:$I$4503,_imp!$C$107))</f>
        <v/>
      </c>
      <c r="G105" s="54">
        <f>IF(_imp!$C$107="","",INDEX(_imp!$J$4:$J$4503,_imp!$C$107))</f>
        <v/>
      </c>
      <c r="K105" s="54">
        <f>IF(_imp!$C$107="","",INDEX(_imp!$K$4:$K$4503,_imp!$C$107))</f>
        <v/>
      </c>
    </row>
    <row r="106">
      <c r="A106" s="54">
        <f>IF(_imp!$C$108="","",INDEX(_imp!$D$4:$D$4503,_imp!$C$108))</f>
        <v/>
      </c>
      <c r="B106" s="54">
        <f>IF(_imp!$C$108="","",INDEX(_imp!$E$4:$E$4503,_imp!$C$108))</f>
        <v/>
      </c>
      <c r="C106" s="54">
        <f>IF(_imp!$C$108="","",INDEX(_imp!$F$4:$F$4503,_imp!$C$108))</f>
        <v/>
      </c>
      <c r="D106" s="54">
        <f>IF(_imp!$C$108="","",INDEX(_imp!$G$4:$G$4503,_imp!$C$108))</f>
        <v/>
      </c>
      <c r="E106" s="54">
        <f>IF(_imp!$C$108="","",INDEX(_imp!$H$4:$H$4503,_imp!$C$108))</f>
        <v/>
      </c>
      <c r="F106" s="54">
        <f>IF(_imp!$C$108="","",INDEX(_imp!$I$4:$I$4503,_imp!$C$108))</f>
        <v/>
      </c>
      <c r="G106" s="54">
        <f>IF(_imp!$C$108="","",INDEX(_imp!$J$4:$J$4503,_imp!$C$108))</f>
        <v/>
      </c>
      <c r="K106" s="54">
        <f>IF(_imp!$C$108="","",INDEX(_imp!$K$4:$K$4503,_imp!$C$108))</f>
        <v/>
      </c>
    </row>
    <row r="107">
      <c r="A107" s="54">
        <f>IF(_imp!$C$109="","",INDEX(_imp!$D$4:$D$4503,_imp!$C$109))</f>
        <v/>
      </c>
      <c r="B107" s="54">
        <f>IF(_imp!$C$109="","",INDEX(_imp!$E$4:$E$4503,_imp!$C$109))</f>
        <v/>
      </c>
      <c r="C107" s="54">
        <f>IF(_imp!$C$109="","",INDEX(_imp!$F$4:$F$4503,_imp!$C$109))</f>
        <v/>
      </c>
      <c r="D107" s="54">
        <f>IF(_imp!$C$109="","",INDEX(_imp!$G$4:$G$4503,_imp!$C$109))</f>
        <v/>
      </c>
      <c r="E107" s="54">
        <f>IF(_imp!$C$109="","",INDEX(_imp!$H$4:$H$4503,_imp!$C$109))</f>
        <v/>
      </c>
      <c r="F107" s="54">
        <f>IF(_imp!$C$109="","",INDEX(_imp!$I$4:$I$4503,_imp!$C$109))</f>
        <v/>
      </c>
      <c r="G107" s="54">
        <f>IF(_imp!$C$109="","",INDEX(_imp!$J$4:$J$4503,_imp!$C$109))</f>
        <v/>
      </c>
      <c r="K107" s="54">
        <f>IF(_imp!$C$109="","",INDEX(_imp!$K$4:$K$4503,_imp!$C$109))</f>
        <v/>
      </c>
    </row>
    <row r="108">
      <c r="A108" s="54">
        <f>IF(_imp!$C$110="","",INDEX(_imp!$D$4:$D$4503,_imp!$C$110))</f>
        <v/>
      </c>
      <c r="B108" s="54">
        <f>IF(_imp!$C$110="","",INDEX(_imp!$E$4:$E$4503,_imp!$C$110))</f>
        <v/>
      </c>
      <c r="C108" s="54">
        <f>IF(_imp!$C$110="","",INDEX(_imp!$F$4:$F$4503,_imp!$C$110))</f>
        <v/>
      </c>
      <c r="D108" s="54">
        <f>IF(_imp!$C$110="","",INDEX(_imp!$G$4:$G$4503,_imp!$C$110))</f>
        <v/>
      </c>
      <c r="E108" s="54">
        <f>IF(_imp!$C$110="","",INDEX(_imp!$H$4:$H$4503,_imp!$C$110))</f>
        <v/>
      </c>
      <c r="F108" s="54">
        <f>IF(_imp!$C$110="","",INDEX(_imp!$I$4:$I$4503,_imp!$C$110))</f>
        <v/>
      </c>
      <c r="G108" s="54">
        <f>IF(_imp!$C$110="","",INDEX(_imp!$J$4:$J$4503,_imp!$C$110))</f>
        <v/>
      </c>
      <c r="K108" s="54">
        <f>IF(_imp!$C$110="","",INDEX(_imp!$K$4:$K$4503,_imp!$C$110))</f>
        <v/>
      </c>
    </row>
    <row r="109">
      <c r="A109" s="54">
        <f>IF(_imp!$C$111="","",INDEX(_imp!$D$4:$D$4503,_imp!$C$111))</f>
        <v/>
      </c>
      <c r="B109" s="54">
        <f>IF(_imp!$C$111="","",INDEX(_imp!$E$4:$E$4503,_imp!$C$111))</f>
        <v/>
      </c>
      <c r="C109" s="54">
        <f>IF(_imp!$C$111="","",INDEX(_imp!$F$4:$F$4503,_imp!$C$111))</f>
        <v/>
      </c>
      <c r="D109" s="54">
        <f>IF(_imp!$C$111="","",INDEX(_imp!$G$4:$G$4503,_imp!$C$111))</f>
        <v/>
      </c>
      <c r="E109" s="54">
        <f>IF(_imp!$C$111="","",INDEX(_imp!$H$4:$H$4503,_imp!$C$111))</f>
        <v/>
      </c>
      <c r="F109" s="54">
        <f>IF(_imp!$C$111="","",INDEX(_imp!$I$4:$I$4503,_imp!$C$111))</f>
        <v/>
      </c>
      <c r="G109" s="54">
        <f>IF(_imp!$C$111="","",INDEX(_imp!$J$4:$J$4503,_imp!$C$111))</f>
        <v/>
      </c>
      <c r="K109" s="54">
        <f>IF(_imp!$C$111="","",INDEX(_imp!$K$4:$K$4503,_imp!$C$111))</f>
        <v/>
      </c>
    </row>
    <row r="110">
      <c r="A110" s="54">
        <f>IF(_imp!$C$112="","",INDEX(_imp!$D$4:$D$4503,_imp!$C$112))</f>
        <v/>
      </c>
      <c r="B110" s="54">
        <f>IF(_imp!$C$112="","",INDEX(_imp!$E$4:$E$4503,_imp!$C$112))</f>
        <v/>
      </c>
      <c r="C110" s="54">
        <f>IF(_imp!$C$112="","",INDEX(_imp!$F$4:$F$4503,_imp!$C$112))</f>
        <v/>
      </c>
      <c r="D110" s="54">
        <f>IF(_imp!$C$112="","",INDEX(_imp!$G$4:$G$4503,_imp!$C$112))</f>
        <v/>
      </c>
      <c r="E110" s="54">
        <f>IF(_imp!$C$112="","",INDEX(_imp!$H$4:$H$4503,_imp!$C$112))</f>
        <v/>
      </c>
      <c r="F110" s="54">
        <f>IF(_imp!$C$112="","",INDEX(_imp!$I$4:$I$4503,_imp!$C$112))</f>
        <v/>
      </c>
      <c r="G110" s="54">
        <f>IF(_imp!$C$112="","",INDEX(_imp!$J$4:$J$4503,_imp!$C$112))</f>
        <v/>
      </c>
      <c r="K110" s="54">
        <f>IF(_imp!$C$112="","",INDEX(_imp!$K$4:$K$4503,_imp!$C$112))</f>
        <v/>
      </c>
    </row>
    <row r="111">
      <c r="A111" s="54">
        <f>IF(_imp!$C$113="","",INDEX(_imp!$D$4:$D$4503,_imp!$C$113))</f>
        <v/>
      </c>
      <c r="B111" s="54">
        <f>IF(_imp!$C$113="","",INDEX(_imp!$E$4:$E$4503,_imp!$C$113))</f>
        <v/>
      </c>
      <c r="C111" s="54">
        <f>IF(_imp!$C$113="","",INDEX(_imp!$F$4:$F$4503,_imp!$C$113))</f>
        <v/>
      </c>
      <c r="D111" s="54">
        <f>IF(_imp!$C$113="","",INDEX(_imp!$G$4:$G$4503,_imp!$C$113))</f>
        <v/>
      </c>
      <c r="E111" s="54">
        <f>IF(_imp!$C$113="","",INDEX(_imp!$H$4:$H$4503,_imp!$C$113))</f>
        <v/>
      </c>
      <c r="F111" s="54">
        <f>IF(_imp!$C$113="","",INDEX(_imp!$I$4:$I$4503,_imp!$C$113))</f>
        <v/>
      </c>
      <c r="G111" s="54">
        <f>IF(_imp!$C$113="","",INDEX(_imp!$J$4:$J$4503,_imp!$C$113))</f>
        <v/>
      </c>
      <c r="K111" s="54">
        <f>IF(_imp!$C$113="","",INDEX(_imp!$K$4:$K$4503,_imp!$C$113))</f>
        <v/>
      </c>
    </row>
    <row r="112">
      <c r="A112" s="54">
        <f>IF(_imp!$C$114="","",INDEX(_imp!$D$4:$D$4503,_imp!$C$114))</f>
        <v/>
      </c>
      <c r="B112" s="54">
        <f>IF(_imp!$C$114="","",INDEX(_imp!$E$4:$E$4503,_imp!$C$114))</f>
        <v/>
      </c>
      <c r="C112" s="54">
        <f>IF(_imp!$C$114="","",INDEX(_imp!$F$4:$F$4503,_imp!$C$114))</f>
        <v/>
      </c>
      <c r="D112" s="54">
        <f>IF(_imp!$C$114="","",INDEX(_imp!$G$4:$G$4503,_imp!$C$114))</f>
        <v/>
      </c>
      <c r="E112" s="54">
        <f>IF(_imp!$C$114="","",INDEX(_imp!$H$4:$H$4503,_imp!$C$114))</f>
        <v/>
      </c>
      <c r="F112" s="54">
        <f>IF(_imp!$C$114="","",INDEX(_imp!$I$4:$I$4503,_imp!$C$114))</f>
        <v/>
      </c>
      <c r="G112" s="54">
        <f>IF(_imp!$C$114="","",INDEX(_imp!$J$4:$J$4503,_imp!$C$114))</f>
        <v/>
      </c>
      <c r="K112" s="54">
        <f>IF(_imp!$C$114="","",INDEX(_imp!$K$4:$K$4503,_imp!$C$114))</f>
        <v/>
      </c>
    </row>
    <row r="113">
      <c r="A113" s="54">
        <f>IF(_imp!$C$115="","",INDEX(_imp!$D$4:$D$4503,_imp!$C$115))</f>
        <v/>
      </c>
      <c r="B113" s="54">
        <f>IF(_imp!$C$115="","",INDEX(_imp!$E$4:$E$4503,_imp!$C$115))</f>
        <v/>
      </c>
      <c r="C113" s="54">
        <f>IF(_imp!$C$115="","",INDEX(_imp!$F$4:$F$4503,_imp!$C$115))</f>
        <v/>
      </c>
      <c r="D113" s="54">
        <f>IF(_imp!$C$115="","",INDEX(_imp!$G$4:$G$4503,_imp!$C$115))</f>
        <v/>
      </c>
      <c r="E113" s="54">
        <f>IF(_imp!$C$115="","",INDEX(_imp!$H$4:$H$4503,_imp!$C$115))</f>
        <v/>
      </c>
      <c r="F113" s="54">
        <f>IF(_imp!$C$115="","",INDEX(_imp!$I$4:$I$4503,_imp!$C$115))</f>
        <v/>
      </c>
      <c r="G113" s="54">
        <f>IF(_imp!$C$115="","",INDEX(_imp!$J$4:$J$4503,_imp!$C$115))</f>
        <v/>
      </c>
      <c r="K113" s="54">
        <f>IF(_imp!$C$115="","",INDEX(_imp!$K$4:$K$4503,_imp!$C$115))</f>
        <v/>
      </c>
    </row>
    <row r="114">
      <c r="A114" s="54">
        <f>IF(_imp!$C$116="","",INDEX(_imp!$D$4:$D$4503,_imp!$C$116))</f>
        <v/>
      </c>
      <c r="B114" s="54">
        <f>IF(_imp!$C$116="","",INDEX(_imp!$E$4:$E$4503,_imp!$C$116))</f>
        <v/>
      </c>
      <c r="C114" s="54">
        <f>IF(_imp!$C$116="","",INDEX(_imp!$F$4:$F$4503,_imp!$C$116))</f>
        <v/>
      </c>
      <c r="D114" s="54">
        <f>IF(_imp!$C$116="","",INDEX(_imp!$G$4:$G$4503,_imp!$C$116))</f>
        <v/>
      </c>
      <c r="E114" s="54">
        <f>IF(_imp!$C$116="","",INDEX(_imp!$H$4:$H$4503,_imp!$C$116))</f>
        <v/>
      </c>
      <c r="F114" s="54">
        <f>IF(_imp!$C$116="","",INDEX(_imp!$I$4:$I$4503,_imp!$C$116))</f>
        <v/>
      </c>
      <c r="G114" s="54">
        <f>IF(_imp!$C$116="","",INDEX(_imp!$J$4:$J$4503,_imp!$C$116))</f>
        <v/>
      </c>
      <c r="K114" s="54">
        <f>IF(_imp!$C$116="","",INDEX(_imp!$K$4:$K$4503,_imp!$C$116))</f>
        <v/>
      </c>
    </row>
    <row r="115">
      <c r="A115" s="54">
        <f>IF(_imp!$C$117="","",INDEX(_imp!$D$4:$D$4503,_imp!$C$117))</f>
        <v/>
      </c>
      <c r="B115" s="54">
        <f>IF(_imp!$C$117="","",INDEX(_imp!$E$4:$E$4503,_imp!$C$117))</f>
        <v/>
      </c>
      <c r="C115" s="54">
        <f>IF(_imp!$C$117="","",INDEX(_imp!$F$4:$F$4503,_imp!$C$117))</f>
        <v/>
      </c>
      <c r="D115" s="54">
        <f>IF(_imp!$C$117="","",INDEX(_imp!$G$4:$G$4503,_imp!$C$117))</f>
        <v/>
      </c>
      <c r="E115" s="54">
        <f>IF(_imp!$C$117="","",INDEX(_imp!$H$4:$H$4503,_imp!$C$117))</f>
        <v/>
      </c>
      <c r="F115" s="54">
        <f>IF(_imp!$C$117="","",INDEX(_imp!$I$4:$I$4503,_imp!$C$117))</f>
        <v/>
      </c>
      <c r="G115" s="54">
        <f>IF(_imp!$C$117="","",INDEX(_imp!$J$4:$J$4503,_imp!$C$117))</f>
        <v/>
      </c>
      <c r="K115" s="54">
        <f>IF(_imp!$C$117="","",INDEX(_imp!$K$4:$K$4503,_imp!$C$117))</f>
        <v/>
      </c>
    </row>
    <row r="116">
      <c r="A116" s="54">
        <f>IF(_imp!$C$118="","",INDEX(_imp!$D$4:$D$4503,_imp!$C$118))</f>
        <v/>
      </c>
      <c r="B116" s="54">
        <f>IF(_imp!$C$118="","",INDEX(_imp!$E$4:$E$4503,_imp!$C$118))</f>
        <v/>
      </c>
      <c r="C116" s="54">
        <f>IF(_imp!$C$118="","",INDEX(_imp!$F$4:$F$4503,_imp!$C$118))</f>
        <v/>
      </c>
      <c r="D116" s="54">
        <f>IF(_imp!$C$118="","",INDEX(_imp!$G$4:$G$4503,_imp!$C$118))</f>
        <v/>
      </c>
      <c r="E116" s="54">
        <f>IF(_imp!$C$118="","",INDEX(_imp!$H$4:$H$4503,_imp!$C$118))</f>
        <v/>
      </c>
      <c r="F116" s="54">
        <f>IF(_imp!$C$118="","",INDEX(_imp!$I$4:$I$4503,_imp!$C$118))</f>
        <v/>
      </c>
      <c r="G116" s="54">
        <f>IF(_imp!$C$118="","",INDEX(_imp!$J$4:$J$4503,_imp!$C$118))</f>
        <v/>
      </c>
      <c r="K116" s="54">
        <f>IF(_imp!$C$118="","",INDEX(_imp!$K$4:$K$4503,_imp!$C$118))</f>
        <v/>
      </c>
    </row>
    <row r="117">
      <c r="A117" s="54">
        <f>IF(_imp!$C$119="","",INDEX(_imp!$D$4:$D$4503,_imp!$C$119))</f>
        <v/>
      </c>
      <c r="B117" s="54">
        <f>IF(_imp!$C$119="","",INDEX(_imp!$E$4:$E$4503,_imp!$C$119))</f>
        <v/>
      </c>
      <c r="C117" s="54">
        <f>IF(_imp!$C$119="","",INDEX(_imp!$F$4:$F$4503,_imp!$C$119))</f>
        <v/>
      </c>
      <c r="D117" s="54">
        <f>IF(_imp!$C$119="","",INDEX(_imp!$G$4:$G$4503,_imp!$C$119))</f>
        <v/>
      </c>
      <c r="E117" s="54">
        <f>IF(_imp!$C$119="","",INDEX(_imp!$H$4:$H$4503,_imp!$C$119))</f>
        <v/>
      </c>
      <c r="F117" s="54">
        <f>IF(_imp!$C$119="","",INDEX(_imp!$I$4:$I$4503,_imp!$C$119))</f>
        <v/>
      </c>
      <c r="G117" s="54">
        <f>IF(_imp!$C$119="","",INDEX(_imp!$J$4:$J$4503,_imp!$C$119))</f>
        <v/>
      </c>
      <c r="K117" s="54">
        <f>IF(_imp!$C$119="","",INDEX(_imp!$K$4:$K$4503,_imp!$C$119))</f>
        <v/>
      </c>
    </row>
    <row r="118">
      <c r="A118" s="54">
        <f>IF(_imp!$C$120="","",INDEX(_imp!$D$4:$D$4503,_imp!$C$120))</f>
        <v/>
      </c>
      <c r="B118" s="54">
        <f>IF(_imp!$C$120="","",INDEX(_imp!$E$4:$E$4503,_imp!$C$120))</f>
        <v/>
      </c>
      <c r="C118" s="54">
        <f>IF(_imp!$C$120="","",INDEX(_imp!$F$4:$F$4503,_imp!$C$120))</f>
        <v/>
      </c>
      <c r="D118" s="54">
        <f>IF(_imp!$C$120="","",INDEX(_imp!$G$4:$G$4503,_imp!$C$120))</f>
        <v/>
      </c>
      <c r="E118" s="54">
        <f>IF(_imp!$C$120="","",INDEX(_imp!$H$4:$H$4503,_imp!$C$120))</f>
        <v/>
      </c>
      <c r="F118" s="54">
        <f>IF(_imp!$C$120="","",INDEX(_imp!$I$4:$I$4503,_imp!$C$120))</f>
        <v/>
      </c>
      <c r="G118" s="54">
        <f>IF(_imp!$C$120="","",INDEX(_imp!$J$4:$J$4503,_imp!$C$120))</f>
        <v/>
      </c>
      <c r="K118" s="54">
        <f>IF(_imp!$C$120="","",INDEX(_imp!$K$4:$K$4503,_imp!$C$120))</f>
        <v/>
      </c>
    </row>
    <row r="119">
      <c r="A119" s="54">
        <f>IF(_imp!$C$121="","",INDEX(_imp!$D$4:$D$4503,_imp!$C$121))</f>
        <v/>
      </c>
      <c r="B119" s="54">
        <f>IF(_imp!$C$121="","",INDEX(_imp!$E$4:$E$4503,_imp!$C$121))</f>
        <v/>
      </c>
      <c r="C119" s="54">
        <f>IF(_imp!$C$121="","",INDEX(_imp!$F$4:$F$4503,_imp!$C$121))</f>
        <v/>
      </c>
      <c r="D119" s="54">
        <f>IF(_imp!$C$121="","",INDEX(_imp!$G$4:$G$4503,_imp!$C$121))</f>
        <v/>
      </c>
      <c r="E119" s="54">
        <f>IF(_imp!$C$121="","",INDEX(_imp!$H$4:$H$4503,_imp!$C$121))</f>
        <v/>
      </c>
      <c r="F119" s="54">
        <f>IF(_imp!$C$121="","",INDEX(_imp!$I$4:$I$4503,_imp!$C$121))</f>
        <v/>
      </c>
      <c r="G119" s="54">
        <f>IF(_imp!$C$121="","",INDEX(_imp!$J$4:$J$4503,_imp!$C$121))</f>
        <v/>
      </c>
      <c r="K119" s="54">
        <f>IF(_imp!$C$121="","",INDEX(_imp!$K$4:$K$4503,_imp!$C$121))</f>
        <v/>
      </c>
    </row>
    <row r="120">
      <c r="A120" s="54">
        <f>IF(_imp!$C$122="","",INDEX(_imp!$D$4:$D$4503,_imp!$C$122))</f>
        <v/>
      </c>
      <c r="B120" s="54">
        <f>IF(_imp!$C$122="","",INDEX(_imp!$E$4:$E$4503,_imp!$C$122))</f>
        <v/>
      </c>
      <c r="C120" s="54">
        <f>IF(_imp!$C$122="","",INDEX(_imp!$F$4:$F$4503,_imp!$C$122))</f>
        <v/>
      </c>
      <c r="D120" s="54">
        <f>IF(_imp!$C$122="","",INDEX(_imp!$G$4:$G$4503,_imp!$C$122))</f>
        <v/>
      </c>
      <c r="E120" s="54">
        <f>IF(_imp!$C$122="","",INDEX(_imp!$H$4:$H$4503,_imp!$C$122))</f>
        <v/>
      </c>
      <c r="F120" s="54">
        <f>IF(_imp!$C$122="","",INDEX(_imp!$I$4:$I$4503,_imp!$C$122))</f>
        <v/>
      </c>
      <c r="G120" s="54">
        <f>IF(_imp!$C$122="","",INDEX(_imp!$J$4:$J$4503,_imp!$C$122))</f>
        <v/>
      </c>
      <c r="K120" s="54">
        <f>IF(_imp!$C$122="","",INDEX(_imp!$K$4:$K$4503,_imp!$C$122))</f>
        <v/>
      </c>
    </row>
    <row r="121">
      <c r="A121" s="54">
        <f>IF(_imp!$C$123="","",INDEX(_imp!$D$4:$D$4503,_imp!$C$123))</f>
        <v/>
      </c>
      <c r="B121" s="54">
        <f>IF(_imp!$C$123="","",INDEX(_imp!$E$4:$E$4503,_imp!$C$123))</f>
        <v/>
      </c>
      <c r="C121" s="54">
        <f>IF(_imp!$C$123="","",INDEX(_imp!$F$4:$F$4503,_imp!$C$123))</f>
        <v/>
      </c>
      <c r="D121" s="54">
        <f>IF(_imp!$C$123="","",INDEX(_imp!$G$4:$G$4503,_imp!$C$123))</f>
        <v/>
      </c>
      <c r="E121" s="54">
        <f>IF(_imp!$C$123="","",INDEX(_imp!$H$4:$H$4503,_imp!$C$123))</f>
        <v/>
      </c>
      <c r="F121" s="54">
        <f>IF(_imp!$C$123="","",INDEX(_imp!$I$4:$I$4503,_imp!$C$123))</f>
        <v/>
      </c>
      <c r="G121" s="54">
        <f>IF(_imp!$C$123="","",INDEX(_imp!$J$4:$J$4503,_imp!$C$123))</f>
        <v/>
      </c>
      <c r="K121" s="54">
        <f>IF(_imp!$C$123="","",INDEX(_imp!$K$4:$K$4503,_imp!$C$123))</f>
        <v/>
      </c>
    </row>
    <row r="122">
      <c r="A122" s="54">
        <f>IF(_imp!$C$124="","",INDEX(_imp!$D$4:$D$4503,_imp!$C$124))</f>
        <v/>
      </c>
      <c r="B122" s="54">
        <f>IF(_imp!$C$124="","",INDEX(_imp!$E$4:$E$4503,_imp!$C$124))</f>
        <v/>
      </c>
      <c r="C122" s="54">
        <f>IF(_imp!$C$124="","",INDEX(_imp!$F$4:$F$4503,_imp!$C$124))</f>
        <v/>
      </c>
      <c r="D122" s="54">
        <f>IF(_imp!$C$124="","",INDEX(_imp!$G$4:$G$4503,_imp!$C$124))</f>
        <v/>
      </c>
      <c r="E122" s="54">
        <f>IF(_imp!$C$124="","",INDEX(_imp!$H$4:$H$4503,_imp!$C$124))</f>
        <v/>
      </c>
      <c r="F122" s="54">
        <f>IF(_imp!$C$124="","",INDEX(_imp!$I$4:$I$4503,_imp!$C$124))</f>
        <v/>
      </c>
      <c r="G122" s="54">
        <f>IF(_imp!$C$124="","",INDEX(_imp!$J$4:$J$4503,_imp!$C$124))</f>
        <v/>
      </c>
      <c r="K122" s="54">
        <f>IF(_imp!$C$124="","",INDEX(_imp!$K$4:$K$4503,_imp!$C$124))</f>
        <v/>
      </c>
    </row>
    <row r="123">
      <c r="A123" s="54">
        <f>IF(_imp!$C$125="","",INDEX(_imp!$D$4:$D$4503,_imp!$C$125))</f>
        <v/>
      </c>
      <c r="B123" s="54">
        <f>IF(_imp!$C$125="","",INDEX(_imp!$E$4:$E$4503,_imp!$C$125))</f>
        <v/>
      </c>
      <c r="C123" s="54">
        <f>IF(_imp!$C$125="","",INDEX(_imp!$F$4:$F$4503,_imp!$C$125))</f>
        <v/>
      </c>
      <c r="D123" s="54">
        <f>IF(_imp!$C$125="","",INDEX(_imp!$G$4:$G$4503,_imp!$C$125))</f>
        <v/>
      </c>
      <c r="E123" s="54">
        <f>IF(_imp!$C$125="","",INDEX(_imp!$H$4:$H$4503,_imp!$C$125))</f>
        <v/>
      </c>
      <c r="F123" s="54">
        <f>IF(_imp!$C$125="","",INDEX(_imp!$I$4:$I$4503,_imp!$C$125))</f>
        <v/>
      </c>
      <c r="G123" s="54">
        <f>IF(_imp!$C$125="","",INDEX(_imp!$J$4:$J$4503,_imp!$C$125))</f>
        <v/>
      </c>
      <c r="K123" s="54">
        <f>IF(_imp!$C$125="","",INDEX(_imp!$K$4:$K$4503,_imp!$C$125))</f>
        <v/>
      </c>
    </row>
    <row r="124">
      <c r="A124" s="54">
        <f>IF(_imp!$C$126="","",INDEX(_imp!$D$4:$D$4503,_imp!$C$126))</f>
        <v/>
      </c>
      <c r="B124" s="54">
        <f>IF(_imp!$C$126="","",INDEX(_imp!$E$4:$E$4503,_imp!$C$126))</f>
        <v/>
      </c>
      <c r="C124" s="54">
        <f>IF(_imp!$C$126="","",INDEX(_imp!$F$4:$F$4503,_imp!$C$126))</f>
        <v/>
      </c>
      <c r="D124" s="54">
        <f>IF(_imp!$C$126="","",INDEX(_imp!$G$4:$G$4503,_imp!$C$126))</f>
        <v/>
      </c>
      <c r="E124" s="54">
        <f>IF(_imp!$C$126="","",INDEX(_imp!$H$4:$H$4503,_imp!$C$126))</f>
        <v/>
      </c>
      <c r="F124" s="54">
        <f>IF(_imp!$C$126="","",INDEX(_imp!$I$4:$I$4503,_imp!$C$126))</f>
        <v/>
      </c>
      <c r="G124" s="54">
        <f>IF(_imp!$C$126="","",INDEX(_imp!$J$4:$J$4503,_imp!$C$126))</f>
        <v/>
      </c>
      <c r="K124" s="54">
        <f>IF(_imp!$C$126="","",INDEX(_imp!$K$4:$K$4503,_imp!$C$126))</f>
        <v/>
      </c>
    </row>
    <row r="125">
      <c r="A125" s="54">
        <f>IF(_imp!$C$127="","",INDEX(_imp!$D$4:$D$4503,_imp!$C$127))</f>
        <v/>
      </c>
      <c r="B125" s="54">
        <f>IF(_imp!$C$127="","",INDEX(_imp!$E$4:$E$4503,_imp!$C$127))</f>
        <v/>
      </c>
      <c r="C125" s="54">
        <f>IF(_imp!$C$127="","",INDEX(_imp!$F$4:$F$4503,_imp!$C$127))</f>
        <v/>
      </c>
      <c r="D125" s="54">
        <f>IF(_imp!$C$127="","",INDEX(_imp!$G$4:$G$4503,_imp!$C$127))</f>
        <v/>
      </c>
      <c r="E125" s="54">
        <f>IF(_imp!$C$127="","",INDEX(_imp!$H$4:$H$4503,_imp!$C$127))</f>
        <v/>
      </c>
      <c r="F125" s="54">
        <f>IF(_imp!$C$127="","",INDEX(_imp!$I$4:$I$4503,_imp!$C$127))</f>
        <v/>
      </c>
      <c r="G125" s="54">
        <f>IF(_imp!$C$127="","",INDEX(_imp!$J$4:$J$4503,_imp!$C$127))</f>
        <v/>
      </c>
      <c r="K125" s="54">
        <f>IF(_imp!$C$127="","",INDEX(_imp!$K$4:$K$4503,_imp!$C$127))</f>
        <v/>
      </c>
    </row>
    <row r="126">
      <c r="A126" s="54">
        <f>IF(_imp!$C$128="","",INDEX(_imp!$D$4:$D$4503,_imp!$C$128))</f>
        <v/>
      </c>
      <c r="B126" s="54">
        <f>IF(_imp!$C$128="","",INDEX(_imp!$E$4:$E$4503,_imp!$C$128))</f>
        <v/>
      </c>
      <c r="C126" s="54">
        <f>IF(_imp!$C$128="","",INDEX(_imp!$F$4:$F$4503,_imp!$C$128))</f>
        <v/>
      </c>
      <c r="D126" s="54">
        <f>IF(_imp!$C$128="","",INDEX(_imp!$G$4:$G$4503,_imp!$C$128))</f>
        <v/>
      </c>
      <c r="E126" s="54">
        <f>IF(_imp!$C$128="","",INDEX(_imp!$H$4:$H$4503,_imp!$C$128))</f>
        <v/>
      </c>
      <c r="F126" s="54">
        <f>IF(_imp!$C$128="","",INDEX(_imp!$I$4:$I$4503,_imp!$C$128))</f>
        <v/>
      </c>
      <c r="G126" s="54">
        <f>IF(_imp!$C$128="","",INDEX(_imp!$J$4:$J$4503,_imp!$C$128))</f>
        <v/>
      </c>
      <c r="K126" s="54">
        <f>IF(_imp!$C$128="","",INDEX(_imp!$K$4:$K$4503,_imp!$C$128))</f>
        <v/>
      </c>
    </row>
    <row r="127">
      <c r="A127" s="54">
        <f>IF(_imp!$C$129="","",INDEX(_imp!$D$4:$D$4503,_imp!$C$129))</f>
        <v/>
      </c>
      <c r="B127" s="54">
        <f>IF(_imp!$C$129="","",INDEX(_imp!$E$4:$E$4503,_imp!$C$129))</f>
        <v/>
      </c>
      <c r="C127" s="54">
        <f>IF(_imp!$C$129="","",INDEX(_imp!$F$4:$F$4503,_imp!$C$129))</f>
        <v/>
      </c>
      <c r="D127" s="54">
        <f>IF(_imp!$C$129="","",INDEX(_imp!$G$4:$G$4503,_imp!$C$129))</f>
        <v/>
      </c>
      <c r="E127" s="54">
        <f>IF(_imp!$C$129="","",INDEX(_imp!$H$4:$H$4503,_imp!$C$129))</f>
        <v/>
      </c>
      <c r="F127" s="54">
        <f>IF(_imp!$C$129="","",INDEX(_imp!$I$4:$I$4503,_imp!$C$129))</f>
        <v/>
      </c>
      <c r="G127" s="54">
        <f>IF(_imp!$C$129="","",INDEX(_imp!$J$4:$J$4503,_imp!$C$129))</f>
        <v/>
      </c>
      <c r="K127" s="54">
        <f>IF(_imp!$C$129="","",INDEX(_imp!$K$4:$K$4503,_imp!$C$129))</f>
        <v/>
      </c>
    </row>
    <row r="128">
      <c r="A128" s="54">
        <f>IF(_imp!$C$130="","",INDEX(_imp!$D$4:$D$4503,_imp!$C$130))</f>
        <v/>
      </c>
      <c r="B128" s="54">
        <f>IF(_imp!$C$130="","",INDEX(_imp!$E$4:$E$4503,_imp!$C$130))</f>
        <v/>
      </c>
      <c r="C128" s="54">
        <f>IF(_imp!$C$130="","",INDEX(_imp!$F$4:$F$4503,_imp!$C$130))</f>
        <v/>
      </c>
      <c r="D128" s="54">
        <f>IF(_imp!$C$130="","",INDEX(_imp!$G$4:$G$4503,_imp!$C$130))</f>
        <v/>
      </c>
      <c r="E128" s="54">
        <f>IF(_imp!$C$130="","",INDEX(_imp!$H$4:$H$4503,_imp!$C$130))</f>
        <v/>
      </c>
      <c r="F128" s="54">
        <f>IF(_imp!$C$130="","",INDEX(_imp!$I$4:$I$4503,_imp!$C$130))</f>
        <v/>
      </c>
      <c r="G128" s="54">
        <f>IF(_imp!$C$130="","",INDEX(_imp!$J$4:$J$4503,_imp!$C$130))</f>
        <v/>
      </c>
      <c r="K128" s="54">
        <f>IF(_imp!$C$130="","",INDEX(_imp!$K$4:$K$4503,_imp!$C$130))</f>
        <v/>
      </c>
    </row>
    <row r="129">
      <c r="A129" s="54">
        <f>IF(_imp!$C$131="","",INDEX(_imp!$D$4:$D$4503,_imp!$C$131))</f>
        <v/>
      </c>
      <c r="B129" s="54">
        <f>IF(_imp!$C$131="","",INDEX(_imp!$E$4:$E$4503,_imp!$C$131))</f>
        <v/>
      </c>
      <c r="C129" s="54">
        <f>IF(_imp!$C$131="","",INDEX(_imp!$F$4:$F$4503,_imp!$C$131))</f>
        <v/>
      </c>
      <c r="D129" s="54">
        <f>IF(_imp!$C$131="","",INDEX(_imp!$G$4:$G$4503,_imp!$C$131))</f>
        <v/>
      </c>
      <c r="E129" s="54">
        <f>IF(_imp!$C$131="","",INDEX(_imp!$H$4:$H$4503,_imp!$C$131))</f>
        <v/>
      </c>
      <c r="F129" s="54">
        <f>IF(_imp!$C$131="","",INDEX(_imp!$I$4:$I$4503,_imp!$C$131))</f>
        <v/>
      </c>
      <c r="G129" s="54">
        <f>IF(_imp!$C$131="","",INDEX(_imp!$J$4:$J$4503,_imp!$C$131))</f>
        <v/>
      </c>
      <c r="K129" s="54">
        <f>IF(_imp!$C$131="","",INDEX(_imp!$K$4:$K$4503,_imp!$C$131))</f>
        <v/>
      </c>
    </row>
    <row r="130">
      <c r="A130" s="54">
        <f>IF(_imp!$C$132="","",INDEX(_imp!$D$4:$D$4503,_imp!$C$132))</f>
        <v/>
      </c>
      <c r="B130" s="54">
        <f>IF(_imp!$C$132="","",INDEX(_imp!$E$4:$E$4503,_imp!$C$132))</f>
        <v/>
      </c>
      <c r="C130" s="54">
        <f>IF(_imp!$C$132="","",INDEX(_imp!$F$4:$F$4503,_imp!$C$132))</f>
        <v/>
      </c>
      <c r="D130" s="54">
        <f>IF(_imp!$C$132="","",INDEX(_imp!$G$4:$G$4503,_imp!$C$132))</f>
        <v/>
      </c>
      <c r="E130" s="54">
        <f>IF(_imp!$C$132="","",INDEX(_imp!$H$4:$H$4503,_imp!$C$132))</f>
        <v/>
      </c>
      <c r="F130" s="54">
        <f>IF(_imp!$C$132="","",INDEX(_imp!$I$4:$I$4503,_imp!$C$132))</f>
        <v/>
      </c>
      <c r="G130" s="54">
        <f>IF(_imp!$C$132="","",INDEX(_imp!$J$4:$J$4503,_imp!$C$132))</f>
        <v/>
      </c>
      <c r="K130" s="54">
        <f>IF(_imp!$C$132="","",INDEX(_imp!$K$4:$K$4503,_imp!$C$132))</f>
        <v/>
      </c>
    </row>
    <row r="131">
      <c r="A131" s="54">
        <f>IF(_imp!$C$133="","",INDEX(_imp!$D$4:$D$4503,_imp!$C$133))</f>
        <v/>
      </c>
      <c r="B131" s="54">
        <f>IF(_imp!$C$133="","",INDEX(_imp!$E$4:$E$4503,_imp!$C$133))</f>
        <v/>
      </c>
      <c r="C131" s="54">
        <f>IF(_imp!$C$133="","",INDEX(_imp!$F$4:$F$4503,_imp!$C$133))</f>
        <v/>
      </c>
      <c r="D131" s="54">
        <f>IF(_imp!$C$133="","",INDEX(_imp!$G$4:$G$4503,_imp!$C$133))</f>
        <v/>
      </c>
      <c r="E131" s="54">
        <f>IF(_imp!$C$133="","",INDEX(_imp!$H$4:$H$4503,_imp!$C$133))</f>
        <v/>
      </c>
      <c r="F131" s="54">
        <f>IF(_imp!$C$133="","",INDEX(_imp!$I$4:$I$4503,_imp!$C$133))</f>
        <v/>
      </c>
      <c r="G131" s="54">
        <f>IF(_imp!$C$133="","",INDEX(_imp!$J$4:$J$4503,_imp!$C$133))</f>
        <v/>
      </c>
      <c r="K131" s="54">
        <f>IF(_imp!$C$133="","",INDEX(_imp!$K$4:$K$4503,_imp!$C$133))</f>
        <v/>
      </c>
    </row>
    <row r="132">
      <c r="A132" s="54">
        <f>IF(_imp!$C$134="","",INDEX(_imp!$D$4:$D$4503,_imp!$C$134))</f>
        <v/>
      </c>
      <c r="B132" s="54">
        <f>IF(_imp!$C$134="","",INDEX(_imp!$E$4:$E$4503,_imp!$C$134))</f>
        <v/>
      </c>
      <c r="C132" s="54">
        <f>IF(_imp!$C$134="","",INDEX(_imp!$F$4:$F$4503,_imp!$C$134))</f>
        <v/>
      </c>
      <c r="D132" s="54">
        <f>IF(_imp!$C$134="","",INDEX(_imp!$G$4:$G$4503,_imp!$C$134))</f>
        <v/>
      </c>
      <c r="E132" s="54">
        <f>IF(_imp!$C$134="","",INDEX(_imp!$H$4:$H$4503,_imp!$C$134))</f>
        <v/>
      </c>
      <c r="F132" s="54">
        <f>IF(_imp!$C$134="","",INDEX(_imp!$I$4:$I$4503,_imp!$C$134))</f>
        <v/>
      </c>
      <c r="G132" s="54">
        <f>IF(_imp!$C$134="","",INDEX(_imp!$J$4:$J$4503,_imp!$C$134))</f>
        <v/>
      </c>
      <c r="K132" s="54">
        <f>IF(_imp!$C$134="","",INDEX(_imp!$K$4:$K$4503,_imp!$C$134))</f>
        <v/>
      </c>
    </row>
    <row r="133">
      <c r="A133" s="54">
        <f>IF(_imp!$C$135="","",INDEX(_imp!$D$4:$D$4503,_imp!$C$135))</f>
        <v/>
      </c>
      <c r="B133" s="54">
        <f>IF(_imp!$C$135="","",INDEX(_imp!$E$4:$E$4503,_imp!$C$135))</f>
        <v/>
      </c>
      <c r="C133" s="54">
        <f>IF(_imp!$C$135="","",INDEX(_imp!$F$4:$F$4503,_imp!$C$135))</f>
        <v/>
      </c>
      <c r="D133" s="54">
        <f>IF(_imp!$C$135="","",INDEX(_imp!$G$4:$G$4503,_imp!$C$135))</f>
        <v/>
      </c>
      <c r="E133" s="54">
        <f>IF(_imp!$C$135="","",INDEX(_imp!$H$4:$H$4503,_imp!$C$135))</f>
        <v/>
      </c>
      <c r="F133" s="54">
        <f>IF(_imp!$C$135="","",INDEX(_imp!$I$4:$I$4503,_imp!$C$135))</f>
        <v/>
      </c>
      <c r="G133" s="54">
        <f>IF(_imp!$C$135="","",INDEX(_imp!$J$4:$J$4503,_imp!$C$135))</f>
        <v/>
      </c>
      <c r="K133" s="54">
        <f>IF(_imp!$C$135="","",INDEX(_imp!$K$4:$K$4503,_imp!$C$135))</f>
        <v/>
      </c>
    </row>
    <row r="134">
      <c r="A134" s="54">
        <f>IF(_imp!$C$136="","",INDEX(_imp!$D$4:$D$4503,_imp!$C$136))</f>
        <v/>
      </c>
      <c r="B134" s="54">
        <f>IF(_imp!$C$136="","",INDEX(_imp!$E$4:$E$4503,_imp!$C$136))</f>
        <v/>
      </c>
      <c r="C134" s="54">
        <f>IF(_imp!$C$136="","",INDEX(_imp!$F$4:$F$4503,_imp!$C$136))</f>
        <v/>
      </c>
      <c r="D134" s="54">
        <f>IF(_imp!$C$136="","",INDEX(_imp!$G$4:$G$4503,_imp!$C$136))</f>
        <v/>
      </c>
      <c r="E134" s="54">
        <f>IF(_imp!$C$136="","",INDEX(_imp!$H$4:$H$4503,_imp!$C$136))</f>
        <v/>
      </c>
      <c r="F134" s="54">
        <f>IF(_imp!$C$136="","",INDEX(_imp!$I$4:$I$4503,_imp!$C$136))</f>
        <v/>
      </c>
      <c r="G134" s="54">
        <f>IF(_imp!$C$136="","",INDEX(_imp!$J$4:$J$4503,_imp!$C$136))</f>
        <v/>
      </c>
      <c r="K134" s="54">
        <f>IF(_imp!$C$136="","",INDEX(_imp!$K$4:$K$4503,_imp!$C$136))</f>
        <v/>
      </c>
    </row>
    <row r="135">
      <c r="A135" s="54">
        <f>IF(_imp!$C$137="","",INDEX(_imp!$D$4:$D$4503,_imp!$C$137))</f>
        <v/>
      </c>
      <c r="B135" s="54">
        <f>IF(_imp!$C$137="","",INDEX(_imp!$E$4:$E$4503,_imp!$C$137))</f>
        <v/>
      </c>
      <c r="C135" s="54">
        <f>IF(_imp!$C$137="","",INDEX(_imp!$F$4:$F$4503,_imp!$C$137))</f>
        <v/>
      </c>
      <c r="D135" s="54">
        <f>IF(_imp!$C$137="","",INDEX(_imp!$G$4:$G$4503,_imp!$C$137))</f>
        <v/>
      </c>
      <c r="E135" s="54">
        <f>IF(_imp!$C$137="","",INDEX(_imp!$H$4:$H$4503,_imp!$C$137))</f>
        <v/>
      </c>
      <c r="F135" s="54">
        <f>IF(_imp!$C$137="","",INDEX(_imp!$I$4:$I$4503,_imp!$C$137))</f>
        <v/>
      </c>
      <c r="G135" s="54">
        <f>IF(_imp!$C$137="","",INDEX(_imp!$J$4:$J$4503,_imp!$C$137))</f>
        <v/>
      </c>
      <c r="K135" s="54">
        <f>IF(_imp!$C$137="","",INDEX(_imp!$K$4:$K$4503,_imp!$C$137))</f>
        <v/>
      </c>
    </row>
    <row r="136">
      <c r="A136" s="54">
        <f>IF(_imp!$C$138="","",INDEX(_imp!$D$4:$D$4503,_imp!$C$138))</f>
        <v/>
      </c>
      <c r="B136" s="54">
        <f>IF(_imp!$C$138="","",INDEX(_imp!$E$4:$E$4503,_imp!$C$138))</f>
        <v/>
      </c>
      <c r="C136" s="54">
        <f>IF(_imp!$C$138="","",INDEX(_imp!$F$4:$F$4503,_imp!$C$138))</f>
        <v/>
      </c>
      <c r="D136" s="54">
        <f>IF(_imp!$C$138="","",INDEX(_imp!$G$4:$G$4503,_imp!$C$138))</f>
        <v/>
      </c>
      <c r="E136" s="54">
        <f>IF(_imp!$C$138="","",INDEX(_imp!$H$4:$H$4503,_imp!$C$138))</f>
        <v/>
      </c>
      <c r="F136" s="54">
        <f>IF(_imp!$C$138="","",INDEX(_imp!$I$4:$I$4503,_imp!$C$138))</f>
        <v/>
      </c>
      <c r="G136" s="54">
        <f>IF(_imp!$C$138="","",INDEX(_imp!$J$4:$J$4503,_imp!$C$138))</f>
        <v/>
      </c>
      <c r="K136" s="54">
        <f>IF(_imp!$C$138="","",INDEX(_imp!$K$4:$K$4503,_imp!$C$138))</f>
        <v/>
      </c>
    </row>
    <row r="137">
      <c r="A137" s="54">
        <f>IF(_imp!$C$139="","",INDEX(_imp!$D$4:$D$4503,_imp!$C$139))</f>
        <v/>
      </c>
      <c r="B137" s="54">
        <f>IF(_imp!$C$139="","",INDEX(_imp!$E$4:$E$4503,_imp!$C$139))</f>
        <v/>
      </c>
      <c r="C137" s="54">
        <f>IF(_imp!$C$139="","",INDEX(_imp!$F$4:$F$4503,_imp!$C$139))</f>
        <v/>
      </c>
      <c r="D137" s="54">
        <f>IF(_imp!$C$139="","",INDEX(_imp!$G$4:$G$4503,_imp!$C$139))</f>
        <v/>
      </c>
      <c r="E137" s="54">
        <f>IF(_imp!$C$139="","",INDEX(_imp!$H$4:$H$4503,_imp!$C$139))</f>
        <v/>
      </c>
      <c r="F137" s="54">
        <f>IF(_imp!$C$139="","",INDEX(_imp!$I$4:$I$4503,_imp!$C$139))</f>
        <v/>
      </c>
      <c r="G137" s="54">
        <f>IF(_imp!$C$139="","",INDEX(_imp!$J$4:$J$4503,_imp!$C$139))</f>
        <v/>
      </c>
      <c r="K137" s="54">
        <f>IF(_imp!$C$139="","",INDEX(_imp!$K$4:$K$4503,_imp!$C$139))</f>
        <v/>
      </c>
    </row>
    <row r="138">
      <c r="A138" s="54">
        <f>IF(_imp!$C$140="","",INDEX(_imp!$D$4:$D$4503,_imp!$C$140))</f>
        <v/>
      </c>
      <c r="B138" s="54">
        <f>IF(_imp!$C$140="","",INDEX(_imp!$E$4:$E$4503,_imp!$C$140))</f>
        <v/>
      </c>
      <c r="C138" s="54">
        <f>IF(_imp!$C$140="","",INDEX(_imp!$F$4:$F$4503,_imp!$C$140))</f>
        <v/>
      </c>
      <c r="D138" s="54">
        <f>IF(_imp!$C$140="","",INDEX(_imp!$G$4:$G$4503,_imp!$C$140))</f>
        <v/>
      </c>
      <c r="E138" s="54">
        <f>IF(_imp!$C$140="","",INDEX(_imp!$H$4:$H$4503,_imp!$C$140))</f>
        <v/>
      </c>
      <c r="F138" s="54">
        <f>IF(_imp!$C$140="","",INDEX(_imp!$I$4:$I$4503,_imp!$C$140))</f>
        <v/>
      </c>
      <c r="G138" s="54">
        <f>IF(_imp!$C$140="","",INDEX(_imp!$J$4:$J$4503,_imp!$C$140))</f>
        <v/>
      </c>
      <c r="K138" s="54">
        <f>IF(_imp!$C$140="","",INDEX(_imp!$K$4:$K$4503,_imp!$C$140))</f>
        <v/>
      </c>
    </row>
    <row r="139">
      <c r="A139" s="54">
        <f>IF(_imp!$C$141="","",INDEX(_imp!$D$4:$D$4503,_imp!$C$141))</f>
        <v/>
      </c>
      <c r="B139" s="54">
        <f>IF(_imp!$C$141="","",INDEX(_imp!$E$4:$E$4503,_imp!$C$141))</f>
        <v/>
      </c>
      <c r="C139" s="54">
        <f>IF(_imp!$C$141="","",INDEX(_imp!$F$4:$F$4503,_imp!$C$141))</f>
        <v/>
      </c>
      <c r="D139" s="54">
        <f>IF(_imp!$C$141="","",INDEX(_imp!$G$4:$G$4503,_imp!$C$141))</f>
        <v/>
      </c>
      <c r="E139" s="54">
        <f>IF(_imp!$C$141="","",INDEX(_imp!$H$4:$H$4503,_imp!$C$141))</f>
        <v/>
      </c>
      <c r="F139" s="54">
        <f>IF(_imp!$C$141="","",INDEX(_imp!$I$4:$I$4503,_imp!$C$141))</f>
        <v/>
      </c>
      <c r="G139" s="54">
        <f>IF(_imp!$C$141="","",INDEX(_imp!$J$4:$J$4503,_imp!$C$141))</f>
        <v/>
      </c>
      <c r="K139" s="54">
        <f>IF(_imp!$C$141="","",INDEX(_imp!$K$4:$K$4503,_imp!$C$141))</f>
        <v/>
      </c>
    </row>
    <row r="140">
      <c r="A140" s="54">
        <f>IF(_imp!$C$142="","",INDEX(_imp!$D$4:$D$4503,_imp!$C$142))</f>
        <v/>
      </c>
      <c r="B140" s="54">
        <f>IF(_imp!$C$142="","",INDEX(_imp!$E$4:$E$4503,_imp!$C$142))</f>
        <v/>
      </c>
      <c r="C140" s="54">
        <f>IF(_imp!$C$142="","",INDEX(_imp!$F$4:$F$4503,_imp!$C$142))</f>
        <v/>
      </c>
      <c r="D140" s="54">
        <f>IF(_imp!$C$142="","",INDEX(_imp!$G$4:$G$4503,_imp!$C$142))</f>
        <v/>
      </c>
      <c r="E140" s="54">
        <f>IF(_imp!$C$142="","",INDEX(_imp!$H$4:$H$4503,_imp!$C$142))</f>
        <v/>
      </c>
      <c r="F140" s="54">
        <f>IF(_imp!$C$142="","",INDEX(_imp!$I$4:$I$4503,_imp!$C$142))</f>
        <v/>
      </c>
      <c r="G140" s="54">
        <f>IF(_imp!$C$142="","",INDEX(_imp!$J$4:$J$4503,_imp!$C$142))</f>
        <v/>
      </c>
      <c r="K140" s="54">
        <f>IF(_imp!$C$142="","",INDEX(_imp!$K$4:$K$4503,_imp!$C$142))</f>
        <v/>
      </c>
    </row>
    <row r="141">
      <c r="A141" s="54">
        <f>IF(_imp!$C$143="","",INDEX(_imp!$D$4:$D$4503,_imp!$C$143))</f>
        <v/>
      </c>
      <c r="B141" s="54">
        <f>IF(_imp!$C$143="","",INDEX(_imp!$E$4:$E$4503,_imp!$C$143))</f>
        <v/>
      </c>
      <c r="C141" s="54">
        <f>IF(_imp!$C$143="","",INDEX(_imp!$F$4:$F$4503,_imp!$C$143))</f>
        <v/>
      </c>
      <c r="D141" s="54">
        <f>IF(_imp!$C$143="","",INDEX(_imp!$G$4:$G$4503,_imp!$C$143))</f>
        <v/>
      </c>
      <c r="E141" s="54">
        <f>IF(_imp!$C$143="","",INDEX(_imp!$H$4:$H$4503,_imp!$C$143))</f>
        <v/>
      </c>
      <c r="F141" s="54">
        <f>IF(_imp!$C$143="","",INDEX(_imp!$I$4:$I$4503,_imp!$C$143))</f>
        <v/>
      </c>
      <c r="G141" s="54">
        <f>IF(_imp!$C$143="","",INDEX(_imp!$J$4:$J$4503,_imp!$C$143))</f>
        <v/>
      </c>
      <c r="K141" s="54">
        <f>IF(_imp!$C$143="","",INDEX(_imp!$K$4:$K$4503,_imp!$C$143))</f>
        <v/>
      </c>
    </row>
    <row r="142">
      <c r="A142" s="54">
        <f>IF(_imp!$C$144="","",INDEX(_imp!$D$4:$D$4503,_imp!$C$144))</f>
        <v/>
      </c>
      <c r="B142" s="54">
        <f>IF(_imp!$C$144="","",INDEX(_imp!$E$4:$E$4503,_imp!$C$144))</f>
        <v/>
      </c>
      <c r="C142" s="54">
        <f>IF(_imp!$C$144="","",INDEX(_imp!$F$4:$F$4503,_imp!$C$144))</f>
        <v/>
      </c>
      <c r="D142" s="54">
        <f>IF(_imp!$C$144="","",INDEX(_imp!$G$4:$G$4503,_imp!$C$144))</f>
        <v/>
      </c>
      <c r="E142" s="54">
        <f>IF(_imp!$C$144="","",INDEX(_imp!$H$4:$H$4503,_imp!$C$144))</f>
        <v/>
      </c>
      <c r="F142" s="54">
        <f>IF(_imp!$C$144="","",INDEX(_imp!$I$4:$I$4503,_imp!$C$144))</f>
        <v/>
      </c>
      <c r="G142" s="54">
        <f>IF(_imp!$C$144="","",INDEX(_imp!$J$4:$J$4503,_imp!$C$144))</f>
        <v/>
      </c>
      <c r="K142" s="54">
        <f>IF(_imp!$C$144="","",INDEX(_imp!$K$4:$K$4503,_imp!$C$144))</f>
        <v/>
      </c>
    </row>
    <row r="143">
      <c r="A143" s="54">
        <f>IF(_imp!$C$145="","",INDEX(_imp!$D$4:$D$4503,_imp!$C$145))</f>
        <v/>
      </c>
      <c r="B143" s="54">
        <f>IF(_imp!$C$145="","",INDEX(_imp!$E$4:$E$4503,_imp!$C$145))</f>
        <v/>
      </c>
      <c r="C143" s="54">
        <f>IF(_imp!$C$145="","",INDEX(_imp!$F$4:$F$4503,_imp!$C$145))</f>
        <v/>
      </c>
      <c r="D143" s="54">
        <f>IF(_imp!$C$145="","",INDEX(_imp!$G$4:$G$4503,_imp!$C$145))</f>
        <v/>
      </c>
      <c r="E143" s="54">
        <f>IF(_imp!$C$145="","",INDEX(_imp!$H$4:$H$4503,_imp!$C$145))</f>
        <v/>
      </c>
      <c r="F143" s="54">
        <f>IF(_imp!$C$145="","",INDEX(_imp!$I$4:$I$4503,_imp!$C$145))</f>
        <v/>
      </c>
      <c r="G143" s="54">
        <f>IF(_imp!$C$145="","",INDEX(_imp!$J$4:$J$4503,_imp!$C$145))</f>
        <v/>
      </c>
      <c r="K143" s="54">
        <f>IF(_imp!$C$145="","",INDEX(_imp!$K$4:$K$4503,_imp!$C$145))</f>
        <v/>
      </c>
    </row>
    <row r="144">
      <c r="A144" s="54">
        <f>IF(_imp!$C$146="","",INDEX(_imp!$D$4:$D$4503,_imp!$C$146))</f>
        <v/>
      </c>
      <c r="B144" s="54">
        <f>IF(_imp!$C$146="","",INDEX(_imp!$E$4:$E$4503,_imp!$C$146))</f>
        <v/>
      </c>
      <c r="C144" s="54">
        <f>IF(_imp!$C$146="","",INDEX(_imp!$F$4:$F$4503,_imp!$C$146))</f>
        <v/>
      </c>
      <c r="D144" s="54">
        <f>IF(_imp!$C$146="","",INDEX(_imp!$G$4:$G$4503,_imp!$C$146))</f>
        <v/>
      </c>
      <c r="E144" s="54">
        <f>IF(_imp!$C$146="","",INDEX(_imp!$H$4:$H$4503,_imp!$C$146))</f>
        <v/>
      </c>
      <c r="F144" s="54">
        <f>IF(_imp!$C$146="","",INDEX(_imp!$I$4:$I$4503,_imp!$C$146))</f>
        <v/>
      </c>
      <c r="G144" s="54">
        <f>IF(_imp!$C$146="","",INDEX(_imp!$J$4:$J$4503,_imp!$C$146))</f>
        <v/>
      </c>
      <c r="K144" s="54">
        <f>IF(_imp!$C$146="","",INDEX(_imp!$K$4:$K$4503,_imp!$C$146))</f>
        <v/>
      </c>
    </row>
    <row r="145">
      <c r="A145" s="54">
        <f>IF(_imp!$C$147="","",INDEX(_imp!$D$4:$D$4503,_imp!$C$147))</f>
        <v/>
      </c>
      <c r="B145" s="54">
        <f>IF(_imp!$C$147="","",INDEX(_imp!$E$4:$E$4503,_imp!$C$147))</f>
        <v/>
      </c>
      <c r="C145" s="54">
        <f>IF(_imp!$C$147="","",INDEX(_imp!$F$4:$F$4503,_imp!$C$147))</f>
        <v/>
      </c>
      <c r="D145" s="54">
        <f>IF(_imp!$C$147="","",INDEX(_imp!$G$4:$G$4503,_imp!$C$147))</f>
        <v/>
      </c>
      <c r="E145" s="54">
        <f>IF(_imp!$C$147="","",INDEX(_imp!$H$4:$H$4503,_imp!$C$147))</f>
        <v/>
      </c>
      <c r="F145" s="54">
        <f>IF(_imp!$C$147="","",INDEX(_imp!$I$4:$I$4503,_imp!$C$147))</f>
        <v/>
      </c>
      <c r="G145" s="54">
        <f>IF(_imp!$C$147="","",INDEX(_imp!$J$4:$J$4503,_imp!$C$147))</f>
        <v/>
      </c>
      <c r="K145" s="54">
        <f>IF(_imp!$C$147="","",INDEX(_imp!$K$4:$K$4503,_imp!$C$147))</f>
        <v/>
      </c>
    </row>
    <row r="146">
      <c r="A146" s="54">
        <f>IF(_imp!$C$148="","",INDEX(_imp!$D$4:$D$4503,_imp!$C$148))</f>
        <v/>
      </c>
      <c r="B146" s="54">
        <f>IF(_imp!$C$148="","",INDEX(_imp!$E$4:$E$4503,_imp!$C$148))</f>
        <v/>
      </c>
      <c r="C146" s="54">
        <f>IF(_imp!$C$148="","",INDEX(_imp!$F$4:$F$4503,_imp!$C$148))</f>
        <v/>
      </c>
      <c r="D146" s="54">
        <f>IF(_imp!$C$148="","",INDEX(_imp!$G$4:$G$4503,_imp!$C$148))</f>
        <v/>
      </c>
      <c r="E146" s="54">
        <f>IF(_imp!$C$148="","",INDEX(_imp!$H$4:$H$4503,_imp!$C$148))</f>
        <v/>
      </c>
      <c r="F146" s="54">
        <f>IF(_imp!$C$148="","",INDEX(_imp!$I$4:$I$4503,_imp!$C$148))</f>
        <v/>
      </c>
      <c r="G146" s="54">
        <f>IF(_imp!$C$148="","",INDEX(_imp!$J$4:$J$4503,_imp!$C$148))</f>
        <v/>
      </c>
      <c r="K146" s="54">
        <f>IF(_imp!$C$148="","",INDEX(_imp!$K$4:$K$4503,_imp!$C$148))</f>
        <v/>
      </c>
    </row>
    <row r="147">
      <c r="A147" s="54">
        <f>IF(_imp!$C$149="","",INDEX(_imp!$D$4:$D$4503,_imp!$C$149))</f>
        <v/>
      </c>
      <c r="B147" s="54">
        <f>IF(_imp!$C$149="","",INDEX(_imp!$E$4:$E$4503,_imp!$C$149))</f>
        <v/>
      </c>
      <c r="C147" s="54">
        <f>IF(_imp!$C$149="","",INDEX(_imp!$F$4:$F$4503,_imp!$C$149))</f>
        <v/>
      </c>
      <c r="D147" s="54">
        <f>IF(_imp!$C$149="","",INDEX(_imp!$G$4:$G$4503,_imp!$C$149))</f>
        <v/>
      </c>
      <c r="E147" s="54">
        <f>IF(_imp!$C$149="","",INDEX(_imp!$H$4:$H$4503,_imp!$C$149))</f>
        <v/>
      </c>
      <c r="F147" s="54">
        <f>IF(_imp!$C$149="","",INDEX(_imp!$I$4:$I$4503,_imp!$C$149))</f>
        <v/>
      </c>
      <c r="G147" s="54">
        <f>IF(_imp!$C$149="","",INDEX(_imp!$J$4:$J$4503,_imp!$C$149))</f>
        <v/>
      </c>
      <c r="K147" s="54">
        <f>IF(_imp!$C$149="","",INDEX(_imp!$K$4:$K$4503,_imp!$C$149))</f>
        <v/>
      </c>
    </row>
    <row r="148">
      <c r="A148" s="54">
        <f>IF(_imp!$C$150="","",INDEX(_imp!$D$4:$D$4503,_imp!$C$150))</f>
        <v/>
      </c>
      <c r="B148" s="54">
        <f>IF(_imp!$C$150="","",INDEX(_imp!$E$4:$E$4503,_imp!$C$150))</f>
        <v/>
      </c>
      <c r="C148" s="54">
        <f>IF(_imp!$C$150="","",INDEX(_imp!$F$4:$F$4503,_imp!$C$150))</f>
        <v/>
      </c>
      <c r="D148" s="54">
        <f>IF(_imp!$C$150="","",INDEX(_imp!$G$4:$G$4503,_imp!$C$150))</f>
        <v/>
      </c>
      <c r="E148" s="54">
        <f>IF(_imp!$C$150="","",INDEX(_imp!$H$4:$H$4503,_imp!$C$150))</f>
        <v/>
      </c>
      <c r="F148" s="54">
        <f>IF(_imp!$C$150="","",INDEX(_imp!$I$4:$I$4503,_imp!$C$150))</f>
        <v/>
      </c>
      <c r="G148" s="54">
        <f>IF(_imp!$C$150="","",INDEX(_imp!$J$4:$J$4503,_imp!$C$150))</f>
        <v/>
      </c>
      <c r="K148" s="54">
        <f>IF(_imp!$C$150="","",INDEX(_imp!$K$4:$K$4503,_imp!$C$150))</f>
        <v/>
      </c>
    </row>
    <row r="149">
      <c r="A149" s="54">
        <f>IF(_imp!$C$151="","",INDEX(_imp!$D$4:$D$4503,_imp!$C$151))</f>
        <v/>
      </c>
      <c r="B149" s="54">
        <f>IF(_imp!$C$151="","",INDEX(_imp!$E$4:$E$4503,_imp!$C$151))</f>
        <v/>
      </c>
      <c r="C149" s="54">
        <f>IF(_imp!$C$151="","",INDEX(_imp!$F$4:$F$4503,_imp!$C$151))</f>
        <v/>
      </c>
      <c r="D149" s="54">
        <f>IF(_imp!$C$151="","",INDEX(_imp!$G$4:$G$4503,_imp!$C$151))</f>
        <v/>
      </c>
      <c r="E149" s="54">
        <f>IF(_imp!$C$151="","",INDEX(_imp!$H$4:$H$4503,_imp!$C$151))</f>
        <v/>
      </c>
      <c r="F149" s="54">
        <f>IF(_imp!$C$151="","",INDEX(_imp!$I$4:$I$4503,_imp!$C$151))</f>
        <v/>
      </c>
      <c r="G149" s="54">
        <f>IF(_imp!$C$151="","",INDEX(_imp!$J$4:$J$4503,_imp!$C$151))</f>
        <v/>
      </c>
      <c r="K149" s="54">
        <f>IF(_imp!$C$151="","",INDEX(_imp!$K$4:$K$4503,_imp!$C$151))</f>
        <v/>
      </c>
    </row>
    <row r="150">
      <c r="A150" s="54">
        <f>IF(_imp!$C$152="","",INDEX(_imp!$D$4:$D$4503,_imp!$C$152))</f>
        <v/>
      </c>
      <c r="B150" s="54">
        <f>IF(_imp!$C$152="","",INDEX(_imp!$E$4:$E$4503,_imp!$C$152))</f>
        <v/>
      </c>
      <c r="C150" s="54">
        <f>IF(_imp!$C$152="","",INDEX(_imp!$F$4:$F$4503,_imp!$C$152))</f>
        <v/>
      </c>
      <c r="D150" s="54">
        <f>IF(_imp!$C$152="","",INDEX(_imp!$G$4:$G$4503,_imp!$C$152))</f>
        <v/>
      </c>
      <c r="E150" s="54">
        <f>IF(_imp!$C$152="","",INDEX(_imp!$H$4:$H$4503,_imp!$C$152))</f>
        <v/>
      </c>
      <c r="F150" s="54">
        <f>IF(_imp!$C$152="","",INDEX(_imp!$I$4:$I$4503,_imp!$C$152))</f>
        <v/>
      </c>
      <c r="G150" s="54">
        <f>IF(_imp!$C$152="","",INDEX(_imp!$J$4:$J$4503,_imp!$C$152))</f>
        <v/>
      </c>
      <c r="K150" s="54">
        <f>IF(_imp!$C$152="","",INDEX(_imp!$K$4:$K$4503,_imp!$C$152))</f>
        <v/>
      </c>
    </row>
    <row r="151">
      <c r="A151" s="54">
        <f>IF(_imp!$C$153="","",INDEX(_imp!$D$4:$D$4503,_imp!$C$153))</f>
        <v/>
      </c>
      <c r="B151" s="54">
        <f>IF(_imp!$C$153="","",INDEX(_imp!$E$4:$E$4503,_imp!$C$153))</f>
        <v/>
      </c>
      <c r="C151" s="54">
        <f>IF(_imp!$C$153="","",INDEX(_imp!$F$4:$F$4503,_imp!$C$153))</f>
        <v/>
      </c>
      <c r="D151" s="54">
        <f>IF(_imp!$C$153="","",INDEX(_imp!$G$4:$G$4503,_imp!$C$153))</f>
        <v/>
      </c>
      <c r="E151" s="54">
        <f>IF(_imp!$C$153="","",INDEX(_imp!$H$4:$H$4503,_imp!$C$153))</f>
        <v/>
      </c>
      <c r="F151" s="54">
        <f>IF(_imp!$C$153="","",INDEX(_imp!$I$4:$I$4503,_imp!$C$153))</f>
        <v/>
      </c>
      <c r="G151" s="54">
        <f>IF(_imp!$C$153="","",INDEX(_imp!$J$4:$J$4503,_imp!$C$153))</f>
        <v/>
      </c>
      <c r="K151" s="54">
        <f>IF(_imp!$C$153="","",INDEX(_imp!$K$4:$K$4503,_imp!$C$153))</f>
        <v/>
      </c>
    </row>
    <row r="152">
      <c r="A152" s="54">
        <f>IF(_imp!$C$154="","",INDEX(_imp!$D$4:$D$4503,_imp!$C$154))</f>
        <v/>
      </c>
      <c r="B152" s="54">
        <f>IF(_imp!$C$154="","",INDEX(_imp!$E$4:$E$4503,_imp!$C$154))</f>
        <v/>
      </c>
      <c r="C152" s="54">
        <f>IF(_imp!$C$154="","",INDEX(_imp!$F$4:$F$4503,_imp!$C$154))</f>
        <v/>
      </c>
      <c r="D152" s="54">
        <f>IF(_imp!$C$154="","",INDEX(_imp!$G$4:$G$4503,_imp!$C$154))</f>
        <v/>
      </c>
      <c r="E152" s="54">
        <f>IF(_imp!$C$154="","",INDEX(_imp!$H$4:$H$4503,_imp!$C$154))</f>
        <v/>
      </c>
      <c r="F152" s="54">
        <f>IF(_imp!$C$154="","",INDEX(_imp!$I$4:$I$4503,_imp!$C$154))</f>
        <v/>
      </c>
      <c r="G152" s="54">
        <f>IF(_imp!$C$154="","",INDEX(_imp!$J$4:$J$4503,_imp!$C$154))</f>
        <v/>
      </c>
      <c r="K152" s="54">
        <f>IF(_imp!$C$154="","",INDEX(_imp!$K$4:$K$4503,_imp!$C$154))</f>
        <v/>
      </c>
    </row>
    <row r="153">
      <c r="A153" s="54">
        <f>IF(_imp!$C$155="","",INDEX(_imp!$D$4:$D$4503,_imp!$C$155))</f>
        <v/>
      </c>
      <c r="B153" s="54">
        <f>IF(_imp!$C$155="","",INDEX(_imp!$E$4:$E$4503,_imp!$C$155))</f>
        <v/>
      </c>
      <c r="C153" s="54">
        <f>IF(_imp!$C$155="","",INDEX(_imp!$F$4:$F$4503,_imp!$C$155))</f>
        <v/>
      </c>
      <c r="D153" s="54">
        <f>IF(_imp!$C$155="","",INDEX(_imp!$G$4:$G$4503,_imp!$C$155))</f>
        <v/>
      </c>
      <c r="E153" s="54">
        <f>IF(_imp!$C$155="","",INDEX(_imp!$H$4:$H$4503,_imp!$C$155))</f>
        <v/>
      </c>
      <c r="F153" s="54">
        <f>IF(_imp!$C$155="","",INDEX(_imp!$I$4:$I$4503,_imp!$C$155))</f>
        <v/>
      </c>
      <c r="G153" s="54">
        <f>IF(_imp!$C$155="","",INDEX(_imp!$J$4:$J$4503,_imp!$C$155))</f>
        <v/>
      </c>
      <c r="K153" s="54">
        <f>IF(_imp!$C$155="","",INDEX(_imp!$K$4:$K$4503,_imp!$C$155))</f>
        <v/>
      </c>
    </row>
    <row r="154">
      <c r="A154" s="54">
        <f>IF(_imp!$C$156="","",INDEX(_imp!$D$4:$D$4503,_imp!$C$156))</f>
        <v/>
      </c>
      <c r="B154" s="54">
        <f>IF(_imp!$C$156="","",INDEX(_imp!$E$4:$E$4503,_imp!$C$156))</f>
        <v/>
      </c>
      <c r="C154" s="54">
        <f>IF(_imp!$C$156="","",INDEX(_imp!$F$4:$F$4503,_imp!$C$156))</f>
        <v/>
      </c>
      <c r="D154" s="54">
        <f>IF(_imp!$C$156="","",INDEX(_imp!$G$4:$G$4503,_imp!$C$156))</f>
        <v/>
      </c>
      <c r="E154" s="54">
        <f>IF(_imp!$C$156="","",INDEX(_imp!$H$4:$H$4503,_imp!$C$156))</f>
        <v/>
      </c>
      <c r="F154" s="54">
        <f>IF(_imp!$C$156="","",INDEX(_imp!$I$4:$I$4503,_imp!$C$156))</f>
        <v/>
      </c>
      <c r="G154" s="54">
        <f>IF(_imp!$C$156="","",INDEX(_imp!$J$4:$J$4503,_imp!$C$156))</f>
        <v/>
      </c>
      <c r="K154" s="54">
        <f>IF(_imp!$C$156="","",INDEX(_imp!$K$4:$K$4503,_imp!$C$156))</f>
        <v/>
      </c>
    </row>
    <row r="155">
      <c r="A155" s="54">
        <f>IF(_imp!$C$157="","",INDEX(_imp!$D$4:$D$4503,_imp!$C$157))</f>
        <v/>
      </c>
      <c r="B155" s="54">
        <f>IF(_imp!$C$157="","",INDEX(_imp!$E$4:$E$4503,_imp!$C$157))</f>
        <v/>
      </c>
      <c r="C155" s="54">
        <f>IF(_imp!$C$157="","",INDEX(_imp!$F$4:$F$4503,_imp!$C$157))</f>
        <v/>
      </c>
      <c r="D155" s="54">
        <f>IF(_imp!$C$157="","",INDEX(_imp!$G$4:$G$4503,_imp!$C$157))</f>
        <v/>
      </c>
      <c r="E155" s="54">
        <f>IF(_imp!$C$157="","",INDEX(_imp!$H$4:$H$4503,_imp!$C$157))</f>
        <v/>
      </c>
      <c r="F155" s="54">
        <f>IF(_imp!$C$157="","",INDEX(_imp!$I$4:$I$4503,_imp!$C$157))</f>
        <v/>
      </c>
      <c r="G155" s="54">
        <f>IF(_imp!$C$157="","",INDEX(_imp!$J$4:$J$4503,_imp!$C$157))</f>
        <v/>
      </c>
      <c r="K155" s="54">
        <f>IF(_imp!$C$157="","",INDEX(_imp!$K$4:$K$4503,_imp!$C$157))</f>
        <v/>
      </c>
    </row>
    <row r="156">
      <c r="A156" s="54">
        <f>IF(_imp!$C$158="","",INDEX(_imp!$D$4:$D$4503,_imp!$C$158))</f>
        <v/>
      </c>
      <c r="B156" s="54">
        <f>IF(_imp!$C$158="","",INDEX(_imp!$E$4:$E$4503,_imp!$C$158))</f>
        <v/>
      </c>
      <c r="C156" s="54">
        <f>IF(_imp!$C$158="","",INDEX(_imp!$F$4:$F$4503,_imp!$C$158))</f>
        <v/>
      </c>
      <c r="D156" s="54">
        <f>IF(_imp!$C$158="","",INDEX(_imp!$G$4:$G$4503,_imp!$C$158))</f>
        <v/>
      </c>
      <c r="E156" s="54">
        <f>IF(_imp!$C$158="","",INDEX(_imp!$H$4:$H$4503,_imp!$C$158))</f>
        <v/>
      </c>
      <c r="F156" s="54">
        <f>IF(_imp!$C$158="","",INDEX(_imp!$I$4:$I$4503,_imp!$C$158))</f>
        <v/>
      </c>
      <c r="G156" s="54">
        <f>IF(_imp!$C$158="","",INDEX(_imp!$J$4:$J$4503,_imp!$C$158))</f>
        <v/>
      </c>
      <c r="K156" s="54">
        <f>IF(_imp!$C$158="","",INDEX(_imp!$K$4:$K$4503,_imp!$C$158))</f>
        <v/>
      </c>
    </row>
    <row r="157">
      <c r="A157" s="54">
        <f>IF(_imp!$C$159="","",INDEX(_imp!$D$4:$D$4503,_imp!$C$159))</f>
        <v/>
      </c>
      <c r="B157" s="54">
        <f>IF(_imp!$C$159="","",INDEX(_imp!$E$4:$E$4503,_imp!$C$159))</f>
        <v/>
      </c>
      <c r="C157" s="54">
        <f>IF(_imp!$C$159="","",INDEX(_imp!$F$4:$F$4503,_imp!$C$159))</f>
        <v/>
      </c>
      <c r="D157" s="54">
        <f>IF(_imp!$C$159="","",INDEX(_imp!$G$4:$G$4503,_imp!$C$159))</f>
        <v/>
      </c>
      <c r="E157" s="54">
        <f>IF(_imp!$C$159="","",INDEX(_imp!$H$4:$H$4503,_imp!$C$159))</f>
        <v/>
      </c>
      <c r="F157" s="54">
        <f>IF(_imp!$C$159="","",INDEX(_imp!$I$4:$I$4503,_imp!$C$159))</f>
        <v/>
      </c>
      <c r="G157" s="54">
        <f>IF(_imp!$C$159="","",INDEX(_imp!$J$4:$J$4503,_imp!$C$159))</f>
        <v/>
      </c>
      <c r="K157" s="54">
        <f>IF(_imp!$C$159="","",INDEX(_imp!$K$4:$K$4503,_imp!$C$159))</f>
        <v/>
      </c>
    </row>
    <row r="158">
      <c r="A158" s="54">
        <f>IF(_imp!$C$160="","",INDEX(_imp!$D$4:$D$4503,_imp!$C$160))</f>
        <v/>
      </c>
      <c r="B158" s="54">
        <f>IF(_imp!$C$160="","",INDEX(_imp!$E$4:$E$4503,_imp!$C$160))</f>
        <v/>
      </c>
      <c r="C158" s="54">
        <f>IF(_imp!$C$160="","",INDEX(_imp!$F$4:$F$4503,_imp!$C$160))</f>
        <v/>
      </c>
      <c r="D158" s="54">
        <f>IF(_imp!$C$160="","",INDEX(_imp!$G$4:$G$4503,_imp!$C$160))</f>
        <v/>
      </c>
      <c r="E158" s="54">
        <f>IF(_imp!$C$160="","",INDEX(_imp!$H$4:$H$4503,_imp!$C$160))</f>
        <v/>
      </c>
      <c r="F158" s="54">
        <f>IF(_imp!$C$160="","",INDEX(_imp!$I$4:$I$4503,_imp!$C$160))</f>
        <v/>
      </c>
      <c r="G158" s="54">
        <f>IF(_imp!$C$160="","",INDEX(_imp!$J$4:$J$4503,_imp!$C$160))</f>
        <v/>
      </c>
      <c r="K158" s="54">
        <f>IF(_imp!$C$160="","",INDEX(_imp!$K$4:$K$4503,_imp!$C$160))</f>
        <v/>
      </c>
    </row>
    <row r="159">
      <c r="A159" s="54">
        <f>IF(_imp!$C$161="","",INDEX(_imp!$D$4:$D$4503,_imp!$C$161))</f>
        <v/>
      </c>
      <c r="B159" s="54">
        <f>IF(_imp!$C$161="","",INDEX(_imp!$E$4:$E$4503,_imp!$C$161))</f>
        <v/>
      </c>
      <c r="C159" s="54">
        <f>IF(_imp!$C$161="","",INDEX(_imp!$F$4:$F$4503,_imp!$C$161))</f>
        <v/>
      </c>
      <c r="D159" s="54">
        <f>IF(_imp!$C$161="","",INDEX(_imp!$G$4:$G$4503,_imp!$C$161))</f>
        <v/>
      </c>
      <c r="E159" s="54">
        <f>IF(_imp!$C$161="","",INDEX(_imp!$H$4:$H$4503,_imp!$C$161))</f>
        <v/>
      </c>
      <c r="F159" s="54">
        <f>IF(_imp!$C$161="","",INDEX(_imp!$I$4:$I$4503,_imp!$C$161))</f>
        <v/>
      </c>
      <c r="G159" s="54">
        <f>IF(_imp!$C$161="","",INDEX(_imp!$J$4:$J$4503,_imp!$C$161))</f>
        <v/>
      </c>
      <c r="K159" s="54">
        <f>IF(_imp!$C$161="","",INDEX(_imp!$K$4:$K$4503,_imp!$C$161))</f>
        <v/>
      </c>
    </row>
    <row r="160">
      <c r="A160" s="54">
        <f>IF(_imp!$C$162="","",INDEX(_imp!$D$4:$D$4503,_imp!$C$162))</f>
        <v/>
      </c>
      <c r="B160" s="54">
        <f>IF(_imp!$C$162="","",INDEX(_imp!$E$4:$E$4503,_imp!$C$162))</f>
        <v/>
      </c>
      <c r="C160" s="54">
        <f>IF(_imp!$C$162="","",INDEX(_imp!$F$4:$F$4503,_imp!$C$162))</f>
        <v/>
      </c>
      <c r="D160" s="54">
        <f>IF(_imp!$C$162="","",INDEX(_imp!$G$4:$G$4503,_imp!$C$162))</f>
        <v/>
      </c>
      <c r="E160" s="54">
        <f>IF(_imp!$C$162="","",INDEX(_imp!$H$4:$H$4503,_imp!$C$162))</f>
        <v/>
      </c>
      <c r="F160" s="54">
        <f>IF(_imp!$C$162="","",INDEX(_imp!$I$4:$I$4503,_imp!$C$162))</f>
        <v/>
      </c>
      <c r="G160" s="54">
        <f>IF(_imp!$C$162="","",INDEX(_imp!$J$4:$J$4503,_imp!$C$162))</f>
        <v/>
      </c>
      <c r="K160" s="54">
        <f>IF(_imp!$C$162="","",INDEX(_imp!$K$4:$K$4503,_imp!$C$162))</f>
        <v/>
      </c>
    </row>
    <row r="161">
      <c r="A161" s="54">
        <f>IF(_imp!$C$163="","",INDEX(_imp!$D$4:$D$4503,_imp!$C$163))</f>
        <v/>
      </c>
      <c r="B161" s="54">
        <f>IF(_imp!$C$163="","",INDEX(_imp!$E$4:$E$4503,_imp!$C$163))</f>
        <v/>
      </c>
      <c r="C161" s="54">
        <f>IF(_imp!$C$163="","",INDEX(_imp!$F$4:$F$4503,_imp!$C$163))</f>
        <v/>
      </c>
      <c r="D161" s="54">
        <f>IF(_imp!$C$163="","",INDEX(_imp!$G$4:$G$4503,_imp!$C$163))</f>
        <v/>
      </c>
      <c r="E161" s="54">
        <f>IF(_imp!$C$163="","",INDEX(_imp!$H$4:$H$4503,_imp!$C$163))</f>
        <v/>
      </c>
      <c r="F161" s="54">
        <f>IF(_imp!$C$163="","",INDEX(_imp!$I$4:$I$4503,_imp!$C$163))</f>
        <v/>
      </c>
      <c r="G161" s="54">
        <f>IF(_imp!$C$163="","",INDEX(_imp!$J$4:$J$4503,_imp!$C$163))</f>
        <v/>
      </c>
      <c r="K161" s="54">
        <f>IF(_imp!$C$163="","",INDEX(_imp!$K$4:$K$4503,_imp!$C$163))</f>
        <v/>
      </c>
    </row>
    <row r="162">
      <c r="A162" s="54">
        <f>IF(_imp!$C$164="","",INDEX(_imp!$D$4:$D$4503,_imp!$C$164))</f>
        <v/>
      </c>
      <c r="B162" s="54">
        <f>IF(_imp!$C$164="","",INDEX(_imp!$E$4:$E$4503,_imp!$C$164))</f>
        <v/>
      </c>
      <c r="C162" s="54">
        <f>IF(_imp!$C$164="","",INDEX(_imp!$F$4:$F$4503,_imp!$C$164))</f>
        <v/>
      </c>
      <c r="D162" s="54">
        <f>IF(_imp!$C$164="","",INDEX(_imp!$G$4:$G$4503,_imp!$C$164))</f>
        <v/>
      </c>
      <c r="E162" s="54">
        <f>IF(_imp!$C$164="","",INDEX(_imp!$H$4:$H$4503,_imp!$C$164))</f>
        <v/>
      </c>
      <c r="F162" s="54">
        <f>IF(_imp!$C$164="","",INDEX(_imp!$I$4:$I$4503,_imp!$C$164))</f>
        <v/>
      </c>
      <c r="G162" s="54">
        <f>IF(_imp!$C$164="","",INDEX(_imp!$J$4:$J$4503,_imp!$C$164))</f>
        <v/>
      </c>
      <c r="K162" s="54">
        <f>IF(_imp!$C$164="","",INDEX(_imp!$K$4:$K$4503,_imp!$C$164))</f>
        <v/>
      </c>
    </row>
    <row r="163">
      <c r="A163" s="54">
        <f>IF(_imp!$C$165="","",INDEX(_imp!$D$4:$D$4503,_imp!$C$165))</f>
        <v/>
      </c>
      <c r="B163" s="54">
        <f>IF(_imp!$C$165="","",INDEX(_imp!$E$4:$E$4503,_imp!$C$165))</f>
        <v/>
      </c>
      <c r="C163" s="54">
        <f>IF(_imp!$C$165="","",INDEX(_imp!$F$4:$F$4503,_imp!$C$165))</f>
        <v/>
      </c>
      <c r="D163" s="54">
        <f>IF(_imp!$C$165="","",INDEX(_imp!$G$4:$G$4503,_imp!$C$165))</f>
        <v/>
      </c>
      <c r="E163" s="54">
        <f>IF(_imp!$C$165="","",INDEX(_imp!$H$4:$H$4503,_imp!$C$165))</f>
        <v/>
      </c>
      <c r="F163" s="54">
        <f>IF(_imp!$C$165="","",INDEX(_imp!$I$4:$I$4503,_imp!$C$165))</f>
        <v/>
      </c>
      <c r="G163" s="54">
        <f>IF(_imp!$C$165="","",INDEX(_imp!$J$4:$J$4503,_imp!$C$165))</f>
        <v/>
      </c>
      <c r="K163" s="54">
        <f>IF(_imp!$C$165="","",INDEX(_imp!$K$4:$K$4503,_imp!$C$165))</f>
        <v/>
      </c>
    </row>
    <row r="164">
      <c r="A164" s="54">
        <f>IF(_imp!$C$166="","",INDEX(_imp!$D$4:$D$4503,_imp!$C$166))</f>
        <v/>
      </c>
      <c r="B164" s="54">
        <f>IF(_imp!$C$166="","",INDEX(_imp!$E$4:$E$4503,_imp!$C$166))</f>
        <v/>
      </c>
      <c r="C164" s="54">
        <f>IF(_imp!$C$166="","",INDEX(_imp!$F$4:$F$4503,_imp!$C$166))</f>
        <v/>
      </c>
      <c r="D164" s="54">
        <f>IF(_imp!$C$166="","",INDEX(_imp!$G$4:$G$4503,_imp!$C$166))</f>
        <v/>
      </c>
      <c r="E164" s="54">
        <f>IF(_imp!$C$166="","",INDEX(_imp!$H$4:$H$4503,_imp!$C$166))</f>
        <v/>
      </c>
      <c r="F164" s="54">
        <f>IF(_imp!$C$166="","",INDEX(_imp!$I$4:$I$4503,_imp!$C$166))</f>
        <v/>
      </c>
      <c r="G164" s="54">
        <f>IF(_imp!$C$166="","",INDEX(_imp!$J$4:$J$4503,_imp!$C$166))</f>
        <v/>
      </c>
      <c r="K164" s="54">
        <f>IF(_imp!$C$166="","",INDEX(_imp!$K$4:$K$4503,_imp!$C$166))</f>
        <v/>
      </c>
    </row>
    <row r="165">
      <c r="A165" s="54">
        <f>IF(_imp!$C$167="","",INDEX(_imp!$D$4:$D$4503,_imp!$C$167))</f>
        <v/>
      </c>
      <c r="B165" s="54">
        <f>IF(_imp!$C$167="","",INDEX(_imp!$E$4:$E$4503,_imp!$C$167))</f>
        <v/>
      </c>
      <c r="C165" s="54">
        <f>IF(_imp!$C$167="","",INDEX(_imp!$F$4:$F$4503,_imp!$C$167))</f>
        <v/>
      </c>
      <c r="D165" s="54">
        <f>IF(_imp!$C$167="","",INDEX(_imp!$G$4:$G$4503,_imp!$C$167))</f>
        <v/>
      </c>
      <c r="E165" s="54">
        <f>IF(_imp!$C$167="","",INDEX(_imp!$H$4:$H$4503,_imp!$C$167))</f>
        <v/>
      </c>
      <c r="F165" s="54">
        <f>IF(_imp!$C$167="","",INDEX(_imp!$I$4:$I$4503,_imp!$C$167))</f>
        <v/>
      </c>
      <c r="G165" s="54">
        <f>IF(_imp!$C$167="","",INDEX(_imp!$J$4:$J$4503,_imp!$C$167))</f>
        <v/>
      </c>
      <c r="K165" s="54">
        <f>IF(_imp!$C$167="","",INDEX(_imp!$K$4:$K$4503,_imp!$C$167))</f>
        <v/>
      </c>
    </row>
    <row r="166">
      <c r="A166" s="54">
        <f>IF(_imp!$C$168="","",INDEX(_imp!$D$4:$D$4503,_imp!$C$168))</f>
        <v/>
      </c>
      <c r="B166" s="54">
        <f>IF(_imp!$C$168="","",INDEX(_imp!$E$4:$E$4503,_imp!$C$168))</f>
        <v/>
      </c>
      <c r="C166" s="54">
        <f>IF(_imp!$C$168="","",INDEX(_imp!$F$4:$F$4503,_imp!$C$168))</f>
        <v/>
      </c>
      <c r="D166" s="54">
        <f>IF(_imp!$C$168="","",INDEX(_imp!$G$4:$G$4503,_imp!$C$168))</f>
        <v/>
      </c>
      <c r="E166" s="54">
        <f>IF(_imp!$C$168="","",INDEX(_imp!$H$4:$H$4503,_imp!$C$168))</f>
        <v/>
      </c>
      <c r="F166" s="54">
        <f>IF(_imp!$C$168="","",INDEX(_imp!$I$4:$I$4503,_imp!$C$168))</f>
        <v/>
      </c>
      <c r="G166" s="54">
        <f>IF(_imp!$C$168="","",INDEX(_imp!$J$4:$J$4503,_imp!$C$168))</f>
        <v/>
      </c>
      <c r="K166" s="54">
        <f>IF(_imp!$C$168="","",INDEX(_imp!$K$4:$K$4503,_imp!$C$168))</f>
        <v/>
      </c>
    </row>
    <row r="167">
      <c r="A167" s="54">
        <f>IF(_imp!$C$169="","",INDEX(_imp!$D$4:$D$4503,_imp!$C$169))</f>
        <v/>
      </c>
      <c r="B167" s="54">
        <f>IF(_imp!$C$169="","",INDEX(_imp!$E$4:$E$4503,_imp!$C$169))</f>
        <v/>
      </c>
      <c r="C167" s="54">
        <f>IF(_imp!$C$169="","",INDEX(_imp!$F$4:$F$4503,_imp!$C$169))</f>
        <v/>
      </c>
      <c r="D167" s="54">
        <f>IF(_imp!$C$169="","",INDEX(_imp!$G$4:$G$4503,_imp!$C$169))</f>
        <v/>
      </c>
      <c r="E167" s="54">
        <f>IF(_imp!$C$169="","",INDEX(_imp!$H$4:$H$4503,_imp!$C$169))</f>
        <v/>
      </c>
      <c r="F167" s="54">
        <f>IF(_imp!$C$169="","",INDEX(_imp!$I$4:$I$4503,_imp!$C$169))</f>
        <v/>
      </c>
      <c r="G167" s="54">
        <f>IF(_imp!$C$169="","",INDEX(_imp!$J$4:$J$4503,_imp!$C$169))</f>
        <v/>
      </c>
      <c r="K167" s="54">
        <f>IF(_imp!$C$169="","",INDEX(_imp!$K$4:$K$4503,_imp!$C$169))</f>
        <v/>
      </c>
    </row>
    <row r="168">
      <c r="A168" s="54">
        <f>IF(_imp!$C$170="","",INDEX(_imp!$D$4:$D$4503,_imp!$C$170))</f>
        <v/>
      </c>
      <c r="B168" s="54">
        <f>IF(_imp!$C$170="","",INDEX(_imp!$E$4:$E$4503,_imp!$C$170))</f>
        <v/>
      </c>
      <c r="C168" s="54">
        <f>IF(_imp!$C$170="","",INDEX(_imp!$F$4:$F$4503,_imp!$C$170))</f>
        <v/>
      </c>
      <c r="D168" s="54">
        <f>IF(_imp!$C$170="","",INDEX(_imp!$G$4:$G$4503,_imp!$C$170))</f>
        <v/>
      </c>
      <c r="E168" s="54">
        <f>IF(_imp!$C$170="","",INDEX(_imp!$H$4:$H$4503,_imp!$C$170))</f>
        <v/>
      </c>
      <c r="F168" s="54">
        <f>IF(_imp!$C$170="","",INDEX(_imp!$I$4:$I$4503,_imp!$C$170))</f>
        <v/>
      </c>
      <c r="G168" s="54">
        <f>IF(_imp!$C$170="","",INDEX(_imp!$J$4:$J$4503,_imp!$C$170))</f>
        <v/>
      </c>
      <c r="K168" s="54">
        <f>IF(_imp!$C$170="","",INDEX(_imp!$K$4:$K$4503,_imp!$C$170))</f>
        <v/>
      </c>
    </row>
    <row r="169">
      <c r="A169" s="54">
        <f>IF(_imp!$C$171="","",INDEX(_imp!$D$4:$D$4503,_imp!$C$171))</f>
        <v/>
      </c>
      <c r="B169" s="54">
        <f>IF(_imp!$C$171="","",INDEX(_imp!$E$4:$E$4503,_imp!$C$171))</f>
        <v/>
      </c>
      <c r="C169" s="54">
        <f>IF(_imp!$C$171="","",INDEX(_imp!$F$4:$F$4503,_imp!$C$171))</f>
        <v/>
      </c>
      <c r="D169" s="54">
        <f>IF(_imp!$C$171="","",INDEX(_imp!$G$4:$G$4503,_imp!$C$171))</f>
        <v/>
      </c>
      <c r="E169" s="54">
        <f>IF(_imp!$C$171="","",INDEX(_imp!$H$4:$H$4503,_imp!$C$171))</f>
        <v/>
      </c>
      <c r="F169" s="54">
        <f>IF(_imp!$C$171="","",INDEX(_imp!$I$4:$I$4503,_imp!$C$171))</f>
        <v/>
      </c>
      <c r="G169" s="54">
        <f>IF(_imp!$C$171="","",INDEX(_imp!$J$4:$J$4503,_imp!$C$171))</f>
        <v/>
      </c>
      <c r="K169" s="54">
        <f>IF(_imp!$C$171="","",INDEX(_imp!$K$4:$K$4503,_imp!$C$171))</f>
        <v/>
      </c>
    </row>
    <row r="170">
      <c r="A170" s="54">
        <f>IF(_imp!$C$172="","",INDEX(_imp!$D$4:$D$4503,_imp!$C$172))</f>
        <v/>
      </c>
      <c r="B170" s="54">
        <f>IF(_imp!$C$172="","",INDEX(_imp!$E$4:$E$4503,_imp!$C$172))</f>
        <v/>
      </c>
      <c r="C170" s="54">
        <f>IF(_imp!$C$172="","",INDEX(_imp!$F$4:$F$4503,_imp!$C$172))</f>
        <v/>
      </c>
      <c r="D170" s="54">
        <f>IF(_imp!$C$172="","",INDEX(_imp!$G$4:$G$4503,_imp!$C$172))</f>
        <v/>
      </c>
      <c r="E170" s="54">
        <f>IF(_imp!$C$172="","",INDEX(_imp!$H$4:$H$4503,_imp!$C$172))</f>
        <v/>
      </c>
      <c r="F170" s="54">
        <f>IF(_imp!$C$172="","",INDEX(_imp!$I$4:$I$4503,_imp!$C$172))</f>
        <v/>
      </c>
      <c r="G170" s="54">
        <f>IF(_imp!$C$172="","",INDEX(_imp!$J$4:$J$4503,_imp!$C$172))</f>
        <v/>
      </c>
      <c r="K170" s="54">
        <f>IF(_imp!$C$172="","",INDEX(_imp!$K$4:$K$4503,_imp!$C$172))</f>
        <v/>
      </c>
    </row>
    <row r="171">
      <c r="A171" s="54">
        <f>IF(_imp!$C$173="","",INDEX(_imp!$D$4:$D$4503,_imp!$C$173))</f>
        <v/>
      </c>
      <c r="B171" s="54">
        <f>IF(_imp!$C$173="","",INDEX(_imp!$E$4:$E$4503,_imp!$C$173))</f>
        <v/>
      </c>
      <c r="C171" s="54">
        <f>IF(_imp!$C$173="","",INDEX(_imp!$F$4:$F$4503,_imp!$C$173))</f>
        <v/>
      </c>
      <c r="D171" s="54">
        <f>IF(_imp!$C$173="","",INDEX(_imp!$G$4:$G$4503,_imp!$C$173))</f>
        <v/>
      </c>
      <c r="E171" s="54">
        <f>IF(_imp!$C$173="","",INDEX(_imp!$H$4:$H$4503,_imp!$C$173))</f>
        <v/>
      </c>
      <c r="F171" s="54">
        <f>IF(_imp!$C$173="","",INDEX(_imp!$I$4:$I$4503,_imp!$C$173))</f>
        <v/>
      </c>
      <c r="G171" s="54">
        <f>IF(_imp!$C$173="","",INDEX(_imp!$J$4:$J$4503,_imp!$C$173))</f>
        <v/>
      </c>
      <c r="K171" s="54">
        <f>IF(_imp!$C$173="","",INDEX(_imp!$K$4:$K$4503,_imp!$C$173))</f>
        <v/>
      </c>
    </row>
    <row r="172">
      <c r="A172" s="54">
        <f>IF(_imp!$C$174="","",INDEX(_imp!$D$4:$D$4503,_imp!$C$174))</f>
        <v/>
      </c>
      <c r="B172" s="54">
        <f>IF(_imp!$C$174="","",INDEX(_imp!$E$4:$E$4503,_imp!$C$174))</f>
        <v/>
      </c>
      <c r="C172" s="54">
        <f>IF(_imp!$C$174="","",INDEX(_imp!$F$4:$F$4503,_imp!$C$174))</f>
        <v/>
      </c>
      <c r="D172" s="54">
        <f>IF(_imp!$C$174="","",INDEX(_imp!$G$4:$G$4503,_imp!$C$174))</f>
        <v/>
      </c>
      <c r="E172" s="54">
        <f>IF(_imp!$C$174="","",INDEX(_imp!$H$4:$H$4503,_imp!$C$174))</f>
        <v/>
      </c>
      <c r="F172" s="54">
        <f>IF(_imp!$C$174="","",INDEX(_imp!$I$4:$I$4503,_imp!$C$174))</f>
        <v/>
      </c>
      <c r="G172" s="54">
        <f>IF(_imp!$C$174="","",INDEX(_imp!$J$4:$J$4503,_imp!$C$174))</f>
        <v/>
      </c>
      <c r="K172" s="54">
        <f>IF(_imp!$C$174="","",INDEX(_imp!$K$4:$K$4503,_imp!$C$174))</f>
        <v/>
      </c>
    </row>
    <row r="173">
      <c r="A173" s="54">
        <f>IF(_imp!$C$175="","",INDEX(_imp!$D$4:$D$4503,_imp!$C$175))</f>
        <v/>
      </c>
      <c r="B173" s="54">
        <f>IF(_imp!$C$175="","",INDEX(_imp!$E$4:$E$4503,_imp!$C$175))</f>
        <v/>
      </c>
      <c r="C173" s="54">
        <f>IF(_imp!$C$175="","",INDEX(_imp!$F$4:$F$4503,_imp!$C$175))</f>
        <v/>
      </c>
      <c r="D173" s="54">
        <f>IF(_imp!$C$175="","",INDEX(_imp!$G$4:$G$4503,_imp!$C$175))</f>
        <v/>
      </c>
      <c r="E173" s="54">
        <f>IF(_imp!$C$175="","",INDEX(_imp!$H$4:$H$4503,_imp!$C$175))</f>
        <v/>
      </c>
      <c r="F173" s="54">
        <f>IF(_imp!$C$175="","",INDEX(_imp!$I$4:$I$4503,_imp!$C$175))</f>
        <v/>
      </c>
      <c r="G173" s="54">
        <f>IF(_imp!$C$175="","",INDEX(_imp!$J$4:$J$4503,_imp!$C$175))</f>
        <v/>
      </c>
      <c r="K173" s="54">
        <f>IF(_imp!$C$175="","",INDEX(_imp!$K$4:$K$4503,_imp!$C$175))</f>
        <v/>
      </c>
    </row>
    <row r="174">
      <c r="A174" s="54">
        <f>IF(_imp!$C$176="","",INDEX(_imp!$D$4:$D$4503,_imp!$C$176))</f>
        <v/>
      </c>
      <c r="B174" s="54">
        <f>IF(_imp!$C$176="","",INDEX(_imp!$E$4:$E$4503,_imp!$C$176))</f>
        <v/>
      </c>
      <c r="C174" s="54">
        <f>IF(_imp!$C$176="","",INDEX(_imp!$F$4:$F$4503,_imp!$C$176))</f>
        <v/>
      </c>
      <c r="D174" s="54">
        <f>IF(_imp!$C$176="","",INDEX(_imp!$G$4:$G$4503,_imp!$C$176))</f>
        <v/>
      </c>
      <c r="E174" s="54">
        <f>IF(_imp!$C$176="","",INDEX(_imp!$H$4:$H$4503,_imp!$C$176))</f>
        <v/>
      </c>
      <c r="F174" s="54">
        <f>IF(_imp!$C$176="","",INDEX(_imp!$I$4:$I$4503,_imp!$C$176))</f>
        <v/>
      </c>
      <c r="G174" s="54">
        <f>IF(_imp!$C$176="","",INDEX(_imp!$J$4:$J$4503,_imp!$C$176))</f>
        <v/>
      </c>
      <c r="K174" s="54">
        <f>IF(_imp!$C$176="","",INDEX(_imp!$K$4:$K$4503,_imp!$C$176))</f>
        <v/>
      </c>
    </row>
    <row r="175">
      <c r="A175" s="54">
        <f>IF(_imp!$C$177="","",INDEX(_imp!$D$4:$D$4503,_imp!$C$177))</f>
        <v/>
      </c>
      <c r="B175" s="54">
        <f>IF(_imp!$C$177="","",INDEX(_imp!$E$4:$E$4503,_imp!$C$177))</f>
        <v/>
      </c>
      <c r="C175" s="54">
        <f>IF(_imp!$C$177="","",INDEX(_imp!$F$4:$F$4503,_imp!$C$177))</f>
        <v/>
      </c>
      <c r="D175" s="54">
        <f>IF(_imp!$C$177="","",INDEX(_imp!$G$4:$G$4503,_imp!$C$177))</f>
        <v/>
      </c>
      <c r="E175" s="54">
        <f>IF(_imp!$C$177="","",INDEX(_imp!$H$4:$H$4503,_imp!$C$177))</f>
        <v/>
      </c>
      <c r="F175" s="54">
        <f>IF(_imp!$C$177="","",INDEX(_imp!$I$4:$I$4503,_imp!$C$177))</f>
        <v/>
      </c>
      <c r="G175" s="54">
        <f>IF(_imp!$C$177="","",INDEX(_imp!$J$4:$J$4503,_imp!$C$177))</f>
        <v/>
      </c>
      <c r="K175" s="54">
        <f>IF(_imp!$C$177="","",INDEX(_imp!$K$4:$K$4503,_imp!$C$177))</f>
        <v/>
      </c>
    </row>
    <row r="176">
      <c r="A176" s="54">
        <f>IF(_imp!$C$178="","",INDEX(_imp!$D$4:$D$4503,_imp!$C$178))</f>
        <v/>
      </c>
      <c r="B176" s="54">
        <f>IF(_imp!$C$178="","",INDEX(_imp!$E$4:$E$4503,_imp!$C$178))</f>
        <v/>
      </c>
      <c r="C176" s="54">
        <f>IF(_imp!$C$178="","",INDEX(_imp!$F$4:$F$4503,_imp!$C$178))</f>
        <v/>
      </c>
      <c r="D176" s="54">
        <f>IF(_imp!$C$178="","",INDEX(_imp!$G$4:$G$4503,_imp!$C$178))</f>
        <v/>
      </c>
      <c r="E176" s="54">
        <f>IF(_imp!$C$178="","",INDEX(_imp!$H$4:$H$4503,_imp!$C$178))</f>
        <v/>
      </c>
      <c r="F176" s="54">
        <f>IF(_imp!$C$178="","",INDEX(_imp!$I$4:$I$4503,_imp!$C$178))</f>
        <v/>
      </c>
      <c r="G176" s="54">
        <f>IF(_imp!$C$178="","",INDEX(_imp!$J$4:$J$4503,_imp!$C$178))</f>
        <v/>
      </c>
      <c r="K176" s="54">
        <f>IF(_imp!$C$178="","",INDEX(_imp!$K$4:$K$4503,_imp!$C$178))</f>
        <v/>
      </c>
    </row>
    <row r="177">
      <c r="A177" s="54">
        <f>IF(_imp!$C$179="","",INDEX(_imp!$D$4:$D$4503,_imp!$C$179))</f>
        <v/>
      </c>
      <c r="B177" s="54">
        <f>IF(_imp!$C$179="","",INDEX(_imp!$E$4:$E$4503,_imp!$C$179))</f>
        <v/>
      </c>
      <c r="C177" s="54">
        <f>IF(_imp!$C$179="","",INDEX(_imp!$F$4:$F$4503,_imp!$C$179))</f>
        <v/>
      </c>
      <c r="D177" s="54">
        <f>IF(_imp!$C$179="","",INDEX(_imp!$G$4:$G$4503,_imp!$C$179))</f>
        <v/>
      </c>
      <c r="E177" s="54">
        <f>IF(_imp!$C$179="","",INDEX(_imp!$H$4:$H$4503,_imp!$C$179))</f>
        <v/>
      </c>
      <c r="F177" s="54">
        <f>IF(_imp!$C$179="","",INDEX(_imp!$I$4:$I$4503,_imp!$C$179))</f>
        <v/>
      </c>
      <c r="G177" s="54">
        <f>IF(_imp!$C$179="","",INDEX(_imp!$J$4:$J$4503,_imp!$C$179))</f>
        <v/>
      </c>
      <c r="K177" s="54">
        <f>IF(_imp!$C$179="","",INDEX(_imp!$K$4:$K$4503,_imp!$C$179))</f>
        <v/>
      </c>
    </row>
    <row r="178">
      <c r="A178" s="54">
        <f>IF(_imp!$C$180="","",INDEX(_imp!$D$4:$D$4503,_imp!$C$180))</f>
        <v/>
      </c>
      <c r="B178" s="54">
        <f>IF(_imp!$C$180="","",INDEX(_imp!$E$4:$E$4503,_imp!$C$180))</f>
        <v/>
      </c>
      <c r="C178" s="54">
        <f>IF(_imp!$C$180="","",INDEX(_imp!$F$4:$F$4503,_imp!$C$180))</f>
        <v/>
      </c>
      <c r="D178" s="54">
        <f>IF(_imp!$C$180="","",INDEX(_imp!$G$4:$G$4503,_imp!$C$180))</f>
        <v/>
      </c>
      <c r="E178" s="54">
        <f>IF(_imp!$C$180="","",INDEX(_imp!$H$4:$H$4503,_imp!$C$180))</f>
        <v/>
      </c>
      <c r="F178" s="54">
        <f>IF(_imp!$C$180="","",INDEX(_imp!$I$4:$I$4503,_imp!$C$180))</f>
        <v/>
      </c>
      <c r="G178" s="54">
        <f>IF(_imp!$C$180="","",INDEX(_imp!$J$4:$J$4503,_imp!$C$180))</f>
        <v/>
      </c>
      <c r="K178" s="54">
        <f>IF(_imp!$C$180="","",INDEX(_imp!$K$4:$K$4503,_imp!$C$180))</f>
        <v/>
      </c>
    </row>
    <row r="179">
      <c r="A179" s="54">
        <f>IF(_imp!$C$181="","",INDEX(_imp!$D$4:$D$4503,_imp!$C$181))</f>
        <v/>
      </c>
      <c r="B179" s="54">
        <f>IF(_imp!$C$181="","",INDEX(_imp!$E$4:$E$4503,_imp!$C$181))</f>
        <v/>
      </c>
      <c r="C179" s="54">
        <f>IF(_imp!$C$181="","",INDEX(_imp!$F$4:$F$4503,_imp!$C$181))</f>
        <v/>
      </c>
      <c r="D179" s="54">
        <f>IF(_imp!$C$181="","",INDEX(_imp!$G$4:$G$4503,_imp!$C$181))</f>
        <v/>
      </c>
      <c r="E179" s="54">
        <f>IF(_imp!$C$181="","",INDEX(_imp!$H$4:$H$4503,_imp!$C$181))</f>
        <v/>
      </c>
      <c r="F179" s="54">
        <f>IF(_imp!$C$181="","",INDEX(_imp!$I$4:$I$4503,_imp!$C$181))</f>
        <v/>
      </c>
      <c r="G179" s="54">
        <f>IF(_imp!$C$181="","",INDEX(_imp!$J$4:$J$4503,_imp!$C$181))</f>
        <v/>
      </c>
      <c r="K179" s="54">
        <f>IF(_imp!$C$181="","",INDEX(_imp!$K$4:$K$4503,_imp!$C$181))</f>
        <v/>
      </c>
    </row>
    <row r="180">
      <c r="A180" s="54">
        <f>IF(_imp!$C$182="","",INDEX(_imp!$D$4:$D$4503,_imp!$C$182))</f>
        <v/>
      </c>
      <c r="B180" s="54">
        <f>IF(_imp!$C$182="","",INDEX(_imp!$E$4:$E$4503,_imp!$C$182))</f>
        <v/>
      </c>
      <c r="C180" s="54">
        <f>IF(_imp!$C$182="","",INDEX(_imp!$F$4:$F$4503,_imp!$C$182))</f>
        <v/>
      </c>
      <c r="D180" s="54">
        <f>IF(_imp!$C$182="","",INDEX(_imp!$G$4:$G$4503,_imp!$C$182))</f>
        <v/>
      </c>
      <c r="E180" s="54">
        <f>IF(_imp!$C$182="","",INDEX(_imp!$H$4:$H$4503,_imp!$C$182))</f>
        <v/>
      </c>
      <c r="F180" s="54">
        <f>IF(_imp!$C$182="","",INDEX(_imp!$I$4:$I$4503,_imp!$C$182))</f>
        <v/>
      </c>
      <c r="G180" s="54">
        <f>IF(_imp!$C$182="","",INDEX(_imp!$J$4:$J$4503,_imp!$C$182))</f>
        <v/>
      </c>
      <c r="K180" s="54">
        <f>IF(_imp!$C$182="","",INDEX(_imp!$K$4:$K$4503,_imp!$C$182))</f>
        <v/>
      </c>
    </row>
    <row r="181">
      <c r="A181" s="54">
        <f>IF(_imp!$C$183="","",INDEX(_imp!$D$4:$D$4503,_imp!$C$183))</f>
        <v/>
      </c>
      <c r="B181" s="54">
        <f>IF(_imp!$C$183="","",INDEX(_imp!$E$4:$E$4503,_imp!$C$183))</f>
        <v/>
      </c>
      <c r="C181" s="54">
        <f>IF(_imp!$C$183="","",INDEX(_imp!$F$4:$F$4503,_imp!$C$183))</f>
        <v/>
      </c>
      <c r="D181" s="54">
        <f>IF(_imp!$C$183="","",INDEX(_imp!$G$4:$G$4503,_imp!$C$183))</f>
        <v/>
      </c>
      <c r="E181" s="54">
        <f>IF(_imp!$C$183="","",INDEX(_imp!$H$4:$H$4503,_imp!$C$183))</f>
        <v/>
      </c>
      <c r="F181" s="54">
        <f>IF(_imp!$C$183="","",INDEX(_imp!$I$4:$I$4503,_imp!$C$183))</f>
        <v/>
      </c>
      <c r="G181" s="54">
        <f>IF(_imp!$C$183="","",INDEX(_imp!$J$4:$J$4503,_imp!$C$183))</f>
        <v/>
      </c>
      <c r="K181" s="54">
        <f>IF(_imp!$C$183="","",INDEX(_imp!$K$4:$K$4503,_imp!$C$183))</f>
        <v/>
      </c>
    </row>
    <row r="182">
      <c r="A182" s="54">
        <f>IF(_imp!$C$184="","",INDEX(_imp!$D$4:$D$4503,_imp!$C$184))</f>
        <v/>
      </c>
      <c r="B182" s="54">
        <f>IF(_imp!$C$184="","",INDEX(_imp!$E$4:$E$4503,_imp!$C$184))</f>
        <v/>
      </c>
      <c r="C182" s="54">
        <f>IF(_imp!$C$184="","",INDEX(_imp!$F$4:$F$4503,_imp!$C$184))</f>
        <v/>
      </c>
      <c r="D182" s="54">
        <f>IF(_imp!$C$184="","",INDEX(_imp!$G$4:$G$4503,_imp!$C$184))</f>
        <v/>
      </c>
      <c r="E182" s="54">
        <f>IF(_imp!$C$184="","",INDEX(_imp!$H$4:$H$4503,_imp!$C$184))</f>
        <v/>
      </c>
      <c r="F182" s="54">
        <f>IF(_imp!$C$184="","",INDEX(_imp!$I$4:$I$4503,_imp!$C$184))</f>
        <v/>
      </c>
      <c r="G182" s="54">
        <f>IF(_imp!$C$184="","",INDEX(_imp!$J$4:$J$4503,_imp!$C$184))</f>
        <v/>
      </c>
      <c r="K182" s="54">
        <f>IF(_imp!$C$184="","",INDEX(_imp!$K$4:$K$4503,_imp!$C$184))</f>
        <v/>
      </c>
    </row>
    <row r="183">
      <c r="A183" s="54">
        <f>IF(_imp!$C$185="","",INDEX(_imp!$D$4:$D$4503,_imp!$C$185))</f>
        <v/>
      </c>
      <c r="B183" s="54">
        <f>IF(_imp!$C$185="","",INDEX(_imp!$E$4:$E$4503,_imp!$C$185))</f>
        <v/>
      </c>
      <c r="C183" s="54">
        <f>IF(_imp!$C$185="","",INDEX(_imp!$F$4:$F$4503,_imp!$C$185))</f>
        <v/>
      </c>
      <c r="D183" s="54">
        <f>IF(_imp!$C$185="","",INDEX(_imp!$G$4:$G$4503,_imp!$C$185))</f>
        <v/>
      </c>
      <c r="E183" s="54">
        <f>IF(_imp!$C$185="","",INDEX(_imp!$H$4:$H$4503,_imp!$C$185))</f>
        <v/>
      </c>
      <c r="F183" s="54">
        <f>IF(_imp!$C$185="","",INDEX(_imp!$I$4:$I$4503,_imp!$C$185))</f>
        <v/>
      </c>
      <c r="G183" s="54">
        <f>IF(_imp!$C$185="","",INDEX(_imp!$J$4:$J$4503,_imp!$C$185))</f>
        <v/>
      </c>
      <c r="K183" s="54">
        <f>IF(_imp!$C$185="","",INDEX(_imp!$K$4:$K$4503,_imp!$C$185))</f>
        <v/>
      </c>
    </row>
    <row r="184">
      <c r="A184" s="54">
        <f>IF(_imp!$C$186="","",INDEX(_imp!$D$4:$D$4503,_imp!$C$186))</f>
        <v/>
      </c>
      <c r="B184" s="54">
        <f>IF(_imp!$C$186="","",INDEX(_imp!$E$4:$E$4503,_imp!$C$186))</f>
        <v/>
      </c>
      <c r="C184" s="54">
        <f>IF(_imp!$C$186="","",INDEX(_imp!$F$4:$F$4503,_imp!$C$186))</f>
        <v/>
      </c>
      <c r="D184" s="54">
        <f>IF(_imp!$C$186="","",INDEX(_imp!$G$4:$G$4503,_imp!$C$186))</f>
        <v/>
      </c>
      <c r="E184" s="54">
        <f>IF(_imp!$C$186="","",INDEX(_imp!$H$4:$H$4503,_imp!$C$186))</f>
        <v/>
      </c>
      <c r="F184" s="54">
        <f>IF(_imp!$C$186="","",INDEX(_imp!$I$4:$I$4503,_imp!$C$186))</f>
        <v/>
      </c>
      <c r="G184" s="54">
        <f>IF(_imp!$C$186="","",INDEX(_imp!$J$4:$J$4503,_imp!$C$186))</f>
        <v/>
      </c>
      <c r="K184" s="54">
        <f>IF(_imp!$C$186="","",INDEX(_imp!$K$4:$K$4503,_imp!$C$186))</f>
        <v/>
      </c>
    </row>
    <row r="185">
      <c r="A185" s="54">
        <f>IF(_imp!$C$187="","",INDEX(_imp!$D$4:$D$4503,_imp!$C$187))</f>
        <v/>
      </c>
      <c r="B185" s="54">
        <f>IF(_imp!$C$187="","",INDEX(_imp!$E$4:$E$4503,_imp!$C$187))</f>
        <v/>
      </c>
      <c r="C185" s="54">
        <f>IF(_imp!$C$187="","",INDEX(_imp!$F$4:$F$4503,_imp!$C$187))</f>
        <v/>
      </c>
      <c r="D185" s="54">
        <f>IF(_imp!$C$187="","",INDEX(_imp!$G$4:$G$4503,_imp!$C$187))</f>
        <v/>
      </c>
      <c r="E185" s="54">
        <f>IF(_imp!$C$187="","",INDEX(_imp!$H$4:$H$4503,_imp!$C$187))</f>
        <v/>
      </c>
      <c r="F185" s="54">
        <f>IF(_imp!$C$187="","",INDEX(_imp!$I$4:$I$4503,_imp!$C$187))</f>
        <v/>
      </c>
      <c r="G185" s="54">
        <f>IF(_imp!$C$187="","",INDEX(_imp!$J$4:$J$4503,_imp!$C$187))</f>
        <v/>
      </c>
      <c r="K185" s="54">
        <f>IF(_imp!$C$187="","",INDEX(_imp!$K$4:$K$4503,_imp!$C$187))</f>
        <v/>
      </c>
    </row>
    <row r="186">
      <c r="A186" s="54">
        <f>IF(_imp!$C$188="","",INDEX(_imp!$D$4:$D$4503,_imp!$C$188))</f>
        <v/>
      </c>
      <c r="B186" s="54">
        <f>IF(_imp!$C$188="","",INDEX(_imp!$E$4:$E$4503,_imp!$C$188))</f>
        <v/>
      </c>
      <c r="C186" s="54">
        <f>IF(_imp!$C$188="","",INDEX(_imp!$F$4:$F$4503,_imp!$C$188))</f>
        <v/>
      </c>
      <c r="D186" s="54">
        <f>IF(_imp!$C$188="","",INDEX(_imp!$G$4:$G$4503,_imp!$C$188))</f>
        <v/>
      </c>
      <c r="E186" s="54">
        <f>IF(_imp!$C$188="","",INDEX(_imp!$H$4:$H$4503,_imp!$C$188))</f>
        <v/>
      </c>
      <c r="F186" s="54">
        <f>IF(_imp!$C$188="","",INDEX(_imp!$I$4:$I$4503,_imp!$C$188))</f>
        <v/>
      </c>
      <c r="G186" s="54">
        <f>IF(_imp!$C$188="","",INDEX(_imp!$J$4:$J$4503,_imp!$C$188))</f>
        <v/>
      </c>
      <c r="K186" s="54">
        <f>IF(_imp!$C$188="","",INDEX(_imp!$K$4:$K$4503,_imp!$C$188))</f>
        <v/>
      </c>
    </row>
    <row r="187">
      <c r="A187" s="54">
        <f>IF(_imp!$C$189="","",INDEX(_imp!$D$4:$D$4503,_imp!$C$189))</f>
        <v/>
      </c>
      <c r="B187" s="54">
        <f>IF(_imp!$C$189="","",INDEX(_imp!$E$4:$E$4503,_imp!$C$189))</f>
        <v/>
      </c>
      <c r="C187" s="54">
        <f>IF(_imp!$C$189="","",INDEX(_imp!$F$4:$F$4503,_imp!$C$189))</f>
        <v/>
      </c>
      <c r="D187" s="54">
        <f>IF(_imp!$C$189="","",INDEX(_imp!$G$4:$G$4503,_imp!$C$189))</f>
        <v/>
      </c>
      <c r="E187" s="54">
        <f>IF(_imp!$C$189="","",INDEX(_imp!$H$4:$H$4503,_imp!$C$189))</f>
        <v/>
      </c>
      <c r="F187" s="54">
        <f>IF(_imp!$C$189="","",INDEX(_imp!$I$4:$I$4503,_imp!$C$189))</f>
        <v/>
      </c>
      <c r="G187" s="54">
        <f>IF(_imp!$C$189="","",INDEX(_imp!$J$4:$J$4503,_imp!$C$189))</f>
        <v/>
      </c>
      <c r="K187" s="54">
        <f>IF(_imp!$C$189="","",INDEX(_imp!$K$4:$K$4503,_imp!$C$189))</f>
        <v/>
      </c>
    </row>
    <row r="188">
      <c r="A188" s="54">
        <f>IF(_imp!$C$190="","",INDEX(_imp!$D$4:$D$4503,_imp!$C$190))</f>
        <v/>
      </c>
      <c r="B188" s="54">
        <f>IF(_imp!$C$190="","",INDEX(_imp!$E$4:$E$4503,_imp!$C$190))</f>
        <v/>
      </c>
      <c r="C188" s="54">
        <f>IF(_imp!$C$190="","",INDEX(_imp!$F$4:$F$4503,_imp!$C$190))</f>
        <v/>
      </c>
      <c r="D188" s="54">
        <f>IF(_imp!$C$190="","",INDEX(_imp!$G$4:$G$4503,_imp!$C$190))</f>
        <v/>
      </c>
      <c r="E188" s="54">
        <f>IF(_imp!$C$190="","",INDEX(_imp!$H$4:$H$4503,_imp!$C$190))</f>
        <v/>
      </c>
      <c r="F188" s="54">
        <f>IF(_imp!$C$190="","",INDEX(_imp!$I$4:$I$4503,_imp!$C$190))</f>
        <v/>
      </c>
      <c r="G188" s="54">
        <f>IF(_imp!$C$190="","",INDEX(_imp!$J$4:$J$4503,_imp!$C$190))</f>
        <v/>
      </c>
      <c r="K188" s="54">
        <f>IF(_imp!$C$190="","",INDEX(_imp!$K$4:$K$4503,_imp!$C$190))</f>
        <v/>
      </c>
    </row>
    <row r="189">
      <c r="A189" s="54">
        <f>IF(_imp!$C$191="","",INDEX(_imp!$D$4:$D$4503,_imp!$C$191))</f>
        <v/>
      </c>
      <c r="B189" s="54">
        <f>IF(_imp!$C$191="","",INDEX(_imp!$E$4:$E$4503,_imp!$C$191))</f>
        <v/>
      </c>
      <c r="C189" s="54">
        <f>IF(_imp!$C$191="","",INDEX(_imp!$F$4:$F$4503,_imp!$C$191))</f>
        <v/>
      </c>
      <c r="D189" s="54">
        <f>IF(_imp!$C$191="","",INDEX(_imp!$G$4:$G$4503,_imp!$C$191))</f>
        <v/>
      </c>
      <c r="E189" s="54">
        <f>IF(_imp!$C$191="","",INDEX(_imp!$H$4:$H$4503,_imp!$C$191))</f>
        <v/>
      </c>
      <c r="F189" s="54">
        <f>IF(_imp!$C$191="","",INDEX(_imp!$I$4:$I$4503,_imp!$C$191))</f>
        <v/>
      </c>
      <c r="G189" s="54">
        <f>IF(_imp!$C$191="","",INDEX(_imp!$J$4:$J$4503,_imp!$C$191))</f>
        <v/>
      </c>
      <c r="K189" s="54">
        <f>IF(_imp!$C$191="","",INDEX(_imp!$K$4:$K$4503,_imp!$C$191))</f>
        <v/>
      </c>
    </row>
    <row r="190">
      <c r="A190" s="54">
        <f>IF(_imp!$C$192="","",INDEX(_imp!$D$4:$D$4503,_imp!$C$192))</f>
        <v/>
      </c>
      <c r="B190" s="54">
        <f>IF(_imp!$C$192="","",INDEX(_imp!$E$4:$E$4503,_imp!$C$192))</f>
        <v/>
      </c>
      <c r="C190" s="54">
        <f>IF(_imp!$C$192="","",INDEX(_imp!$F$4:$F$4503,_imp!$C$192))</f>
        <v/>
      </c>
      <c r="D190" s="54">
        <f>IF(_imp!$C$192="","",INDEX(_imp!$G$4:$G$4503,_imp!$C$192))</f>
        <v/>
      </c>
      <c r="E190" s="54">
        <f>IF(_imp!$C$192="","",INDEX(_imp!$H$4:$H$4503,_imp!$C$192))</f>
        <v/>
      </c>
      <c r="F190" s="54">
        <f>IF(_imp!$C$192="","",INDEX(_imp!$I$4:$I$4503,_imp!$C$192))</f>
        <v/>
      </c>
      <c r="G190" s="54">
        <f>IF(_imp!$C$192="","",INDEX(_imp!$J$4:$J$4503,_imp!$C$192))</f>
        <v/>
      </c>
      <c r="K190" s="54">
        <f>IF(_imp!$C$192="","",INDEX(_imp!$K$4:$K$4503,_imp!$C$192))</f>
        <v/>
      </c>
    </row>
    <row r="191">
      <c r="A191" s="54">
        <f>IF(_imp!$C$193="","",INDEX(_imp!$D$4:$D$4503,_imp!$C$193))</f>
        <v/>
      </c>
      <c r="B191" s="54">
        <f>IF(_imp!$C$193="","",INDEX(_imp!$E$4:$E$4503,_imp!$C$193))</f>
        <v/>
      </c>
      <c r="C191" s="54">
        <f>IF(_imp!$C$193="","",INDEX(_imp!$F$4:$F$4503,_imp!$C$193))</f>
        <v/>
      </c>
      <c r="D191" s="54">
        <f>IF(_imp!$C$193="","",INDEX(_imp!$G$4:$G$4503,_imp!$C$193))</f>
        <v/>
      </c>
      <c r="E191" s="54">
        <f>IF(_imp!$C$193="","",INDEX(_imp!$H$4:$H$4503,_imp!$C$193))</f>
        <v/>
      </c>
      <c r="F191" s="54">
        <f>IF(_imp!$C$193="","",INDEX(_imp!$I$4:$I$4503,_imp!$C$193))</f>
        <v/>
      </c>
      <c r="G191" s="54">
        <f>IF(_imp!$C$193="","",INDEX(_imp!$J$4:$J$4503,_imp!$C$193))</f>
        <v/>
      </c>
      <c r="K191" s="54">
        <f>IF(_imp!$C$193="","",INDEX(_imp!$K$4:$K$4503,_imp!$C$193))</f>
        <v/>
      </c>
    </row>
    <row r="192">
      <c r="A192" s="54">
        <f>IF(_imp!$C$194="","",INDEX(_imp!$D$4:$D$4503,_imp!$C$194))</f>
        <v/>
      </c>
      <c r="B192" s="54">
        <f>IF(_imp!$C$194="","",INDEX(_imp!$E$4:$E$4503,_imp!$C$194))</f>
        <v/>
      </c>
      <c r="C192" s="54">
        <f>IF(_imp!$C$194="","",INDEX(_imp!$F$4:$F$4503,_imp!$C$194))</f>
        <v/>
      </c>
      <c r="D192" s="54">
        <f>IF(_imp!$C$194="","",INDEX(_imp!$G$4:$G$4503,_imp!$C$194))</f>
        <v/>
      </c>
      <c r="E192" s="54">
        <f>IF(_imp!$C$194="","",INDEX(_imp!$H$4:$H$4503,_imp!$C$194))</f>
        <v/>
      </c>
      <c r="F192" s="54">
        <f>IF(_imp!$C$194="","",INDEX(_imp!$I$4:$I$4503,_imp!$C$194))</f>
        <v/>
      </c>
      <c r="G192" s="54">
        <f>IF(_imp!$C$194="","",INDEX(_imp!$J$4:$J$4503,_imp!$C$194))</f>
        <v/>
      </c>
      <c r="K192" s="54">
        <f>IF(_imp!$C$194="","",INDEX(_imp!$K$4:$K$4503,_imp!$C$194))</f>
        <v/>
      </c>
    </row>
    <row r="193">
      <c r="A193" s="54">
        <f>IF(_imp!$C$195="","",INDEX(_imp!$D$4:$D$4503,_imp!$C$195))</f>
        <v/>
      </c>
      <c r="B193" s="54">
        <f>IF(_imp!$C$195="","",INDEX(_imp!$E$4:$E$4503,_imp!$C$195))</f>
        <v/>
      </c>
      <c r="C193" s="54">
        <f>IF(_imp!$C$195="","",INDEX(_imp!$F$4:$F$4503,_imp!$C$195))</f>
        <v/>
      </c>
      <c r="D193" s="54">
        <f>IF(_imp!$C$195="","",INDEX(_imp!$G$4:$G$4503,_imp!$C$195))</f>
        <v/>
      </c>
      <c r="E193" s="54">
        <f>IF(_imp!$C$195="","",INDEX(_imp!$H$4:$H$4503,_imp!$C$195))</f>
        <v/>
      </c>
      <c r="F193" s="54">
        <f>IF(_imp!$C$195="","",INDEX(_imp!$I$4:$I$4503,_imp!$C$195))</f>
        <v/>
      </c>
      <c r="G193" s="54">
        <f>IF(_imp!$C$195="","",INDEX(_imp!$J$4:$J$4503,_imp!$C$195))</f>
        <v/>
      </c>
      <c r="K193" s="54">
        <f>IF(_imp!$C$195="","",INDEX(_imp!$K$4:$K$4503,_imp!$C$195))</f>
        <v/>
      </c>
    </row>
    <row r="194">
      <c r="A194" s="54">
        <f>IF(_imp!$C$196="","",INDEX(_imp!$D$4:$D$4503,_imp!$C$196))</f>
        <v/>
      </c>
      <c r="B194" s="54">
        <f>IF(_imp!$C$196="","",INDEX(_imp!$E$4:$E$4503,_imp!$C$196))</f>
        <v/>
      </c>
      <c r="C194" s="54">
        <f>IF(_imp!$C$196="","",INDEX(_imp!$F$4:$F$4503,_imp!$C$196))</f>
        <v/>
      </c>
      <c r="D194" s="54">
        <f>IF(_imp!$C$196="","",INDEX(_imp!$G$4:$G$4503,_imp!$C$196))</f>
        <v/>
      </c>
      <c r="E194" s="54">
        <f>IF(_imp!$C$196="","",INDEX(_imp!$H$4:$H$4503,_imp!$C$196))</f>
        <v/>
      </c>
      <c r="F194" s="54">
        <f>IF(_imp!$C$196="","",INDEX(_imp!$I$4:$I$4503,_imp!$C$196))</f>
        <v/>
      </c>
      <c r="G194" s="54">
        <f>IF(_imp!$C$196="","",INDEX(_imp!$J$4:$J$4503,_imp!$C$196))</f>
        <v/>
      </c>
      <c r="K194" s="54">
        <f>IF(_imp!$C$196="","",INDEX(_imp!$K$4:$K$4503,_imp!$C$196))</f>
        <v/>
      </c>
    </row>
    <row r="195">
      <c r="A195" s="54">
        <f>IF(_imp!$C$197="","",INDEX(_imp!$D$4:$D$4503,_imp!$C$197))</f>
        <v/>
      </c>
      <c r="B195" s="54">
        <f>IF(_imp!$C$197="","",INDEX(_imp!$E$4:$E$4503,_imp!$C$197))</f>
        <v/>
      </c>
      <c r="C195" s="54">
        <f>IF(_imp!$C$197="","",INDEX(_imp!$F$4:$F$4503,_imp!$C$197))</f>
        <v/>
      </c>
      <c r="D195" s="54">
        <f>IF(_imp!$C$197="","",INDEX(_imp!$G$4:$G$4503,_imp!$C$197))</f>
        <v/>
      </c>
      <c r="E195" s="54">
        <f>IF(_imp!$C$197="","",INDEX(_imp!$H$4:$H$4503,_imp!$C$197))</f>
        <v/>
      </c>
      <c r="F195" s="54">
        <f>IF(_imp!$C$197="","",INDEX(_imp!$I$4:$I$4503,_imp!$C$197))</f>
        <v/>
      </c>
      <c r="G195" s="54">
        <f>IF(_imp!$C$197="","",INDEX(_imp!$J$4:$J$4503,_imp!$C$197))</f>
        <v/>
      </c>
      <c r="K195" s="54">
        <f>IF(_imp!$C$197="","",INDEX(_imp!$K$4:$K$4503,_imp!$C$197))</f>
        <v/>
      </c>
    </row>
    <row r="196">
      <c r="A196" s="54">
        <f>IF(_imp!$C$198="","",INDEX(_imp!$D$4:$D$4503,_imp!$C$198))</f>
        <v/>
      </c>
      <c r="B196" s="54">
        <f>IF(_imp!$C$198="","",INDEX(_imp!$E$4:$E$4503,_imp!$C$198))</f>
        <v/>
      </c>
      <c r="C196" s="54">
        <f>IF(_imp!$C$198="","",INDEX(_imp!$F$4:$F$4503,_imp!$C$198))</f>
        <v/>
      </c>
      <c r="D196" s="54">
        <f>IF(_imp!$C$198="","",INDEX(_imp!$G$4:$G$4503,_imp!$C$198))</f>
        <v/>
      </c>
      <c r="E196" s="54">
        <f>IF(_imp!$C$198="","",INDEX(_imp!$H$4:$H$4503,_imp!$C$198))</f>
        <v/>
      </c>
      <c r="F196" s="54">
        <f>IF(_imp!$C$198="","",INDEX(_imp!$I$4:$I$4503,_imp!$C$198))</f>
        <v/>
      </c>
      <c r="G196" s="54">
        <f>IF(_imp!$C$198="","",INDEX(_imp!$J$4:$J$4503,_imp!$C$198))</f>
        <v/>
      </c>
      <c r="K196" s="54">
        <f>IF(_imp!$C$198="","",INDEX(_imp!$K$4:$K$4503,_imp!$C$198))</f>
        <v/>
      </c>
    </row>
    <row r="197">
      <c r="A197" s="54">
        <f>IF(_imp!$C$199="","",INDEX(_imp!$D$4:$D$4503,_imp!$C$199))</f>
        <v/>
      </c>
      <c r="B197" s="54">
        <f>IF(_imp!$C$199="","",INDEX(_imp!$E$4:$E$4503,_imp!$C$199))</f>
        <v/>
      </c>
      <c r="C197" s="54">
        <f>IF(_imp!$C$199="","",INDEX(_imp!$F$4:$F$4503,_imp!$C$199))</f>
        <v/>
      </c>
      <c r="D197" s="54">
        <f>IF(_imp!$C$199="","",INDEX(_imp!$G$4:$G$4503,_imp!$C$199))</f>
        <v/>
      </c>
      <c r="E197" s="54">
        <f>IF(_imp!$C$199="","",INDEX(_imp!$H$4:$H$4503,_imp!$C$199))</f>
        <v/>
      </c>
      <c r="F197" s="54">
        <f>IF(_imp!$C$199="","",INDEX(_imp!$I$4:$I$4503,_imp!$C$199))</f>
        <v/>
      </c>
      <c r="G197" s="54">
        <f>IF(_imp!$C$199="","",INDEX(_imp!$J$4:$J$4503,_imp!$C$199))</f>
        <v/>
      </c>
      <c r="K197" s="54">
        <f>IF(_imp!$C$199="","",INDEX(_imp!$K$4:$K$4503,_imp!$C$199))</f>
        <v/>
      </c>
    </row>
    <row r="198">
      <c r="A198" s="54">
        <f>IF(_imp!$C$200="","",INDEX(_imp!$D$4:$D$4503,_imp!$C$200))</f>
        <v/>
      </c>
      <c r="B198" s="54">
        <f>IF(_imp!$C$200="","",INDEX(_imp!$E$4:$E$4503,_imp!$C$200))</f>
        <v/>
      </c>
      <c r="C198" s="54">
        <f>IF(_imp!$C$200="","",INDEX(_imp!$F$4:$F$4503,_imp!$C$200))</f>
        <v/>
      </c>
      <c r="D198" s="54">
        <f>IF(_imp!$C$200="","",INDEX(_imp!$G$4:$G$4503,_imp!$C$200))</f>
        <v/>
      </c>
      <c r="E198" s="54">
        <f>IF(_imp!$C$200="","",INDEX(_imp!$H$4:$H$4503,_imp!$C$200))</f>
        <v/>
      </c>
      <c r="F198" s="54">
        <f>IF(_imp!$C$200="","",INDEX(_imp!$I$4:$I$4503,_imp!$C$200))</f>
        <v/>
      </c>
      <c r="G198" s="54">
        <f>IF(_imp!$C$200="","",INDEX(_imp!$J$4:$J$4503,_imp!$C$200))</f>
        <v/>
      </c>
      <c r="K198" s="54">
        <f>IF(_imp!$C$200="","",INDEX(_imp!$K$4:$K$4503,_imp!$C$200))</f>
        <v/>
      </c>
    </row>
    <row r="199">
      <c r="A199" s="54">
        <f>IF(_imp!$C$201="","",INDEX(_imp!$D$4:$D$4503,_imp!$C$201))</f>
        <v/>
      </c>
      <c r="B199" s="54">
        <f>IF(_imp!$C$201="","",INDEX(_imp!$E$4:$E$4503,_imp!$C$201))</f>
        <v/>
      </c>
      <c r="C199" s="54">
        <f>IF(_imp!$C$201="","",INDEX(_imp!$F$4:$F$4503,_imp!$C$201))</f>
        <v/>
      </c>
      <c r="D199" s="54">
        <f>IF(_imp!$C$201="","",INDEX(_imp!$G$4:$G$4503,_imp!$C$201))</f>
        <v/>
      </c>
      <c r="E199" s="54">
        <f>IF(_imp!$C$201="","",INDEX(_imp!$H$4:$H$4503,_imp!$C$201))</f>
        <v/>
      </c>
      <c r="F199" s="54">
        <f>IF(_imp!$C$201="","",INDEX(_imp!$I$4:$I$4503,_imp!$C$201))</f>
        <v/>
      </c>
      <c r="G199" s="54">
        <f>IF(_imp!$C$201="","",INDEX(_imp!$J$4:$J$4503,_imp!$C$201))</f>
        <v/>
      </c>
      <c r="K199" s="54">
        <f>IF(_imp!$C$201="","",INDEX(_imp!$K$4:$K$4503,_imp!$C$201))</f>
        <v/>
      </c>
    </row>
    <row r="200">
      <c r="A200" s="54">
        <f>IF(_imp!$C$202="","",INDEX(_imp!$D$4:$D$4503,_imp!$C$202))</f>
        <v/>
      </c>
      <c r="B200" s="54">
        <f>IF(_imp!$C$202="","",INDEX(_imp!$E$4:$E$4503,_imp!$C$202))</f>
        <v/>
      </c>
      <c r="C200" s="54">
        <f>IF(_imp!$C$202="","",INDEX(_imp!$F$4:$F$4503,_imp!$C$202))</f>
        <v/>
      </c>
      <c r="D200" s="54">
        <f>IF(_imp!$C$202="","",INDEX(_imp!$G$4:$G$4503,_imp!$C$202))</f>
        <v/>
      </c>
      <c r="E200" s="54">
        <f>IF(_imp!$C$202="","",INDEX(_imp!$H$4:$H$4503,_imp!$C$202))</f>
        <v/>
      </c>
      <c r="F200" s="54">
        <f>IF(_imp!$C$202="","",INDEX(_imp!$I$4:$I$4503,_imp!$C$202))</f>
        <v/>
      </c>
      <c r="G200" s="54">
        <f>IF(_imp!$C$202="","",INDEX(_imp!$J$4:$J$4503,_imp!$C$202))</f>
        <v/>
      </c>
      <c r="K200" s="54">
        <f>IF(_imp!$C$202="","",INDEX(_imp!$K$4:$K$4503,_imp!$C$202))</f>
        <v/>
      </c>
    </row>
    <row r="201">
      <c r="A201" s="54">
        <f>IF(_imp!$C$203="","",INDEX(_imp!$D$4:$D$4503,_imp!$C$203))</f>
        <v/>
      </c>
      <c r="B201" s="54">
        <f>IF(_imp!$C$203="","",INDEX(_imp!$E$4:$E$4503,_imp!$C$203))</f>
        <v/>
      </c>
      <c r="C201" s="54">
        <f>IF(_imp!$C$203="","",INDEX(_imp!$F$4:$F$4503,_imp!$C$203))</f>
        <v/>
      </c>
      <c r="D201" s="54">
        <f>IF(_imp!$C$203="","",INDEX(_imp!$G$4:$G$4503,_imp!$C$203))</f>
        <v/>
      </c>
      <c r="E201" s="54">
        <f>IF(_imp!$C$203="","",INDEX(_imp!$H$4:$H$4503,_imp!$C$203))</f>
        <v/>
      </c>
      <c r="F201" s="54">
        <f>IF(_imp!$C$203="","",INDEX(_imp!$I$4:$I$4503,_imp!$C$203))</f>
        <v/>
      </c>
      <c r="G201" s="54">
        <f>IF(_imp!$C$203="","",INDEX(_imp!$J$4:$J$4503,_imp!$C$203))</f>
        <v/>
      </c>
      <c r="K201" s="54">
        <f>IF(_imp!$C$203="","",INDEX(_imp!$K$4:$K$4503,_imp!$C$203))</f>
        <v/>
      </c>
    </row>
    <row r="202">
      <c r="A202" s="54">
        <f>IF(_imp!$C$204="","",INDEX(_imp!$D$4:$D$4503,_imp!$C$204))</f>
        <v/>
      </c>
      <c r="B202" s="54">
        <f>IF(_imp!$C$204="","",INDEX(_imp!$E$4:$E$4503,_imp!$C$204))</f>
        <v/>
      </c>
      <c r="C202" s="54">
        <f>IF(_imp!$C$204="","",INDEX(_imp!$F$4:$F$4503,_imp!$C$204))</f>
        <v/>
      </c>
      <c r="D202" s="54">
        <f>IF(_imp!$C$204="","",INDEX(_imp!$G$4:$G$4503,_imp!$C$204))</f>
        <v/>
      </c>
      <c r="E202" s="54">
        <f>IF(_imp!$C$204="","",INDEX(_imp!$H$4:$H$4503,_imp!$C$204))</f>
        <v/>
      </c>
      <c r="F202" s="54">
        <f>IF(_imp!$C$204="","",INDEX(_imp!$I$4:$I$4503,_imp!$C$204))</f>
        <v/>
      </c>
      <c r="G202" s="54">
        <f>IF(_imp!$C$204="","",INDEX(_imp!$J$4:$J$4503,_imp!$C$204))</f>
        <v/>
      </c>
      <c r="K202" s="54">
        <f>IF(_imp!$C$204="","",INDEX(_imp!$K$4:$K$4503,_imp!$C$204))</f>
        <v/>
      </c>
    </row>
    <row r="203">
      <c r="A203" s="54">
        <f>IF(_imp!$C$205="","",INDEX(_imp!$D$4:$D$4503,_imp!$C$205))</f>
        <v/>
      </c>
      <c r="B203" s="54">
        <f>IF(_imp!$C$205="","",INDEX(_imp!$E$4:$E$4503,_imp!$C$205))</f>
        <v/>
      </c>
      <c r="C203" s="54">
        <f>IF(_imp!$C$205="","",INDEX(_imp!$F$4:$F$4503,_imp!$C$205))</f>
        <v/>
      </c>
      <c r="D203" s="54">
        <f>IF(_imp!$C$205="","",INDEX(_imp!$G$4:$G$4503,_imp!$C$205))</f>
        <v/>
      </c>
      <c r="E203" s="54">
        <f>IF(_imp!$C$205="","",INDEX(_imp!$H$4:$H$4503,_imp!$C$205))</f>
        <v/>
      </c>
      <c r="F203" s="54">
        <f>IF(_imp!$C$205="","",INDEX(_imp!$I$4:$I$4503,_imp!$C$205))</f>
        <v/>
      </c>
      <c r="G203" s="54">
        <f>IF(_imp!$C$205="","",INDEX(_imp!$J$4:$J$4503,_imp!$C$205))</f>
        <v/>
      </c>
      <c r="K203" s="54">
        <f>IF(_imp!$C$205="","",INDEX(_imp!$K$4:$K$4503,_imp!$C$205))</f>
        <v/>
      </c>
    </row>
    <row r="204">
      <c r="A204" s="54">
        <f>IF(_imp!$C$206="","",INDEX(_imp!$D$4:$D$4503,_imp!$C$206))</f>
        <v/>
      </c>
      <c r="B204" s="54">
        <f>IF(_imp!$C$206="","",INDEX(_imp!$E$4:$E$4503,_imp!$C$206))</f>
        <v/>
      </c>
      <c r="C204" s="54">
        <f>IF(_imp!$C$206="","",INDEX(_imp!$F$4:$F$4503,_imp!$C$206))</f>
        <v/>
      </c>
      <c r="D204" s="54">
        <f>IF(_imp!$C$206="","",INDEX(_imp!$G$4:$G$4503,_imp!$C$206))</f>
        <v/>
      </c>
      <c r="E204" s="54">
        <f>IF(_imp!$C$206="","",INDEX(_imp!$H$4:$H$4503,_imp!$C$206))</f>
        <v/>
      </c>
      <c r="F204" s="54">
        <f>IF(_imp!$C$206="","",INDEX(_imp!$I$4:$I$4503,_imp!$C$206))</f>
        <v/>
      </c>
      <c r="G204" s="54">
        <f>IF(_imp!$C$206="","",INDEX(_imp!$J$4:$J$4503,_imp!$C$206))</f>
        <v/>
      </c>
      <c r="K204" s="54">
        <f>IF(_imp!$C$206="","",INDEX(_imp!$K$4:$K$4503,_imp!$C$206))</f>
        <v/>
      </c>
    </row>
    <row r="205">
      <c r="A205" s="54">
        <f>IF(_imp!$C$207="","",INDEX(_imp!$D$4:$D$4503,_imp!$C$207))</f>
        <v/>
      </c>
      <c r="B205" s="54">
        <f>IF(_imp!$C$207="","",INDEX(_imp!$E$4:$E$4503,_imp!$C$207))</f>
        <v/>
      </c>
      <c r="C205" s="54">
        <f>IF(_imp!$C$207="","",INDEX(_imp!$F$4:$F$4503,_imp!$C$207))</f>
        <v/>
      </c>
      <c r="D205" s="54">
        <f>IF(_imp!$C$207="","",INDEX(_imp!$G$4:$G$4503,_imp!$C$207))</f>
        <v/>
      </c>
      <c r="E205" s="54">
        <f>IF(_imp!$C$207="","",INDEX(_imp!$H$4:$H$4503,_imp!$C$207))</f>
        <v/>
      </c>
      <c r="F205" s="54">
        <f>IF(_imp!$C$207="","",INDEX(_imp!$I$4:$I$4503,_imp!$C$207))</f>
        <v/>
      </c>
      <c r="G205" s="54">
        <f>IF(_imp!$C$207="","",INDEX(_imp!$J$4:$J$4503,_imp!$C$207))</f>
        <v/>
      </c>
      <c r="K205" s="54">
        <f>IF(_imp!$C$207="","",INDEX(_imp!$K$4:$K$4503,_imp!$C$207))</f>
        <v/>
      </c>
    </row>
    <row r="206">
      <c r="A206" s="54">
        <f>IF(_imp!$C$208="","",INDEX(_imp!$D$4:$D$4503,_imp!$C$208))</f>
        <v/>
      </c>
      <c r="B206" s="54">
        <f>IF(_imp!$C$208="","",INDEX(_imp!$E$4:$E$4503,_imp!$C$208))</f>
        <v/>
      </c>
      <c r="C206" s="54">
        <f>IF(_imp!$C$208="","",INDEX(_imp!$F$4:$F$4503,_imp!$C$208))</f>
        <v/>
      </c>
      <c r="D206" s="54">
        <f>IF(_imp!$C$208="","",INDEX(_imp!$G$4:$G$4503,_imp!$C$208))</f>
        <v/>
      </c>
      <c r="E206" s="54">
        <f>IF(_imp!$C$208="","",INDEX(_imp!$H$4:$H$4503,_imp!$C$208))</f>
        <v/>
      </c>
      <c r="F206" s="54">
        <f>IF(_imp!$C$208="","",INDEX(_imp!$I$4:$I$4503,_imp!$C$208))</f>
        <v/>
      </c>
      <c r="G206" s="54">
        <f>IF(_imp!$C$208="","",INDEX(_imp!$J$4:$J$4503,_imp!$C$208))</f>
        <v/>
      </c>
      <c r="K206" s="54">
        <f>IF(_imp!$C$208="","",INDEX(_imp!$K$4:$K$4503,_imp!$C$208))</f>
        <v/>
      </c>
    </row>
    <row r="207">
      <c r="A207" s="54">
        <f>IF(_imp!$C$209="","",INDEX(_imp!$D$4:$D$4503,_imp!$C$209))</f>
        <v/>
      </c>
      <c r="B207" s="54">
        <f>IF(_imp!$C$209="","",INDEX(_imp!$E$4:$E$4503,_imp!$C$209))</f>
        <v/>
      </c>
      <c r="C207" s="54">
        <f>IF(_imp!$C$209="","",INDEX(_imp!$F$4:$F$4503,_imp!$C$209))</f>
        <v/>
      </c>
      <c r="D207" s="54">
        <f>IF(_imp!$C$209="","",INDEX(_imp!$G$4:$G$4503,_imp!$C$209))</f>
        <v/>
      </c>
      <c r="E207" s="54">
        <f>IF(_imp!$C$209="","",INDEX(_imp!$H$4:$H$4503,_imp!$C$209))</f>
        <v/>
      </c>
      <c r="F207" s="54">
        <f>IF(_imp!$C$209="","",INDEX(_imp!$I$4:$I$4503,_imp!$C$209))</f>
        <v/>
      </c>
      <c r="G207" s="54">
        <f>IF(_imp!$C$209="","",INDEX(_imp!$J$4:$J$4503,_imp!$C$209))</f>
        <v/>
      </c>
      <c r="K207" s="54">
        <f>IF(_imp!$C$209="","",INDEX(_imp!$K$4:$K$4503,_imp!$C$209))</f>
        <v/>
      </c>
    </row>
    <row r="208">
      <c r="A208" s="54">
        <f>IF(_imp!$C$210="","",INDEX(_imp!$D$4:$D$4503,_imp!$C$210))</f>
        <v/>
      </c>
      <c r="B208" s="54">
        <f>IF(_imp!$C$210="","",INDEX(_imp!$E$4:$E$4503,_imp!$C$210))</f>
        <v/>
      </c>
      <c r="C208" s="54">
        <f>IF(_imp!$C$210="","",INDEX(_imp!$F$4:$F$4503,_imp!$C$210))</f>
        <v/>
      </c>
      <c r="D208" s="54">
        <f>IF(_imp!$C$210="","",INDEX(_imp!$G$4:$G$4503,_imp!$C$210))</f>
        <v/>
      </c>
      <c r="E208" s="54">
        <f>IF(_imp!$C$210="","",INDEX(_imp!$H$4:$H$4503,_imp!$C$210))</f>
        <v/>
      </c>
      <c r="F208" s="54">
        <f>IF(_imp!$C$210="","",INDEX(_imp!$I$4:$I$4503,_imp!$C$210))</f>
        <v/>
      </c>
      <c r="G208" s="54">
        <f>IF(_imp!$C$210="","",INDEX(_imp!$J$4:$J$4503,_imp!$C$210))</f>
        <v/>
      </c>
      <c r="K208" s="54">
        <f>IF(_imp!$C$210="","",INDEX(_imp!$K$4:$K$4503,_imp!$C$210))</f>
        <v/>
      </c>
    </row>
    <row r="209">
      <c r="A209" s="54">
        <f>IF(_imp!$C$211="","",INDEX(_imp!$D$4:$D$4503,_imp!$C$211))</f>
        <v/>
      </c>
      <c r="B209" s="54">
        <f>IF(_imp!$C$211="","",INDEX(_imp!$E$4:$E$4503,_imp!$C$211))</f>
        <v/>
      </c>
      <c r="C209" s="54">
        <f>IF(_imp!$C$211="","",INDEX(_imp!$F$4:$F$4503,_imp!$C$211))</f>
        <v/>
      </c>
      <c r="D209" s="54">
        <f>IF(_imp!$C$211="","",INDEX(_imp!$G$4:$G$4503,_imp!$C$211))</f>
        <v/>
      </c>
      <c r="E209" s="54">
        <f>IF(_imp!$C$211="","",INDEX(_imp!$H$4:$H$4503,_imp!$C$211))</f>
        <v/>
      </c>
      <c r="F209" s="54">
        <f>IF(_imp!$C$211="","",INDEX(_imp!$I$4:$I$4503,_imp!$C$211))</f>
        <v/>
      </c>
      <c r="G209" s="54">
        <f>IF(_imp!$C$211="","",INDEX(_imp!$J$4:$J$4503,_imp!$C$211))</f>
        <v/>
      </c>
      <c r="K209" s="54">
        <f>IF(_imp!$C$211="","",INDEX(_imp!$K$4:$K$4503,_imp!$C$211))</f>
        <v/>
      </c>
    </row>
    <row r="210">
      <c r="A210" s="54">
        <f>IF(_imp!$C$212="","",INDEX(_imp!$D$4:$D$4503,_imp!$C$212))</f>
        <v/>
      </c>
      <c r="B210" s="54">
        <f>IF(_imp!$C$212="","",INDEX(_imp!$E$4:$E$4503,_imp!$C$212))</f>
        <v/>
      </c>
      <c r="C210" s="54">
        <f>IF(_imp!$C$212="","",INDEX(_imp!$F$4:$F$4503,_imp!$C$212))</f>
        <v/>
      </c>
      <c r="D210" s="54">
        <f>IF(_imp!$C$212="","",INDEX(_imp!$G$4:$G$4503,_imp!$C$212))</f>
        <v/>
      </c>
      <c r="E210" s="54">
        <f>IF(_imp!$C$212="","",INDEX(_imp!$H$4:$H$4503,_imp!$C$212))</f>
        <v/>
      </c>
      <c r="F210" s="54">
        <f>IF(_imp!$C$212="","",INDEX(_imp!$I$4:$I$4503,_imp!$C$212))</f>
        <v/>
      </c>
      <c r="G210" s="54">
        <f>IF(_imp!$C$212="","",INDEX(_imp!$J$4:$J$4503,_imp!$C$212))</f>
        <v/>
      </c>
      <c r="K210" s="54">
        <f>IF(_imp!$C$212="","",INDEX(_imp!$K$4:$K$4503,_imp!$C$212))</f>
        <v/>
      </c>
    </row>
    <row r="211">
      <c r="A211" s="54">
        <f>IF(_imp!$C$213="","",INDEX(_imp!$D$4:$D$4503,_imp!$C$213))</f>
        <v/>
      </c>
      <c r="B211" s="54">
        <f>IF(_imp!$C$213="","",INDEX(_imp!$E$4:$E$4503,_imp!$C$213))</f>
        <v/>
      </c>
      <c r="C211" s="54">
        <f>IF(_imp!$C$213="","",INDEX(_imp!$F$4:$F$4503,_imp!$C$213))</f>
        <v/>
      </c>
      <c r="D211" s="54">
        <f>IF(_imp!$C$213="","",INDEX(_imp!$G$4:$G$4503,_imp!$C$213))</f>
        <v/>
      </c>
      <c r="E211" s="54">
        <f>IF(_imp!$C$213="","",INDEX(_imp!$H$4:$H$4503,_imp!$C$213))</f>
        <v/>
      </c>
      <c r="F211" s="54">
        <f>IF(_imp!$C$213="","",INDEX(_imp!$I$4:$I$4503,_imp!$C$213))</f>
        <v/>
      </c>
      <c r="G211" s="54">
        <f>IF(_imp!$C$213="","",INDEX(_imp!$J$4:$J$4503,_imp!$C$213))</f>
        <v/>
      </c>
      <c r="K211" s="54">
        <f>IF(_imp!$C$213="","",INDEX(_imp!$K$4:$K$4503,_imp!$C$213))</f>
        <v/>
      </c>
    </row>
    <row r="212">
      <c r="A212" s="54">
        <f>IF(_imp!$C$214="","",INDEX(_imp!$D$4:$D$4503,_imp!$C$214))</f>
        <v/>
      </c>
      <c r="B212" s="54">
        <f>IF(_imp!$C$214="","",INDEX(_imp!$E$4:$E$4503,_imp!$C$214))</f>
        <v/>
      </c>
      <c r="C212" s="54">
        <f>IF(_imp!$C$214="","",INDEX(_imp!$F$4:$F$4503,_imp!$C$214))</f>
        <v/>
      </c>
      <c r="D212" s="54">
        <f>IF(_imp!$C$214="","",INDEX(_imp!$G$4:$G$4503,_imp!$C$214))</f>
        <v/>
      </c>
      <c r="E212" s="54">
        <f>IF(_imp!$C$214="","",INDEX(_imp!$H$4:$H$4503,_imp!$C$214))</f>
        <v/>
      </c>
      <c r="F212" s="54">
        <f>IF(_imp!$C$214="","",INDEX(_imp!$I$4:$I$4503,_imp!$C$214))</f>
        <v/>
      </c>
      <c r="G212" s="54">
        <f>IF(_imp!$C$214="","",INDEX(_imp!$J$4:$J$4503,_imp!$C$214))</f>
        <v/>
      </c>
      <c r="K212" s="54">
        <f>IF(_imp!$C$214="","",INDEX(_imp!$K$4:$K$4503,_imp!$C$214))</f>
        <v/>
      </c>
    </row>
    <row r="213">
      <c r="A213" s="54">
        <f>IF(_imp!$C$215="","",INDEX(_imp!$D$4:$D$4503,_imp!$C$215))</f>
        <v/>
      </c>
      <c r="B213" s="54">
        <f>IF(_imp!$C$215="","",INDEX(_imp!$E$4:$E$4503,_imp!$C$215))</f>
        <v/>
      </c>
      <c r="C213" s="54">
        <f>IF(_imp!$C$215="","",INDEX(_imp!$F$4:$F$4503,_imp!$C$215))</f>
        <v/>
      </c>
      <c r="D213" s="54">
        <f>IF(_imp!$C$215="","",INDEX(_imp!$G$4:$G$4503,_imp!$C$215))</f>
        <v/>
      </c>
      <c r="E213" s="54">
        <f>IF(_imp!$C$215="","",INDEX(_imp!$H$4:$H$4503,_imp!$C$215))</f>
        <v/>
      </c>
      <c r="F213" s="54">
        <f>IF(_imp!$C$215="","",INDEX(_imp!$I$4:$I$4503,_imp!$C$215))</f>
        <v/>
      </c>
      <c r="G213" s="54">
        <f>IF(_imp!$C$215="","",INDEX(_imp!$J$4:$J$4503,_imp!$C$215))</f>
        <v/>
      </c>
      <c r="K213" s="54">
        <f>IF(_imp!$C$215="","",INDEX(_imp!$K$4:$K$4503,_imp!$C$215))</f>
        <v/>
      </c>
    </row>
    <row r="214">
      <c r="A214" s="54">
        <f>IF(_imp!$C$216="","",INDEX(_imp!$D$4:$D$4503,_imp!$C$216))</f>
        <v/>
      </c>
      <c r="B214" s="54">
        <f>IF(_imp!$C$216="","",INDEX(_imp!$E$4:$E$4503,_imp!$C$216))</f>
        <v/>
      </c>
      <c r="C214" s="54">
        <f>IF(_imp!$C$216="","",INDEX(_imp!$F$4:$F$4503,_imp!$C$216))</f>
        <v/>
      </c>
      <c r="D214" s="54">
        <f>IF(_imp!$C$216="","",INDEX(_imp!$G$4:$G$4503,_imp!$C$216))</f>
        <v/>
      </c>
      <c r="E214" s="54">
        <f>IF(_imp!$C$216="","",INDEX(_imp!$H$4:$H$4503,_imp!$C$216))</f>
        <v/>
      </c>
      <c r="F214" s="54">
        <f>IF(_imp!$C$216="","",INDEX(_imp!$I$4:$I$4503,_imp!$C$216))</f>
        <v/>
      </c>
      <c r="G214" s="54">
        <f>IF(_imp!$C$216="","",INDEX(_imp!$J$4:$J$4503,_imp!$C$216))</f>
        <v/>
      </c>
      <c r="K214" s="54">
        <f>IF(_imp!$C$216="","",INDEX(_imp!$K$4:$K$4503,_imp!$C$216))</f>
        <v/>
      </c>
    </row>
    <row r="215">
      <c r="A215" s="54">
        <f>IF(_imp!$C$217="","",INDEX(_imp!$D$4:$D$4503,_imp!$C$217))</f>
        <v/>
      </c>
      <c r="B215" s="54">
        <f>IF(_imp!$C$217="","",INDEX(_imp!$E$4:$E$4503,_imp!$C$217))</f>
        <v/>
      </c>
      <c r="C215" s="54">
        <f>IF(_imp!$C$217="","",INDEX(_imp!$F$4:$F$4503,_imp!$C$217))</f>
        <v/>
      </c>
      <c r="D215" s="54">
        <f>IF(_imp!$C$217="","",INDEX(_imp!$G$4:$G$4503,_imp!$C$217))</f>
        <v/>
      </c>
      <c r="E215" s="54">
        <f>IF(_imp!$C$217="","",INDEX(_imp!$H$4:$H$4503,_imp!$C$217))</f>
        <v/>
      </c>
      <c r="F215" s="54">
        <f>IF(_imp!$C$217="","",INDEX(_imp!$I$4:$I$4503,_imp!$C$217))</f>
        <v/>
      </c>
      <c r="G215" s="54">
        <f>IF(_imp!$C$217="","",INDEX(_imp!$J$4:$J$4503,_imp!$C$217))</f>
        <v/>
      </c>
      <c r="K215" s="54">
        <f>IF(_imp!$C$217="","",INDEX(_imp!$K$4:$K$4503,_imp!$C$217))</f>
        <v/>
      </c>
    </row>
    <row r="216">
      <c r="A216" s="54">
        <f>IF(_imp!$C$218="","",INDEX(_imp!$D$4:$D$4503,_imp!$C$218))</f>
        <v/>
      </c>
      <c r="B216" s="54">
        <f>IF(_imp!$C$218="","",INDEX(_imp!$E$4:$E$4503,_imp!$C$218))</f>
        <v/>
      </c>
      <c r="C216" s="54">
        <f>IF(_imp!$C$218="","",INDEX(_imp!$F$4:$F$4503,_imp!$C$218))</f>
        <v/>
      </c>
      <c r="D216" s="54">
        <f>IF(_imp!$C$218="","",INDEX(_imp!$G$4:$G$4503,_imp!$C$218))</f>
        <v/>
      </c>
      <c r="E216" s="54">
        <f>IF(_imp!$C$218="","",INDEX(_imp!$H$4:$H$4503,_imp!$C$218))</f>
        <v/>
      </c>
      <c r="F216" s="54">
        <f>IF(_imp!$C$218="","",INDEX(_imp!$I$4:$I$4503,_imp!$C$218))</f>
        <v/>
      </c>
      <c r="G216" s="54">
        <f>IF(_imp!$C$218="","",INDEX(_imp!$J$4:$J$4503,_imp!$C$218))</f>
        <v/>
      </c>
      <c r="K216" s="54">
        <f>IF(_imp!$C$218="","",INDEX(_imp!$K$4:$K$4503,_imp!$C$218))</f>
        <v/>
      </c>
    </row>
    <row r="217">
      <c r="A217" s="54">
        <f>IF(_imp!$C$219="","",INDEX(_imp!$D$4:$D$4503,_imp!$C$219))</f>
        <v/>
      </c>
      <c r="B217" s="54">
        <f>IF(_imp!$C$219="","",INDEX(_imp!$E$4:$E$4503,_imp!$C$219))</f>
        <v/>
      </c>
      <c r="C217" s="54">
        <f>IF(_imp!$C$219="","",INDEX(_imp!$F$4:$F$4503,_imp!$C$219))</f>
        <v/>
      </c>
      <c r="D217" s="54">
        <f>IF(_imp!$C$219="","",INDEX(_imp!$G$4:$G$4503,_imp!$C$219))</f>
        <v/>
      </c>
      <c r="E217" s="54">
        <f>IF(_imp!$C$219="","",INDEX(_imp!$H$4:$H$4503,_imp!$C$219))</f>
        <v/>
      </c>
      <c r="F217" s="54">
        <f>IF(_imp!$C$219="","",INDEX(_imp!$I$4:$I$4503,_imp!$C$219))</f>
        <v/>
      </c>
      <c r="G217" s="54">
        <f>IF(_imp!$C$219="","",INDEX(_imp!$J$4:$J$4503,_imp!$C$219))</f>
        <v/>
      </c>
      <c r="K217" s="54">
        <f>IF(_imp!$C$219="","",INDEX(_imp!$K$4:$K$4503,_imp!$C$219))</f>
        <v/>
      </c>
    </row>
    <row r="218">
      <c r="A218" s="54">
        <f>IF(_imp!$C$220="","",INDEX(_imp!$D$4:$D$4503,_imp!$C$220))</f>
        <v/>
      </c>
      <c r="B218" s="54">
        <f>IF(_imp!$C$220="","",INDEX(_imp!$E$4:$E$4503,_imp!$C$220))</f>
        <v/>
      </c>
      <c r="C218" s="54">
        <f>IF(_imp!$C$220="","",INDEX(_imp!$F$4:$F$4503,_imp!$C$220))</f>
        <v/>
      </c>
      <c r="D218" s="54">
        <f>IF(_imp!$C$220="","",INDEX(_imp!$G$4:$G$4503,_imp!$C$220))</f>
        <v/>
      </c>
      <c r="E218" s="54">
        <f>IF(_imp!$C$220="","",INDEX(_imp!$H$4:$H$4503,_imp!$C$220))</f>
        <v/>
      </c>
      <c r="F218" s="54">
        <f>IF(_imp!$C$220="","",INDEX(_imp!$I$4:$I$4503,_imp!$C$220))</f>
        <v/>
      </c>
      <c r="G218" s="54">
        <f>IF(_imp!$C$220="","",INDEX(_imp!$J$4:$J$4503,_imp!$C$220))</f>
        <v/>
      </c>
      <c r="K218" s="54">
        <f>IF(_imp!$C$220="","",INDEX(_imp!$K$4:$K$4503,_imp!$C$220))</f>
        <v/>
      </c>
    </row>
    <row r="219">
      <c r="A219" s="54">
        <f>IF(_imp!$C$221="","",INDEX(_imp!$D$4:$D$4503,_imp!$C$221))</f>
        <v/>
      </c>
      <c r="B219" s="54">
        <f>IF(_imp!$C$221="","",INDEX(_imp!$E$4:$E$4503,_imp!$C$221))</f>
        <v/>
      </c>
      <c r="C219" s="54">
        <f>IF(_imp!$C$221="","",INDEX(_imp!$F$4:$F$4503,_imp!$C$221))</f>
        <v/>
      </c>
      <c r="D219" s="54">
        <f>IF(_imp!$C$221="","",INDEX(_imp!$G$4:$G$4503,_imp!$C$221))</f>
        <v/>
      </c>
      <c r="E219" s="54">
        <f>IF(_imp!$C$221="","",INDEX(_imp!$H$4:$H$4503,_imp!$C$221))</f>
        <v/>
      </c>
      <c r="F219" s="54">
        <f>IF(_imp!$C$221="","",INDEX(_imp!$I$4:$I$4503,_imp!$C$221))</f>
        <v/>
      </c>
      <c r="G219" s="54">
        <f>IF(_imp!$C$221="","",INDEX(_imp!$J$4:$J$4503,_imp!$C$221))</f>
        <v/>
      </c>
      <c r="K219" s="54">
        <f>IF(_imp!$C$221="","",INDEX(_imp!$K$4:$K$4503,_imp!$C$221))</f>
        <v/>
      </c>
    </row>
    <row r="220">
      <c r="A220" s="54">
        <f>IF(_imp!$C$222="","",INDEX(_imp!$D$4:$D$4503,_imp!$C$222))</f>
        <v/>
      </c>
      <c r="B220" s="54">
        <f>IF(_imp!$C$222="","",INDEX(_imp!$E$4:$E$4503,_imp!$C$222))</f>
        <v/>
      </c>
      <c r="C220" s="54">
        <f>IF(_imp!$C$222="","",INDEX(_imp!$F$4:$F$4503,_imp!$C$222))</f>
        <v/>
      </c>
      <c r="D220" s="54">
        <f>IF(_imp!$C$222="","",INDEX(_imp!$G$4:$G$4503,_imp!$C$222))</f>
        <v/>
      </c>
      <c r="E220" s="54">
        <f>IF(_imp!$C$222="","",INDEX(_imp!$H$4:$H$4503,_imp!$C$222))</f>
        <v/>
      </c>
      <c r="F220" s="54">
        <f>IF(_imp!$C$222="","",INDEX(_imp!$I$4:$I$4503,_imp!$C$222))</f>
        <v/>
      </c>
      <c r="G220" s="54">
        <f>IF(_imp!$C$222="","",INDEX(_imp!$J$4:$J$4503,_imp!$C$222))</f>
        <v/>
      </c>
      <c r="K220" s="54">
        <f>IF(_imp!$C$222="","",INDEX(_imp!$K$4:$K$4503,_imp!$C$222))</f>
        <v/>
      </c>
    </row>
    <row r="221">
      <c r="A221" s="54">
        <f>IF(_imp!$C$223="","",INDEX(_imp!$D$4:$D$4503,_imp!$C$223))</f>
        <v/>
      </c>
      <c r="B221" s="54">
        <f>IF(_imp!$C$223="","",INDEX(_imp!$E$4:$E$4503,_imp!$C$223))</f>
        <v/>
      </c>
      <c r="C221" s="54">
        <f>IF(_imp!$C$223="","",INDEX(_imp!$F$4:$F$4503,_imp!$C$223))</f>
        <v/>
      </c>
      <c r="D221" s="54">
        <f>IF(_imp!$C$223="","",INDEX(_imp!$G$4:$G$4503,_imp!$C$223))</f>
        <v/>
      </c>
      <c r="E221" s="54">
        <f>IF(_imp!$C$223="","",INDEX(_imp!$H$4:$H$4503,_imp!$C$223))</f>
        <v/>
      </c>
      <c r="F221" s="54">
        <f>IF(_imp!$C$223="","",INDEX(_imp!$I$4:$I$4503,_imp!$C$223))</f>
        <v/>
      </c>
      <c r="G221" s="54">
        <f>IF(_imp!$C$223="","",INDEX(_imp!$J$4:$J$4503,_imp!$C$223))</f>
        <v/>
      </c>
      <c r="K221" s="54">
        <f>IF(_imp!$C$223="","",INDEX(_imp!$K$4:$K$4503,_imp!$C$223))</f>
        <v/>
      </c>
    </row>
    <row r="222">
      <c r="A222" s="54">
        <f>IF(_imp!$C$224="","",INDEX(_imp!$D$4:$D$4503,_imp!$C$224))</f>
        <v/>
      </c>
      <c r="B222" s="54">
        <f>IF(_imp!$C$224="","",INDEX(_imp!$E$4:$E$4503,_imp!$C$224))</f>
        <v/>
      </c>
      <c r="C222" s="54">
        <f>IF(_imp!$C$224="","",INDEX(_imp!$F$4:$F$4503,_imp!$C$224))</f>
        <v/>
      </c>
      <c r="D222" s="54">
        <f>IF(_imp!$C$224="","",INDEX(_imp!$G$4:$G$4503,_imp!$C$224))</f>
        <v/>
      </c>
      <c r="E222" s="54">
        <f>IF(_imp!$C$224="","",INDEX(_imp!$H$4:$H$4503,_imp!$C$224))</f>
        <v/>
      </c>
      <c r="F222" s="54">
        <f>IF(_imp!$C$224="","",INDEX(_imp!$I$4:$I$4503,_imp!$C$224))</f>
        <v/>
      </c>
      <c r="G222" s="54">
        <f>IF(_imp!$C$224="","",INDEX(_imp!$J$4:$J$4503,_imp!$C$224))</f>
        <v/>
      </c>
      <c r="K222" s="54">
        <f>IF(_imp!$C$224="","",INDEX(_imp!$K$4:$K$4503,_imp!$C$224))</f>
        <v/>
      </c>
    </row>
    <row r="223">
      <c r="A223" s="54">
        <f>IF(_imp!$C$225="","",INDEX(_imp!$D$4:$D$4503,_imp!$C$225))</f>
        <v/>
      </c>
      <c r="B223" s="54">
        <f>IF(_imp!$C$225="","",INDEX(_imp!$E$4:$E$4503,_imp!$C$225))</f>
        <v/>
      </c>
      <c r="C223" s="54">
        <f>IF(_imp!$C$225="","",INDEX(_imp!$F$4:$F$4503,_imp!$C$225))</f>
        <v/>
      </c>
      <c r="D223" s="54">
        <f>IF(_imp!$C$225="","",INDEX(_imp!$G$4:$G$4503,_imp!$C$225))</f>
        <v/>
      </c>
      <c r="E223" s="54">
        <f>IF(_imp!$C$225="","",INDEX(_imp!$H$4:$H$4503,_imp!$C$225))</f>
        <v/>
      </c>
      <c r="F223" s="54">
        <f>IF(_imp!$C$225="","",INDEX(_imp!$I$4:$I$4503,_imp!$C$225))</f>
        <v/>
      </c>
      <c r="G223" s="54">
        <f>IF(_imp!$C$225="","",INDEX(_imp!$J$4:$J$4503,_imp!$C$225))</f>
        <v/>
      </c>
      <c r="K223" s="54">
        <f>IF(_imp!$C$225="","",INDEX(_imp!$K$4:$K$4503,_imp!$C$225))</f>
        <v/>
      </c>
    </row>
    <row r="224">
      <c r="A224" s="54">
        <f>IF(_imp!$C$226="","",INDEX(_imp!$D$4:$D$4503,_imp!$C$226))</f>
        <v/>
      </c>
      <c r="B224" s="54">
        <f>IF(_imp!$C$226="","",INDEX(_imp!$E$4:$E$4503,_imp!$C$226))</f>
        <v/>
      </c>
      <c r="C224" s="54">
        <f>IF(_imp!$C$226="","",INDEX(_imp!$F$4:$F$4503,_imp!$C$226))</f>
        <v/>
      </c>
      <c r="D224" s="54">
        <f>IF(_imp!$C$226="","",INDEX(_imp!$G$4:$G$4503,_imp!$C$226))</f>
        <v/>
      </c>
      <c r="E224" s="54">
        <f>IF(_imp!$C$226="","",INDEX(_imp!$H$4:$H$4503,_imp!$C$226))</f>
        <v/>
      </c>
      <c r="F224" s="54">
        <f>IF(_imp!$C$226="","",INDEX(_imp!$I$4:$I$4503,_imp!$C$226))</f>
        <v/>
      </c>
      <c r="G224" s="54">
        <f>IF(_imp!$C$226="","",INDEX(_imp!$J$4:$J$4503,_imp!$C$226))</f>
        <v/>
      </c>
      <c r="K224" s="54">
        <f>IF(_imp!$C$226="","",INDEX(_imp!$K$4:$K$4503,_imp!$C$226))</f>
        <v/>
      </c>
    </row>
    <row r="225">
      <c r="A225" s="54">
        <f>IF(_imp!$C$227="","",INDEX(_imp!$D$4:$D$4503,_imp!$C$227))</f>
        <v/>
      </c>
      <c r="B225" s="54">
        <f>IF(_imp!$C$227="","",INDEX(_imp!$E$4:$E$4503,_imp!$C$227))</f>
        <v/>
      </c>
      <c r="C225" s="54">
        <f>IF(_imp!$C$227="","",INDEX(_imp!$F$4:$F$4503,_imp!$C$227))</f>
        <v/>
      </c>
      <c r="D225" s="54">
        <f>IF(_imp!$C$227="","",INDEX(_imp!$G$4:$G$4503,_imp!$C$227))</f>
        <v/>
      </c>
      <c r="E225" s="54">
        <f>IF(_imp!$C$227="","",INDEX(_imp!$H$4:$H$4503,_imp!$C$227))</f>
        <v/>
      </c>
      <c r="F225" s="54">
        <f>IF(_imp!$C$227="","",INDEX(_imp!$I$4:$I$4503,_imp!$C$227))</f>
        <v/>
      </c>
      <c r="G225" s="54">
        <f>IF(_imp!$C$227="","",INDEX(_imp!$J$4:$J$4503,_imp!$C$227))</f>
        <v/>
      </c>
      <c r="K225" s="54">
        <f>IF(_imp!$C$227="","",INDEX(_imp!$K$4:$K$4503,_imp!$C$227))</f>
        <v/>
      </c>
    </row>
    <row r="226">
      <c r="A226" s="54">
        <f>IF(_imp!$C$228="","",INDEX(_imp!$D$4:$D$4503,_imp!$C$228))</f>
        <v/>
      </c>
      <c r="B226" s="54">
        <f>IF(_imp!$C$228="","",INDEX(_imp!$E$4:$E$4503,_imp!$C$228))</f>
        <v/>
      </c>
      <c r="C226" s="54">
        <f>IF(_imp!$C$228="","",INDEX(_imp!$F$4:$F$4503,_imp!$C$228))</f>
        <v/>
      </c>
      <c r="D226" s="54">
        <f>IF(_imp!$C$228="","",INDEX(_imp!$G$4:$G$4503,_imp!$C$228))</f>
        <v/>
      </c>
      <c r="E226" s="54">
        <f>IF(_imp!$C$228="","",INDEX(_imp!$H$4:$H$4503,_imp!$C$228))</f>
        <v/>
      </c>
      <c r="F226" s="54">
        <f>IF(_imp!$C$228="","",INDEX(_imp!$I$4:$I$4503,_imp!$C$228))</f>
        <v/>
      </c>
      <c r="G226" s="54">
        <f>IF(_imp!$C$228="","",INDEX(_imp!$J$4:$J$4503,_imp!$C$228))</f>
        <v/>
      </c>
      <c r="K226" s="54">
        <f>IF(_imp!$C$228="","",INDEX(_imp!$K$4:$K$4503,_imp!$C$228))</f>
        <v/>
      </c>
    </row>
    <row r="227">
      <c r="A227" s="54">
        <f>IF(_imp!$C$229="","",INDEX(_imp!$D$4:$D$4503,_imp!$C$229))</f>
        <v/>
      </c>
      <c r="B227" s="54">
        <f>IF(_imp!$C$229="","",INDEX(_imp!$E$4:$E$4503,_imp!$C$229))</f>
        <v/>
      </c>
      <c r="C227" s="54">
        <f>IF(_imp!$C$229="","",INDEX(_imp!$F$4:$F$4503,_imp!$C$229))</f>
        <v/>
      </c>
      <c r="D227" s="54">
        <f>IF(_imp!$C$229="","",INDEX(_imp!$G$4:$G$4503,_imp!$C$229))</f>
        <v/>
      </c>
      <c r="E227" s="54">
        <f>IF(_imp!$C$229="","",INDEX(_imp!$H$4:$H$4503,_imp!$C$229))</f>
        <v/>
      </c>
      <c r="F227" s="54">
        <f>IF(_imp!$C$229="","",INDEX(_imp!$I$4:$I$4503,_imp!$C$229))</f>
        <v/>
      </c>
      <c r="G227" s="54">
        <f>IF(_imp!$C$229="","",INDEX(_imp!$J$4:$J$4503,_imp!$C$229))</f>
        <v/>
      </c>
      <c r="K227" s="54">
        <f>IF(_imp!$C$229="","",INDEX(_imp!$K$4:$K$4503,_imp!$C$229))</f>
        <v/>
      </c>
    </row>
    <row r="228">
      <c r="A228" s="54">
        <f>IF(_imp!$C$230="","",INDEX(_imp!$D$4:$D$4503,_imp!$C$230))</f>
        <v/>
      </c>
      <c r="B228" s="54">
        <f>IF(_imp!$C$230="","",INDEX(_imp!$E$4:$E$4503,_imp!$C$230))</f>
        <v/>
      </c>
      <c r="C228" s="54">
        <f>IF(_imp!$C$230="","",INDEX(_imp!$F$4:$F$4503,_imp!$C$230))</f>
        <v/>
      </c>
      <c r="D228" s="54">
        <f>IF(_imp!$C$230="","",INDEX(_imp!$G$4:$G$4503,_imp!$C$230))</f>
        <v/>
      </c>
      <c r="E228" s="54">
        <f>IF(_imp!$C$230="","",INDEX(_imp!$H$4:$H$4503,_imp!$C$230))</f>
        <v/>
      </c>
      <c r="F228" s="54">
        <f>IF(_imp!$C$230="","",INDEX(_imp!$I$4:$I$4503,_imp!$C$230))</f>
        <v/>
      </c>
      <c r="G228" s="54">
        <f>IF(_imp!$C$230="","",INDEX(_imp!$J$4:$J$4503,_imp!$C$230))</f>
        <v/>
      </c>
      <c r="K228" s="54">
        <f>IF(_imp!$C$230="","",INDEX(_imp!$K$4:$K$4503,_imp!$C$230))</f>
        <v/>
      </c>
    </row>
    <row r="229">
      <c r="A229" s="54">
        <f>IF(_imp!$C$231="","",INDEX(_imp!$D$4:$D$4503,_imp!$C$231))</f>
        <v/>
      </c>
      <c r="B229" s="54">
        <f>IF(_imp!$C$231="","",INDEX(_imp!$E$4:$E$4503,_imp!$C$231))</f>
        <v/>
      </c>
      <c r="C229" s="54">
        <f>IF(_imp!$C$231="","",INDEX(_imp!$F$4:$F$4503,_imp!$C$231))</f>
        <v/>
      </c>
      <c r="D229" s="54">
        <f>IF(_imp!$C$231="","",INDEX(_imp!$G$4:$G$4503,_imp!$C$231))</f>
        <v/>
      </c>
      <c r="E229" s="54">
        <f>IF(_imp!$C$231="","",INDEX(_imp!$H$4:$H$4503,_imp!$C$231))</f>
        <v/>
      </c>
      <c r="F229" s="54">
        <f>IF(_imp!$C$231="","",INDEX(_imp!$I$4:$I$4503,_imp!$C$231))</f>
        <v/>
      </c>
      <c r="G229" s="54">
        <f>IF(_imp!$C$231="","",INDEX(_imp!$J$4:$J$4503,_imp!$C$231))</f>
        <v/>
      </c>
      <c r="K229" s="54">
        <f>IF(_imp!$C$231="","",INDEX(_imp!$K$4:$K$4503,_imp!$C$231))</f>
        <v/>
      </c>
    </row>
    <row r="230">
      <c r="A230" s="54">
        <f>IF(_imp!$C$232="","",INDEX(_imp!$D$4:$D$4503,_imp!$C$232))</f>
        <v/>
      </c>
      <c r="B230" s="54">
        <f>IF(_imp!$C$232="","",INDEX(_imp!$E$4:$E$4503,_imp!$C$232))</f>
        <v/>
      </c>
      <c r="C230" s="54">
        <f>IF(_imp!$C$232="","",INDEX(_imp!$F$4:$F$4503,_imp!$C$232))</f>
        <v/>
      </c>
      <c r="D230" s="54">
        <f>IF(_imp!$C$232="","",INDEX(_imp!$G$4:$G$4503,_imp!$C$232))</f>
        <v/>
      </c>
      <c r="E230" s="54">
        <f>IF(_imp!$C$232="","",INDEX(_imp!$H$4:$H$4503,_imp!$C$232))</f>
        <v/>
      </c>
      <c r="F230" s="54">
        <f>IF(_imp!$C$232="","",INDEX(_imp!$I$4:$I$4503,_imp!$C$232))</f>
        <v/>
      </c>
      <c r="G230" s="54">
        <f>IF(_imp!$C$232="","",INDEX(_imp!$J$4:$J$4503,_imp!$C$232))</f>
        <v/>
      </c>
      <c r="K230" s="54">
        <f>IF(_imp!$C$232="","",INDEX(_imp!$K$4:$K$4503,_imp!$C$232))</f>
        <v/>
      </c>
    </row>
    <row r="231">
      <c r="A231" s="54">
        <f>IF(_imp!$C$233="","",INDEX(_imp!$D$4:$D$4503,_imp!$C$233))</f>
        <v/>
      </c>
      <c r="B231" s="54">
        <f>IF(_imp!$C$233="","",INDEX(_imp!$E$4:$E$4503,_imp!$C$233))</f>
        <v/>
      </c>
      <c r="C231" s="54">
        <f>IF(_imp!$C$233="","",INDEX(_imp!$F$4:$F$4503,_imp!$C$233))</f>
        <v/>
      </c>
      <c r="D231" s="54">
        <f>IF(_imp!$C$233="","",INDEX(_imp!$G$4:$G$4503,_imp!$C$233))</f>
        <v/>
      </c>
      <c r="E231" s="54">
        <f>IF(_imp!$C$233="","",INDEX(_imp!$H$4:$H$4503,_imp!$C$233))</f>
        <v/>
      </c>
      <c r="F231" s="54">
        <f>IF(_imp!$C$233="","",INDEX(_imp!$I$4:$I$4503,_imp!$C$233))</f>
        <v/>
      </c>
      <c r="G231" s="54">
        <f>IF(_imp!$C$233="","",INDEX(_imp!$J$4:$J$4503,_imp!$C$233))</f>
        <v/>
      </c>
      <c r="K231" s="54">
        <f>IF(_imp!$C$233="","",INDEX(_imp!$K$4:$K$4503,_imp!$C$233))</f>
        <v/>
      </c>
    </row>
    <row r="232">
      <c r="A232" s="54">
        <f>IF(_imp!$C$234="","",INDEX(_imp!$D$4:$D$4503,_imp!$C$234))</f>
        <v/>
      </c>
      <c r="B232" s="54">
        <f>IF(_imp!$C$234="","",INDEX(_imp!$E$4:$E$4503,_imp!$C$234))</f>
        <v/>
      </c>
      <c r="C232" s="54">
        <f>IF(_imp!$C$234="","",INDEX(_imp!$F$4:$F$4503,_imp!$C$234))</f>
        <v/>
      </c>
      <c r="D232" s="54">
        <f>IF(_imp!$C$234="","",INDEX(_imp!$G$4:$G$4503,_imp!$C$234))</f>
        <v/>
      </c>
      <c r="E232" s="54">
        <f>IF(_imp!$C$234="","",INDEX(_imp!$H$4:$H$4503,_imp!$C$234))</f>
        <v/>
      </c>
      <c r="F232" s="54">
        <f>IF(_imp!$C$234="","",INDEX(_imp!$I$4:$I$4503,_imp!$C$234))</f>
        <v/>
      </c>
      <c r="G232" s="54">
        <f>IF(_imp!$C$234="","",INDEX(_imp!$J$4:$J$4503,_imp!$C$234))</f>
        <v/>
      </c>
      <c r="K232" s="54">
        <f>IF(_imp!$C$234="","",INDEX(_imp!$K$4:$K$4503,_imp!$C$234))</f>
        <v/>
      </c>
    </row>
    <row r="233">
      <c r="A233" s="54">
        <f>IF(_imp!$C$235="","",INDEX(_imp!$D$4:$D$4503,_imp!$C$235))</f>
        <v/>
      </c>
      <c r="B233" s="54">
        <f>IF(_imp!$C$235="","",INDEX(_imp!$E$4:$E$4503,_imp!$C$235))</f>
        <v/>
      </c>
      <c r="C233" s="54">
        <f>IF(_imp!$C$235="","",INDEX(_imp!$F$4:$F$4503,_imp!$C$235))</f>
        <v/>
      </c>
      <c r="D233" s="54">
        <f>IF(_imp!$C$235="","",INDEX(_imp!$G$4:$G$4503,_imp!$C$235))</f>
        <v/>
      </c>
      <c r="E233" s="54">
        <f>IF(_imp!$C$235="","",INDEX(_imp!$H$4:$H$4503,_imp!$C$235))</f>
        <v/>
      </c>
      <c r="F233" s="54">
        <f>IF(_imp!$C$235="","",INDEX(_imp!$I$4:$I$4503,_imp!$C$235))</f>
        <v/>
      </c>
      <c r="G233" s="54">
        <f>IF(_imp!$C$235="","",INDEX(_imp!$J$4:$J$4503,_imp!$C$235))</f>
        <v/>
      </c>
      <c r="K233" s="54">
        <f>IF(_imp!$C$235="","",INDEX(_imp!$K$4:$K$4503,_imp!$C$235))</f>
        <v/>
      </c>
    </row>
    <row r="234">
      <c r="A234" s="54">
        <f>IF(_imp!$C$236="","",INDEX(_imp!$D$4:$D$4503,_imp!$C$236))</f>
        <v/>
      </c>
      <c r="B234" s="54">
        <f>IF(_imp!$C$236="","",INDEX(_imp!$E$4:$E$4503,_imp!$C$236))</f>
        <v/>
      </c>
      <c r="C234" s="54">
        <f>IF(_imp!$C$236="","",INDEX(_imp!$F$4:$F$4503,_imp!$C$236))</f>
        <v/>
      </c>
      <c r="D234" s="54">
        <f>IF(_imp!$C$236="","",INDEX(_imp!$G$4:$G$4503,_imp!$C$236))</f>
        <v/>
      </c>
      <c r="E234" s="54">
        <f>IF(_imp!$C$236="","",INDEX(_imp!$H$4:$H$4503,_imp!$C$236))</f>
        <v/>
      </c>
      <c r="F234" s="54">
        <f>IF(_imp!$C$236="","",INDEX(_imp!$I$4:$I$4503,_imp!$C$236))</f>
        <v/>
      </c>
      <c r="G234" s="54">
        <f>IF(_imp!$C$236="","",INDEX(_imp!$J$4:$J$4503,_imp!$C$236))</f>
        <v/>
      </c>
      <c r="K234" s="54">
        <f>IF(_imp!$C$236="","",INDEX(_imp!$K$4:$K$4503,_imp!$C$236))</f>
        <v/>
      </c>
    </row>
    <row r="235">
      <c r="A235" s="54">
        <f>IF(_imp!$C$237="","",INDEX(_imp!$D$4:$D$4503,_imp!$C$237))</f>
        <v/>
      </c>
      <c r="B235" s="54">
        <f>IF(_imp!$C$237="","",INDEX(_imp!$E$4:$E$4503,_imp!$C$237))</f>
        <v/>
      </c>
      <c r="C235" s="54">
        <f>IF(_imp!$C$237="","",INDEX(_imp!$F$4:$F$4503,_imp!$C$237))</f>
        <v/>
      </c>
      <c r="D235" s="54">
        <f>IF(_imp!$C$237="","",INDEX(_imp!$G$4:$G$4503,_imp!$C$237))</f>
        <v/>
      </c>
      <c r="E235" s="54">
        <f>IF(_imp!$C$237="","",INDEX(_imp!$H$4:$H$4503,_imp!$C$237))</f>
        <v/>
      </c>
      <c r="F235" s="54">
        <f>IF(_imp!$C$237="","",INDEX(_imp!$I$4:$I$4503,_imp!$C$237))</f>
        <v/>
      </c>
      <c r="G235" s="54">
        <f>IF(_imp!$C$237="","",INDEX(_imp!$J$4:$J$4503,_imp!$C$237))</f>
        <v/>
      </c>
      <c r="K235" s="54">
        <f>IF(_imp!$C$237="","",INDEX(_imp!$K$4:$K$4503,_imp!$C$237))</f>
        <v/>
      </c>
    </row>
    <row r="236">
      <c r="A236" s="54">
        <f>IF(_imp!$C$238="","",INDEX(_imp!$D$4:$D$4503,_imp!$C$238))</f>
        <v/>
      </c>
      <c r="B236" s="54">
        <f>IF(_imp!$C$238="","",INDEX(_imp!$E$4:$E$4503,_imp!$C$238))</f>
        <v/>
      </c>
      <c r="C236" s="54">
        <f>IF(_imp!$C$238="","",INDEX(_imp!$F$4:$F$4503,_imp!$C$238))</f>
        <v/>
      </c>
      <c r="D236" s="54">
        <f>IF(_imp!$C$238="","",INDEX(_imp!$G$4:$G$4503,_imp!$C$238))</f>
        <v/>
      </c>
      <c r="E236" s="54">
        <f>IF(_imp!$C$238="","",INDEX(_imp!$H$4:$H$4503,_imp!$C$238))</f>
        <v/>
      </c>
      <c r="F236" s="54">
        <f>IF(_imp!$C$238="","",INDEX(_imp!$I$4:$I$4503,_imp!$C$238))</f>
        <v/>
      </c>
      <c r="G236" s="54">
        <f>IF(_imp!$C$238="","",INDEX(_imp!$J$4:$J$4503,_imp!$C$238))</f>
        <v/>
      </c>
      <c r="K236" s="54">
        <f>IF(_imp!$C$238="","",INDEX(_imp!$K$4:$K$4503,_imp!$C$238))</f>
        <v/>
      </c>
    </row>
    <row r="237">
      <c r="A237" s="54">
        <f>IF(_imp!$C$239="","",INDEX(_imp!$D$4:$D$4503,_imp!$C$239))</f>
        <v/>
      </c>
      <c r="B237" s="54">
        <f>IF(_imp!$C$239="","",INDEX(_imp!$E$4:$E$4503,_imp!$C$239))</f>
        <v/>
      </c>
      <c r="C237" s="54">
        <f>IF(_imp!$C$239="","",INDEX(_imp!$F$4:$F$4503,_imp!$C$239))</f>
        <v/>
      </c>
      <c r="D237" s="54">
        <f>IF(_imp!$C$239="","",INDEX(_imp!$G$4:$G$4503,_imp!$C$239))</f>
        <v/>
      </c>
      <c r="E237" s="54">
        <f>IF(_imp!$C$239="","",INDEX(_imp!$H$4:$H$4503,_imp!$C$239))</f>
        <v/>
      </c>
      <c r="F237" s="54">
        <f>IF(_imp!$C$239="","",INDEX(_imp!$I$4:$I$4503,_imp!$C$239))</f>
        <v/>
      </c>
      <c r="G237" s="54">
        <f>IF(_imp!$C$239="","",INDEX(_imp!$J$4:$J$4503,_imp!$C$239))</f>
        <v/>
      </c>
      <c r="K237" s="54">
        <f>IF(_imp!$C$239="","",INDEX(_imp!$K$4:$K$4503,_imp!$C$239))</f>
        <v/>
      </c>
    </row>
    <row r="238">
      <c r="A238" s="54">
        <f>IF(_imp!$C$240="","",INDEX(_imp!$D$4:$D$4503,_imp!$C$240))</f>
        <v/>
      </c>
      <c r="B238" s="54">
        <f>IF(_imp!$C$240="","",INDEX(_imp!$E$4:$E$4503,_imp!$C$240))</f>
        <v/>
      </c>
      <c r="C238" s="54">
        <f>IF(_imp!$C$240="","",INDEX(_imp!$F$4:$F$4503,_imp!$C$240))</f>
        <v/>
      </c>
      <c r="D238" s="54">
        <f>IF(_imp!$C$240="","",INDEX(_imp!$G$4:$G$4503,_imp!$C$240))</f>
        <v/>
      </c>
      <c r="E238" s="54">
        <f>IF(_imp!$C$240="","",INDEX(_imp!$H$4:$H$4503,_imp!$C$240))</f>
        <v/>
      </c>
      <c r="F238" s="54">
        <f>IF(_imp!$C$240="","",INDEX(_imp!$I$4:$I$4503,_imp!$C$240))</f>
        <v/>
      </c>
      <c r="G238" s="54">
        <f>IF(_imp!$C$240="","",INDEX(_imp!$J$4:$J$4503,_imp!$C$240))</f>
        <v/>
      </c>
      <c r="K238" s="54">
        <f>IF(_imp!$C$240="","",INDEX(_imp!$K$4:$K$4503,_imp!$C$240))</f>
        <v/>
      </c>
    </row>
    <row r="239">
      <c r="A239" s="54">
        <f>IF(_imp!$C$241="","",INDEX(_imp!$D$4:$D$4503,_imp!$C$241))</f>
        <v/>
      </c>
      <c r="B239" s="54">
        <f>IF(_imp!$C$241="","",INDEX(_imp!$E$4:$E$4503,_imp!$C$241))</f>
        <v/>
      </c>
      <c r="C239" s="54">
        <f>IF(_imp!$C$241="","",INDEX(_imp!$F$4:$F$4503,_imp!$C$241))</f>
        <v/>
      </c>
      <c r="D239" s="54">
        <f>IF(_imp!$C$241="","",INDEX(_imp!$G$4:$G$4503,_imp!$C$241))</f>
        <v/>
      </c>
      <c r="E239" s="54">
        <f>IF(_imp!$C$241="","",INDEX(_imp!$H$4:$H$4503,_imp!$C$241))</f>
        <v/>
      </c>
      <c r="F239" s="54">
        <f>IF(_imp!$C$241="","",INDEX(_imp!$I$4:$I$4503,_imp!$C$241))</f>
        <v/>
      </c>
      <c r="G239" s="54">
        <f>IF(_imp!$C$241="","",INDEX(_imp!$J$4:$J$4503,_imp!$C$241))</f>
        <v/>
      </c>
      <c r="K239" s="54">
        <f>IF(_imp!$C$241="","",INDEX(_imp!$K$4:$K$4503,_imp!$C$241))</f>
        <v/>
      </c>
    </row>
    <row r="240">
      <c r="A240" s="54">
        <f>IF(_imp!$C$242="","",INDEX(_imp!$D$4:$D$4503,_imp!$C$242))</f>
        <v/>
      </c>
      <c r="B240" s="54">
        <f>IF(_imp!$C$242="","",INDEX(_imp!$E$4:$E$4503,_imp!$C$242))</f>
        <v/>
      </c>
      <c r="C240" s="54">
        <f>IF(_imp!$C$242="","",INDEX(_imp!$F$4:$F$4503,_imp!$C$242))</f>
        <v/>
      </c>
      <c r="D240" s="54">
        <f>IF(_imp!$C$242="","",INDEX(_imp!$G$4:$G$4503,_imp!$C$242))</f>
        <v/>
      </c>
      <c r="E240" s="54">
        <f>IF(_imp!$C$242="","",INDEX(_imp!$H$4:$H$4503,_imp!$C$242))</f>
        <v/>
      </c>
      <c r="F240" s="54">
        <f>IF(_imp!$C$242="","",INDEX(_imp!$I$4:$I$4503,_imp!$C$242))</f>
        <v/>
      </c>
      <c r="G240" s="54">
        <f>IF(_imp!$C$242="","",INDEX(_imp!$J$4:$J$4503,_imp!$C$242))</f>
        <v/>
      </c>
      <c r="K240" s="54">
        <f>IF(_imp!$C$242="","",INDEX(_imp!$K$4:$K$4503,_imp!$C$242))</f>
        <v/>
      </c>
    </row>
    <row r="241">
      <c r="A241" s="54">
        <f>IF(_imp!$C$243="","",INDEX(_imp!$D$4:$D$4503,_imp!$C$243))</f>
        <v/>
      </c>
      <c r="B241" s="54">
        <f>IF(_imp!$C$243="","",INDEX(_imp!$E$4:$E$4503,_imp!$C$243))</f>
        <v/>
      </c>
      <c r="C241" s="54">
        <f>IF(_imp!$C$243="","",INDEX(_imp!$F$4:$F$4503,_imp!$C$243))</f>
        <v/>
      </c>
      <c r="D241" s="54">
        <f>IF(_imp!$C$243="","",INDEX(_imp!$G$4:$G$4503,_imp!$C$243))</f>
        <v/>
      </c>
      <c r="E241" s="54">
        <f>IF(_imp!$C$243="","",INDEX(_imp!$H$4:$H$4503,_imp!$C$243))</f>
        <v/>
      </c>
      <c r="F241" s="54">
        <f>IF(_imp!$C$243="","",INDEX(_imp!$I$4:$I$4503,_imp!$C$243))</f>
        <v/>
      </c>
      <c r="G241" s="54">
        <f>IF(_imp!$C$243="","",INDEX(_imp!$J$4:$J$4503,_imp!$C$243))</f>
        <v/>
      </c>
      <c r="K241" s="54">
        <f>IF(_imp!$C$243="","",INDEX(_imp!$K$4:$K$4503,_imp!$C$243))</f>
        <v/>
      </c>
    </row>
    <row r="242">
      <c r="A242" s="54">
        <f>IF(_imp!$C$244="","",INDEX(_imp!$D$4:$D$4503,_imp!$C$244))</f>
        <v/>
      </c>
      <c r="B242" s="54">
        <f>IF(_imp!$C$244="","",INDEX(_imp!$E$4:$E$4503,_imp!$C$244))</f>
        <v/>
      </c>
      <c r="C242" s="54">
        <f>IF(_imp!$C$244="","",INDEX(_imp!$F$4:$F$4503,_imp!$C$244))</f>
        <v/>
      </c>
      <c r="D242" s="54">
        <f>IF(_imp!$C$244="","",INDEX(_imp!$G$4:$G$4503,_imp!$C$244))</f>
        <v/>
      </c>
      <c r="E242" s="54">
        <f>IF(_imp!$C$244="","",INDEX(_imp!$H$4:$H$4503,_imp!$C$244))</f>
        <v/>
      </c>
      <c r="F242" s="54">
        <f>IF(_imp!$C$244="","",INDEX(_imp!$I$4:$I$4503,_imp!$C$244))</f>
        <v/>
      </c>
      <c r="G242" s="54">
        <f>IF(_imp!$C$244="","",INDEX(_imp!$J$4:$J$4503,_imp!$C$244))</f>
        <v/>
      </c>
      <c r="K242" s="54">
        <f>IF(_imp!$C$244="","",INDEX(_imp!$K$4:$K$4503,_imp!$C$244))</f>
        <v/>
      </c>
    </row>
    <row r="243">
      <c r="A243" s="54">
        <f>IF(_imp!$C$245="","",INDEX(_imp!$D$4:$D$4503,_imp!$C$245))</f>
        <v/>
      </c>
      <c r="B243" s="54">
        <f>IF(_imp!$C$245="","",INDEX(_imp!$E$4:$E$4503,_imp!$C$245))</f>
        <v/>
      </c>
      <c r="C243" s="54">
        <f>IF(_imp!$C$245="","",INDEX(_imp!$F$4:$F$4503,_imp!$C$245))</f>
        <v/>
      </c>
      <c r="D243" s="54">
        <f>IF(_imp!$C$245="","",INDEX(_imp!$G$4:$G$4503,_imp!$C$245))</f>
        <v/>
      </c>
      <c r="E243" s="54">
        <f>IF(_imp!$C$245="","",INDEX(_imp!$H$4:$H$4503,_imp!$C$245))</f>
        <v/>
      </c>
      <c r="F243" s="54">
        <f>IF(_imp!$C$245="","",INDEX(_imp!$I$4:$I$4503,_imp!$C$245))</f>
        <v/>
      </c>
      <c r="G243" s="54">
        <f>IF(_imp!$C$245="","",INDEX(_imp!$J$4:$J$4503,_imp!$C$245))</f>
        <v/>
      </c>
      <c r="K243" s="54">
        <f>IF(_imp!$C$245="","",INDEX(_imp!$K$4:$K$4503,_imp!$C$245))</f>
        <v/>
      </c>
    </row>
    <row r="244">
      <c r="A244" s="54">
        <f>IF(_imp!$C$246="","",INDEX(_imp!$D$4:$D$4503,_imp!$C$246))</f>
        <v/>
      </c>
      <c r="B244" s="54">
        <f>IF(_imp!$C$246="","",INDEX(_imp!$E$4:$E$4503,_imp!$C$246))</f>
        <v/>
      </c>
      <c r="C244" s="54">
        <f>IF(_imp!$C$246="","",INDEX(_imp!$F$4:$F$4503,_imp!$C$246))</f>
        <v/>
      </c>
      <c r="D244" s="54">
        <f>IF(_imp!$C$246="","",INDEX(_imp!$G$4:$G$4503,_imp!$C$246))</f>
        <v/>
      </c>
      <c r="E244" s="54">
        <f>IF(_imp!$C$246="","",INDEX(_imp!$H$4:$H$4503,_imp!$C$246))</f>
        <v/>
      </c>
      <c r="F244" s="54">
        <f>IF(_imp!$C$246="","",INDEX(_imp!$I$4:$I$4503,_imp!$C$246))</f>
        <v/>
      </c>
      <c r="G244" s="54">
        <f>IF(_imp!$C$246="","",INDEX(_imp!$J$4:$J$4503,_imp!$C$246))</f>
        <v/>
      </c>
      <c r="K244" s="54">
        <f>IF(_imp!$C$246="","",INDEX(_imp!$K$4:$K$4503,_imp!$C$246))</f>
        <v/>
      </c>
    </row>
    <row r="245">
      <c r="A245" s="54">
        <f>IF(_imp!$C$247="","",INDEX(_imp!$D$4:$D$4503,_imp!$C$247))</f>
        <v/>
      </c>
      <c r="B245" s="54">
        <f>IF(_imp!$C$247="","",INDEX(_imp!$E$4:$E$4503,_imp!$C$247))</f>
        <v/>
      </c>
      <c r="C245" s="54">
        <f>IF(_imp!$C$247="","",INDEX(_imp!$F$4:$F$4503,_imp!$C$247))</f>
        <v/>
      </c>
      <c r="D245" s="54">
        <f>IF(_imp!$C$247="","",INDEX(_imp!$G$4:$G$4503,_imp!$C$247))</f>
        <v/>
      </c>
      <c r="E245" s="54">
        <f>IF(_imp!$C$247="","",INDEX(_imp!$H$4:$H$4503,_imp!$C$247))</f>
        <v/>
      </c>
      <c r="F245" s="54">
        <f>IF(_imp!$C$247="","",INDEX(_imp!$I$4:$I$4503,_imp!$C$247))</f>
        <v/>
      </c>
      <c r="G245" s="54">
        <f>IF(_imp!$C$247="","",INDEX(_imp!$J$4:$J$4503,_imp!$C$247))</f>
        <v/>
      </c>
      <c r="K245" s="54">
        <f>IF(_imp!$C$247="","",INDEX(_imp!$K$4:$K$4503,_imp!$C$247))</f>
        <v/>
      </c>
    </row>
    <row r="246">
      <c r="A246" s="54">
        <f>IF(_imp!$C$248="","",INDEX(_imp!$D$4:$D$4503,_imp!$C$248))</f>
        <v/>
      </c>
      <c r="B246" s="54">
        <f>IF(_imp!$C$248="","",INDEX(_imp!$E$4:$E$4503,_imp!$C$248))</f>
        <v/>
      </c>
      <c r="C246" s="54">
        <f>IF(_imp!$C$248="","",INDEX(_imp!$F$4:$F$4503,_imp!$C$248))</f>
        <v/>
      </c>
      <c r="D246" s="54">
        <f>IF(_imp!$C$248="","",INDEX(_imp!$G$4:$G$4503,_imp!$C$248))</f>
        <v/>
      </c>
      <c r="E246" s="54">
        <f>IF(_imp!$C$248="","",INDEX(_imp!$H$4:$H$4503,_imp!$C$248))</f>
        <v/>
      </c>
      <c r="F246" s="54">
        <f>IF(_imp!$C$248="","",INDEX(_imp!$I$4:$I$4503,_imp!$C$248))</f>
        <v/>
      </c>
      <c r="G246" s="54">
        <f>IF(_imp!$C$248="","",INDEX(_imp!$J$4:$J$4503,_imp!$C$248))</f>
        <v/>
      </c>
      <c r="K246" s="54">
        <f>IF(_imp!$C$248="","",INDEX(_imp!$K$4:$K$4503,_imp!$C$248))</f>
        <v/>
      </c>
    </row>
    <row r="247">
      <c r="A247" s="54">
        <f>IF(_imp!$C$249="","",INDEX(_imp!$D$4:$D$4503,_imp!$C$249))</f>
        <v/>
      </c>
      <c r="B247" s="54">
        <f>IF(_imp!$C$249="","",INDEX(_imp!$E$4:$E$4503,_imp!$C$249))</f>
        <v/>
      </c>
      <c r="C247" s="54">
        <f>IF(_imp!$C$249="","",INDEX(_imp!$F$4:$F$4503,_imp!$C$249))</f>
        <v/>
      </c>
      <c r="D247" s="54">
        <f>IF(_imp!$C$249="","",INDEX(_imp!$G$4:$G$4503,_imp!$C$249))</f>
        <v/>
      </c>
      <c r="E247" s="54">
        <f>IF(_imp!$C$249="","",INDEX(_imp!$H$4:$H$4503,_imp!$C$249))</f>
        <v/>
      </c>
      <c r="F247" s="54">
        <f>IF(_imp!$C$249="","",INDEX(_imp!$I$4:$I$4503,_imp!$C$249))</f>
        <v/>
      </c>
      <c r="G247" s="54">
        <f>IF(_imp!$C$249="","",INDEX(_imp!$J$4:$J$4503,_imp!$C$249))</f>
        <v/>
      </c>
      <c r="K247" s="54">
        <f>IF(_imp!$C$249="","",INDEX(_imp!$K$4:$K$4503,_imp!$C$249))</f>
        <v/>
      </c>
    </row>
    <row r="248">
      <c r="A248" s="54">
        <f>IF(_imp!$C$250="","",INDEX(_imp!$D$4:$D$4503,_imp!$C$250))</f>
        <v/>
      </c>
      <c r="B248" s="54">
        <f>IF(_imp!$C$250="","",INDEX(_imp!$E$4:$E$4503,_imp!$C$250))</f>
        <v/>
      </c>
      <c r="C248" s="54">
        <f>IF(_imp!$C$250="","",INDEX(_imp!$F$4:$F$4503,_imp!$C$250))</f>
        <v/>
      </c>
      <c r="D248" s="54">
        <f>IF(_imp!$C$250="","",INDEX(_imp!$G$4:$G$4503,_imp!$C$250))</f>
        <v/>
      </c>
      <c r="E248" s="54">
        <f>IF(_imp!$C$250="","",INDEX(_imp!$H$4:$H$4503,_imp!$C$250))</f>
        <v/>
      </c>
      <c r="F248" s="54">
        <f>IF(_imp!$C$250="","",INDEX(_imp!$I$4:$I$4503,_imp!$C$250))</f>
        <v/>
      </c>
      <c r="G248" s="54">
        <f>IF(_imp!$C$250="","",INDEX(_imp!$J$4:$J$4503,_imp!$C$250))</f>
        <v/>
      </c>
      <c r="K248" s="54">
        <f>IF(_imp!$C$250="","",INDEX(_imp!$K$4:$K$4503,_imp!$C$250))</f>
        <v/>
      </c>
    </row>
    <row r="249">
      <c r="A249" s="54">
        <f>IF(_imp!$C$251="","",INDEX(_imp!$D$4:$D$4503,_imp!$C$251))</f>
        <v/>
      </c>
      <c r="B249" s="54">
        <f>IF(_imp!$C$251="","",INDEX(_imp!$E$4:$E$4503,_imp!$C$251))</f>
        <v/>
      </c>
      <c r="C249" s="54">
        <f>IF(_imp!$C$251="","",INDEX(_imp!$F$4:$F$4503,_imp!$C$251))</f>
        <v/>
      </c>
      <c r="D249" s="54">
        <f>IF(_imp!$C$251="","",INDEX(_imp!$G$4:$G$4503,_imp!$C$251))</f>
        <v/>
      </c>
      <c r="E249" s="54">
        <f>IF(_imp!$C$251="","",INDEX(_imp!$H$4:$H$4503,_imp!$C$251))</f>
        <v/>
      </c>
      <c r="F249" s="54">
        <f>IF(_imp!$C$251="","",INDEX(_imp!$I$4:$I$4503,_imp!$C$251))</f>
        <v/>
      </c>
      <c r="G249" s="54">
        <f>IF(_imp!$C$251="","",INDEX(_imp!$J$4:$J$4503,_imp!$C$251))</f>
        <v/>
      </c>
      <c r="K249" s="54">
        <f>IF(_imp!$C$251="","",INDEX(_imp!$K$4:$K$4503,_imp!$C$251))</f>
        <v/>
      </c>
    </row>
    <row r="250">
      <c r="A250" s="54">
        <f>IF(_imp!$C$252="","",INDEX(_imp!$D$4:$D$4503,_imp!$C$252))</f>
        <v/>
      </c>
      <c r="B250" s="54">
        <f>IF(_imp!$C$252="","",INDEX(_imp!$E$4:$E$4503,_imp!$C$252))</f>
        <v/>
      </c>
      <c r="C250" s="54">
        <f>IF(_imp!$C$252="","",INDEX(_imp!$F$4:$F$4503,_imp!$C$252))</f>
        <v/>
      </c>
      <c r="D250" s="54">
        <f>IF(_imp!$C$252="","",INDEX(_imp!$G$4:$G$4503,_imp!$C$252))</f>
        <v/>
      </c>
      <c r="E250" s="54">
        <f>IF(_imp!$C$252="","",INDEX(_imp!$H$4:$H$4503,_imp!$C$252))</f>
        <v/>
      </c>
      <c r="F250" s="54">
        <f>IF(_imp!$C$252="","",INDEX(_imp!$I$4:$I$4503,_imp!$C$252))</f>
        <v/>
      </c>
      <c r="G250" s="54">
        <f>IF(_imp!$C$252="","",INDEX(_imp!$J$4:$J$4503,_imp!$C$252))</f>
        <v/>
      </c>
      <c r="K250" s="54">
        <f>IF(_imp!$C$252="","",INDEX(_imp!$K$4:$K$4503,_imp!$C$252))</f>
        <v/>
      </c>
    </row>
    <row r="251">
      <c r="A251" s="54">
        <f>IF(_imp!$C$253="","",INDEX(_imp!$D$4:$D$4503,_imp!$C$253))</f>
        <v/>
      </c>
      <c r="B251" s="54">
        <f>IF(_imp!$C$253="","",INDEX(_imp!$E$4:$E$4503,_imp!$C$253))</f>
        <v/>
      </c>
      <c r="C251" s="54">
        <f>IF(_imp!$C$253="","",INDEX(_imp!$F$4:$F$4503,_imp!$C$253))</f>
        <v/>
      </c>
      <c r="D251" s="54">
        <f>IF(_imp!$C$253="","",INDEX(_imp!$G$4:$G$4503,_imp!$C$253))</f>
        <v/>
      </c>
      <c r="E251" s="54">
        <f>IF(_imp!$C$253="","",INDEX(_imp!$H$4:$H$4503,_imp!$C$253))</f>
        <v/>
      </c>
      <c r="F251" s="54">
        <f>IF(_imp!$C$253="","",INDEX(_imp!$I$4:$I$4503,_imp!$C$253))</f>
        <v/>
      </c>
      <c r="G251" s="54">
        <f>IF(_imp!$C$253="","",INDEX(_imp!$J$4:$J$4503,_imp!$C$253))</f>
        <v/>
      </c>
      <c r="K251" s="54">
        <f>IF(_imp!$C$253="","",INDEX(_imp!$K$4:$K$4503,_imp!$C$253))</f>
        <v/>
      </c>
    </row>
    <row r="252">
      <c r="A252" s="54">
        <f>IF(_imp!$C$254="","",INDEX(_imp!$D$4:$D$4503,_imp!$C$254))</f>
        <v/>
      </c>
      <c r="B252" s="54">
        <f>IF(_imp!$C$254="","",INDEX(_imp!$E$4:$E$4503,_imp!$C$254))</f>
        <v/>
      </c>
      <c r="C252" s="54">
        <f>IF(_imp!$C$254="","",INDEX(_imp!$F$4:$F$4503,_imp!$C$254))</f>
        <v/>
      </c>
      <c r="D252" s="54">
        <f>IF(_imp!$C$254="","",INDEX(_imp!$G$4:$G$4503,_imp!$C$254))</f>
        <v/>
      </c>
      <c r="E252" s="54">
        <f>IF(_imp!$C$254="","",INDEX(_imp!$H$4:$H$4503,_imp!$C$254))</f>
        <v/>
      </c>
      <c r="F252" s="54">
        <f>IF(_imp!$C$254="","",INDEX(_imp!$I$4:$I$4503,_imp!$C$254))</f>
        <v/>
      </c>
      <c r="G252" s="54">
        <f>IF(_imp!$C$254="","",INDEX(_imp!$J$4:$J$4503,_imp!$C$254))</f>
        <v/>
      </c>
      <c r="K252" s="54">
        <f>IF(_imp!$C$254="","",INDEX(_imp!$K$4:$K$4503,_imp!$C$254))</f>
        <v/>
      </c>
    </row>
    <row r="253">
      <c r="A253" s="54">
        <f>IF(_imp!$C$255="","",INDEX(_imp!$D$4:$D$4503,_imp!$C$255))</f>
        <v/>
      </c>
      <c r="B253" s="54">
        <f>IF(_imp!$C$255="","",INDEX(_imp!$E$4:$E$4503,_imp!$C$255))</f>
        <v/>
      </c>
      <c r="C253" s="54">
        <f>IF(_imp!$C$255="","",INDEX(_imp!$F$4:$F$4503,_imp!$C$255))</f>
        <v/>
      </c>
      <c r="D253" s="54">
        <f>IF(_imp!$C$255="","",INDEX(_imp!$G$4:$G$4503,_imp!$C$255))</f>
        <v/>
      </c>
      <c r="E253" s="54">
        <f>IF(_imp!$C$255="","",INDEX(_imp!$H$4:$H$4503,_imp!$C$255))</f>
        <v/>
      </c>
      <c r="F253" s="54">
        <f>IF(_imp!$C$255="","",INDEX(_imp!$I$4:$I$4503,_imp!$C$255))</f>
        <v/>
      </c>
      <c r="G253" s="54">
        <f>IF(_imp!$C$255="","",INDEX(_imp!$J$4:$J$4503,_imp!$C$255))</f>
        <v/>
      </c>
      <c r="K253" s="54">
        <f>IF(_imp!$C$255="","",INDEX(_imp!$K$4:$K$4503,_imp!$C$255))</f>
        <v/>
      </c>
    </row>
    <row r="254">
      <c r="A254" s="54">
        <f>IF(_imp!$C$256="","",INDEX(_imp!$D$4:$D$4503,_imp!$C$256))</f>
        <v/>
      </c>
      <c r="B254" s="54">
        <f>IF(_imp!$C$256="","",INDEX(_imp!$E$4:$E$4503,_imp!$C$256))</f>
        <v/>
      </c>
      <c r="C254" s="54">
        <f>IF(_imp!$C$256="","",INDEX(_imp!$F$4:$F$4503,_imp!$C$256))</f>
        <v/>
      </c>
      <c r="D254" s="54">
        <f>IF(_imp!$C$256="","",INDEX(_imp!$G$4:$G$4503,_imp!$C$256))</f>
        <v/>
      </c>
      <c r="E254" s="54">
        <f>IF(_imp!$C$256="","",INDEX(_imp!$H$4:$H$4503,_imp!$C$256))</f>
        <v/>
      </c>
      <c r="F254" s="54">
        <f>IF(_imp!$C$256="","",INDEX(_imp!$I$4:$I$4503,_imp!$C$256))</f>
        <v/>
      </c>
      <c r="G254" s="54">
        <f>IF(_imp!$C$256="","",INDEX(_imp!$J$4:$J$4503,_imp!$C$256))</f>
        <v/>
      </c>
      <c r="K254" s="54">
        <f>IF(_imp!$C$256="","",INDEX(_imp!$K$4:$K$4503,_imp!$C$256))</f>
        <v/>
      </c>
    </row>
    <row r="255">
      <c r="A255" s="54">
        <f>IF(_imp!$C$257="","",INDEX(_imp!$D$4:$D$4503,_imp!$C$257))</f>
        <v/>
      </c>
      <c r="B255" s="54">
        <f>IF(_imp!$C$257="","",INDEX(_imp!$E$4:$E$4503,_imp!$C$257))</f>
        <v/>
      </c>
      <c r="C255" s="54">
        <f>IF(_imp!$C$257="","",INDEX(_imp!$F$4:$F$4503,_imp!$C$257))</f>
        <v/>
      </c>
      <c r="D255" s="54">
        <f>IF(_imp!$C$257="","",INDEX(_imp!$G$4:$G$4503,_imp!$C$257))</f>
        <v/>
      </c>
      <c r="E255" s="54">
        <f>IF(_imp!$C$257="","",INDEX(_imp!$H$4:$H$4503,_imp!$C$257))</f>
        <v/>
      </c>
      <c r="F255" s="54">
        <f>IF(_imp!$C$257="","",INDEX(_imp!$I$4:$I$4503,_imp!$C$257))</f>
        <v/>
      </c>
      <c r="G255" s="54">
        <f>IF(_imp!$C$257="","",INDEX(_imp!$J$4:$J$4503,_imp!$C$257))</f>
        <v/>
      </c>
      <c r="K255" s="54">
        <f>IF(_imp!$C$257="","",INDEX(_imp!$K$4:$K$4503,_imp!$C$257))</f>
        <v/>
      </c>
    </row>
    <row r="256">
      <c r="A256" s="54">
        <f>IF(_imp!$C$258="","",INDEX(_imp!$D$4:$D$4503,_imp!$C$258))</f>
        <v/>
      </c>
      <c r="B256" s="54">
        <f>IF(_imp!$C$258="","",INDEX(_imp!$E$4:$E$4503,_imp!$C$258))</f>
        <v/>
      </c>
      <c r="C256" s="54">
        <f>IF(_imp!$C$258="","",INDEX(_imp!$F$4:$F$4503,_imp!$C$258))</f>
        <v/>
      </c>
      <c r="D256" s="54">
        <f>IF(_imp!$C$258="","",INDEX(_imp!$G$4:$G$4503,_imp!$C$258))</f>
        <v/>
      </c>
      <c r="E256" s="54">
        <f>IF(_imp!$C$258="","",INDEX(_imp!$H$4:$H$4503,_imp!$C$258))</f>
        <v/>
      </c>
      <c r="F256" s="54">
        <f>IF(_imp!$C$258="","",INDEX(_imp!$I$4:$I$4503,_imp!$C$258))</f>
        <v/>
      </c>
      <c r="G256" s="54">
        <f>IF(_imp!$C$258="","",INDEX(_imp!$J$4:$J$4503,_imp!$C$258))</f>
        <v/>
      </c>
      <c r="K256" s="54">
        <f>IF(_imp!$C$258="","",INDEX(_imp!$K$4:$K$4503,_imp!$C$258))</f>
        <v/>
      </c>
    </row>
    <row r="257">
      <c r="A257" s="54">
        <f>IF(_imp!$C$259="","",INDEX(_imp!$D$4:$D$4503,_imp!$C$259))</f>
        <v/>
      </c>
      <c r="B257" s="54">
        <f>IF(_imp!$C$259="","",INDEX(_imp!$E$4:$E$4503,_imp!$C$259))</f>
        <v/>
      </c>
      <c r="C257" s="54">
        <f>IF(_imp!$C$259="","",INDEX(_imp!$F$4:$F$4503,_imp!$C$259))</f>
        <v/>
      </c>
      <c r="D257" s="54">
        <f>IF(_imp!$C$259="","",INDEX(_imp!$G$4:$G$4503,_imp!$C$259))</f>
        <v/>
      </c>
      <c r="E257" s="54">
        <f>IF(_imp!$C$259="","",INDEX(_imp!$H$4:$H$4503,_imp!$C$259))</f>
        <v/>
      </c>
      <c r="F257" s="54">
        <f>IF(_imp!$C$259="","",INDEX(_imp!$I$4:$I$4503,_imp!$C$259))</f>
        <v/>
      </c>
      <c r="G257" s="54">
        <f>IF(_imp!$C$259="","",INDEX(_imp!$J$4:$J$4503,_imp!$C$259))</f>
        <v/>
      </c>
      <c r="K257" s="54">
        <f>IF(_imp!$C$259="","",INDEX(_imp!$K$4:$K$4503,_imp!$C$259))</f>
        <v/>
      </c>
    </row>
    <row r="258">
      <c r="A258" s="54">
        <f>IF(_imp!$C$260="","",INDEX(_imp!$D$4:$D$4503,_imp!$C$260))</f>
        <v/>
      </c>
      <c r="B258" s="54">
        <f>IF(_imp!$C$260="","",INDEX(_imp!$E$4:$E$4503,_imp!$C$260))</f>
        <v/>
      </c>
      <c r="C258" s="54">
        <f>IF(_imp!$C$260="","",INDEX(_imp!$F$4:$F$4503,_imp!$C$260))</f>
        <v/>
      </c>
      <c r="D258" s="54">
        <f>IF(_imp!$C$260="","",INDEX(_imp!$G$4:$G$4503,_imp!$C$260))</f>
        <v/>
      </c>
      <c r="E258" s="54">
        <f>IF(_imp!$C$260="","",INDEX(_imp!$H$4:$H$4503,_imp!$C$260))</f>
        <v/>
      </c>
      <c r="F258" s="54">
        <f>IF(_imp!$C$260="","",INDEX(_imp!$I$4:$I$4503,_imp!$C$260))</f>
        <v/>
      </c>
      <c r="G258" s="54">
        <f>IF(_imp!$C$260="","",INDEX(_imp!$J$4:$J$4503,_imp!$C$260))</f>
        <v/>
      </c>
      <c r="K258" s="54">
        <f>IF(_imp!$C$260="","",INDEX(_imp!$K$4:$K$4503,_imp!$C$260))</f>
        <v/>
      </c>
    </row>
    <row r="259">
      <c r="A259" s="54">
        <f>IF(_imp!$C$261="","",INDEX(_imp!$D$4:$D$4503,_imp!$C$261))</f>
        <v/>
      </c>
      <c r="B259" s="54">
        <f>IF(_imp!$C$261="","",INDEX(_imp!$E$4:$E$4503,_imp!$C$261))</f>
        <v/>
      </c>
      <c r="C259" s="54">
        <f>IF(_imp!$C$261="","",INDEX(_imp!$F$4:$F$4503,_imp!$C$261))</f>
        <v/>
      </c>
      <c r="D259" s="54">
        <f>IF(_imp!$C$261="","",INDEX(_imp!$G$4:$G$4503,_imp!$C$261))</f>
        <v/>
      </c>
      <c r="E259" s="54">
        <f>IF(_imp!$C$261="","",INDEX(_imp!$H$4:$H$4503,_imp!$C$261))</f>
        <v/>
      </c>
      <c r="F259" s="54">
        <f>IF(_imp!$C$261="","",INDEX(_imp!$I$4:$I$4503,_imp!$C$261))</f>
        <v/>
      </c>
      <c r="G259" s="54">
        <f>IF(_imp!$C$261="","",INDEX(_imp!$J$4:$J$4503,_imp!$C$261))</f>
        <v/>
      </c>
      <c r="K259" s="54">
        <f>IF(_imp!$C$261="","",INDEX(_imp!$K$4:$K$4503,_imp!$C$261))</f>
        <v/>
      </c>
    </row>
    <row r="260">
      <c r="A260" s="54">
        <f>IF(_imp!$C$262="","",INDEX(_imp!$D$4:$D$4503,_imp!$C$262))</f>
        <v/>
      </c>
      <c r="B260" s="54">
        <f>IF(_imp!$C$262="","",INDEX(_imp!$E$4:$E$4503,_imp!$C$262))</f>
        <v/>
      </c>
      <c r="C260" s="54">
        <f>IF(_imp!$C$262="","",INDEX(_imp!$F$4:$F$4503,_imp!$C$262))</f>
        <v/>
      </c>
      <c r="D260" s="54">
        <f>IF(_imp!$C$262="","",INDEX(_imp!$G$4:$G$4503,_imp!$C$262))</f>
        <v/>
      </c>
      <c r="E260" s="54">
        <f>IF(_imp!$C$262="","",INDEX(_imp!$H$4:$H$4503,_imp!$C$262))</f>
        <v/>
      </c>
      <c r="F260" s="54">
        <f>IF(_imp!$C$262="","",INDEX(_imp!$I$4:$I$4503,_imp!$C$262))</f>
        <v/>
      </c>
      <c r="G260" s="54">
        <f>IF(_imp!$C$262="","",INDEX(_imp!$J$4:$J$4503,_imp!$C$262))</f>
        <v/>
      </c>
      <c r="K260" s="54">
        <f>IF(_imp!$C$262="","",INDEX(_imp!$K$4:$K$4503,_imp!$C$262))</f>
        <v/>
      </c>
    </row>
    <row r="261">
      <c r="A261" s="54">
        <f>IF(_imp!$C$263="","",INDEX(_imp!$D$4:$D$4503,_imp!$C$263))</f>
        <v/>
      </c>
      <c r="B261" s="54">
        <f>IF(_imp!$C$263="","",INDEX(_imp!$E$4:$E$4503,_imp!$C$263))</f>
        <v/>
      </c>
      <c r="C261" s="54">
        <f>IF(_imp!$C$263="","",INDEX(_imp!$F$4:$F$4503,_imp!$C$263))</f>
        <v/>
      </c>
      <c r="D261" s="54">
        <f>IF(_imp!$C$263="","",INDEX(_imp!$G$4:$G$4503,_imp!$C$263))</f>
        <v/>
      </c>
      <c r="E261" s="54">
        <f>IF(_imp!$C$263="","",INDEX(_imp!$H$4:$H$4503,_imp!$C$263))</f>
        <v/>
      </c>
      <c r="F261" s="54">
        <f>IF(_imp!$C$263="","",INDEX(_imp!$I$4:$I$4503,_imp!$C$263))</f>
        <v/>
      </c>
      <c r="G261" s="54">
        <f>IF(_imp!$C$263="","",INDEX(_imp!$J$4:$J$4503,_imp!$C$263))</f>
        <v/>
      </c>
      <c r="K261" s="54">
        <f>IF(_imp!$C$263="","",INDEX(_imp!$K$4:$K$4503,_imp!$C$263))</f>
        <v/>
      </c>
    </row>
    <row r="262">
      <c r="A262" s="54">
        <f>IF(_imp!$C$264="","",INDEX(_imp!$D$4:$D$4503,_imp!$C$264))</f>
        <v/>
      </c>
      <c r="B262" s="54">
        <f>IF(_imp!$C$264="","",INDEX(_imp!$E$4:$E$4503,_imp!$C$264))</f>
        <v/>
      </c>
      <c r="C262" s="54">
        <f>IF(_imp!$C$264="","",INDEX(_imp!$F$4:$F$4503,_imp!$C$264))</f>
        <v/>
      </c>
      <c r="D262" s="54">
        <f>IF(_imp!$C$264="","",INDEX(_imp!$G$4:$G$4503,_imp!$C$264))</f>
        <v/>
      </c>
      <c r="E262" s="54">
        <f>IF(_imp!$C$264="","",INDEX(_imp!$H$4:$H$4503,_imp!$C$264))</f>
        <v/>
      </c>
      <c r="F262" s="54">
        <f>IF(_imp!$C$264="","",INDEX(_imp!$I$4:$I$4503,_imp!$C$264))</f>
        <v/>
      </c>
      <c r="G262" s="54">
        <f>IF(_imp!$C$264="","",INDEX(_imp!$J$4:$J$4503,_imp!$C$264))</f>
        <v/>
      </c>
      <c r="K262" s="54">
        <f>IF(_imp!$C$264="","",INDEX(_imp!$K$4:$K$4503,_imp!$C$264))</f>
        <v/>
      </c>
    </row>
    <row r="263">
      <c r="A263" s="54">
        <f>IF(_imp!$C$265="","",INDEX(_imp!$D$4:$D$4503,_imp!$C$265))</f>
        <v/>
      </c>
      <c r="B263" s="54">
        <f>IF(_imp!$C$265="","",INDEX(_imp!$E$4:$E$4503,_imp!$C$265))</f>
        <v/>
      </c>
      <c r="C263" s="54">
        <f>IF(_imp!$C$265="","",INDEX(_imp!$F$4:$F$4503,_imp!$C$265))</f>
        <v/>
      </c>
      <c r="D263" s="54">
        <f>IF(_imp!$C$265="","",INDEX(_imp!$G$4:$G$4503,_imp!$C$265))</f>
        <v/>
      </c>
      <c r="E263" s="54">
        <f>IF(_imp!$C$265="","",INDEX(_imp!$H$4:$H$4503,_imp!$C$265))</f>
        <v/>
      </c>
      <c r="F263" s="54">
        <f>IF(_imp!$C$265="","",INDEX(_imp!$I$4:$I$4503,_imp!$C$265))</f>
        <v/>
      </c>
      <c r="G263" s="54">
        <f>IF(_imp!$C$265="","",INDEX(_imp!$J$4:$J$4503,_imp!$C$265))</f>
        <v/>
      </c>
      <c r="K263" s="54">
        <f>IF(_imp!$C$265="","",INDEX(_imp!$K$4:$K$4503,_imp!$C$265))</f>
        <v/>
      </c>
    </row>
    <row r="264">
      <c r="A264" s="54">
        <f>IF(_imp!$C$266="","",INDEX(_imp!$D$4:$D$4503,_imp!$C$266))</f>
        <v/>
      </c>
      <c r="B264" s="54">
        <f>IF(_imp!$C$266="","",INDEX(_imp!$E$4:$E$4503,_imp!$C$266))</f>
        <v/>
      </c>
      <c r="C264" s="54">
        <f>IF(_imp!$C$266="","",INDEX(_imp!$F$4:$F$4503,_imp!$C$266))</f>
        <v/>
      </c>
      <c r="D264" s="54">
        <f>IF(_imp!$C$266="","",INDEX(_imp!$G$4:$G$4503,_imp!$C$266))</f>
        <v/>
      </c>
      <c r="E264" s="54">
        <f>IF(_imp!$C$266="","",INDEX(_imp!$H$4:$H$4503,_imp!$C$266))</f>
        <v/>
      </c>
      <c r="F264" s="54">
        <f>IF(_imp!$C$266="","",INDEX(_imp!$I$4:$I$4503,_imp!$C$266))</f>
        <v/>
      </c>
      <c r="G264" s="54">
        <f>IF(_imp!$C$266="","",INDEX(_imp!$J$4:$J$4503,_imp!$C$266))</f>
        <v/>
      </c>
      <c r="K264" s="54">
        <f>IF(_imp!$C$266="","",INDEX(_imp!$K$4:$K$4503,_imp!$C$266))</f>
        <v/>
      </c>
    </row>
    <row r="265">
      <c r="A265" s="54">
        <f>IF(_imp!$C$267="","",INDEX(_imp!$D$4:$D$4503,_imp!$C$267))</f>
        <v/>
      </c>
      <c r="B265" s="54">
        <f>IF(_imp!$C$267="","",INDEX(_imp!$E$4:$E$4503,_imp!$C$267))</f>
        <v/>
      </c>
      <c r="C265" s="54">
        <f>IF(_imp!$C$267="","",INDEX(_imp!$F$4:$F$4503,_imp!$C$267))</f>
        <v/>
      </c>
      <c r="D265" s="54">
        <f>IF(_imp!$C$267="","",INDEX(_imp!$G$4:$G$4503,_imp!$C$267))</f>
        <v/>
      </c>
      <c r="E265" s="54">
        <f>IF(_imp!$C$267="","",INDEX(_imp!$H$4:$H$4503,_imp!$C$267))</f>
        <v/>
      </c>
      <c r="F265" s="54">
        <f>IF(_imp!$C$267="","",INDEX(_imp!$I$4:$I$4503,_imp!$C$267))</f>
        <v/>
      </c>
      <c r="G265" s="54">
        <f>IF(_imp!$C$267="","",INDEX(_imp!$J$4:$J$4503,_imp!$C$267))</f>
        <v/>
      </c>
      <c r="K265" s="54">
        <f>IF(_imp!$C$267="","",INDEX(_imp!$K$4:$K$4503,_imp!$C$267))</f>
        <v/>
      </c>
    </row>
    <row r="266">
      <c r="A266" s="54">
        <f>IF(_imp!$C$268="","",INDEX(_imp!$D$4:$D$4503,_imp!$C$268))</f>
        <v/>
      </c>
      <c r="B266" s="54">
        <f>IF(_imp!$C$268="","",INDEX(_imp!$E$4:$E$4503,_imp!$C$268))</f>
        <v/>
      </c>
      <c r="C266" s="54">
        <f>IF(_imp!$C$268="","",INDEX(_imp!$F$4:$F$4503,_imp!$C$268))</f>
        <v/>
      </c>
      <c r="D266" s="54">
        <f>IF(_imp!$C$268="","",INDEX(_imp!$G$4:$G$4503,_imp!$C$268))</f>
        <v/>
      </c>
      <c r="E266" s="54">
        <f>IF(_imp!$C$268="","",INDEX(_imp!$H$4:$H$4503,_imp!$C$268))</f>
        <v/>
      </c>
      <c r="F266" s="54">
        <f>IF(_imp!$C$268="","",INDEX(_imp!$I$4:$I$4503,_imp!$C$268))</f>
        <v/>
      </c>
      <c r="G266" s="54">
        <f>IF(_imp!$C$268="","",INDEX(_imp!$J$4:$J$4503,_imp!$C$268))</f>
        <v/>
      </c>
      <c r="K266" s="54">
        <f>IF(_imp!$C$268="","",INDEX(_imp!$K$4:$K$4503,_imp!$C$268))</f>
        <v/>
      </c>
    </row>
    <row r="267">
      <c r="A267" s="54">
        <f>IF(_imp!$C$269="","",INDEX(_imp!$D$4:$D$4503,_imp!$C$269))</f>
        <v/>
      </c>
      <c r="B267" s="54">
        <f>IF(_imp!$C$269="","",INDEX(_imp!$E$4:$E$4503,_imp!$C$269))</f>
        <v/>
      </c>
      <c r="C267" s="54">
        <f>IF(_imp!$C$269="","",INDEX(_imp!$F$4:$F$4503,_imp!$C$269))</f>
        <v/>
      </c>
      <c r="D267" s="54">
        <f>IF(_imp!$C$269="","",INDEX(_imp!$G$4:$G$4503,_imp!$C$269))</f>
        <v/>
      </c>
      <c r="E267" s="54">
        <f>IF(_imp!$C$269="","",INDEX(_imp!$H$4:$H$4503,_imp!$C$269))</f>
        <v/>
      </c>
      <c r="F267" s="54">
        <f>IF(_imp!$C$269="","",INDEX(_imp!$I$4:$I$4503,_imp!$C$269))</f>
        <v/>
      </c>
      <c r="G267" s="54">
        <f>IF(_imp!$C$269="","",INDEX(_imp!$J$4:$J$4503,_imp!$C$269))</f>
        <v/>
      </c>
      <c r="K267" s="54">
        <f>IF(_imp!$C$269="","",INDEX(_imp!$K$4:$K$4503,_imp!$C$269))</f>
        <v/>
      </c>
    </row>
    <row r="268">
      <c r="A268" s="54">
        <f>IF(_imp!$C$270="","",INDEX(_imp!$D$4:$D$4503,_imp!$C$270))</f>
        <v/>
      </c>
      <c r="B268" s="54">
        <f>IF(_imp!$C$270="","",INDEX(_imp!$E$4:$E$4503,_imp!$C$270))</f>
        <v/>
      </c>
      <c r="C268" s="54">
        <f>IF(_imp!$C$270="","",INDEX(_imp!$F$4:$F$4503,_imp!$C$270))</f>
        <v/>
      </c>
      <c r="D268" s="54">
        <f>IF(_imp!$C$270="","",INDEX(_imp!$G$4:$G$4503,_imp!$C$270))</f>
        <v/>
      </c>
      <c r="E268" s="54">
        <f>IF(_imp!$C$270="","",INDEX(_imp!$H$4:$H$4503,_imp!$C$270))</f>
        <v/>
      </c>
      <c r="F268" s="54">
        <f>IF(_imp!$C$270="","",INDEX(_imp!$I$4:$I$4503,_imp!$C$270))</f>
        <v/>
      </c>
      <c r="G268" s="54">
        <f>IF(_imp!$C$270="","",INDEX(_imp!$J$4:$J$4503,_imp!$C$270))</f>
        <v/>
      </c>
      <c r="K268" s="54">
        <f>IF(_imp!$C$270="","",INDEX(_imp!$K$4:$K$4503,_imp!$C$270))</f>
        <v/>
      </c>
    </row>
    <row r="269">
      <c r="A269" s="54">
        <f>IF(_imp!$C$271="","",INDEX(_imp!$D$4:$D$4503,_imp!$C$271))</f>
        <v/>
      </c>
      <c r="B269" s="54">
        <f>IF(_imp!$C$271="","",INDEX(_imp!$E$4:$E$4503,_imp!$C$271))</f>
        <v/>
      </c>
      <c r="C269" s="54">
        <f>IF(_imp!$C$271="","",INDEX(_imp!$F$4:$F$4503,_imp!$C$271))</f>
        <v/>
      </c>
      <c r="D269" s="54">
        <f>IF(_imp!$C$271="","",INDEX(_imp!$G$4:$G$4503,_imp!$C$271))</f>
        <v/>
      </c>
      <c r="E269" s="54">
        <f>IF(_imp!$C$271="","",INDEX(_imp!$H$4:$H$4503,_imp!$C$271))</f>
        <v/>
      </c>
      <c r="F269" s="54">
        <f>IF(_imp!$C$271="","",INDEX(_imp!$I$4:$I$4503,_imp!$C$271))</f>
        <v/>
      </c>
      <c r="G269" s="54">
        <f>IF(_imp!$C$271="","",INDEX(_imp!$J$4:$J$4503,_imp!$C$271))</f>
        <v/>
      </c>
      <c r="K269" s="54">
        <f>IF(_imp!$C$271="","",INDEX(_imp!$K$4:$K$4503,_imp!$C$271))</f>
        <v/>
      </c>
    </row>
    <row r="270">
      <c r="A270" s="54">
        <f>IF(_imp!$C$272="","",INDEX(_imp!$D$4:$D$4503,_imp!$C$272))</f>
        <v/>
      </c>
      <c r="B270" s="54">
        <f>IF(_imp!$C$272="","",INDEX(_imp!$E$4:$E$4503,_imp!$C$272))</f>
        <v/>
      </c>
      <c r="C270" s="54">
        <f>IF(_imp!$C$272="","",INDEX(_imp!$F$4:$F$4503,_imp!$C$272))</f>
        <v/>
      </c>
      <c r="D270" s="54">
        <f>IF(_imp!$C$272="","",INDEX(_imp!$G$4:$G$4503,_imp!$C$272))</f>
        <v/>
      </c>
      <c r="E270" s="54">
        <f>IF(_imp!$C$272="","",INDEX(_imp!$H$4:$H$4503,_imp!$C$272))</f>
        <v/>
      </c>
      <c r="F270" s="54">
        <f>IF(_imp!$C$272="","",INDEX(_imp!$I$4:$I$4503,_imp!$C$272))</f>
        <v/>
      </c>
      <c r="G270" s="54">
        <f>IF(_imp!$C$272="","",INDEX(_imp!$J$4:$J$4503,_imp!$C$272))</f>
        <v/>
      </c>
      <c r="K270" s="54">
        <f>IF(_imp!$C$272="","",INDEX(_imp!$K$4:$K$4503,_imp!$C$272))</f>
        <v/>
      </c>
    </row>
    <row r="271">
      <c r="A271" s="54">
        <f>IF(_imp!$C$273="","",INDEX(_imp!$D$4:$D$4503,_imp!$C$273))</f>
        <v/>
      </c>
      <c r="B271" s="54">
        <f>IF(_imp!$C$273="","",INDEX(_imp!$E$4:$E$4503,_imp!$C$273))</f>
        <v/>
      </c>
      <c r="C271" s="54">
        <f>IF(_imp!$C$273="","",INDEX(_imp!$F$4:$F$4503,_imp!$C$273))</f>
        <v/>
      </c>
      <c r="D271" s="54">
        <f>IF(_imp!$C$273="","",INDEX(_imp!$G$4:$G$4503,_imp!$C$273))</f>
        <v/>
      </c>
      <c r="E271" s="54">
        <f>IF(_imp!$C$273="","",INDEX(_imp!$H$4:$H$4503,_imp!$C$273))</f>
        <v/>
      </c>
      <c r="F271" s="54">
        <f>IF(_imp!$C$273="","",INDEX(_imp!$I$4:$I$4503,_imp!$C$273))</f>
        <v/>
      </c>
      <c r="G271" s="54">
        <f>IF(_imp!$C$273="","",INDEX(_imp!$J$4:$J$4503,_imp!$C$273))</f>
        <v/>
      </c>
      <c r="K271" s="54">
        <f>IF(_imp!$C$273="","",INDEX(_imp!$K$4:$K$4503,_imp!$C$273))</f>
        <v/>
      </c>
    </row>
    <row r="272">
      <c r="A272" s="54">
        <f>IF(_imp!$C$274="","",INDEX(_imp!$D$4:$D$4503,_imp!$C$274))</f>
        <v/>
      </c>
      <c r="B272" s="54">
        <f>IF(_imp!$C$274="","",INDEX(_imp!$E$4:$E$4503,_imp!$C$274))</f>
        <v/>
      </c>
      <c r="C272" s="54">
        <f>IF(_imp!$C$274="","",INDEX(_imp!$F$4:$F$4503,_imp!$C$274))</f>
        <v/>
      </c>
      <c r="D272" s="54">
        <f>IF(_imp!$C$274="","",INDEX(_imp!$G$4:$G$4503,_imp!$C$274))</f>
        <v/>
      </c>
      <c r="E272" s="54">
        <f>IF(_imp!$C$274="","",INDEX(_imp!$H$4:$H$4503,_imp!$C$274))</f>
        <v/>
      </c>
      <c r="F272" s="54">
        <f>IF(_imp!$C$274="","",INDEX(_imp!$I$4:$I$4503,_imp!$C$274))</f>
        <v/>
      </c>
      <c r="G272" s="54">
        <f>IF(_imp!$C$274="","",INDEX(_imp!$J$4:$J$4503,_imp!$C$274))</f>
        <v/>
      </c>
      <c r="K272" s="54">
        <f>IF(_imp!$C$274="","",INDEX(_imp!$K$4:$K$4503,_imp!$C$274))</f>
        <v/>
      </c>
    </row>
    <row r="273">
      <c r="A273" s="54">
        <f>IF(_imp!$C$275="","",INDEX(_imp!$D$4:$D$4503,_imp!$C$275))</f>
        <v/>
      </c>
      <c r="B273" s="54">
        <f>IF(_imp!$C$275="","",INDEX(_imp!$E$4:$E$4503,_imp!$C$275))</f>
        <v/>
      </c>
      <c r="C273" s="54">
        <f>IF(_imp!$C$275="","",INDEX(_imp!$F$4:$F$4503,_imp!$C$275))</f>
        <v/>
      </c>
      <c r="D273" s="54">
        <f>IF(_imp!$C$275="","",INDEX(_imp!$G$4:$G$4503,_imp!$C$275))</f>
        <v/>
      </c>
      <c r="E273" s="54">
        <f>IF(_imp!$C$275="","",INDEX(_imp!$H$4:$H$4503,_imp!$C$275))</f>
        <v/>
      </c>
      <c r="F273" s="54">
        <f>IF(_imp!$C$275="","",INDEX(_imp!$I$4:$I$4503,_imp!$C$275))</f>
        <v/>
      </c>
      <c r="G273" s="54">
        <f>IF(_imp!$C$275="","",INDEX(_imp!$J$4:$J$4503,_imp!$C$275))</f>
        <v/>
      </c>
      <c r="K273" s="54">
        <f>IF(_imp!$C$275="","",INDEX(_imp!$K$4:$K$4503,_imp!$C$275))</f>
        <v/>
      </c>
    </row>
    <row r="274">
      <c r="A274" s="54">
        <f>IF(_imp!$C$276="","",INDEX(_imp!$D$4:$D$4503,_imp!$C$276))</f>
        <v/>
      </c>
      <c r="B274" s="54">
        <f>IF(_imp!$C$276="","",INDEX(_imp!$E$4:$E$4503,_imp!$C$276))</f>
        <v/>
      </c>
      <c r="C274" s="54">
        <f>IF(_imp!$C$276="","",INDEX(_imp!$F$4:$F$4503,_imp!$C$276))</f>
        <v/>
      </c>
      <c r="D274" s="54">
        <f>IF(_imp!$C$276="","",INDEX(_imp!$G$4:$G$4503,_imp!$C$276))</f>
        <v/>
      </c>
      <c r="E274" s="54">
        <f>IF(_imp!$C$276="","",INDEX(_imp!$H$4:$H$4503,_imp!$C$276))</f>
        <v/>
      </c>
      <c r="F274" s="54">
        <f>IF(_imp!$C$276="","",INDEX(_imp!$I$4:$I$4503,_imp!$C$276))</f>
        <v/>
      </c>
      <c r="G274" s="54">
        <f>IF(_imp!$C$276="","",INDEX(_imp!$J$4:$J$4503,_imp!$C$276))</f>
        <v/>
      </c>
      <c r="K274" s="54">
        <f>IF(_imp!$C$276="","",INDEX(_imp!$K$4:$K$4503,_imp!$C$276))</f>
        <v/>
      </c>
    </row>
    <row r="275">
      <c r="A275" s="54">
        <f>IF(_imp!$C$277="","",INDEX(_imp!$D$4:$D$4503,_imp!$C$277))</f>
        <v/>
      </c>
      <c r="B275" s="54">
        <f>IF(_imp!$C$277="","",INDEX(_imp!$E$4:$E$4503,_imp!$C$277))</f>
        <v/>
      </c>
      <c r="C275" s="54">
        <f>IF(_imp!$C$277="","",INDEX(_imp!$F$4:$F$4503,_imp!$C$277))</f>
        <v/>
      </c>
      <c r="D275" s="54">
        <f>IF(_imp!$C$277="","",INDEX(_imp!$G$4:$G$4503,_imp!$C$277))</f>
        <v/>
      </c>
      <c r="E275" s="54">
        <f>IF(_imp!$C$277="","",INDEX(_imp!$H$4:$H$4503,_imp!$C$277))</f>
        <v/>
      </c>
      <c r="F275" s="54">
        <f>IF(_imp!$C$277="","",INDEX(_imp!$I$4:$I$4503,_imp!$C$277))</f>
        <v/>
      </c>
      <c r="G275" s="54">
        <f>IF(_imp!$C$277="","",INDEX(_imp!$J$4:$J$4503,_imp!$C$277))</f>
        <v/>
      </c>
      <c r="K275" s="54">
        <f>IF(_imp!$C$277="","",INDEX(_imp!$K$4:$K$4503,_imp!$C$277))</f>
        <v/>
      </c>
    </row>
    <row r="276">
      <c r="A276" s="54">
        <f>IF(_imp!$C$278="","",INDEX(_imp!$D$4:$D$4503,_imp!$C$278))</f>
        <v/>
      </c>
      <c r="B276" s="54">
        <f>IF(_imp!$C$278="","",INDEX(_imp!$E$4:$E$4503,_imp!$C$278))</f>
        <v/>
      </c>
      <c r="C276" s="54">
        <f>IF(_imp!$C$278="","",INDEX(_imp!$F$4:$F$4503,_imp!$C$278))</f>
        <v/>
      </c>
      <c r="D276" s="54">
        <f>IF(_imp!$C$278="","",INDEX(_imp!$G$4:$G$4503,_imp!$C$278))</f>
        <v/>
      </c>
      <c r="E276" s="54">
        <f>IF(_imp!$C$278="","",INDEX(_imp!$H$4:$H$4503,_imp!$C$278))</f>
        <v/>
      </c>
      <c r="F276" s="54">
        <f>IF(_imp!$C$278="","",INDEX(_imp!$I$4:$I$4503,_imp!$C$278))</f>
        <v/>
      </c>
      <c r="G276" s="54">
        <f>IF(_imp!$C$278="","",INDEX(_imp!$J$4:$J$4503,_imp!$C$278))</f>
        <v/>
      </c>
      <c r="K276" s="54">
        <f>IF(_imp!$C$278="","",INDEX(_imp!$K$4:$K$4503,_imp!$C$278))</f>
        <v/>
      </c>
    </row>
    <row r="277">
      <c r="A277" s="54">
        <f>IF(_imp!$C$279="","",INDEX(_imp!$D$4:$D$4503,_imp!$C$279))</f>
        <v/>
      </c>
      <c r="B277" s="54">
        <f>IF(_imp!$C$279="","",INDEX(_imp!$E$4:$E$4503,_imp!$C$279))</f>
        <v/>
      </c>
      <c r="C277" s="54">
        <f>IF(_imp!$C$279="","",INDEX(_imp!$F$4:$F$4503,_imp!$C$279))</f>
        <v/>
      </c>
      <c r="D277" s="54">
        <f>IF(_imp!$C$279="","",INDEX(_imp!$G$4:$G$4503,_imp!$C$279))</f>
        <v/>
      </c>
      <c r="E277" s="54">
        <f>IF(_imp!$C$279="","",INDEX(_imp!$H$4:$H$4503,_imp!$C$279))</f>
        <v/>
      </c>
      <c r="F277" s="54">
        <f>IF(_imp!$C$279="","",INDEX(_imp!$I$4:$I$4503,_imp!$C$279))</f>
        <v/>
      </c>
      <c r="G277" s="54">
        <f>IF(_imp!$C$279="","",INDEX(_imp!$J$4:$J$4503,_imp!$C$279))</f>
        <v/>
      </c>
      <c r="K277" s="54">
        <f>IF(_imp!$C$279="","",INDEX(_imp!$K$4:$K$4503,_imp!$C$279))</f>
        <v/>
      </c>
    </row>
    <row r="278">
      <c r="A278" s="54">
        <f>IF(_imp!$C$280="","",INDEX(_imp!$D$4:$D$4503,_imp!$C$280))</f>
        <v/>
      </c>
      <c r="B278" s="54">
        <f>IF(_imp!$C$280="","",INDEX(_imp!$E$4:$E$4503,_imp!$C$280))</f>
        <v/>
      </c>
      <c r="C278" s="54">
        <f>IF(_imp!$C$280="","",INDEX(_imp!$F$4:$F$4503,_imp!$C$280))</f>
        <v/>
      </c>
      <c r="D278" s="54">
        <f>IF(_imp!$C$280="","",INDEX(_imp!$G$4:$G$4503,_imp!$C$280))</f>
        <v/>
      </c>
      <c r="E278" s="54">
        <f>IF(_imp!$C$280="","",INDEX(_imp!$H$4:$H$4503,_imp!$C$280))</f>
        <v/>
      </c>
      <c r="F278" s="54">
        <f>IF(_imp!$C$280="","",INDEX(_imp!$I$4:$I$4503,_imp!$C$280))</f>
        <v/>
      </c>
      <c r="G278" s="54">
        <f>IF(_imp!$C$280="","",INDEX(_imp!$J$4:$J$4503,_imp!$C$280))</f>
        <v/>
      </c>
      <c r="K278" s="54">
        <f>IF(_imp!$C$280="","",INDEX(_imp!$K$4:$K$4503,_imp!$C$280))</f>
        <v/>
      </c>
    </row>
    <row r="279">
      <c r="A279" s="54">
        <f>IF(_imp!$C$281="","",INDEX(_imp!$D$4:$D$4503,_imp!$C$281))</f>
        <v/>
      </c>
      <c r="B279" s="54">
        <f>IF(_imp!$C$281="","",INDEX(_imp!$E$4:$E$4503,_imp!$C$281))</f>
        <v/>
      </c>
      <c r="C279" s="54">
        <f>IF(_imp!$C$281="","",INDEX(_imp!$F$4:$F$4503,_imp!$C$281))</f>
        <v/>
      </c>
      <c r="D279" s="54">
        <f>IF(_imp!$C$281="","",INDEX(_imp!$G$4:$G$4503,_imp!$C$281))</f>
        <v/>
      </c>
      <c r="E279" s="54">
        <f>IF(_imp!$C$281="","",INDEX(_imp!$H$4:$H$4503,_imp!$C$281))</f>
        <v/>
      </c>
      <c r="F279" s="54">
        <f>IF(_imp!$C$281="","",INDEX(_imp!$I$4:$I$4503,_imp!$C$281))</f>
        <v/>
      </c>
      <c r="G279" s="54">
        <f>IF(_imp!$C$281="","",INDEX(_imp!$J$4:$J$4503,_imp!$C$281))</f>
        <v/>
      </c>
      <c r="K279" s="54">
        <f>IF(_imp!$C$281="","",INDEX(_imp!$K$4:$K$4503,_imp!$C$281))</f>
        <v/>
      </c>
    </row>
    <row r="280">
      <c r="A280" s="54">
        <f>IF(_imp!$C$282="","",INDEX(_imp!$D$4:$D$4503,_imp!$C$282))</f>
        <v/>
      </c>
      <c r="B280" s="54">
        <f>IF(_imp!$C$282="","",INDEX(_imp!$E$4:$E$4503,_imp!$C$282))</f>
        <v/>
      </c>
      <c r="C280" s="54">
        <f>IF(_imp!$C$282="","",INDEX(_imp!$F$4:$F$4503,_imp!$C$282))</f>
        <v/>
      </c>
      <c r="D280" s="54">
        <f>IF(_imp!$C$282="","",INDEX(_imp!$G$4:$G$4503,_imp!$C$282))</f>
        <v/>
      </c>
      <c r="E280" s="54">
        <f>IF(_imp!$C$282="","",INDEX(_imp!$H$4:$H$4503,_imp!$C$282))</f>
        <v/>
      </c>
      <c r="F280" s="54">
        <f>IF(_imp!$C$282="","",INDEX(_imp!$I$4:$I$4503,_imp!$C$282))</f>
        <v/>
      </c>
      <c r="G280" s="54">
        <f>IF(_imp!$C$282="","",INDEX(_imp!$J$4:$J$4503,_imp!$C$282))</f>
        <v/>
      </c>
      <c r="K280" s="54">
        <f>IF(_imp!$C$282="","",INDEX(_imp!$K$4:$K$4503,_imp!$C$282))</f>
        <v/>
      </c>
    </row>
    <row r="281">
      <c r="A281" s="54">
        <f>IF(_imp!$C$283="","",INDEX(_imp!$D$4:$D$4503,_imp!$C$283))</f>
        <v/>
      </c>
      <c r="B281" s="54">
        <f>IF(_imp!$C$283="","",INDEX(_imp!$E$4:$E$4503,_imp!$C$283))</f>
        <v/>
      </c>
      <c r="C281" s="54">
        <f>IF(_imp!$C$283="","",INDEX(_imp!$F$4:$F$4503,_imp!$C$283))</f>
        <v/>
      </c>
      <c r="D281" s="54">
        <f>IF(_imp!$C$283="","",INDEX(_imp!$G$4:$G$4503,_imp!$C$283))</f>
        <v/>
      </c>
      <c r="E281" s="54">
        <f>IF(_imp!$C$283="","",INDEX(_imp!$H$4:$H$4503,_imp!$C$283))</f>
        <v/>
      </c>
      <c r="F281" s="54">
        <f>IF(_imp!$C$283="","",INDEX(_imp!$I$4:$I$4503,_imp!$C$283))</f>
        <v/>
      </c>
      <c r="G281" s="54">
        <f>IF(_imp!$C$283="","",INDEX(_imp!$J$4:$J$4503,_imp!$C$283))</f>
        <v/>
      </c>
      <c r="K281" s="54">
        <f>IF(_imp!$C$283="","",INDEX(_imp!$K$4:$K$4503,_imp!$C$283))</f>
        <v/>
      </c>
    </row>
    <row r="282">
      <c r="A282" s="54">
        <f>IF(_imp!$C$284="","",INDEX(_imp!$D$4:$D$4503,_imp!$C$284))</f>
        <v/>
      </c>
      <c r="B282" s="54">
        <f>IF(_imp!$C$284="","",INDEX(_imp!$E$4:$E$4503,_imp!$C$284))</f>
        <v/>
      </c>
      <c r="C282" s="54">
        <f>IF(_imp!$C$284="","",INDEX(_imp!$F$4:$F$4503,_imp!$C$284))</f>
        <v/>
      </c>
      <c r="D282" s="54">
        <f>IF(_imp!$C$284="","",INDEX(_imp!$G$4:$G$4503,_imp!$C$284))</f>
        <v/>
      </c>
      <c r="E282" s="54">
        <f>IF(_imp!$C$284="","",INDEX(_imp!$H$4:$H$4503,_imp!$C$284))</f>
        <v/>
      </c>
      <c r="F282" s="54">
        <f>IF(_imp!$C$284="","",INDEX(_imp!$I$4:$I$4503,_imp!$C$284))</f>
        <v/>
      </c>
      <c r="G282" s="54">
        <f>IF(_imp!$C$284="","",INDEX(_imp!$J$4:$J$4503,_imp!$C$284))</f>
        <v/>
      </c>
      <c r="K282" s="54">
        <f>IF(_imp!$C$284="","",INDEX(_imp!$K$4:$K$4503,_imp!$C$284))</f>
        <v/>
      </c>
    </row>
    <row r="283">
      <c r="A283" s="54">
        <f>IF(_imp!$C$285="","",INDEX(_imp!$D$4:$D$4503,_imp!$C$285))</f>
        <v/>
      </c>
      <c r="B283" s="54">
        <f>IF(_imp!$C$285="","",INDEX(_imp!$E$4:$E$4503,_imp!$C$285))</f>
        <v/>
      </c>
      <c r="C283" s="54">
        <f>IF(_imp!$C$285="","",INDEX(_imp!$F$4:$F$4503,_imp!$C$285))</f>
        <v/>
      </c>
      <c r="D283" s="54">
        <f>IF(_imp!$C$285="","",INDEX(_imp!$G$4:$G$4503,_imp!$C$285))</f>
        <v/>
      </c>
      <c r="E283" s="54">
        <f>IF(_imp!$C$285="","",INDEX(_imp!$H$4:$H$4503,_imp!$C$285))</f>
        <v/>
      </c>
      <c r="F283" s="54">
        <f>IF(_imp!$C$285="","",INDEX(_imp!$I$4:$I$4503,_imp!$C$285))</f>
        <v/>
      </c>
      <c r="G283" s="54">
        <f>IF(_imp!$C$285="","",INDEX(_imp!$J$4:$J$4503,_imp!$C$285))</f>
        <v/>
      </c>
      <c r="K283" s="54">
        <f>IF(_imp!$C$285="","",INDEX(_imp!$K$4:$K$4503,_imp!$C$285))</f>
        <v/>
      </c>
    </row>
    <row r="284">
      <c r="A284" s="54">
        <f>IF(_imp!$C$286="","",INDEX(_imp!$D$4:$D$4503,_imp!$C$286))</f>
        <v/>
      </c>
      <c r="B284" s="54">
        <f>IF(_imp!$C$286="","",INDEX(_imp!$E$4:$E$4503,_imp!$C$286))</f>
        <v/>
      </c>
      <c r="C284" s="54">
        <f>IF(_imp!$C$286="","",INDEX(_imp!$F$4:$F$4503,_imp!$C$286))</f>
        <v/>
      </c>
      <c r="D284" s="54">
        <f>IF(_imp!$C$286="","",INDEX(_imp!$G$4:$G$4503,_imp!$C$286))</f>
        <v/>
      </c>
      <c r="E284" s="54">
        <f>IF(_imp!$C$286="","",INDEX(_imp!$H$4:$H$4503,_imp!$C$286))</f>
        <v/>
      </c>
      <c r="F284" s="54">
        <f>IF(_imp!$C$286="","",INDEX(_imp!$I$4:$I$4503,_imp!$C$286))</f>
        <v/>
      </c>
      <c r="G284" s="54">
        <f>IF(_imp!$C$286="","",INDEX(_imp!$J$4:$J$4503,_imp!$C$286))</f>
        <v/>
      </c>
      <c r="K284" s="54">
        <f>IF(_imp!$C$286="","",INDEX(_imp!$K$4:$K$4503,_imp!$C$286))</f>
        <v/>
      </c>
    </row>
    <row r="285">
      <c r="A285" s="54">
        <f>IF(_imp!$C$287="","",INDEX(_imp!$D$4:$D$4503,_imp!$C$287))</f>
        <v/>
      </c>
      <c r="B285" s="54">
        <f>IF(_imp!$C$287="","",INDEX(_imp!$E$4:$E$4503,_imp!$C$287))</f>
        <v/>
      </c>
      <c r="C285" s="54">
        <f>IF(_imp!$C$287="","",INDEX(_imp!$F$4:$F$4503,_imp!$C$287))</f>
        <v/>
      </c>
      <c r="D285" s="54">
        <f>IF(_imp!$C$287="","",INDEX(_imp!$G$4:$G$4503,_imp!$C$287))</f>
        <v/>
      </c>
      <c r="E285" s="54">
        <f>IF(_imp!$C$287="","",INDEX(_imp!$H$4:$H$4503,_imp!$C$287))</f>
        <v/>
      </c>
      <c r="F285" s="54">
        <f>IF(_imp!$C$287="","",INDEX(_imp!$I$4:$I$4503,_imp!$C$287))</f>
        <v/>
      </c>
      <c r="G285" s="54">
        <f>IF(_imp!$C$287="","",INDEX(_imp!$J$4:$J$4503,_imp!$C$287))</f>
        <v/>
      </c>
      <c r="K285" s="54">
        <f>IF(_imp!$C$287="","",INDEX(_imp!$K$4:$K$4503,_imp!$C$287))</f>
        <v/>
      </c>
    </row>
    <row r="286">
      <c r="A286" s="54">
        <f>IF(_imp!$C$288="","",INDEX(_imp!$D$4:$D$4503,_imp!$C$288))</f>
        <v/>
      </c>
      <c r="B286" s="54">
        <f>IF(_imp!$C$288="","",INDEX(_imp!$E$4:$E$4503,_imp!$C$288))</f>
        <v/>
      </c>
      <c r="C286" s="54">
        <f>IF(_imp!$C$288="","",INDEX(_imp!$F$4:$F$4503,_imp!$C$288))</f>
        <v/>
      </c>
      <c r="D286" s="54">
        <f>IF(_imp!$C$288="","",INDEX(_imp!$G$4:$G$4503,_imp!$C$288))</f>
        <v/>
      </c>
      <c r="E286" s="54">
        <f>IF(_imp!$C$288="","",INDEX(_imp!$H$4:$H$4503,_imp!$C$288))</f>
        <v/>
      </c>
      <c r="F286" s="54">
        <f>IF(_imp!$C$288="","",INDEX(_imp!$I$4:$I$4503,_imp!$C$288))</f>
        <v/>
      </c>
      <c r="G286" s="54">
        <f>IF(_imp!$C$288="","",INDEX(_imp!$J$4:$J$4503,_imp!$C$288))</f>
        <v/>
      </c>
      <c r="K286" s="54">
        <f>IF(_imp!$C$288="","",INDEX(_imp!$K$4:$K$4503,_imp!$C$288))</f>
        <v/>
      </c>
    </row>
    <row r="287">
      <c r="A287" s="54">
        <f>IF(_imp!$C$289="","",INDEX(_imp!$D$4:$D$4503,_imp!$C$289))</f>
        <v/>
      </c>
      <c r="B287" s="54">
        <f>IF(_imp!$C$289="","",INDEX(_imp!$E$4:$E$4503,_imp!$C$289))</f>
        <v/>
      </c>
      <c r="C287" s="54">
        <f>IF(_imp!$C$289="","",INDEX(_imp!$F$4:$F$4503,_imp!$C$289))</f>
        <v/>
      </c>
      <c r="D287" s="54">
        <f>IF(_imp!$C$289="","",INDEX(_imp!$G$4:$G$4503,_imp!$C$289))</f>
        <v/>
      </c>
      <c r="E287" s="54">
        <f>IF(_imp!$C$289="","",INDEX(_imp!$H$4:$H$4503,_imp!$C$289))</f>
        <v/>
      </c>
      <c r="F287" s="54">
        <f>IF(_imp!$C$289="","",INDEX(_imp!$I$4:$I$4503,_imp!$C$289))</f>
        <v/>
      </c>
      <c r="G287" s="54">
        <f>IF(_imp!$C$289="","",INDEX(_imp!$J$4:$J$4503,_imp!$C$289))</f>
        <v/>
      </c>
      <c r="K287" s="54">
        <f>IF(_imp!$C$289="","",INDEX(_imp!$K$4:$K$4503,_imp!$C$289))</f>
        <v/>
      </c>
    </row>
    <row r="288">
      <c r="A288" s="54">
        <f>IF(_imp!$C$290="","",INDEX(_imp!$D$4:$D$4503,_imp!$C$290))</f>
        <v/>
      </c>
      <c r="B288" s="54">
        <f>IF(_imp!$C$290="","",INDEX(_imp!$E$4:$E$4503,_imp!$C$290))</f>
        <v/>
      </c>
      <c r="C288" s="54">
        <f>IF(_imp!$C$290="","",INDEX(_imp!$F$4:$F$4503,_imp!$C$290))</f>
        <v/>
      </c>
      <c r="D288" s="54">
        <f>IF(_imp!$C$290="","",INDEX(_imp!$G$4:$G$4503,_imp!$C$290))</f>
        <v/>
      </c>
      <c r="E288" s="54">
        <f>IF(_imp!$C$290="","",INDEX(_imp!$H$4:$H$4503,_imp!$C$290))</f>
        <v/>
      </c>
      <c r="F288" s="54">
        <f>IF(_imp!$C$290="","",INDEX(_imp!$I$4:$I$4503,_imp!$C$290))</f>
        <v/>
      </c>
      <c r="G288" s="54">
        <f>IF(_imp!$C$290="","",INDEX(_imp!$J$4:$J$4503,_imp!$C$290))</f>
        <v/>
      </c>
      <c r="K288" s="54">
        <f>IF(_imp!$C$290="","",INDEX(_imp!$K$4:$K$4503,_imp!$C$290))</f>
        <v/>
      </c>
    </row>
    <row r="289">
      <c r="A289" s="54">
        <f>IF(_imp!$C$291="","",INDEX(_imp!$D$4:$D$4503,_imp!$C$291))</f>
        <v/>
      </c>
      <c r="B289" s="54">
        <f>IF(_imp!$C$291="","",INDEX(_imp!$E$4:$E$4503,_imp!$C$291))</f>
        <v/>
      </c>
      <c r="C289" s="54">
        <f>IF(_imp!$C$291="","",INDEX(_imp!$F$4:$F$4503,_imp!$C$291))</f>
        <v/>
      </c>
      <c r="D289" s="54">
        <f>IF(_imp!$C$291="","",INDEX(_imp!$G$4:$G$4503,_imp!$C$291))</f>
        <v/>
      </c>
      <c r="E289" s="54">
        <f>IF(_imp!$C$291="","",INDEX(_imp!$H$4:$H$4503,_imp!$C$291))</f>
        <v/>
      </c>
      <c r="F289" s="54">
        <f>IF(_imp!$C$291="","",INDEX(_imp!$I$4:$I$4503,_imp!$C$291))</f>
        <v/>
      </c>
      <c r="G289" s="54">
        <f>IF(_imp!$C$291="","",INDEX(_imp!$J$4:$J$4503,_imp!$C$291))</f>
        <v/>
      </c>
      <c r="K289" s="54">
        <f>IF(_imp!$C$291="","",INDEX(_imp!$K$4:$K$4503,_imp!$C$291))</f>
        <v/>
      </c>
    </row>
    <row r="290">
      <c r="A290" s="54">
        <f>IF(_imp!$C$292="","",INDEX(_imp!$D$4:$D$4503,_imp!$C$292))</f>
        <v/>
      </c>
      <c r="B290" s="54">
        <f>IF(_imp!$C$292="","",INDEX(_imp!$E$4:$E$4503,_imp!$C$292))</f>
        <v/>
      </c>
      <c r="C290" s="54">
        <f>IF(_imp!$C$292="","",INDEX(_imp!$F$4:$F$4503,_imp!$C$292))</f>
        <v/>
      </c>
      <c r="D290" s="54">
        <f>IF(_imp!$C$292="","",INDEX(_imp!$G$4:$G$4503,_imp!$C$292))</f>
        <v/>
      </c>
      <c r="E290" s="54">
        <f>IF(_imp!$C$292="","",INDEX(_imp!$H$4:$H$4503,_imp!$C$292))</f>
        <v/>
      </c>
      <c r="F290" s="54">
        <f>IF(_imp!$C$292="","",INDEX(_imp!$I$4:$I$4503,_imp!$C$292))</f>
        <v/>
      </c>
      <c r="G290" s="54">
        <f>IF(_imp!$C$292="","",INDEX(_imp!$J$4:$J$4503,_imp!$C$292))</f>
        <v/>
      </c>
      <c r="K290" s="54">
        <f>IF(_imp!$C$292="","",INDEX(_imp!$K$4:$K$4503,_imp!$C$292))</f>
        <v/>
      </c>
    </row>
    <row r="291">
      <c r="A291" s="54">
        <f>IF(_imp!$C$293="","",INDEX(_imp!$D$4:$D$4503,_imp!$C$293))</f>
        <v/>
      </c>
      <c r="B291" s="54">
        <f>IF(_imp!$C$293="","",INDEX(_imp!$E$4:$E$4503,_imp!$C$293))</f>
        <v/>
      </c>
      <c r="C291" s="54">
        <f>IF(_imp!$C$293="","",INDEX(_imp!$F$4:$F$4503,_imp!$C$293))</f>
        <v/>
      </c>
      <c r="D291" s="54">
        <f>IF(_imp!$C$293="","",INDEX(_imp!$G$4:$G$4503,_imp!$C$293))</f>
        <v/>
      </c>
      <c r="E291" s="54">
        <f>IF(_imp!$C$293="","",INDEX(_imp!$H$4:$H$4503,_imp!$C$293))</f>
        <v/>
      </c>
      <c r="F291" s="54">
        <f>IF(_imp!$C$293="","",INDEX(_imp!$I$4:$I$4503,_imp!$C$293))</f>
        <v/>
      </c>
      <c r="G291" s="54">
        <f>IF(_imp!$C$293="","",INDEX(_imp!$J$4:$J$4503,_imp!$C$293))</f>
        <v/>
      </c>
      <c r="K291" s="54">
        <f>IF(_imp!$C$293="","",INDEX(_imp!$K$4:$K$4503,_imp!$C$293))</f>
        <v/>
      </c>
    </row>
    <row r="292">
      <c r="A292" s="54">
        <f>IF(_imp!$C$294="","",INDEX(_imp!$D$4:$D$4503,_imp!$C$294))</f>
        <v/>
      </c>
      <c r="B292" s="54">
        <f>IF(_imp!$C$294="","",INDEX(_imp!$E$4:$E$4503,_imp!$C$294))</f>
        <v/>
      </c>
      <c r="C292" s="54">
        <f>IF(_imp!$C$294="","",INDEX(_imp!$F$4:$F$4503,_imp!$C$294))</f>
        <v/>
      </c>
      <c r="D292" s="54">
        <f>IF(_imp!$C$294="","",INDEX(_imp!$G$4:$G$4503,_imp!$C$294))</f>
        <v/>
      </c>
      <c r="E292" s="54">
        <f>IF(_imp!$C$294="","",INDEX(_imp!$H$4:$H$4503,_imp!$C$294))</f>
        <v/>
      </c>
      <c r="F292" s="54">
        <f>IF(_imp!$C$294="","",INDEX(_imp!$I$4:$I$4503,_imp!$C$294))</f>
        <v/>
      </c>
      <c r="G292" s="54">
        <f>IF(_imp!$C$294="","",INDEX(_imp!$J$4:$J$4503,_imp!$C$294))</f>
        <v/>
      </c>
      <c r="K292" s="54">
        <f>IF(_imp!$C$294="","",INDEX(_imp!$K$4:$K$4503,_imp!$C$294))</f>
        <v/>
      </c>
    </row>
    <row r="293">
      <c r="A293" s="54">
        <f>IF(_imp!$C$295="","",INDEX(_imp!$D$4:$D$4503,_imp!$C$295))</f>
        <v/>
      </c>
      <c r="B293" s="54">
        <f>IF(_imp!$C$295="","",INDEX(_imp!$E$4:$E$4503,_imp!$C$295))</f>
        <v/>
      </c>
      <c r="C293" s="54">
        <f>IF(_imp!$C$295="","",INDEX(_imp!$F$4:$F$4503,_imp!$C$295))</f>
        <v/>
      </c>
      <c r="D293" s="54">
        <f>IF(_imp!$C$295="","",INDEX(_imp!$G$4:$G$4503,_imp!$C$295))</f>
        <v/>
      </c>
      <c r="E293" s="54">
        <f>IF(_imp!$C$295="","",INDEX(_imp!$H$4:$H$4503,_imp!$C$295))</f>
        <v/>
      </c>
      <c r="F293" s="54">
        <f>IF(_imp!$C$295="","",INDEX(_imp!$I$4:$I$4503,_imp!$C$295))</f>
        <v/>
      </c>
      <c r="G293" s="54">
        <f>IF(_imp!$C$295="","",INDEX(_imp!$J$4:$J$4503,_imp!$C$295))</f>
        <v/>
      </c>
      <c r="K293" s="54">
        <f>IF(_imp!$C$295="","",INDEX(_imp!$K$4:$K$4503,_imp!$C$295))</f>
        <v/>
      </c>
    </row>
    <row r="294">
      <c r="A294" s="54">
        <f>IF(_imp!$C$296="","",INDEX(_imp!$D$4:$D$4503,_imp!$C$296))</f>
        <v/>
      </c>
      <c r="B294" s="54">
        <f>IF(_imp!$C$296="","",INDEX(_imp!$E$4:$E$4503,_imp!$C$296))</f>
        <v/>
      </c>
      <c r="C294" s="54">
        <f>IF(_imp!$C$296="","",INDEX(_imp!$F$4:$F$4503,_imp!$C$296))</f>
        <v/>
      </c>
      <c r="D294" s="54">
        <f>IF(_imp!$C$296="","",INDEX(_imp!$G$4:$G$4503,_imp!$C$296))</f>
        <v/>
      </c>
      <c r="E294" s="54">
        <f>IF(_imp!$C$296="","",INDEX(_imp!$H$4:$H$4503,_imp!$C$296))</f>
        <v/>
      </c>
      <c r="F294" s="54">
        <f>IF(_imp!$C$296="","",INDEX(_imp!$I$4:$I$4503,_imp!$C$296))</f>
        <v/>
      </c>
      <c r="G294" s="54">
        <f>IF(_imp!$C$296="","",INDEX(_imp!$J$4:$J$4503,_imp!$C$296))</f>
        <v/>
      </c>
      <c r="K294" s="54">
        <f>IF(_imp!$C$296="","",INDEX(_imp!$K$4:$K$4503,_imp!$C$296))</f>
        <v/>
      </c>
    </row>
    <row r="295">
      <c r="A295" s="54">
        <f>IF(_imp!$C$297="","",INDEX(_imp!$D$4:$D$4503,_imp!$C$297))</f>
        <v/>
      </c>
      <c r="B295" s="54">
        <f>IF(_imp!$C$297="","",INDEX(_imp!$E$4:$E$4503,_imp!$C$297))</f>
        <v/>
      </c>
      <c r="C295" s="54">
        <f>IF(_imp!$C$297="","",INDEX(_imp!$F$4:$F$4503,_imp!$C$297))</f>
        <v/>
      </c>
      <c r="D295" s="54">
        <f>IF(_imp!$C$297="","",INDEX(_imp!$G$4:$G$4503,_imp!$C$297))</f>
        <v/>
      </c>
      <c r="E295" s="54">
        <f>IF(_imp!$C$297="","",INDEX(_imp!$H$4:$H$4503,_imp!$C$297))</f>
        <v/>
      </c>
      <c r="F295" s="54">
        <f>IF(_imp!$C$297="","",INDEX(_imp!$I$4:$I$4503,_imp!$C$297))</f>
        <v/>
      </c>
      <c r="G295" s="54">
        <f>IF(_imp!$C$297="","",INDEX(_imp!$J$4:$J$4503,_imp!$C$297))</f>
        <v/>
      </c>
      <c r="K295" s="54">
        <f>IF(_imp!$C$297="","",INDEX(_imp!$K$4:$K$4503,_imp!$C$297))</f>
        <v/>
      </c>
    </row>
    <row r="296">
      <c r="A296" s="54">
        <f>IF(_imp!$C$298="","",INDEX(_imp!$D$4:$D$4503,_imp!$C$298))</f>
        <v/>
      </c>
      <c r="B296" s="54">
        <f>IF(_imp!$C$298="","",INDEX(_imp!$E$4:$E$4503,_imp!$C$298))</f>
        <v/>
      </c>
      <c r="C296" s="54">
        <f>IF(_imp!$C$298="","",INDEX(_imp!$F$4:$F$4503,_imp!$C$298))</f>
        <v/>
      </c>
      <c r="D296" s="54">
        <f>IF(_imp!$C$298="","",INDEX(_imp!$G$4:$G$4503,_imp!$C$298))</f>
        <v/>
      </c>
      <c r="E296" s="54">
        <f>IF(_imp!$C$298="","",INDEX(_imp!$H$4:$H$4503,_imp!$C$298))</f>
        <v/>
      </c>
      <c r="F296" s="54">
        <f>IF(_imp!$C$298="","",INDEX(_imp!$I$4:$I$4503,_imp!$C$298))</f>
        <v/>
      </c>
      <c r="G296" s="54">
        <f>IF(_imp!$C$298="","",INDEX(_imp!$J$4:$J$4503,_imp!$C$298))</f>
        <v/>
      </c>
      <c r="K296" s="54">
        <f>IF(_imp!$C$298="","",INDEX(_imp!$K$4:$K$4503,_imp!$C$298))</f>
        <v/>
      </c>
    </row>
    <row r="297">
      <c r="A297" s="54">
        <f>IF(_imp!$C$299="","",INDEX(_imp!$D$4:$D$4503,_imp!$C$299))</f>
        <v/>
      </c>
      <c r="B297" s="54">
        <f>IF(_imp!$C$299="","",INDEX(_imp!$E$4:$E$4503,_imp!$C$299))</f>
        <v/>
      </c>
      <c r="C297" s="54">
        <f>IF(_imp!$C$299="","",INDEX(_imp!$F$4:$F$4503,_imp!$C$299))</f>
        <v/>
      </c>
      <c r="D297" s="54">
        <f>IF(_imp!$C$299="","",INDEX(_imp!$G$4:$G$4503,_imp!$C$299))</f>
        <v/>
      </c>
      <c r="E297" s="54">
        <f>IF(_imp!$C$299="","",INDEX(_imp!$H$4:$H$4503,_imp!$C$299))</f>
        <v/>
      </c>
      <c r="F297" s="54">
        <f>IF(_imp!$C$299="","",INDEX(_imp!$I$4:$I$4503,_imp!$C$299))</f>
        <v/>
      </c>
      <c r="G297" s="54">
        <f>IF(_imp!$C$299="","",INDEX(_imp!$J$4:$J$4503,_imp!$C$299))</f>
        <v/>
      </c>
      <c r="K297" s="54">
        <f>IF(_imp!$C$299="","",INDEX(_imp!$K$4:$K$4503,_imp!$C$299))</f>
        <v/>
      </c>
    </row>
    <row r="298">
      <c r="A298" s="54">
        <f>IF(_imp!$C$300="","",INDEX(_imp!$D$4:$D$4503,_imp!$C$300))</f>
        <v/>
      </c>
      <c r="B298" s="54">
        <f>IF(_imp!$C$300="","",INDEX(_imp!$E$4:$E$4503,_imp!$C$300))</f>
        <v/>
      </c>
      <c r="C298" s="54">
        <f>IF(_imp!$C$300="","",INDEX(_imp!$F$4:$F$4503,_imp!$C$300))</f>
        <v/>
      </c>
      <c r="D298" s="54">
        <f>IF(_imp!$C$300="","",INDEX(_imp!$G$4:$G$4503,_imp!$C$300))</f>
        <v/>
      </c>
      <c r="E298" s="54">
        <f>IF(_imp!$C$300="","",INDEX(_imp!$H$4:$H$4503,_imp!$C$300))</f>
        <v/>
      </c>
      <c r="F298" s="54">
        <f>IF(_imp!$C$300="","",INDEX(_imp!$I$4:$I$4503,_imp!$C$300))</f>
        <v/>
      </c>
      <c r="G298" s="54">
        <f>IF(_imp!$C$300="","",INDEX(_imp!$J$4:$J$4503,_imp!$C$300))</f>
        <v/>
      </c>
      <c r="K298" s="54">
        <f>IF(_imp!$C$300="","",INDEX(_imp!$K$4:$K$4503,_imp!$C$300))</f>
        <v/>
      </c>
    </row>
    <row r="299">
      <c r="A299" s="54">
        <f>IF(_imp!$C$301="","",INDEX(_imp!$D$4:$D$4503,_imp!$C$301))</f>
        <v/>
      </c>
      <c r="B299" s="54">
        <f>IF(_imp!$C$301="","",INDEX(_imp!$E$4:$E$4503,_imp!$C$301))</f>
        <v/>
      </c>
      <c r="C299" s="54">
        <f>IF(_imp!$C$301="","",INDEX(_imp!$F$4:$F$4503,_imp!$C$301))</f>
        <v/>
      </c>
      <c r="D299" s="54">
        <f>IF(_imp!$C$301="","",INDEX(_imp!$G$4:$G$4503,_imp!$C$301))</f>
        <v/>
      </c>
      <c r="E299" s="54">
        <f>IF(_imp!$C$301="","",INDEX(_imp!$H$4:$H$4503,_imp!$C$301))</f>
        <v/>
      </c>
      <c r="F299" s="54">
        <f>IF(_imp!$C$301="","",INDEX(_imp!$I$4:$I$4503,_imp!$C$301))</f>
        <v/>
      </c>
      <c r="G299" s="54">
        <f>IF(_imp!$C$301="","",INDEX(_imp!$J$4:$J$4503,_imp!$C$301))</f>
        <v/>
      </c>
      <c r="K299" s="54">
        <f>IF(_imp!$C$301="","",INDEX(_imp!$K$4:$K$4503,_imp!$C$301))</f>
        <v/>
      </c>
    </row>
    <row r="300">
      <c r="A300" s="54">
        <f>IF(_imp!$C$302="","",INDEX(_imp!$D$4:$D$4503,_imp!$C$302))</f>
        <v/>
      </c>
      <c r="B300" s="54">
        <f>IF(_imp!$C$302="","",INDEX(_imp!$E$4:$E$4503,_imp!$C$302))</f>
        <v/>
      </c>
      <c r="C300" s="54">
        <f>IF(_imp!$C$302="","",INDEX(_imp!$F$4:$F$4503,_imp!$C$302))</f>
        <v/>
      </c>
      <c r="D300" s="54">
        <f>IF(_imp!$C$302="","",INDEX(_imp!$G$4:$G$4503,_imp!$C$302))</f>
        <v/>
      </c>
      <c r="E300" s="54">
        <f>IF(_imp!$C$302="","",INDEX(_imp!$H$4:$H$4503,_imp!$C$302))</f>
        <v/>
      </c>
      <c r="F300" s="54">
        <f>IF(_imp!$C$302="","",INDEX(_imp!$I$4:$I$4503,_imp!$C$302))</f>
        <v/>
      </c>
      <c r="G300" s="54">
        <f>IF(_imp!$C$302="","",INDEX(_imp!$J$4:$J$4503,_imp!$C$302))</f>
        <v/>
      </c>
      <c r="K300" s="54">
        <f>IF(_imp!$C$302="","",INDEX(_imp!$K$4:$K$4503,_imp!$C$302))</f>
        <v/>
      </c>
    </row>
    <row r="301">
      <c r="A301" s="54">
        <f>IF(_imp!$C$303="","",INDEX(_imp!$D$4:$D$4503,_imp!$C$303))</f>
        <v/>
      </c>
      <c r="B301" s="54">
        <f>IF(_imp!$C$303="","",INDEX(_imp!$E$4:$E$4503,_imp!$C$303))</f>
        <v/>
      </c>
      <c r="C301" s="54">
        <f>IF(_imp!$C$303="","",INDEX(_imp!$F$4:$F$4503,_imp!$C$303))</f>
        <v/>
      </c>
      <c r="D301" s="54">
        <f>IF(_imp!$C$303="","",INDEX(_imp!$G$4:$G$4503,_imp!$C$303))</f>
        <v/>
      </c>
      <c r="E301" s="54">
        <f>IF(_imp!$C$303="","",INDEX(_imp!$H$4:$H$4503,_imp!$C$303))</f>
        <v/>
      </c>
      <c r="F301" s="54">
        <f>IF(_imp!$C$303="","",INDEX(_imp!$I$4:$I$4503,_imp!$C$303))</f>
        <v/>
      </c>
      <c r="G301" s="54">
        <f>IF(_imp!$C$303="","",INDEX(_imp!$J$4:$J$4503,_imp!$C$303))</f>
        <v/>
      </c>
      <c r="K301" s="54">
        <f>IF(_imp!$C$303="","",INDEX(_imp!$K$4:$K$4503,_imp!$C$303))</f>
        <v/>
      </c>
    </row>
    <row r="302">
      <c r="A302" s="54">
        <f>IF(_imp!$C$304="","",INDEX(_imp!$D$4:$D$4503,_imp!$C$304))</f>
        <v/>
      </c>
      <c r="B302" s="54">
        <f>IF(_imp!$C$304="","",INDEX(_imp!$E$4:$E$4503,_imp!$C$304))</f>
        <v/>
      </c>
      <c r="C302" s="54">
        <f>IF(_imp!$C$304="","",INDEX(_imp!$F$4:$F$4503,_imp!$C$304))</f>
        <v/>
      </c>
      <c r="D302" s="54">
        <f>IF(_imp!$C$304="","",INDEX(_imp!$G$4:$G$4503,_imp!$C$304))</f>
        <v/>
      </c>
      <c r="E302" s="54">
        <f>IF(_imp!$C$304="","",INDEX(_imp!$H$4:$H$4503,_imp!$C$304))</f>
        <v/>
      </c>
      <c r="F302" s="54">
        <f>IF(_imp!$C$304="","",INDEX(_imp!$I$4:$I$4503,_imp!$C$304))</f>
        <v/>
      </c>
      <c r="G302" s="54">
        <f>IF(_imp!$C$304="","",INDEX(_imp!$J$4:$J$4503,_imp!$C$304))</f>
        <v/>
      </c>
      <c r="K302" s="54">
        <f>IF(_imp!$C$304="","",INDEX(_imp!$K$4:$K$4503,_imp!$C$304))</f>
        <v/>
      </c>
    </row>
    <row r="303">
      <c r="A303" s="54">
        <f>IF(_imp!$C$305="","",INDEX(_imp!$D$4:$D$4503,_imp!$C$305))</f>
        <v/>
      </c>
      <c r="B303" s="54">
        <f>IF(_imp!$C$305="","",INDEX(_imp!$E$4:$E$4503,_imp!$C$305))</f>
        <v/>
      </c>
      <c r="C303" s="54">
        <f>IF(_imp!$C$305="","",INDEX(_imp!$F$4:$F$4503,_imp!$C$305))</f>
        <v/>
      </c>
      <c r="D303" s="54">
        <f>IF(_imp!$C$305="","",INDEX(_imp!$G$4:$G$4503,_imp!$C$305))</f>
        <v/>
      </c>
      <c r="E303" s="54">
        <f>IF(_imp!$C$305="","",INDEX(_imp!$H$4:$H$4503,_imp!$C$305))</f>
        <v/>
      </c>
      <c r="F303" s="54">
        <f>IF(_imp!$C$305="","",INDEX(_imp!$I$4:$I$4503,_imp!$C$305))</f>
        <v/>
      </c>
      <c r="G303" s="54">
        <f>IF(_imp!$C$305="","",INDEX(_imp!$J$4:$J$4503,_imp!$C$305))</f>
        <v/>
      </c>
      <c r="K303" s="54">
        <f>IF(_imp!$C$305="","",INDEX(_imp!$K$4:$K$4503,_imp!$C$305))</f>
        <v/>
      </c>
    </row>
    <row r="304">
      <c r="A304" s="54">
        <f>IF(_imp!$C$306="","",INDEX(_imp!$D$4:$D$4503,_imp!$C$306))</f>
        <v/>
      </c>
      <c r="B304" s="54">
        <f>IF(_imp!$C$306="","",INDEX(_imp!$E$4:$E$4503,_imp!$C$306))</f>
        <v/>
      </c>
      <c r="C304" s="54">
        <f>IF(_imp!$C$306="","",INDEX(_imp!$F$4:$F$4503,_imp!$C$306))</f>
        <v/>
      </c>
      <c r="D304" s="54">
        <f>IF(_imp!$C$306="","",INDEX(_imp!$G$4:$G$4503,_imp!$C$306))</f>
        <v/>
      </c>
      <c r="E304" s="54">
        <f>IF(_imp!$C$306="","",INDEX(_imp!$H$4:$H$4503,_imp!$C$306))</f>
        <v/>
      </c>
      <c r="F304" s="54">
        <f>IF(_imp!$C$306="","",INDEX(_imp!$I$4:$I$4503,_imp!$C$306))</f>
        <v/>
      </c>
      <c r="G304" s="54">
        <f>IF(_imp!$C$306="","",INDEX(_imp!$J$4:$J$4503,_imp!$C$306))</f>
        <v/>
      </c>
      <c r="K304" s="54">
        <f>IF(_imp!$C$306="","",INDEX(_imp!$K$4:$K$4503,_imp!$C$306))</f>
        <v/>
      </c>
    </row>
    <row r="305">
      <c r="A305" s="54">
        <f>IF(_imp!$C$307="","",INDEX(_imp!$D$4:$D$4503,_imp!$C$307))</f>
        <v/>
      </c>
      <c r="B305" s="54">
        <f>IF(_imp!$C$307="","",INDEX(_imp!$E$4:$E$4503,_imp!$C$307))</f>
        <v/>
      </c>
      <c r="C305" s="54">
        <f>IF(_imp!$C$307="","",INDEX(_imp!$F$4:$F$4503,_imp!$C$307))</f>
        <v/>
      </c>
      <c r="D305" s="54">
        <f>IF(_imp!$C$307="","",INDEX(_imp!$G$4:$G$4503,_imp!$C$307))</f>
        <v/>
      </c>
      <c r="E305" s="54">
        <f>IF(_imp!$C$307="","",INDEX(_imp!$H$4:$H$4503,_imp!$C$307))</f>
        <v/>
      </c>
      <c r="F305" s="54">
        <f>IF(_imp!$C$307="","",INDEX(_imp!$I$4:$I$4503,_imp!$C$307))</f>
        <v/>
      </c>
      <c r="G305" s="54">
        <f>IF(_imp!$C$307="","",INDEX(_imp!$J$4:$J$4503,_imp!$C$307))</f>
        <v/>
      </c>
      <c r="K305" s="54">
        <f>IF(_imp!$C$307="","",INDEX(_imp!$K$4:$K$4503,_imp!$C$307))</f>
        <v/>
      </c>
    </row>
    <row r="306">
      <c r="A306" s="54">
        <f>IF(_imp!$C$308="","",INDEX(_imp!$D$4:$D$4503,_imp!$C$308))</f>
        <v/>
      </c>
      <c r="B306" s="54">
        <f>IF(_imp!$C$308="","",INDEX(_imp!$E$4:$E$4503,_imp!$C$308))</f>
        <v/>
      </c>
      <c r="C306" s="54">
        <f>IF(_imp!$C$308="","",INDEX(_imp!$F$4:$F$4503,_imp!$C$308))</f>
        <v/>
      </c>
      <c r="D306" s="54">
        <f>IF(_imp!$C$308="","",INDEX(_imp!$G$4:$G$4503,_imp!$C$308))</f>
        <v/>
      </c>
      <c r="E306" s="54">
        <f>IF(_imp!$C$308="","",INDEX(_imp!$H$4:$H$4503,_imp!$C$308))</f>
        <v/>
      </c>
      <c r="F306" s="54">
        <f>IF(_imp!$C$308="","",INDEX(_imp!$I$4:$I$4503,_imp!$C$308))</f>
        <v/>
      </c>
      <c r="G306" s="54">
        <f>IF(_imp!$C$308="","",INDEX(_imp!$J$4:$J$4503,_imp!$C$308))</f>
        <v/>
      </c>
      <c r="K306" s="54">
        <f>IF(_imp!$C$308="","",INDEX(_imp!$K$4:$K$4503,_imp!$C$308))</f>
        <v/>
      </c>
    </row>
    <row r="307">
      <c r="A307" s="54">
        <f>IF(_imp!$C$309="","",INDEX(_imp!$D$4:$D$4503,_imp!$C$309))</f>
        <v/>
      </c>
      <c r="B307" s="54">
        <f>IF(_imp!$C$309="","",INDEX(_imp!$E$4:$E$4503,_imp!$C$309))</f>
        <v/>
      </c>
      <c r="C307" s="54">
        <f>IF(_imp!$C$309="","",INDEX(_imp!$F$4:$F$4503,_imp!$C$309))</f>
        <v/>
      </c>
      <c r="D307" s="54">
        <f>IF(_imp!$C$309="","",INDEX(_imp!$G$4:$G$4503,_imp!$C$309))</f>
        <v/>
      </c>
      <c r="E307" s="54">
        <f>IF(_imp!$C$309="","",INDEX(_imp!$H$4:$H$4503,_imp!$C$309))</f>
        <v/>
      </c>
      <c r="F307" s="54">
        <f>IF(_imp!$C$309="","",INDEX(_imp!$I$4:$I$4503,_imp!$C$309))</f>
        <v/>
      </c>
      <c r="G307" s="54">
        <f>IF(_imp!$C$309="","",INDEX(_imp!$J$4:$J$4503,_imp!$C$309))</f>
        <v/>
      </c>
      <c r="K307" s="54">
        <f>IF(_imp!$C$309="","",INDEX(_imp!$K$4:$K$4503,_imp!$C$309))</f>
        <v/>
      </c>
    </row>
    <row r="308">
      <c r="A308" s="54">
        <f>IF(_imp!$C$310="","",INDEX(_imp!$D$4:$D$4503,_imp!$C$310))</f>
        <v/>
      </c>
      <c r="B308" s="54">
        <f>IF(_imp!$C$310="","",INDEX(_imp!$E$4:$E$4503,_imp!$C$310))</f>
        <v/>
      </c>
      <c r="C308" s="54">
        <f>IF(_imp!$C$310="","",INDEX(_imp!$F$4:$F$4503,_imp!$C$310))</f>
        <v/>
      </c>
      <c r="D308" s="54">
        <f>IF(_imp!$C$310="","",INDEX(_imp!$G$4:$G$4503,_imp!$C$310))</f>
        <v/>
      </c>
      <c r="E308" s="54">
        <f>IF(_imp!$C$310="","",INDEX(_imp!$H$4:$H$4503,_imp!$C$310))</f>
        <v/>
      </c>
      <c r="F308" s="54">
        <f>IF(_imp!$C$310="","",INDEX(_imp!$I$4:$I$4503,_imp!$C$310))</f>
        <v/>
      </c>
      <c r="G308" s="54">
        <f>IF(_imp!$C$310="","",INDEX(_imp!$J$4:$J$4503,_imp!$C$310))</f>
        <v/>
      </c>
      <c r="K308" s="54">
        <f>IF(_imp!$C$310="","",INDEX(_imp!$K$4:$K$4503,_imp!$C$310))</f>
        <v/>
      </c>
    </row>
    <row r="309">
      <c r="A309" s="54">
        <f>IF(_imp!$C$311="","",INDEX(_imp!$D$4:$D$4503,_imp!$C$311))</f>
        <v/>
      </c>
      <c r="B309" s="54">
        <f>IF(_imp!$C$311="","",INDEX(_imp!$E$4:$E$4503,_imp!$C$311))</f>
        <v/>
      </c>
      <c r="C309" s="54">
        <f>IF(_imp!$C$311="","",INDEX(_imp!$F$4:$F$4503,_imp!$C$311))</f>
        <v/>
      </c>
      <c r="D309" s="54">
        <f>IF(_imp!$C$311="","",INDEX(_imp!$G$4:$G$4503,_imp!$C$311))</f>
        <v/>
      </c>
      <c r="E309" s="54">
        <f>IF(_imp!$C$311="","",INDEX(_imp!$H$4:$H$4503,_imp!$C$311))</f>
        <v/>
      </c>
      <c r="F309" s="54">
        <f>IF(_imp!$C$311="","",INDEX(_imp!$I$4:$I$4503,_imp!$C$311))</f>
        <v/>
      </c>
      <c r="G309" s="54">
        <f>IF(_imp!$C$311="","",INDEX(_imp!$J$4:$J$4503,_imp!$C$311))</f>
        <v/>
      </c>
      <c r="K309" s="54">
        <f>IF(_imp!$C$311="","",INDEX(_imp!$K$4:$K$4503,_imp!$C$311))</f>
        <v/>
      </c>
    </row>
    <row r="310">
      <c r="A310" s="54">
        <f>IF(_imp!$C$312="","",INDEX(_imp!$D$4:$D$4503,_imp!$C$312))</f>
        <v/>
      </c>
      <c r="B310" s="54">
        <f>IF(_imp!$C$312="","",INDEX(_imp!$E$4:$E$4503,_imp!$C$312))</f>
        <v/>
      </c>
      <c r="C310" s="54">
        <f>IF(_imp!$C$312="","",INDEX(_imp!$F$4:$F$4503,_imp!$C$312))</f>
        <v/>
      </c>
      <c r="D310" s="54">
        <f>IF(_imp!$C$312="","",INDEX(_imp!$G$4:$G$4503,_imp!$C$312))</f>
        <v/>
      </c>
      <c r="E310" s="54">
        <f>IF(_imp!$C$312="","",INDEX(_imp!$H$4:$H$4503,_imp!$C$312))</f>
        <v/>
      </c>
      <c r="F310" s="54">
        <f>IF(_imp!$C$312="","",INDEX(_imp!$I$4:$I$4503,_imp!$C$312))</f>
        <v/>
      </c>
      <c r="G310" s="54">
        <f>IF(_imp!$C$312="","",INDEX(_imp!$J$4:$J$4503,_imp!$C$312))</f>
        <v/>
      </c>
      <c r="K310" s="54">
        <f>IF(_imp!$C$312="","",INDEX(_imp!$K$4:$K$4503,_imp!$C$312))</f>
        <v/>
      </c>
    </row>
    <row r="311">
      <c r="A311" s="54">
        <f>IF(_imp!$C$313="","",INDEX(_imp!$D$4:$D$4503,_imp!$C$313))</f>
        <v/>
      </c>
      <c r="B311" s="54">
        <f>IF(_imp!$C$313="","",INDEX(_imp!$E$4:$E$4503,_imp!$C$313))</f>
        <v/>
      </c>
      <c r="C311" s="54">
        <f>IF(_imp!$C$313="","",INDEX(_imp!$F$4:$F$4503,_imp!$C$313))</f>
        <v/>
      </c>
      <c r="D311" s="54">
        <f>IF(_imp!$C$313="","",INDEX(_imp!$G$4:$G$4503,_imp!$C$313))</f>
        <v/>
      </c>
      <c r="E311" s="54">
        <f>IF(_imp!$C$313="","",INDEX(_imp!$H$4:$H$4503,_imp!$C$313))</f>
        <v/>
      </c>
      <c r="F311" s="54">
        <f>IF(_imp!$C$313="","",INDEX(_imp!$I$4:$I$4503,_imp!$C$313))</f>
        <v/>
      </c>
      <c r="G311" s="54">
        <f>IF(_imp!$C$313="","",INDEX(_imp!$J$4:$J$4503,_imp!$C$313))</f>
        <v/>
      </c>
      <c r="K311" s="54">
        <f>IF(_imp!$C$313="","",INDEX(_imp!$K$4:$K$4503,_imp!$C$313))</f>
        <v/>
      </c>
    </row>
    <row r="312">
      <c r="A312" s="54">
        <f>IF(_imp!$C$314="","",INDEX(_imp!$D$4:$D$4503,_imp!$C$314))</f>
        <v/>
      </c>
      <c r="B312" s="54">
        <f>IF(_imp!$C$314="","",INDEX(_imp!$E$4:$E$4503,_imp!$C$314))</f>
        <v/>
      </c>
      <c r="C312" s="54">
        <f>IF(_imp!$C$314="","",INDEX(_imp!$F$4:$F$4503,_imp!$C$314))</f>
        <v/>
      </c>
      <c r="D312" s="54">
        <f>IF(_imp!$C$314="","",INDEX(_imp!$G$4:$G$4503,_imp!$C$314))</f>
        <v/>
      </c>
      <c r="E312" s="54">
        <f>IF(_imp!$C$314="","",INDEX(_imp!$H$4:$H$4503,_imp!$C$314))</f>
        <v/>
      </c>
      <c r="F312" s="54">
        <f>IF(_imp!$C$314="","",INDEX(_imp!$I$4:$I$4503,_imp!$C$314))</f>
        <v/>
      </c>
      <c r="G312" s="54">
        <f>IF(_imp!$C$314="","",INDEX(_imp!$J$4:$J$4503,_imp!$C$314))</f>
        <v/>
      </c>
      <c r="K312" s="54">
        <f>IF(_imp!$C$314="","",INDEX(_imp!$K$4:$K$4503,_imp!$C$314))</f>
        <v/>
      </c>
    </row>
    <row r="313">
      <c r="A313" s="54">
        <f>IF(_imp!$C$315="","",INDEX(_imp!$D$4:$D$4503,_imp!$C$315))</f>
        <v/>
      </c>
      <c r="B313" s="54">
        <f>IF(_imp!$C$315="","",INDEX(_imp!$E$4:$E$4503,_imp!$C$315))</f>
        <v/>
      </c>
      <c r="C313" s="54">
        <f>IF(_imp!$C$315="","",INDEX(_imp!$F$4:$F$4503,_imp!$C$315))</f>
        <v/>
      </c>
      <c r="D313" s="54">
        <f>IF(_imp!$C$315="","",INDEX(_imp!$G$4:$G$4503,_imp!$C$315))</f>
        <v/>
      </c>
      <c r="E313" s="54">
        <f>IF(_imp!$C$315="","",INDEX(_imp!$H$4:$H$4503,_imp!$C$315))</f>
        <v/>
      </c>
      <c r="F313" s="54">
        <f>IF(_imp!$C$315="","",INDEX(_imp!$I$4:$I$4503,_imp!$C$315))</f>
        <v/>
      </c>
      <c r="G313" s="54">
        <f>IF(_imp!$C$315="","",INDEX(_imp!$J$4:$J$4503,_imp!$C$315))</f>
        <v/>
      </c>
      <c r="K313" s="54">
        <f>IF(_imp!$C$315="","",INDEX(_imp!$K$4:$K$4503,_imp!$C$315))</f>
        <v/>
      </c>
    </row>
    <row r="314">
      <c r="A314" s="54">
        <f>IF(_imp!$C$316="","",INDEX(_imp!$D$4:$D$4503,_imp!$C$316))</f>
        <v/>
      </c>
      <c r="B314" s="54">
        <f>IF(_imp!$C$316="","",INDEX(_imp!$E$4:$E$4503,_imp!$C$316))</f>
        <v/>
      </c>
      <c r="C314" s="54">
        <f>IF(_imp!$C$316="","",INDEX(_imp!$F$4:$F$4503,_imp!$C$316))</f>
        <v/>
      </c>
      <c r="D314" s="54">
        <f>IF(_imp!$C$316="","",INDEX(_imp!$G$4:$G$4503,_imp!$C$316))</f>
        <v/>
      </c>
      <c r="E314" s="54">
        <f>IF(_imp!$C$316="","",INDEX(_imp!$H$4:$H$4503,_imp!$C$316))</f>
        <v/>
      </c>
      <c r="F314" s="54">
        <f>IF(_imp!$C$316="","",INDEX(_imp!$I$4:$I$4503,_imp!$C$316))</f>
        <v/>
      </c>
      <c r="G314" s="54">
        <f>IF(_imp!$C$316="","",INDEX(_imp!$J$4:$J$4503,_imp!$C$316))</f>
        <v/>
      </c>
      <c r="K314" s="54">
        <f>IF(_imp!$C$316="","",INDEX(_imp!$K$4:$K$4503,_imp!$C$316))</f>
        <v/>
      </c>
    </row>
    <row r="315">
      <c r="A315" s="54">
        <f>IF(_imp!$C$317="","",INDEX(_imp!$D$4:$D$4503,_imp!$C$317))</f>
        <v/>
      </c>
      <c r="B315" s="54">
        <f>IF(_imp!$C$317="","",INDEX(_imp!$E$4:$E$4503,_imp!$C$317))</f>
        <v/>
      </c>
      <c r="C315" s="54">
        <f>IF(_imp!$C$317="","",INDEX(_imp!$F$4:$F$4503,_imp!$C$317))</f>
        <v/>
      </c>
      <c r="D315" s="54">
        <f>IF(_imp!$C$317="","",INDEX(_imp!$G$4:$G$4503,_imp!$C$317))</f>
        <v/>
      </c>
      <c r="E315" s="54">
        <f>IF(_imp!$C$317="","",INDEX(_imp!$H$4:$H$4503,_imp!$C$317))</f>
        <v/>
      </c>
      <c r="F315" s="54">
        <f>IF(_imp!$C$317="","",INDEX(_imp!$I$4:$I$4503,_imp!$C$317))</f>
        <v/>
      </c>
      <c r="G315" s="54">
        <f>IF(_imp!$C$317="","",INDEX(_imp!$J$4:$J$4503,_imp!$C$317))</f>
        <v/>
      </c>
      <c r="K315" s="54">
        <f>IF(_imp!$C$317="","",INDEX(_imp!$K$4:$K$4503,_imp!$C$317))</f>
        <v/>
      </c>
    </row>
    <row r="316">
      <c r="A316" s="54">
        <f>IF(_imp!$C$318="","",INDEX(_imp!$D$4:$D$4503,_imp!$C$318))</f>
        <v/>
      </c>
      <c r="B316" s="54">
        <f>IF(_imp!$C$318="","",INDEX(_imp!$E$4:$E$4503,_imp!$C$318))</f>
        <v/>
      </c>
      <c r="C316" s="54">
        <f>IF(_imp!$C$318="","",INDEX(_imp!$F$4:$F$4503,_imp!$C$318))</f>
        <v/>
      </c>
      <c r="D316" s="54">
        <f>IF(_imp!$C$318="","",INDEX(_imp!$G$4:$G$4503,_imp!$C$318))</f>
        <v/>
      </c>
      <c r="E316" s="54">
        <f>IF(_imp!$C$318="","",INDEX(_imp!$H$4:$H$4503,_imp!$C$318))</f>
        <v/>
      </c>
      <c r="F316" s="54">
        <f>IF(_imp!$C$318="","",INDEX(_imp!$I$4:$I$4503,_imp!$C$318))</f>
        <v/>
      </c>
      <c r="G316" s="54">
        <f>IF(_imp!$C$318="","",INDEX(_imp!$J$4:$J$4503,_imp!$C$318))</f>
        <v/>
      </c>
      <c r="K316" s="54">
        <f>IF(_imp!$C$318="","",INDEX(_imp!$K$4:$K$4503,_imp!$C$318))</f>
        <v/>
      </c>
    </row>
    <row r="317">
      <c r="A317" s="54">
        <f>IF(_imp!$C$319="","",INDEX(_imp!$D$4:$D$4503,_imp!$C$319))</f>
        <v/>
      </c>
      <c r="B317" s="54">
        <f>IF(_imp!$C$319="","",INDEX(_imp!$E$4:$E$4503,_imp!$C$319))</f>
        <v/>
      </c>
      <c r="C317" s="54">
        <f>IF(_imp!$C$319="","",INDEX(_imp!$F$4:$F$4503,_imp!$C$319))</f>
        <v/>
      </c>
      <c r="D317" s="54">
        <f>IF(_imp!$C$319="","",INDEX(_imp!$G$4:$G$4503,_imp!$C$319))</f>
        <v/>
      </c>
      <c r="E317" s="54">
        <f>IF(_imp!$C$319="","",INDEX(_imp!$H$4:$H$4503,_imp!$C$319))</f>
        <v/>
      </c>
      <c r="F317" s="54">
        <f>IF(_imp!$C$319="","",INDEX(_imp!$I$4:$I$4503,_imp!$C$319))</f>
        <v/>
      </c>
      <c r="G317" s="54">
        <f>IF(_imp!$C$319="","",INDEX(_imp!$J$4:$J$4503,_imp!$C$319))</f>
        <v/>
      </c>
      <c r="K317" s="54">
        <f>IF(_imp!$C$319="","",INDEX(_imp!$K$4:$K$4503,_imp!$C$319))</f>
        <v/>
      </c>
    </row>
    <row r="318">
      <c r="A318" s="54">
        <f>IF(_imp!$C$320="","",INDEX(_imp!$D$4:$D$4503,_imp!$C$320))</f>
        <v/>
      </c>
      <c r="B318" s="54">
        <f>IF(_imp!$C$320="","",INDEX(_imp!$E$4:$E$4503,_imp!$C$320))</f>
        <v/>
      </c>
      <c r="C318" s="54">
        <f>IF(_imp!$C$320="","",INDEX(_imp!$F$4:$F$4503,_imp!$C$320))</f>
        <v/>
      </c>
      <c r="D318" s="54">
        <f>IF(_imp!$C$320="","",INDEX(_imp!$G$4:$G$4503,_imp!$C$320))</f>
        <v/>
      </c>
      <c r="E318" s="54">
        <f>IF(_imp!$C$320="","",INDEX(_imp!$H$4:$H$4503,_imp!$C$320))</f>
        <v/>
      </c>
      <c r="F318" s="54">
        <f>IF(_imp!$C$320="","",INDEX(_imp!$I$4:$I$4503,_imp!$C$320))</f>
        <v/>
      </c>
      <c r="G318" s="54">
        <f>IF(_imp!$C$320="","",INDEX(_imp!$J$4:$J$4503,_imp!$C$320))</f>
        <v/>
      </c>
      <c r="K318" s="54">
        <f>IF(_imp!$C$320="","",INDEX(_imp!$K$4:$K$4503,_imp!$C$320))</f>
        <v/>
      </c>
    </row>
    <row r="319">
      <c r="A319" s="54">
        <f>IF(_imp!$C$321="","",INDEX(_imp!$D$4:$D$4503,_imp!$C$321))</f>
        <v/>
      </c>
      <c r="B319" s="54">
        <f>IF(_imp!$C$321="","",INDEX(_imp!$E$4:$E$4503,_imp!$C$321))</f>
        <v/>
      </c>
      <c r="C319" s="54">
        <f>IF(_imp!$C$321="","",INDEX(_imp!$F$4:$F$4503,_imp!$C$321))</f>
        <v/>
      </c>
      <c r="D319" s="54">
        <f>IF(_imp!$C$321="","",INDEX(_imp!$G$4:$G$4503,_imp!$C$321))</f>
        <v/>
      </c>
      <c r="E319" s="54">
        <f>IF(_imp!$C$321="","",INDEX(_imp!$H$4:$H$4503,_imp!$C$321))</f>
        <v/>
      </c>
      <c r="F319" s="54">
        <f>IF(_imp!$C$321="","",INDEX(_imp!$I$4:$I$4503,_imp!$C$321))</f>
        <v/>
      </c>
      <c r="G319" s="54">
        <f>IF(_imp!$C$321="","",INDEX(_imp!$J$4:$J$4503,_imp!$C$321))</f>
        <v/>
      </c>
      <c r="K319" s="54">
        <f>IF(_imp!$C$321="","",INDEX(_imp!$K$4:$K$4503,_imp!$C$321))</f>
        <v/>
      </c>
    </row>
    <row r="320">
      <c r="A320" s="54">
        <f>IF(_imp!$C$322="","",INDEX(_imp!$D$4:$D$4503,_imp!$C$322))</f>
        <v/>
      </c>
      <c r="B320" s="54">
        <f>IF(_imp!$C$322="","",INDEX(_imp!$E$4:$E$4503,_imp!$C$322))</f>
        <v/>
      </c>
      <c r="C320" s="54">
        <f>IF(_imp!$C$322="","",INDEX(_imp!$F$4:$F$4503,_imp!$C$322))</f>
        <v/>
      </c>
      <c r="D320" s="54">
        <f>IF(_imp!$C$322="","",INDEX(_imp!$G$4:$G$4503,_imp!$C$322))</f>
        <v/>
      </c>
      <c r="E320" s="54">
        <f>IF(_imp!$C$322="","",INDEX(_imp!$H$4:$H$4503,_imp!$C$322))</f>
        <v/>
      </c>
      <c r="F320" s="54">
        <f>IF(_imp!$C$322="","",INDEX(_imp!$I$4:$I$4503,_imp!$C$322))</f>
        <v/>
      </c>
      <c r="G320" s="54">
        <f>IF(_imp!$C$322="","",INDEX(_imp!$J$4:$J$4503,_imp!$C$322))</f>
        <v/>
      </c>
      <c r="K320" s="54">
        <f>IF(_imp!$C$322="","",INDEX(_imp!$K$4:$K$4503,_imp!$C$322))</f>
        <v/>
      </c>
    </row>
    <row r="321">
      <c r="A321" s="54">
        <f>IF(_imp!$C$323="","",INDEX(_imp!$D$4:$D$4503,_imp!$C$323))</f>
        <v/>
      </c>
      <c r="B321" s="54">
        <f>IF(_imp!$C$323="","",INDEX(_imp!$E$4:$E$4503,_imp!$C$323))</f>
        <v/>
      </c>
      <c r="C321" s="54">
        <f>IF(_imp!$C$323="","",INDEX(_imp!$F$4:$F$4503,_imp!$C$323))</f>
        <v/>
      </c>
      <c r="D321" s="54">
        <f>IF(_imp!$C$323="","",INDEX(_imp!$G$4:$G$4503,_imp!$C$323))</f>
        <v/>
      </c>
      <c r="E321" s="54">
        <f>IF(_imp!$C$323="","",INDEX(_imp!$H$4:$H$4503,_imp!$C$323))</f>
        <v/>
      </c>
      <c r="F321" s="54">
        <f>IF(_imp!$C$323="","",INDEX(_imp!$I$4:$I$4503,_imp!$C$323))</f>
        <v/>
      </c>
      <c r="G321" s="54">
        <f>IF(_imp!$C$323="","",INDEX(_imp!$J$4:$J$4503,_imp!$C$323))</f>
        <v/>
      </c>
      <c r="K321" s="54">
        <f>IF(_imp!$C$323="","",INDEX(_imp!$K$4:$K$4503,_imp!$C$323))</f>
        <v/>
      </c>
    </row>
    <row r="322">
      <c r="A322" s="54">
        <f>IF(_imp!$C$324="","",INDEX(_imp!$D$4:$D$4503,_imp!$C$324))</f>
        <v/>
      </c>
      <c r="B322" s="54">
        <f>IF(_imp!$C$324="","",INDEX(_imp!$E$4:$E$4503,_imp!$C$324))</f>
        <v/>
      </c>
      <c r="C322" s="54">
        <f>IF(_imp!$C$324="","",INDEX(_imp!$F$4:$F$4503,_imp!$C$324))</f>
        <v/>
      </c>
      <c r="D322" s="54">
        <f>IF(_imp!$C$324="","",INDEX(_imp!$G$4:$G$4503,_imp!$C$324))</f>
        <v/>
      </c>
      <c r="E322" s="54">
        <f>IF(_imp!$C$324="","",INDEX(_imp!$H$4:$H$4503,_imp!$C$324))</f>
        <v/>
      </c>
      <c r="F322" s="54">
        <f>IF(_imp!$C$324="","",INDEX(_imp!$I$4:$I$4503,_imp!$C$324))</f>
        <v/>
      </c>
      <c r="G322" s="54">
        <f>IF(_imp!$C$324="","",INDEX(_imp!$J$4:$J$4503,_imp!$C$324))</f>
        <v/>
      </c>
      <c r="K322" s="54">
        <f>IF(_imp!$C$324="","",INDEX(_imp!$K$4:$K$4503,_imp!$C$324))</f>
        <v/>
      </c>
    </row>
    <row r="323">
      <c r="A323" s="54">
        <f>IF(_imp!$C$325="","",INDEX(_imp!$D$4:$D$4503,_imp!$C$325))</f>
        <v/>
      </c>
      <c r="B323" s="54">
        <f>IF(_imp!$C$325="","",INDEX(_imp!$E$4:$E$4503,_imp!$C$325))</f>
        <v/>
      </c>
      <c r="C323" s="54">
        <f>IF(_imp!$C$325="","",INDEX(_imp!$F$4:$F$4503,_imp!$C$325))</f>
        <v/>
      </c>
      <c r="D323" s="54">
        <f>IF(_imp!$C$325="","",INDEX(_imp!$G$4:$G$4503,_imp!$C$325))</f>
        <v/>
      </c>
      <c r="E323" s="54">
        <f>IF(_imp!$C$325="","",INDEX(_imp!$H$4:$H$4503,_imp!$C$325))</f>
        <v/>
      </c>
      <c r="F323" s="54">
        <f>IF(_imp!$C$325="","",INDEX(_imp!$I$4:$I$4503,_imp!$C$325))</f>
        <v/>
      </c>
      <c r="G323" s="54">
        <f>IF(_imp!$C$325="","",INDEX(_imp!$J$4:$J$4503,_imp!$C$325))</f>
        <v/>
      </c>
      <c r="K323" s="54">
        <f>IF(_imp!$C$325="","",INDEX(_imp!$K$4:$K$4503,_imp!$C$325))</f>
        <v/>
      </c>
    </row>
    <row r="324">
      <c r="A324" s="54">
        <f>IF(_imp!$C$326="","",INDEX(_imp!$D$4:$D$4503,_imp!$C$326))</f>
        <v/>
      </c>
      <c r="B324" s="54">
        <f>IF(_imp!$C$326="","",INDEX(_imp!$E$4:$E$4503,_imp!$C$326))</f>
        <v/>
      </c>
      <c r="C324" s="54">
        <f>IF(_imp!$C$326="","",INDEX(_imp!$F$4:$F$4503,_imp!$C$326))</f>
        <v/>
      </c>
      <c r="D324" s="54">
        <f>IF(_imp!$C$326="","",INDEX(_imp!$G$4:$G$4503,_imp!$C$326))</f>
        <v/>
      </c>
      <c r="E324" s="54">
        <f>IF(_imp!$C$326="","",INDEX(_imp!$H$4:$H$4503,_imp!$C$326))</f>
        <v/>
      </c>
      <c r="F324" s="54">
        <f>IF(_imp!$C$326="","",INDEX(_imp!$I$4:$I$4503,_imp!$C$326))</f>
        <v/>
      </c>
      <c r="G324" s="54">
        <f>IF(_imp!$C$326="","",INDEX(_imp!$J$4:$J$4503,_imp!$C$326))</f>
        <v/>
      </c>
      <c r="K324" s="54">
        <f>IF(_imp!$C$326="","",INDEX(_imp!$K$4:$K$4503,_imp!$C$326))</f>
        <v/>
      </c>
    </row>
    <row r="325">
      <c r="A325" s="54">
        <f>IF(_imp!$C$327="","",INDEX(_imp!$D$4:$D$4503,_imp!$C$327))</f>
        <v/>
      </c>
      <c r="B325" s="54">
        <f>IF(_imp!$C$327="","",INDEX(_imp!$E$4:$E$4503,_imp!$C$327))</f>
        <v/>
      </c>
      <c r="C325" s="54">
        <f>IF(_imp!$C$327="","",INDEX(_imp!$F$4:$F$4503,_imp!$C$327))</f>
        <v/>
      </c>
      <c r="D325" s="54">
        <f>IF(_imp!$C$327="","",INDEX(_imp!$G$4:$G$4503,_imp!$C$327))</f>
        <v/>
      </c>
      <c r="E325" s="54">
        <f>IF(_imp!$C$327="","",INDEX(_imp!$H$4:$H$4503,_imp!$C$327))</f>
        <v/>
      </c>
      <c r="F325" s="54">
        <f>IF(_imp!$C$327="","",INDEX(_imp!$I$4:$I$4503,_imp!$C$327))</f>
        <v/>
      </c>
      <c r="G325" s="54">
        <f>IF(_imp!$C$327="","",INDEX(_imp!$J$4:$J$4503,_imp!$C$327))</f>
        <v/>
      </c>
      <c r="K325" s="54">
        <f>IF(_imp!$C$327="","",INDEX(_imp!$K$4:$K$4503,_imp!$C$327))</f>
        <v/>
      </c>
    </row>
    <row r="326">
      <c r="A326" s="54">
        <f>IF(_imp!$C$328="","",INDEX(_imp!$D$4:$D$4503,_imp!$C$328))</f>
        <v/>
      </c>
      <c r="B326" s="54">
        <f>IF(_imp!$C$328="","",INDEX(_imp!$E$4:$E$4503,_imp!$C$328))</f>
        <v/>
      </c>
      <c r="C326" s="54">
        <f>IF(_imp!$C$328="","",INDEX(_imp!$F$4:$F$4503,_imp!$C$328))</f>
        <v/>
      </c>
      <c r="D326" s="54">
        <f>IF(_imp!$C$328="","",INDEX(_imp!$G$4:$G$4503,_imp!$C$328))</f>
        <v/>
      </c>
      <c r="E326" s="54">
        <f>IF(_imp!$C$328="","",INDEX(_imp!$H$4:$H$4503,_imp!$C$328))</f>
        <v/>
      </c>
      <c r="F326" s="54">
        <f>IF(_imp!$C$328="","",INDEX(_imp!$I$4:$I$4503,_imp!$C$328))</f>
        <v/>
      </c>
      <c r="G326" s="54">
        <f>IF(_imp!$C$328="","",INDEX(_imp!$J$4:$J$4503,_imp!$C$328))</f>
        <v/>
      </c>
      <c r="K326" s="54">
        <f>IF(_imp!$C$328="","",INDEX(_imp!$K$4:$K$4503,_imp!$C$328))</f>
        <v/>
      </c>
    </row>
    <row r="327">
      <c r="A327" s="54">
        <f>IF(_imp!$C$329="","",INDEX(_imp!$D$4:$D$4503,_imp!$C$329))</f>
        <v/>
      </c>
      <c r="B327" s="54">
        <f>IF(_imp!$C$329="","",INDEX(_imp!$E$4:$E$4503,_imp!$C$329))</f>
        <v/>
      </c>
      <c r="C327" s="54">
        <f>IF(_imp!$C$329="","",INDEX(_imp!$F$4:$F$4503,_imp!$C$329))</f>
        <v/>
      </c>
      <c r="D327" s="54">
        <f>IF(_imp!$C$329="","",INDEX(_imp!$G$4:$G$4503,_imp!$C$329))</f>
        <v/>
      </c>
      <c r="E327" s="54">
        <f>IF(_imp!$C$329="","",INDEX(_imp!$H$4:$H$4503,_imp!$C$329))</f>
        <v/>
      </c>
      <c r="F327" s="54">
        <f>IF(_imp!$C$329="","",INDEX(_imp!$I$4:$I$4503,_imp!$C$329))</f>
        <v/>
      </c>
      <c r="G327" s="54">
        <f>IF(_imp!$C$329="","",INDEX(_imp!$J$4:$J$4503,_imp!$C$329))</f>
        <v/>
      </c>
      <c r="K327" s="54">
        <f>IF(_imp!$C$329="","",INDEX(_imp!$K$4:$K$4503,_imp!$C$329))</f>
        <v/>
      </c>
    </row>
    <row r="328">
      <c r="A328" s="54">
        <f>IF(_imp!$C$330="","",INDEX(_imp!$D$4:$D$4503,_imp!$C$330))</f>
        <v/>
      </c>
      <c r="B328" s="54">
        <f>IF(_imp!$C$330="","",INDEX(_imp!$E$4:$E$4503,_imp!$C$330))</f>
        <v/>
      </c>
      <c r="C328" s="54">
        <f>IF(_imp!$C$330="","",INDEX(_imp!$F$4:$F$4503,_imp!$C$330))</f>
        <v/>
      </c>
      <c r="D328" s="54">
        <f>IF(_imp!$C$330="","",INDEX(_imp!$G$4:$G$4503,_imp!$C$330))</f>
        <v/>
      </c>
      <c r="E328" s="54">
        <f>IF(_imp!$C$330="","",INDEX(_imp!$H$4:$H$4503,_imp!$C$330))</f>
        <v/>
      </c>
      <c r="F328" s="54">
        <f>IF(_imp!$C$330="","",INDEX(_imp!$I$4:$I$4503,_imp!$C$330))</f>
        <v/>
      </c>
      <c r="G328" s="54">
        <f>IF(_imp!$C$330="","",INDEX(_imp!$J$4:$J$4503,_imp!$C$330))</f>
        <v/>
      </c>
      <c r="K328" s="54">
        <f>IF(_imp!$C$330="","",INDEX(_imp!$K$4:$K$4503,_imp!$C$330))</f>
        <v/>
      </c>
    </row>
    <row r="329">
      <c r="A329" s="54">
        <f>IF(_imp!$C$331="","",INDEX(_imp!$D$4:$D$4503,_imp!$C$331))</f>
        <v/>
      </c>
      <c r="B329" s="54">
        <f>IF(_imp!$C$331="","",INDEX(_imp!$E$4:$E$4503,_imp!$C$331))</f>
        <v/>
      </c>
      <c r="C329" s="54">
        <f>IF(_imp!$C$331="","",INDEX(_imp!$F$4:$F$4503,_imp!$C$331))</f>
        <v/>
      </c>
      <c r="D329" s="54">
        <f>IF(_imp!$C$331="","",INDEX(_imp!$G$4:$G$4503,_imp!$C$331))</f>
        <v/>
      </c>
      <c r="E329" s="54">
        <f>IF(_imp!$C$331="","",INDEX(_imp!$H$4:$H$4503,_imp!$C$331))</f>
        <v/>
      </c>
      <c r="F329" s="54">
        <f>IF(_imp!$C$331="","",INDEX(_imp!$I$4:$I$4503,_imp!$C$331))</f>
        <v/>
      </c>
      <c r="G329" s="54">
        <f>IF(_imp!$C$331="","",INDEX(_imp!$J$4:$J$4503,_imp!$C$331))</f>
        <v/>
      </c>
      <c r="K329" s="54">
        <f>IF(_imp!$C$331="","",INDEX(_imp!$K$4:$K$4503,_imp!$C$331))</f>
        <v/>
      </c>
    </row>
    <row r="330">
      <c r="A330" s="54">
        <f>IF(_imp!$C$332="","",INDEX(_imp!$D$4:$D$4503,_imp!$C$332))</f>
        <v/>
      </c>
      <c r="B330" s="54">
        <f>IF(_imp!$C$332="","",INDEX(_imp!$E$4:$E$4503,_imp!$C$332))</f>
        <v/>
      </c>
      <c r="C330" s="54">
        <f>IF(_imp!$C$332="","",INDEX(_imp!$F$4:$F$4503,_imp!$C$332))</f>
        <v/>
      </c>
      <c r="D330" s="54">
        <f>IF(_imp!$C$332="","",INDEX(_imp!$G$4:$G$4503,_imp!$C$332))</f>
        <v/>
      </c>
      <c r="E330" s="54">
        <f>IF(_imp!$C$332="","",INDEX(_imp!$H$4:$H$4503,_imp!$C$332))</f>
        <v/>
      </c>
      <c r="F330" s="54">
        <f>IF(_imp!$C$332="","",INDEX(_imp!$I$4:$I$4503,_imp!$C$332))</f>
        <v/>
      </c>
      <c r="G330" s="54">
        <f>IF(_imp!$C$332="","",INDEX(_imp!$J$4:$J$4503,_imp!$C$332))</f>
        <v/>
      </c>
      <c r="K330" s="54">
        <f>IF(_imp!$C$332="","",INDEX(_imp!$K$4:$K$4503,_imp!$C$332))</f>
        <v/>
      </c>
    </row>
    <row r="331">
      <c r="A331" s="54">
        <f>IF(_imp!$C$333="","",INDEX(_imp!$D$4:$D$4503,_imp!$C$333))</f>
        <v/>
      </c>
      <c r="B331" s="54">
        <f>IF(_imp!$C$333="","",INDEX(_imp!$E$4:$E$4503,_imp!$C$333))</f>
        <v/>
      </c>
      <c r="C331" s="54">
        <f>IF(_imp!$C$333="","",INDEX(_imp!$F$4:$F$4503,_imp!$C$333))</f>
        <v/>
      </c>
      <c r="D331" s="54">
        <f>IF(_imp!$C$333="","",INDEX(_imp!$G$4:$G$4503,_imp!$C$333))</f>
        <v/>
      </c>
      <c r="E331" s="54">
        <f>IF(_imp!$C$333="","",INDEX(_imp!$H$4:$H$4503,_imp!$C$333))</f>
        <v/>
      </c>
      <c r="F331" s="54">
        <f>IF(_imp!$C$333="","",INDEX(_imp!$I$4:$I$4503,_imp!$C$333))</f>
        <v/>
      </c>
      <c r="G331" s="54">
        <f>IF(_imp!$C$333="","",INDEX(_imp!$J$4:$J$4503,_imp!$C$333))</f>
        <v/>
      </c>
      <c r="K331" s="54">
        <f>IF(_imp!$C$333="","",INDEX(_imp!$K$4:$K$4503,_imp!$C$333))</f>
        <v/>
      </c>
    </row>
    <row r="332">
      <c r="A332" s="54">
        <f>IF(_imp!$C$334="","",INDEX(_imp!$D$4:$D$4503,_imp!$C$334))</f>
        <v/>
      </c>
      <c r="B332" s="54">
        <f>IF(_imp!$C$334="","",INDEX(_imp!$E$4:$E$4503,_imp!$C$334))</f>
        <v/>
      </c>
      <c r="C332" s="54">
        <f>IF(_imp!$C$334="","",INDEX(_imp!$F$4:$F$4503,_imp!$C$334))</f>
        <v/>
      </c>
      <c r="D332" s="54">
        <f>IF(_imp!$C$334="","",INDEX(_imp!$G$4:$G$4503,_imp!$C$334))</f>
        <v/>
      </c>
      <c r="E332" s="54">
        <f>IF(_imp!$C$334="","",INDEX(_imp!$H$4:$H$4503,_imp!$C$334))</f>
        <v/>
      </c>
      <c r="F332" s="54">
        <f>IF(_imp!$C$334="","",INDEX(_imp!$I$4:$I$4503,_imp!$C$334))</f>
        <v/>
      </c>
      <c r="G332" s="54">
        <f>IF(_imp!$C$334="","",INDEX(_imp!$J$4:$J$4503,_imp!$C$334))</f>
        <v/>
      </c>
      <c r="K332" s="54">
        <f>IF(_imp!$C$334="","",INDEX(_imp!$K$4:$K$4503,_imp!$C$334))</f>
        <v/>
      </c>
    </row>
    <row r="333">
      <c r="A333" s="54">
        <f>IF(_imp!$C$335="","",INDEX(_imp!$D$4:$D$4503,_imp!$C$335))</f>
        <v/>
      </c>
      <c r="B333" s="54">
        <f>IF(_imp!$C$335="","",INDEX(_imp!$E$4:$E$4503,_imp!$C$335))</f>
        <v/>
      </c>
      <c r="C333" s="54">
        <f>IF(_imp!$C$335="","",INDEX(_imp!$F$4:$F$4503,_imp!$C$335))</f>
        <v/>
      </c>
      <c r="D333" s="54">
        <f>IF(_imp!$C$335="","",INDEX(_imp!$G$4:$G$4503,_imp!$C$335))</f>
        <v/>
      </c>
      <c r="E333" s="54">
        <f>IF(_imp!$C$335="","",INDEX(_imp!$H$4:$H$4503,_imp!$C$335))</f>
        <v/>
      </c>
      <c r="F333" s="54">
        <f>IF(_imp!$C$335="","",INDEX(_imp!$I$4:$I$4503,_imp!$C$335))</f>
        <v/>
      </c>
      <c r="G333" s="54">
        <f>IF(_imp!$C$335="","",INDEX(_imp!$J$4:$J$4503,_imp!$C$335))</f>
        <v/>
      </c>
      <c r="K333" s="54">
        <f>IF(_imp!$C$335="","",INDEX(_imp!$K$4:$K$4503,_imp!$C$335))</f>
        <v/>
      </c>
    </row>
    <row r="334">
      <c r="A334" s="54">
        <f>IF(_imp!$C$336="","",INDEX(_imp!$D$4:$D$4503,_imp!$C$336))</f>
        <v/>
      </c>
      <c r="B334" s="54">
        <f>IF(_imp!$C$336="","",INDEX(_imp!$E$4:$E$4503,_imp!$C$336))</f>
        <v/>
      </c>
      <c r="C334" s="54">
        <f>IF(_imp!$C$336="","",INDEX(_imp!$F$4:$F$4503,_imp!$C$336))</f>
        <v/>
      </c>
      <c r="D334" s="54">
        <f>IF(_imp!$C$336="","",INDEX(_imp!$G$4:$G$4503,_imp!$C$336))</f>
        <v/>
      </c>
      <c r="E334" s="54">
        <f>IF(_imp!$C$336="","",INDEX(_imp!$H$4:$H$4503,_imp!$C$336))</f>
        <v/>
      </c>
      <c r="F334" s="54">
        <f>IF(_imp!$C$336="","",INDEX(_imp!$I$4:$I$4503,_imp!$C$336))</f>
        <v/>
      </c>
      <c r="G334" s="54">
        <f>IF(_imp!$C$336="","",INDEX(_imp!$J$4:$J$4503,_imp!$C$336))</f>
        <v/>
      </c>
      <c r="K334" s="54">
        <f>IF(_imp!$C$336="","",INDEX(_imp!$K$4:$K$4503,_imp!$C$336))</f>
        <v/>
      </c>
    </row>
    <row r="335">
      <c r="A335" s="54">
        <f>IF(_imp!$C$337="","",INDEX(_imp!$D$4:$D$4503,_imp!$C$337))</f>
        <v/>
      </c>
      <c r="B335" s="54">
        <f>IF(_imp!$C$337="","",INDEX(_imp!$E$4:$E$4503,_imp!$C$337))</f>
        <v/>
      </c>
      <c r="C335" s="54">
        <f>IF(_imp!$C$337="","",INDEX(_imp!$F$4:$F$4503,_imp!$C$337))</f>
        <v/>
      </c>
      <c r="D335" s="54">
        <f>IF(_imp!$C$337="","",INDEX(_imp!$G$4:$G$4503,_imp!$C$337))</f>
        <v/>
      </c>
      <c r="E335" s="54">
        <f>IF(_imp!$C$337="","",INDEX(_imp!$H$4:$H$4503,_imp!$C$337))</f>
        <v/>
      </c>
      <c r="F335" s="54">
        <f>IF(_imp!$C$337="","",INDEX(_imp!$I$4:$I$4503,_imp!$C$337))</f>
        <v/>
      </c>
      <c r="G335" s="54">
        <f>IF(_imp!$C$337="","",INDEX(_imp!$J$4:$J$4503,_imp!$C$337))</f>
        <v/>
      </c>
      <c r="K335" s="54">
        <f>IF(_imp!$C$337="","",INDEX(_imp!$K$4:$K$4503,_imp!$C$337))</f>
        <v/>
      </c>
    </row>
    <row r="336">
      <c r="A336" s="54">
        <f>IF(_imp!$C$338="","",INDEX(_imp!$D$4:$D$4503,_imp!$C$338))</f>
        <v/>
      </c>
      <c r="B336" s="54">
        <f>IF(_imp!$C$338="","",INDEX(_imp!$E$4:$E$4503,_imp!$C$338))</f>
        <v/>
      </c>
      <c r="C336" s="54">
        <f>IF(_imp!$C$338="","",INDEX(_imp!$F$4:$F$4503,_imp!$C$338))</f>
        <v/>
      </c>
      <c r="D336" s="54">
        <f>IF(_imp!$C$338="","",INDEX(_imp!$G$4:$G$4503,_imp!$C$338))</f>
        <v/>
      </c>
      <c r="E336" s="54">
        <f>IF(_imp!$C$338="","",INDEX(_imp!$H$4:$H$4503,_imp!$C$338))</f>
        <v/>
      </c>
      <c r="F336" s="54">
        <f>IF(_imp!$C$338="","",INDEX(_imp!$I$4:$I$4503,_imp!$C$338))</f>
        <v/>
      </c>
      <c r="G336" s="54">
        <f>IF(_imp!$C$338="","",INDEX(_imp!$J$4:$J$4503,_imp!$C$338))</f>
        <v/>
      </c>
      <c r="K336" s="54">
        <f>IF(_imp!$C$338="","",INDEX(_imp!$K$4:$K$4503,_imp!$C$338))</f>
        <v/>
      </c>
    </row>
    <row r="337">
      <c r="A337" s="54">
        <f>IF(_imp!$C$339="","",INDEX(_imp!$D$4:$D$4503,_imp!$C$339))</f>
        <v/>
      </c>
      <c r="B337" s="54">
        <f>IF(_imp!$C$339="","",INDEX(_imp!$E$4:$E$4503,_imp!$C$339))</f>
        <v/>
      </c>
      <c r="C337" s="54">
        <f>IF(_imp!$C$339="","",INDEX(_imp!$F$4:$F$4503,_imp!$C$339))</f>
        <v/>
      </c>
      <c r="D337" s="54">
        <f>IF(_imp!$C$339="","",INDEX(_imp!$G$4:$G$4503,_imp!$C$339))</f>
        <v/>
      </c>
      <c r="E337" s="54">
        <f>IF(_imp!$C$339="","",INDEX(_imp!$H$4:$H$4503,_imp!$C$339))</f>
        <v/>
      </c>
      <c r="F337" s="54">
        <f>IF(_imp!$C$339="","",INDEX(_imp!$I$4:$I$4503,_imp!$C$339))</f>
        <v/>
      </c>
      <c r="G337" s="54">
        <f>IF(_imp!$C$339="","",INDEX(_imp!$J$4:$J$4503,_imp!$C$339))</f>
        <v/>
      </c>
      <c r="K337" s="54">
        <f>IF(_imp!$C$339="","",INDEX(_imp!$K$4:$K$4503,_imp!$C$339))</f>
        <v/>
      </c>
    </row>
    <row r="338">
      <c r="A338" s="54">
        <f>IF(_imp!$C$340="","",INDEX(_imp!$D$4:$D$4503,_imp!$C$340))</f>
        <v/>
      </c>
      <c r="B338" s="54">
        <f>IF(_imp!$C$340="","",INDEX(_imp!$E$4:$E$4503,_imp!$C$340))</f>
        <v/>
      </c>
      <c r="C338" s="54">
        <f>IF(_imp!$C$340="","",INDEX(_imp!$F$4:$F$4503,_imp!$C$340))</f>
        <v/>
      </c>
      <c r="D338" s="54">
        <f>IF(_imp!$C$340="","",INDEX(_imp!$G$4:$G$4503,_imp!$C$340))</f>
        <v/>
      </c>
      <c r="E338" s="54">
        <f>IF(_imp!$C$340="","",INDEX(_imp!$H$4:$H$4503,_imp!$C$340))</f>
        <v/>
      </c>
      <c r="F338" s="54">
        <f>IF(_imp!$C$340="","",INDEX(_imp!$I$4:$I$4503,_imp!$C$340))</f>
        <v/>
      </c>
      <c r="G338" s="54">
        <f>IF(_imp!$C$340="","",INDEX(_imp!$J$4:$J$4503,_imp!$C$340))</f>
        <v/>
      </c>
      <c r="K338" s="54">
        <f>IF(_imp!$C$340="","",INDEX(_imp!$K$4:$K$4503,_imp!$C$340))</f>
        <v/>
      </c>
    </row>
    <row r="339">
      <c r="A339" s="54">
        <f>IF(_imp!$C$341="","",INDEX(_imp!$D$4:$D$4503,_imp!$C$341))</f>
        <v/>
      </c>
      <c r="B339" s="54">
        <f>IF(_imp!$C$341="","",INDEX(_imp!$E$4:$E$4503,_imp!$C$341))</f>
        <v/>
      </c>
      <c r="C339" s="54">
        <f>IF(_imp!$C$341="","",INDEX(_imp!$F$4:$F$4503,_imp!$C$341))</f>
        <v/>
      </c>
      <c r="D339" s="54">
        <f>IF(_imp!$C$341="","",INDEX(_imp!$G$4:$G$4503,_imp!$C$341))</f>
        <v/>
      </c>
      <c r="E339" s="54">
        <f>IF(_imp!$C$341="","",INDEX(_imp!$H$4:$H$4503,_imp!$C$341))</f>
        <v/>
      </c>
      <c r="F339" s="54">
        <f>IF(_imp!$C$341="","",INDEX(_imp!$I$4:$I$4503,_imp!$C$341))</f>
        <v/>
      </c>
      <c r="G339" s="54">
        <f>IF(_imp!$C$341="","",INDEX(_imp!$J$4:$J$4503,_imp!$C$341))</f>
        <v/>
      </c>
      <c r="K339" s="54">
        <f>IF(_imp!$C$341="","",INDEX(_imp!$K$4:$K$4503,_imp!$C$341))</f>
        <v/>
      </c>
    </row>
    <row r="340">
      <c r="A340" s="54">
        <f>IF(_imp!$C$342="","",INDEX(_imp!$D$4:$D$4503,_imp!$C$342))</f>
        <v/>
      </c>
      <c r="B340" s="54">
        <f>IF(_imp!$C$342="","",INDEX(_imp!$E$4:$E$4503,_imp!$C$342))</f>
        <v/>
      </c>
      <c r="C340" s="54">
        <f>IF(_imp!$C$342="","",INDEX(_imp!$F$4:$F$4503,_imp!$C$342))</f>
        <v/>
      </c>
      <c r="D340" s="54">
        <f>IF(_imp!$C$342="","",INDEX(_imp!$G$4:$G$4503,_imp!$C$342))</f>
        <v/>
      </c>
      <c r="E340" s="54">
        <f>IF(_imp!$C$342="","",INDEX(_imp!$H$4:$H$4503,_imp!$C$342))</f>
        <v/>
      </c>
      <c r="F340" s="54">
        <f>IF(_imp!$C$342="","",INDEX(_imp!$I$4:$I$4503,_imp!$C$342))</f>
        <v/>
      </c>
      <c r="G340" s="54">
        <f>IF(_imp!$C$342="","",INDEX(_imp!$J$4:$J$4503,_imp!$C$342))</f>
        <v/>
      </c>
      <c r="K340" s="54">
        <f>IF(_imp!$C$342="","",INDEX(_imp!$K$4:$K$4503,_imp!$C$342))</f>
        <v/>
      </c>
    </row>
    <row r="341">
      <c r="A341" s="54">
        <f>IF(_imp!$C$343="","",INDEX(_imp!$D$4:$D$4503,_imp!$C$343))</f>
        <v/>
      </c>
      <c r="B341" s="54">
        <f>IF(_imp!$C$343="","",INDEX(_imp!$E$4:$E$4503,_imp!$C$343))</f>
        <v/>
      </c>
      <c r="C341" s="54">
        <f>IF(_imp!$C$343="","",INDEX(_imp!$F$4:$F$4503,_imp!$C$343))</f>
        <v/>
      </c>
      <c r="D341" s="54">
        <f>IF(_imp!$C$343="","",INDEX(_imp!$G$4:$G$4503,_imp!$C$343))</f>
        <v/>
      </c>
      <c r="E341" s="54">
        <f>IF(_imp!$C$343="","",INDEX(_imp!$H$4:$H$4503,_imp!$C$343))</f>
        <v/>
      </c>
      <c r="F341" s="54">
        <f>IF(_imp!$C$343="","",INDEX(_imp!$I$4:$I$4503,_imp!$C$343))</f>
        <v/>
      </c>
      <c r="G341" s="54">
        <f>IF(_imp!$C$343="","",INDEX(_imp!$J$4:$J$4503,_imp!$C$343))</f>
        <v/>
      </c>
      <c r="K341" s="54">
        <f>IF(_imp!$C$343="","",INDEX(_imp!$K$4:$K$4503,_imp!$C$343))</f>
        <v/>
      </c>
    </row>
    <row r="342">
      <c r="A342" s="54">
        <f>IF(_imp!$C$344="","",INDEX(_imp!$D$4:$D$4503,_imp!$C$344))</f>
        <v/>
      </c>
      <c r="B342" s="54">
        <f>IF(_imp!$C$344="","",INDEX(_imp!$E$4:$E$4503,_imp!$C$344))</f>
        <v/>
      </c>
      <c r="C342" s="54">
        <f>IF(_imp!$C$344="","",INDEX(_imp!$F$4:$F$4503,_imp!$C$344))</f>
        <v/>
      </c>
      <c r="D342" s="54">
        <f>IF(_imp!$C$344="","",INDEX(_imp!$G$4:$G$4503,_imp!$C$344))</f>
        <v/>
      </c>
      <c r="E342" s="54">
        <f>IF(_imp!$C$344="","",INDEX(_imp!$H$4:$H$4503,_imp!$C$344))</f>
        <v/>
      </c>
      <c r="F342" s="54">
        <f>IF(_imp!$C$344="","",INDEX(_imp!$I$4:$I$4503,_imp!$C$344))</f>
        <v/>
      </c>
      <c r="G342" s="54">
        <f>IF(_imp!$C$344="","",INDEX(_imp!$J$4:$J$4503,_imp!$C$344))</f>
        <v/>
      </c>
      <c r="K342" s="54">
        <f>IF(_imp!$C$344="","",INDEX(_imp!$K$4:$K$4503,_imp!$C$344))</f>
        <v/>
      </c>
    </row>
    <row r="343">
      <c r="A343" s="54">
        <f>IF(_imp!$C$345="","",INDEX(_imp!$D$4:$D$4503,_imp!$C$345))</f>
        <v/>
      </c>
      <c r="B343" s="54">
        <f>IF(_imp!$C$345="","",INDEX(_imp!$E$4:$E$4503,_imp!$C$345))</f>
        <v/>
      </c>
      <c r="C343" s="54">
        <f>IF(_imp!$C$345="","",INDEX(_imp!$F$4:$F$4503,_imp!$C$345))</f>
        <v/>
      </c>
      <c r="D343" s="54">
        <f>IF(_imp!$C$345="","",INDEX(_imp!$G$4:$G$4503,_imp!$C$345))</f>
        <v/>
      </c>
      <c r="E343" s="54">
        <f>IF(_imp!$C$345="","",INDEX(_imp!$H$4:$H$4503,_imp!$C$345))</f>
        <v/>
      </c>
      <c r="F343" s="54">
        <f>IF(_imp!$C$345="","",INDEX(_imp!$I$4:$I$4503,_imp!$C$345))</f>
        <v/>
      </c>
      <c r="G343" s="54">
        <f>IF(_imp!$C$345="","",INDEX(_imp!$J$4:$J$4503,_imp!$C$345))</f>
        <v/>
      </c>
      <c r="K343" s="54">
        <f>IF(_imp!$C$345="","",INDEX(_imp!$K$4:$K$4503,_imp!$C$345))</f>
        <v/>
      </c>
    </row>
    <row r="344">
      <c r="A344" s="54">
        <f>IF(_imp!$C$346="","",INDEX(_imp!$D$4:$D$4503,_imp!$C$346))</f>
        <v/>
      </c>
      <c r="B344" s="54">
        <f>IF(_imp!$C$346="","",INDEX(_imp!$E$4:$E$4503,_imp!$C$346))</f>
        <v/>
      </c>
      <c r="C344" s="54">
        <f>IF(_imp!$C$346="","",INDEX(_imp!$F$4:$F$4503,_imp!$C$346))</f>
        <v/>
      </c>
      <c r="D344" s="54">
        <f>IF(_imp!$C$346="","",INDEX(_imp!$G$4:$G$4503,_imp!$C$346))</f>
        <v/>
      </c>
      <c r="E344" s="54">
        <f>IF(_imp!$C$346="","",INDEX(_imp!$H$4:$H$4503,_imp!$C$346))</f>
        <v/>
      </c>
      <c r="F344" s="54">
        <f>IF(_imp!$C$346="","",INDEX(_imp!$I$4:$I$4503,_imp!$C$346))</f>
        <v/>
      </c>
      <c r="G344" s="54">
        <f>IF(_imp!$C$346="","",INDEX(_imp!$J$4:$J$4503,_imp!$C$346))</f>
        <v/>
      </c>
      <c r="K344" s="54">
        <f>IF(_imp!$C$346="","",INDEX(_imp!$K$4:$K$4503,_imp!$C$346))</f>
        <v/>
      </c>
    </row>
    <row r="345">
      <c r="A345" s="54">
        <f>IF(_imp!$C$347="","",INDEX(_imp!$D$4:$D$4503,_imp!$C$347))</f>
        <v/>
      </c>
      <c r="B345" s="54">
        <f>IF(_imp!$C$347="","",INDEX(_imp!$E$4:$E$4503,_imp!$C$347))</f>
        <v/>
      </c>
      <c r="C345" s="54">
        <f>IF(_imp!$C$347="","",INDEX(_imp!$F$4:$F$4503,_imp!$C$347))</f>
        <v/>
      </c>
      <c r="D345" s="54">
        <f>IF(_imp!$C$347="","",INDEX(_imp!$G$4:$G$4503,_imp!$C$347))</f>
        <v/>
      </c>
      <c r="E345" s="54">
        <f>IF(_imp!$C$347="","",INDEX(_imp!$H$4:$H$4503,_imp!$C$347))</f>
        <v/>
      </c>
      <c r="F345" s="54">
        <f>IF(_imp!$C$347="","",INDEX(_imp!$I$4:$I$4503,_imp!$C$347))</f>
        <v/>
      </c>
      <c r="G345" s="54">
        <f>IF(_imp!$C$347="","",INDEX(_imp!$J$4:$J$4503,_imp!$C$347))</f>
        <v/>
      </c>
      <c r="K345" s="54">
        <f>IF(_imp!$C$347="","",INDEX(_imp!$K$4:$K$4503,_imp!$C$347))</f>
        <v/>
      </c>
    </row>
    <row r="346">
      <c r="A346" s="54">
        <f>IF(_imp!$C$348="","",INDEX(_imp!$D$4:$D$4503,_imp!$C$348))</f>
        <v/>
      </c>
      <c r="B346" s="54">
        <f>IF(_imp!$C$348="","",INDEX(_imp!$E$4:$E$4503,_imp!$C$348))</f>
        <v/>
      </c>
      <c r="C346" s="54">
        <f>IF(_imp!$C$348="","",INDEX(_imp!$F$4:$F$4503,_imp!$C$348))</f>
        <v/>
      </c>
      <c r="D346" s="54">
        <f>IF(_imp!$C$348="","",INDEX(_imp!$G$4:$G$4503,_imp!$C$348))</f>
        <v/>
      </c>
      <c r="E346" s="54">
        <f>IF(_imp!$C$348="","",INDEX(_imp!$H$4:$H$4503,_imp!$C$348))</f>
        <v/>
      </c>
      <c r="F346" s="54">
        <f>IF(_imp!$C$348="","",INDEX(_imp!$I$4:$I$4503,_imp!$C$348))</f>
        <v/>
      </c>
      <c r="G346" s="54">
        <f>IF(_imp!$C$348="","",INDEX(_imp!$J$4:$J$4503,_imp!$C$348))</f>
        <v/>
      </c>
      <c r="K346" s="54">
        <f>IF(_imp!$C$348="","",INDEX(_imp!$K$4:$K$4503,_imp!$C$348))</f>
        <v/>
      </c>
    </row>
    <row r="347">
      <c r="A347" s="54">
        <f>IF(_imp!$C$349="","",INDEX(_imp!$D$4:$D$4503,_imp!$C$349))</f>
        <v/>
      </c>
      <c r="B347" s="54">
        <f>IF(_imp!$C$349="","",INDEX(_imp!$E$4:$E$4503,_imp!$C$349))</f>
        <v/>
      </c>
      <c r="C347" s="54">
        <f>IF(_imp!$C$349="","",INDEX(_imp!$F$4:$F$4503,_imp!$C$349))</f>
        <v/>
      </c>
      <c r="D347" s="54">
        <f>IF(_imp!$C$349="","",INDEX(_imp!$G$4:$G$4503,_imp!$C$349))</f>
        <v/>
      </c>
      <c r="E347" s="54">
        <f>IF(_imp!$C$349="","",INDEX(_imp!$H$4:$H$4503,_imp!$C$349))</f>
        <v/>
      </c>
      <c r="F347" s="54">
        <f>IF(_imp!$C$349="","",INDEX(_imp!$I$4:$I$4503,_imp!$C$349))</f>
        <v/>
      </c>
      <c r="G347" s="54">
        <f>IF(_imp!$C$349="","",INDEX(_imp!$J$4:$J$4503,_imp!$C$349))</f>
        <v/>
      </c>
      <c r="K347" s="54">
        <f>IF(_imp!$C$349="","",INDEX(_imp!$K$4:$K$4503,_imp!$C$349))</f>
        <v/>
      </c>
    </row>
    <row r="348">
      <c r="A348" s="54">
        <f>IF(_imp!$C$350="","",INDEX(_imp!$D$4:$D$4503,_imp!$C$350))</f>
        <v/>
      </c>
      <c r="B348" s="54">
        <f>IF(_imp!$C$350="","",INDEX(_imp!$E$4:$E$4503,_imp!$C$350))</f>
        <v/>
      </c>
      <c r="C348" s="54">
        <f>IF(_imp!$C$350="","",INDEX(_imp!$F$4:$F$4503,_imp!$C$350))</f>
        <v/>
      </c>
      <c r="D348" s="54">
        <f>IF(_imp!$C$350="","",INDEX(_imp!$G$4:$G$4503,_imp!$C$350))</f>
        <v/>
      </c>
      <c r="E348" s="54">
        <f>IF(_imp!$C$350="","",INDEX(_imp!$H$4:$H$4503,_imp!$C$350))</f>
        <v/>
      </c>
      <c r="F348" s="54">
        <f>IF(_imp!$C$350="","",INDEX(_imp!$I$4:$I$4503,_imp!$C$350))</f>
        <v/>
      </c>
      <c r="G348" s="54">
        <f>IF(_imp!$C$350="","",INDEX(_imp!$J$4:$J$4503,_imp!$C$350))</f>
        <v/>
      </c>
      <c r="K348" s="54">
        <f>IF(_imp!$C$350="","",INDEX(_imp!$K$4:$K$4503,_imp!$C$350))</f>
        <v/>
      </c>
    </row>
    <row r="349">
      <c r="A349" s="54">
        <f>IF(_imp!$C$351="","",INDEX(_imp!$D$4:$D$4503,_imp!$C$351))</f>
        <v/>
      </c>
      <c r="B349" s="54">
        <f>IF(_imp!$C$351="","",INDEX(_imp!$E$4:$E$4503,_imp!$C$351))</f>
        <v/>
      </c>
      <c r="C349" s="54">
        <f>IF(_imp!$C$351="","",INDEX(_imp!$F$4:$F$4503,_imp!$C$351))</f>
        <v/>
      </c>
      <c r="D349" s="54">
        <f>IF(_imp!$C$351="","",INDEX(_imp!$G$4:$G$4503,_imp!$C$351))</f>
        <v/>
      </c>
      <c r="E349" s="54">
        <f>IF(_imp!$C$351="","",INDEX(_imp!$H$4:$H$4503,_imp!$C$351))</f>
        <v/>
      </c>
      <c r="F349" s="54">
        <f>IF(_imp!$C$351="","",INDEX(_imp!$I$4:$I$4503,_imp!$C$351))</f>
        <v/>
      </c>
      <c r="G349" s="54">
        <f>IF(_imp!$C$351="","",INDEX(_imp!$J$4:$J$4503,_imp!$C$351))</f>
        <v/>
      </c>
      <c r="K349" s="54">
        <f>IF(_imp!$C$351="","",INDEX(_imp!$K$4:$K$4503,_imp!$C$351))</f>
        <v/>
      </c>
    </row>
    <row r="350">
      <c r="A350" s="54">
        <f>IF(_imp!$C$352="","",INDEX(_imp!$D$4:$D$4503,_imp!$C$352))</f>
        <v/>
      </c>
      <c r="B350" s="54">
        <f>IF(_imp!$C$352="","",INDEX(_imp!$E$4:$E$4503,_imp!$C$352))</f>
        <v/>
      </c>
      <c r="C350" s="54">
        <f>IF(_imp!$C$352="","",INDEX(_imp!$F$4:$F$4503,_imp!$C$352))</f>
        <v/>
      </c>
      <c r="D350" s="54">
        <f>IF(_imp!$C$352="","",INDEX(_imp!$G$4:$G$4503,_imp!$C$352))</f>
        <v/>
      </c>
      <c r="E350" s="54">
        <f>IF(_imp!$C$352="","",INDEX(_imp!$H$4:$H$4503,_imp!$C$352))</f>
        <v/>
      </c>
      <c r="F350" s="54">
        <f>IF(_imp!$C$352="","",INDEX(_imp!$I$4:$I$4503,_imp!$C$352))</f>
        <v/>
      </c>
      <c r="G350" s="54">
        <f>IF(_imp!$C$352="","",INDEX(_imp!$J$4:$J$4503,_imp!$C$352))</f>
        <v/>
      </c>
      <c r="K350" s="54">
        <f>IF(_imp!$C$352="","",INDEX(_imp!$K$4:$K$4503,_imp!$C$352))</f>
        <v/>
      </c>
    </row>
    <row r="351">
      <c r="A351" s="54">
        <f>IF(_imp!$C$353="","",INDEX(_imp!$D$4:$D$4503,_imp!$C$353))</f>
        <v/>
      </c>
      <c r="B351" s="54">
        <f>IF(_imp!$C$353="","",INDEX(_imp!$E$4:$E$4503,_imp!$C$353))</f>
        <v/>
      </c>
      <c r="C351" s="54">
        <f>IF(_imp!$C$353="","",INDEX(_imp!$F$4:$F$4503,_imp!$C$353))</f>
        <v/>
      </c>
      <c r="D351" s="54">
        <f>IF(_imp!$C$353="","",INDEX(_imp!$G$4:$G$4503,_imp!$C$353))</f>
        <v/>
      </c>
      <c r="E351" s="54">
        <f>IF(_imp!$C$353="","",INDEX(_imp!$H$4:$H$4503,_imp!$C$353))</f>
        <v/>
      </c>
      <c r="F351" s="54">
        <f>IF(_imp!$C$353="","",INDEX(_imp!$I$4:$I$4503,_imp!$C$353))</f>
        <v/>
      </c>
      <c r="G351" s="54">
        <f>IF(_imp!$C$353="","",INDEX(_imp!$J$4:$J$4503,_imp!$C$353))</f>
        <v/>
      </c>
      <c r="K351" s="54">
        <f>IF(_imp!$C$353="","",INDEX(_imp!$K$4:$K$4503,_imp!$C$353))</f>
        <v/>
      </c>
    </row>
    <row r="352">
      <c r="A352" s="54">
        <f>IF(_imp!$C$354="","",INDEX(_imp!$D$4:$D$4503,_imp!$C$354))</f>
        <v/>
      </c>
      <c r="B352" s="54">
        <f>IF(_imp!$C$354="","",INDEX(_imp!$E$4:$E$4503,_imp!$C$354))</f>
        <v/>
      </c>
      <c r="C352" s="54">
        <f>IF(_imp!$C$354="","",INDEX(_imp!$F$4:$F$4503,_imp!$C$354))</f>
        <v/>
      </c>
      <c r="D352" s="54">
        <f>IF(_imp!$C$354="","",INDEX(_imp!$G$4:$G$4503,_imp!$C$354))</f>
        <v/>
      </c>
      <c r="E352" s="54">
        <f>IF(_imp!$C$354="","",INDEX(_imp!$H$4:$H$4503,_imp!$C$354))</f>
        <v/>
      </c>
      <c r="F352" s="54">
        <f>IF(_imp!$C$354="","",INDEX(_imp!$I$4:$I$4503,_imp!$C$354))</f>
        <v/>
      </c>
      <c r="G352" s="54">
        <f>IF(_imp!$C$354="","",INDEX(_imp!$J$4:$J$4503,_imp!$C$354))</f>
        <v/>
      </c>
      <c r="K352" s="54">
        <f>IF(_imp!$C$354="","",INDEX(_imp!$K$4:$K$4503,_imp!$C$354))</f>
        <v/>
      </c>
    </row>
    <row r="353">
      <c r="A353" s="54">
        <f>IF(_imp!$C$355="","",INDEX(_imp!$D$4:$D$4503,_imp!$C$355))</f>
        <v/>
      </c>
      <c r="B353" s="54">
        <f>IF(_imp!$C$355="","",INDEX(_imp!$E$4:$E$4503,_imp!$C$355))</f>
        <v/>
      </c>
      <c r="C353" s="54">
        <f>IF(_imp!$C$355="","",INDEX(_imp!$F$4:$F$4503,_imp!$C$355))</f>
        <v/>
      </c>
      <c r="D353" s="54">
        <f>IF(_imp!$C$355="","",INDEX(_imp!$G$4:$G$4503,_imp!$C$355))</f>
        <v/>
      </c>
      <c r="E353" s="54">
        <f>IF(_imp!$C$355="","",INDEX(_imp!$H$4:$H$4503,_imp!$C$355))</f>
        <v/>
      </c>
      <c r="F353" s="54">
        <f>IF(_imp!$C$355="","",INDEX(_imp!$I$4:$I$4503,_imp!$C$355))</f>
        <v/>
      </c>
      <c r="G353" s="54">
        <f>IF(_imp!$C$355="","",INDEX(_imp!$J$4:$J$4503,_imp!$C$355))</f>
        <v/>
      </c>
      <c r="K353" s="54">
        <f>IF(_imp!$C$355="","",INDEX(_imp!$K$4:$K$4503,_imp!$C$355))</f>
        <v/>
      </c>
    </row>
    <row r="354">
      <c r="A354" s="54">
        <f>IF(_imp!$C$356="","",INDEX(_imp!$D$4:$D$4503,_imp!$C$356))</f>
        <v/>
      </c>
      <c r="B354" s="54">
        <f>IF(_imp!$C$356="","",INDEX(_imp!$E$4:$E$4503,_imp!$C$356))</f>
        <v/>
      </c>
      <c r="C354" s="54">
        <f>IF(_imp!$C$356="","",INDEX(_imp!$F$4:$F$4503,_imp!$C$356))</f>
        <v/>
      </c>
      <c r="D354" s="54">
        <f>IF(_imp!$C$356="","",INDEX(_imp!$G$4:$G$4503,_imp!$C$356))</f>
        <v/>
      </c>
      <c r="E354" s="54">
        <f>IF(_imp!$C$356="","",INDEX(_imp!$H$4:$H$4503,_imp!$C$356))</f>
        <v/>
      </c>
      <c r="F354" s="54">
        <f>IF(_imp!$C$356="","",INDEX(_imp!$I$4:$I$4503,_imp!$C$356))</f>
        <v/>
      </c>
      <c r="G354" s="54">
        <f>IF(_imp!$C$356="","",INDEX(_imp!$J$4:$J$4503,_imp!$C$356))</f>
        <v/>
      </c>
      <c r="K354" s="54">
        <f>IF(_imp!$C$356="","",INDEX(_imp!$K$4:$K$4503,_imp!$C$356))</f>
        <v/>
      </c>
    </row>
    <row r="355">
      <c r="A355" s="54">
        <f>IF(_imp!$C$357="","",INDEX(_imp!$D$4:$D$4503,_imp!$C$357))</f>
        <v/>
      </c>
      <c r="B355" s="54">
        <f>IF(_imp!$C$357="","",INDEX(_imp!$E$4:$E$4503,_imp!$C$357))</f>
        <v/>
      </c>
      <c r="C355" s="54">
        <f>IF(_imp!$C$357="","",INDEX(_imp!$F$4:$F$4503,_imp!$C$357))</f>
        <v/>
      </c>
      <c r="D355" s="54">
        <f>IF(_imp!$C$357="","",INDEX(_imp!$G$4:$G$4503,_imp!$C$357))</f>
        <v/>
      </c>
      <c r="E355" s="54">
        <f>IF(_imp!$C$357="","",INDEX(_imp!$H$4:$H$4503,_imp!$C$357))</f>
        <v/>
      </c>
      <c r="F355" s="54">
        <f>IF(_imp!$C$357="","",INDEX(_imp!$I$4:$I$4503,_imp!$C$357))</f>
        <v/>
      </c>
      <c r="G355" s="54">
        <f>IF(_imp!$C$357="","",INDEX(_imp!$J$4:$J$4503,_imp!$C$357))</f>
        <v/>
      </c>
      <c r="K355" s="54">
        <f>IF(_imp!$C$357="","",INDEX(_imp!$K$4:$K$4503,_imp!$C$357))</f>
        <v/>
      </c>
    </row>
    <row r="356">
      <c r="A356" s="54">
        <f>IF(_imp!$C$358="","",INDEX(_imp!$D$4:$D$4503,_imp!$C$358))</f>
        <v/>
      </c>
      <c r="B356" s="54">
        <f>IF(_imp!$C$358="","",INDEX(_imp!$E$4:$E$4503,_imp!$C$358))</f>
        <v/>
      </c>
      <c r="C356" s="54">
        <f>IF(_imp!$C$358="","",INDEX(_imp!$F$4:$F$4503,_imp!$C$358))</f>
        <v/>
      </c>
      <c r="D356" s="54">
        <f>IF(_imp!$C$358="","",INDEX(_imp!$G$4:$G$4503,_imp!$C$358))</f>
        <v/>
      </c>
      <c r="E356" s="54">
        <f>IF(_imp!$C$358="","",INDEX(_imp!$H$4:$H$4503,_imp!$C$358))</f>
        <v/>
      </c>
      <c r="F356" s="54">
        <f>IF(_imp!$C$358="","",INDEX(_imp!$I$4:$I$4503,_imp!$C$358))</f>
        <v/>
      </c>
      <c r="G356" s="54">
        <f>IF(_imp!$C$358="","",INDEX(_imp!$J$4:$J$4503,_imp!$C$358))</f>
        <v/>
      </c>
      <c r="K356" s="54">
        <f>IF(_imp!$C$358="","",INDEX(_imp!$K$4:$K$4503,_imp!$C$358))</f>
        <v/>
      </c>
    </row>
    <row r="357">
      <c r="A357" s="54">
        <f>IF(_imp!$C$359="","",INDEX(_imp!$D$4:$D$4503,_imp!$C$359))</f>
        <v/>
      </c>
      <c r="B357" s="54">
        <f>IF(_imp!$C$359="","",INDEX(_imp!$E$4:$E$4503,_imp!$C$359))</f>
        <v/>
      </c>
      <c r="C357" s="54">
        <f>IF(_imp!$C$359="","",INDEX(_imp!$F$4:$F$4503,_imp!$C$359))</f>
        <v/>
      </c>
      <c r="D357" s="54">
        <f>IF(_imp!$C$359="","",INDEX(_imp!$G$4:$G$4503,_imp!$C$359))</f>
        <v/>
      </c>
      <c r="E357" s="54">
        <f>IF(_imp!$C$359="","",INDEX(_imp!$H$4:$H$4503,_imp!$C$359))</f>
        <v/>
      </c>
      <c r="F357" s="54">
        <f>IF(_imp!$C$359="","",INDEX(_imp!$I$4:$I$4503,_imp!$C$359))</f>
        <v/>
      </c>
      <c r="G357" s="54">
        <f>IF(_imp!$C$359="","",INDEX(_imp!$J$4:$J$4503,_imp!$C$359))</f>
        <v/>
      </c>
      <c r="K357" s="54">
        <f>IF(_imp!$C$359="","",INDEX(_imp!$K$4:$K$4503,_imp!$C$359))</f>
        <v/>
      </c>
    </row>
    <row r="358">
      <c r="A358" s="54">
        <f>IF(_imp!$C$360="","",INDEX(_imp!$D$4:$D$4503,_imp!$C$360))</f>
        <v/>
      </c>
      <c r="B358" s="54">
        <f>IF(_imp!$C$360="","",INDEX(_imp!$E$4:$E$4503,_imp!$C$360))</f>
        <v/>
      </c>
      <c r="C358" s="54">
        <f>IF(_imp!$C$360="","",INDEX(_imp!$F$4:$F$4503,_imp!$C$360))</f>
        <v/>
      </c>
      <c r="D358" s="54">
        <f>IF(_imp!$C$360="","",INDEX(_imp!$G$4:$G$4503,_imp!$C$360))</f>
        <v/>
      </c>
      <c r="E358" s="54">
        <f>IF(_imp!$C$360="","",INDEX(_imp!$H$4:$H$4503,_imp!$C$360))</f>
        <v/>
      </c>
      <c r="F358" s="54">
        <f>IF(_imp!$C$360="","",INDEX(_imp!$I$4:$I$4503,_imp!$C$360))</f>
        <v/>
      </c>
      <c r="G358" s="54">
        <f>IF(_imp!$C$360="","",INDEX(_imp!$J$4:$J$4503,_imp!$C$360))</f>
        <v/>
      </c>
      <c r="K358" s="54">
        <f>IF(_imp!$C$360="","",INDEX(_imp!$K$4:$K$4503,_imp!$C$360))</f>
        <v/>
      </c>
    </row>
    <row r="359">
      <c r="A359" s="54">
        <f>IF(_imp!$C$361="","",INDEX(_imp!$D$4:$D$4503,_imp!$C$361))</f>
        <v/>
      </c>
      <c r="B359" s="54">
        <f>IF(_imp!$C$361="","",INDEX(_imp!$E$4:$E$4503,_imp!$C$361))</f>
        <v/>
      </c>
      <c r="C359" s="54">
        <f>IF(_imp!$C$361="","",INDEX(_imp!$F$4:$F$4503,_imp!$C$361))</f>
        <v/>
      </c>
      <c r="D359" s="54">
        <f>IF(_imp!$C$361="","",INDEX(_imp!$G$4:$G$4503,_imp!$C$361))</f>
        <v/>
      </c>
      <c r="E359" s="54">
        <f>IF(_imp!$C$361="","",INDEX(_imp!$H$4:$H$4503,_imp!$C$361))</f>
        <v/>
      </c>
      <c r="F359" s="54">
        <f>IF(_imp!$C$361="","",INDEX(_imp!$I$4:$I$4503,_imp!$C$361))</f>
        <v/>
      </c>
      <c r="G359" s="54">
        <f>IF(_imp!$C$361="","",INDEX(_imp!$J$4:$J$4503,_imp!$C$361))</f>
        <v/>
      </c>
      <c r="K359" s="54">
        <f>IF(_imp!$C$361="","",INDEX(_imp!$K$4:$K$4503,_imp!$C$361))</f>
        <v/>
      </c>
    </row>
    <row r="360">
      <c r="A360" s="54">
        <f>IF(_imp!$C$362="","",INDEX(_imp!$D$4:$D$4503,_imp!$C$362))</f>
        <v/>
      </c>
      <c r="B360" s="54">
        <f>IF(_imp!$C$362="","",INDEX(_imp!$E$4:$E$4503,_imp!$C$362))</f>
        <v/>
      </c>
      <c r="C360" s="54">
        <f>IF(_imp!$C$362="","",INDEX(_imp!$F$4:$F$4503,_imp!$C$362))</f>
        <v/>
      </c>
      <c r="D360" s="54">
        <f>IF(_imp!$C$362="","",INDEX(_imp!$G$4:$G$4503,_imp!$C$362))</f>
        <v/>
      </c>
      <c r="E360" s="54">
        <f>IF(_imp!$C$362="","",INDEX(_imp!$H$4:$H$4503,_imp!$C$362))</f>
        <v/>
      </c>
      <c r="F360" s="54">
        <f>IF(_imp!$C$362="","",INDEX(_imp!$I$4:$I$4503,_imp!$C$362))</f>
        <v/>
      </c>
      <c r="G360" s="54">
        <f>IF(_imp!$C$362="","",INDEX(_imp!$J$4:$J$4503,_imp!$C$362))</f>
        <v/>
      </c>
      <c r="K360" s="54">
        <f>IF(_imp!$C$362="","",INDEX(_imp!$K$4:$K$4503,_imp!$C$362))</f>
        <v/>
      </c>
    </row>
    <row r="361">
      <c r="A361" s="54">
        <f>IF(_imp!$C$363="","",INDEX(_imp!$D$4:$D$4503,_imp!$C$363))</f>
        <v/>
      </c>
      <c r="B361" s="54">
        <f>IF(_imp!$C$363="","",INDEX(_imp!$E$4:$E$4503,_imp!$C$363))</f>
        <v/>
      </c>
      <c r="C361" s="54">
        <f>IF(_imp!$C$363="","",INDEX(_imp!$F$4:$F$4503,_imp!$C$363))</f>
        <v/>
      </c>
      <c r="D361" s="54">
        <f>IF(_imp!$C$363="","",INDEX(_imp!$G$4:$G$4503,_imp!$C$363))</f>
        <v/>
      </c>
      <c r="E361" s="54">
        <f>IF(_imp!$C$363="","",INDEX(_imp!$H$4:$H$4503,_imp!$C$363))</f>
        <v/>
      </c>
      <c r="F361" s="54">
        <f>IF(_imp!$C$363="","",INDEX(_imp!$I$4:$I$4503,_imp!$C$363))</f>
        <v/>
      </c>
      <c r="G361" s="54">
        <f>IF(_imp!$C$363="","",INDEX(_imp!$J$4:$J$4503,_imp!$C$363))</f>
        <v/>
      </c>
      <c r="K361" s="54">
        <f>IF(_imp!$C$363="","",INDEX(_imp!$K$4:$K$4503,_imp!$C$363))</f>
        <v/>
      </c>
    </row>
    <row r="362">
      <c r="A362" s="54">
        <f>IF(_imp!$C$364="","",INDEX(_imp!$D$4:$D$4503,_imp!$C$364))</f>
        <v/>
      </c>
      <c r="B362" s="54">
        <f>IF(_imp!$C$364="","",INDEX(_imp!$E$4:$E$4503,_imp!$C$364))</f>
        <v/>
      </c>
      <c r="C362" s="54">
        <f>IF(_imp!$C$364="","",INDEX(_imp!$F$4:$F$4503,_imp!$C$364))</f>
        <v/>
      </c>
      <c r="D362" s="54">
        <f>IF(_imp!$C$364="","",INDEX(_imp!$G$4:$G$4503,_imp!$C$364))</f>
        <v/>
      </c>
      <c r="E362" s="54">
        <f>IF(_imp!$C$364="","",INDEX(_imp!$H$4:$H$4503,_imp!$C$364))</f>
        <v/>
      </c>
      <c r="F362" s="54">
        <f>IF(_imp!$C$364="","",INDEX(_imp!$I$4:$I$4503,_imp!$C$364))</f>
        <v/>
      </c>
      <c r="G362" s="54">
        <f>IF(_imp!$C$364="","",INDEX(_imp!$J$4:$J$4503,_imp!$C$364))</f>
        <v/>
      </c>
      <c r="K362" s="54">
        <f>IF(_imp!$C$364="","",INDEX(_imp!$K$4:$K$4503,_imp!$C$364))</f>
        <v/>
      </c>
    </row>
    <row r="363">
      <c r="A363" s="54">
        <f>IF(_imp!$C$365="","",INDEX(_imp!$D$4:$D$4503,_imp!$C$365))</f>
        <v/>
      </c>
      <c r="B363" s="54">
        <f>IF(_imp!$C$365="","",INDEX(_imp!$E$4:$E$4503,_imp!$C$365))</f>
        <v/>
      </c>
      <c r="C363" s="54">
        <f>IF(_imp!$C$365="","",INDEX(_imp!$F$4:$F$4503,_imp!$C$365))</f>
        <v/>
      </c>
      <c r="D363" s="54">
        <f>IF(_imp!$C$365="","",INDEX(_imp!$G$4:$G$4503,_imp!$C$365))</f>
        <v/>
      </c>
      <c r="E363" s="54">
        <f>IF(_imp!$C$365="","",INDEX(_imp!$H$4:$H$4503,_imp!$C$365))</f>
        <v/>
      </c>
      <c r="F363" s="54">
        <f>IF(_imp!$C$365="","",INDEX(_imp!$I$4:$I$4503,_imp!$C$365))</f>
        <v/>
      </c>
      <c r="G363" s="54">
        <f>IF(_imp!$C$365="","",INDEX(_imp!$J$4:$J$4503,_imp!$C$365))</f>
        <v/>
      </c>
      <c r="K363" s="54">
        <f>IF(_imp!$C$365="","",INDEX(_imp!$K$4:$K$4503,_imp!$C$365))</f>
        <v/>
      </c>
    </row>
    <row r="364">
      <c r="A364" s="54">
        <f>IF(_imp!$C$366="","",INDEX(_imp!$D$4:$D$4503,_imp!$C$366))</f>
        <v/>
      </c>
      <c r="B364" s="54">
        <f>IF(_imp!$C$366="","",INDEX(_imp!$E$4:$E$4503,_imp!$C$366))</f>
        <v/>
      </c>
      <c r="C364" s="54">
        <f>IF(_imp!$C$366="","",INDEX(_imp!$F$4:$F$4503,_imp!$C$366))</f>
        <v/>
      </c>
      <c r="D364" s="54">
        <f>IF(_imp!$C$366="","",INDEX(_imp!$G$4:$G$4503,_imp!$C$366))</f>
        <v/>
      </c>
      <c r="E364" s="54">
        <f>IF(_imp!$C$366="","",INDEX(_imp!$H$4:$H$4503,_imp!$C$366))</f>
        <v/>
      </c>
      <c r="F364" s="54">
        <f>IF(_imp!$C$366="","",INDEX(_imp!$I$4:$I$4503,_imp!$C$366))</f>
        <v/>
      </c>
      <c r="G364" s="54">
        <f>IF(_imp!$C$366="","",INDEX(_imp!$J$4:$J$4503,_imp!$C$366))</f>
        <v/>
      </c>
      <c r="K364" s="54">
        <f>IF(_imp!$C$366="","",INDEX(_imp!$K$4:$K$4503,_imp!$C$366))</f>
        <v/>
      </c>
    </row>
    <row r="365">
      <c r="A365" s="54">
        <f>IF(_imp!$C$367="","",INDEX(_imp!$D$4:$D$4503,_imp!$C$367))</f>
        <v/>
      </c>
      <c r="B365" s="54">
        <f>IF(_imp!$C$367="","",INDEX(_imp!$E$4:$E$4503,_imp!$C$367))</f>
        <v/>
      </c>
      <c r="C365" s="54">
        <f>IF(_imp!$C$367="","",INDEX(_imp!$F$4:$F$4503,_imp!$C$367))</f>
        <v/>
      </c>
      <c r="D365" s="54">
        <f>IF(_imp!$C$367="","",INDEX(_imp!$G$4:$G$4503,_imp!$C$367))</f>
        <v/>
      </c>
      <c r="E365" s="54">
        <f>IF(_imp!$C$367="","",INDEX(_imp!$H$4:$H$4503,_imp!$C$367))</f>
        <v/>
      </c>
      <c r="F365" s="54">
        <f>IF(_imp!$C$367="","",INDEX(_imp!$I$4:$I$4503,_imp!$C$367))</f>
        <v/>
      </c>
      <c r="G365" s="54">
        <f>IF(_imp!$C$367="","",INDEX(_imp!$J$4:$J$4503,_imp!$C$367))</f>
        <v/>
      </c>
      <c r="K365" s="54">
        <f>IF(_imp!$C$367="","",INDEX(_imp!$K$4:$K$4503,_imp!$C$367))</f>
        <v/>
      </c>
    </row>
    <row r="366">
      <c r="A366" s="54">
        <f>IF(_imp!$C$368="","",INDEX(_imp!$D$4:$D$4503,_imp!$C$368))</f>
        <v/>
      </c>
      <c r="B366" s="54">
        <f>IF(_imp!$C$368="","",INDEX(_imp!$E$4:$E$4503,_imp!$C$368))</f>
        <v/>
      </c>
      <c r="C366" s="54">
        <f>IF(_imp!$C$368="","",INDEX(_imp!$F$4:$F$4503,_imp!$C$368))</f>
        <v/>
      </c>
      <c r="D366" s="54">
        <f>IF(_imp!$C$368="","",INDEX(_imp!$G$4:$G$4503,_imp!$C$368))</f>
        <v/>
      </c>
      <c r="E366" s="54">
        <f>IF(_imp!$C$368="","",INDEX(_imp!$H$4:$H$4503,_imp!$C$368))</f>
        <v/>
      </c>
      <c r="F366" s="54">
        <f>IF(_imp!$C$368="","",INDEX(_imp!$I$4:$I$4503,_imp!$C$368))</f>
        <v/>
      </c>
      <c r="G366" s="54">
        <f>IF(_imp!$C$368="","",INDEX(_imp!$J$4:$J$4503,_imp!$C$368))</f>
        <v/>
      </c>
      <c r="K366" s="54">
        <f>IF(_imp!$C$368="","",INDEX(_imp!$K$4:$K$4503,_imp!$C$368))</f>
        <v/>
      </c>
    </row>
    <row r="367">
      <c r="A367" s="54">
        <f>IF(_imp!$C$369="","",INDEX(_imp!$D$4:$D$4503,_imp!$C$369))</f>
        <v/>
      </c>
      <c r="B367" s="54">
        <f>IF(_imp!$C$369="","",INDEX(_imp!$E$4:$E$4503,_imp!$C$369))</f>
        <v/>
      </c>
      <c r="C367" s="54">
        <f>IF(_imp!$C$369="","",INDEX(_imp!$F$4:$F$4503,_imp!$C$369))</f>
        <v/>
      </c>
      <c r="D367" s="54">
        <f>IF(_imp!$C$369="","",INDEX(_imp!$G$4:$G$4503,_imp!$C$369))</f>
        <v/>
      </c>
      <c r="E367" s="54">
        <f>IF(_imp!$C$369="","",INDEX(_imp!$H$4:$H$4503,_imp!$C$369))</f>
        <v/>
      </c>
      <c r="F367" s="54">
        <f>IF(_imp!$C$369="","",INDEX(_imp!$I$4:$I$4503,_imp!$C$369))</f>
        <v/>
      </c>
      <c r="G367" s="54">
        <f>IF(_imp!$C$369="","",INDEX(_imp!$J$4:$J$4503,_imp!$C$369))</f>
        <v/>
      </c>
      <c r="K367" s="54">
        <f>IF(_imp!$C$369="","",INDEX(_imp!$K$4:$K$4503,_imp!$C$369))</f>
        <v/>
      </c>
    </row>
    <row r="368">
      <c r="A368" s="54">
        <f>IF(_imp!$C$370="","",INDEX(_imp!$D$4:$D$4503,_imp!$C$370))</f>
        <v/>
      </c>
      <c r="B368" s="54">
        <f>IF(_imp!$C$370="","",INDEX(_imp!$E$4:$E$4503,_imp!$C$370))</f>
        <v/>
      </c>
      <c r="C368" s="54">
        <f>IF(_imp!$C$370="","",INDEX(_imp!$F$4:$F$4503,_imp!$C$370))</f>
        <v/>
      </c>
      <c r="D368" s="54">
        <f>IF(_imp!$C$370="","",INDEX(_imp!$G$4:$G$4503,_imp!$C$370))</f>
        <v/>
      </c>
      <c r="E368" s="54">
        <f>IF(_imp!$C$370="","",INDEX(_imp!$H$4:$H$4503,_imp!$C$370))</f>
        <v/>
      </c>
      <c r="F368" s="54">
        <f>IF(_imp!$C$370="","",INDEX(_imp!$I$4:$I$4503,_imp!$C$370))</f>
        <v/>
      </c>
      <c r="G368" s="54">
        <f>IF(_imp!$C$370="","",INDEX(_imp!$J$4:$J$4503,_imp!$C$370))</f>
        <v/>
      </c>
      <c r="K368" s="54">
        <f>IF(_imp!$C$370="","",INDEX(_imp!$K$4:$K$4503,_imp!$C$370))</f>
        <v/>
      </c>
    </row>
    <row r="369">
      <c r="A369" s="54">
        <f>IF(_imp!$C$371="","",INDEX(_imp!$D$4:$D$4503,_imp!$C$371))</f>
        <v/>
      </c>
      <c r="B369" s="54">
        <f>IF(_imp!$C$371="","",INDEX(_imp!$E$4:$E$4503,_imp!$C$371))</f>
        <v/>
      </c>
      <c r="C369" s="54">
        <f>IF(_imp!$C$371="","",INDEX(_imp!$F$4:$F$4503,_imp!$C$371))</f>
        <v/>
      </c>
      <c r="D369" s="54">
        <f>IF(_imp!$C$371="","",INDEX(_imp!$G$4:$G$4503,_imp!$C$371))</f>
        <v/>
      </c>
      <c r="E369" s="54">
        <f>IF(_imp!$C$371="","",INDEX(_imp!$H$4:$H$4503,_imp!$C$371))</f>
        <v/>
      </c>
      <c r="F369" s="54">
        <f>IF(_imp!$C$371="","",INDEX(_imp!$I$4:$I$4503,_imp!$C$371))</f>
        <v/>
      </c>
      <c r="G369" s="54">
        <f>IF(_imp!$C$371="","",INDEX(_imp!$J$4:$J$4503,_imp!$C$371))</f>
        <v/>
      </c>
      <c r="K369" s="54">
        <f>IF(_imp!$C$371="","",INDEX(_imp!$K$4:$K$4503,_imp!$C$371))</f>
        <v/>
      </c>
    </row>
    <row r="370">
      <c r="A370" s="54">
        <f>IF(_imp!$C$372="","",INDEX(_imp!$D$4:$D$4503,_imp!$C$372))</f>
        <v/>
      </c>
      <c r="B370" s="54">
        <f>IF(_imp!$C$372="","",INDEX(_imp!$E$4:$E$4503,_imp!$C$372))</f>
        <v/>
      </c>
      <c r="C370" s="54">
        <f>IF(_imp!$C$372="","",INDEX(_imp!$F$4:$F$4503,_imp!$C$372))</f>
        <v/>
      </c>
      <c r="D370" s="54">
        <f>IF(_imp!$C$372="","",INDEX(_imp!$G$4:$G$4503,_imp!$C$372))</f>
        <v/>
      </c>
      <c r="E370" s="54">
        <f>IF(_imp!$C$372="","",INDEX(_imp!$H$4:$H$4503,_imp!$C$372))</f>
        <v/>
      </c>
      <c r="F370" s="54">
        <f>IF(_imp!$C$372="","",INDEX(_imp!$I$4:$I$4503,_imp!$C$372))</f>
        <v/>
      </c>
      <c r="G370" s="54">
        <f>IF(_imp!$C$372="","",INDEX(_imp!$J$4:$J$4503,_imp!$C$372))</f>
        <v/>
      </c>
      <c r="K370" s="54">
        <f>IF(_imp!$C$372="","",INDEX(_imp!$K$4:$K$4503,_imp!$C$372))</f>
        <v/>
      </c>
    </row>
    <row r="371">
      <c r="A371" s="54">
        <f>IF(_imp!$C$373="","",INDEX(_imp!$D$4:$D$4503,_imp!$C$373))</f>
        <v/>
      </c>
      <c r="B371" s="54">
        <f>IF(_imp!$C$373="","",INDEX(_imp!$E$4:$E$4503,_imp!$C$373))</f>
        <v/>
      </c>
      <c r="C371" s="54">
        <f>IF(_imp!$C$373="","",INDEX(_imp!$F$4:$F$4503,_imp!$C$373))</f>
        <v/>
      </c>
      <c r="D371" s="54">
        <f>IF(_imp!$C$373="","",INDEX(_imp!$G$4:$G$4503,_imp!$C$373))</f>
        <v/>
      </c>
      <c r="E371" s="54">
        <f>IF(_imp!$C$373="","",INDEX(_imp!$H$4:$H$4503,_imp!$C$373))</f>
        <v/>
      </c>
      <c r="F371" s="54">
        <f>IF(_imp!$C$373="","",INDEX(_imp!$I$4:$I$4503,_imp!$C$373))</f>
        <v/>
      </c>
      <c r="G371" s="54">
        <f>IF(_imp!$C$373="","",INDEX(_imp!$J$4:$J$4503,_imp!$C$373))</f>
        <v/>
      </c>
      <c r="K371" s="54">
        <f>IF(_imp!$C$373="","",INDEX(_imp!$K$4:$K$4503,_imp!$C$373))</f>
        <v/>
      </c>
    </row>
    <row r="372">
      <c r="A372" s="54">
        <f>IF(_imp!$C$374="","",INDEX(_imp!$D$4:$D$4503,_imp!$C$374))</f>
        <v/>
      </c>
      <c r="B372" s="54">
        <f>IF(_imp!$C$374="","",INDEX(_imp!$E$4:$E$4503,_imp!$C$374))</f>
        <v/>
      </c>
      <c r="C372" s="54">
        <f>IF(_imp!$C$374="","",INDEX(_imp!$F$4:$F$4503,_imp!$C$374))</f>
        <v/>
      </c>
      <c r="D372" s="54">
        <f>IF(_imp!$C$374="","",INDEX(_imp!$G$4:$G$4503,_imp!$C$374))</f>
        <v/>
      </c>
      <c r="E372" s="54">
        <f>IF(_imp!$C$374="","",INDEX(_imp!$H$4:$H$4503,_imp!$C$374))</f>
        <v/>
      </c>
      <c r="F372" s="54">
        <f>IF(_imp!$C$374="","",INDEX(_imp!$I$4:$I$4503,_imp!$C$374))</f>
        <v/>
      </c>
      <c r="G372" s="54">
        <f>IF(_imp!$C$374="","",INDEX(_imp!$J$4:$J$4503,_imp!$C$374))</f>
        <v/>
      </c>
      <c r="K372" s="54">
        <f>IF(_imp!$C$374="","",INDEX(_imp!$K$4:$K$4503,_imp!$C$374))</f>
        <v/>
      </c>
    </row>
    <row r="373">
      <c r="A373" s="54">
        <f>IF(_imp!$C$375="","",INDEX(_imp!$D$4:$D$4503,_imp!$C$375))</f>
        <v/>
      </c>
      <c r="B373" s="54">
        <f>IF(_imp!$C$375="","",INDEX(_imp!$E$4:$E$4503,_imp!$C$375))</f>
        <v/>
      </c>
      <c r="C373" s="54">
        <f>IF(_imp!$C$375="","",INDEX(_imp!$F$4:$F$4503,_imp!$C$375))</f>
        <v/>
      </c>
      <c r="D373" s="54">
        <f>IF(_imp!$C$375="","",INDEX(_imp!$G$4:$G$4503,_imp!$C$375))</f>
        <v/>
      </c>
      <c r="E373" s="54">
        <f>IF(_imp!$C$375="","",INDEX(_imp!$H$4:$H$4503,_imp!$C$375))</f>
        <v/>
      </c>
      <c r="F373" s="54">
        <f>IF(_imp!$C$375="","",INDEX(_imp!$I$4:$I$4503,_imp!$C$375))</f>
        <v/>
      </c>
      <c r="G373" s="54">
        <f>IF(_imp!$C$375="","",INDEX(_imp!$J$4:$J$4503,_imp!$C$375))</f>
        <v/>
      </c>
      <c r="K373" s="54">
        <f>IF(_imp!$C$375="","",INDEX(_imp!$K$4:$K$4503,_imp!$C$375))</f>
        <v/>
      </c>
    </row>
    <row r="374">
      <c r="A374" s="54">
        <f>IF(_imp!$C$376="","",INDEX(_imp!$D$4:$D$4503,_imp!$C$376))</f>
        <v/>
      </c>
      <c r="B374" s="54">
        <f>IF(_imp!$C$376="","",INDEX(_imp!$E$4:$E$4503,_imp!$C$376))</f>
        <v/>
      </c>
      <c r="C374" s="54">
        <f>IF(_imp!$C$376="","",INDEX(_imp!$F$4:$F$4503,_imp!$C$376))</f>
        <v/>
      </c>
      <c r="D374" s="54">
        <f>IF(_imp!$C$376="","",INDEX(_imp!$G$4:$G$4503,_imp!$C$376))</f>
        <v/>
      </c>
      <c r="E374" s="54">
        <f>IF(_imp!$C$376="","",INDEX(_imp!$H$4:$H$4503,_imp!$C$376))</f>
        <v/>
      </c>
      <c r="F374" s="54">
        <f>IF(_imp!$C$376="","",INDEX(_imp!$I$4:$I$4503,_imp!$C$376))</f>
        <v/>
      </c>
      <c r="G374" s="54">
        <f>IF(_imp!$C$376="","",INDEX(_imp!$J$4:$J$4503,_imp!$C$376))</f>
        <v/>
      </c>
      <c r="K374" s="54">
        <f>IF(_imp!$C$376="","",INDEX(_imp!$K$4:$K$4503,_imp!$C$376))</f>
        <v/>
      </c>
    </row>
    <row r="375">
      <c r="A375" s="54">
        <f>IF(_imp!$C$377="","",INDEX(_imp!$D$4:$D$4503,_imp!$C$377))</f>
        <v/>
      </c>
      <c r="B375" s="54">
        <f>IF(_imp!$C$377="","",INDEX(_imp!$E$4:$E$4503,_imp!$C$377))</f>
        <v/>
      </c>
      <c r="C375" s="54">
        <f>IF(_imp!$C$377="","",INDEX(_imp!$F$4:$F$4503,_imp!$C$377))</f>
        <v/>
      </c>
      <c r="D375" s="54">
        <f>IF(_imp!$C$377="","",INDEX(_imp!$G$4:$G$4503,_imp!$C$377))</f>
        <v/>
      </c>
      <c r="E375" s="54">
        <f>IF(_imp!$C$377="","",INDEX(_imp!$H$4:$H$4503,_imp!$C$377))</f>
        <v/>
      </c>
      <c r="F375" s="54">
        <f>IF(_imp!$C$377="","",INDEX(_imp!$I$4:$I$4503,_imp!$C$377))</f>
        <v/>
      </c>
      <c r="G375" s="54">
        <f>IF(_imp!$C$377="","",INDEX(_imp!$J$4:$J$4503,_imp!$C$377))</f>
        <v/>
      </c>
      <c r="K375" s="54">
        <f>IF(_imp!$C$377="","",INDEX(_imp!$K$4:$K$4503,_imp!$C$377))</f>
        <v/>
      </c>
    </row>
    <row r="376">
      <c r="A376" s="54">
        <f>IF(_imp!$C$378="","",INDEX(_imp!$D$4:$D$4503,_imp!$C$378))</f>
        <v/>
      </c>
      <c r="B376" s="54">
        <f>IF(_imp!$C$378="","",INDEX(_imp!$E$4:$E$4503,_imp!$C$378))</f>
        <v/>
      </c>
      <c r="C376" s="54">
        <f>IF(_imp!$C$378="","",INDEX(_imp!$F$4:$F$4503,_imp!$C$378))</f>
        <v/>
      </c>
      <c r="D376" s="54">
        <f>IF(_imp!$C$378="","",INDEX(_imp!$G$4:$G$4503,_imp!$C$378))</f>
        <v/>
      </c>
      <c r="E376" s="54">
        <f>IF(_imp!$C$378="","",INDEX(_imp!$H$4:$H$4503,_imp!$C$378))</f>
        <v/>
      </c>
      <c r="F376" s="54">
        <f>IF(_imp!$C$378="","",INDEX(_imp!$I$4:$I$4503,_imp!$C$378))</f>
        <v/>
      </c>
      <c r="G376" s="54">
        <f>IF(_imp!$C$378="","",INDEX(_imp!$J$4:$J$4503,_imp!$C$378))</f>
        <v/>
      </c>
      <c r="K376" s="54">
        <f>IF(_imp!$C$378="","",INDEX(_imp!$K$4:$K$4503,_imp!$C$378))</f>
        <v/>
      </c>
    </row>
    <row r="377">
      <c r="A377" s="54">
        <f>IF(_imp!$C$379="","",INDEX(_imp!$D$4:$D$4503,_imp!$C$379))</f>
        <v/>
      </c>
      <c r="B377" s="54">
        <f>IF(_imp!$C$379="","",INDEX(_imp!$E$4:$E$4503,_imp!$C$379))</f>
        <v/>
      </c>
      <c r="C377" s="54">
        <f>IF(_imp!$C$379="","",INDEX(_imp!$F$4:$F$4503,_imp!$C$379))</f>
        <v/>
      </c>
      <c r="D377" s="54">
        <f>IF(_imp!$C$379="","",INDEX(_imp!$G$4:$G$4503,_imp!$C$379))</f>
        <v/>
      </c>
      <c r="E377" s="54">
        <f>IF(_imp!$C$379="","",INDEX(_imp!$H$4:$H$4503,_imp!$C$379))</f>
        <v/>
      </c>
      <c r="F377" s="54">
        <f>IF(_imp!$C$379="","",INDEX(_imp!$I$4:$I$4503,_imp!$C$379))</f>
        <v/>
      </c>
      <c r="G377" s="54">
        <f>IF(_imp!$C$379="","",INDEX(_imp!$J$4:$J$4503,_imp!$C$379))</f>
        <v/>
      </c>
      <c r="K377" s="54">
        <f>IF(_imp!$C$379="","",INDEX(_imp!$K$4:$K$4503,_imp!$C$379))</f>
        <v/>
      </c>
    </row>
    <row r="378">
      <c r="A378" s="54">
        <f>IF(_imp!$C$380="","",INDEX(_imp!$D$4:$D$4503,_imp!$C$380))</f>
        <v/>
      </c>
      <c r="B378" s="54">
        <f>IF(_imp!$C$380="","",INDEX(_imp!$E$4:$E$4503,_imp!$C$380))</f>
        <v/>
      </c>
      <c r="C378" s="54">
        <f>IF(_imp!$C$380="","",INDEX(_imp!$F$4:$F$4503,_imp!$C$380))</f>
        <v/>
      </c>
      <c r="D378" s="54">
        <f>IF(_imp!$C$380="","",INDEX(_imp!$G$4:$G$4503,_imp!$C$380))</f>
        <v/>
      </c>
      <c r="E378" s="54">
        <f>IF(_imp!$C$380="","",INDEX(_imp!$H$4:$H$4503,_imp!$C$380))</f>
        <v/>
      </c>
      <c r="F378" s="54">
        <f>IF(_imp!$C$380="","",INDEX(_imp!$I$4:$I$4503,_imp!$C$380))</f>
        <v/>
      </c>
      <c r="G378" s="54">
        <f>IF(_imp!$C$380="","",INDEX(_imp!$J$4:$J$4503,_imp!$C$380))</f>
        <v/>
      </c>
      <c r="K378" s="54">
        <f>IF(_imp!$C$380="","",INDEX(_imp!$K$4:$K$4503,_imp!$C$380))</f>
        <v/>
      </c>
    </row>
    <row r="379">
      <c r="A379" s="54">
        <f>IF(_imp!$C$381="","",INDEX(_imp!$D$4:$D$4503,_imp!$C$381))</f>
        <v/>
      </c>
      <c r="B379" s="54">
        <f>IF(_imp!$C$381="","",INDEX(_imp!$E$4:$E$4503,_imp!$C$381))</f>
        <v/>
      </c>
      <c r="C379" s="54">
        <f>IF(_imp!$C$381="","",INDEX(_imp!$F$4:$F$4503,_imp!$C$381))</f>
        <v/>
      </c>
      <c r="D379" s="54">
        <f>IF(_imp!$C$381="","",INDEX(_imp!$G$4:$G$4503,_imp!$C$381))</f>
        <v/>
      </c>
      <c r="E379" s="54">
        <f>IF(_imp!$C$381="","",INDEX(_imp!$H$4:$H$4503,_imp!$C$381))</f>
        <v/>
      </c>
      <c r="F379" s="54">
        <f>IF(_imp!$C$381="","",INDEX(_imp!$I$4:$I$4503,_imp!$C$381))</f>
        <v/>
      </c>
      <c r="G379" s="54">
        <f>IF(_imp!$C$381="","",INDEX(_imp!$J$4:$J$4503,_imp!$C$381))</f>
        <v/>
      </c>
      <c r="K379" s="54">
        <f>IF(_imp!$C$381="","",INDEX(_imp!$K$4:$K$4503,_imp!$C$381))</f>
        <v/>
      </c>
    </row>
    <row r="380">
      <c r="A380" s="54">
        <f>IF(_imp!$C$382="","",INDEX(_imp!$D$4:$D$4503,_imp!$C$382))</f>
        <v/>
      </c>
      <c r="B380" s="54">
        <f>IF(_imp!$C$382="","",INDEX(_imp!$E$4:$E$4503,_imp!$C$382))</f>
        <v/>
      </c>
      <c r="C380" s="54">
        <f>IF(_imp!$C$382="","",INDEX(_imp!$F$4:$F$4503,_imp!$C$382))</f>
        <v/>
      </c>
      <c r="D380" s="54">
        <f>IF(_imp!$C$382="","",INDEX(_imp!$G$4:$G$4503,_imp!$C$382))</f>
        <v/>
      </c>
      <c r="E380" s="54">
        <f>IF(_imp!$C$382="","",INDEX(_imp!$H$4:$H$4503,_imp!$C$382))</f>
        <v/>
      </c>
      <c r="F380" s="54">
        <f>IF(_imp!$C$382="","",INDEX(_imp!$I$4:$I$4503,_imp!$C$382))</f>
        <v/>
      </c>
      <c r="G380" s="54">
        <f>IF(_imp!$C$382="","",INDEX(_imp!$J$4:$J$4503,_imp!$C$382))</f>
        <v/>
      </c>
      <c r="K380" s="54">
        <f>IF(_imp!$C$382="","",INDEX(_imp!$K$4:$K$4503,_imp!$C$382))</f>
        <v/>
      </c>
    </row>
    <row r="381">
      <c r="A381" s="54">
        <f>IF(_imp!$C$383="","",INDEX(_imp!$D$4:$D$4503,_imp!$C$383))</f>
        <v/>
      </c>
      <c r="B381" s="54">
        <f>IF(_imp!$C$383="","",INDEX(_imp!$E$4:$E$4503,_imp!$C$383))</f>
        <v/>
      </c>
      <c r="C381" s="54">
        <f>IF(_imp!$C$383="","",INDEX(_imp!$F$4:$F$4503,_imp!$C$383))</f>
        <v/>
      </c>
      <c r="D381" s="54">
        <f>IF(_imp!$C$383="","",INDEX(_imp!$G$4:$G$4503,_imp!$C$383))</f>
        <v/>
      </c>
      <c r="E381" s="54">
        <f>IF(_imp!$C$383="","",INDEX(_imp!$H$4:$H$4503,_imp!$C$383))</f>
        <v/>
      </c>
      <c r="F381" s="54">
        <f>IF(_imp!$C$383="","",INDEX(_imp!$I$4:$I$4503,_imp!$C$383))</f>
        <v/>
      </c>
      <c r="G381" s="54">
        <f>IF(_imp!$C$383="","",INDEX(_imp!$J$4:$J$4503,_imp!$C$383))</f>
        <v/>
      </c>
      <c r="K381" s="54">
        <f>IF(_imp!$C$383="","",INDEX(_imp!$K$4:$K$4503,_imp!$C$383))</f>
        <v/>
      </c>
    </row>
    <row r="382">
      <c r="A382" s="54">
        <f>IF(_imp!$C$384="","",INDEX(_imp!$D$4:$D$4503,_imp!$C$384))</f>
        <v/>
      </c>
      <c r="B382" s="54">
        <f>IF(_imp!$C$384="","",INDEX(_imp!$E$4:$E$4503,_imp!$C$384))</f>
        <v/>
      </c>
      <c r="C382" s="54">
        <f>IF(_imp!$C$384="","",INDEX(_imp!$F$4:$F$4503,_imp!$C$384))</f>
        <v/>
      </c>
      <c r="D382" s="54">
        <f>IF(_imp!$C$384="","",INDEX(_imp!$G$4:$G$4503,_imp!$C$384))</f>
        <v/>
      </c>
      <c r="E382" s="54">
        <f>IF(_imp!$C$384="","",INDEX(_imp!$H$4:$H$4503,_imp!$C$384))</f>
        <v/>
      </c>
      <c r="F382" s="54">
        <f>IF(_imp!$C$384="","",INDEX(_imp!$I$4:$I$4503,_imp!$C$384))</f>
        <v/>
      </c>
      <c r="G382" s="54">
        <f>IF(_imp!$C$384="","",INDEX(_imp!$J$4:$J$4503,_imp!$C$384))</f>
        <v/>
      </c>
      <c r="K382" s="54">
        <f>IF(_imp!$C$384="","",INDEX(_imp!$K$4:$K$4503,_imp!$C$384))</f>
        <v/>
      </c>
    </row>
    <row r="383">
      <c r="A383" s="54">
        <f>IF(_imp!$C$385="","",INDEX(_imp!$D$4:$D$4503,_imp!$C$385))</f>
        <v/>
      </c>
      <c r="B383" s="54">
        <f>IF(_imp!$C$385="","",INDEX(_imp!$E$4:$E$4503,_imp!$C$385))</f>
        <v/>
      </c>
      <c r="C383" s="54">
        <f>IF(_imp!$C$385="","",INDEX(_imp!$F$4:$F$4503,_imp!$C$385))</f>
        <v/>
      </c>
      <c r="D383" s="54">
        <f>IF(_imp!$C$385="","",INDEX(_imp!$G$4:$G$4503,_imp!$C$385))</f>
        <v/>
      </c>
      <c r="E383" s="54">
        <f>IF(_imp!$C$385="","",INDEX(_imp!$H$4:$H$4503,_imp!$C$385))</f>
        <v/>
      </c>
      <c r="F383" s="54">
        <f>IF(_imp!$C$385="","",INDEX(_imp!$I$4:$I$4503,_imp!$C$385))</f>
        <v/>
      </c>
      <c r="G383" s="54">
        <f>IF(_imp!$C$385="","",INDEX(_imp!$J$4:$J$4503,_imp!$C$385))</f>
        <v/>
      </c>
      <c r="K383" s="54">
        <f>IF(_imp!$C$385="","",INDEX(_imp!$K$4:$K$4503,_imp!$C$385))</f>
        <v/>
      </c>
    </row>
    <row r="384">
      <c r="A384" s="54">
        <f>IF(_imp!$C$386="","",INDEX(_imp!$D$4:$D$4503,_imp!$C$386))</f>
        <v/>
      </c>
      <c r="B384" s="54">
        <f>IF(_imp!$C$386="","",INDEX(_imp!$E$4:$E$4503,_imp!$C$386))</f>
        <v/>
      </c>
      <c r="C384" s="54">
        <f>IF(_imp!$C$386="","",INDEX(_imp!$F$4:$F$4503,_imp!$C$386))</f>
        <v/>
      </c>
      <c r="D384" s="54">
        <f>IF(_imp!$C$386="","",INDEX(_imp!$G$4:$G$4503,_imp!$C$386))</f>
        <v/>
      </c>
      <c r="E384" s="54">
        <f>IF(_imp!$C$386="","",INDEX(_imp!$H$4:$H$4503,_imp!$C$386))</f>
        <v/>
      </c>
      <c r="F384" s="54">
        <f>IF(_imp!$C$386="","",INDEX(_imp!$I$4:$I$4503,_imp!$C$386))</f>
        <v/>
      </c>
      <c r="G384" s="54">
        <f>IF(_imp!$C$386="","",INDEX(_imp!$J$4:$J$4503,_imp!$C$386))</f>
        <v/>
      </c>
      <c r="K384" s="54">
        <f>IF(_imp!$C$386="","",INDEX(_imp!$K$4:$K$4503,_imp!$C$386))</f>
        <v/>
      </c>
    </row>
    <row r="385">
      <c r="A385" s="54">
        <f>IF(_imp!$C$387="","",INDEX(_imp!$D$4:$D$4503,_imp!$C$387))</f>
        <v/>
      </c>
      <c r="B385" s="54">
        <f>IF(_imp!$C$387="","",INDEX(_imp!$E$4:$E$4503,_imp!$C$387))</f>
        <v/>
      </c>
      <c r="C385" s="54">
        <f>IF(_imp!$C$387="","",INDEX(_imp!$F$4:$F$4503,_imp!$C$387))</f>
        <v/>
      </c>
      <c r="D385" s="54">
        <f>IF(_imp!$C$387="","",INDEX(_imp!$G$4:$G$4503,_imp!$C$387))</f>
        <v/>
      </c>
      <c r="E385" s="54">
        <f>IF(_imp!$C$387="","",INDEX(_imp!$H$4:$H$4503,_imp!$C$387))</f>
        <v/>
      </c>
      <c r="F385" s="54">
        <f>IF(_imp!$C$387="","",INDEX(_imp!$I$4:$I$4503,_imp!$C$387))</f>
        <v/>
      </c>
      <c r="G385" s="54">
        <f>IF(_imp!$C$387="","",INDEX(_imp!$J$4:$J$4503,_imp!$C$387))</f>
        <v/>
      </c>
      <c r="K385" s="54">
        <f>IF(_imp!$C$387="","",INDEX(_imp!$K$4:$K$4503,_imp!$C$387))</f>
        <v/>
      </c>
    </row>
    <row r="386">
      <c r="A386" s="54">
        <f>IF(_imp!$C$388="","",INDEX(_imp!$D$4:$D$4503,_imp!$C$388))</f>
        <v/>
      </c>
      <c r="B386" s="54">
        <f>IF(_imp!$C$388="","",INDEX(_imp!$E$4:$E$4503,_imp!$C$388))</f>
        <v/>
      </c>
      <c r="C386" s="54">
        <f>IF(_imp!$C$388="","",INDEX(_imp!$F$4:$F$4503,_imp!$C$388))</f>
        <v/>
      </c>
      <c r="D386" s="54">
        <f>IF(_imp!$C$388="","",INDEX(_imp!$G$4:$G$4503,_imp!$C$388))</f>
        <v/>
      </c>
      <c r="E386" s="54">
        <f>IF(_imp!$C$388="","",INDEX(_imp!$H$4:$H$4503,_imp!$C$388))</f>
        <v/>
      </c>
      <c r="F386" s="54">
        <f>IF(_imp!$C$388="","",INDEX(_imp!$I$4:$I$4503,_imp!$C$388))</f>
        <v/>
      </c>
      <c r="G386" s="54">
        <f>IF(_imp!$C$388="","",INDEX(_imp!$J$4:$J$4503,_imp!$C$388))</f>
        <v/>
      </c>
      <c r="K386" s="54">
        <f>IF(_imp!$C$388="","",INDEX(_imp!$K$4:$K$4503,_imp!$C$388))</f>
        <v/>
      </c>
    </row>
    <row r="387">
      <c r="A387" s="54">
        <f>IF(_imp!$C$389="","",INDEX(_imp!$D$4:$D$4503,_imp!$C$389))</f>
        <v/>
      </c>
      <c r="B387" s="54">
        <f>IF(_imp!$C$389="","",INDEX(_imp!$E$4:$E$4503,_imp!$C$389))</f>
        <v/>
      </c>
      <c r="C387" s="54">
        <f>IF(_imp!$C$389="","",INDEX(_imp!$F$4:$F$4503,_imp!$C$389))</f>
        <v/>
      </c>
      <c r="D387" s="54">
        <f>IF(_imp!$C$389="","",INDEX(_imp!$G$4:$G$4503,_imp!$C$389))</f>
        <v/>
      </c>
      <c r="E387" s="54">
        <f>IF(_imp!$C$389="","",INDEX(_imp!$H$4:$H$4503,_imp!$C$389))</f>
        <v/>
      </c>
      <c r="F387" s="54">
        <f>IF(_imp!$C$389="","",INDEX(_imp!$I$4:$I$4503,_imp!$C$389))</f>
        <v/>
      </c>
      <c r="G387" s="54">
        <f>IF(_imp!$C$389="","",INDEX(_imp!$J$4:$J$4503,_imp!$C$389))</f>
        <v/>
      </c>
      <c r="K387" s="54">
        <f>IF(_imp!$C$389="","",INDEX(_imp!$K$4:$K$4503,_imp!$C$389))</f>
        <v/>
      </c>
    </row>
    <row r="388">
      <c r="A388" s="54">
        <f>IF(_imp!$C$390="","",INDEX(_imp!$D$4:$D$4503,_imp!$C$390))</f>
        <v/>
      </c>
      <c r="B388" s="54">
        <f>IF(_imp!$C$390="","",INDEX(_imp!$E$4:$E$4503,_imp!$C$390))</f>
        <v/>
      </c>
      <c r="C388" s="54">
        <f>IF(_imp!$C$390="","",INDEX(_imp!$F$4:$F$4503,_imp!$C$390))</f>
        <v/>
      </c>
      <c r="D388" s="54">
        <f>IF(_imp!$C$390="","",INDEX(_imp!$G$4:$G$4503,_imp!$C$390))</f>
        <v/>
      </c>
      <c r="E388" s="54">
        <f>IF(_imp!$C$390="","",INDEX(_imp!$H$4:$H$4503,_imp!$C$390))</f>
        <v/>
      </c>
      <c r="F388" s="54">
        <f>IF(_imp!$C$390="","",INDEX(_imp!$I$4:$I$4503,_imp!$C$390))</f>
        <v/>
      </c>
      <c r="G388" s="54">
        <f>IF(_imp!$C$390="","",INDEX(_imp!$J$4:$J$4503,_imp!$C$390))</f>
        <v/>
      </c>
      <c r="K388" s="54">
        <f>IF(_imp!$C$390="","",INDEX(_imp!$K$4:$K$4503,_imp!$C$390))</f>
        <v/>
      </c>
    </row>
    <row r="389">
      <c r="A389" s="54">
        <f>IF(_imp!$C$391="","",INDEX(_imp!$D$4:$D$4503,_imp!$C$391))</f>
        <v/>
      </c>
      <c r="B389" s="54">
        <f>IF(_imp!$C$391="","",INDEX(_imp!$E$4:$E$4503,_imp!$C$391))</f>
        <v/>
      </c>
      <c r="C389" s="54">
        <f>IF(_imp!$C$391="","",INDEX(_imp!$F$4:$F$4503,_imp!$C$391))</f>
        <v/>
      </c>
      <c r="D389" s="54">
        <f>IF(_imp!$C$391="","",INDEX(_imp!$G$4:$G$4503,_imp!$C$391))</f>
        <v/>
      </c>
      <c r="E389" s="54">
        <f>IF(_imp!$C$391="","",INDEX(_imp!$H$4:$H$4503,_imp!$C$391))</f>
        <v/>
      </c>
      <c r="F389" s="54">
        <f>IF(_imp!$C$391="","",INDEX(_imp!$I$4:$I$4503,_imp!$C$391))</f>
        <v/>
      </c>
      <c r="G389" s="54">
        <f>IF(_imp!$C$391="","",INDEX(_imp!$J$4:$J$4503,_imp!$C$391))</f>
        <v/>
      </c>
      <c r="K389" s="54">
        <f>IF(_imp!$C$391="","",INDEX(_imp!$K$4:$K$4503,_imp!$C$391))</f>
        <v/>
      </c>
    </row>
    <row r="390">
      <c r="A390" s="54">
        <f>IF(_imp!$C$392="","",INDEX(_imp!$D$4:$D$4503,_imp!$C$392))</f>
        <v/>
      </c>
      <c r="B390" s="54">
        <f>IF(_imp!$C$392="","",INDEX(_imp!$E$4:$E$4503,_imp!$C$392))</f>
        <v/>
      </c>
      <c r="C390" s="54">
        <f>IF(_imp!$C$392="","",INDEX(_imp!$F$4:$F$4503,_imp!$C$392))</f>
        <v/>
      </c>
      <c r="D390" s="54">
        <f>IF(_imp!$C$392="","",INDEX(_imp!$G$4:$G$4503,_imp!$C$392))</f>
        <v/>
      </c>
      <c r="E390" s="54">
        <f>IF(_imp!$C$392="","",INDEX(_imp!$H$4:$H$4503,_imp!$C$392))</f>
        <v/>
      </c>
      <c r="F390" s="54">
        <f>IF(_imp!$C$392="","",INDEX(_imp!$I$4:$I$4503,_imp!$C$392))</f>
        <v/>
      </c>
      <c r="G390" s="54">
        <f>IF(_imp!$C$392="","",INDEX(_imp!$J$4:$J$4503,_imp!$C$392))</f>
        <v/>
      </c>
      <c r="K390" s="54">
        <f>IF(_imp!$C$392="","",INDEX(_imp!$K$4:$K$4503,_imp!$C$392))</f>
        <v/>
      </c>
    </row>
    <row r="391">
      <c r="A391" s="54">
        <f>IF(_imp!$C$393="","",INDEX(_imp!$D$4:$D$4503,_imp!$C$393))</f>
        <v/>
      </c>
      <c r="B391" s="54">
        <f>IF(_imp!$C$393="","",INDEX(_imp!$E$4:$E$4503,_imp!$C$393))</f>
        <v/>
      </c>
      <c r="C391" s="54">
        <f>IF(_imp!$C$393="","",INDEX(_imp!$F$4:$F$4503,_imp!$C$393))</f>
        <v/>
      </c>
      <c r="D391" s="54">
        <f>IF(_imp!$C$393="","",INDEX(_imp!$G$4:$G$4503,_imp!$C$393))</f>
        <v/>
      </c>
      <c r="E391" s="54">
        <f>IF(_imp!$C$393="","",INDEX(_imp!$H$4:$H$4503,_imp!$C$393))</f>
        <v/>
      </c>
      <c r="F391" s="54">
        <f>IF(_imp!$C$393="","",INDEX(_imp!$I$4:$I$4503,_imp!$C$393))</f>
        <v/>
      </c>
      <c r="G391" s="54">
        <f>IF(_imp!$C$393="","",INDEX(_imp!$J$4:$J$4503,_imp!$C$393))</f>
        <v/>
      </c>
      <c r="K391" s="54">
        <f>IF(_imp!$C$393="","",INDEX(_imp!$K$4:$K$4503,_imp!$C$393))</f>
        <v/>
      </c>
    </row>
    <row r="392">
      <c r="A392" s="54">
        <f>IF(_imp!$C$394="","",INDEX(_imp!$D$4:$D$4503,_imp!$C$394))</f>
        <v/>
      </c>
      <c r="B392" s="54">
        <f>IF(_imp!$C$394="","",INDEX(_imp!$E$4:$E$4503,_imp!$C$394))</f>
        <v/>
      </c>
      <c r="C392" s="54">
        <f>IF(_imp!$C$394="","",INDEX(_imp!$F$4:$F$4503,_imp!$C$394))</f>
        <v/>
      </c>
      <c r="D392" s="54">
        <f>IF(_imp!$C$394="","",INDEX(_imp!$G$4:$G$4503,_imp!$C$394))</f>
        <v/>
      </c>
      <c r="E392" s="54">
        <f>IF(_imp!$C$394="","",INDEX(_imp!$H$4:$H$4503,_imp!$C$394))</f>
        <v/>
      </c>
      <c r="F392" s="54">
        <f>IF(_imp!$C$394="","",INDEX(_imp!$I$4:$I$4503,_imp!$C$394))</f>
        <v/>
      </c>
      <c r="G392" s="54">
        <f>IF(_imp!$C$394="","",INDEX(_imp!$J$4:$J$4503,_imp!$C$394))</f>
        <v/>
      </c>
      <c r="K392" s="54">
        <f>IF(_imp!$C$394="","",INDEX(_imp!$K$4:$K$4503,_imp!$C$394))</f>
        <v/>
      </c>
    </row>
    <row r="393">
      <c r="A393" s="54">
        <f>IF(_imp!$C$395="","",INDEX(_imp!$D$4:$D$4503,_imp!$C$395))</f>
        <v/>
      </c>
      <c r="B393" s="54">
        <f>IF(_imp!$C$395="","",INDEX(_imp!$E$4:$E$4503,_imp!$C$395))</f>
        <v/>
      </c>
      <c r="C393" s="54">
        <f>IF(_imp!$C$395="","",INDEX(_imp!$F$4:$F$4503,_imp!$C$395))</f>
        <v/>
      </c>
      <c r="D393" s="54">
        <f>IF(_imp!$C$395="","",INDEX(_imp!$G$4:$G$4503,_imp!$C$395))</f>
        <v/>
      </c>
      <c r="E393" s="54">
        <f>IF(_imp!$C$395="","",INDEX(_imp!$H$4:$H$4503,_imp!$C$395))</f>
        <v/>
      </c>
      <c r="F393" s="54">
        <f>IF(_imp!$C$395="","",INDEX(_imp!$I$4:$I$4503,_imp!$C$395))</f>
        <v/>
      </c>
      <c r="G393" s="54">
        <f>IF(_imp!$C$395="","",INDEX(_imp!$J$4:$J$4503,_imp!$C$395))</f>
        <v/>
      </c>
      <c r="K393" s="54">
        <f>IF(_imp!$C$395="","",INDEX(_imp!$K$4:$K$4503,_imp!$C$395))</f>
        <v/>
      </c>
    </row>
    <row r="394">
      <c r="A394" s="54">
        <f>IF(_imp!$C$396="","",INDEX(_imp!$D$4:$D$4503,_imp!$C$396))</f>
        <v/>
      </c>
      <c r="B394" s="54">
        <f>IF(_imp!$C$396="","",INDEX(_imp!$E$4:$E$4503,_imp!$C$396))</f>
        <v/>
      </c>
      <c r="C394" s="54">
        <f>IF(_imp!$C$396="","",INDEX(_imp!$F$4:$F$4503,_imp!$C$396))</f>
        <v/>
      </c>
      <c r="D394" s="54">
        <f>IF(_imp!$C$396="","",INDEX(_imp!$G$4:$G$4503,_imp!$C$396))</f>
        <v/>
      </c>
      <c r="E394" s="54">
        <f>IF(_imp!$C$396="","",INDEX(_imp!$H$4:$H$4503,_imp!$C$396))</f>
        <v/>
      </c>
      <c r="F394" s="54">
        <f>IF(_imp!$C$396="","",INDEX(_imp!$I$4:$I$4503,_imp!$C$396))</f>
        <v/>
      </c>
      <c r="G394" s="54">
        <f>IF(_imp!$C$396="","",INDEX(_imp!$J$4:$J$4503,_imp!$C$396))</f>
        <v/>
      </c>
      <c r="K394" s="54">
        <f>IF(_imp!$C$396="","",INDEX(_imp!$K$4:$K$4503,_imp!$C$396))</f>
        <v/>
      </c>
    </row>
    <row r="395">
      <c r="A395" s="54">
        <f>IF(_imp!$C$397="","",INDEX(_imp!$D$4:$D$4503,_imp!$C$397))</f>
        <v/>
      </c>
      <c r="B395" s="54">
        <f>IF(_imp!$C$397="","",INDEX(_imp!$E$4:$E$4503,_imp!$C$397))</f>
        <v/>
      </c>
      <c r="C395" s="54">
        <f>IF(_imp!$C$397="","",INDEX(_imp!$F$4:$F$4503,_imp!$C$397))</f>
        <v/>
      </c>
      <c r="D395" s="54">
        <f>IF(_imp!$C$397="","",INDEX(_imp!$G$4:$G$4503,_imp!$C$397))</f>
        <v/>
      </c>
      <c r="E395" s="54">
        <f>IF(_imp!$C$397="","",INDEX(_imp!$H$4:$H$4503,_imp!$C$397))</f>
        <v/>
      </c>
      <c r="F395" s="54">
        <f>IF(_imp!$C$397="","",INDEX(_imp!$I$4:$I$4503,_imp!$C$397))</f>
        <v/>
      </c>
      <c r="G395" s="54">
        <f>IF(_imp!$C$397="","",INDEX(_imp!$J$4:$J$4503,_imp!$C$397))</f>
        <v/>
      </c>
      <c r="K395" s="54">
        <f>IF(_imp!$C$397="","",INDEX(_imp!$K$4:$K$4503,_imp!$C$397))</f>
        <v/>
      </c>
    </row>
    <row r="396">
      <c r="A396" s="54">
        <f>IF(_imp!$C$398="","",INDEX(_imp!$D$4:$D$4503,_imp!$C$398))</f>
        <v/>
      </c>
      <c r="B396" s="54">
        <f>IF(_imp!$C$398="","",INDEX(_imp!$E$4:$E$4503,_imp!$C$398))</f>
        <v/>
      </c>
      <c r="C396" s="54">
        <f>IF(_imp!$C$398="","",INDEX(_imp!$F$4:$F$4503,_imp!$C$398))</f>
        <v/>
      </c>
      <c r="D396" s="54">
        <f>IF(_imp!$C$398="","",INDEX(_imp!$G$4:$G$4503,_imp!$C$398))</f>
        <v/>
      </c>
      <c r="E396" s="54">
        <f>IF(_imp!$C$398="","",INDEX(_imp!$H$4:$H$4503,_imp!$C$398))</f>
        <v/>
      </c>
      <c r="F396" s="54">
        <f>IF(_imp!$C$398="","",INDEX(_imp!$I$4:$I$4503,_imp!$C$398))</f>
        <v/>
      </c>
      <c r="G396" s="54">
        <f>IF(_imp!$C$398="","",INDEX(_imp!$J$4:$J$4503,_imp!$C$398))</f>
        <v/>
      </c>
      <c r="K396" s="54">
        <f>IF(_imp!$C$398="","",INDEX(_imp!$K$4:$K$4503,_imp!$C$398))</f>
        <v/>
      </c>
    </row>
    <row r="397">
      <c r="A397" s="54">
        <f>IF(_imp!$C$399="","",INDEX(_imp!$D$4:$D$4503,_imp!$C$399))</f>
        <v/>
      </c>
      <c r="B397" s="54">
        <f>IF(_imp!$C$399="","",INDEX(_imp!$E$4:$E$4503,_imp!$C$399))</f>
        <v/>
      </c>
      <c r="C397" s="54">
        <f>IF(_imp!$C$399="","",INDEX(_imp!$F$4:$F$4503,_imp!$C$399))</f>
        <v/>
      </c>
      <c r="D397" s="54">
        <f>IF(_imp!$C$399="","",INDEX(_imp!$G$4:$G$4503,_imp!$C$399))</f>
        <v/>
      </c>
      <c r="E397" s="54">
        <f>IF(_imp!$C$399="","",INDEX(_imp!$H$4:$H$4503,_imp!$C$399))</f>
        <v/>
      </c>
      <c r="F397" s="54">
        <f>IF(_imp!$C$399="","",INDEX(_imp!$I$4:$I$4503,_imp!$C$399))</f>
        <v/>
      </c>
      <c r="G397" s="54">
        <f>IF(_imp!$C$399="","",INDEX(_imp!$J$4:$J$4503,_imp!$C$399))</f>
        <v/>
      </c>
      <c r="K397" s="54">
        <f>IF(_imp!$C$399="","",INDEX(_imp!$K$4:$K$4503,_imp!$C$399))</f>
        <v/>
      </c>
    </row>
    <row r="398">
      <c r="A398" s="54">
        <f>IF(_imp!$C$400="","",INDEX(_imp!$D$4:$D$4503,_imp!$C$400))</f>
        <v/>
      </c>
      <c r="B398" s="54">
        <f>IF(_imp!$C$400="","",INDEX(_imp!$E$4:$E$4503,_imp!$C$400))</f>
        <v/>
      </c>
      <c r="C398" s="54">
        <f>IF(_imp!$C$400="","",INDEX(_imp!$F$4:$F$4503,_imp!$C$400))</f>
        <v/>
      </c>
      <c r="D398" s="54">
        <f>IF(_imp!$C$400="","",INDEX(_imp!$G$4:$G$4503,_imp!$C$400))</f>
        <v/>
      </c>
      <c r="E398" s="54">
        <f>IF(_imp!$C$400="","",INDEX(_imp!$H$4:$H$4503,_imp!$C$400))</f>
        <v/>
      </c>
      <c r="F398" s="54">
        <f>IF(_imp!$C$400="","",INDEX(_imp!$I$4:$I$4503,_imp!$C$400))</f>
        <v/>
      </c>
      <c r="G398" s="54">
        <f>IF(_imp!$C$400="","",INDEX(_imp!$J$4:$J$4503,_imp!$C$400))</f>
        <v/>
      </c>
      <c r="K398" s="54">
        <f>IF(_imp!$C$400="","",INDEX(_imp!$K$4:$K$4503,_imp!$C$400))</f>
        <v/>
      </c>
    </row>
    <row r="399">
      <c r="A399" s="54">
        <f>IF(_imp!$C$401="","",INDEX(_imp!$D$4:$D$4503,_imp!$C$401))</f>
        <v/>
      </c>
      <c r="B399" s="54">
        <f>IF(_imp!$C$401="","",INDEX(_imp!$E$4:$E$4503,_imp!$C$401))</f>
        <v/>
      </c>
      <c r="C399" s="54">
        <f>IF(_imp!$C$401="","",INDEX(_imp!$F$4:$F$4503,_imp!$C$401))</f>
        <v/>
      </c>
      <c r="D399" s="54">
        <f>IF(_imp!$C$401="","",INDEX(_imp!$G$4:$G$4503,_imp!$C$401))</f>
        <v/>
      </c>
      <c r="E399" s="54">
        <f>IF(_imp!$C$401="","",INDEX(_imp!$H$4:$H$4503,_imp!$C$401))</f>
        <v/>
      </c>
      <c r="F399" s="54">
        <f>IF(_imp!$C$401="","",INDEX(_imp!$I$4:$I$4503,_imp!$C$401))</f>
        <v/>
      </c>
      <c r="G399" s="54">
        <f>IF(_imp!$C$401="","",INDEX(_imp!$J$4:$J$4503,_imp!$C$401))</f>
        <v/>
      </c>
      <c r="K399" s="54">
        <f>IF(_imp!$C$401="","",INDEX(_imp!$K$4:$K$4503,_imp!$C$401))</f>
        <v/>
      </c>
    </row>
    <row r="400">
      <c r="A400" s="54">
        <f>IF(_imp!$C$402="","",INDEX(_imp!$D$4:$D$4503,_imp!$C$402))</f>
        <v/>
      </c>
      <c r="B400" s="54">
        <f>IF(_imp!$C$402="","",INDEX(_imp!$E$4:$E$4503,_imp!$C$402))</f>
        <v/>
      </c>
      <c r="C400" s="54">
        <f>IF(_imp!$C$402="","",INDEX(_imp!$F$4:$F$4503,_imp!$C$402))</f>
        <v/>
      </c>
      <c r="D400" s="54">
        <f>IF(_imp!$C$402="","",INDEX(_imp!$G$4:$G$4503,_imp!$C$402))</f>
        <v/>
      </c>
      <c r="E400" s="54">
        <f>IF(_imp!$C$402="","",INDEX(_imp!$H$4:$H$4503,_imp!$C$402))</f>
        <v/>
      </c>
      <c r="F400" s="54">
        <f>IF(_imp!$C$402="","",INDEX(_imp!$I$4:$I$4503,_imp!$C$402))</f>
        <v/>
      </c>
      <c r="G400" s="54">
        <f>IF(_imp!$C$402="","",INDEX(_imp!$J$4:$J$4503,_imp!$C$402))</f>
        <v/>
      </c>
      <c r="K400" s="54">
        <f>IF(_imp!$C$402="","",INDEX(_imp!$K$4:$K$4503,_imp!$C$402))</f>
        <v/>
      </c>
    </row>
    <row r="401">
      <c r="A401" s="54">
        <f>IF(_imp!$C$403="","",INDEX(_imp!$D$4:$D$4503,_imp!$C$403))</f>
        <v/>
      </c>
      <c r="B401" s="54">
        <f>IF(_imp!$C$403="","",INDEX(_imp!$E$4:$E$4503,_imp!$C$403))</f>
        <v/>
      </c>
      <c r="C401" s="54">
        <f>IF(_imp!$C$403="","",INDEX(_imp!$F$4:$F$4503,_imp!$C$403))</f>
        <v/>
      </c>
      <c r="D401" s="54">
        <f>IF(_imp!$C$403="","",INDEX(_imp!$G$4:$G$4503,_imp!$C$403))</f>
        <v/>
      </c>
      <c r="E401" s="54">
        <f>IF(_imp!$C$403="","",INDEX(_imp!$H$4:$H$4503,_imp!$C$403))</f>
        <v/>
      </c>
      <c r="F401" s="54">
        <f>IF(_imp!$C$403="","",INDEX(_imp!$I$4:$I$4503,_imp!$C$403))</f>
        <v/>
      </c>
      <c r="G401" s="54">
        <f>IF(_imp!$C$403="","",INDEX(_imp!$J$4:$J$4503,_imp!$C$403))</f>
        <v/>
      </c>
      <c r="K401" s="54">
        <f>IF(_imp!$C$403="","",INDEX(_imp!$K$4:$K$4503,_imp!$C$403))</f>
        <v/>
      </c>
    </row>
    <row r="402">
      <c r="A402" s="54">
        <f>IF(_imp!$C$404="","",INDEX(_imp!$D$4:$D$4503,_imp!$C$404))</f>
        <v/>
      </c>
      <c r="B402" s="54">
        <f>IF(_imp!$C$404="","",INDEX(_imp!$E$4:$E$4503,_imp!$C$404))</f>
        <v/>
      </c>
      <c r="C402" s="54">
        <f>IF(_imp!$C$404="","",INDEX(_imp!$F$4:$F$4503,_imp!$C$404))</f>
        <v/>
      </c>
      <c r="D402" s="54">
        <f>IF(_imp!$C$404="","",INDEX(_imp!$G$4:$G$4503,_imp!$C$404))</f>
        <v/>
      </c>
      <c r="E402" s="54">
        <f>IF(_imp!$C$404="","",INDEX(_imp!$H$4:$H$4503,_imp!$C$404))</f>
        <v/>
      </c>
      <c r="F402" s="54">
        <f>IF(_imp!$C$404="","",INDEX(_imp!$I$4:$I$4503,_imp!$C$404))</f>
        <v/>
      </c>
      <c r="G402" s="54">
        <f>IF(_imp!$C$404="","",INDEX(_imp!$J$4:$J$4503,_imp!$C$404))</f>
        <v/>
      </c>
      <c r="K402" s="54">
        <f>IF(_imp!$C$404="","",INDEX(_imp!$K$4:$K$4503,_imp!$C$404))</f>
        <v/>
      </c>
    </row>
    <row r="403">
      <c r="A403" s="54">
        <f>IF(_imp!$C$405="","",INDEX(_imp!$D$4:$D$4503,_imp!$C$405))</f>
        <v/>
      </c>
      <c r="B403" s="54">
        <f>IF(_imp!$C$405="","",INDEX(_imp!$E$4:$E$4503,_imp!$C$405))</f>
        <v/>
      </c>
      <c r="C403" s="54">
        <f>IF(_imp!$C$405="","",INDEX(_imp!$F$4:$F$4503,_imp!$C$405))</f>
        <v/>
      </c>
      <c r="D403" s="54">
        <f>IF(_imp!$C$405="","",INDEX(_imp!$G$4:$G$4503,_imp!$C$405))</f>
        <v/>
      </c>
      <c r="E403" s="54">
        <f>IF(_imp!$C$405="","",INDEX(_imp!$H$4:$H$4503,_imp!$C$405))</f>
        <v/>
      </c>
      <c r="F403" s="54">
        <f>IF(_imp!$C$405="","",INDEX(_imp!$I$4:$I$4503,_imp!$C$405))</f>
        <v/>
      </c>
      <c r="G403" s="54">
        <f>IF(_imp!$C$405="","",INDEX(_imp!$J$4:$J$4503,_imp!$C$405))</f>
        <v/>
      </c>
      <c r="K403" s="54">
        <f>IF(_imp!$C$405="","",INDEX(_imp!$K$4:$K$4503,_imp!$C$405))</f>
        <v/>
      </c>
    </row>
    <row r="404">
      <c r="A404" s="54">
        <f>IF(_imp!$C$406="","",INDEX(_imp!$D$4:$D$4503,_imp!$C$406))</f>
        <v/>
      </c>
      <c r="B404" s="54">
        <f>IF(_imp!$C$406="","",INDEX(_imp!$E$4:$E$4503,_imp!$C$406))</f>
        <v/>
      </c>
      <c r="C404" s="54">
        <f>IF(_imp!$C$406="","",INDEX(_imp!$F$4:$F$4503,_imp!$C$406))</f>
        <v/>
      </c>
      <c r="D404" s="54">
        <f>IF(_imp!$C$406="","",INDEX(_imp!$G$4:$G$4503,_imp!$C$406))</f>
        <v/>
      </c>
      <c r="E404" s="54">
        <f>IF(_imp!$C$406="","",INDEX(_imp!$H$4:$H$4503,_imp!$C$406))</f>
        <v/>
      </c>
      <c r="F404" s="54">
        <f>IF(_imp!$C$406="","",INDEX(_imp!$I$4:$I$4503,_imp!$C$406))</f>
        <v/>
      </c>
      <c r="G404" s="54">
        <f>IF(_imp!$C$406="","",INDEX(_imp!$J$4:$J$4503,_imp!$C$406))</f>
        <v/>
      </c>
      <c r="K404" s="54">
        <f>IF(_imp!$C$406="","",INDEX(_imp!$K$4:$K$4503,_imp!$C$406))</f>
        <v/>
      </c>
    </row>
    <row r="405">
      <c r="A405" s="54">
        <f>IF(_imp!$C$407="","",INDEX(_imp!$D$4:$D$4503,_imp!$C$407))</f>
        <v/>
      </c>
      <c r="B405" s="54">
        <f>IF(_imp!$C$407="","",INDEX(_imp!$E$4:$E$4503,_imp!$C$407))</f>
        <v/>
      </c>
      <c r="C405" s="54">
        <f>IF(_imp!$C$407="","",INDEX(_imp!$F$4:$F$4503,_imp!$C$407))</f>
        <v/>
      </c>
      <c r="D405" s="54">
        <f>IF(_imp!$C$407="","",INDEX(_imp!$G$4:$G$4503,_imp!$C$407))</f>
        <v/>
      </c>
      <c r="E405" s="54">
        <f>IF(_imp!$C$407="","",INDEX(_imp!$H$4:$H$4503,_imp!$C$407))</f>
        <v/>
      </c>
      <c r="F405" s="54">
        <f>IF(_imp!$C$407="","",INDEX(_imp!$I$4:$I$4503,_imp!$C$407))</f>
        <v/>
      </c>
      <c r="G405" s="54">
        <f>IF(_imp!$C$407="","",INDEX(_imp!$J$4:$J$4503,_imp!$C$407))</f>
        <v/>
      </c>
      <c r="K405" s="54">
        <f>IF(_imp!$C$407="","",INDEX(_imp!$K$4:$K$4503,_imp!$C$407))</f>
        <v/>
      </c>
    </row>
    <row r="406">
      <c r="A406" s="54">
        <f>IF(_imp!$C$408="","",INDEX(_imp!$D$4:$D$4503,_imp!$C$408))</f>
        <v/>
      </c>
      <c r="B406" s="54">
        <f>IF(_imp!$C$408="","",INDEX(_imp!$E$4:$E$4503,_imp!$C$408))</f>
        <v/>
      </c>
      <c r="C406" s="54">
        <f>IF(_imp!$C$408="","",INDEX(_imp!$F$4:$F$4503,_imp!$C$408))</f>
        <v/>
      </c>
      <c r="D406" s="54">
        <f>IF(_imp!$C$408="","",INDEX(_imp!$G$4:$G$4503,_imp!$C$408))</f>
        <v/>
      </c>
      <c r="E406" s="54">
        <f>IF(_imp!$C$408="","",INDEX(_imp!$H$4:$H$4503,_imp!$C$408))</f>
        <v/>
      </c>
      <c r="F406" s="54">
        <f>IF(_imp!$C$408="","",INDEX(_imp!$I$4:$I$4503,_imp!$C$408))</f>
        <v/>
      </c>
      <c r="G406" s="54">
        <f>IF(_imp!$C$408="","",INDEX(_imp!$J$4:$J$4503,_imp!$C$408))</f>
        <v/>
      </c>
      <c r="K406" s="54">
        <f>IF(_imp!$C$408="","",INDEX(_imp!$K$4:$K$4503,_imp!$C$408))</f>
        <v/>
      </c>
    </row>
    <row r="407">
      <c r="A407" s="54">
        <f>IF(_imp!$C$409="","",INDEX(_imp!$D$4:$D$4503,_imp!$C$409))</f>
        <v/>
      </c>
      <c r="B407" s="54">
        <f>IF(_imp!$C$409="","",INDEX(_imp!$E$4:$E$4503,_imp!$C$409))</f>
        <v/>
      </c>
      <c r="C407" s="54">
        <f>IF(_imp!$C$409="","",INDEX(_imp!$F$4:$F$4503,_imp!$C$409))</f>
        <v/>
      </c>
      <c r="D407" s="54">
        <f>IF(_imp!$C$409="","",INDEX(_imp!$G$4:$G$4503,_imp!$C$409))</f>
        <v/>
      </c>
      <c r="E407" s="54">
        <f>IF(_imp!$C$409="","",INDEX(_imp!$H$4:$H$4503,_imp!$C$409))</f>
        <v/>
      </c>
      <c r="F407" s="54">
        <f>IF(_imp!$C$409="","",INDEX(_imp!$I$4:$I$4503,_imp!$C$409))</f>
        <v/>
      </c>
      <c r="G407" s="54">
        <f>IF(_imp!$C$409="","",INDEX(_imp!$J$4:$J$4503,_imp!$C$409))</f>
        <v/>
      </c>
      <c r="K407" s="54">
        <f>IF(_imp!$C$409="","",INDEX(_imp!$K$4:$K$4503,_imp!$C$409))</f>
        <v/>
      </c>
    </row>
    <row r="408">
      <c r="A408" s="54">
        <f>IF(_imp!$C$410="","",INDEX(_imp!$D$4:$D$4503,_imp!$C$410))</f>
        <v/>
      </c>
      <c r="B408" s="54">
        <f>IF(_imp!$C$410="","",INDEX(_imp!$E$4:$E$4503,_imp!$C$410))</f>
        <v/>
      </c>
      <c r="C408" s="54">
        <f>IF(_imp!$C$410="","",INDEX(_imp!$F$4:$F$4503,_imp!$C$410))</f>
        <v/>
      </c>
      <c r="D408" s="54">
        <f>IF(_imp!$C$410="","",INDEX(_imp!$G$4:$G$4503,_imp!$C$410))</f>
        <v/>
      </c>
      <c r="E408" s="54">
        <f>IF(_imp!$C$410="","",INDEX(_imp!$H$4:$H$4503,_imp!$C$410))</f>
        <v/>
      </c>
      <c r="F408" s="54">
        <f>IF(_imp!$C$410="","",INDEX(_imp!$I$4:$I$4503,_imp!$C$410))</f>
        <v/>
      </c>
      <c r="G408" s="54">
        <f>IF(_imp!$C$410="","",INDEX(_imp!$J$4:$J$4503,_imp!$C$410))</f>
        <v/>
      </c>
      <c r="K408" s="54">
        <f>IF(_imp!$C$410="","",INDEX(_imp!$K$4:$K$4503,_imp!$C$410))</f>
        <v/>
      </c>
    </row>
    <row r="409">
      <c r="A409" s="54">
        <f>IF(_imp!$C$411="","",INDEX(_imp!$D$4:$D$4503,_imp!$C$411))</f>
        <v/>
      </c>
      <c r="B409" s="54">
        <f>IF(_imp!$C$411="","",INDEX(_imp!$E$4:$E$4503,_imp!$C$411))</f>
        <v/>
      </c>
      <c r="C409" s="54">
        <f>IF(_imp!$C$411="","",INDEX(_imp!$F$4:$F$4503,_imp!$C$411))</f>
        <v/>
      </c>
      <c r="D409" s="54">
        <f>IF(_imp!$C$411="","",INDEX(_imp!$G$4:$G$4503,_imp!$C$411))</f>
        <v/>
      </c>
      <c r="E409" s="54">
        <f>IF(_imp!$C$411="","",INDEX(_imp!$H$4:$H$4503,_imp!$C$411))</f>
        <v/>
      </c>
      <c r="F409" s="54">
        <f>IF(_imp!$C$411="","",INDEX(_imp!$I$4:$I$4503,_imp!$C$411))</f>
        <v/>
      </c>
      <c r="G409" s="54">
        <f>IF(_imp!$C$411="","",INDEX(_imp!$J$4:$J$4503,_imp!$C$411))</f>
        <v/>
      </c>
      <c r="K409" s="54">
        <f>IF(_imp!$C$411="","",INDEX(_imp!$K$4:$K$4503,_imp!$C$411))</f>
        <v/>
      </c>
    </row>
    <row r="410">
      <c r="A410" s="54">
        <f>IF(_imp!$C$412="","",INDEX(_imp!$D$4:$D$4503,_imp!$C$412))</f>
        <v/>
      </c>
      <c r="B410" s="54">
        <f>IF(_imp!$C$412="","",INDEX(_imp!$E$4:$E$4503,_imp!$C$412))</f>
        <v/>
      </c>
      <c r="C410" s="54">
        <f>IF(_imp!$C$412="","",INDEX(_imp!$F$4:$F$4503,_imp!$C$412))</f>
        <v/>
      </c>
      <c r="D410" s="54">
        <f>IF(_imp!$C$412="","",INDEX(_imp!$G$4:$G$4503,_imp!$C$412))</f>
        <v/>
      </c>
      <c r="E410" s="54">
        <f>IF(_imp!$C$412="","",INDEX(_imp!$H$4:$H$4503,_imp!$C$412))</f>
        <v/>
      </c>
      <c r="F410" s="54">
        <f>IF(_imp!$C$412="","",INDEX(_imp!$I$4:$I$4503,_imp!$C$412))</f>
        <v/>
      </c>
      <c r="G410" s="54">
        <f>IF(_imp!$C$412="","",INDEX(_imp!$J$4:$J$4503,_imp!$C$412))</f>
        <v/>
      </c>
      <c r="K410" s="54">
        <f>IF(_imp!$C$412="","",INDEX(_imp!$K$4:$K$4503,_imp!$C$412))</f>
        <v/>
      </c>
    </row>
    <row r="411">
      <c r="A411" s="54">
        <f>IF(_imp!$C$413="","",INDEX(_imp!$D$4:$D$4503,_imp!$C$413))</f>
        <v/>
      </c>
      <c r="B411" s="54">
        <f>IF(_imp!$C$413="","",INDEX(_imp!$E$4:$E$4503,_imp!$C$413))</f>
        <v/>
      </c>
      <c r="C411" s="54">
        <f>IF(_imp!$C$413="","",INDEX(_imp!$F$4:$F$4503,_imp!$C$413))</f>
        <v/>
      </c>
      <c r="D411" s="54">
        <f>IF(_imp!$C$413="","",INDEX(_imp!$G$4:$G$4503,_imp!$C$413))</f>
        <v/>
      </c>
      <c r="E411" s="54">
        <f>IF(_imp!$C$413="","",INDEX(_imp!$H$4:$H$4503,_imp!$C$413))</f>
        <v/>
      </c>
      <c r="F411" s="54">
        <f>IF(_imp!$C$413="","",INDEX(_imp!$I$4:$I$4503,_imp!$C$413))</f>
        <v/>
      </c>
      <c r="G411" s="54">
        <f>IF(_imp!$C$413="","",INDEX(_imp!$J$4:$J$4503,_imp!$C$413))</f>
        <v/>
      </c>
      <c r="K411" s="54">
        <f>IF(_imp!$C$413="","",INDEX(_imp!$K$4:$K$4503,_imp!$C$413))</f>
        <v/>
      </c>
    </row>
    <row r="412">
      <c r="A412" s="54">
        <f>IF(_imp!$C$414="","",INDEX(_imp!$D$4:$D$4503,_imp!$C$414))</f>
        <v/>
      </c>
      <c r="B412" s="54">
        <f>IF(_imp!$C$414="","",INDEX(_imp!$E$4:$E$4503,_imp!$C$414))</f>
        <v/>
      </c>
      <c r="C412" s="54">
        <f>IF(_imp!$C$414="","",INDEX(_imp!$F$4:$F$4503,_imp!$C$414))</f>
        <v/>
      </c>
      <c r="D412" s="54">
        <f>IF(_imp!$C$414="","",INDEX(_imp!$G$4:$G$4503,_imp!$C$414))</f>
        <v/>
      </c>
      <c r="E412" s="54">
        <f>IF(_imp!$C$414="","",INDEX(_imp!$H$4:$H$4503,_imp!$C$414))</f>
        <v/>
      </c>
      <c r="F412" s="54">
        <f>IF(_imp!$C$414="","",INDEX(_imp!$I$4:$I$4503,_imp!$C$414))</f>
        <v/>
      </c>
      <c r="G412" s="54">
        <f>IF(_imp!$C$414="","",INDEX(_imp!$J$4:$J$4503,_imp!$C$414))</f>
        <v/>
      </c>
      <c r="K412" s="54">
        <f>IF(_imp!$C$414="","",INDEX(_imp!$K$4:$K$4503,_imp!$C$414))</f>
        <v/>
      </c>
    </row>
    <row r="413">
      <c r="A413" s="54">
        <f>IF(_imp!$C$415="","",INDEX(_imp!$D$4:$D$4503,_imp!$C$415))</f>
        <v/>
      </c>
      <c r="B413" s="54">
        <f>IF(_imp!$C$415="","",INDEX(_imp!$E$4:$E$4503,_imp!$C$415))</f>
        <v/>
      </c>
      <c r="C413" s="54">
        <f>IF(_imp!$C$415="","",INDEX(_imp!$F$4:$F$4503,_imp!$C$415))</f>
        <v/>
      </c>
      <c r="D413" s="54">
        <f>IF(_imp!$C$415="","",INDEX(_imp!$G$4:$G$4503,_imp!$C$415))</f>
        <v/>
      </c>
      <c r="E413" s="54">
        <f>IF(_imp!$C$415="","",INDEX(_imp!$H$4:$H$4503,_imp!$C$415))</f>
        <v/>
      </c>
      <c r="F413" s="54">
        <f>IF(_imp!$C$415="","",INDEX(_imp!$I$4:$I$4503,_imp!$C$415))</f>
        <v/>
      </c>
      <c r="G413" s="54">
        <f>IF(_imp!$C$415="","",INDEX(_imp!$J$4:$J$4503,_imp!$C$415))</f>
        <v/>
      </c>
      <c r="K413" s="54">
        <f>IF(_imp!$C$415="","",INDEX(_imp!$K$4:$K$4503,_imp!$C$415))</f>
        <v/>
      </c>
    </row>
    <row r="414">
      <c r="A414" s="54">
        <f>IF(_imp!$C$416="","",INDEX(_imp!$D$4:$D$4503,_imp!$C$416))</f>
        <v/>
      </c>
      <c r="B414" s="54">
        <f>IF(_imp!$C$416="","",INDEX(_imp!$E$4:$E$4503,_imp!$C$416))</f>
        <v/>
      </c>
      <c r="C414" s="54">
        <f>IF(_imp!$C$416="","",INDEX(_imp!$F$4:$F$4503,_imp!$C$416))</f>
        <v/>
      </c>
      <c r="D414" s="54">
        <f>IF(_imp!$C$416="","",INDEX(_imp!$G$4:$G$4503,_imp!$C$416))</f>
        <v/>
      </c>
      <c r="E414" s="54">
        <f>IF(_imp!$C$416="","",INDEX(_imp!$H$4:$H$4503,_imp!$C$416))</f>
        <v/>
      </c>
      <c r="F414" s="54">
        <f>IF(_imp!$C$416="","",INDEX(_imp!$I$4:$I$4503,_imp!$C$416))</f>
        <v/>
      </c>
      <c r="G414" s="54">
        <f>IF(_imp!$C$416="","",INDEX(_imp!$J$4:$J$4503,_imp!$C$416))</f>
        <v/>
      </c>
      <c r="K414" s="54">
        <f>IF(_imp!$C$416="","",INDEX(_imp!$K$4:$K$4503,_imp!$C$416))</f>
        <v/>
      </c>
    </row>
    <row r="415">
      <c r="A415" s="54">
        <f>IF(_imp!$C$417="","",INDEX(_imp!$D$4:$D$4503,_imp!$C$417))</f>
        <v/>
      </c>
      <c r="B415" s="54">
        <f>IF(_imp!$C$417="","",INDEX(_imp!$E$4:$E$4503,_imp!$C$417))</f>
        <v/>
      </c>
      <c r="C415" s="54">
        <f>IF(_imp!$C$417="","",INDEX(_imp!$F$4:$F$4503,_imp!$C$417))</f>
        <v/>
      </c>
      <c r="D415" s="54">
        <f>IF(_imp!$C$417="","",INDEX(_imp!$G$4:$G$4503,_imp!$C$417))</f>
        <v/>
      </c>
      <c r="E415" s="54">
        <f>IF(_imp!$C$417="","",INDEX(_imp!$H$4:$H$4503,_imp!$C$417))</f>
        <v/>
      </c>
      <c r="F415" s="54">
        <f>IF(_imp!$C$417="","",INDEX(_imp!$I$4:$I$4503,_imp!$C$417))</f>
        <v/>
      </c>
      <c r="G415" s="54">
        <f>IF(_imp!$C$417="","",INDEX(_imp!$J$4:$J$4503,_imp!$C$417))</f>
        <v/>
      </c>
      <c r="K415" s="54">
        <f>IF(_imp!$C$417="","",INDEX(_imp!$K$4:$K$4503,_imp!$C$417))</f>
        <v/>
      </c>
    </row>
    <row r="416">
      <c r="A416" s="54">
        <f>IF(_imp!$C$418="","",INDEX(_imp!$D$4:$D$4503,_imp!$C$418))</f>
        <v/>
      </c>
      <c r="B416" s="54">
        <f>IF(_imp!$C$418="","",INDEX(_imp!$E$4:$E$4503,_imp!$C$418))</f>
        <v/>
      </c>
      <c r="C416" s="54">
        <f>IF(_imp!$C$418="","",INDEX(_imp!$F$4:$F$4503,_imp!$C$418))</f>
        <v/>
      </c>
      <c r="D416" s="54">
        <f>IF(_imp!$C$418="","",INDEX(_imp!$G$4:$G$4503,_imp!$C$418))</f>
        <v/>
      </c>
      <c r="E416" s="54">
        <f>IF(_imp!$C$418="","",INDEX(_imp!$H$4:$H$4503,_imp!$C$418))</f>
        <v/>
      </c>
      <c r="F416" s="54">
        <f>IF(_imp!$C$418="","",INDEX(_imp!$I$4:$I$4503,_imp!$C$418))</f>
        <v/>
      </c>
      <c r="G416" s="54">
        <f>IF(_imp!$C$418="","",INDEX(_imp!$J$4:$J$4503,_imp!$C$418))</f>
        <v/>
      </c>
      <c r="K416" s="54">
        <f>IF(_imp!$C$418="","",INDEX(_imp!$K$4:$K$4503,_imp!$C$418))</f>
        <v/>
      </c>
    </row>
    <row r="417">
      <c r="A417" s="54">
        <f>IF(_imp!$C$419="","",INDEX(_imp!$D$4:$D$4503,_imp!$C$419))</f>
        <v/>
      </c>
      <c r="B417" s="54">
        <f>IF(_imp!$C$419="","",INDEX(_imp!$E$4:$E$4503,_imp!$C$419))</f>
        <v/>
      </c>
      <c r="C417" s="54">
        <f>IF(_imp!$C$419="","",INDEX(_imp!$F$4:$F$4503,_imp!$C$419))</f>
        <v/>
      </c>
      <c r="D417" s="54">
        <f>IF(_imp!$C$419="","",INDEX(_imp!$G$4:$G$4503,_imp!$C$419))</f>
        <v/>
      </c>
      <c r="E417" s="54">
        <f>IF(_imp!$C$419="","",INDEX(_imp!$H$4:$H$4503,_imp!$C$419))</f>
        <v/>
      </c>
      <c r="F417" s="54">
        <f>IF(_imp!$C$419="","",INDEX(_imp!$I$4:$I$4503,_imp!$C$419))</f>
        <v/>
      </c>
      <c r="G417" s="54">
        <f>IF(_imp!$C$419="","",INDEX(_imp!$J$4:$J$4503,_imp!$C$419))</f>
        <v/>
      </c>
      <c r="K417" s="54">
        <f>IF(_imp!$C$419="","",INDEX(_imp!$K$4:$K$4503,_imp!$C$419))</f>
        <v/>
      </c>
    </row>
    <row r="418">
      <c r="A418" s="54">
        <f>IF(_imp!$C$420="","",INDEX(_imp!$D$4:$D$4503,_imp!$C$420))</f>
        <v/>
      </c>
      <c r="B418" s="54">
        <f>IF(_imp!$C$420="","",INDEX(_imp!$E$4:$E$4503,_imp!$C$420))</f>
        <v/>
      </c>
      <c r="C418" s="54">
        <f>IF(_imp!$C$420="","",INDEX(_imp!$F$4:$F$4503,_imp!$C$420))</f>
        <v/>
      </c>
      <c r="D418" s="54">
        <f>IF(_imp!$C$420="","",INDEX(_imp!$G$4:$G$4503,_imp!$C$420))</f>
        <v/>
      </c>
      <c r="E418" s="54">
        <f>IF(_imp!$C$420="","",INDEX(_imp!$H$4:$H$4503,_imp!$C$420))</f>
        <v/>
      </c>
      <c r="F418" s="54">
        <f>IF(_imp!$C$420="","",INDEX(_imp!$I$4:$I$4503,_imp!$C$420))</f>
        <v/>
      </c>
      <c r="G418" s="54">
        <f>IF(_imp!$C$420="","",INDEX(_imp!$J$4:$J$4503,_imp!$C$420))</f>
        <v/>
      </c>
      <c r="K418" s="54">
        <f>IF(_imp!$C$420="","",INDEX(_imp!$K$4:$K$4503,_imp!$C$420))</f>
        <v/>
      </c>
    </row>
    <row r="419">
      <c r="A419" s="54">
        <f>IF(_imp!$C$421="","",INDEX(_imp!$D$4:$D$4503,_imp!$C$421))</f>
        <v/>
      </c>
      <c r="B419" s="54">
        <f>IF(_imp!$C$421="","",INDEX(_imp!$E$4:$E$4503,_imp!$C$421))</f>
        <v/>
      </c>
      <c r="C419" s="54">
        <f>IF(_imp!$C$421="","",INDEX(_imp!$F$4:$F$4503,_imp!$C$421))</f>
        <v/>
      </c>
      <c r="D419" s="54">
        <f>IF(_imp!$C$421="","",INDEX(_imp!$G$4:$G$4503,_imp!$C$421))</f>
        <v/>
      </c>
      <c r="E419" s="54">
        <f>IF(_imp!$C$421="","",INDEX(_imp!$H$4:$H$4503,_imp!$C$421))</f>
        <v/>
      </c>
      <c r="F419" s="54">
        <f>IF(_imp!$C$421="","",INDEX(_imp!$I$4:$I$4503,_imp!$C$421))</f>
        <v/>
      </c>
      <c r="G419" s="54">
        <f>IF(_imp!$C$421="","",INDEX(_imp!$J$4:$J$4503,_imp!$C$421))</f>
        <v/>
      </c>
      <c r="K419" s="54">
        <f>IF(_imp!$C$421="","",INDEX(_imp!$K$4:$K$4503,_imp!$C$421))</f>
        <v/>
      </c>
    </row>
    <row r="420">
      <c r="A420" s="54">
        <f>IF(_imp!$C$422="","",INDEX(_imp!$D$4:$D$4503,_imp!$C$422))</f>
        <v/>
      </c>
      <c r="B420" s="54">
        <f>IF(_imp!$C$422="","",INDEX(_imp!$E$4:$E$4503,_imp!$C$422))</f>
        <v/>
      </c>
      <c r="C420" s="54">
        <f>IF(_imp!$C$422="","",INDEX(_imp!$F$4:$F$4503,_imp!$C$422))</f>
        <v/>
      </c>
      <c r="D420" s="54">
        <f>IF(_imp!$C$422="","",INDEX(_imp!$G$4:$G$4503,_imp!$C$422))</f>
        <v/>
      </c>
      <c r="E420" s="54">
        <f>IF(_imp!$C$422="","",INDEX(_imp!$H$4:$H$4503,_imp!$C$422))</f>
        <v/>
      </c>
      <c r="F420" s="54">
        <f>IF(_imp!$C$422="","",INDEX(_imp!$I$4:$I$4503,_imp!$C$422))</f>
        <v/>
      </c>
      <c r="G420" s="54">
        <f>IF(_imp!$C$422="","",INDEX(_imp!$J$4:$J$4503,_imp!$C$422))</f>
        <v/>
      </c>
      <c r="K420" s="54">
        <f>IF(_imp!$C$422="","",INDEX(_imp!$K$4:$K$4503,_imp!$C$422))</f>
        <v/>
      </c>
    </row>
    <row r="421">
      <c r="A421" s="54">
        <f>IF(_imp!$C$423="","",INDEX(_imp!$D$4:$D$4503,_imp!$C$423))</f>
        <v/>
      </c>
      <c r="B421" s="54">
        <f>IF(_imp!$C$423="","",INDEX(_imp!$E$4:$E$4503,_imp!$C$423))</f>
        <v/>
      </c>
      <c r="C421" s="54">
        <f>IF(_imp!$C$423="","",INDEX(_imp!$F$4:$F$4503,_imp!$C$423))</f>
        <v/>
      </c>
      <c r="D421" s="54">
        <f>IF(_imp!$C$423="","",INDEX(_imp!$G$4:$G$4503,_imp!$C$423))</f>
        <v/>
      </c>
      <c r="E421" s="54">
        <f>IF(_imp!$C$423="","",INDEX(_imp!$H$4:$H$4503,_imp!$C$423))</f>
        <v/>
      </c>
      <c r="F421" s="54">
        <f>IF(_imp!$C$423="","",INDEX(_imp!$I$4:$I$4503,_imp!$C$423))</f>
        <v/>
      </c>
      <c r="G421" s="54">
        <f>IF(_imp!$C$423="","",INDEX(_imp!$J$4:$J$4503,_imp!$C$423))</f>
        <v/>
      </c>
      <c r="K421" s="54">
        <f>IF(_imp!$C$423="","",INDEX(_imp!$K$4:$K$4503,_imp!$C$423))</f>
        <v/>
      </c>
    </row>
    <row r="422">
      <c r="A422" s="54">
        <f>IF(_imp!$C$424="","",INDEX(_imp!$D$4:$D$4503,_imp!$C$424))</f>
        <v/>
      </c>
      <c r="B422" s="54">
        <f>IF(_imp!$C$424="","",INDEX(_imp!$E$4:$E$4503,_imp!$C$424))</f>
        <v/>
      </c>
      <c r="C422" s="54">
        <f>IF(_imp!$C$424="","",INDEX(_imp!$F$4:$F$4503,_imp!$C$424))</f>
        <v/>
      </c>
      <c r="D422" s="54">
        <f>IF(_imp!$C$424="","",INDEX(_imp!$G$4:$G$4503,_imp!$C$424))</f>
        <v/>
      </c>
      <c r="E422" s="54">
        <f>IF(_imp!$C$424="","",INDEX(_imp!$H$4:$H$4503,_imp!$C$424))</f>
        <v/>
      </c>
      <c r="F422" s="54">
        <f>IF(_imp!$C$424="","",INDEX(_imp!$I$4:$I$4503,_imp!$C$424))</f>
        <v/>
      </c>
      <c r="G422" s="54">
        <f>IF(_imp!$C$424="","",INDEX(_imp!$J$4:$J$4503,_imp!$C$424))</f>
        <v/>
      </c>
      <c r="K422" s="54">
        <f>IF(_imp!$C$424="","",INDEX(_imp!$K$4:$K$4503,_imp!$C$424))</f>
        <v/>
      </c>
    </row>
    <row r="423">
      <c r="A423" s="54">
        <f>IF(_imp!$C$425="","",INDEX(_imp!$D$4:$D$4503,_imp!$C$425))</f>
        <v/>
      </c>
      <c r="B423" s="54">
        <f>IF(_imp!$C$425="","",INDEX(_imp!$E$4:$E$4503,_imp!$C$425))</f>
        <v/>
      </c>
      <c r="C423" s="54">
        <f>IF(_imp!$C$425="","",INDEX(_imp!$F$4:$F$4503,_imp!$C$425))</f>
        <v/>
      </c>
      <c r="D423" s="54">
        <f>IF(_imp!$C$425="","",INDEX(_imp!$G$4:$G$4503,_imp!$C$425))</f>
        <v/>
      </c>
      <c r="E423" s="54">
        <f>IF(_imp!$C$425="","",INDEX(_imp!$H$4:$H$4503,_imp!$C$425))</f>
        <v/>
      </c>
      <c r="F423" s="54">
        <f>IF(_imp!$C$425="","",INDEX(_imp!$I$4:$I$4503,_imp!$C$425))</f>
        <v/>
      </c>
      <c r="G423" s="54">
        <f>IF(_imp!$C$425="","",INDEX(_imp!$J$4:$J$4503,_imp!$C$425))</f>
        <v/>
      </c>
      <c r="K423" s="54">
        <f>IF(_imp!$C$425="","",INDEX(_imp!$K$4:$K$4503,_imp!$C$425))</f>
        <v/>
      </c>
    </row>
    <row r="424">
      <c r="A424" s="54">
        <f>IF(_imp!$C$426="","",INDEX(_imp!$D$4:$D$4503,_imp!$C$426))</f>
        <v/>
      </c>
      <c r="B424" s="54">
        <f>IF(_imp!$C$426="","",INDEX(_imp!$E$4:$E$4503,_imp!$C$426))</f>
        <v/>
      </c>
      <c r="C424" s="54">
        <f>IF(_imp!$C$426="","",INDEX(_imp!$F$4:$F$4503,_imp!$C$426))</f>
        <v/>
      </c>
      <c r="D424" s="54">
        <f>IF(_imp!$C$426="","",INDEX(_imp!$G$4:$G$4503,_imp!$C$426))</f>
        <v/>
      </c>
      <c r="E424" s="54">
        <f>IF(_imp!$C$426="","",INDEX(_imp!$H$4:$H$4503,_imp!$C$426))</f>
        <v/>
      </c>
      <c r="F424" s="54">
        <f>IF(_imp!$C$426="","",INDEX(_imp!$I$4:$I$4503,_imp!$C$426))</f>
        <v/>
      </c>
      <c r="G424" s="54">
        <f>IF(_imp!$C$426="","",INDEX(_imp!$J$4:$J$4503,_imp!$C$426))</f>
        <v/>
      </c>
      <c r="K424" s="54">
        <f>IF(_imp!$C$426="","",INDEX(_imp!$K$4:$K$4503,_imp!$C$426))</f>
        <v/>
      </c>
    </row>
    <row r="425">
      <c r="A425" s="54">
        <f>IF(_imp!$C$427="","",INDEX(_imp!$D$4:$D$4503,_imp!$C$427))</f>
        <v/>
      </c>
      <c r="B425" s="54">
        <f>IF(_imp!$C$427="","",INDEX(_imp!$E$4:$E$4503,_imp!$C$427))</f>
        <v/>
      </c>
      <c r="C425" s="54">
        <f>IF(_imp!$C$427="","",INDEX(_imp!$F$4:$F$4503,_imp!$C$427))</f>
        <v/>
      </c>
      <c r="D425" s="54">
        <f>IF(_imp!$C$427="","",INDEX(_imp!$G$4:$G$4503,_imp!$C$427))</f>
        <v/>
      </c>
      <c r="E425" s="54">
        <f>IF(_imp!$C$427="","",INDEX(_imp!$H$4:$H$4503,_imp!$C$427))</f>
        <v/>
      </c>
      <c r="F425" s="54">
        <f>IF(_imp!$C$427="","",INDEX(_imp!$I$4:$I$4503,_imp!$C$427))</f>
        <v/>
      </c>
      <c r="G425" s="54">
        <f>IF(_imp!$C$427="","",INDEX(_imp!$J$4:$J$4503,_imp!$C$427))</f>
        <v/>
      </c>
      <c r="K425" s="54">
        <f>IF(_imp!$C$427="","",INDEX(_imp!$K$4:$K$4503,_imp!$C$427))</f>
        <v/>
      </c>
    </row>
    <row r="426">
      <c r="A426" s="54">
        <f>IF(_imp!$C$428="","",INDEX(_imp!$D$4:$D$4503,_imp!$C$428))</f>
        <v/>
      </c>
      <c r="B426" s="54">
        <f>IF(_imp!$C$428="","",INDEX(_imp!$E$4:$E$4503,_imp!$C$428))</f>
        <v/>
      </c>
      <c r="C426" s="54">
        <f>IF(_imp!$C$428="","",INDEX(_imp!$F$4:$F$4503,_imp!$C$428))</f>
        <v/>
      </c>
      <c r="D426" s="54">
        <f>IF(_imp!$C$428="","",INDEX(_imp!$G$4:$G$4503,_imp!$C$428))</f>
        <v/>
      </c>
      <c r="E426" s="54">
        <f>IF(_imp!$C$428="","",INDEX(_imp!$H$4:$H$4503,_imp!$C$428))</f>
        <v/>
      </c>
      <c r="F426" s="54">
        <f>IF(_imp!$C$428="","",INDEX(_imp!$I$4:$I$4503,_imp!$C$428))</f>
        <v/>
      </c>
      <c r="G426" s="54">
        <f>IF(_imp!$C$428="","",INDEX(_imp!$J$4:$J$4503,_imp!$C$428))</f>
        <v/>
      </c>
      <c r="K426" s="54">
        <f>IF(_imp!$C$428="","",INDEX(_imp!$K$4:$K$4503,_imp!$C$428))</f>
        <v/>
      </c>
    </row>
    <row r="427">
      <c r="A427" s="54">
        <f>IF(_imp!$C$429="","",INDEX(_imp!$D$4:$D$4503,_imp!$C$429))</f>
        <v/>
      </c>
      <c r="B427" s="54">
        <f>IF(_imp!$C$429="","",INDEX(_imp!$E$4:$E$4503,_imp!$C$429))</f>
        <v/>
      </c>
      <c r="C427" s="54">
        <f>IF(_imp!$C$429="","",INDEX(_imp!$F$4:$F$4503,_imp!$C$429))</f>
        <v/>
      </c>
      <c r="D427" s="54">
        <f>IF(_imp!$C$429="","",INDEX(_imp!$G$4:$G$4503,_imp!$C$429))</f>
        <v/>
      </c>
      <c r="E427" s="54">
        <f>IF(_imp!$C$429="","",INDEX(_imp!$H$4:$H$4503,_imp!$C$429))</f>
        <v/>
      </c>
      <c r="F427" s="54">
        <f>IF(_imp!$C$429="","",INDEX(_imp!$I$4:$I$4503,_imp!$C$429))</f>
        <v/>
      </c>
      <c r="G427" s="54">
        <f>IF(_imp!$C$429="","",INDEX(_imp!$J$4:$J$4503,_imp!$C$429))</f>
        <v/>
      </c>
      <c r="K427" s="54">
        <f>IF(_imp!$C$429="","",INDEX(_imp!$K$4:$K$4503,_imp!$C$429))</f>
        <v/>
      </c>
    </row>
    <row r="428">
      <c r="A428" s="54">
        <f>IF(_imp!$C$430="","",INDEX(_imp!$D$4:$D$4503,_imp!$C$430))</f>
        <v/>
      </c>
      <c r="B428" s="54">
        <f>IF(_imp!$C$430="","",INDEX(_imp!$E$4:$E$4503,_imp!$C$430))</f>
        <v/>
      </c>
      <c r="C428" s="54">
        <f>IF(_imp!$C$430="","",INDEX(_imp!$F$4:$F$4503,_imp!$C$430))</f>
        <v/>
      </c>
      <c r="D428" s="54">
        <f>IF(_imp!$C$430="","",INDEX(_imp!$G$4:$G$4503,_imp!$C$430))</f>
        <v/>
      </c>
      <c r="E428" s="54">
        <f>IF(_imp!$C$430="","",INDEX(_imp!$H$4:$H$4503,_imp!$C$430))</f>
        <v/>
      </c>
      <c r="F428" s="54">
        <f>IF(_imp!$C$430="","",INDEX(_imp!$I$4:$I$4503,_imp!$C$430))</f>
        <v/>
      </c>
      <c r="G428" s="54">
        <f>IF(_imp!$C$430="","",INDEX(_imp!$J$4:$J$4503,_imp!$C$430))</f>
        <v/>
      </c>
      <c r="K428" s="54">
        <f>IF(_imp!$C$430="","",INDEX(_imp!$K$4:$K$4503,_imp!$C$430))</f>
        <v/>
      </c>
    </row>
    <row r="429">
      <c r="A429" s="54">
        <f>IF(_imp!$C$431="","",INDEX(_imp!$D$4:$D$4503,_imp!$C$431))</f>
        <v/>
      </c>
      <c r="B429" s="54">
        <f>IF(_imp!$C$431="","",INDEX(_imp!$E$4:$E$4503,_imp!$C$431))</f>
        <v/>
      </c>
      <c r="C429" s="54">
        <f>IF(_imp!$C$431="","",INDEX(_imp!$F$4:$F$4503,_imp!$C$431))</f>
        <v/>
      </c>
      <c r="D429" s="54">
        <f>IF(_imp!$C$431="","",INDEX(_imp!$G$4:$G$4503,_imp!$C$431))</f>
        <v/>
      </c>
      <c r="E429" s="54">
        <f>IF(_imp!$C$431="","",INDEX(_imp!$H$4:$H$4503,_imp!$C$431))</f>
        <v/>
      </c>
      <c r="F429" s="54">
        <f>IF(_imp!$C$431="","",INDEX(_imp!$I$4:$I$4503,_imp!$C$431))</f>
        <v/>
      </c>
      <c r="G429" s="54">
        <f>IF(_imp!$C$431="","",INDEX(_imp!$J$4:$J$4503,_imp!$C$431))</f>
        <v/>
      </c>
      <c r="K429" s="54">
        <f>IF(_imp!$C$431="","",INDEX(_imp!$K$4:$K$4503,_imp!$C$431))</f>
        <v/>
      </c>
    </row>
    <row r="430">
      <c r="A430" s="54">
        <f>IF(_imp!$C$432="","",INDEX(_imp!$D$4:$D$4503,_imp!$C$432))</f>
        <v/>
      </c>
      <c r="B430" s="54">
        <f>IF(_imp!$C$432="","",INDEX(_imp!$E$4:$E$4503,_imp!$C$432))</f>
        <v/>
      </c>
      <c r="C430" s="54">
        <f>IF(_imp!$C$432="","",INDEX(_imp!$F$4:$F$4503,_imp!$C$432))</f>
        <v/>
      </c>
      <c r="D430" s="54">
        <f>IF(_imp!$C$432="","",INDEX(_imp!$G$4:$G$4503,_imp!$C$432))</f>
        <v/>
      </c>
      <c r="E430" s="54">
        <f>IF(_imp!$C$432="","",INDEX(_imp!$H$4:$H$4503,_imp!$C$432))</f>
        <v/>
      </c>
      <c r="F430" s="54">
        <f>IF(_imp!$C$432="","",INDEX(_imp!$I$4:$I$4503,_imp!$C$432))</f>
        <v/>
      </c>
      <c r="G430" s="54">
        <f>IF(_imp!$C$432="","",INDEX(_imp!$J$4:$J$4503,_imp!$C$432))</f>
        <v/>
      </c>
      <c r="K430" s="54">
        <f>IF(_imp!$C$432="","",INDEX(_imp!$K$4:$K$4503,_imp!$C$432))</f>
        <v/>
      </c>
    </row>
    <row r="431">
      <c r="A431" s="54">
        <f>IF(_imp!$C$433="","",INDEX(_imp!$D$4:$D$4503,_imp!$C$433))</f>
        <v/>
      </c>
      <c r="B431" s="54">
        <f>IF(_imp!$C$433="","",INDEX(_imp!$E$4:$E$4503,_imp!$C$433))</f>
        <v/>
      </c>
      <c r="C431" s="54">
        <f>IF(_imp!$C$433="","",INDEX(_imp!$F$4:$F$4503,_imp!$C$433))</f>
        <v/>
      </c>
      <c r="D431" s="54">
        <f>IF(_imp!$C$433="","",INDEX(_imp!$G$4:$G$4503,_imp!$C$433))</f>
        <v/>
      </c>
      <c r="E431" s="54">
        <f>IF(_imp!$C$433="","",INDEX(_imp!$H$4:$H$4503,_imp!$C$433))</f>
        <v/>
      </c>
      <c r="F431" s="54">
        <f>IF(_imp!$C$433="","",INDEX(_imp!$I$4:$I$4503,_imp!$C$433))</f>
        <v/>
      </c>
      <c r="G431" s="54">
        <f>IF(_imp!$C$433="","",INDEX(_imp!$J$4:$J$4503,_imp!$C$433))</f>
        <v/>
      </c>
      <c r="K431" s="54">
        <f>IF(_imp!$C$433="","",INDEX(_imp!$K$4:$K$4503,_imp!$C$433))</f>
        <v/>
      </c>
    </row>
    <row r="432">
      <c r="A432" s="54">
        <f>IF(_imp!$C$434="","",INDEX(_imp!$D$4:$D$4503,_imp!$C$434))</f>
        <v/>
      </c>
      <c r="B432" s="54">
        <f>IF(_imp!$C$434="","",INDEX(_imp!$E$4:$E$4503,_imp!$C$434))</f>
        <v/>
      </c>
      <c r="C432" s="54">
        <f>IF(_imp!$C$434="","",INDEX(_imp!$F$4:$F$4503,_imp!$C$434))</f>
        <v/>
      </c>
      <c r="D432" s="54">
        <f>IF(_imp!$C$434="","",INDEX(_imp!$G$4:$G$4503,_imp!$C$434))</f>
        <v/>
      </c>
      <c r="E432" s="54">
        <f>IF(_imp!$C$434="","",INDEX(_imp!$H$4:$H$4503,_imp!$C$434))</f>
        <v/>
      </c>
      <c r="F432" s="54">
        <f>IF(_imp!$C$434="","",INDEX(_imp!$I$4:$I$4503,_imp!$C$434))</f>
        <v/>
      </c>
      <c r="G432" s="54">
        <f>IF(_imp!$C$434="","",INDEX(_imp!$J$4:$J$4503,_imp!$C$434))</f>
        <v/>
      </c>
      <c r="K432" s="54">
        <f>IF(_imp!$C$434="","",INDEX(_imp!$K$4:$K$4503,_imp!$C$434))</f>
        <v/>
      </c>
    </row>
    <row r="433">
      <c r="A433" s="54">
        <f>IF(_imp!$C$435="","",INDEX(_imp!$D$4:$D$4503,_imp!$C$435))</f>
        <v/>
      </c>
      <c r="B433" s="54">
        <f>IF(_imp!$C$435="","",INDEX(_imp!$E$4:$E$4503,_imp!$C$435))</f>
        <v/>
      </c>
      <c r="C433" s="54">
        <f>IF(_imp!$C$435="","",INDEX(_imp!$F$4:$F$4503,_imp!$C$435))</f>
        <v/>
      </c>
      <c r="D433" s="54">
        <f>IF(_imp!$C$435="","",INDEX(_imp!$G$4:$G$4503,_imp!$C$435))</f>
        <v/>
      </c>
      <c r="E433" s="54">
        <f>IF(_imp!$C$435="","",INDEX(_imp!$H$4:$H$4503,_imp!$C$435))</f>
        <v/>
      </c>
      <c r="F433" s="54">
        <f>IF(_imp!$C$435="","",INDEX(_imp!$I$4:$I$4503,_imp!$C$435))</f>
        <v/>
      </c>
      <c r="G433" s="54">
        <f>IF(_imp!$C$435="","",INDEX(_imp!$J$4:$J$4503,_imp!$C$435))</f>
        <v/>
      </c>
      <c r="K433" s="54">
        <f>IF(_imp!$C$435="","",INDEX(_imp!$K$4:$K$4503,_imp!$C$435))</f>
        <v/>
      </c>
    </row>
    <row r="434">
      <c r="A434" s="54">
        <f>IF(_imp!$C$436="","",INDEX(_imp!$D$4:$D$4503,_imp!$C$436))</f>
        <v/>
      </c>
      <c r="B434" s="54">
        <f>IF(_imp!$C$436="","",INDEX(_imp!$E$4:$E$4503,_imp!$C$436))</f>
        <v/>
      </c>
      <c r="C434" s="54">
        <f>IF(_imp!$C$436="","",INDEX(_imp!$F$4:$F$4503,_imp!$C$436))</f>
        <v/>
      </c>
      <c r="D434" s="54">
        <f>IF(_imp!$C$436="","",INDEX(_imp!$G$4:$G$4503,_imp!$C$436))</f>
        <v/>
      </c>
      <c r="E434" s="54">
        <f>IF(_imp!$C$436="","",INDEX(_imp!$H$4:$H$4503,_imp!$C$436))</f>
        <v/>
      </c>
      <c r="F434" s="54">
        <f>IF(_imp!$C$436="","",INDEX(_imp!$I$4:$I$4503,_imp!$C$436))</f>
        <v/>
      </c>
      <c r="G434" s="54">
        <f>IF(_imp!$C$436="","",INDEX(_imp!$J$4:$J$4503,_imp!$C$436))</f>
        <v/>
      </c>
      <c r="K434" s="54">
        <f>IF(_imp!$C$436="","",INDEX(_imp!$K$4:$K$4503,_imp!$C$436))</f>
        <v/>
      </c>
    </row>
    <row r="435">
      <c r="A435" s="54">
        <f>IF(_imp!$C$437="","",INDEX(_imp!$D$4:$D$4503,_imp!$C$437))</f>
        <v/>
      </c>
      <c r="B435" s="54">
        <f>IF(_imp!$C$437="","",INDEX(_imp!$E$4:$E$4503,_imp!$C$437))</f>
        <v/>
      </c>
      <c r="C435" s="54">
        <f>IF(_imp!$C$437="","",INDEX(_imp!$F$4:$F$4503,_imp!$C$437))</f>
        <v/>
      </c>
      <c r="D435" s="54">
        <f>IF(_imp!$C$437="","",INDEX(_imp!$G$4:$G$4503,_imp!$C$437))</f>
        <v/>
      </c>
      <c r="E435" s="54">
        <f>IF(_imp!$C$437="","",INDEX(_imp!$H$4:$H$4503,_imp!$C$437))</f>
        <v/>
      </c>
      <c r="F435" s="54">
        <f>IF(_imp!$C$437="","",INDEX(_imp!$I$4:$I$4503,_imp!$C$437))</f>
        <v/>
      </c>
      <c r="G435" s="54">
        <f>IF(_imp!$C$437="","",INDEX(_imp!$J$4:$J$4503,_imp!$C$437))</f>
        <v/>
      </c>
      <c r="K435" s="54">
        <f>IF(_imp!$C$437="","",INDEX(_imp!$K$4:$K$4503,_imp!$C$437))</f>
        <v/>
      </c>
    </row>
    <row r="436">
      <c r="A436" s="54">
        <f>IF(_imp!$C$438="","",INDEX(_imp!$D$4:$D$4503,_imp!$C$438))</f>
        <v/>
      </c>
      <c r="B436" s="54">
        <f>IF(_imp!$C$438="","",INDEX(_imp!$E$4:$E$4503,_imp!$C$438))</f>
        <v/>
      </c>
      <c r="C436" s="54">
        <f>IF(_imp!$C$438="","",INDEX(_imp!$F$4:$F$4503,_imp!$C$438))</f>
        <v/>
      </c>
      <c r="D436" s="54">
        <f>IF(_imp!$C$438="","",INDEX(_imp!$G$4:$G$4503,_imp!$C$438))</f>
        <v/>
      </c>
      <c r="E436" s="54">
        <f>IF(_imp!$C$438="","",INDEX(_imp!$H$4:$H$4503,_imp!$C$438))</f>
        <v/>
      </c>
      <c r="F436" s="54">
        <f>IF(_imp!$C$438="","",INDEX(_imp!$I$4:$I$4503,_imp!$C$438))</f>
        <v/>
      </c>
      <c r="G436" s="54">
        <f>IF(_imp!$C$438="","",INDEX(_imp!$J$4:$J$4503,_imp!$C$438))</f>
        <v/>
      </c>
      <c r="K436" s="54">
        <f>IF(_imp!$C$438="","",INDEX(_imp!$K$4:$K$4503,_imp!$C$438))</f>
        <v/>
      </c>
    </row>
    <row r="437">
      <c r="A437" s="54">
        <f>IF(_imp!$C$439="","",INDEX(_imp!$D$4:$D$4503,_imp!$C$439))</f>
        <v/>
      </c>
      <c r="B437" s="54">
        <f>IF(_imp!$C$439="","",INDEX(_imp!$E$4:$E$4503,_imp!$C$439))</f>
        <v/>
      </c>
      <c r="C437" s="54">
        <f>IF(_imp!$C$439="","",INDEX(_imp!$F$4:$F$4503,_imp!$C$439))</f>
        <v/>
      </c>
      <c r="D437" s="54">
        <f>IF(_imp!$C$439="","",INDEX(_imp!$G$4:$G$4503,_imp!$C$439))</f>
        <v/>
      </c>
      <c r="E437" s="54">
        <f>IF(_imp!$C$439="","",INDEX(_imp!$H$4:$H$4503,_imp!$C$439))</f>
        <v/>
      </c>
      <c r="F437" s="54">
        <f>IF(_imp!$C$439="","",INDEX(_imp!$I$4:$I$4503,_imp!$C$439))</f>
        <v/>
      </c>
      <c r="G437" s="54">
        <f>IF(_imp!$C$439="","",INDEX(_imp!$J$4:$J$4503,_imp!$C$439))</f>
        <v/>
      </c>
      <c r="K437" s="54">
        <f>IF(_imp!$C$439="","",INDEX(_imp!$K$4:$K$4503,_imp!$C$439))</f>
        <v/>
      </c>
    </row>
    <row r="438">
      <c r="A438" s="54">
        <f>IF(_imp!$C$440="","",INDEX(_imp!$D$4:$D$4503,_imp!$C$440))</f>
        <v/>
      </c>
      <c r="B438" s="54">
        <f>IF(_imp!$C$440="","",INDEX(_imp!$E$4:$E$4503,_imp!$C$440))</f>
        <v/>
      </c>
      <c r="C438" s="54">
        <f>IF(_imp!$C$440="","",INDEX(_imp!$F$4:$F$4503,_imp!$C$440))</f>
        <v/>
      </c>
      <c r="D438" s="54">
        <f>IF(_imp!$C$440="","",INDEX(_imp!$G$4:$G$4503,_imp!$C$440))</f>
        <v/>
      </c>
      <c r="E438" s="54">
        <f>IF(_imp!$C$440="","",INDEX(_imp!$H$4:$H$4503,_imp!$C$440))</f>
        <v/>
      </c>
      <c r="F438" s="54">
        <f>IF(_imp!$C$440="","",INDEX(_imp!$I$4:$I$4503,_imp!$C$440))</f>
        <v/>
      </c>
      <c r="G438" s="54">
        <f>IF(_imp!$C$440="","",INDEX(_imp!$J$4:$J$4503,_imp!$C$440))</f>
        <v/>
      </c>
      <c r="K438" s="54">
        <f>IF(_imp!$C$440="","",INDEX(_imp!$K$4:$K$4503,_imp!$C$440))</f>
        <v/>
      </c>
    </row>
    <row r="439">
      <c r="A439" s="54">
        <f>IF(_imp!$C$441="","",INDEX(_imp!$D$4:$D$4503,_imp!$C$441))</f>
        <v/>
      </c>
      <c r="B439" s="54">
        <f>IF(_imp!$C$441="","",INDEX(_imp!$E$4:$E$4503,_imp!$C$441))</f>
        <v/>
      </c>
      <c r="C439" s="54">
        <f>IF(_imp!$C$441="","",INDEX(_imp!$F$4:$F$4503,_imp!$C$441))</f>
        <v/>
      </c>
      <c r="D439" s="54">
        <f>IF(_imp!$C$441="","",INDEX(_imp!$G$4:$G$4503,_imp!$C$441))</f>
        <v/>
      </c>
      <c r="E439" s="54">
        <f>IF(_imp!$C$441="","",INDEX(_imp!$H$4:$H$4503,_imp!$C$441))</f>
        <v/>
      </c>
      <c r="F439" s="54">
        <f>IF(_imp!$C$441="","",INDEX(_imp!$I$4:$I$4503,_imp!$C$441))</f>
        <v/>
      </c>
      <c r="G439" s="54">
        <f>IF(_imp!$C$441="","",INDEX(_imp!$J$4:$J$4503,_imp!$C$441))</f>
        <v/>
      </c>
      <c r="K439" s="54">
        <f>IF(_imp!$C$441="","",INDEX(_imp!$K$4:$K$4503,_imp!$C$441))</f>
        <v/>
      </c>
    </row>
    <row r="440">
      <c r="A440" s="54">
        <f>IF(_imp!$C$442="","",INDEX(_imp!$D$4:$D$4503,_imp!$C$442))</f>
        <v/>
      </c>
      <c r="B440" s="54">
        <f>IF(_imp!$C$442="","",INDEX(_imp!$E$4:$E$4503,_imp!$C$442))</f>
        <v/>
      </c>
      <c r="C440" s="54">
        <f>IF(_imp!$C$442="","",INDEX(_imp!$F$4:$F$4503,_imp!$C$442))</f>
        <v/>
      </c>
      <c r="D440" s="54">
        <f>IF(_imp!$C$442="","",INDEX(_imp!$G$4:$G$4503,_imp!$C$442))</f>
        <v/>
      </c>
      <c r="E440" s="54">
        <f>IF(_imp!$C$442="","",INDEX(_imp!$H$4:$H$4503,_imp!$C$442))</f>
        <v/>
      </c>
      <c r="F440" s="54">
        <f>IF(_imp!$C$442="","",INDEX(_imp!$I$4:$I$4503,_imp!$C$442))</f>
        <v/>
      </c>
      <c r="G440" s="54">
        <f>IF(_imp!$C$442="","",INDEX(_imp!$J$4:$J$4503,_imp!$C$442))</f>
        <v/>
      </c>
      <c r="K440" s="54">
        <f>IF(_imp!$C$442="","",INDEX(_imp!$K$4:$K$4503,_imp!$C$442))</f>
        <v/>
      </c>
    </row>
    <row r="441">
      <c r="A441" s="54">
        <f>IF(_imp!$C$443="","",INDEX(_imp!$D$4:$D$4503,_imp!$C$443))</f>
        <v/>
      </c>
      <c r="B441" s="54">
        <f>IF(_imp!$C$443="","",INDEX(_imp!$E$4:$E$4503,_imp!$C$443))</f>
        <v/>
      </c>
      <c r="C441" s="54">
        <f>IF(_imp!$C$443="","",INDEX(_imp!$F$4:$F$4503,_imp!$C$443))</f>
        <v/>
      </c>
      <c r="D441" s="54">
        <f>IF(_imp!$C$443="","",INDEX(_imp!$G$4:$G$4503,_imp!$C$443))</f>
        <v/>
      </c>
      <c r="E441" s="54">
        <f>IF(_imp!$C$443="","",INDEX(_imp!$H$4:$H$4503,_imp!$C$443))</f>
        <v/>
      </c>
      <c r="F441" s="54">
        <f>IF(_imp!$C$443="","",INDEX(_imp!$I$4:$I$4503,_imp!$C$443))</f>
        <v/>
      </c>
      <c r="G441" s="54">
        <f>IF(_imp!$C$443="","",INDEX(_imp!$J$4:$J$4503,_imp!$C$443))</f>
        <v/>
      </c>
      <c r="K441" s="54">
        <f>IF(_imp!$C$443="","",INDEX(_imp!$K$4:$K$4503,_imp!$C$443))</f>
        <v/>
      </c>
    </row>
    <row r="442">
      <c r="A442" s="54">
        <f>IF(_imp!$C$444="","",INDEX(_imp!$D$4:$D$4503,_imp!$C$444))</f>
        <v/>
      </c>
      <c r="B442" s="54">
        <f>IF(_imp!$C$444="","",INDEX(_imp!$E$4:$E$4503,_imp!$C$444))</f>
        <v/>
      </c>
      <c r="C442" s="54">
        <f>IF(_imp!$C$444="","",INDEX(_imp!$F$4:$F$4503,_imp!$C$444))</f>
        <v/>
      </c>
      <c r="D442" s="54">
        <f>IF(_imp!$C$444="","",INDEX(_imp!$G$4:$G$4503,_imp!$C$444))</f>
        <v/>
      </c>
      <c r="E442" s="54">
        <f>IF(_imp!$C$444="","",INDEX(_imp!$H$4:$H$4503,_imp!$C$444))</f>
        <v/>
      </c>
      <c r="F442" s="54">
        <f>IF(_imp!$C$444="","",INDEX(_imp!$I$4:$I$4503,_imp!$C$444))</f>
        <v/>
      </c>
      <c r="G442" s="54">
        <f>IF(_imp!$C$444="","",INDEX(_imp!$J$4:$J$4503,_imp!$C$444))</f>
        <v/>
      </c>
      <c r="K442" s="54">
        <f>IF(_imp!$C$444="","",INDEX(_imp!$K$4:$K$4503,_imp!$C$444))</f>
        <v/>
      </c>
    </row>
    <row r="443">
      <c r="A443" s="54">
        <f>IF(_imp!$C$445="","",INDEX(_imp!$D$4:$D$4503,_imp!$C$445))</f>
        <v/>
      </c>
      <c r="B443" s="54">
        <f>IF(_imp!$C$445="","",INDEX(_imp!$E$4:$E$4503,_imp!$C$445))</f>
        <v/>
      </c>
      <c r="C443" s="54">
        <f>IF(_imp!$C$445="","",INDEX(_imp!$F$4:$F$4503,_imp!$C$445))</f>
        <v/>
      </c>
      <c r="D443" s="54">
        <f>IF(_imp!$C$445="","",INDEX(_imp!$G$4:$G$4503,_imp!$C$445))</f>
        <v/>
      </c>
      <c r="E443" s="54">
        <f>IF(_imp!$C$445="","",INDEX(_imp!$H$4:$H$4503,_imp!$C$445))</f>
        <v/>
      </c>
      <c r="F443" s="54">
        <f>IF(_imp!$C$445="","",INDEX(_imp!$I$4:$I$4503,_imp!$C$445))</f>
        <v/>
      </c>
      <c r="G443" s="54">
        <f>IF(_imp!$C$445="","",INDEX(_imp!$J$4:$J$4503,_imp!$C$445))</f>
        <v/>
      </c>
      <c r="K443" s="54">
        <f>IF(_imp!$C$445="","",INDEX(_imp!$K$4:$K$4503,_imp!$C$445))</f>
        <v/>
      </c>
    </row>
    <row r="444">
      <c r="A444" s="54">
        <f>IF(_imp!$C$446="","",INDEX(_imp!$D$4:$D$4503,_imp!$C$446))</f>
        <v/>
      </c>
      <c r="B444" s="54">
        <f>IF(_imp!$C$446="","",INDEX(_imp!$E$4:$E$4503,_imp!$C$446))</f>
        <v/>
      </c>
      <c r="C444" s="54">
        <f>IF(_imp!$C$446="","",INDEX(_imp!$F$4:$F$4503,_imp!$C$446))</f>
        <v/>
      </c>
      <c r="D444" s="54">
        <f>IF(_imp!$C$446="","",INDEX(_imp!$G$4:$G$4503,_imp!$C$446))</f>
        <v/>
      </c>
      <c r="E444" s="54">
        <f>IF(_imp!$C$446="","",INDEX(_imp!$H$4:$H$4503,_imp!$C$446))</f>
        <v/>
      </c>
      <c r="F444" s="54">
        <f>IF(_imp!$C$446="","",INDEX(_imp!$I$4:$I$4503,_imp!$C$446))</f>
        <v/>
      </c>
      <c r="G444" s="54">
        <f>IF(_imp!$C$446="","",INDEX(_imp!$J$4:$J$4503,_imp!$C$446))</f>
        <v/>
      </c>
      <c r="K444" s="54">
        <f>IF(_imp!$C$446="","",INDEX(_imp!$K$4:$K$4503,_imp!$C$446))</f>
        <v/>
      </c>
    </row>
    <row r="445">
      <c r="A445" s="54">
        <f>IF(_imp!$C$447="","",INDEX(_imp!$D$4:$D$4503,_imp!$C$447))</f>
        <v/>
      </c>
      <c r="B445" s="54">
        <f>IF(_imp!$C$447="","",INDEX(_imp!$E$4:$E$4503,_imp!$C$447))</f>
        <v/>
      </c>
      <c r="C445" s="54">
        <f>IF(_imp!$C$447="","",INDEX(_imp!$F$4:$F$4503,_imp!$C$447))</f>
        <v/>
      </c>
      <c r="D445" s="54">
        <f>IF(_imp!$C$447="","",INDEX(_imp!$G$4:$G$4503,_imp!$C$447))</f>
        <v/>
      </c>
      <c r="E445" s="54">
        <f>IF(_imp!$C$447="","",INDEX(_imp!$H$4:$H$4503,_imp!$C$447))</f>
        <v/>
      </c>
      <c r="F445" s="54">
        <f>IF(_imp!$C$447="","",INDEX(_imp!$I$4:$I$4503,_imp!$C$447))</f>
        <v/>
      </c>
      <c r="G445" s="54">
        <f>IF(_imp!$C$447="","",INDEX(_imp!$J$4:$J$4503,_imp!$C$447))</f>
        <v/>
      </c>
      <c r="K445" s="54">
        <f>IF(_imp!$C$447="","",INDEX(_imp!$K$4:$K$4503,_imp!$C$447))</f>
        <v/>
      </c>
    </row>
    <row r="446">
      <c r="A446" s="54">
        <f>IF(_imp!$C$448="","",INDEX(_imp!$D$4:$D$4503,_imp!$C$448))</f>
        <v/>
      </c>
      <c r="B446" s="54">
        <f>IF(_imp!$C$448="","",INDEX(_imp!$E$4:$E$4503,_imp!$C$448))</f>
        <v/>
      </c>
      <c r="C446" s="54">
        <f>IF(_imp!$C$448="","",INDEX(_imp!$F$4:$F$4503,_imp!$C$448))</f>
        <v/>
      </c>
      <c r="D446" s="54">
        <f>IF(_imp!$C$448="","",INDEX(_imp!$G$4:$G$4503,_imp!$C$448))</f>
        <v/>
      </c>
      <c r="E446" s="54">
        <f>IF(_imp!$C$448="","",INDEX(_imp!$H$4:$H$4503,_imp!$C$448))</f>
        <v/>
      </c>
      <c r="F446" s="54">
        <f>IF(_imp!$C$448="","",INDEX(_imp!$I$4:$I$4503,_imp!$C$448))</f>
        <v/>
      </c>
      <c r="G446" s="54">
        <f>IF(_imp!$C$448="","",INDEX(_imp!$J$4:$J$4503,_imp!$C$448))</f>
        <v/>
      </c>
      <c r="K446" s="54">
        <f>IF(_imp!$C$448="","",INDEX(_imp!$K$4:$K$4503,_imp!$C$448))</f>
        <v/>
      </c>
    </row>
    <row r="447">
      <c r="A447" s="54">
        <f>IF(_imp!$C$449="","",INDEX(_imp!$D$4:$D$4503,_imp!$C$449))</f>
        <v/>
      </c>
      <c r="B447" s="54">
        <f>IF(_imp!$C$449="","",INDEX(_imp!$E$4:$E$4503,_imp!$C$449))</f>
        <v/>
      </c>
      <c r="C447" s="54">
        <f>IF(_imp!$C$449="","",INDEX(_imp!$F$4:$F$4503,_imp!$C$449))</f>
        <v/>
      </c>
      <c r="D447" s="54">
        <f>IF(_imp!$C$449="","",INDEX(_imp!$G$4:$G$4503,_imp!$C$449))</f>
        <v/>
      </c>
      <c r="E447" s="54">
        <f>IF(_imp!$C$449="","",INDEX(_imp!$H$4:$H$4503,_imp!$C$449))</f>
        <v/>
      </c>
      <c r="F447" s="54">
        <f>IF(_imp!$C$449="","",INDEX(_imp!$I$4:$I$4503,_imp!$C$449))</f>
        <v/>
      </c>
      <c r="G447" s="54">
        <f>IF(_imp!$C$449="","",INDEX(_imp!$J$4:$J$4503,_imp!$C$449))</f>
        <v/>
      </c>
      <c r="K447" s="54">
        <f>IF(_imp!$C$449="","",INDEX(_imp!$K$4:$K$4503,_imp!$C$449))</f>
        <v/>
      </c>
    </row>
    <row r="448">
      <c r="A448" s="54">
        <f>IF(_imp!$C$450="","",INDEX(_imp!$D$4:$D$4503,_imp!$C$450))</f>
        <v/>
      </c>
      <c r="B448" s="54">
        <f>IF(_imp!$C$450="","",INDEX(_imp!$E$4:$E$4503,_imp!$C$450))</f>
        <v/>
      </c>
      <c r="C448" s="54">
        <f>IF(_imp!$C$450="","",INDEX(_imp!$F$4:$F$4503,_imp!$C$450))</f>
        <v/>
      </c>
      <c r="D448" s="54">
        <f>IF(_imp!$C$450="","",INDEX(_imp!$G$4:$G$4503,_imp!$C$450))</f>
        <v/>
      </c>
      <c r="E448" s="54">
        <f>IF(_imp!$C$450="","",INDEX(_imp!$H$4:$H$4503,_imp!$C$450))</f>
        <v/>
      </c>
      <c r="F448" s="54">
        <f>IF(_imp!$C$450="","",INDEX(_imp!$I$4:$I$4503,_imp!$C$450))</f>
        <v/>
      </c>
      <c r="G448" s="54">
        <f>IF(_imp!$C$450="","",INDEX(_imp!$J$4:$J$4503,_imp!$C$450))</f>
        <v/>
      </c>
      <c r="K448" s="54">
        <f>IF(_imp!$C$450="","",INDEX(_imp!$K$4:$K$4503,_imp!$C$450))</f>
        <v/>
      </c>
    </row>
    <row r="449">
      <c r="A449" s="54">
        <f>IF(_imp!$C$451="","",INDEX(_imp!$D$4:$D$4503,_imp!$C$451))</f>
        <v/>
      </c>
      <c r="B449" s="54">
        <f>IF(_imp!$C$451="","",INDEX(_imp!$E$4:$E$4503,_imp!$C$451))</f>
        <v/>
      </c>
      <c r="C449" s="54">
        <f>IF(_imp!$C$451="","",INDEX(_imp!$F$4:$F$4503,_imp!$C$451))</f>
        <v/>
      </c>
      <c r="D449" s="54">
        <f>IF(_imp!$C$451="","",INDEX(_imp!$G$4:$G$4503,_imp!$C$451))</f>
        <v/>
      </c>
      <c r="E449" s="54">
        <f>IF(_imp!$C$451="","",INDEX(_imp!$H$4:$H$4503,_imp!$C$451))</f>
        <v/>
      </c>
      <c r="F449" s="54">
        <f>IF(_imp!$C$451="","",INDEX(_imp!$I$4:$I$4503,_imp!$C$451))</f>
        <v/>
      </c>
      <c r="G449" s="54">
        <f>IF(_imp!$C$451="","",INDEX(_imp!$J$4:$J$4503,_imp!$C$451))</f>
        <v/>
      </c>
      <c r="K449" s="54">
        <f>IF(_imp!$C$451="","",INDEX(_imp!$K$4:$K$4503,_imp!$C$451))</f>
        <v/>
      </c>
    </row>
    <row r="450">
      <c r="A450" s="54">
        <f>IF(_imp!$C$452="","",INDEX(_imp!$D$4:$D$4503,_imp!$C$452))</f>
        <v/>
      </c>
      <c r="B450" s="54">
        <f>IF(_imp!$C$452="","",INDEX(_imp!$E$4:$E$4503,_imp!$C$452))</f>
        <v/>
      </c>
      <c r="C450" s="54">
        <f>IF(_imp!$C$452="","",INDEX(_imp!$F$4:$F$4503,_imp!$C$452))</f>
        <v/>
      </c>
      <c r="D450" s="54">
        <f>IF(_imp!$C$452="","",INDEX(_imp!$G$4:$G$4503,_imp!$C$452))</f>
        <v/>
      </c>
      <c r="E450" s="54">
        <f>IF(_imp!$C$452="","",INDEX(_imp!$H$4:$H$4503,_imp!$C$452))</f>
        <v/>
      </c>
      <c r="F450" s="54">
        <f>IF(_imp!$C$452="","",INDEX(_imp!$I$4:$I$4503,_imp!$C$452))</f>
        <v/>
      </c>
      <c r="G450" s="54">
        <f>IF(_imp!$C$452="","",INDEX(_imp!$J$4:$J$4503,_imp!$C$452))</f>
        <v/>
      </c>
      <c r="K450" s="54">
        <f>IF(_imp!$C$452="","",INDEX(_imp!$K$4:$K$4503,_imp!$C$452))</f>
        <v/>
      </c>
    </row>
    <row r="451">
      <c r="A451" s="54">
        <f>IF(_imp!$C$453="","",INDEX(_imp!$D$4:$D$4503,_imp!$C$453))</f>
        <v/>
      </c>
      <c r="B451" s="54">
        <f>IF(_imp!$C$453="","",INDEX(_imp!$E$4:$E$4503,_imp!$C$453))</f>
        <v/>
      </c>
      <c r="C451" s="54">
        <f>IF(_imp!$C$453="","",INDEX(_imp!$F$4:$F$4503,_imp!$C$453))</f>
        <v/>
      </c>
      <c r="D451" s="54">
        <f>IF(_imp!$C$453="","",INDEX(_imp!$G$4:$G$4503,_imp!$C$453))</f>
        <v/>
      </c>
      <c r="E451" s="54">
        <f>IF(_imp!$C$453="","",INDEX(_imp!$H$4:$H$4503,_imp!$C$453))</f>
        <v/>
      </c>
      <c r="F451" s="54">
        <f>IF(_imp!$C$453="","",INDEX(_imp!$I$4:$I$4503,_imp!$C$453))</f>
        <v/>
      </c>
      <c r="G451" s="54">
        <f>IF(_imp!$C$453="","",INDEX(_imp!$J$4:$J$4503,_imp!$C$453))</f>
        <v/>
      </c>
      <c r="K451" s="54">
        <f>IF(_imp!$C$453="","",INDEX(_imp!$K$4:$K$4503,_imp!$C$453))</f>
        <v/>
      </c>
    </row>
    <row r="452">
      <c r="A452" s="54">
        <f>IF(_imp!$C$454="","",INDEX(_imp!$D$4:$D$4503,_imp!$C$454))</f>
        <v/>
      </c>
      <c r="B452" s="54">
        <f>IF(_imp!$C$454="","",INDEX(_imp!$E$4:$E$4503,_imp!$C$454))</f>
        <v/>
      </c>
      <c r="C452" s="54">
        <f>IF(_imp!$C$454="","",INDEX(_imp!$F$4:$F$4503,_imp!$C$454))</f>
        <v/>
      </c>
      <c r="D452" s="54">
        <f>IF(_imp!$C$454="","",INDEX(_imp!$G$4:$G$4503,_imp!$C$454))</f>
        <v/>
      </c>
      <c r="E452" s="54">
        <f>IF(_imp!$C$454="","",INDEX(_imp!$H$4:$H$4503,_imp!$C$454))</f>
        <v/>
      </c>
      <c r="F452" s="54">
        <f>IF(_imp!$C$454="","",INDEX(_imp!$I$4:$I$4503,_imp!$C$454))</f>
        <v/>
      </c>
      <c r="G452" s="54">
        <f>IF(_imp!$C$454="","",INDEX(_imp!$J$4:$J$4503,_imp!$C$454))</f>
        <v/>
      </c>
      <c r="K452" s="54">
        <f>IF(_imp!$C$454="","",INDEX(_imp!$K$4:$K$4503,_imp!$C$454))</f>
        <v/>
      </c>
    </row>
    <row r="453">
      <c r="A453" s="54">
        <f>IF(_imp!$C$455="","",INDEX(_imp!$D$4:$D$4503,_imp!$C$455))</f>
        <v/>
      </c>
      <c r="B453" s="54">
        <f>IF(_imp!$C$455="","",INDEX(_imp!$E$4:$E$4503,_imp!$C$455))</f>
        <v/>
      </c>
      <c r="C453" s="54">
        <f>IF(_imp!$C$455="","",INDEX(_imp!$F$4:$F$4503,_imp!$C$455))</f>
        <v/>
      </c>
      <c r="D453" s="54">
        <f>IF(_imp!$C$455="","",INDEX(_imp!$G$4:$G$4503,_imp!$C$455))</f>
        <v/>
      </c>
      <c r="E453" s="54">
        <f>IF(_imp!$C$455="","",INDEX(_imp!$H$4:$H$4503,_imp!$C$455))</f>
        <v/>
      </c>
      <c r="F453" s="54">
        <f>IF(_imp!$C$455="","",INDEX(_imp!$I$4:$I$4503,_imp!$C$455))</f>
        <v/>
      </c>
      <c r="G453" s="54">
        <f>IF(_imp!$C$455="","",INDEX(_imp!$J$4:$J$4503,_imp!$C$455))</f>
        <v/>
      </c>
      <c r="K453" s="54">
        <f>IF(_imp!$C$455="","",INDEX(_imp!$K$4:$K$4503,_imp!$C$455))</f>
        <v/>
      </c>
    </row>
    <row r="454">
      <c r="A454" s="54">
        <f>IF(_imp!$C$456="","",INDEX(_imp!$D$4:$D$4503,_imp!$C$456))</f>
        <v/>
      </c>
      <c r="B454" s="54">
        <f>IF(_imp!$C$456="","",INDEX(_imp!$E$4:$E$4503,_imp!$C$456))</f>
        <v/>
      </c>
      <c r="C454" s="54">
        <f>IF(_imp!$C$456="","",INDEX(_imp!$F$4:$F$4503,_imp!$C$456))</f>
        <v/>
      </c>
      <c r="D454" s="54">
        <f>IF(_imp!$C$456="","",INDEX(_imp!$G$4:$G$4503,_imp!$C$456))</f>
        <v/>
      </c>
      <c r="E454" s="54">
        <f>IF(_imp!$C$456="","",INDEX(_imp!$H$4:$H$4503,_imp!$C$456))</f>
        <v/>
      </c>
      <c r="F454" s="54">
        <f>IF(_imp!$C$456="","",INDEX(_imp!$I$4:$I$4503,_imp!$C$456))</f>
        <v/>
      </c>
      <c r="G454" s="54">
        <f>IF(_imp!$C$456="","",INDEX(_imp!$J$4:$J$4503,_imp!$C$456))</f>
        <v/>
      </c>
      <c r="K454" s="54">
        <f>IF(_imp!$C$456="","",INDEX(_imp!$K$4:$K$4503,_imp!$C$456))</f>
        <v/>
      </c>
    </row>
    <row r="455">
      <c r="A455" s="54">
        <f>IF(_imp!$C$457="","",INDEX(_imp!$D$4:$D$4503,_imp!$C$457))</f>
        <v/>
      </c>
      <c r="B455" s="54">
        <f>IF(_imp!$C$457="","",INDEX(_imp!$E$4:$E$4503,_imp!$C$457))</f>
        <v/>
      </c>
      <c r="C455" s="54">
        <f>IF(_imp!$C$457="","",INDEX(_imp!$F$4:$F$4503,_imp!$C$457))</f>
        <v/>
      </c>
      <c r="D455" s="54">
        <f>IF(_imp!$C$457="","",INDEX(_imp!$G$4:$G$4503,_imp!$C$457))</f>
        <v/>
      </c>
      <c r="E455" s="54">
        <f>IF(_imp!$C$457="","",INDEX(_imp!$H$4:$H$4503,_imp!$C$457))</f>
        <v/>
      </c>
      <c r="F455" s="54">
        <f>IF(_imp!$C$457="","",INDEX(_imp!$I$4:$I$4503,_imp!$C$457))</f>
        <v/>
      </c>
      <c r="G455" s="54">
        <f>IF(_imp!$C$457="","",INDEX(_imp!$J$4:$J$4503,_imp!$C$457))</f>
        <v/>
      </c>
      <c r="K455" s="54">
        <f>IF(_imp!$C$457="","",INDEX(_imp!$K$4:$K$4503,_imp!$C$457))</f>
        <v/>
      </c>
    </row>
    <row r="456">
      <c r="A456" s="54">
        <f>IF(_imp!$C$458="","",INDEX(_imp!$D$4:$D$4503,_imp!$C$458))</f>
        <v/>
      </c>
      <c r="B456" s="54">
        <f>IF(_imp!$C$458="","",INDEX(_imp!$E$4:$E$4503,_imp!$C$458))</f>
        <v/>
      </c>
      <c r="C456" s="54">
        <f>IF(_imp!$C$458="","",INDEX(_imp!$F$4:$F$4503,_imp!$C$458))</f>
        <v/>
      </c>
      <c r="D456" s="54">
        <f>IF(_imp!$C$458="","",INDEX(_imp!$G$4:$G$4503,_imp!$C$458))</f>
        <v/>
      </c>
      <c r="E456" s="54">
        <f>IF(_imp!$C$458="","",INDEX(_imp!$H$4:$H$4503,_imp!$C$458))</f>
        <v/>
      </c>
      <c r="F456" s="54">
        <f>IF(_imp!$C$458="","",INDEX(_imp!$I$4:$I$4503,_imp!$C$458))</f>
        <v/>
      </c>
      <c r="G456" s="54">
        <f>IF(_imp!$C$458="","",INDEX(_imp!$J$4:$J$4503,_imp!$C$458))</f>
        <v/>
      </c>
      <c r="K456" s="54">
        <f>IF(_imp!$C$458="","",INDEX(_imp!$K$4:$K$4503,_imp!$C$458))</f>
        <v/>
      </c>
    </row>
    <row r="457">
      <c r="A457" s="54">
        <f>IF(_imp!$C$459="","",INDEX(_imp!$D$4:$D$4503,_imp!$C$459))</f>
        <v/>
      </c>
      <c r="B457" s="54">
        <f>IF(_imp!$C$459="","",INDEX(_imp!$E$4:$E$4503,_imp!$C$459))</f>
        <v/>
      </c>
      <c r="C457" s="54">
        <f>IF(_imp!$C$459="","",INDEX(_imp!$F$4:$F$4503,_imp!$C$459))</f>
        <v/>
      </c>
      <c r="D457" s="54">
        <f>IF(_imp!$C$459="","",INDEX(_imp!$G$4:$G$4503,_imp!$C$459))</f>
        <v/>
      </c>
      <c r="E457" s="54">
        <f>IF(_imp!$C$459="","",INDEX(_imp!$H$4:$H$4503,_imp!$C$459))</f>
        <v/>
      </c>
      <c r="F457" s="54">
        <f>IF(_imp!$C$459="","",INDEX(_imp!$I$4:$I$4503,_imp!$C$459))</f>
        <v/>
      </c>
      <c r="G457" s="54">
        <f>IF(_imp!$C$459="","",INDEX(_imp!$J$4:$J$4503,_imp!$C$459))</f>
        <v/>
      </c>
      <c r="K457" s="54">
        <f>IF(_imp!$C$459="","",INDEX(_imp!$K$4:$K$4503,_imp!$C$459))</f>
        <v/>
      </c>
    </row>
    <row r="458">
      <c r="A458" s="54">
        <f>IF(_imp!$C$460="","",INDEX(_imp!$D$4:$D$4503,_imp!$C$460))</f>
        <v/>
      </c>
      <c r="B458" s="54">
        <f>IF(_imp!$C$460="","",INDEX(_imp!$E$4:$E$4503,_imp!$C$460))</f>
        <v/>
      </c>
      <c r="C458" s="54">
        <f>IF(_imp!$C$460="","",INDEX(_imp!$F$4:$F$4503,_imp!$C$460))</f>
        <v/>
      </c>
      <c r="D458" s="54">
        <f>IF(_imp!$C$460="","",INDEX(_imp!$G$4:$G$4503,_imp!$C$460))</f>
        <v/>
      </c>
      <c r="E458" s="54">
        <f>IF(_imp!$C$460="","",INDEX(_imp!$H$4:$H$4503,_imp!$C$460))</f>
        <v/>
      </c>
      <c r="F458" s="54">
        <f>IF(_imp!$C$460="","",INDEX(_imp!$I$4:$I$4503,_imp!$C$460))</f>
        <v/>
      </c>
      <c r="G458" s="54">
        <f>IF(_imp!$C$460="","",INDEX(_imp!$J$4:$J$4503,_imp!$C$460))</f>
        <v/>
      </c>
      <c r="K458" s="54">
        <f>IF(_imp!$C$460="","",INDEX(_imp!$K$4:$K$4503,_imp!$C$460))</f>
        <v/>
      </c>
    </row>
    <row r="459">
      <c r="A459" s="54">
        <f>IF(_imp!$C$461="","",INDEX(_imp!$D$4:$D$4503,_imp!$C$461))</f>
        <v/>
      </c>
      <c r="B459" s="54">
        <f>IF(_imp!$C$461="","",INDEX(_imp!$E$4:$E$4503,_imp!$C$461))</f>
        <v/>
      </c>
      <c r="C459" s="54">
        <f>IF(_imp!$C$461="","",INDEX(_imp!$F$4:$F$4503,_imp!$C$461))</f>
        <v/>
      </c>
      <c r="D459" s="54">
        <f>IF(_imp!$C$461="","",INDEX(_imp!$G$4:$G$4503,_imp!$C$461))</f>
        <v/>
      </c>
      <c r="E459" s="54">
        <f>IF(_imp!$C$461="","",INDEX(_imp!$H$4:$H$4503,_imp!$C$461))</f>
        <v/>
      </c>
      <c r="F459" s="54">
        <f>IF(_imp!$C$461="","",INDEX(_imp!$I$4:$I$4503,_imp!$C$461))</f>
        <v/>
      </c>
      <c r="G459" s="54">
        <f>IF(_imp!$C$461="","",INDEX(_imp!$J$4:$J$4503,_imp!$C$461))</f>
        <v/>
      </c>
      <c r="K459" s="54">
        <f>IF(_imp!$C$461="","",INDEX(_imp!$K$4:$K$4503,_imp!$C$461))</f>
        <v/>
      </c>
    </row>
    <row r="460">
      <c r="A460" s="54">
        <f>IF(_imp!$C$462="","",INDEX(_imp!$D$4:$D$4503,_imp!$C$462))</f>
        <v/>
      </c>
      <c r="B460" s="54">
        <f>IF(_imp!$C$462="","",INDEX(_imp!$E$4:$E$4503,_imp!$C$462))</f>
        <v/>
      </c>
      <c r="C460" s="54">
        <f>IF(_imp!$C$462="","",INDEX(_imp!$F$4:$F$4503,_imp!$C$462))</f>
        <v/>
      </c>
      <c r="D460" s="54">
        <f>IF(_imp!$C$462="","",INDEX(_imp!$G$4:$G$4503,_imp!$C$462))</f>
        <v/>
      </c>
      <c r="E460" s="54">
        <f>IF(_imp!$C$462="","",INDEX(_imp!$H$4:$H$4503,_imp!$C$462))</f>
        <v/>
      </c>
      <c r="F460" s="54">
        <f>IF(_imp!$C$462="","",INDEX(_imp!$I$4:$I$4503,_imp!$C$462))</f>
        <v/>
      </c>
      <c r="G460" s="54">
        <f>IF(_imp!$C$462="","",INDEX(_imp!$J$4:$J$4503,_imp!$C$462))</f>
        <v/>
      </c>
      <c r="K460" s="54">
        <f>IF(_imp!$C$462="","",INDEX(_imp!$K$4:$K$4503,_imp!$C$462))</f>
        <v/>
      </c>
    </row>
    <row r="461">
      <c r="A461" s="54">
        <f>IF(_imp!$C$463="","",INDEX(_imp!$D$4:$D$4503,_imp!$C$463))</f>
        <v/>
      </c>
      <c r="B461" s="54">
        <f>IF(_imp!$C$463="","",INDEX(_imp!$E$4:$E$4503,_imp!$C$463))</f>
        <v/>
      </c>
      <c r="C461" s="54">
        <f>IF(_imp!$C$463="","",INDEX(_imp!$F$4:$F$4503,_imp!$C$463))</f>
        <v/>
      </c>
      <c r="D461" s="54">
        <f>IF(_imp!$C$463="","",INDEX(_imp!$G$4:$G$4503,_imp!$C$463))</f>
        <v/>
      </c>
      <c r="E461" s="54">
        <f>IF(_imp!$C$463="","",INDEX(_imp!$H$4:$H$4503,_imp!$C$463))</f>
        <v/>
      </c>
      <c r="F461" s="54">
        <f>IF(_imp!$C$463="","",INDEX(_imp!$I$4:$I$4503,_imp!$C$463))</f>
        <v/>
      </c>
      <c r="G461" s="54">
        <f>IF(_imp!$C$463="","",INDEX(_imp!$J$4:$J$4503,_imp!$C$463))</f>
        <v/>
      </c>
      <c r="K461" s="54">
        <f>IF(_imp!$C$463="","",INDEX(_imp!$K$4:$K$4503,_imp!$C$463))</f>
        <v/>
      </c>
    </row>
    <row r="462">
      <c r="A462" s="54">
        <f>IF(_imp!$C$464="","",INDEX(_imp!$D$4:$D$4503,_imp!$C$464))</f>
        <v/>
      </c>
      <c r="B462" s="54">
        <f>IF(_imp!$C$464="","",INDEX(_imp!$E$4:$E$4503,_imp!$C$464))</f>
        <v/>
      </c>
      <c r="C462" s="54">
        <f>IF(_imp!$C$464="","",INDEX(_imp!$F$4:$F$4503,_imp!$C$464))</f>
        <v/>
      </c>
      <c r="D462" s="54">
        <f>IF(_imp!$C$464="","",INDEX(_imp!$G$4:$G$4503,_imp!$C$464))</f>
        <v/>
      </c>
      <c r="E462" s="54">
        <f>IF(_imp!$C$464="","",INDEX(_imp!$H$4:$H$4503,_imp!$C$464))</f>
        <v/>
      </c>
      <c r="F462" s="54">
        <f>IF(_imp!$C$464="","",INDEX(_imp!$I$4:$I$4503,_imp!$C$464))</f>
        <v/>
      </c>
      <c r="G462" s="54">
        <f>IF(_imp!$C$464="","",INDEX(_imp!$J$4:$J$4503,_imp!$C$464))</f>
        <v/>
      </c>
      <c r="K462" s="54">
        <f>IF(_imp!$C$464="","",INDEX(_imp!$K$4:$K$4503,_imp!$C$464))</f>
        <v/>
      </c>
    </row>
    <row r="463">
      <c r="A463" s="54">
        <f>IF(_imp!$C$465="","",INDEX(_imp!$D$4:$D$4503,_imp!$C$465))</f>
        <v/>
      </c>
      <c r="B463" s="54">
        <f>IF(_imp!$C$465="","",INDEX(_imp!$E$4:$E$4503,_imp!$C$465))</f>
        <v/>
      </c>
      <c r="C463" s="54">
        <f>IF(_imp!$C$465="","",INDEX(_imp!$F$4:$F$4503,_imp!$C$465))</f>
        <v/>
      </c>
      <c r="D463" s="54">
        <f>IF(_imp!$C$465="","",INDEX(_imp!$G$4:$G$4503,_imp!$C$465))</f>
        <v/>
      </c>
      <c r="E463" s="54">
        <f>IF(_imp!$C$465="","",INDEX(_imp!$H$4:$H$4503,_imp!$C$465))</f>
        <v/>
      </c>
      <c r="F463" s="54">
        <f>IF(_imp!$C$465="","",INDEX(_imp!$I$4:$I$4503,_imp!$C$465))</f>
        <v/>
      </c>
      <c r="G463" s="54">
        <f>IF(_imp!$C$465="","",INDEX(_imp!$J$4:$J$4503,_imp!$C$465))</f>
        <v/>
      </c>
      <c r="K463" s="54">
        <f>IF(_imp!$C$465="","",INDEX(_imp!$K$4:$K$4503,_imp!$C$465))</f>
        <v/>
      </c>
    </row>
    <row r="464">
      <c r="A464" s="54">
        <f>IF(_imp!$C$466="","",INDEX(_imp!$D$4:$D$4503,_imp!$C$466))</f>
        <v/>
      </c>
      <c r="B464" s="54">
        <f>IF(_imp!$C$466="","",INDEX(_imp!$E$4:$E$4503,_imp!$C$466))</f>
        <v/>
      </c>
      <c r="C464" s="54">
        <f>IF(_imp!$C$466="","",INDEX(_imp!$F$4:$F$4503,_imp!$C$466))</f>
        <v/>
      </c>
      <c r="D464" s="54">
        <f>IF(_imp!$C$466="","",INDEX(_imp!$G$4:$G$4503,_imp!$C$466))</f>
        <v/>
      </c>
      <c r="E464" s="54">
        <f>IF(_imp!$C$466="","",INDEX(_imp!$H$4:$H$4503,_imp!$C$466))</f>
        <v/>
      </c>
      <c r="F464" s="54">
        <f>IF(_imp!$C$466="","",INDEX(_imp!$I$4:$I$4503,_imp!$C$466))</f>
        <v/>
      </c>
      <c r="G464" s="54">
        <f>IF(_imp!$C$466="","",INDEX(_imp!$J$4:$J$4503,_imp!$C$466))</f>
        <v/>
      </c>
      <c r="K464" s="54">
        <f>IF(_imp!$C$466="","",INDEX(_imp!$K$4:$K$4503,_imp!$C$466))</f>
        <v/>
      </c>
    </row>
    <row r="465">
      <c r="A465" s="54">
        <f>IF(_imp!$C$467="","",INDEX(_imp!$D$4:$D$4503,_imp!$C$467))</f>
        <v/>
      </c>
      <c r="B465" s="54">
        <f>IF(_imp!$C$467="","",INDEX(_imp!$E$4:$E$4503,_imp!$C$467))</f>
        <v/>
      </c>
      <c r="C465" s="54">
        <f>IF(_imp!$C$467="","",INDEX(_imp!$F$4:$F$4503,_imp!$C$467))</f>
        <v/>
      </c>
      <c r="D465" s="54">
        <f>IF(_imp!$C$467="","",INDEX(_imp!$G$4:$G$4503,_imp!$C$467))</f>
        <v/>
      </c>
      <c r="E465" s="54">
        <f>IF(_imp!$C$467="","",INDEX(_imp!$H$4:$H$4503,_imp!$C$467))</f>
        <v/>
      </c>
      <c r="F465" s="54">
        <f>IF(_imp!$C$467="","",INDEX(_imp!$I$4:$I$4503,_imp!$C$467))</f>
        <v/>
      </c>
      <c r="G465" s="54">
        <f>IF(_imp!$C$467="","",INDEX(_imp!$J$4:$J$4503,_imp!$C$467))</f>
        <v/>
      </c>
      <c r="K465" s="54">
        <f>IF(_imp!$C$467="","",INDEX(_imp!$K$4:$K$4503,_imp!$C$467))</f>
        <v/>
      </c>
    </row>
    <row r="466">
      <c r="A466" s="54">
        <f>IF(_imp!$C$468="","",INDEX(_imp!$D$4:$D$4503,_imp!$C$468))</f>
        <v/>
      </c>
      <c r="B466" s="54">
        <f>IF(_imp!$C$468="","",INDEX(_imp!$E$4:$E$4503,_imp!$C$468))</f>
        <v/>
      </c>
      <c r="C466" s="54">
        <f>IF(_imp!$C$468="","",INDEX(_imp!$F$4:$F$4503,_imp!$C$468))</f>
        <v/>
      </c>
      <c r="D466" s="54">
        <f>IF(_imp!$C$468="","",INDEX(_imp!$G$4:$G$4503,_imp!$C$468))</f>
        <v/>
      </c>
      <c r="E466" s="54">
        <f>IF(_imp!$C$468="","",INDEX(_imp!$H$4:$H$4503,_imp!$C$468))</f>
        <v/>
      </c>
      <c r="F466" s="54">
        <f>IF(_imp!$C$468="","",INDEX(_imp!$I$4:$I$4503,_imp!$C$468))</f>
        <v/>
      </c>
      <c r="G466" s="54">
        <f>IF(_imp!$C$468="","",INDEX(_imp!$J$4:$J$4503,_imp!$C$468))</f>
        <v/>
      </c>
      <c r="K466" s="54">
        <f>IF(_imp!$C$468="","",INDEX(_imp!$K$4:$K$4503,_imp!$C$468))</f>
        <v/>
      </c>
    </row>
    <row r="467">
      <c r="A467" s="54">
        <f>IF(_imp!$C$469="","",INDEX(_imp!$D$4:$D$4503,_imp!$C$469))</f>
        <v/>
      </c>
      <c r="B467" s="54">
        <f>IF(_imp!$C$469="","",INDEX(_imp!$E$4:$E$4503,_imp!$C$469))</f>
        <v/>
      </c>
      <c r="C467" s="54">
        <f>IF(_imp!$C$469="","",INDEX(_imp!$F$4:$F$4503,_imp!$C$469))</f>
        <v/>
      </c>
      <c r="D467" s="54">
        <f>IF(_imp!$C$469="","",INDEX(_imp!$G$4:$G$4503,_imp!$C$469))</f>
        <v/>
      </c>
      <c r="E467" s="54">
        <f>IF(_imp!$C$469="","",INDEX(_imp!$H$4:$H$4503,_imp!$C$469))</f>
        <v/>
      </c>
      <c r="F467" s="54">
        <f>IF(_imp!$C$469="","",INDEX(_imp!$I$4:$I$4503,_imp!$C$469))</f>
        <v/>
      </c>
      <c r="G467" s="54">
        <f>IF(_imp!$C$469="","",INDEX(_imp!$J$4:$J$4503,_imp!$C$469))</f>
        <v/>
      </c>
      <c r="K467" s="54">
        <f>IF(_imp!$C$469="","",INDEX(_imp!$K$4:$K$4503,_imp!$C$469))</f>
        <v/>
      </c>
    </row>
    <row r="468">
      <c r="A468" s="54">
        <f>IF(_imp!$C$470="","",INDEX(_imp!$D$4:$D$4503,_imp!$C$470))</f>
        <v/>
      </c>
      <c r="B468" s="54">
        <f>IF(_imp!$C$470="","",INDEX(_imp!$E$4:$E$4503,_imp!$C$470))</f>
        <v/>
      </c>
      <c r="C468" s="54">
        <f>IF(_imp!$C$470="","",INDEX(_imp!$F$4:$F$4503,_imp!$C$470))</f>
        <v/>
      </c>
      <c r="D468" s="54">
        <f>IF(_imp!$C$470="","",INDEX(_imp!$G$4:$G$4503,_imp!$C$470))</f>
        <v/>
      </c>
      <c r="E468" s="54">
        <f>IF(_imp!$C$470="","",INDEX(_imp!$H$4:$H$4503,_imp!$C$470))</f>
        <v/>
      </c>
      <c r="F468" s="54">
        <f>IF(_imp!$C$470="","",INDEX(_imp!$I$4:$I$4503,_imp!$C$470))</f>
        <v/>
      </c>
      <c r="G468" s="54">
        <f>IF(_imp!$C$470="","",INDEX(_imp!$J$4:$J$4503,_imp!$C$470))</f>
        <v/>
      </c>
      <c r="K468" s="54">
        <f>IF(_imp!$C$470="","",INDEX(_imp!$K$4:$K$4503,_imp!$C$470))</f>
        <v/>
      </c>
    </row>
    <row r="469">
      <c r="A469" s="54">
        <f>IF(_imp!$C$471="","",INDEX(_imp!$D$4:$D$4503,_imp!$C$471))</f>
        <v/>
      </c>
      <c r="B469" s="54">
        <f>IF(_imp!$C$471="","",INDEX(_imp!$E$4:$E$4503,_imp!$C$471))</f>
        <v/>
      </c>
      <c r="C469" s="54">
        <f>IF(_imp!$C$471="","",INDEX(_imp!$F$4:$F$4503,_imp!$C$471))</f>
        <v/>
      </c>
      <c r="D469" s="54">
        <f>IF(_imp!$C$471="","",INDEX(_imp!$G$4:$G$4503,_imp!$C$471))</f>
        <v/>
      </c>
      <c r="E469" s="54">
        <f>IF(_imp!$C$471="","",INDEX(_imp!$H$4:$H$4503,_imp!$C$471))</f>
        <v/>
      </c>
      <c r="F469" s="54">
        <f>IF(_imp!$C$471="","",INDEX(_imp!$I$4:$I$4503,_imp!$C$471))</f>
        <v/>
      </c>
      <c r="G469" s="54">
        <f>IF(_imp!$C$471="","",INDEX(_imp!$J$4:$J$4503,_imp!$C$471))</f>
        <v/>
      </c>
      <c r="K469" s="54">
        <f>IF(_imp!$C$471="","",INDEX(_imp!$K$4:$K$4503,_imp!$C$471))</f>
        <v/>
      </c>
    </row>
    <row r="470">
      <c r="A470" s="54">
        <f>IF(_imp!$C$472="","",INDEX(_imp!$D$4:$D$4503,_imp!$C$472))</f>
        <v/>
      </c>
      <c r="B470" s="54">
        <f>IF(_imp!$C$472="","",INDEX(_imp!$E$4:$E$4503,_imp!$C$472))</f>
        <v/>
      </c>
      <c r="C470" s="54">
        <f>IF(_imp!$C$472="","",INDEX(_imp!$F$4:$F$4503,_imp!$C$472))</f>
        <v/>
      </c>
      <c r="D470" s="54">
        <f>IF(_imp!$C$472="","",INDEX(_imp!$G$4:$G$4503,_imp!$C$472))</f>
        <v/>
      </c>
      <c r="E470" s="54">
        <f>IF(_imp!$C$472="","",INDEX(_imp!$H$4:$H$4503,_imp!$C$472))</f>
        <v/>
      </c>
      <c r="F470" s="54">
        <f>IF(_imp!$C$472="","",INDEX(_imp!$I$4:$I$4503,_imp!$C$472))</f>
        <v/>
      </c>
      <c r="G470" s="54">
        <f>IF(_imp!$C$472="","",INDEX(_imp!$J$4:$J$4503,_imp!$C$472))</f>
        <v/>
      </c>
      <c r="K470" s="54">
        <f>IF(_imp!$C$472="","",INDEX(_imp!$K$4:$K$4503,_imp!$C$472))</f>
        <v/>
      </c>
    </row>
    <row r="471">
      <c r="A471" s="54">
        <f>IF(_imp!$C$473="","",INDEX(_imp!$D$4:$D$4503,_imp!$C$473))</f>
        <v/>
      </c>
      <c r="B471" s="54">
        <f>IF(_imp!$C$473="","",INDEX(_imp!$E$4:$E$4503,_imp!$C$473))</f>
        <v/>
      </c>
      <c r="C471" s="54">
        <f>IF(_imp!$C$473="","",INDEX(_imp!$F$4:$F$4503,_imp!$C$473))</f>
        <v/>
      </c>
      <c r="D471" s="54">
        <f>IF(_imp!$C$473="","",INDEX(_imp!$G$4:$G$4503,_imp!$C$473))</f>
        <v/>
      </c>
      <c r="E471" s="54">
        <f>IF(_imp!$C$473="","",INDEX(_imp!$H$4:$H$4503,_imp!$C$473))</f>
        <v/>
      </c>
      <c r="F471" s="54">
        <f>IF(_imp!$C$473="","",INDEX(_imp!$I$4:$I$4503,_imp!$C$473))</f>
        <v/>
      </c>
      <c r="G471" s="54">
        <f>IF(_imp!$C$473="","",INDEX(_imp!$J$4:$J$4503,_imp!$C$473))</f>
        <v/>
      </c>
      <c r="K471" s="54">
        <f>IF(_imp!$C$473="","",INDEX(_imp!$K$4:$K$4503,_imp!$C$473))</f>
        <v/>
      </c>
    </row>
    <row r="472">
      <c r="A472" s="54">
        <f>IF(_imp!$C$474="","",INDEX(_imp!$D$4:$D$4503,_imp!$C$474))</f>
        <v/>
      </c>
      <c r="B472" s="54">
        <f>IF(_imp!$C$474="","",INDEX(_imp!$E$4:$E$4503,_imp!$C$474))</f>
        <v/>
      </c>
      <c r="C472" s="54">
        <f>IF(_imp!$C$474="","",INDEX(_imp!$F$4:$F$4503,_imp!$C$474))</f>
        <v/>
      </c>
      <c r="D472" s="54">
        <f>IF(_imp!$C$474="","",INDEX(_imp!$G$4:$G$4503,_imp!$C$474))</f>
        <v/>
      </c>
      <c r="E472" s="54">
        <f>IF(_imp!$C$474="","",INDEX(_imp!$H$4:$H$4503,_imp!$C$474))</f>
        <v/>
      </c>
      <c r="F472" s="54">
        <f>IF(_imp!$C$474="","",INDEX(_imp!$I$4:$I$4503,_imp!$C$474))</f>
        <v/>
      </c>
      <c r="G472" s="54">
        <f>IF(_imp!$C$474="","",INDEX(_imp!$J$4:$J$4503,_imp!$C$474))</f>
        <v/>
      </c>
      <c r="K472" s="54">
        <f>IF(_imp!$C$474="","",INDEX(_imp!$K$4:$K$4503,_imp!$C$474))</f>
        <v/>
      </c>
    </row>
    <row r="473">
      <c r="A473" s="54">
        <f>IF(_imp!$C$475="","",INDEX(_imp!$D$4:$D$4503,_imp!$C$475))</f>
        <v/>
      </c>
      <c r="B473" s="54">
        <f>IF(_imp!$C$475="","",INDEX(_imp!$E$4:$E$4503,_imp!$C$475))</f>
        <v/>
      </c>
      <c r="C473" s="54">
        <f>IF(_imp!$C$475="","",INDEX(_imp!$F$4:$F$4503,_imp!$C$475))</f>
        <v/>
      </c>
      <c r="D473" s="54">
        <f>IF(_imp!$C$475="","",INDEX(_imp!$G$4:$G$4503,_imp!$C$475))</f>
        <v/>
      </c>
      <c r="E473" s="54">
        <f>IF(_imp!$C$475="","",INDEX(_imp!$H$4:$H$4503,_imp!$C$475))</f>
        <v/>
      </c>
      <c r="F473" s="54">
        <f>IF(_imp!$C$475="","",INDEX(_imp!$I$4:$I$4503,_imp!$C$475))</f>
        <v/>
      </c>
      <c r="G473" s="54">
        <f>IF(_imp!$C$475="","",INDEX(_imp!$J$4:$J$4503,_imp!$C$475))</f>
        <v/>
      </c>
      <c r="K473" s="54">
        <f>IF(_imp!$C$475="","",INDEX(_imp!$K$4:$K$4503,_imp!$C$475))</f>
        <v/>
      </c>
    </row>
    <row r="474">
      <c r="A474" s="54">
        <f>IF(_imp!$C$476="","",INDEX(_imp!$D$4:$D$4503,_imp!$C$476))</f>
        <v/>
      </c>
      <c r="B474" s="54">
        <f>IF(_imp!$C$476="","",INDEX(_imp!$E$4:$E$4503,_imp!$C$476))</f>
        <v/>
      </c>
      <c r="C474" s="54">
        <f>IF(_imp!$C$476="","",INDEX(_imp!$F$4:$F$4503,_imp!$C$476))</f>
        <v/>
      </c>
      <c r="D474" s="54">
        <f>IF(_imp!$C$476="","",INDEX(_imp!$G$4:$G$4503,_imp!$C$476))</f>
        <v/>
      </c>
      <c r="E474" s="54">
        <f>IF(_imp!$C$476="","",INDEX(_imp!$H$4:$H$4503,_imp!$C$476))</f>
        <v/>
      </c>
      <c r="F474" s="54">
        <f>IF(_imp!$C$476="","",INDEX(_imp!$I$4:$I$4503,_imp!$C$476))</f>
        <v/>
      </c>
      <c r="G474" s="54">
        <f>IF(_imp!$C$476="","",INDEX(_imp!$J$4:$J$4503,_imp!$C$476))</f>
        <v/>
      </c>
      <c r="K474" s="54">
        <f>IF(_imp!$C$476="","",INDEX(_imp!$K$4:$K$4503,_imp!$C$476))</f>
        <v/>
      </c>
    </row>
    <row r="475">
      <c r="A475" s="54">
        <f>IF(_imp!$C$477="","",INDEX(_imp!$D$4:$D$4503,_imp!$C$477))</f>
        <v/>
      </c>
      <c r="B475" s="54">
        <f>IF(_imp!$C$477="","",INDEX(_imp!$E$4:$E$4503,_imp!$C$477))</f>
        <v/>
      </c>
      <c r="C475" s="54">
        <f>IF(_imp!$C$477="","",INDEX(_imp!$F$4:$F$4503,_imp!$C$477))</f>
        <v/>
      </c>
      <c r="D475" s="54">
        <f>IF(_imp!$C$477="","",INDEX(_imp!$G$4:$G$4503,_imp!$C$477))</f>
        <v/>
      </c>
      <c r="E475" s="54">
        <f>IF(_imp!$C$477="","",INDEX(_imp!$H$4:$H$4503,_imp!$C$477))</f>
        <v/>
      </c>
      <c r="F475" s="54">
        <f>IF(_imp!$C$477="","",INDEX(_imp!$I$4:$I$4503,_imp!$C$477))</f>
        <v/>
      </c>
      <c r="G475" s="54">
        <f>IF(_imp!$C$477="","",INDEX(_imp!$J$4:$J$4503,_imp!$C$477))</f>
        <v/>
      </c>
      <c r="K475" s="54">
        <f>IF(_imp!$C$477="","",INDEX(_imp!$K$4:$K$4503,_imp!$C$477))</f>
        <v/>
      </c>
    </row>
    <row r="476">
      <c r="A476" s="54">
        <f>IF(_imp!$C$478="","",INDEX(_imp!$D$4:$D$4503,_imp!$C$478))</f>
        <v/>
      </c>
      <c r="B476" s="54">
        <f>IF(_imp!$C$478="","",INDEX(_imp!$E$4:$E$4503,_imp!$C$478))</f>
        <v/>
      </c>
      <c r="C476" s="54">
        <f>IF(_imp!$C$478="","",INDEX(_imp!$F$4:$F$4503,_imp!$C$478))</f>
        <v/>
      </c>
      <c r="D476" s="54">
        <f>IF(_imp!$C$478="","",INDEX(_imp!$G$4:$G$4503,_imp!$C$478))</f>
        <v/>
      </c>
      <c r="E476" s="54">
        <f>IF(_imp!$C$478="","",INDEX(_imp!$H$4:$H$4503,_imp!$C$478))</f>
        <v/>
      </c>
      <c r="F476" s="54">
        <f>IF(_imp!$C$478="","",INDEX(_imp!$I$4:$I$4503,_imp!$C$478))</f>
        <v/>
      </c>
      <c r="G476" s="54">
        <f>IF(_imp!$C$478="","",INDEX(_imp!$J$4:$J$4503,_imp!$C$478))</f>
        <v/>
      </c>
      <c r="K476" s="54">
        <f>IF(_imp!$C$478="","",INDEX(_imp!$K$4:$K$4503,_imp!$C$478))</f>
        <v/>
      </c>
    </row>
    <row r="477">
      <c r="A477" s="54">
        <f>IF(_imp!$C$479="","",INDEX(_imp!$D$4:$D$4503,_imp!$C$479))</f>
        <v/>
      </c>
      <c r="B477" s="54">
        <f>IF(_imp!$C$479="","",INDEX(_imp!$E$4:$E$4503,_imp!$C$479))</f>
        <v/>
      </c>
      <c r="C477" s="54">
        <f>IF(_imp!$C$479="","",INDEX(_imp!$F$4:$F$4503,_imp!$C$479))</f>
        <v/>
      </c>
      <c r="D477" s="54">
        <f>IF(_imp!$C$479="","",INDEX(_imp!$G$4:$G$4503,_imp!$C$479))</f>
        <v/>
      </c>
      <c r="E477" s="54">
        <f>IF(_imp!$C$479="","",INDEX(_imp!$H$4:$H$4503,_imp!$C$479))</f>
        <v/>
      </c>
      <c r="F477" s="54">
        <f>IF(_imp!$C$479="","",INDEX(_imp!$I$4:$I$4503,_imp!$C$479))</f>
        <v/>
      </c>
      <c r="G477" s="54">
        <f>IF(_imp!$C$479="","",INDEX(_imp!$J$4:$J$4503,_imp!$C$479))</f>
        <v/>
      </c>
      <c r="K477" s="54">
        <f>IF(_imp!$C$479="","",INDEX(_imp!$K$4:$K$4503,_imp!$C$479))</f>
        <v/>
      </c>
    </row>
    <row r="478">
      <c r="A478" s="54">
        <f>IF(_imp!$C$480="","",INDEX(_imp!$D$4:$D$4503,_imp!$C$480))</f>
        <v/>
      </c>
      <c r="B478" s="54">
        <f>IF(_imp!$C$480="","",INDEX(_imp!$E$4:$E$4503,_imp!$C$480))</f>
        <v/>
      </c>
      <c r="C478" s="54">
        <f>IF(_imp!$C$480="","",INDEX(_imp!$F$4:$F$4503,_imp!$C$480))</f>
        <v/>
      </c>
      <c r="D478" s="54">
        <f>IF(_imp!$C$480="","",INDEX(_imp!$G$4:$G$4503,_imp!$C$480))</f>
        <v/>
      </c>
      <c r="E478" s="54">
        <f>IF(_imp!$C$480="","",INDEX(_imp!$H$4:$H$4503,_imp!$C$480))</f>
        <v/>
      </c>
      <c r="F478" s="54">
        <f>IF(_imp!$C$480="","",INDEX(_imp!$I$4:$I$4503,_imp!$C$480))</f>
        <v/>
      </c>
      <c r="G478" s="54">
        <f>IF(_imp!$C$480="","",INDEX(_imp!$J$4:$J$4503,_imp!$C$480))</f>
        <v/>
      </c>
      <c r="K478" s="54">
        <f>IF(_imp!$C$480="","",INDEX(_imp!$K$4:$K$4503,_imp!$C$480))</f>
        <v/>
      </c>
    </row>
    <row r="479">
      <c r="A479" s="54">
        <f>IF(_imp!$C$481="","",INDEX(_imp!$D$4:$D$4503,_imp!$C$481))</f>
        <v/>
      </c>
      <c r="B479" s="54">
        <f>IF(_imp!$C$481="","",INDEX(_imp!$E$4:$E$4503,_imp!$C$481))</f>
        <v/>
      </c>
      <c r="C479" s="54">
        <f>IF(_imp!$C$481="","",INDEX(_imp!$F$4:$F$4503,_imp!$C$481))</f>
        <v/>
      </c>
      <c r="D479" s="54">
        <f>IF(_imp!$C$481="","",INDEX(_imp!$G$4:$G$4503,_imp!$C$481))</f>
        <v/>
      </c>
      <c r="E479" s="54">
        <f>IF(_imp!$C$481="","",INDEX(_imp!$H$4:$H$4503,_imp!$C$481))</f>
        <v/>
      </c>
      <c r="F479" s="54">
        <f>IF(_imp!$C$481="","",INDEX(_imp!$I$4:$I$4503,_imp!$C$481))</f>
        <v/>
      </c>
      <c r="G479" s="54">
        <f>IF(_imp!$C$481="","",INDEX(_imp!$J$4:$J$4503,_imp!$C$481))</f>
        <v/>
      </c>
      <c r="K479" s="54">
        <f>IF(_imp!$C$481="","",INDEX(_imp!$K$4:$K$4503,_imp!$C$481))</f>
        <v/>
      </c>
    </row>
    <row r="480">
      <c r="A480" s="54">
        <f>IF(_imp!$C$482="","",INDEX(_imp!$D$4:$D$4503,_imp!$C$482))</f>
        <v/>
      </c>
      <c r="B480" s="54">
        <f>IF(_imp!$C$482="","",INDEX(_imp!$E$4:$E$4503,_imp!$C$482))</f>
        <v/>
      </c>
      <c r="C480" s="54">
        <f>IF(_imp!$C$482="","",INDEX(_imp!$F$4:$F$4503,_imp!$C$482))</f>
        <v/>
      </c>
      <c r="D480" s="54">
        <f>IF(_imp!$C$482="","",INDEX(_imp!$G$4:$G$4503,_imp!$C$482))</f>
        <v/>
      </c>
      <c r="E480" s="54">
        <f>IF(_imp!$C$482="","",INDEX(_imp!$H$4:$H$4503,_imp!$C$482))</f>
        <v/>
      </c>
      <c r="F480" s="54">
        <f>IF(_imp!$C$482="","",INDEX(_imp!$I$4:$I$4503,_imp!$C$482))</f>
        <v/>
      </c>
      <c r="G480" s="54">
        <f>IF(_imp!$C$482="","",INDEX(_imp!$J$4:$J$4503,_imp!$C$482))</f>
        <v/>
      </c>
      <c r="K480" s="54">
        <f>IF(_imp!$C$482="","",INDEX(_imp!$K$4:$K$4503,_imp!$C$482))</f>
        <v/>
      </c>
    </row>
    <row r="481">
      <c r="A481" s="54">
        <f>IF(_imp!$C$483="","",INDEX(_imp!$D$4:$D$4503,_imp!$C$483))</f>
        <v/>
      </c>
      <c r="B481" s="54">
        <f>IF(_imp!$C$483="","",INDEX(_imp!$E$4:$E$4503,_imp!$C$483))</f>
        <v/>
      </c>
      <c r="C481" s="54">
        <f>IF(_imp!$C$483="","",INDEX(_imp!$F$4:$F$4503,_imp!$C$483))</f>
        <v/>
      </c>
      <c r="D481" s="54">
        <f>IF(_imp!$C$483="","",INDEX(_imp!$G$4:$G$4503,_imp!$C$483))</f>
        <v/>
      </c>
      <c r="E481" s="54">
        <f>IF(_imp!$C$483="","",INDEX(_imp!$H$4:$H$4503,_imp!$C$483))</f>
        <v/>
      </c>
      <c r="F481" s="54">
        <f>IF(_imp!$C$483="","",INDEX(_imp!$I$4:$I$4503,_imp!$C$483))</f>
        <v/>
      </c>
      <c r="G481" s="54">
        <f>IF(_imp!$C$483="","",INDEX(_imp!$J$4:$J$4503,_imp!$C$483))</f>
        <v/>
      </c>
      <c r="K481" s="54">
        <f>IF(_imp!$C$483="","",INDEX(_imp!$K$4:$K$4503,_imp!$C$483))</f>
        <v/>
      </c>
    </row>
    <row r="482">
      <c r="A482" s="54">
        <f>IF(_imp!$C$484="","",INDEX(_imp!$D$4:$D$4503,_imp!$C$484))</f>
        <v/>
      </c>
      <c r="B482" s="54">
        <f>IF(_imp!$C$484="","",INDEX(_imp!$E$4:$E$4503,_imp!$C$484))</f>
        <v/>
      </c>
      <c r="C482" s="54">
        <f>IF(_imp!$C$484="","",INDEX(_imp!$F$4:$F$4503,_imp!$C$484))</f>
        <v/>
      </c>
      <c r="D482" s="54">
        <f>IF(_imp!$C$484="","",INDEX(_imp!$G$4:$G$4503,_imp!$C$484))</f>
        <v/>
      </c>
      <c r="E482" s="54">
        <f>IF(_imp!$C$484="","",INDEX(_imp!$H$4:$H$4503,_imp!$C$484))</f>
        <v/>
      </c>
      <c r="F482" s="54">
        <f>IF(_imp!$C$484="","",INDEX(_imp!$I$4:$I$4503,_imp!$C$484))</f>
        <v/>
      </c>
      <c r="G482" s="54">
        <f>IF(_imp!$C$484="","",INDEX(_imp!$J$4:$J$4503,_imp!$C$484))</f>
        <v/>
      </c>
      <c r="K482" s="54">
        <f>IF(_imp!$C$484="","",INDEX(_imp!$K$4:$K$4503,_imp!$C$484))</f>
        <v/>
      </c>
    </row>
    <row r="483">
      <c r="A483" s="54">
        <f>IF(_imp!$C$485="","",INDEX(_imp!$D$4:$D$4503,_imp!$C$485))</f>
        <v/>
      </c>
      <c r="B483" s="54">
        <f>IF(_imp!$C$485="","",INDEX(_imp!$E$4:$E$4503,_imp!$C$485))</f>
        <v/>
      </c>
      <c r="C483" s="54">
        <f>IF(_imp!$C$485="","",INDEX(_imp!$F$4:$F$4503,_imp!$C$485))</f>
        <v/>
      </c>
      <c r="D483" s="54">
        <f>IF(_imp!$C$485="","",INDEX(_imp!$G$4:$G$4503,_imp!$C$485))</f>
        <v/>
      </c>
      <c r="E483" s="54">
        <f>IF(_imp!$C$485="","",INDEX(_imp!$H$4:$H$4503,_imp!$C$485))</f>
        <v/>
      </c>
      <c r="F483" s="54">
        <f>IF(_imp!$C$485="","",INDEX(_imp!$I$4:$I$4503,_imp!$C$485))</f>
        <v/>
      </c>
      <c r="G483" s="54">
        <f>IF(_imp!$C$485="","",INDEX(_imp!$J$4:$J$4503,_imp!$C$485))</f>
        <v/>
      </c>
      <c r="K483" s="54">
        <f>IF(_imp!$C$485="","",INDEX(_imp!$K$4:$K$4503,_imp!$C$485))</f>
        <v/>
      </c>
    </row>
    <row r="484">
      <c r="A484" s="54">
        <f>IF(_imp!$C$486="","",INDEX(_imp!$D$4:$D$4503,_imp!$C$486))</f>
        <v/>
      </c>
      <c r="B484" s="54">
        <f>IF(_imp!$C$486="","",INDEX(_imp!$E$4:$E$4503,_imp!$C$486))</f>
        <v/>
      </c>
      <c r="C484" s="54">
        <f>IF(_imp!$C$486="","",INDEX(_imp!$F$4:$F$4503,_imp!$C$486))</f>
        <v/>
      </c>
      <c r="D484" s="54">
        <f>IF(_imp!$C$486="","",INDEX(_imp!$G$4:$G$4503,_imp!$C$486))</f>
        <v/>
      </c>
      <c r="E484" s="54">
        <f>IF(_imp!$C$486="","",INDEX(_imp!$H$4:$H$4503,_imp!$C$486))</f>
        <v/>
      </c>
      <c r="F484" s="54">
        <f>IF(_imp!$C$486="","",INDEX(_imp!$I$4:$I$4503,_imp!$C$486))</f>
        <v/>
      </c>
      <c r="G484" s="54">
        <f>IF(_imp!$C$486="","",INDEX(_imp!$J$4:$J$4503,_imp!$C$486))</f>
        <v/>
      </c>
      <c r="K484" s="54">
        <f>IF(_imp!$C$486="","",INDEX(_imp!$K$4:$K$4503,_imp!$C$486))</f>
        <v/>
      </c>
    </row>
    <row r="485">
      <c r="A485" s="54">
        <f>IF(_imp!$C$487="","",INDEX(_imp!$D$4:$D$4503,_imp!$C$487))</f>
        <v/>
      </c>
      <c r="B485" s="54">
        <f>IF(_imp!$C$487="","",INDEX(_imp!$E$4:$E$4503,_imp!$C$487))</f>
        <v/>
      </c>
      <c r="C485" s="54">
        <f>IF(_imp!$C$487="","",INDEX(_imp!$F$4:$F$4503,_imp!$C$487))</f>
        <v/>
      </c>
      <c r="D485" s="54">
        <f>IF(_imp!$C$487="","",INDEX(_imp!$G$4:$G$4503,_imp!$C$487))</f>
        <v/>
      </c>
      <c r="E485" s="54">
        <f>IF(_imp!$C$487="","",INDEX(_imp!$H$4:$H$4503,_imp!$C$487))</f>
        <v/>
      </c>
      <c r="F485" s="54">
        <f>IF(_imp!$C$487="","",INDEX(_imp!$I$4:$I$4503,_imp!$C$487))</f>
        <v/>
      </c>
      <c r="G485" s="54">
        <f>IF(_imp!$C$487="","",INDEX(_imp!$J$4:$J$4503,_imp!$C$487))</f>
        <v/>
      </c>
      <c r="K485" s="54">
        <f>IF(_imp!$C$487="","",INDEX(_imp!$K$4:$K$4503,_imp!$C$487))</f>
        <v/>
      </c>
    </row>
    <row r="486">
      <c r="A486" s="54">
        <f>IF(_imp!$C$488="","",INDEX(_imp!$D$4:$D$4503,_imp!$C$488))</f>
        <v/>
      </c>
      <c r="B486" s="54">
        <f>IF(_imp!$C$488="","",INDEX(_imp!$E$4:$E$4503,_imp!$C$488))</f>
        <v/>
      </c>
      <c r="C486" s="54">
        <f>IF(_imp!$C$488="","",INDEX(_imp!$F$4:$F$4503,_imp!$C$488))</f>
        <v/>
      </c>
      <c r="D486" s="54">
        <f>IF(_imp!$C$488="","",INDEX(_imp!$G$4:$G$4503,_imp!$C$488))</f>
        <v/>
      </c>
      <c r="E486" s="54">
        <f>IF(_imp!$C$488="","",INDEX(_imp!$H$4:$H$4503,_imp!$C$488))</f>
        <v/>
      </c>
      <c r="F486" s="54">
        <f>IF(_imp!$C$488="","",INDEX(_imp!$I$4:$I$4503,_imp!$C$488))</f>
        <v/>
      </c>
      <c r="G486" s="54">
        <f>IF(_imp!$C$488="","",INDEX(_imp!$J$4:$J$4503,_imp!$C$488))</f>
        <v/>
      </c>
      <c r="K486" s="54">
        <f>IF(_imp!$C$488="","",INDEX(_imp!$K$4:$K$4503,_imp!$C$488))</f>
        <v/>
      </c>
    </row>
    <row r="487">
      <c r="A487" s="54">
        <f>IF(_imp!$C$489="","",INDEX(_imp!$D$4:$D$4503,_imp!$C$489))</f>
        <v/>
      </c>
      <c r="B487" s="54">
        <f>IF(_imp!$C$489="","",INDEX(_imp!$E$4:$E$4503,_imp!$C$489))</f>
        <v/>
      </c>
      <c r="C487" s="54">
        <f>IF(_imp!$C$489="","",INDEX(_imp!$F$4:$F$4503,_imp!$C$489))</f>
        <v/>
      </c>
      <c r="D487" s="54">
        <f>IF(_imp!$C$489="","",INDEX(_imp!$G$4:$G$4503,_imp!$C$489))</f>
        <v/>
      </c>
      <c r="E487" s="54">
        <f>IF(_imp!$C$489="","",INDEX(_imp!$H$4:$H$4503,_imp!$C$489))</f>
        <v/>
      </c>
      <c r="F487" s="54">
        <f>IF(_imp!$C$489="","",INDEX(_imp!$I$4:$I$4503,_imp!$C$489))</f>
        <v/>
      </c>
      <c r="G487" s="54">
        <f>IF(_imp!$C$489="","",INDEX(_imp!$J$4:$J$4503,_imp!$C$489))</f>
        <v/>
      </c>
      <c r="K487" s="54">
        <f>IF(_imp!$C$489="","",INDEX(_imp!$K$4:$K$4503,_imp!$C$489))</f>
        <v/>
      </c>
    </row>
    <row r="488">
      <c r="A488" s="54">
        <f>IF(_imp!$C$490="","",INDEX(_imp!$D$4:$D$4503,_imp!$C$490))</f>
        <v/>
      </c>
      <c r="B488" s="54">
        <f>IF(_imp!$C$490="","",INDEX(_imp!$E$4:$E$4503,_imp!$C$490))</f>
        <v/>
      </c>
      <c r="C488" s="54">
        <f>IF(_imp!$C$490="","",INDEX(_imp!$F$4:$F$4503,_imp!$C$490))</f>
        <v/>
      </c>
      <c r="D488" s="54">
        <f>IF(_imp!$C$490="","",INDEX(_imp!$G$4:$G$4503,_imp!$C$490))</f>
        <v/>
      </c>
      <c r="E488" s="54">
        <f>IF(_imp!$C$490="","",INDEX(_imp!$H$4:$H$4503,_imp!$C$490))</f>
        <v/>
      </c>
      <c r="F488" s="54">
        <f>IF(_imp!$C$490="","",INDEX(_imp!$I$4:$I$4503,_imp!$C$490))</f>
        <v/>
      </c>
      <c r="G488" s="54">
        <f>IF(_imp!$C$490="","",INDEX(_imp!$J$4:$J$4503,_imp!$C$490))</f>
        <v/>
      </c>
      <c r="K488" s="54">
        <f>IF(_imp!$C$490="","",INDEX(_imp!$K$4:$K$4503,_imp!$C$490))</f>
        <v/>
      </c>
    </row>
    <row r="489">
      <c r="A489" s="54">
        <f>IF(_imp!$C$491="","",INDEX(_imp!$D$4:$D$4503,_imp!$C$491))</f>
        <v/>
      </c>
      <c r="B489" s="54">
        <f>IF(_imp!$C$491="","",INDEX(_imp!$E$4:$E$4503,_imp!$C$491))</f>
        <v/>
      </c>
      <c r="C489" s="54">
        <f>IF(_imp!$C$491="","",INDEX(_imp!$F$4:$F$4503,_imp!$C$491))</f>
        <v/>
      </c>
      <c r="D489" s="54">
        <f>IF(_imp!$C$491="","",INDEX(_imp!$G$4:$G$4503,_imp!$C$491))</f>
        <v/>
      </c>
      <c r="E489" s="54">
        <f>IF(_imp!$C$491="","",INDEX(_imp!$H$4:$H$4503,_imp!$C$491))</f>
        <v/>
      </c>
      <c r="F489" s="54">
        <f>IF(_imp!$C$491="","",INDEX(_imp!$I$4:$I$4503,_imp!$C$491))</f>
        <v/>
      </c>
      <c r="G489" s="54">
        <f>IF(_imp!$C$491="","",INDEX(_imp!$J$4:$J$4503,_imp!$C$491))</f>
        <v/>
      </c>
      <c r="K489" s="54">
        <f>IF(_imp!$C$491="","",INDEX(_imp!$K$4:$K$4503,_imp!$C$491))</f>
        <v/>
      </c>
    </row>
    <row r="490">
      <c r="A490" s="54">
        <f>IF(_imp!$C$492="","",INDEX(_imp!$D$4:$D$4503,_imp!$C$492))</f>
        <v/>
      </c>
      <c r="B490" s="54">
        <f>IF(_imp!$C$492="","",INDEX(_imp!$E$4:$E$4503,_imp!$C$492))</f>
        <v/>
      </c>
      <c r="C490" s="54">
        <f>IF(_imp!$C$492="","",INDEX(_imp!$F$4:$F$4503,_imp!$C$492))</f>
        <v/>
      </c>
      <c r="D490" s="54">
        <f>IF(_imp!$C$492="","",INDEX(_imp!$G$4:$G$4503,_imp!$C$492))</f>
        <v/>
      </c>
      <c r="E490" s="54">
        <f>IF(_imp!$C$492="","",INDEX(_imp!$H$4:$H$4503,_imp!$C$492))</f>
        <v/>
      </c>
      <c r="F490" s="54">
        <f>IF(_imp!$C$492="","",INDEX(_imp!$I$4:$I$4503,_imp!$C$492))</f>
        <v/>
      </c>
      <c r="G490" s="54">
        <f>IF(_imp!$C$492="","",INDEX(_imp!$J$4:$J$4503,_imp!$C$492))</f>
        <v/>
      </c>
      <c r="K490" s="54">
        <f>IF(_imp!$C$492="","",INDEX(_imp!$K$4:$K$4503,_imp!$C$492))</f>
        <v/>
      </c>
    </row>
    <row r="491">
      <c r="A491" s="54">
        <f>IF(_imp!$C$493="","",INDEX(_imp!$D$4:$D$4503,_imp!$C$493))</f>
        <v/>
      </c>
      <c r="B491" s="54">
        <f>IF(_imp!$C$493="","",INDEX(_imp!$E$4:$E$4503,_imp!$C$493))</f>
        <v/>
      </c>
      <c r="C491" s="54">
        <f>IF(_imp!$C$493="","",INDEX(_imp!$F$4:$F$4503,_imp!$C$493))</f>
        <v/>
      </c>
      <c r="D491" s="54">
        <f>IF(_imp!$C$493="","",INDEX(_imp!$G$4:$G$4503,_imp!$C$493))</f>
        <v/>
      </c>
      <c r="E491" s="54">
        <f>IF(_imp!$C$493="","",INDEX(_imp!$H$4:$H$4503,_imp!$C$493))</f>
        <v/>
      </c>
      <c r="F491" s="54">
        <f>IF(_imp!$C$493="","",INDEX(_imp!$I$4:$I$4503,_imp!$C$493))</f>
        <v/>
      </c>
      <c r="G491" s="54">
        <f>IF(_imp!$C$493="","",INDEX(_imp!$J$4:$J$4503,_imp!$C$493))</f>
        <v/>
      </c>
      <c r="K491" s="54">
        <f>IF(_imp!$C$493="","",INDEX(_imp!$K$4:$K$4503,_imp!$C$493))</f>
        <v/>
      </c>
    </row>
    <row r="492">
      <c r="A492" s="54">
        <f>IF(_imp!$C$494="","",INDEX(_imp!$D$4:$D$4503,_imp!$C$494))</f>
        <v/>
      </c>
      <c r="B492" s="54">
        <f>IF(_imp!$C$494="","",INDEX(_imp!$E$4:$E$4503,_imp!$C$494))</f>
        <v/>
      </c>
      <c r="C492" s="54">
        <f>IF(_imp!$C$494="","",INDEX(_imp!$F$4:$F$4503,_imp!$C$494))</f>
        <v/>
      </c>
      <c r="D492" s="54">
        <f>IF(_imp!$C$494="","",INDEX(_imp!$G$4:$G$4503,_imp!$C$494))</f>
        <v/>
      </c>
      <c r="E492" s="54">
        <f>IF(_imp!$C$494="","",INDEX(_imp!$H$4:$H$4503,_imp!$C$494))</f>
        <v/>
      </c>
      <c r="F492" s="54">
        <f>IF(_imp!$C$494="","",INDEX(_imp!$I$4:$I$4503,_imp!$C$494))</f>
        <v/>
      </c>
      <c r="G492" s="54">
        <f>IF(_imp!$C$494="","",INDEX(_imp!$J$4:$J$4503,_imp!$C$494))</f>
        <v/>
      </c>
      <c r="K492" s="54">
        <f>IF(_imp!$C$494="","",INDEX(_imp!$K$4:$K$4503,_imp!$C$494))</f>
        <v/>
      </c>
    </row>
    <row r="493">
      <c r="A493" s="54">
        <f>IF(_imp!$C$495="","",INDEX(_imp!$D$4:$D$4503,_imp!$C$495))</f>
        <v/>
      </c>
      <c r="B493" s="54">
        <f>IF(_imp!$C$495="","",INDEX(_imp!$E$4:$E$4503,_imp!$C$495))</f>
        <v/>
      </c>
      <c r="C493" s="54">
        <f>IF(_imp!$C$495="","",INDEX(_imp!$F$4:$F$4503,_imp!$C$495))</f>
        <v/>
      </c>
      <c r="D493" s="54">
        <f>IF(_imp!$C$495="","",INDEX(_imp!$G$4:$G$4503,_imp!$C$495))</f>
        <v/>
      </c>
      <c r="E493" s="54">
        <f>IF(_imp!$C$495="","",INDEX(_imp!$H$4:$H$4503,_imp!$C$495))</f>
        <v/>
      </c>
      <c r="F493" s="54">
        <f>IF(_imp!$C$495="","",INDEX(_imp!$I$4:$I$4503,_imp!$C$495))</f>
        <v/>
      </c>
      <c r="G493" s="54">
        <f>IF(_imp!$C$495="","",INDEX(_imp!$J$4:$J$4503,_imp!$C$495))</f>
        <v/>
      </c>
      <c r="K493" s="54">
        <f>IF(_imp!$C$495="","",INDEX(_imp!$K$4:$K$4503,_imp!$C$495))</f>
        <v/>
      </c>
    </row>
    <row r="494">
      <c r="A494" s="54">
        <f>IF(_imp!$C$496="","",INDEX(_imp!$D$4:$D$4503,_imp!$C$496))</f>
        <v/>
      </c>
      <c r="B494" s="54">
        <f>IF(_imp!$C$496="","",INDEX(_imp!$E$4:$E$4503,_imp!$C$496))</f>
        <v/>
      </c>
      <c r="C494" s="54">
        <f>IF(_imp!$C$496="","",INDEX(_imp!$F$4:$F$4503,_imp!$C$496))</f>
        <v/>
      </c>
      <c r="D494" s="54">
        <f>IF(_imp!$C$496="","",INDEX(_imp!$G$4:$G$4503,_imp!$C$496))</f>
        <v/>
      </c>
      <c r="E494" s="54">
        <f>IF(_imp!$C$496="","",INDEX(_imp!$H$4:$H$4503,_imp!$C$496))</f>
        <v/>
      </c>
      <c r="F494" s="54">
        <f>IF(_imp!$C$496="","",INDEX(_imp!$I$4:$I$4503,_imp!$C$496))</f>
        <v/>
      </c>
      <c r="G494" s="54">
        <f>IF(_imp!$C$496="","",INDEX(_imp!$J$4:$J$4503,_imp!$C$496))</f>
        <v/>
      </c>
      <c r="K494" s="54">
        <f>IF(_imp!$C$496="","",INDEX(_imp!$K$4:$K$4503,_imp!$C$496))</f>
        <v/>
      </c>
    </row>
    <row r="495">
      <c r="A495" s="54">
        <f>IF(_imp!$C$497="","",INDEX(_imp!$D$4:$D$4503,_imp!$C$497))</f>
        <v/>
      </c>
      <c r="B495" s="54">
        <f>IF(_imp!$C$497="","",INDEX(_imp!$E$4:$E$4503,_imp!$C$497))</f>
        <v/>
      </c>
      <c r="C495" s="54">
        <f>IF(_imp!$C$497="","",INDEX(_imp!$F$4:$F$4503,_imp!$C$497))</f>
        <v/>
      </c>
      <c r="D495" s="54">
        <f>IF(_imp!$C$497="","",INDEX(_imp!$G$4:$G$4503,_imp!$C$497))</f>
        <v/>
      </c>
      <c r="E495" s="54">
        <f>IF(_imp!$C$497="","",INDEX(_imp!$H$4:$H$4503,_imp!$C$497))</f>
        <v/>
      </c>
      <c r="F495" s="54">
        <f>IF(_imp!$C$497="","",INDEX(_imp!$I$4:$I$4503,_imp!$C$497))</f>
        <v/>
      </c>
      <c r="G495" s="54">
        <f>IF(_imp!$C$497="","",INDEX(_imp!$J$4:$J$4503,_imp!$C$497))</f>
        <v/>
      </c>
      <c r="K495" s="54">
        <f>IF(_imp!$C$497="","",INDEX(_imp!$K$4:$K$4503,_imp!$C$497))</f>
        <v/>
      </c>
    </row>
    <row r="496">
      <c r="A496" s="54">
        <f>IF(_imp!$C$498="","",INDEX(_imp!$D$4:$D$4503,_imp!$C$498))</f>
        <v/>
      </c>
      <c r="B496" s="54">
        <f>IF(_imp!$C$498="","",INDEX(_imp!$E$4:$E$4503,_imp!$C$498))</f>
        <v/>
      </c>
      <c r="C496" s="54">
        <f>IF(_imp!$C$498="","",INDEX(_imp!$F$4:$F$4503,_imp!$C$498))</f>
        <v/>
      </c>
      <c r="D496" s="54">
        <f>IF(_imp!$C$498="","",INDEX(_imp!$G$4:$G$4503,_imp!$C$498))</f>
        <v/>
      </c>
      <c r="E496" s="54">
        <f>IF(_imp!$C$498="","",INDEX(_imp!$H$4:$H$4503,_imp!$C$498))</f>
        <v/>
      </c>
      <c r="F496" s="54">
        <f>IF(_imp!$C$498="","",INDEX(_imp!$I$4:$I$4503,_imp!$C$498))</f>
        <v/>
      </c>
      <c r="G496" s="54">
        <f>IF(_imp!$C$498="","",INDEX(_imp!$J$4:$J$4503,_imp!$C$498))</f>
        <v/>
      </c>
      <c r="K496" s="54">
        <f>IF(_imp!$C$498="","",INDEX(_imp!$K$4:$K$4503,_imp!$C$498))</f>
        <v/>
      </c>
    </row>
    <row r="497">
      <c r="A497" s="54">
        <f>IF(_imp!$C$499="","",INDEX(_imp!$D$4:$D$4503,_imp!$C$499))</f>
        <v/>
      </c>
      <c r="B497" s="54">
        <f>IF(_imp!$C$499="","",INDEX(_imp!$E$4:$E$4503,_imp!$C$499))</f>
        <v/>
      </c>
      <c r="C497" s="54">
        <f>IF(_imp!$C$499="","",INDEX(_imp!$F$4:$F$4503,_imp!$C$499))</f>
        <v/>
      </c>
      <c r="D497" s="54">
        <f>IF(_imp!$C$499="","",INDEX(_imp!$G$4:$G$4503,_imp!$C$499))</f>
        <v/>
      </c>
      <c r="E497" s="54">
        <f>IF(_imp!$C$499="","",INDEX(_imp!$H$4:$H$4503,_imp!$C$499))</f>
        <v/>
      </c>
      <c r="F497" s="54">
        <f>IF(_imp!$C$499="","",INDEX(_imp!$I$4:$I$4503,_imp!$C$499))</f>
        <v/>
      </c>
      <c r="G497" s="54">
        <f>IF(_imp!$C$499="","",INDEX(_imp!$J$4:$J$4503,_imp!$C$499))</f>
        <v/>
      </c>
      <c r="K497" s="54">
        <f>IF(_imp!$C$499="","",INDEX(_imp!$K$4:$K$4503,_imp!$C$499))</f>
        <v/>
      </c>
    </row>
    <row r="498">
      <c r="A498" s="54">
        <f>IF(_imp!$C$500="","",INDEX(_imp!$D$4:$D$4503,_imp!$C$500))</f>
        <v/>
      </c>
      <c r="B498" s="54">
        <f>IF(_imp!$C$500="","",INDEX(_imp!$E$4:$E$4503,_imp!$C$500))</f>
        <v/>
      </c>
      <c r="C498" s="54">
        <f>IF(_imp!$C$500="","",INDEX(_imp!$F$4:$F$4503,_imp!$C$500))</f>
        <v/>
      </c>
      <c r="D498" s="54">
        <f>IF(_imp!$C$500="","",INDEX(_imp!$G$4:$G$4503,_imp!$C$500))</f>
        <v/>
      </c>
      <c r="E498" s="54">
        <f>IF(_imp!$C$500="","",INDEX(_imp!$H$4:$H$4503,_imp!$C$500))</f>
        <v/>
      </c>
      <c r="F498" s="54">
        <f>IF(_imp!$C$500="","",INDEX(_imp!$I$4:$I$4503,_imp!$C$500))</f>
        <v/>
      </c>
      <c r="G498" s="54">
        <f>IF(_imp!$C$500="","",INDEX(_imp!$J$4:$J$4503,_imp!$C$500))</f>
        <v/>
      </c>
      <c r="K498" s="54">
        <f>IF(_imp!$C$500="","",INDEX(_imp!$K$4:$K$4503,_imp!$C$500))</f>
        <v/>
      </c>
    </row>
    <row r="499">
      <c r="A499" s="54">
        <f>IF(_imp!$C$501="","",INDEX(_imp!$D$4:$D$4503,_imp!$C$501))</f>
        <v/>
      </c>
      <c r="B499" s="54">
        <f>IF(_imp!$C$501="","",INDEX(_imp!$E$4:$E$4503,_imp!$C$501))</f>
        <v/>
      </c>
      <c r="C499" s="54">
        <f>IF(_imp!$C$501="","",INDEX(_imp!$F$4:$F$4503,_imp!$C$501))</f>
        <v/>
      </c>
      <c r="D499" s="54">
        <f>IF(_imp!$C$501="","",INDEX(_imp!$G$4:$G$4503,_imp!$C$501))</f>
        <v/>
      </c>
      <c r="E499" s="54">
        <f>IF(_imp!$C$501="","",INDEX(_imp!$H$4:$H$4503,_imp!$C$501))</f>
        <v/>
      </c>
      <c r="F499" s="54">
        <f>IF(_imp!$C$501="","",INDEX(_imp!$I$4:$I$4503,_imp!$C$501))</f>
        <v/>
      </c>
      <c r="G499" s="54">
        <f>IF(_imp!$C$501="","",INDEX(_imp!$J$4:$J$4503,_imp!$C$501))</f>
        <v/>
      </c>
      <c r="K499" s="54">
        <f>IF(_imp!$C$501="","",INDEX(_imp!$K$4:$K$4503,_imp!$C$501))</f>
        <v/>
      </c>
    </row>
    <row r="500">
      <c r="A500" s="54">
        <f>IF(_imp!$C$502="","",INDEX(_imp!$D$4:$D$4503,_imp!$C$502))</f>
        <v/>
      </c>
      <c r="B500" s="54">
        <f>IF(_imp!$C$502="","",INDEX(_imp!$E$4:$E$4503,_imp!$C$502))</f>
        <v/>
      </c>
      <c r="C500" s="54">
        <f>IF(_imp!$C$502="","",INDEX(_imp!$F$4:$F$4503,_imp!$C$502))</f>
        <v/>
      </c>
      <c r="D500" s="54">
        <f>IF(_imp!$C$502="","",INDEX(_imp!$G$4:$G$4503,_imp!$C$502))</f>
        <v/>
      </c>
      <c r="E500" s="54">
        <f>IF(_imp!$C$502="","",INDEX(_imp!$H$4:$H$4503,_imp!$C$502))</f>
        <v/>
      </c>
      <c r="F500" s="54">
        <f>IF(_imp!$C$502="","",INDEX(_imp!$I$4:$I$4503,_imp!$C$502))</f>
        <v/>
      </c>
      <c r="G500" s="54">
        <f>IF(_imp!$C$502="","",INDEX(_imp!$J$4:$J$4503,_imp!$C$502))</f>
        <v/>
      </c>
      <c r="K500" s="54">
        <f>IF(_imp!$C$502="","",INDEX(_imp!$K$4:$K$4503,_imp!$C$502))</f>
        <v/>
      </c>
    </row>
    <row r="501">
      <c r="A501" s="54">
        <f>IF(_imp!$C$503="","",INDEX(_imp!$D$4:$D$4503,_imp!$C$503))</f>
        <v/>
      </c>
      <c r="B501" s="54">
        <f>IF(_imp!$C$503="","",INDEX(_imp!$E$4:$E$4503,_imp!$C$503))</f>
        <v/>
      </c>
      <c r="C501" s="54">
        <f>IF(_imp!$C$503="","",INDEX(_imp!$F$4:$F$4503,_imp!$C$503))</f>
        <v/>
      </c>
      <c r="D501" s="54">
        <f>IF(_imp!$C$503="","",INDEX(_imp!$G$4:$G$4503,_imp!$C$503))</f>
        <v/>
      </c>
      <c r="E501" s="54">
        <f>IF(_imp!$C$503="","",INDEX(_imp!$H$4:$H$4503,_imp!$C$503))</f>
        <v/>
      </c>
      <c r="F501" s="54">
        <f>IF(_imp!$C$503="","",INDEX(_imp!$I$4:$I$4503,_imp!$C$503))</f>
        <v/>
      </c>
      <c r="G501" s="54">
        <f>IF(_imp!$C$503="","",INDEX(_imp!$J$4:$J$4503,_imp!$C$503))</f>
        <v/>
      </c>
      <c r="K501" s="54">
        <f>IF(_imp!$C$503="","",INDEX(_imp!$K$4:$K$4503,_imp!$C$503))</f>
        <v/>
      </c>
    </row>
    <row r="502">
      <c r="A502" s="54">
        <f>IF(_imp!$C$504="","",INDEX(_imp!$D$4:$D$4503,_imp!$C$504))</f>
        <v/>
      </c>
      <c r="B502" s="54">
        <f>IF(_imp!$C$504="","",INDEX(_imp!$E$4:$E$4503,_imp!$C$504))</f>
        <v/>
      </c>
      <c r="C502" s="54">
        <f>IF(_imp!$C$504="","",INDEX(_imp!$F$4:$F$4503,_imp!$C$504))</f>
        <v/>
      </c>
      <c r="D502" s="54">
        <f>IF(_imp!$C$504="","",INDEX(_imp!$G$4:$G$4503,_imp!$C$504))</f>
        <v/>
      </c>
      <c r="E502" s="54">
        <f>IF(_imp!$C$504="","",INDEX(_imp!$H$4:$H$4503,_imp!$C$504))</f>
        <v/>
      </c>
      <c r="F502" s="54">
        <f>IF(_imp!$C$504="","",INDEX(_imp!$I$4:$I$4503,_imp!$C$504))</f>
        <v/>
      </c>
      <c r="G502" s="54">
        <f>IF(_imp!$C$504="","",INDEX(_imp!$J$4:$J$4503,_imp!$C$504))</f>
        <v/>
      </c>
      <c r="K502" s="54">
        <f>IF(_imp!$C$504="","",INDEX(_imp!$K$4:$K$4503,_imp!$C$504))</f>
        <v/>
      </c>
    </row>
    <row r="503">
      <c r="A503" s="54">
        <f>IF(_imp!$C$505="","",INDEX(_imp!$D$4:$D$4503,_imp!$C$505))</f>
        <v/>
      </c>
      <c r="B503" s="54">
        <f>IF(_imp!$C$505="","",INDEX(_imp!$E$4:$E$4503,_imp!$C$505))</f>
        <v/>
      </c>
      <c r="C503" s="54">
        <f>IF(_imp!$C$505="","",INDEX(_imp!$F$4:$F$4503,_imp!$C$505))</f>
        <v/>
      </c>
      <c r="D503" s="54">
        <f>IF(_imp!$C$505="","",INDEX(_imp!$G$4:$G$4503,_imp!$C$505))</f>
        <v/>
      </c>
      <c r="E503" s="54">
        <f>IF(_imp!$C$505="","",INDEX(_imp!$H$4:$H$4503,_imp!$C$505))</f>
        <v/>
      </c>
      <c r="F503" s="54">
        <f>IF(_imp!$C$505="","",INDEX(_imp!$I$4:$I$4503,_imp!$C$505))</f>
        <v/>
      </c>
      <c r="G503" s="54">
        <f>IF(_imp!$C$505="","",INDEX(_imp!$J$4:$J$4503,_imp!$C$505))</f>
        <v/>
      </c>
      <c r="K503" s="54">
        <f>IF(_imp!$C$505="","",INDEX(_imp!$K$4:$K$4503,_imp!$C$505))</f>
        <v/>
      </c>
    </row>
    <row r="504">
      <c r="A504" s="54">
        <f>IF(_imp!$C$506="","",INDEX(_imp!$D$4:$D$4503,_imp!$C$506))</f>
        <v/>
      </c>
      <c r="B504" s="54">
        <f>IF(_imp!$C$506="","",INDEX(_imp!$E$4:$E$4503,_imp!$C$506))</f>
        <v/>
      </c>
      <c r="C504" s="54">
        <f>IF(_imp!$C$506="","",INDEX(_imp!$F$4:$F$4503,_imp!$C$506))</f>
        <v/>
      </c>
      <c r="D504" s="54">
        <f>IF(_imp!$C$506="","",INDEX(_imp!$G$4:$G$4503,_imp!$C$506))</f>
        <v/>
      </c>
      <c r="E504" s="54">
        <f>IF(_imp!$C$506="","",INDEX(_imp!$H$4:$H$4503,_imp!$C$506))</f>
        <v/>
      </c>
      <c r="F504" s="54">
        <f>IF(_imp!$C$506="","",INDEX(_imp!$I$4:$I$4503,_imp!$C$506))</f>
        <v/>
      </c>
      <c r="G504" s="54">
        <f>IF(_imp!$C$506="","",INDEX(_imp!$J$4:$J$4503,_imp!$C$506))</f>
        <v/>
      </c>
      <c r="K504" s="54">
        <f>IF(_imp!$C$506="","",INDEX(_imp!$K$4:$K$4503,_imp!$C$506))</f>
        <v/>
      </c>
    </row>
    <row r="505">
      <c r="A505" s="54">
        <f>IF(_imp!$C$507="","",INDEX(_imp!$D$4:$D$4503,_imp!$C$507))</f>
        <v/>
      </c>
      <c r="B505" s="54">
        <f>IF(_imp!$C$507="","",INDEX(_imp!$E$4:$E$4503,_imp!$C$507))</f>
        <v/>
      </c>
      <c r="C505" s="54">
        <f>IF(_imp!$C$507="","",INDEX(_imp!$F$4:$F$4503,_imp!$C$507))</f>
        <v/>
      </c>
      <c r="D505" s="54">
        <f>IF(_imp!$C$507="","",INDEX(_imp!$G$4:$G$4503,_imp!$C$507))</f>
        <v/>
      </c>
      <c r="E505" s="54">
        <f>IF(_imp!$C$507="","",INDEX(_imp!$H$4:$H$4503,_imp!$C$507))</f>
        <v/>
      </c>
      <c r="F505" s="54">
        <f>IF(_imp!$C$507="","",INDEX(_imp!$I$4:$I$4503,_imp!$C$507))</f>
        <v/>
      </c>
      <c r="G505" s="54">
        <f>IF(_imp!$C$507="","",INDEX(_imp!$J$4:$J$4503,_imp!$C$507))</f>
        <v/>
      </c>
      <c r="K505" s="54">
        <f>IF(_imp!$C$507="","",INDEX(_imp!$K$4:$K$4503,_imp!$C$507))</f>
        <v/>
      </c>
    </row>
    <row r="506">
      <c r="A506" s="54">
        <f>IF(_imp!$C$508="","",INDEX(_imp!$D$4:$D$4503,_imp!$C$508))</f>
        <v/>
      </c>
      <c r="B506" s="54">
        <f>IF(_imp!$C$508="","",INDEX(_imp!$E$4:$E$4503,_imp!$C$508))</f>
        <v/>
      </c>
      <c r="C506" s="54">
        <f>IF(_imp!$C$508="","",INDEX(_imp!$F$4:$F$4503,_imp!$C$508))</f>
        <v/>
      </c>
      <c r="D506" s="54">
        <f>IF(_imp!$C$508="","",INDEX(_imp!$G$4:$G$4503,_imp!$C$508))</f>
        <v/>
      </c>
      <c r="E506" s="54">
        <f>IF(_imp!$C$508="","",INDEX(_imp!$H$4:$H$4503,_imp!$C$508))</f>
        <v/>
      </c>
      <c r="F506" s="54">
        <f>IF(_imp!$C$508="","",INDEX(_imp!$I$4:$I$4503,_imp!$C$508))</f>
        <v/>
      </c>
      <c r="G506" s="54">
        <f>IF(_imp!$C$508="","",INDEX(_imp!$J$4:$J$4503,_imp!$C$508))</f>
        <v/>
      </c>
      <c r="K506" s="54">
        <f>IF(_imp!$C$508="","",INDEX(_imp!$K$4:$K$4503,_imp!$C$508))</f>
        <v/>
      </c>
    </row>
    <row r="507">
      <c r="A507" s="54">
        <f>IF(_imp!$C$509="","",INDEX(_imp!$D$4:$D$4503,_imp!$C$509))</f>
        <v/>
      </c>
      <c r="B507" s="54">
        <f>IF(_imp!$C$509="","",INDEX(_imp!$E$4:$E$4503,_imp!$C$509))</f>
        <v/>
      </c>
      <c r="C507" s="54">
        <f>IF(_imp!$C$509="","",INDEX(_imp!$F$4:$F$4503,_imp!$C$509))</f>
        <v/>
      </c>
      <c r="D507" s="54">
        <f>IF(_imp!$C$509="","",INDEX(_imp!$G$4:$G$4503,_imp!$C$509))</f>
        <v/>
      </c>
      <c r="E507" s="54">
        <f>IF(_imp!$C$509="","",INDEX(_imp!$H$4:$H$4503,_imp!$C$509))</f>
        <v/>
      </c>
      <c r="F507" s="54">
        <f>IF(_imp!$C$509="","",INDEX(_imp!$I$4:$I$4503,_imp!$C$509))</f>
        <v/>
      </c>
      <c r="G507" s="54">
        <f>IF(_imp!$C$509="","",INDEX(_imp!$J$4:$J$4503,_imp!$C$509))</f>
        <v/>
      </c>
      <c r="K507" s="54">
        <f>IF(_imp!$C$509="","",INDEX(_imp!$K$4:$K$4503,_imp!$C$509))</f>
        <v/>
      </c>
    </row>
    <row r="508">
      <c r="A508" s="54">
        <f>IF(_imp!$C$510="","",INDEX(_imp!$D$4:$D$4503,_imp!$C$510))</f>
        <v/>
      </c>
      <c r="B508" s="54">
        <f>IF(_imp!$C$510="","",INDEX(_imp!$E$4:$E$4503,_imp!$C$510))</f>
        <v/>
      </c>
      <c r="C508" s="54">
        <f>IF(_imp!$C$510="","",INDEX(_imp!$F$4:$F$4503,_imp!$C$510))</f>
        <v/>
      </c>
      <c r="D508" s="54">
        <f>IF(_imp!$C$510="","",INDEX(_imp!$G$4:$G$4503,_imp!$C$510))</f>
        <v/>
      </c>
      <c r="E508" s="54">
        <f>IF(_imp!$C$510="","",INDEX(_imp!$H$4:$H$4503,_imp!$C$510))</f>
        <v/>
      </c>
      <c r="F508" s="54">
        <f>IF(_imp!$C$510="","",INDEX(_imp!$I$4:$I$4503,_imp!$C$510))</f>
        <v/>
      </c>
      <c r="G508" s="54">
        <f>IF(_imp!$C$510="","",INDEX(_imp!$J$4:$J$4503,_imp!$C$510))</f>
        <v/>
      </c>
      <c r="K508" s="54">
        <f>IF(_imp!$C$510="","",INDEX(_imp!$K$4:$K$4503,_imp!$C$510))</f>
        <v/>
      </c>
    </row>
    <row r="509">
      <c r="A509" s="54">
        <f>IF(_imp!$C$511="","",INDEX(_imp!$D$4:$D$4503,_imp!$C$511))</f>
        <v/>
      </c>
      <c r="B509" s="54">
        <f>IF(_imp!$C$511="","",INDEX(_imp!$E$4:$E$4503,_imp!$C$511))</f>
        <v/>
      </c>
      <c r="C509" s="54">
        <f>IF(_imp!$C$511="","",INDEX(_imp!$F$4:$F$4503,_imp!$C$511))</f>
        <v/>
      </c>
      <c r="D509" s="54">
        <f>IF(_imp!$C$511="","",INDEX(_imp!$G$4:$G$4503,_imp!$C$511))</f>
        <v/>
      </c>
      <c r="E509" s="54">
        <f>IF(_imp!$C$511="","",INDEX(_imp!$H$4:$H$4503,_imp!$C$511))</f>
        <v/>
      </c>
      <c r="F509" s="54">
        <f>IF(_imp!$C$511="","",INDEX(_imp!$I$4:$I$4503,_imp!$C$511))</f>
        <v/>
      </c>
      <c r="G509" s="54">
        <f>IF(_imp!$C$511="","",INDEX(_imp!$J$4:$J$4503,_imp!$C$511))</f>
        <v/>
      </c>
      <c r="K509" s="54">
        <f>IF(_imp!$C$511="","",INDEX(_imp!$K$4:$K$4503,_imp!$C$511))</f>
        <v/>
      </c>
    </row>
    <row r="510">
      <c r="A510" s="54">
        <f>IF(_imp!$C$512="","",INDEX(_imp!$D$4:$D$4503,_imp!$C$512))</f>
        <v/>
      </c>
      <c r="B510" s="54">
        <f>IF(_imp!$C$512="","",INDEX(_imp!$E$4:$E$4503,_imp!$C$512))</f>
        <v/>
      </c>
      <c r="C510" s="54">
        <f>IF(_imp!$C$512="","",INDEX(_imp!$F$4:$F$4503,_imp!$C$512))</f>
        <v/>
      </c>
      <c r="D510" s="54">
        <f>IF(_imp!$C$512="","",INDEX(_imp!$G$4:$G$4503,_imp!$C$512))</f>
        <v/>
      </c>
      <c r="E510" s="54">
        <f>IF(_imp!$C$512="","",INDEX(_imp!$H$4:$H$4503,_imp!$C$512))</f>
        <v/>
      </c>
      <c r="F510" s="54">
        <f>IF(_imp!$C$512="","",INDEX(_imp!$I$4:$I$4503,_imp!$C$512))</f>
        <v/>
      </c>
      <c r="G510" s="54">
        <f>IF(_imp!$C$512="","",INDEX(_imp!$J$4:$J$4503,_imp!$C$512))</f>
        <v/>
      </c>
      <c r="K510" s="54">
        <f>IF(_imp!$C$512="","",INDEX(_imp!$K$4:$K$4503,_imp!$C$512))</f>
        <v/>
      </c>
    </row>
    <row r="511">
      <c r="A511" s="54">
        <f>IF(_imp!$C$513="","",INDEX(_imp!$D$4:$D$4503,_imp!$C$513))</f>
        <v/>
      </c>
      <c r="B511" s="54">
        <f>IF(_imp!$C$513="","",INDEX(_imp!$E$4:$E$4503,_imp!$C$513))</f>
        <v/>
      </c>
      <c r="C511" s="54">
        <f>IF(_imp!$C$513="","",INDEX(_imp!$F$4:$F$4503,_imp!$C$513))</f>
        <v/>
      </c>
      <c r="D511" s="54">
        <f>IF(_imp!$C$513="","",INDEX(_imp!$G$4:$G$4503,_imp!$C$513))</f>
        <v/>
      </c>
      <c r="E511" s="54">
        <f>IF(_imp!$C$513="","",INDEX(_imp!$H$4:$H$4503,_imp!$C$513))</f>
        <v/>
      </c>
      <c r="F511" s="54">
        <f>IF(_imp!$C$513="","",INDEX(_imp!$I$4:$I$4503,_imp!$C$513))</f>
        <v/>
      </c>
      <c r="G511" s="54">
        <f>IF(_imp!$C$513="","",INDEX(_imp!$J$4:$J$4503,_imp!$C$513))</f>
        <v/>
      </c>
      <c r="K511" s="54">
        <f>IF(_imp!$C$513="","",INDEX(_imp!$K$4:$K$4503,_imp!$C$513))</f>
        <v/>
      </c>
    </row>
    <row r="512">
      <c r="A512" s="54">
        <f>IF(_imp!$C$514="","",INDEX(_imp!$D$4:$D$4503,_imp!$C$514))</f>
        <v/>
      </c>
      <c r="B512" s="54">
        <f>IF(_imp!$C$514="","",INDEX(_imp!$E$4:$E$4503,_imp!$C$514))</f>
        <v/>
      </c>
      <c r="C512" s="54">
        <f>IF(_imp!$C$514="","",INDEX(_imp!$F$4:$F$4503,_imp!$C$514))</f>
        <v/>
      </c>
      <c r="D512" s="54">
        <f>IF(_imp!$C$514="","",INDEX(_imp!$G$4:$G$4503,_imp!$C$514))</f>
        <v/>
      </c>
      <c r="E512" s="54">
        <f>IF(_imp!$C$514="","",INDEX(_imp!$H$4:$H$4503,_imp!$C$514))</f>
        <v/>
      </c>
      <c r="F512" s="54">
        <f>IF(_imp!$C$514="","",INDEX(_imp!$I$4:$I$4503,_imp!$C$514))</f>
        <v/>
      </c>
      <c r="G512" s="54">
        <f>IF(_imp!$C$514="","",INDEX(_imp!$J$4:$J$4503,_imp!$C$514))</f>
        <v/>
      </c>
      <c r="K512" s="54">
        <f>IF(_imp!$C$514="","",INDEX(_imp!$K$4:$K$4503,_imp!$C$514))</f>
        <v/>
      </c>
    </row>
    <row r="513">
      <c r="A513" s="54">
        <f>IF(_imp!$C$515="","",INDEX(_imp!$D$4:$D$4503,_imp!$C$515))</f>
        <v/>
      </c>
      <c r="B513" s="54">
        <f>IF(_imp!$C$515="","",INDEX(_imp!$E$4:$E$4503,_imp!$C$515))</f>
        <v/>
      </c>
      <c r="C513" s="54">
        <f>IF(_imp!$C$515="","",INDEX(_imp!$F$4:$F$4503,_imp!$C$515))</f>
        <v/>
      </c>
      <c r="D513" s="54">
        <f>IF(_imp!$C$515="","",INDEX(_imp!$G$4:$G$4503,_imp!$C$515))</f>
        <v/>
      </c>
      <c r="E513" s="54">
        <f>IF(_imp!$C$515="","",INDEX(_imp!$H$4:$H$4503,_imp!$C$515))</f>
        <v/>
      </c>
      <c r="F513" s="54">
        <f>IF(_imp!$C$515="","",INDEX(_imp!$I$4:$I$4503,_imp!$C$515))</f>
        <v/>
      </c>
      <c r="G513" s="54">
        <f>IF(_imp!$C$515="","",INDEX(_imp!$J$4:$J$4503,_imp!$C$515))</f>
        <v/>
      </c>
      <c r="K513" s="54">
        <f>IF(_imp!$C$515="","",INDEX(_imp!$K$4:$K$4503,_imp!$C$515))</f>
        <v/>
      </c>
    </row>
    <row r="514">
      <c r="A514" s="54">
        <f>IF(_imp!$C$516="","",INDEX(_imp!$D$4:$D$4503,_imp!$C$516))</f>
        <v/>
      </c>
      <c r="B514" s="54">
        <f>IF(_imp!$C$516="","",INDEX(_imp!$E$4:$E$4503,_imp!$C$516))</f>
        <v/>
      </c>
      <c r="C514" s="54">
        <f>IF(_imp!$C$516="","",INDEX(_imp!$F$4:$F$4503,_imp!$C$516))</f>
        <v/>
      </c>
      <c r="D514" s="54">
        <f>IF(_imp!$C$516="","",INDEX(_imp!$G$4:$G$4503,_imp!$C$516))</f>
        <v/>
      </c>
      <c r="E514" s="54">
        <f>IF(_imp!$C$516="","",INDEX(_imp!$H$4:$H$4503,_imp!$C$516))</f>
        <v/>
      </c>
      <c r="F514" s="54">
        <f>IF(_imp!$C$516="","",INDEX(_imp!$I$4:$I$4503,_imp!$C$516))</f>
        <v/>
      </c>
      <c r="G514" s="54">
        <f>IF(_imp!$C$516="","",INDEX(_imp!$J$4:$J$4503,_imp!$C$516))</f>
        <v/>
      </c>
      <c r="K514" s="54">
        <f>IF(_imp!$C$516="","",INDEX(_imp!$K$4:$K$4503,_imp!$C$516))</f>
        <v/>
      </c>
    </row>
    <row r="515">
      <c r="A515" s="54">
        <f>IF(_imp!$C$517="","",INDEX(_imp!$D$4:$D$4503,_imp!$C$517))</f>
        <v/>
      </c>
      <c r="B515" s="54">
        <f>IF(_imp!$C$517="","",INDEX(_imp!$E$4:$E$4503,_imp!$C$517))</f>
        <v/>
      </c>
      <c r="C515" s="54">
        <f>IF(_imp!$C$517="","",INDEX(_imp!$F$4:$F$4503,_imp!$C$517))</f>
        <v/>
      </c>
      <c r="D515" s="54">
        <f>IF(_imp!$C$517="","",INDEX(_imp!$G$4:$G$4503,_imp!$C$517))</f>
        <v/>
      </c>
      <c r="E515" s="54">
        <f>IF(_imp!$C$517="","",INDEX(_imp!$H$4:$H$4503,_imp!$C$517))</f>
        <v/>
      </c>
      <c r="F515" s="54">
        <f>IF(_imp!$C$517="","",INDEX(_imp!$I$4:$I$4503,_imp!$C$517))</f>
        <v/>
      </c>
      <c r="G515" s="54">
        <f>IF(_imp!$C$517="","",INDEX(_imp!$J$4:$J$4503,_imp!$C$517))</f>
        <v/>
      </c>
      <c r="K515" s="54">
        <f>IF(_imp!$C$517="","",INDEX(_imp!$K$4:$K$4503,_imp!$C$517))</f>
        <v/>
      </c>
    </row>
    <row r="516">
      <c r="A516" s="54">
        <f>IF(_imp!$C$518="","",INDEX(_imp!$D$4:$D$4503,_imp!$C$518))</f>
        <v/>
      </c>
      <c r="B516" s="54">
        <f>IF(_imp!$C$518="","",INDEX(_imp!$E$4:$E$4503,_imp!$C$518))</f>
        <v/>
      </c>
      <c r="C516" s="54">
        <f>IF(_imp!$C$518="","",INDEX(_imp!$F$4:$F$4503,_imp!$C$518))</f>
        <v/>
      </c>
      <c r="D516" s="54">
        <f>IF(_imp!$C$518="","",INDEX(_imp!$G$4:$G$4503,_imp!$C$518))</f>
        <v/>
      </c>
      <c r="E516" s="54">
        <f>IF(_imp!$C$518="","",INDEX(_imp!$H$4:$H$4503,_imp!$C$518))</f>
        <v/>
      </c>
      <c r="F516" s="54">
        <f>IF(_imp!$C$518="","",INDEX(_imp!$I$4:$I$4503,_imp!$C$518))</f>
        <v/>
      </c>
      <c r="G516" s="54">
        <f>IF(_imp!$C$518="","",INDEX(_imp!$J$4:$J$4503,_imp!$C$518))</f>
        <v/>
      </c>
      <c r="K516" s="54">
        <f>IF(_imp!$C$518="","",INDEX(_imp!$K$4:$K$4503,_imp!$C$518))</f>
        <v/>
      </c>
    </row>
    <row r="517">
      <c r="A517" s="54">
        <f>IF(_imp!$C$519="","",INDEX(_imp!$D$4:$D$4503,_imp!$C$519))</f>
        <v/>
      </c>
      <c r="B517" s="54">
        <f>IF(_imp!$C$519="","",INDEX(_imp!$E$4:$E$4503,_imp!$C$519))</f>
        <v/>
      </c>
      <c r="C517" s="54">
        <f>IF(_imp!$C$519="","",INDEX(_imp!$F$4:$F$4503,_imp!$C$519))</f>
        <v/>
      </c>
      <c r="D517" s="54">
        <f>IF(_imp!$C$519="","",INDEX(_imp!$G$4:$G$4503,_imp!$C$519))</f>
        <v/>
      </c>
      <c r="E517" s="54">
        <f>IF(_imp!$C$519="","",INDEX(_imp!$H$4:$H$4503,_imp!$C$519))</f>
        <v/>
      </c>
      <c r="F517" s="54">
        <f>IF(_imp!$C$519="","",INDEX(_imp!$I$4:$I$4503,_imp!$C$519))</f>
        <v/>
      </c>
      <c r="G517" s="54">
        <f>IF(_imp!$C$519="","",INDEX(_imp!$J$4:$J$4503,_imp!$C$519))</f>
        <v/>
      </c>
      <c r="K517" s="54">
        <f>IF(_imp!$C$519="","",INDEX(_imp!$K$4:$K$4503,_imp!$C$519))</f>
        <v/>
      </c>
    </row>
    <row r="518">
      <c r="A518" s="54">
        <f>IF(_imp!$C$520="","",INDEX(_imp!$D$4:$D$4503,_imp!$C$520))</f>
        <v/>
      </c>
      <c r="B518" s="54">
        <f>IF(_imp!$C$520="","",INDEX(_imp!$E$4:$E$4503,_imp!$C$520))</f>
        <v/>
      </c>
      <c r="C518" s="54">
        <f>IF(_imp!$C$520="","",INDEX(_imp!$F$4:$F$4503,_imp!$C$520))</f>
        <v/>
      </c>
      <c r="D518" s="54">
        <f>IF(_imp!$C$520="","",INDEX(_imp!$G$4:$G$4503,_imp!$C$520))</f>
        <v/>
      </c>
      <c r="E518" s="54">
        <f>IF(_imp!$C$520="","",INDEX(_imp!$H$4:$H$4503,_imp!$C$520))</f>
        <v/>
      </c>
      <c r="F518" s="54">
        <f>IF(_imp!$C$520="","",INDEX(_imp!$I$4:$I$4503,_imp!$C$520))</f>
        <v/>
      </c>
      <c r="G518" s="54">
        <f>IF(_imp!$C$520="","",INDEX(_imp!$J$4:$J$4503,_imp!$C$520))</f>
        <v/>
      </c>
      <c r="K518" s="54">
        <f>IF(_imp!$C$520="","",INDEX(_imp!$K$4:$K$4503,_imp!$C$520))</f>
        <v/>
      </c>
    </row>
    <row r="519">
      <c r="A519" s="54">
        <f>IF(_imp!$C$521="","",INDEX(_imp!$D$4:$D$4503,_imp!$C$521))</f>
        <v/>
      </c>
      <c r="B519" s="54">
        <f>IF(_imp!$C$521="","",INDEX(_imp!$E$4:$E$4503,_imp!$C$521))</f>
        <v/>
      </c>
      <c r="C519" s="54">
        <f>IF(_imp!$C$521="","",INDEX(_imp!$F$4:$F$4503,_imp!$C$521))</f>
        <v/>
      </c>
      <c r="D519" s="54">
        <f>IF(_imp!$C$521="","",INDEX(_imp!$G$4:$G$4503,_imp!$C$521))</f>
        <v/>
      </c>
      <c r="E519" s="54">
        <f>IF(_imp!$C$521="","",INDEX(_imp!$H$4:$H$4503,_imp!$C$521))</f>
        <v/>
      </c>
      <c r="F519" s="54">
        <f>IF(_imp!$C$521="","",INDEX(_imp!$I$4:$I$4503,_imp!$C$521))</f>
        <v/>
      </c>
      <c r="G519" s="54">
        <f>IF(_imp!$C$521="","",INDEX(_imp!$J$4:$J$4503,_imp!$C$521))</f>
        <v/>
      </c>
      <c r="K519" s="54">
        <f>IF(_imp!$C$521="","",INDEX(_imp!$K$4:$K$4503,_imp!$C$521))</f>
        <v/>
      </c>
    </row>
    <row r="520">
      <c r="A520" s="54">
        <f>IF(_imp!$C$522="","",INDEX(_imp!$D$4:$D$4503,_imp!$C$522))</f>
        <v/>
      </c>
      <c r="B520" s="54">
        <f>IF(_imp!$C$522="","",INDEX(_imp!$E$4:$E$4503,_imp!$C$522))</f>
        <v/>
      </c>
      <c r="C520" s="54">
        <f>IF(_imp!$C$522="","",INDEX(_imp!$F$4:$F$4503,_imp!$C$522))</f>
        <v/>
      </c>
      <c r="D520" s="54">
        <f>IF(_imp!$C$522="","",INDEX(_imp!$G$4:$G$4503,_imp!$C$522))</f>
        <v/>
      </c>
      <c r="E520" s="54">
        <f>IF(_imp!$C$522="","",INDEX(_imp!$H$4:$H$4503,_imp!$C$522))</f>
        <v/>
      </c>
      <c r="F520" s="54">
        <f>IF(_imp!$C$522="","",INDEX(_imp!$I$4:$I$4503,_imp!$C$522))</f>
        <v/>
      </c>
      <c r="G520" s="54">
        <f>IF(_imp!$C$522="","",INDEX(_imp!$J$4:$J$4503,_imp!$C$522))</f>
        <v/>
      </c>
      <c r="K520" s="54">
        <f>IF(_imp!$C$522="","",INDEX(_imp!$K$4:$K$4503,_imp!$C$522))</f>
        <v/>
      </c>
    </row>
    <row r="521">
      <c r="A521" s="54">
        <f>IF(_imp!$C$523="","",INDEX(_imp!$D$4:$D$4503,_imp!$C$523))</f>
        <v/>
      </c>
      <c r="B521" s="54">
        <f>IF(_imp!$C$523="","",INDEX(_imp!$E$4:$E$4503,_imp!$C$523))</f>
        <v/>
      </c>
      <c r="C521" s="54">
        <f>IF(_imp!$C$523="","",INDEX(_imp!$F$4:$F$4503,_imp!$C$523))</f>
        <v/>
      </c>
      <c r="D521" s="54">
        <f>IF(_imp!$C$523="","",INDEX(_imp!$G$4:$G$4503,_imp!$C$523))</f>
        <v/>
      </c>
      <c r="E521" s="54">
        <f>IF(_imp!$C$523="","",INDEX(_imp!$H$4:$H$4503,_imp!$C$523))</f>
        <v/>
      </c>
      <c r="F521" s="54">
        <f>IF(_imp!$C$523="","",INDEX(_imp!$I$4:$I$4503,_imp!$C$523))</f>
        <v/>
      </c>
      <c r="G521" s="54">
        <f>IF(_imp!$C$523="","",INDEX(_imp!$J$4:$J$4503,_imp!$C$523))</f>
        <v/>
      </c>
      <c r="K521" s="54">
        <f>IF(_imp!$C$523="","",INDEX(_imp!$K$4:$K$4503,_imp!$C$523))</f>
        <v/>
      </c>
    </row>
    <row r="522">
      <c r="A522" s="54">
        <f>IF(_imp!$C$524="","",INDEX(_imp!$D$4:$D$4503,_imp!$C$524))</f>
        <v/>
      </c>
      <c r="B522" s="54">
        <f>IF(_imp!$C$524="","",INDEX(_imp!$E$4:$E$4503,_imp!$C$524))</f>
        <v/>
      </c>
      <c r="C522" s="54">
        <f>IF(_imp!$C$524="","",INDEX(_imp!$F$4:$F$4503,_imp!$C$524))</f>
        <v/>
      </c>
      <c r="D522" s="54">
        <f>IF(_imp!$C$524="","",INDEX(_imp!$G$4:$G$4503,_imp!$C$524))</f>
        <v/>
      </c>
      <c r="E522" s="54">
        <f>IF(_imp!$C$524="","",INDEX(_imp!$H$4:$H$4503,_imp!$C$524))</f>
        <v/>
      </c>
      <c r="F522" s="54">
        <f>IF(_imp!$C$524="","",INDEX(_imp!$I$4:$I$4503,_imp!$C$524))</f>
        <v/>
      </c>
      <c r="G522" s="54">
        <f>IF(_imp!$C$524="","",INDEX(_imp!$J$4:$J$4503,_imp!$C$524))</f>
        <v/>
      </c>
      <c r="K522" s="54">
        <f>IF(_imp!$C$524="","",INDEX(_imp!$K$4:$K$4503,_imp!$C$524))</f>
        <v/>
      </c>
    </row>
    <row r="523">
      <c r="A523" s="54">
        <f>IF(_imp!$C$525="","",INDEX(_imp!$D$4:$D$4503,_imp!$C$525))</f>
        <v/>
      </c>
      <c r="B523" s="54">
        <f>IF(_imp!$C$525="","",INDEX(_imp!$E$4:$E$4503,_imp!$C$525))</f>
        <v/>
      </c>
      <c r="C523" s="54">
        <f>IF(_imp!$C$525="","",INDEX(_imp!$F$4:$F$4503,_imp!$C$525))</f>
        <v/>
      </c>
      <c r="D523" s="54">
        <f>IF(_imp!$C$525="","",INDEX(_imp!$G$4:$G$4503,_imp!$C$525))</f>
        <v/>
      </c>
      <c r="E523" s="54">
        <f>IF(_imp!$C$525="","",INDEX(_imp!$H$4:$H$4503,_imp!$C$525))</f>
        <v/>
      </c>
      <c r="F523" s="54">
        <f>IF(_imp!$C$525="","",INDEX(_imp!$I$4:$I$4503,_imp!$C$525))</f>
        <v/>
      </c>
      <c r="G523" s="54">
        <f>IF(_imp!$C$525="","",INDEX(_imp!$J$4:$J$4503,_imp!$C$525))</f>
        <v/>
      </c>
      <c r="K523" s="54">
        <f>IF(_imp!$C$525="","",INDEX(_imp!$K$4:$K$4503,_imp!$C$525))</f>
        <v/>
      </c>
    </row>
    <row r="524">
      <c r="A524" s="54">
        <f>IF(_imp!$C$526="","",INDEX(_imp!$D$4:$D$4503,_imp!$C$526))</f>
        <v/>
      </c>
      <c r="B524" s="54">
        <f>IF(_imp!$C$526="","",INDEX(_imp!$E$4:$E$4503,_imp!$C$526))</f>
        <v/>
      </c>
      <c r="C524" s="54">
        <f>IF(_imp!$C$526="","",INDEX(_imp!$F$4:$F$4503,_imp!$C$526))</f>
        <v/>
      </c>
      <c r="D524" s="54">
        <f>IF(_imp!$C$526="","",INDEX(_imp!$G$4:$G$4503,_imp!$C$526))</f>
        <v/>
      </c>
      <c r="E524" s="54">
        <f>IF(_imp!$C$526="","",INDEX(_imp!$H$4:$H$4503,_imp!$C$526))</f>
        <v/>
      </c>
      <c r="F524" s="54">
        <f>IF(_imp!$C$526="","",INDEX(_imp!$I$4:$I$4503,_imp!$C$526))</f>
        <v/>
      </c>
      <c r="G524" s="54">
        <f>IF(_imp!$C$526="","",INDEX(_imp!$J$4:$J$4503,_imp!$C$526))</f>
        <v/>
      </c>
      <c r="K524" s="54">
        <f>IF(_imp!$C$526="","",INDEX(_imp!$K$4:$K$4503,_imp!$C$526))</f>
        <v/>
      </c>
    </row>
    <row r="525">
      <c r="A525" s="54">
        <f>IF(_imp!$C$527="","",INDEX(_imp!$D$4:$D$4503,_imp!$C$527))</f>
        <v/>
      </c>
      <c r="B525" s="54">
        <f>IF(_imp!$C$527="","",INDEX(_imp!$E$4:$E$4503,_imp!$C$527))</f>
        <v/>
      </c>
      <c r="C525" s="54">
        <f>IF(_imp!$C$527="","",INDEX(_imp!$F$4:$F$4503,_imp!$C$527))</f>
        <v/>
      </c>
      <c r="D525" s="54">
        <f>IF(_imp!$C$527="","",INDEX(_imp!$G$4:$G$4503,_imp!$C$527))</f>
        <v/>
      </c>
      <c r="E525" s="54">
        <f>IF(_imp!$C$527="","",INDEX(_imp!$H$4:$H$4503,_imp!$C$527))</f>
        <v/>
      </c>
      <c r="F525" s="54">
        <f>IF(_imp!$C$527="","",INDEX(_imp!$I$4:$I$4503,_imp!$C$527))</f>
        <v/>
      </c>
      <c r="G525" s="54">
        <f>IF(_imp!$C$527="","",INDEX(_imp!$J$4:$J$4503,_imp!$C$527))</f>
        <v/>
      </c>
      <c r="K525" s="54">
        <f>IF(_imp!$C$527="","",INDEX(_imp!$K$4:$K$4503,_imp!$C$527))</f>
        <v/>
      </c>
    </row>
    <row r="526">
      <c r="A526" s="54">
        <f>IF(_imp!$C$528="","",INDEX(_imp!$D$4:$D$4503,_imp!$C$528))</f>
        <v/>
      </c>
      <c r="B526" s="54">
        <f>IF(_imp!$C$528="","",INDEX(_imp!$E$4:$E$4503,_imp!$C$528))</f>
        <v/>
      </c>
      <c r="C526" s="54">
        <f>IF(_imp!$C$528="","",INDEX(_imp!$F$4:$F$4503,_imp!$C$528))</f>
        <v/>
      </c>
      <c r="D526" s="54">
        <f>IF(_imp!$C$528="","",INDEX(_imp!$G$4:$G$4503,_imp!$C$528))</f>
        <v/>
      </c>
      <c r="E526" s="54">
        <f>IF(_imp!$C$528="","",INDEX(_imp!$H$4:$H$4503,_imp!$C$528))</f>
        <v/>
      </c>
      <c r="F526" s="54">
        <f>IF(_imp!$C$528="","",INDEX(_imp!$I$4:$I$4503,_imp!$C$528))</f>
        <v/>
      </c>
      <c r="G526" s="54">
        <f>IF(_imp!$C$528="","",INDEX(_imp!$J$4:$J$4503,_imp!$C$528))</f>
        <v/>
      </c>
      <c r="K526" s="54">
        <f>IF(_imp!$C$528="","",INDEX(_imp!$K$4:$K$4503,_imp!$C$528))</f>
        <v/>
      </c>
    </row>
    <row r="527">
      <c r="A527" s="54">
        <f>IF(_imp!$C$529="","",INDEX(_imp!$D$4:$D$4503,_imp!$C$529))</f>
        <v/>
      </c>
      <c r="B527" s="54">
        <f>IF(_imp!$C$529="","",INDEX(_imp!$E$4:$E$4503,_imp!$C$529))</f>
        <v/>
      </c>
      <c r="C527" s="54">
        <f>IF(_imp!$C$529="","",INDEX(_imp!$F$4:$F$4503,_imp!$C$529))</f>
        <v/>
      </c>
      <c r="D527" s="54">
        <f>IF(_imp!$C$529="","",INDEX(_imp!$G$4:$G$4503,_imp!$C$529))</f>
        <v/>
      </c>
      <c r="E527" s="54">
        <f>IF(_imp!$C$529="","",INDEX(_imp!$H$4:$H$4503,_imp!$C$529))</f>
        <v/>
      </c>
      <c r="F527" s="54">
        <f>IF(_imp!$C$529="","",INDEX(_imp!$I$4:$I$4503,_imp!$C$529))</f>
        <v/>
      </c>
      <c r="G527" s="54">
        <f>IF(_imp!$C$529="","",INDEX(_imp!$J$4:$J$4503,_imp!$C$529))</f>
        <v/>
      </c>
      <c r="K527" s="54">
        <f>IF(_imp!$C$529="","",INDEX(_imp!$K$4:$K$4503,_imp!$C$529))</f>
        <v/>
      </c>
    </row>
    <row r="528">
      <c r="A528" s="54">
        <f>IF(_imp!$C$530="","",INDEX(_imp!$D$4:$D$4503,_imp!$C$530))</f>
        <v/>
      </c>
      <c r="B528" s="54">
        <f>IF(_imp!$C$530="","",INDEX(_imp!$E$4:$E$4503,_imp!$C$530))</f>
        <v/>
      </c>
      <c r="C528" s="54">
        <f>IF(_imp!$C$530="","",INDEX(_imp!$F$4:$F$4503,_imp!$C$530))</f>
        <v/>
      </c>
      <c r="D528" s="54">
        <f>IF(_imp!$C$530="","",INDEX(_imp!$G$4:$G$4503,_imp!$C$530))</f>
        <v/>
      </c>
      <c r="E528" s="54">
        <f>IF(_imp!$C$530="","",INDEX(_imp!$H$4:$H$4503,_imp!$C$530))</f>
        <v/>
      </c>
      <c r="F528" s="54">
        <f>IF(_imp!$C$530="","",INDEX(_imp!$I$4:$I$4503,_imp!$C$530))</f>
        <v/>
      </c>
      <c r="G528" s="54">
        <f>IF(_imp!$C$530="","",INDEX(_imp!$J$4:$J$4503,_imp!$C$530))</f>
        <v/>
      </c>
      <c r="K528" s="54">
        <f>IF(_imp!$C$530="","",INDEX(_imp!$K$4:$K$4503,_imp!$C$530))</f>
        <v/>
      </c>
    </row>
    <row r="529">
      <c r="A529" s="54">
        <f>IF(_imp!$C$531="","",INDEX(_imp!$D$4:$D$4503,_imp!$C$531))</f>
        <v/>
      </c>
      <c r="B529" s="54">
        <f>IF(_imp!$C$531="","",INDEX(_imp!$E$4:$E$4503,_imp!$C$531))</f>
        <v/>
      </c>
      <c r="C529" s="54">
        <f>IF(_imp!$C$531="","",INDEX(_imp!$F$4:$F$4503,_imp!$C$531))</f>
        <v/>
      </c>
      <c r="D529" s="54">
        <f>IF(_imp!$C$531="","",INDEX(_imp!$G$4:$G$4503,_imp!$C$531))</f>
        <v/>
      </c>
      <c r="E529" s="54">
        <f>IF(_imp!$C$531="","",INDEX(_imp!$H$4:$H$4503,_imp!$C$531))</f>
        <v/>
      </c>
      <c r="F529" s="54">
        <f>IF(_imp!$C$531="","",INDEX(_imp!$I$4:$I$4503,_imp!$C$531))</f>
        <v/>
      </c>
      <c r="G529" s="54">
        <f>IF(_imp!$C$531="","",INDEX(_imp!$J$4:$J$4503,_imp!$C$531))</f>
        <v/>
      </c>
      <c r="K529" s="54">
        <f>IF(_imp!$C$531="","",INDEX(_imp!$K$4:$K$4503,_imp!$C$531))</f>
        <v/>
      </c>
    </row>
    <row r="530">
      <c r="A530" s="54">
        <f>IF(_imp!$C$532="","",INDEX(_imp!$D$4:$D$4503,_imp!$C$532))</f>
        <v/>
      </c>
      <c r="B530" s="54">
        <f>IF(_imp!$C$532="","",INDEX(_imp!$E$4:$E$4503,_imp!$C$532))</f>
        <v/>
      </c>
      <c r="C530" s="54">
        <f>IF(_imp!$C$532="","",INDEX(_imp!$F$4:$F$4503,_imp!$C$532))</f>
        <v/>
      </c>
      <c r="D530" s="54">
        <f>IF(_imp!$C$532="","",INDEX(_imp!$G$4:$G$4503,_imp!$C$532))</f>
        <v/>
      </c>
      <c r="E530" s="54">
        <f>IF(_imp!$C$532="","",INDEX(_imp!$H$4:$H$4503,_imp!$C$532))</f>
        <v/>
      </c>
      <c r="F530" s="54">
        <f>IF(_imp!$C$532="","",INDEX(_imp!$I$4:$I$4503,_imp!$C$532))</f>
        <v/>
      </c>
      <c r="G530" s="54">
        <f>IF(_imp!$C$532="","",INDEX(_imp!$J$4:$J$4503,_imp!$C$532))</f>
        <v/>
      </c>
      <c r="K530" s="54">
        <f>IF(_imp!$C$532="","",INDEX(_imp!$K$4:$K$4503,_imp!$C$532))</f>
        <v/>
      </c>
    </row>
    <row r="531">
      <c r="A531" s="54">
        <f>IF(_imp!$C$533="","",INDEX(_imp!$D$4:$D$4503,_imp!$C$533))</f>
        <v/>
      </c>
      <c r="B531" s="54">
        <f>IF(_imp!$C$533="","",INDEX(_imp!$E$4:$E$4503,_imp!$C$533))</f>
        <v/>
      </c>
      <c r="C531" s="54">
        <f>IF(_imp!$C$533="","",INDEX(_imp!$F$4:$F$4503,_imp!$C$533))</f>
        <v/>
      </c>
      <c r="D531" s="54">
        <f>IF(_imp!$C$533="","",INDEX(_imp!$G$4:$G$4503,_imp!$C$533))</f>
        <v/>
      </c>
      <c r="E531" s="54">
        <f>IF(_imp!$C$533="","",INDEX(_imp!$H$4:$H$4503,_imp!$C$533))</f>
        <v/>
      </c>
      <c r="F531" s="54">
        <f>IF(_imp!$C$533="","",INDEX(_imp!$I$4:$I$4503,_imp!$C$533))</f>
        <v/>
      </c>
      <c r="G531" s="54">
        <f>IF(_imp!$C$533="","",INDEX(_imp!$J$4:$J$4503,_imp!$C$533))</f>
        <v/>
      </c>
      <c r="K531" s="54">
        <f>IF(_imp!$C$533="","",INDEX(_imp!$K$4:$K$4503,_imp!$C$533))</f>
        <v/>
      </c>
    </row>
    <row r="532">
      <c r="A532" s="54">
        <f>IF(_imp!$C$534="","",INDEX(_imp!$D$4:$D$4503,_imp!$C$534))</f>
        <v/>
      </c>
      <c r="B532" s="54">
        <f>IF(_imp!$C$534="","",INDEX(_imp!$E$4:$E$4503,_imp!$C$534))</f>
        <v/>
      </c>
      <c r="C532" s="54">
        <f>IF(_imp!$C$534="","",INDEX(_imp!$F$4:$F$4503,_imp!$C$534))</f>
        <v/>
      </c>
      <c r="D532" s="54">
        <f>IF(_imp!$C$534="","",INDEX(_imp!$G$4:$G$4503,_imp!$C$534))</f>
        <v/>
      </c>
      <c r="E532" s="54">
        <f>IF(_imp!$C$534="","",INDEX(_imp!$H$4:$H$4503,_imp!$C$534))</f>
        <v/>
      </c>
      <c r="F532" s="54">
        <f>IF(_imp!$C$534="","",INDEX(_imp!$I$4:$I$4503,_imp!$C$534))</f>
        <v/>
      </c>
      <c r="G532" s="54">
        <f>IF(_imp!$C$534="","",INDEX(_imp!$J$4:$J$4503,_imp!$C$534))</f>
        <v/>
      </c>
      <c r="K532" s="54">
        <f>IF(_imp!$C$534="","",INDEX(_imp!$K$4:$K$4503,_imp!$C$534))</f>
        <v/>
      </c>
    </row>
    <row r="533">
      <c r="A533" s="54">
        <f>IF(_imp!$C$535="","",INDEX(_imp!$D$4:$D$4503,_imp!$C$535))</f>
        <v/>
      </c>
      <c r="B533" s="54">
        <f>IF(_imp!$C$535="","",INDEX(_imp!$E$4:$E$4503,_imp!$C$535))</f>
        <v/>
      </c>
      <c r="C533" s="54">
        <f>IF(_imp!$C$535="","",INDEX(_imp!$F$4:$F$4503,_imp!$C$535))</f>
        <v/>
      </c>
      <c r="D533" s="54">
        <f>IF(_imp!$C$535="","",INDEX(_imp!$G$4:$G$4503,_imp!$C$535))</f>
        <v/>
      </c>
      <c r="E533" s="54">
        <f>IF(_imp!$C$535="","",INDEX(_imp!$H$4:$H$4503,_imp!$C$535))</f>
        <v/>
      </c>
      <c r="F533" s="54">
        <f>IF(_imp!$C$535="","",INDEX(_imp!$I$4:$I$4503,_imp!$C$535))</f>
        <v/>
      </c>
      <c r="G533" s="54">
        <f>IF(_imp!$C$535="","",INDEX(_imp!$J$4:$J$4503,_imp!$C$535))</f>
        <v/>
      </c>
      <c r="K533" s="54">
        <f>IF(_imp!$C$535="","",INDEX(_imp!$K$4:$K$4503,_imp!$C$535))</f>
        <v/>
      </c>
    </row>
    <row r="534">
      <c r="A534" s="54">
        <f>IF(_imp!$C$536="","",INDEX(_imp!$D$4:$D$4503,_imp!$C$536))</f>
        <v/>
      </c>
      <c r="B534" s="54">
        <f>IF(_imp!$C$536="","",INDEX(_imp!$E$4:$E$4503,_imp!$C$536))</f>
        <v/>
      </c>
      <c r="C534" s="54">
        <f>IF(_imp!$C$536="","",INDEX(_imp!$F$4:$F$4503,_imp!$C$536))</f>
        <v/>
      </c>
      <c r="D534" s="54">
        <f>IF(_imp!$C$536="","",INDEX(_imp!$G$4:$G$4503,_imp!$C$536))</f>
        <v/>
      </c>
      <c r="E534" s="54">
        <f>IF(_imp!$C$536="","",INDEX(_imp!$H$4:$H$4503,_imp!$C$536))</f>
        <v/>
      </c>
      <c r="F534" s="54">
        <f>IF(_imp!$C$536="","",INDEX(_imp!$I$4:$I$4503,_imp!$C$536))</f>
        <v/>
      </c>
      <c r="G534" s="54">
        <f>IF(_imp!$C$536="","",INDEX(_imp!$J$4:$J$4503,_imp!$C$536))</f>
        <v/>
      </c>
      <c r="K534" s="54">
        <f>IF(_imp!$C$536="","",INDEX(_imp!$K$4:$K$4503,_imp!$C$536))</f>
        <v/>
      </c>
    </row>
    <row r="535">
      <c r="A535" s="54">
        <f>IF(_imp!$C$537="","",INDEX(_imp!$D$4:$D$4503,_imp!$C$537))</f>
        <v/>
      </c>
      <c r="B535" s="54">
        <f>IF(_imp!$C$537="","",INDEX(_imp!$E$4:$E$4503,_imp!$C$537))</f>
        <v/>
      </c>
      <c r="C535" s="54">
        <f>IF(_imp!$C$537="","",INDEX(_imp!$F$4:$F$4503,_imp!$C$537))</f>
        <v/>
      </c>
      <c r="D535" s="54">
        <f>IF(_imp!$C$537="","",INDEX(_imp!$G$4:$G$4503,_imp!$C$537))</f>
        <v/>
      </c>
      <c r="E535" s="54">
        <f>IF(_imp!$C$537="","",INDEX(_imp!$H$4:$H$4503,_imp!$C$537))</f>
        <v/>
      </c>
      <c r="F535" s="54">
        <f>IF(_imp!$C$537="","",INDEX(_imp!$I$4:$I$4503,_imp!$C$537))</f>
        <v/>
      </c>
      <c r="G535" s="54">
        <f>IF(_imp!$C$537="","",INDEX(_imp!$J$4:$J$4503,_imp!$C$537))</f>
        <v/>
      </c>
      <c r="K535" s="54">
        <f>IF(_imp!$C$537="","",INDEX(_imp!$K$4:$K$4503,_imp!$C$537))</f>
        <v/>
      </c>
    </row>
    <row r="536">
      <c r="A536" s="54">
        <f>IF(_imp!$C$538="","",INDEX(_imp!$D$4:$D$4503,_imp!$C$538))</f>
        <v/>
      </c>
      <c r="B536" s="54">
        <f>IF(_imp!$C$538="","",INDEX(_imp!$E$4:$E$4503,_imp!$C$538))</f>
        <v/>
      </c>
      <c r="C536" s="54">
        <f>IF(_imp!$C$538="","",INDEX(_imp!$F$4:$F$4503,_imp!$C$538))</f>
        <v/>
      </c>
      <c r="D536" s="54">
        <f>IF(_imp!$C$538="","",INDEX(_imp!$G$4:$G$4503,_imp!$C$538))</f>
        <v/>
      </c>
      <c r="E536" s="54">
        <f>IF(_imp!$C$538="","",INDEX(_imp!$H$4:$H$4503,_imp!$C$538))</f>
        <v/>
      </c>
      <c r="F536" s="54">
        <f>IF(_imp!$C$538="","",INDEX(_imp!$I$4:$I$4503,_imp!$C$538))</f>
        <v/>
      </c>
      <c r="G536" s="54">
        <f>IF(_imp!$C$538="","",INDEX(_imp!$J$4:$J$4503,_imp!$C$538))</f>
        <v/>
      </c>
      <c r="K536" s="54">
        <f>IF(_imp!$C$538="","",INDEX(_imp!$K$4:$K$4503,_imp!$C$538))</f>
        <v/>
      </c>
    </row>
    <row r="537">
      <c r="A537" s="54">
        <f>IF(_imp!$C$539="","",INDEX(_imp!$D$4:$D$4503,_imp!$C$539))</f>
        <v/>
      </c>
      <c r="B537" s="54">
        <f>IF(_imp!$C$539="","",INDEX(_imp!$E$4:$E$4503,_imp!$C$539))</f>
        <v/>
      </c>
      <c r="C537" s="54">
        <f>IF(_imp!$C$539="","",INDEX(_imp!$F$4:$F$4503,_imp!$C$539))</f>
        <v/>
      </c>
      <c r="D537" s="54">
        <f>IF(_imp!$C$539="","",INDEX(_imp!$G$4:$G$4503,_imp!$C$539))</f>
        <v/>
      </c>
      <c r="E537" s="54">
        <f>IF(_imp!$C$539="","",INDEX(_imp!$H$4:$H$4503,_imp!$C$539))</f>
        <v/>
      </c>
      <c r="F537" s="54">
        <f>IF(_imp!$C$539="","",INDEX(_imp!$I$4:$I$4503,_imp!$C$539))</f>
        <v/>
      </c>
      <c r="G537" s="54">
        <f>IF(_imp!$C$539="","",INDEX(_imp!$J$4:$J$4503,_imp!$C$539))</f>
        <v/>
      </c>
      <c r="K537" s="54">
        <f>IF(_imp!$C$539="","",INDEX(_imp!$K$4:$K$4503,_imp!$C$539))</f>
        <v/>
      </c>
    </row>
    <row r="538">
      <c r="A538" s="54">
        <f>IF(_imp!$C$540="","",INDEX(_imp!$D$4:$D$4503,_imp!$C$540))</f>
        <v/>
      </c>
      <c r="B538" s="54">
        <f>IF(_imp!$C$540="","",INDEX(_imp!$E$4:$E$4503,_imp!$C$540))</f>
        <v/>
      </c>
      <c r="C538" s="54">
        <f>IF(_imp!$C$540="","",INDEX(_imp!$F$4:$F$4503,_imp!$C$540))</f>
        <v/>
      </c>
      <c r="D538" s="54">
        <f>IF(_imp!$C$540="","",INDEX(_imp!$G$4:$G$4503,_imp!$C$540))</f>
        <v/>
      </c>
      <c r="E538" s="54">
        <f>IF(_imp!$C$540="","",INDEX(_imp!$H$4:$H$4503,_imp!$C$540))</f>
        <v/>
      </c>
      <c r="F538" s="54">
        <f>IF(_imp!$C$540="","",INDEX(_imp!$I$4:$I$4503,_imp!$C$540))</f>
        <v/>
      </c>
      <c r="G538" s="54">
        <f>IF(_imp!$C$540="","",INDEX(_imp!$J$4:$J$4503,_imp!$C$540))</f>
        <v/>
      </c>
      <c r="K538" s="54">
        <f>IF(_imp!$C$540="","",INDEX(_imp!$K$4:$K$4503,_imp!$C$540))</f>
        <v/>
      </c>
    </row>
    <row r="539">
      <c r="A539" s="54">
        <f>IF(_imp!$C$541="","",INDEX(_imp!$D$4:$D$4503,_imp!$C$541))</f>
        <v/>
      </c>
      <c r="B539" s="54">
        <f>IF(_imp!$C$541="","",INDEX(_imp!$E$4:$E$4503,_imp!$C$541))</f>
        <v/>
      </c>
      <c r="C539" s="54">
        <f>IF(_imp!$C$541="","",INDEX(_imp!$F$4:$F$4503,_imp!$C$541))</f>
        <v/>
      </c>
      <c r="D539" s="54">
        <f>IF(_imp!$C$541="","",INDEX(_imp!$G$4:$G$4503,_imp!$C$541))</f>
        <v/>
      </c>
      <c r="E539" s="54">
        <f>IF(_imp!$C$541="","",INDEX(_imp!$H$4:$H$4503,_imp!$C$541))</f>
        <v/>
      </c>
      <c r="F539" s="54">
        <f>IF(_imp!$C$541="","",INDEX(_imp!$I$4:$I$4503,_imp!$C$541))</f>
        <v/>
      </c>
      <c r="G539" s="54">
        <f>IF(_imp!$C$541="","",INDEX(_imp!$J$4:$J$4503,_imp!$C$541))</f>
        <v/>
      </c>
      <c r="K539" s="54">
        <f>IF(_imp!$C$541="","",INDEX(_imp!$K$4:$K$4503,_imp!$C$541))</f>
        <v/>
      </c>
    </row>
    <row r="540">
      <c r="A540" s="54">
        <f>IF(_imp!$C$542="","",INDEX(_imp!$D$4:$D$4503,_imp!$C$542))</f>
        <v/>
      </c>
      <c r="B540" s="54">
        <f>IF(_imp!$C$542="","",INDEX(_imp!$E$4:$E$4503,_imp!$C$542))</f>
        <v/>
      </c>
      <c r="C540" s="54">
        <f>IF(_imp!$C$542="","",INDEX(_imp!$F$4:$F$4503,_imp!$C$542))</f>
        <v/>
      </c>
      <c r="D540" s="54">
        <f>IF(_imp!$C$542="","",INDEX(_imp!$G$4:$G$4503,_imp!$C$542))</f>
        <v/>
      </c>
      <c r="E540" s="54">
        <f>IF(_imp!$C$542="","",INDEX(_imp!$H$4:$H$4503,_imp!$C$542))</f>
        <v/>
      </c>
      <c r="F540" s="54">
        <f>IF(_imp!$C$542="","",INDEX(_imp!$I$4:$I$4503,_imp!$C$542))</f>
        <v/>
      </c>
      <c r="G540" s="54">
        <f>IF(_imp!$C$542="","",INDEX(_imp!$J$4:$J$4503,_imp!$C$542))</f>
        <v/>
      </c>
      <c r="K540" s="54">
        <f>IF(_imp!$C$542="","",INDEX(_imp!$K$4:$K$4503,_imp!$C$542))</f>
        <v/>
      </c>
    </row>
    <row r="541">
      <c r="A541" s="54">
        <f>IF(_imp!$C$543="","",INDEX(_imp!$D$4:$D$4503,_imp!$C$543))</f>
        <v/>
      </c>
      <c r="B541" s="54">
        <f>IF(_imp!$C$543="","",INDEX(_imp!$E$4:$E$4503,_imp!$C$543))</f>
        <v/>
      </c>
      <c r="C541" s="54">
        <f>IF(_imp!$C$543="","",INDEX(_imp!$F$4:$F$4503,_imp!$C$543))</f>
        <v/>
      </c>
      <c r="D541" s="54">
        <f>IF(_imp!$C$543="","",INDEX(_imp!$G$4:$G$4503,_imp!$C$543))</f>
        <v/>
      </c>
      <c r="E541" s="54">
        <f>IF(_imp!$C$543="","",INDEX(_imp!$H$4:$H$4503,_imp!$C$543))</f>
        <v/>
      </c>
      <c r="F541" s="54">
        <f>IF(_imp!$C$543="","",INDEX(_imp!$I$4:$I$4503,_imp!$C$543))</f>
        <v/>
      </c>
      <c r="G541" s="54">
        <f>IF(_imp!$C$543="","",INDEX(_imp!$J$4:$J$4503,_imp!$C$543))</f>
        <v/>
      </c>
      <c r="K541" s="54">
        <f>IF(_imp!$C$543="","",INDEX(_imp!$K$4:$K$4503,_imp!$C$543))</f>
        <v/>
      </c>
    </row>
    <row r="542">
      <c r="A542" s="54">
        <f>IF(_imp!$C$544="","",INDEX(_imp!$D$4:$D$4503,_imp!$C$544))</f>
        <v/>
      </c>
      <c r="B542" s="54">
        <f>IF(_imp!$C$544="","",INDEX(_imp!$E$4:$E$4503,_imp!$C$544))</f>
        <v/>
      </c>
      <c r="C542" s="54">
        <f>IF(_imp!$C$544="","",INDEX(_imp!$F$4:$F$4503,_imp!$C$544))</f>
        <v/>
      </c>
      <c r="D542" s="54">
        <f>IF(_imp!$C$544="","",INDEX(_imp!$G$4:$G$4503,_imp!$C$544))</f>
        <v/>
      </c>
      <c r="E542" s="54">
        <f>IF(_imp!$C$544="","",INDEX(_imp!$H$4:$H$4503,_imp!$C$544))</f>
        <v/>
      </c>
      <c r="F542" s="54">
        <f>IF(_imp!$C$544="","",INDEX(_imp!$I$4:$I$4503,_imp!$C$544))</f>
        <v/>
      </c>
      <c r="G542" s="54">
        <f>IF(_imp!$C$544="","",INDEX(_imp!$J$4:$J$4503,_imp!$C$544))</f>
        <v/>
      </c>
      <c r="K542" s="54">
        <f>IF(_imp!$C$544="","",INDEX(_imp!$K$4:$K$4503,_imp!$C$544))</f>
        <v/>
      </c>
    </row>
    <row r="543">
      <c r="A543" s="54">
        <f>IF(_imp!$C$545="","",INDEX(_imp!$D$4:$D$4503,_imp!$C$545))</f>
        <v/>
      </c>
      <c r="B543" s="54">
        <f>IF(_imp!$C$545="","",INDEX(_imp!$E$4:$E$4503,_imp!$C$545))</f>
        <v/>
      </c>
      <c r="C543" s="54">
        <f>IF(_imp!$C$545="","",INDEX(_imp!$F$4:$F$4503,_imp!$C$545))</f>
        <v/>
      </c>
      <c r="D543" s="54">
        <f>IF(_imp!$C$545="","",INDEX(_imp!$G$4:$G$4503,_imp!$C$545))</f>
        <v/>
      </c>
      <c r="E543" s="54">
        <f>IF(_imp!$C$545="","",INDEX(_imp!$H$4:$H$4503,_imp!$C$545))</f>
        <v/>
      </c>
      <c r="F543" s="54">
        <f>IF(_imp!$C$545="","",INDEX(_imp!$I$4:$I$4503,_imp!$C$545))</f>
        <v/>
      </c>
      <c r="G543" s="54">
        <f>IF(_imp!$C$545="","",INDEX(_imp!$J$4:$J$4503,_imp!$C$545))</f>
        <v/>
      </c>
      <c r="K543" s="54">
        <f>IF(_imp!$C$545="","",INDEX(_imp!$K$4:$K$4503,_imp!$C$545))</f>
        <v/>
      </c>
    </row>
    <row r="544">
      <c r="A544" s="54">
        <f>IF(_imp!$C$546="","",INDEX(_imp!$D$4:$D$4503,_imp!$C$546))</f>
        <v/>
      </c>
      <c r="B544" s="54">
        <f>IF(_imp!$C$546="","",INDEX(_imp!$E$4:$E$4503,_imp!$C$546))</f>
        <v/>
      </c>
      <c r="C544" s="54">
        <f>IF(_imp!$C$546="","",INDEX(_imp!$F$4:$F$4503,_imp!$C$546))</f>
        <v/>
      </c>
      <c r="D544" s="54">
        <f>IF(_imp!$C$546="","",INDEX(_imp!$G$4:$G$4503,_imp!$C$546))</f>
        <v/>
      </c>
      <c r="E544" s="54">
        <f>IF(_imp!$C$546="","",INDEX(_imp!$H$4:$H$4503,_imp!$C$546))</f>
        <v/>
      </c>
      <c r="F544" s="54">
        <f>IF(_imp!$C$546="","",INDEX(_imp!$I$4:$I$4503,_imp!$C$546))</f>
        <v/>
      </c>
      <c r="G544" s="54">
        <f>IF(_imp!$C$546="","",INDEX(_imp!$J$4:$J$4503,_imp!$C$546))</f>
        <v/>
      </c>
      <c r="K544" s="54">
        <f>IF(_imp!$C$546="","",INDEX(_imp!$K$4:$K$4503,_imp!$C$546))</f>
        <v/>
      </c>
    </row>
    <row r="545">
      <c r="A545" s="54">
        <f>IF(_imp!$C$547="","",INDEX(_imp!$D$4:$D$4503,_imp!$C$547))</f>
        <v/>
      </c>
      <c r="B545" s="54">
        <f>IF(_imp!$C$547="","",INDEX(_imp!$E$4:$E$4503,_imp!$C$547))</f>
        <v/>
      </c>
      <c r="C545" s="54">
        <f>IF(_imp!$C$547="","",INDEX(_imp!$F$4:$F$4503,_imp!$C$547))</f>
        <v/>
      </c>
      <c r="D545" s="54">
        <f>IF(_imp!$C$547="","",INDEX(_imp!$G$4:$G$4503,_imp!$C$547))</f>
        <v/>
      </c>
      <c r="E545" s="54">
        <f>IF(_imp!$C$547="","",INDEX(_imp!$H$4:$H$4503,_imp!$C$547))</f>
        <v/>
      </c>
      <c r="F545" s="54">
        <f>IF(_imp!$C$547="","",INDEX(_imp!$I$4:$I$4503,_imp!$C$547))</f>
        <v/>
      </c>
      <c r="G545" s="54">
        <f>IF(_imp!$C$547="","",INDEX(_imp!$J$4:$J$4503,_imp!$C$547))</f>
        <v/>
      </c>
      <c r="K545" s="54">
        <f>IF(_imp!$C$547="","",INDEX(_imp!$K$4:$K$4503,_imp!$C$547))</f>
        <v/>
      </c>
    </row>
    <row r="546">
      <c r="A546" s="54">
        <f>IF(_imp!$C$548="","",INDEX(_imp!$D$4:$D$4503,_imp!$C$548))</f>
        <v/>
      </c>
      <c r="B546" s="54">
        <f>IF(_imp!$C$548="","",INDEX(_imp!$E$4:$E$4503,_imp!$C$548))</f>
        <v/>
      </c>
      <c r="C546" s="54">
        <f>IF(_imp!$C$548="","",INDEX(_imp!$F$4:$F$4503,_imp!$C$548))</f>
        <v/>
      </c>
      <c r="D546" s="54">
        <f>IF(_imp!$C$548="","",INDEX(_imp!$G$4:$G$4503,_imp!$C$548))</f>
        <v/>
      </c>
      <c r="E546" s="54">
        <f>IF(_imp!$C$548="","",INDEX(_imp!$H$4:$H$4503,_imp!$C$548))</f>
        <v/>
      </c>
      <c r="F546" s="54">
        <f>IF(_imp!$C$548="","",INDEX(_imp!$I$4:$I$4503,_imp!$C$548))</f>
        <v/>
      </c>
      <c r="G546" s="54">
        <f>IF(_imp!$C$548="","",INDEX(_imp!$J$4:$J$4503,_imp!$C$548))</f>
        <v/>
      </c>
      <c r="K546" s="54">
        <f>IF(_imp!$C$548="","",INDEX(_imp!$K$4:$K$4503,_imp!$C$548))</f>
        <v/>
      </c>
    </row>
    <row r="547">
      <c r="A547" s="54">
        <f>IF(_imp!$C$549="","",INDEX(_imp!$D$4:$D$4503,_imp!$C$549))</f>
        <v/>
      </c>
      <c r="B547" s="54">
        <f>IF(_imp!$C$549="","",INDEX(_imp!$E$4:$E$4503,_imp!$C$549))</f>
        <v/>
      </c>
      <c r="C547" s="54">
        <f>IF(_imp!$C$549="","",INDEX(_imp!$F$4:$F$4503,_imp!$C$549))</f>
        <v/>
      </c>
      <c r="D547" s="54">
        <f>IF(_imp!$C$549="","",INDEX(_imp!$G$4:$G$4503,_imp!$C$549))</f>
        <v/>
      </c>
      <c r="E547" s="54">
        <f>IF(_imp!$C$549="","",INDEX(_imp!$H$4:$H$4503,_imp!$C$549))</f>
        <v/>
      </c>
      <c r="F547" s="54">
        <f>IF(_imp!$C$549="","",INDEX(_imp!$I$4:$I$4503,_imp!$C$549))</f>
        <v/>
      </c>
      <c r="G547" s="54">
        <f>IF(_imp!$C$549="","",INDEX(_imp!$J$4:$J$4503,_imp!$C$549))</f>
        <v/>
      </c>
      <c r="K547" s="54">
        <f>IF(_imp!$C$549="","",INDEX(_imp!$K$4:$K$4503,_imp!$C$549))</f>
        <v/>
      </c>
    </row>
    <row r="548">
      <c r="A548" s="54">
        <f>IF(_imp!$C$550="","",INDEX(_imp!$D$4:$D$4503,_imp!$C$550))</f>
        <v/>
      </c>
      <c r="B548" s="54">
        <f>IF(_imp!$C$550="","",INDEX(_imp!$E$4:$E$4503,_imp!$C$550))</f>
        <v/>
      </c>
      <c r="C548" s="54">
        <f>IF(_imp!$C$550="","",INDEX(_imp!$F$4:$F$4503,_imp!$C$550))</f>
        <v/>
      </c>
      <c r="D548" s="54">
        <f>IF(_imp!$C$550="","",INDEX(_imp!$G$4:$G$4503,_imp!$C$550))</f>
        <v/>
      </c>
      <c r="E548" s="54">
        <f>IF(_imp!$C$550="","",INDEX(_imp!$H$4:$H$4503,_imp!$C$550))</f>
        <v/>
      </c>
      <c r="F548" s="54">
        <f>IF(_imp!$C$550="","",INDEX(_imp!$I$4:$I$4503,_imp!$C$550))</f>
        <v/>
      </c>
      <c r="G548" s="54">
        <f>IF(_imp!$C$550="","",INDEX(_imp!$J$4:$J$4503,_imp!$C$550))</f>
        <v/>
      </c>
      <c r="K548" s="54">
        <f>IF(_imp!$C$550="","",INDEX(_imp!$K$4:$K$4503,_imp!$C$550))</f>
        <v/>
      </c>
    </row>
    <row r="549">
      <c r="A549" s="54">
        <f>IF(_imp!$C$551="","",INDEX(_imp!$D$4:$D$4503,_imp!$C$551))</f>
        <v/>
      </c>
      <c r="B549" s="54">
        <f>IF(_imp!$C$551="","",INDEX(_imp!$E$4:$E$4503,_imp!$C$551))</f>
        <v/>
      </c>
      <c r="C549" s="54">
        <f>IF(_imp!$C$551="","",INDEX(_imp!$F$4:$F$4503,_imp!$C$551))</f>
        <v/>
      </c>
      <c r="D549" s="54">
        <f>IF(_imp!$C$551="","",INDEX(_imp!$G$4:$G$4503,_imp!$C$551))</f>
        <v/>
      </c>
      <c r="E549" s="54">
        <f>IF(_imp!$C$551="","",INDEX(_imp!$H$4:$H$4503,_imp!$C$551))</f>
        <v/>
      </c>
      <c r="F549" s="54">
        <f>IF(_imp!$C$551="","",INDEX(_imp!$I$4:$I$4503,_imp!$C$551))</f>
        <v/>
      </c>
      <c r="G549" s="54">
        <f>IF(_imp!$C$551="","",INDEX(_imp!$J$4:$J$4503,_imp!$C$551))</f>
        <v/>
      </c>
      <c r="K549" s="54">
        <f>IF(_imp!$C$551="","",INDEX(_imp!$K$4:$K$4503,_imp!$C$551))</f>
        <v/>
      </c>
    </row>
    <row r="550">
      <c r="A550" s="54">
        <f>IF(_imp!$C$552="","",INDEX(_imp!$D$4:$D$4503,_imp!$C$552))</f>
        <v/>
      </c>
      <c r="B550" s="54">
        <f>IF(_imp!$C$552="","",INDEX(_imp!$E$4:$E$4503,_imp!$C$552))</f>
        <v/>
      </c>
      <c r="C550" s="54">
        <f>IF(_imp!$C$552="","",INDEX(_imp!$F$4:$F$4503,_imp!$C$552))</f>
        <v/>
      </c>
      <c r="D550" s="54">
        <f>IF(_imp!$C$552="","",INDEX(_imp!$G$4:$G$4503,_imp!$C$552))</f>
        <v/>
      </c>
      <c r="E550" s="54">
        <f>IF(_imp!$C$552="","",INDEX(_imp!$H$4:$H$4503,_imp!$C$552))</f>
        <v/>
      </c>
      <c r="F550" s="54">
        <f>IF(_imp!$C$552="","",INDEX(_imp!$I$4:$I$4503,_imp!$C$552))</f>
        <v/>
      </c>
      <c r="G550" s="54">
        <f>IF(_imp!$C$552="","",INDEX(_imp!$J$4:$J$4503,_imp!$C$552))</f>
        <v/>
      </c>
      <c r="K550" s="54">
        <f>IF(_imp!$C$552="","",INDEX(_imp!$K$4:$K$4503,_imp!$C$552))</f>
        <v/>
      </c>
    </row>
    <row r="551">
      <c r="A551" s="54">
        <f>IF(_imp!$C$553="","",INDEX(_imp!$D$4:$D$4503,_imp!$C$553))</f>
        <v/>
      </c>
      <c r="B551" s="54">
        <f>IF(_imp!$C$553="","",INDEX(_imp!$E$4:$E$4503,_imp!$C$553))</f>
        <v/>
      </c>
      <c r="C551" s="54">
        <f>IF(_imp!$C$553="","",INDEX(_imp!$F$4:$F$4503,_imp!$C$553))</f>
        <v/>
      </c>
      <c r="D551" s="54">
        <f>IF(_imp!$C$553="","",INDEX(_imp!$G$4:$G$4503,_imp!$C$553))</f>
        <v/>
      </c>
      <c r="E551" s="54">
        <f>IF(_imp!$C$553="","",INDEX(_imp!$H$4:$H$4503,_imp!$C$553))</f>
        <v/>
      </c>
      <c r="F551" s="54">
        <f>IF(_imp!$C$553="","",INDEX(_imp!$I$4:$I$4503,_imp!$C$553))</f>
        <v/>
      </c>
      <c r="G551" s="54">
        <f>IF(_imp!$C$553="","",INDEX(_imp!$J$4:$J$4503,_imp!$C$553))</f>
        <v/>
      </c>
      <c r="K551" s="54">
        <f>IF(_imp!$C$553="","",INDEX(_imp!$K$4:$K$4503,_imp!$C$553))</f>
        <v/>
      </c>
    </row>
    <row r="552">
      <c r="A552" s="54">
        <f>IF(_imp!$C$554="","",INDEX(_imp!$D$4:$D$4503,_imp!$C$554))</f>
        <v/>
      </c>
      <c r="B552" s="54">
        <f>IF(_imp!$C$554="","",INDEX(_imp!$E$4:$E$4503,_imp!$C$554))</f>
        <v/>
      </c>
      <c r="C552" s="54">
        <f>IF(_imp!$C$554="","",INDEX(_imp!$F$4:$F$4503,_imp!$C$554))</f>
        <v/>
      </c>
      <c r="D552" s="54">
        <f>IF(_imp!$C$554="","",INDEX(_imp!$G$4:$G$4503,_imp!$C$554))</f>
        <v/>
      </c>
      <c r="E552" s="54">
        <f>IF(_imp!$C$554="","",INDEX(_imp!$H$4:$H$4503,_imp!$C$554))</f>
        <v/>
      </c>
      <c r="F552" s="54">
        <f>IF(_imp!$C$554="","",INDEX(_imp!$I$4:$I$4503,_imp!$C$554))</f>
        <v/>
      </c>
      <c r="G552" s="54">
        <f>IF(_imp!$C$554="","",INDEX(_imp!$J$4:$J$4503,_imp!$C$554))</f>
        <v/>
      </c>
      <c r="K552" s="54">
        <f>IF(_imp!$C$554="","",INDEX(_imp!$K$4:$K$4503,_imp!$C$554))</f>
        <v/>
      </c>
    </row>
    <row r="553">
      <c r="A553" s="54">
        <f>IF(_imp!$C$555="","",INDEX(_imp!$D$4:$D$4503,_imp!$C$555))</f>
        <v/>
      </c>
      <c r="B553" s="54">
        <f>IF(_imp!$C$555="","",INDEX(_imp!$E$4:$E$4503,_imp!$C$555))</f>
        <v/>
      </c>
      <c r="C553" s="54">
        <f>IF(_imp!$C$555="","",INDEX(_imp!$F$4:$F$4503,_imp!$C$555))</f>
        <v/>
      </c>
      <c r="D553" s="54">
        <f>IF(_imp!$C$555="","",INDEX(_imp!$G$4:$G$4503,_imp!$C$555))</f>
        <v/>
      </c>
      <c r="E553" s="54">
        <f>IF(_imp!$C$555="","",INDEX(_imp!$H$4:$H$4503,_imp!$C$555))</f>
        <v/>
      </c>
      <c r="F553" s="54">
        <f>IF(_imp!$C$555="","",INDEX(_imp!$I$4:$I$4503,_imp!$C$555))</f>
        <v/>
      </c>
      <c r="G553" s="54">
        <f>IF(_imp!$C$555="","",INDEX(_imp!$J$4:$J$4503,_imp!$C$555))</f>
        <v/>
      </c>
      <c r="K553" s="54">
        <f>IF(_imp!$C$555="","",INDEX(_imp!$K$4:$K$4503,_imp!$C$555))</f>
        <v/>
      </c>
    </row>
    <row r="554">
      <c r="A554" s="54">
        <f>IF(_imp!$C$556="","",INDEX(_imp!$D$4:$D$4503,_imp!$C$556))</f>
        <v/>
      </c>
      <c r="B554" s="54">
        <f>IF(_imp!$C$556="","",INDEX(_imp!$E$4:$E$4503,_imp!$C$556))</f>
        <v/>
      </c>
      <c r="C554" s="54">
        <f>IF(_imp!$C$556="","",INDEX(_imp!$F$4:$F$4503,_imp!$C$556))</f>
        <v/>
      </c>
      <c r="D554" s="54">
        <f>IF(_imp!$C$556="","",INDEX(_imp!$G$4:$G$4503,_imp!$C$556))</f>
        <v/>
      </c>
      <c r="E554" s="54">
        <f>IF(_imp!$C$556="","",INDEX(_imp!$H$4:$H$4503,_imp!$C$556))</f>
        <v/>
      </c>
      <c r="F554" s="54">
        <f>IF(_imp!$C$556="","",INDEX(_imp!$I$4:$I$4503,_imp!$C$556))</f>
        <v/>
      </c>
      <c r="G554" s="54">
        <f>IF(_imp!$C$556="","",INDEX(_imp!$J$4:$J$4503,_imp!$C$556))</f>
        <v/>
      </c>
      <c r="K554" s="54">
        <f>IF(_imp!$C$556="","",INDEX(_imp!$K$4:$K$4503,_imp!$C$556))</f>
        <v/>
      </c>
    </row>
    <row r="555">
      <c r="A555" s="54">
        <f>IF(_imp!$C$557="","",INDEX(_imp!$D$4:$D$4503,_imp!$C$557))</f>
        <v/>
      </c>
      <c r="B555" s="54">
        <f>IF(_imp!$C$557="","",INDEX(_imp!$E$4:$E$4503,_imp!$C$557))</f>
        <v/>
      </c>
      <c r="C555" s="54">
        <f>IF(_imp!$C$557="","",INDEX(_imp!$F$4:$F$4503,_imp!$C$557))</f>
        <v/>
      </c>
      <c r="D555" s="54">
        <f>IF(_imp!$C$557="","",INDEX(_imp!$G$4:$G$4503,_imp!$C$557))</f>
        <v/>
      </c>
      <c r="E555" s="54">
        <f>IF(_imp!$C$557="","",INDEX(_imp!$H$4:$H$4503,_imp!$C$557))</f>
        <v/>
      </c>
      <c r="F555" s="54">
        <f>IF(_imp!$C$557="","",INDEX(_imp!$I$4:$I$4503,_imp!$C$557))</f>
        <v/>
      </c>
      <c r="G555" s="54">
        <f>IF(_imp!$C$557="","",INDEX(_imp!$J$4:$J$4503,_imp!$C$557))</f>
        <v/>
      </c>
      <c r="K555" s="54">
        <f>IF(_imp!$C$557="","",INDEX(_imp!$K$4:$K$4503,_imp!$C$557))</f>
        <v/>
      </c>
    </row>
    <row r="556">
      <c r="A556" s="54">
        <f>IF(_imp!$C$558="","",INDEX(_imp!$D$4:$D$4503,_imp!$C$558))</f>
        <v/>
      </c>
      <c r="B556" s="54">
        <f>IF(_imp!$C$558="","",INDEX(_imp!$E$4:$E$4503,_imp!$C$558))</f>
        <v/>
      </c>
      <c r="C556" s="54">
        <f>IF(_imp!$C$558="","",INDEX(_imp!$F$4:$F$4503,_imp!$C$558))</f>
        <v/>
      </c>
      <c r="D556" s="54">
        <f>IF(_imp!$C$558="","",INDEX(_imp!$G$4:$G$4503,_imp!$C$558))</f>
        <v/>
      </c>
      <c r="E556" s="54">
        <f>IF(_imp!$C$558="","",INDEX(_imp!$H$4:$H$4503,_imp!$C$558))</f>
        <v/>
      </c>
      <c r="F556" s="54">
        <f>IF(_imp!$C$558="","",INDEX(_imp!$I$4:$I$4503,_imp!$C$558))</f>
        <v/>
      </c>
      <c r="G556" s="54">
        <f>IF(_imp!$C$558="","",INDEX(_imp!$J$4:$J$4503,_imp!$C$558))</f>
        <v/>
      </c>
      <c r="K556" s="54">
        <f>IF(_imp!$C$558="","",INDEX(_imp!$K$4:$K$4503,_imp!$C$558))</f>
        <v/>
      </c>
    </row>
    <row r="557">
      <c r="A557" s="54">
        <f>IF(_imp!$C$559="","",INDEX(_imp!$D$4:$D$4503,_imp!$C$559))</f>
        <v/>
      </c>
      <c r="B557" s="54">
        <f>IF(_imp!$C$559="","",INDEX(_imp!$E$4:$E$4503,_imp!$C$559))</f>
        <v/>
      </c>
      <c r="C557" s="54">
        <f>IF(_imp!$C$559="","",INDEX(_imp!$F$4:$F$4503,_imp!$C$559))</f>
        <v/>
      </c>
      <c r="D557" s="54">
        <f>IF(_imp!$C$559="","",INDEX(_imp!$G$4:$G$4503,_imp!$C$559))</f>
        <v/>
      </c>
      <c r="E557" s="54">
        <f>IF(_imp!$C$559="","",INDEX(_imp!$H$4:$H$4503,_imp!$C$559))</f>
        <v/>
      </c>
      <c r="F557" s="54">
        <f>IF(_imp!$C$559="","",INDEX(_imp!$I$4:$I$4503,_imp!$C$559))</f>
        <v/>
      </c>
      <c r="G557" s="54">
        <f>IF(_imp!$C$559="","",INDEX(_imp!$J$4:$J$4503,_imp!$C$559))</f>
        <v/>
      </c>
      <c r="K557" s="54">
        <f>IF(_imp!$C$559="","",INDEX(_imp!$K$4:$K$4503,_imp!$C$559))</f>
        <v/>
      </c>
    </row>
    <row r="558">
      <c r="A558" s="54">
        <f>IF(_imp!$C$560="","",INDEX(_imp!$D$4:$D$4503,_imp!$C$560))</f>
        <v/>
      </c>
      <c r="B558" s="54">
        <f>IF(_imp!$C$560="","",INDEX(_imp!$E$4:$E$4503,_imp!$C$560))</f>
        <v/>
      </c>
      <c r="C558" s="54">
        <f>IF(_imp!$C$560="","",INDEX(_imp!$F$4:$F$4503,_imp!$C$560))</f>
        <v/>
      </c>
      <c r="D558" s="54">
        <f>IF(_imp!$C$560="","",INDEX(_imp!$G$4:$G$4503,_imp!$C$560))</f>
        <v/>
      </c>
      <c r="E558" s="54">
        <f>IF(_imp!$C$560="","",INDEX(_imp!$H$4:$H$4503,_imp!$C$560))</f>
        <v/>
      </c>
      <c r="F558" s="54">
        <f>IF(_imp!$C$560="","",INDEX(_imp!$I$4:$I$4503,_imp!$C$560))</f>
        <v/>
      </c>
      <c r="G558" s="54">
        <f>IF(_imp!$C$560="","",INDEX(_imp!$J$4:$J$4503,_imp!$C$560))</f>
        <v/>
      </c>
      <c r="K558" s="54">
        <f>IF(_imp!$C$560="","",INDEX(_imp!$K$4:$K$4503,_imp!$C$560))</f>
        <v/>
      </c>
    </row>
    <row r="559">
      <c r="A559" s="54">
        <f>IF(_imp!$C$561="","",INDEX(_imp!$D$4:$D$4503,_imp!$C$561))</f>
        <v/>
      </c>
      <c r="B559" s="54">
        <f>IF(_imp!$C$561="","",INDEX(_imp!$E$4:$E$4503,_imp!$C$561))</f>
        <v/>
      </c>
      <c r="C559" s="54">
        <f>IF(_imp!$C$561="","",INDEX(_imp!$F$4:$F$4503,_imp!$C$561))</f>
        <v/>
      </c>
      <c r="D559" s="54">
        <f>IF(_imp!$C$561="","",INDEX(_imp!$G$4:$G$4503,_imp!$C$561))</f>
        <v/>
      </c>
      <c r="E559" s="54">
        <f>IF(_imp!$C$561="","",INDEX(_imp!$H$4:$H$4503,_imp!$C$561))</f>
        <v/>
      </c>
      <c r="F559" s="54">
        <f>IF(_imp!$C$561="","",INDEX(_imp!$I$4:$I$4503,_imp!$C$561))</f>
        <v/>
      </c>
      <c r="G559" s="54">
        <f>IF(_imp!$C$561="","",INDEX(_imp!$J$4:$J$4503,_imp!$C$561))</f>
        <v/>
      </c>
      <c r="K559" s="54">
        <f>IF(_imp!$C$561="","",INDEX(_imp!$K$4:$K$4503,_imp!$C$561))</f>
        <v/>
      </c>
    </row>
    <row r="560">
      <c r="A560" s="54">
        <f>IF(_imp!$C$562="","",INDEX(_imp!$D$4:$D$4503,_imp!$C$562))</f>
        <v/>
      </c>
      <c r="B560" s="54">
        <f>IF(_imp!$C$562="","",INDEX(_imp!$E$4:$E$4503,_imp!$C$562))</f>
        <v/>
      </c>
      <c r="C560" s="54">
        <f>IF(_imp!$C$562="","",INDEX(_imp!$F$4:$F$4503,_imp!$C$562))</f>
        <v/>
      </c>
      <c r="D560" s="54">
        <f>IF(_imp!$C$562="","",INDEX(_imp!$G$4:$G$4503,_imp!$C$562))</f>
        <v/>
      </c>
      <c r="E560" s="54">
        <f>IF(_imp!$C$562="","",INDEX(_imp!$H$4:$H$4503,_imp!$C$562))</f>
        <v/>
      </c>
      <c r="F560" s="54">
        <f>IF(_imp!$C$562="","",INDEX(_imp!$I$4:$I$4503,_imp!$C$562))</f>
        <v/>
      </c>
      <c r="G560" s="54">
        <f>IF(_imp!$C$562="","",INDEX(_imp!$J$4:$J$4503,_imp!$C$562))</f>
        <v/>
      </c>
      <c r="K560" s="54">
        <f>IF(_imp!$C$562="","",INDEX(_imp!$K$4:$K$4503,_imp!$C$562))</f>
        <v/>
      </c>
    </row>
    <row r="561">
      <c r="A561" s="54">
        <f>IF(_imp!$C$563="","",INDEX(_imp!$D$4:$D$4503,_imp!$C$563))</f>
        <v/>
      </c>
      <c r="B561" s="54">
        <f>IF(_imp!$C$563="","",INDEX(_imp!$E$4:$E$4503,_imp!$C$563))</f>
        <v/>
      </c>
      <c r="C561" s="54">
        <f>IF(_imp!$C$563="","",INDEX(_imp!$F$4:$F$4503,_imp!$C$563))</f>
        <v/>
      </c>
      <c r="D561" s="54">
        <f>IF(_imp!$C$563="","",INDEX(_imp!$G$4:$G$4503,_imp!$C$563))</f>
        <v/>
      </c>
      <c r="E561" s="54">
        <f>IF(_imp!$C$563="","",INDEX(_imp!$H$4:$H$4503,_imp!$C$563))</f>
        <v/>
      </c>
      <c r="F561" s="54">
        <f>IF(_imp!$C$563="","",INDEX(_imp!$I$4:$I$4503,_imp!$C$563))</f>
        <v/>
      </c>
      <c r="G561" s="54">
        <f>IF(_imp!$C$563="","",INDEX(_imp!$J$4:$J$4503,_imp!$C$563))</f>
        <v/>
      </c>
      <c r="K561" s="54">
        <f>IF(_imp!$C$563="","",INDEX(_imp!$K$4:$K$4503,_imp!$C$563))</f>
        <v/>
      </c>
    </row>
    <row r="562">
      <c r="A562" s="54">
        <f>IF(_imp!$C$564="","",INDEX(_imp!$D$4:$D$4503,_imp!$C$564))</f>
        <v/>
      </c>
      <c r="B562" s="54">
        <f>IF(_imp!$C$564="","",INDEX(_imp!$E$4:$E$4503,_imp!$C$564))</f>
        <v/>
      </c>
      <c r="C562" s="54">
        <f>IF(_imp!$C$564="","",INDEX(_imp!$F$4:$F$4503,_imp!$C$564))</f>
        <v/>
      </c>
      <c r="D562" s="54">
        <f>IF(_imp!$C$564="","",INDEX(_imp!$G$4:$G$4503,_imp!$C$564))</f>
        <v/>
      </c>
      <c r="E562" s="54">
        <f>IF(_imp!$C$564="","",INDEX(_imp!$H$4:$H$4503,_imp!$C$564))</f>
        <v/>
      </c>
      <c r="F562" s="54">
        <f>IF(_imp!$C$564="","",INDEX(_imp!$I$4:$I$4503,_imp!$C$564))</f>
        <v/>
      </c>
      <c r="G562" s="54">
        <f>IF(_imp!$C$564="","",INDEX(_imp!$J$4:$J$4503,_imp!$C$564))</f>
        <v/>
      </c>
      <c r="K562" s="54">
        <f>IF(_imp!$C$564="","",INDEX(_imp!$K$4:$K$4503,_imp!$C$564))</f>
        <v/>
      </c>
    </row>
    <row r="563">
      <c r="A563" s="54">
        <f>IF(_imp!$C$565="","",INDEX(_imp!$D$4:$D$4503,_imp!$C$565))</f>
        <v/>
      </c>
      <c r="B563" s="54">
        <f>IF(_imp!$C$565="","",INDEX(_imp!$E$4:$E$4503,_imp!$C$565))</f>
        <v/>
      </c>
      <c r="C563" s="54">
        <f>IF(_imp!$C$565="","",INDEX(_imp!$F$4:$F$4503,_imp!$C$565))</f>
        <v/>
      </c>
      <c r="D563" s="54">
        <f>IF(_imp!$C$565="","",INDEX(_imp!$G$4:$G$4503,_imp!$C$565))</f>
        <v/>
      </c>
      <c r="E563" s="54">
        <f>IF(_imp!$C$565="","",INDEX(_imp!$H$4:$H$4503,_imp!$C$565))</f>
        <v/>
      </c>
      <c r="F563" s="54">
        <f>IF(_imp!$C$565="","",INDEX(_imp!$I$4:$I$4503,_imp!$C$565))</f>
        <v/>
      </c>
      <c r="G563" s="54">
        <f>IF(_imp!$C$565="","",INDEX(_imp!$J$4:$J$4503,_imp!$C$565))</f>
        <v/>
      </c>
      <c r="K563" s="54">
        <f>IF(_imp!$C$565="","",INDEX(_imp!$K$4:$K$4503,_imp!$C$565))</f>
        <v/>
      </c>
    </row>
    <row r="564">
      <c r="A564" s="54">
        <f>IF(_imp!$C$566="","",INDEX(_imp!$D$4:$D$4503,_imp!$C$566))</f>
        <v/>
      </c>
      <c r="B564" s="54">
        <f>IF(_imp!$C$566="","",INDEX(_imp!$E$4:$E$4503,_imp!$C$566))</f>
        <v/>
      </c>
      <c r="C564" s="54">
        <f>IF(_imp!$C$566="","",INDEX(_imp!$F$4:$F$4503,_imp!$C$566))</f>
        <v/>
      </c>
      <c r="D564" s="54">
        <f>IF(_imp!$C$566="","",INDEX(_imp!$G$4:$G$4503,_imp!$C$566))</f>
        <v/>
      </c>
      <c r="E564" s="54">
        <f>IF(_imp!$C$566="","",INDEX(_imp!$H$4:$H$4503,_imp!$C$566))</f>
        <v/>
      </c>
      <c r="F564" s="54">
        <f>IF(_imp!$C$566="","",INDEX(_imp!$I$4:$I$4503,_imp!$C$566))</f>
        <v/>
      </c>
      <c r="G564" s="54">
        <f>IF(_imp!$C$566="","",INDEX(_imp!$J$4:$J$4503,_imp!$C$566))</f>
        <v/>
      </c>
      <c r="K564" s="54">
        <f>IF(_imp!$C$566="","",INDEX(_imp!$K$4:$K$4503,_imp!$C$566))</f>
        <v/>
      </c>
    </row>
    <row r="565">
      <c r="A565" s="54">
        <f>IF(_imp!$C$567="","",INDEX(_imp!$D$4:$D$4503,_imp!$C$567))</f>
        <v/>
      </c>
      <c r="B565" s="54">
        <f>IF(_imp!$C$567="","",INDEX(_imp!$E$4:$E$4503,_imp!$C$567))</f>
        <v/>
      </c>
      <c r="C565" s="54">
        <f>IF(_imp!$C$567="","",INDEX(_imp!$F$4:$F$4503,_imp!$C$567))</f>
        <v/>
      </c>
      <c r="D565" s="54">
        <f>IF(_imp!$C$567="","",INDEX(_imp!$G$4:$G$4503,_imp!$C$567))</f>
        <v/>
      </c>
      <c r="E565" s="54">
        <f>IF(_imp!$C$567="","",INDEX(_imp!$H$4:$H$4503,_imp!$C$567))</f>
        <v/>
      </c>
      <c r="F565" s="54">
        <f>IF(_imp!$C$567="","",INDEX(_imp!$I$4:$I$4503,_imp!$C$567))</f>
        <v/>
      </c>
      <c r="G565" s="54">
        <f>IF(_imp!$C$567="","",INDEX(_imp!$J$4:$J$4503,_imp!$C$567))</f>
        <v/>
      </c>
      <c r="K565" s="54">
        <f>IF(_imp!$C$567="","",INDEX(_imp!$K$4:$K$4503,_imp!$C$567))</f>
        <v/>
      </c>
    </row>
    <row r="566">
      <c r="A566" s="54">
        <f>IF(_imp!$C$568="","",INDEX(_imp!$D$4:$D$4503,_imp!$C$568))</f>
        <v/>
      </c>
      <c r="B566" s="54">
        <f>IF(_imp!$C$568="","",INDEX(_imp!$E$4:$E$4503,_imp!$C$568))</f>
        <v/>
      </c>
      <c r="C566" s="54">
        <f>IF(_imp!$C$568="","",INDEX(_imp!$F$4:$F$4503,_imp!$C$568))</f>
        <v/>
      </c>
      <c r="D566" s="54">
        <f>IF(_imp!$C$568="","",INDEX(_imp!$G$4:$G$4503,_imp!$C$568))</f>
        <v/>
      </c>
      <c r="E566" s="54">
        <f>IF(_imp!$C$568="","",INDEX(_imp!$H$4:$H$4503,_imp!$C$568))</f>
        <v/>
      </c>
      <c r="F566" s="54">
        <f>IF(_imp!$C$568="","",INDEX(_imp!$I$4:$I$4503,_imp!$C$568))</f>
        <v/>
      </c>
      <c r="G566" s="54">
        <f>IF(_imp!$C$568="","",INDEX(_imp!$J$4:$J$4503,_imp!$C$568))</f>
        <v/>
      </c>
      <c r="K566" s="54">
        <f>IF(_imp!$C$568="","",INDEX(_imp!$K$4:$K$4503,_imp!$C$568))</f>
        <v/>
      </c>
    </row>
    <row r="567">
      <c r="A567" s="54">
        <f>IF(_imp!$C$569="","",INDEX(_imp!$D$4:$D$4503,_imp!$C$569))</f>
        <v/>
      </c>
      <c r="B567" s="54">
        <f>IF(_imp!$C$569="","",INDEX(_imp!$E$4:$E$4503,_imp!$C$569))</f>
        <v/>
      </c>
      <c r="C567" s="54">
        <f>IF(_imp!$C$569="","",INDEX(_imp!$F$4:$F$4503,_imp!$C$569))</f>
        <v/>
      </c>
      <c r="D567" s="54">
        <f>IF(_imp!$C$569="","",INDEX(_imp!$G$4:$G$4503,_imp!$C$569))</f>
        <v/>
      </c>
      <c r="E567" s="54">
        <f>IF(_imp!$C$569="","",INDEX(_imp!$H$4:$H$4503,_imp!$C$569))</f>
        <v/>
      </c>
      <c r="F567" s="54">
        <f>IF(_imp!$C$569="","",INDEX(_imp!$I$4:$I$4503,_imp!$C$569))</f>
        <v/>
      </c>
      <c r="G567" s="54">
        <f>IF(_imp!$C$569="","",INDEX(_imp!$J$4:$J$4503,_imp!$C$569))</f>
        <v/>
      </c>
      <c r="K567" s="54">
        <f>IF(_imp!$C$569="","",INDEX(_imp!$K$4:$K$4503,_imp!$C$569))</f>
        <v/>
      </c>
    </row>
    <row r="568">
      <c r="A568" s="54">
        <f>IF(_imp!$C$570="","",INDEX(_imp!$D$4:$D$4503,_imp!$C$570))</f>
        <v/>
      </c>
      <c r="B568" s="54">
        <f>IF(_imp!$C$570="","",INDEX(_imp!$E$4:$E$4503,_imp!$C$570))</f>
        <v/>
      </c>
      <c r="C568" s="54">
        <f>IF(_imp!$C$570="","",INDEX(_imp!$F$4:$F$4503,_imp!$C$570))</f>
        <v/>
      </c>
      <c r="D568" s="54">
        <f>IF(_imp!$C$570="","",INDEX(_imp!$G$4:$G$4503,_imp!$C$570))</f>
        <v/>
      </c>
      <c r="E568" s="54">
        <f>IF(_imp!$C$570="","",INDEX(_imp!$H$4:$H$4503,_imp!$C$570))</f>
        <v/>
      </c>
      <c r="F568" s="54">
        <f>IF(_imp!$C$570="","",INDEX(_imp!$I$4:$I$4503,_imp!$C$570))</f>
        <v/>
      </c>
      <c r="G568" s="54">
        <f>IF(_imp!$C$570="","",INDEX(_imp!$J$4:$J$4503,_imp!$C$570))</f>
        <v/>
      </c>
      <c r="K568" s="54">
        <f>IF(_imp!$C$570="","",INDEX(_imp!$K$4:$K$4503,_imp!$C$570))</f>
        <v/>
      </c>
    </row>
    <row r="569">
      <c r="A569" s="54">
        <f>IF(_imp!$C$571="","",INDEX(_imp!$D$4:$D$4503,_imp!$C$571))</f>
        <v/>
      </c>
      <c r="B569" s="54">
        <f>IF(_imp!$C$571="","",INDEX(_imp!$E$4:$E$4503,_imp!$C$571))</f>
        <v/>
      </c>
      <c r="C569" s="54">
        <f>IF(_imp!$C$571="","",INDEX(_imp!$F$4:$F$4503,_imp!$C$571))</f>
        <v/>
      </c>
      <c r="D569" s="54">
        <f>IF(_imp!$C$571="","",INDEX(_imp!$G$4:$G$4503,_imp!$C$571))</f>
        <v/>
      </c>
      <c r="E569" s="54">
        <f>IF(_imp!$C$571="","",INDEX(_imp!$H$4:$H$4503,_imp!$C$571))</f>
        <v/>
      </c>
      <c r="F569" s="54">
        <f>IF(_imp!$C$571="","",INDEX(_imp!$I$4:$I$4503,_imp!$C$571))</f>
        <v/>
      </c>
      <c r="G569" s="54">
        <f>IF(_imp!$C$571="","",INDEX(_imp!$J$4:$J$4503,_imp!$C$571))</f>
        <v/>
      </c>
      <c r="K569" s="54">
        <f>IF(_imp!$C$571="","",INDEX(_imp!$K$4:$K$4503,_imp!$C$571))</f>
        <v/>
      </c>
    </row>
    <row r="570">
      <c r="A570" s="54">
        <f>IF(_imp!$C$572="","",INDEX(_imp!$D$4:$D$4503,_imp!$C$572))</f>
        <v/>
      </c>
      <c r="B570" s="54">
        <f>IF(_imp!$C$572="","",INDEX(_imp!$E$4:$E$4503,_imp!$C$572))</f>
        <v/>
      </c>
      <c r="C570" s="54">
        <f>IF(_imp!$C$572="","",INDEX(_imp!$F$4:$F$4503,_imp!$C$572))</f>
        <v/>
      </c>
      <c r="D570" s="54">
        <f>IF(_imp!$C$572="","",INDEX(_imp!$G$4:$G$4503,_imp!$C$572))</f>
        <v/>
      </c>
      <c r="E570" s="54">
        <f>IF(_imp!$C$572="","",INDEX(_imp!$H$4:$H$4503,_imp!$C$572))</f>
        <v/>
      </c>
      <c r="F570" s="54">
        <f>IF(_imp!$C$572="","",INDEX(_imp!$I$4:$I$4503,_imp!$C$572))</f>
        <v/>
      </c>
      <c r="G570" s="54">
        <f>IF(_imp!$C$572="","",INDEX(_imp!$J$4:$J$4503,_imp!$C$572))</f>
        <v/>
      </c>
      <c r="K570" s="54">
        <f>IF(_imp!$C$572="","",INDEX(_imp!$K$4:$K$4503,_imp!$C$572))</f>
        <v/>
      </c>
    </row>
    <row r="571">
      <c r="A571" s="54">
        <f>IF(_imp!$C$573="","",INDEX(_imp!$D$4:$D$4503,_imp!$C$573))</f>
        <v/>
      </c>
      <c r="B571" s="54">
        <f>IF(_imp!$C$573="","",INDEX(_imp!$E$4:$E$4503,_imp!$C$573))</f>
        <v/>
      </c>
      <c r="C571" s="54">
        <f>IF(_imp!$C$573="","",INDEX(_imp!$F$4:$F$4503,_imp!$C$573))</f>
        <v/>
      </c>
      <c r="D571" s="54">
        <f>IF(_imp!$C$573="","",INDEX(_imp!$G$4:$G$4503,_imp!$C$573))</f>
        <v/>
      </c>
      <c r="E571" s="54">
        <f>IF(_imp!$C$573="","",INDEX(_imp!$H$4:$H$4503,_imp!$C$573))</f>
        <v/>
      </c>
      <c r="F571" s="54">
        <f>IF(_imp!$C$573="","",INDEX(_imp!$I$4:$I$4503,_imp!$C$573))</f>
        <v/>
      </c>
      <c r="G571" s="54">
        <f>IF(_imp!$C$573="","",INDEX(_imp!$J$4:$J$4503,_imp!$C$573))</f>
        <v/>
      </c>
      <c r="K571" s="54">
        <f>IF(_imp!$C$573="","",INDEX(_imp!$K$4:$K$4503,_imp!$C$573))</f>
        <v/>
      </c>
    </row>
    <row r="572">
      <c r="A572" s="54">
        <f>IF(_imp!$C$574="","",INDEX(_imp!$D$4:$D$4503,_imp!$C$574))</f>
        <v/>
      </c>
      <c r="B572" s="54">
        <f>IF(_imp!$C$574="","",INDEX(_imp!$E$4:$E$4503,_imp!$C$574))</f>
        <v/>
      </c>
      <c r="C572" s="54">
        <f>IF(_imp!$C$574="","",INDEX(_imp!$F$4:$F$4503,_imp!$C$574))</f>
        <v/>
      </c>
      <c r="D572" s="54">
        <f>IF(_imp!$C$574="","",INDEX(_imp!$G$4:$G$4503,_imp!$C$574))</f>
        <v/>
      </c>
      <c r="E572" s="54">
        <f>IF(_imp!$C$574="","",INDEX(_imp!$H$4:$H$4503,_imp!$C$574))</f>
        <v/>
      </c>
      <c r="F572" s="54">
        <f>IF(_imp!$C$574="","",INDEX(_imp!$I$4:$I$4503,_imp!$C$574))</f>
        <v/>
      </c>
      <c r="G572" s="54">
        <f>IF(_imp!$C$574="","",INDEX(_imp!$J$4:$J$4503,_imp!$C$574))</f>
        <v/>
      </c>
      <c r="K572" s="54">
        <f>IF(_imp!$C$574="","",INDEX(_imp!$K$4:$K$4503,_imp!$C$574))</f>
        <v/>
      </c>
    </row>
    <row r="573">
      <c r="A573" s="54">
        <f>IF(_imp!$C$575="","",INDEX(_imp!$D$4:$D$4503,_imp!$C$575))</f>
        <v/>
      </c>
      <c r="B573" s="54">
        <f>IF(_imp!$C$575="","",INDEX(_imp!$E$4:$E$4503,_imp!$C$575))</f>
        <v/>
      </c>
      <c r="C573" s="54">
        <f>IF(_imp!$C$575="","",INDEX(_imp!$F$4:$F$4503,_imp!$C$575))</f>
        <v/>
      </c>
      <c r="D573" s="54">
        <f>IF(_imp!$C$575="","",INDEX(_imp!$G$4:$G$4503,_imp!$C$575))</f>
        <v/>
      </c>
      <c r="E573" s="54">
        <f>IF(_imp!$C$575="","",INDEX(_imp!$H$4:$H$4503,_imp!$C$575))</f>
        <v/>
      </c>
      <c r="F573" s="54">
        <f>IF(_imp!$C$575="","",INDEX(_imp!$I$4:$I$4503,_imp!$C$575))</f>
        <v/>
      </c>
      <c r="G573" s="54">
        <f>IF(_imp!$C$575="","",INDEX(_imp!$J$4:$J$4503,_imp!$C$575))</f>
        <v/>
      </c>
      <c r="K573" s="54">
        <f>IF(_imp!$C$575="","",INDEX(_imp!$K$4:$K$4503,_imp!$C$575))</f>
        <v/>
      </c>
    </row>
    <row r="574">
      <c r="A574" s="54">
        <f>IF(_imp!$C$576="","",INDEX(_imp!$D$4:$D$4503,_imp!$C$576))</f>
        <v/>
      </c>
      <c r="B574" s="54">
        <f>IF(_imp!$C$576="","",INDEX(_imp!$E$4:$E$4503,_imp!$C$576))</f>
        <v/>
      </c>
      <c r="C574" s="54">
        <f>IF(_imp!$C$576="","",INDEX(_imp!$F$4:$F$4503,_imp!$C$576))</f>
        <v/>
      </c>
      <c r="D574" s="54">
        <f>IF(_imp!$C$576="","",INDEX(_imp!$G$4:$G$4503,_imp!$C$576))</f>
        <v/>
      </c>
      <c r="E574" s="54">
        <f>IF(_imp!$C$576="","",INDEX(_imp!$H$4:$H$4503,_imp!$C$576))</f>
        <v/>
      </c>
      <c r="F574" s="54">
        <f>IF(_imp!$C$576="","",INDEX(_imp!$I$4:$I$4503,_imp!$C$576))</f>
        <v/>
      </c>
      <c r="G574" s="54">
        <f>IF(_imp!$C$576="","",INDEX(_imp!$J$4:$J$4503,_imp!$C$576))</f>
        <v/>
      </c>
      <c r="K574" s="54">
        <f>IF(_imp!$C$576="","",INDEX(_imp!$K$4:$K$4503,_imp!$C$576))</f>
        <v/>
      </c>
    </row>
    <row r="575">
      <c r="A575" s="54">
        <f>IF(_imp!$C$577="","",INDEX(_imp!$D$4:$D$4503,_imp!$C$577))</f>
        <v/>
      </c>
      <c r="B575" s="54">
        <f>IF(_imp!$C$577="","",INDEX(_imp!$E$4:$E$4503,_imp!$C$577))</f>
        <v/>
      </c>
      <c r="C575" s="54">
        <f>IF(_imp!$C$577="","",INDEX(_imp!$F$4:$F$4503,_imp!$C$577))</f>
        <v/>
      </c>
      <c r="D575" s="54">
        <f>IF(_imp!$C$577="","",INDEX(_imp!$G$4:$G$4503,_imp!$C$577))</f>
        <v/>
      </c>
      <c r="E575" s="54">
        <f>IF(_imp!$C$577="","",INDEX(_imp!$H$4:$H$4503,_imp!$C$577))</f>
        <v/>
      </c>
      <c r="F575" s="54">
        <f>IF(_imp!$C$577="","",INDEX(_imp!$I$4:$I$4503,_imp!$C$577))</f>
        <v/>
      </c>
      <c r="G575" s="54">
        <f>IF(_imp!$C$577="","",INDEX(_imp!$J$4:$J$4503,_imp!$C$577))</f>
        <v/>
      </c>
      <c r="K575" s="54">
        <f>IF(_imp!$C$577="","",INDEX(_imp!$K$4:$K$4503,_imp!$C$577))</f>
        <v/>
      </c>
    </row>
    <row r="576">
      <c r="A576" s="54">
        <f>IF(_imp!$C$578="","",INDEX(_imp!$D$4:$D$4503,_imp!$C$578))</f>
        <v/>
      </c>
      <c r="B576" s="54">
        <f>IF(_imp!$C$578="","",INDEX(_imp!$E$4:$E$4503,_imp!$C$578))</f>
        <v/>
      </c>
      <c r="C576" s="54">
        <f>IF(_imp!$C$578="","",INDEX(_imp!$F$4:$F$4503,_imp!$C$578))</f>
        <v/>
      </c>
      <c r="D576" s="54">
        <f>IF(_imp!$C$578="","",INDEX(_imp!$G$4:$G$4503,_imp!$C$578))</f>
        <v/>
      </c>
      <c r="E576" s="54">
        <f>IF(_imp!$C$578="","",INDEX(_imp!$H$4:$H$4503,_imp!$C$578))</f>
        <v/>
      </c>
      <c r="F576" s="54">
        <f>IF(_imp!$C$578="","",INDEX(_imp!$I$4:$I$4503,_imp!$C$578))</f>
        <v/>
      </c>
      <c r="G576" s="54">
        <f>IF(_imp!$C$578="","",INDEX(_imp!$J$4:$J$4503,_imp!$C$578))</f>
        <v/>
      </c>
      <c r="K576" s="54">
        <f>IF(_imp!$C$578="","",INDEX(_imp!$K$4:$K$4503,_imp!$C$578))</f>
        <v/>
      </c>
    </row>
    <row r="577">
      <c r="A577" s="54">
        <f>IF(_imp!$C$579="","",INDEX(_imp!$D$4:$D$4503,_imp!$C$579))</f>
        <v/>
      </c>
      <c r="B577" s="54">
        <f>IF(_imp!$C$579="","",INDEX(_imp!$E$4:$E$4503,_imp!$C$579))</f>
        <v/>
      </c>
      <c r="C577" s="54">
        <f>IF(_imp!$C$579="","",INDEX(_imp!$F$4:$F$4503,_imp!$C$579))</f>
        <v/>
      </c>
      <c r="D577" s="54">
        <f>IF(_imp!$C$579="","",INDEX(_imp!$G$4:$G$4503,_imp!$C$579))</f>
        <v/>
      </c>
      <c r="E577" s="54">
        <f>IF(_imp!$C$579="","",INDEX(_imp!$H$4:$H$4503,_imp!$C$579))</f>
        <v/>
      </c>
      <c r="F577" s="54">
        <f>IF(_imp!$C$579="","",INDEX(_imp!$I$4:$I$4503,_imp!$C$579))</f>
        <v/>
      </c>
      <c r="G577" s="54">
        <f>IF(_imp!$C$579="","",INDEX(_imp!$J$4:$J$4503,_imp!$C$579))</f>
        <v/>
      </c>
      <c r="K577" s="54">
        <f>IF(_imp!$C$579="","",INDEX(_imp!$K$4:$K$4503,_imp!$C$579))</f>
        <v/>
      </c>
    </row>
    <row r="578">
      <c r="A578" s="54">
        <f>IF(_imp!$C$580="","",INDEX(_imp!$D$4:$D$4503,_imp!$C$580))</f>
        <v/>
      </c>
      <c r="B578" s="54">
        <f>IF(_imp!$C$580="","",INDEX(_imp!$E$4:$E$4503,_imp!$C$580))</f>
        <v/>
      </c>
      <c r="C578" s="54">
        <f>IF(_imp!$C$580="","",INDEX(_imp!$F$4:$F$4503,_imp!$C$580))</f>
        <v/>
      </c>
      <c r="D578" s="54">
        <f>IF(_imp!$C$580="","",INDEX(_imp!$G$4:$G$4503,_imp!$C$580))</f>
        <v/>
      </c>
      <c r="E578" s="54">
        <f>IF(_imp!$C$580="","",INDEX(_imp!$H$4:$H$4503,_imp!$C$580))</f>
        <v/>
      </c>
      <c r="F578" s="54">
        <f>IF(_imp!$C$580="","",INDEX(_imp!$I$4:$I$4503,_imp!$C$580))</f>
        <v/>
      </c>
      <c r="G578" s="54">
        <f>IF(_imp!$C$580="","",INDEX(_imp!$J$4:$J$4503,_imp!$C$580))</f>
        <v/>
      </c>
      <c r="K578" s="54">
        <f>IF(_imp!$C$580="","",INDEX(_imp!$K$4:$K$4503,_imp!$C$580))</f>
        <v/>
      </c>
    </row>
    <row r="579">
      <c r="A579" s="54">
        <f>IF(_imp!$C$581="","",INDEX(_imp!$D$4:$D$4503,_imp!$C$581))</f>
        <v/>
      </c>
      <c r="B579" s="54">
        <f>IF(_imp!$C$581="","",INDEX(_imp!$E$4:$E$4503,_imp!$C$581))</f>
        <v/>
      </c>
      <c r="C579" s="54">
        <f>IF(_imp!$C$581="","",INDEX(_imp!$F$4:$F$4503,_imp!$C$581))</f>
        <v/>
      </c>
      <c r="D579" s="54">
        <f>IF(_imp!$C$581="","",INDEX(_imp!$G$4:$G$4503,_imp!$C$581))</f>
        <v/>
      </c>
      <c r="E579" s="54">
        <f>IF(_imp!$C$581="","",INDEX(_imp!$H$4:$H$4503,_imp!$C$581))</f>
        <v/>
      </c>
      <c r="F579" s="54">
        <f>IF(_imp!$C$581="","",INDEX(_imp!$I$4:$I$4503,_imp!$C$581))</f>
        <v/>
      </c>
      <c r="G579" s="54">
        <f>IF(_imp!$C$581="","",INDEX(_imp!$J$4:$J$4503,_imp!$C$581))</f>
        <v/>
      </c>
      <c r="K579" s="54">
        <f>IF(_imp!$C$581="","",INDEX(_imp!$K$4:$K$4503,_imp!$C$581))</f>
        <v/>
      </c>
    </row>
    <row r="580">
      <c r="A580" s="54">
        <f>IF(_imp!$C$582="","",INDEX(_imp!$D$4:$D$4503,_imp!$C$582))</f>
        <v/>
      </c>
      <c r="B580" s="54">
        <f>IF(_imp!$C$582="","",INDEX(_imp!$E$4:$E$4503,_imp!$C$582))</f>
        <v/>
      </c>
      <c r="C580" s="54">
        <f>IF(_imp!$C$582="","",INDEX(_imp!$F$4:$F$4503,_imp!$C$582))</f>
        <v/>
      </c>
      <c r="D580" s="54">
        <f>IF(_imp!$C$582="","",INDEX(_imp!$G$4:$G$4503,_imp!$C$582))</f>
        <v/>
      </c>
      <c r="E580" s="54">
        <f>IF(_imp!$C$582="","",INDEX(_imp!$H$4:$H$4503,_imp!$C$582))</f>
        <v/>
      </c>
      <c r="F580" s="54">
        <f>IF(_imp!$C$582="","",INDEX(_imp!$I$4:$I$4503,_imp!$C$582))</f>
        <v/>
      </c>
      <c r="G580" s="54">
        <f>IF(_imp!$C$582="","",INDEX(_imp!$J$4:$J$4503,_imp!$C$582))</f>
        <v/>
      </c>
      <c r="K580" s="54">
        <f>IF(_imp!$C$582="","",INDEX(_imp!$K$4:$K$4503,_imp!$C$582))</f>
        <v/>
      </c>
    </row>
    <row r="581">
      <c r="A581" s="54">
        <f>IF(_imp!$C$583="","",INDEX(_imp!$D$4:$D$4503,_imp!$C$583))</f>
        <v/>
      </c>
      <c r="B581" s="54">
        <f>IF(_imp!$C$583="","",INDEX(_imp!$E$4:$E$4503,_imp!$C$583))</f>
        <v/>
      </c>
      <c r="C581" s="54">
        <f>IF(_imp!$C$583="","",INDEX(_imp!$F$4:$F$4503,_imp!$C$583))</f>
        <v/>
      </c>
      <c r="D581" s="54">
        <f>IF(_imp!$C$583="","",INDEX(_imp!$G$4:$G$4503,_imp!$C$583))</f>
        <v/>
      </c>
      <c r="E581" s="54">
        <f>IF(_imp!$C$583="","",INDEX(_imp!$H$4:$H$4503,_imp!$C$583))</f>
        <v/>
      </c>
      <c r="F581" s="54">
        <f>IF(_imp!$C$583="","",INDEX(_imp!$I$4:$I$4503,_imp!$C$583))</f>
        <v/>
      </c>
      <c r="G581" s="54">
        <f>IF(_imp!$C$583="","",INDEX(_imp!$J$4:$J$4503,_imp!$C$583))</f>
        <v/>
      </c>
      <c r="K581" s="54">
        <f>IF(_imp!$C$583="","",INDEX(_imp!$K$4:$K$4503,_imp!$C$583))</f>
        <v/>
      </c>
    </row>
    <row r="582">
      <c r="A582" s="54">
        <f>IF(_imp!$C$584="","",INDEX(_imp!$D$4:$D$4503,_imp!$C$584))</f>
        <v/>
      </c>
      <c r="B582" s="54">
        <f>IF(_imp!$C$584="","",INDEX(_imp!$E$4:$E$4503,_imp!$C$584))</f>
        <v/>
      </c>
      <c r="C582" s="54">
        <f>IF(_imp!$C$584="","",INDEX(_imp!$F$4:$F$4503,_imp!$C$584))</f>
        <v/>
      </c>
      <c r="D582" s="54">
        <f>IF(_imp!$C$584="","",INDEX(_imp!$G$4:$G$4503,_imp!$C$584))</f>
        <v/>
      </c>
      <c r="E582" s="54">
        <f>IF(_imp!$C$584="","",INDEX(_imp!$H$4:$H$4503,_imp!$C$584))</f>
        <v/>
      </c>
      <c r="F582" s="54">
        <f>IF(_imp!$C$584="","",INDEX(_imp!$I$4:$I$4503,_imp!$C$584))</f>
        <v/>
      </c>
      <c r="G582" s="54">
        <f>IF(_imp!$C$584="","",INDEX(_imp!$J$4:$J$4503,_imp!$C$584))</f>
        <v/>
      </c>
      <c r="K582" s="54">
        <f>IF(_imp!$C$584="","",INDEX(_imp!$K$4:$K$4503,_imp!$C$584))</f>
        <v/>
      </c>
    </row>
    <row r="583">
      <c r="A583" s="54">
        <f>IF(_imp!$C$585="","",INDEX(_imp!$D$4:$D$4503,_imp!$C$585))</f>
        <v/>
      </c>
      <c r="B583" s="54">
        <f>IF(_imp!$C$585="","",INDEX(_imp!$E$4:$E$4503,_imp!$C$585))</f>
        <v/>
      </c>
      <c r="C583" s="54">
        <f>IF(_imp!$C$585="","",INDEX(_imp!$F$4:$F$4503,_imp!$C$585))</f>
        <v/>
      </c>
      <c r="D583" s="54">
        <f>IF(_imp!$C$585="","",INDEX(_imp!$G$4:$G$4503,_imp!$C$585))</f>
        <v/>
      </c>
      <c r="E583" s="54">
        <f>IF(_imp!$C$585="","",INDEX(_imp!$H$4:$H$4503,_imp!$C$585))</f>
        <v/>
      </c>
      <c r="F583" s="54">
        <f>IF(_imp!$C$585="","",INDEX(_imp!$I$4:$I$4503,_imp!$C$585))</f>
        <v/>
      </c>
      <c r="G583" s="54">
        <f>IF(_imp!$C$585="","",INDEX(_imp!$J$4:$J$4503,_imp!$C$585))</f>
        <v/>
      </c>
      <c r="K583" s="54">
        <f>IF(_imp!$C$585="","",INDEX(_imp!$K$4:$K$4503,_imp!$C$585))</f>
        <v/>
      </c>
    </row>
    <row r="584">
      <c r="A584" s="54">
        <f>IF(_imp!$C$586="","",INDEX(_imp!$D$4:$D$4503,_imp!$C$586))</f>
        <v/>
      </c>
      <c r="B584" s="54">
        <f>IF(_imp!$C$586="","",INDEX(_imp!$E$4:$E$4503,_imp!$C$586))</f>
        <v/>
      </c>
      <c r="C584" s="54">
        <f>IF(_imp!$C$586="","",INDEX(_imp!$F$4:$F$4503,_imp!$C$586))</f>
        <v/>
      </c>
      <c r="D584" s="54">
        <f>IF(_imp!$C$586="","",INDEX(_imp!$G$4:$G$4503,_imp!$C$586))</f>
        <v/>
      </c>
      <c r="E584" s="54">
        <f>IF(_imp!$C$586="","",INDEX(_imp!$H$4:$H$4503,_imp!$C$586))</f>
        <v/>
      </c>
      <c r="F584" s="54">
        <f>IF(_imp!$C$586="","",INDEX(_imp!$I$4:$I$4503,_imp!$C$586))</f>
        <v/>
      </c>
      <c r="G584" s="54">
        <f>IF(_imp!$C$586="","",INDEX(_imp!$J$4:$J$4503,_imp!$C$586))</f>
        <v/>
      </c>
      <c r="K584" s="54">
        <f>IF(_imp!$C$586="","",INDEX(_imp!$K$4:$K$4503,_imp!$C$586))</f>
        <v/>
      </c>
    </row>
    <row r="585">
      <c r="A585" s="54">
        <f>IF(_imp!$C$587="","",INDEX(_imp!$D$4:$D$4503,_imp!$C$587))</f>
        <v/>
      </c>
      <c r="B585" s="54">
        <f>IF(_imp!$C$587="","",INDEX(_imp!$E$4:$E$4503,_imp!$C$587))</f>
        <v/>
      </c>
      <c r="C585" s="54">
        <f>IF(_imp!$C$587="","",INDEX(_imp!$F$4:$F$4503,_imp!$C$587))</f>
        <v/>
      </c>
      <c r="D585" s="54">
        <f>IF(_imp!$C$587="","",INDEX(_imp!$G$4:$G$4503,_imp!$C$587))</f>
        <v/>
      </c>
      <c r="E585" s="54">
        <f>IF(_imp!$C$587="","",INDEX(_imp!$H$4:$H$4503,_imp!$C$587))</f>
        <v/>
      </c>
      <c r="F585" s="54">
        <f>IF(_imp!$C$587="","",INDEX(_imp!$I$4:$I$4503,_imp!$C$587))</f>
        <v/>
      </c>
      <c r="G585" s="54">
        <f>IF(_imp!$C$587="","",INDEX(_imp!$J$4:$J$4503,_imp!$C$587))</f>
        <v/>
      </c>
      <c r="K585" s="54">
        <f>IF(_imp!$C$587="","",INDEX(_imp!$K$4:$K$4503,_imp!$C$587))</f>
        <v/>
      </c>
    </row>
    <row r="586">
      <c r="A586" s="54">
        <f>IF(_imp!$C$588="","",INDEX(_imp!$D$4:$D$4503,_imp!$C$588))</f>
        <v/>
      </c>
      <c r="B586" s="54">
        <f>IF(_imp!$C$588="","",INDEX(_imp!$E$4:$E$4503,_imp!$C$588))</f>
        <v/>
      </c>
      <c r="C586" s="54">
        <f>IF(_imp!$C$588="","",INDEX(_imp!$F$4:$F$4503,_imp!$C$588))</f>
        <v/>
      </c>
      <c r="D586" s="54">
        <f>IF(_imp!$C$588="","",INDEX(_imp!$G$4:$G$4503,_imp!$C$588))</f>
        <v/>
      </c>
      <c r="E586" s="54">
        <f>IF(_imp!$C$588="","",INDEX(_imp!$H$4:$H$4503,_imp!$C$588))</f>
        <v/>
      </c>
      <c r="F586" s="54">
        <f>IF(_imp!$C$588="","",INDEX(_imp!$I$4:$I$4503,_imp!$C$588))</f>
        <v/>
      </c>
      <c r="G586" s="54">
        <f>IF(_imp!$C$588="","",INDEX(_imp!$J$4:$J$4503,_imp!$C$588))</f>
        <v/>
      </c>
      <c r="K586" s="54">
        <f>IF(_imp!$C$588="","",INDEX(_imp!$K$4:$K$4503,_imp!$C$588))</f>
        <v/>
      </c>
    </row>
    <row r="587">
      <c r="A587" s="54">
        <f>IF(_imp!$C$589="","",INDEX(_imp!$D$4:$D$4503,_imp!$C$589))</f>
        <v/>
      </c>
      <c r="B587" s="54">
        <f>IF(_imp!$C$589="","",INDEX(_imp!$E$4:$E$4503,_imp!$C$589))</f>
        <v/>
      </c>
      <c r="C587" s="54">
        <f>IF(_imp!$C$589="","",INDEX(_imp!$F$4:$F$4503,_imp!$C$589))</f>
        <v/>
      </c>
      <c r="D587" s="54">
        <f>IF(_imp!$C$589="","",INDEX(_imp!$G$4:$G$4503,_imp!$C$589))</f>
        <v/>
      </c>
      <c r="E587" s="54">
        <f>IF(_imp!$C$589="","",INDEX(_imp!$H$4:$H$4503,_imp!$C$589))</f>
        <v/>
      </c>
      <c r="F587" s="54">
        <f>IF(_imp!$C$589="","",INDEX(_imp!$I$4:$I$4503,_imp!$C$589))</f>
        <v/>
      </c>
      <c r="G587" s="54">
        <f>IF(_imp!$C$589="","",INDEX(_imp!$J$4:$J$4503,_imp!$C$589))</f>
        <v/>
      </c>
      <c r="K587" s="54">
        <f>IF(_imp!$C$589="","",INDEX(_imp!$K$4:$K$4503,_imp!$C$589))</f>
        <v/>
      </c>
    </row>
    <row r="588">
      <c r="A588" s="54">
        <f>IF(_imp!$C$590="","",INDEX(_imp!$D$4:$D$4503,_imp!$C$590))</f>
        <v/>
      </c>
      <c r="B588" s="54">
        <f>IF(_imp!$C$590="","",INDEX(_imp!$E$4:$E$4503,_imp!$C$590))</f>
        <v/>
      </c>
      <c r="C588" s="54">
        <f>IF(_imp!$C$590="","",INDEX(_imp!$F$4:$F$4503,_imp!$C$590))</f>
        <v/>
      </c>
      <c r="D588" s="54">
        <f>IF(_imp!$C$590="","",INDEX(_imp!$G$4:$G$4503,_imp!$C$590))</f>
        <v/>
      </c>
      <c r="E588" s="54">
        <f>IF(_imp!$C$590="","",INDEX(_imp!$H$4:$H$4503,_imp!$C$590))</f>
        <v/>
      </c>
      <c r="F588" s="54">
        <f>IF(_imp!$C$590="","",INDEX(_imp!$I$4:$I$4503,_imp!$C$590))</f>
        <v/>
      </c>
      <c r="G588" s="54">
        <f>IF(_imp!$C$590="","",INDEX(_imp!$J$4:$J$4503,_imp!$C$590))</f>
        <v/>
      </c>
      <c r="K588" s="54">
        <f>IF(_imp!$C$590="","",INDEX(_imp!$K$4:$K$4503,_imp!$C$590))</f>
        <v/>
      </c>
    </row>
    <row r="589">
      <c r="A589" s="54">
        <f>IF(_imp!$C$591="","",INDEX(_imp!$D$4:$D$4503,_imp!$C$591))</f>
        <v/>
      </c>
      <c r="B589" s="54">
        <f>IF(_imp!$C$591="","",INDEX(_imp!$E$4:$E$4503,_imp!$C$591))</f>
        <v/>
      </c>
      <c r="C589" s="54">
        <f>IF(_imp!$C$591="","",INDEX(_imp!$F$4:$F$4503,_imp!$C$591))</f>
        <v/>
      </c>
      <c r="D589" s="54">
        <f>IF(_imp!$C$591="","",INDEX(_imp!$G$4:$G$4503,_imp!$C$591))</f>
        <v/>
      </c>
      <c r="E589" s="54">
        <f>IF(_imp!$C$591="","",INDEX(_imp!$H$4:$H$4503,_imp!$C$591))</f>
        <v/>
      </c>
      <c r="F589" s="54">
        <f>IF(_imp!$C$591="","",INDEX(_imp!$I$4:$I$4503,_imp!$C$591))</f>
        <v/>
      </c>
      <c r="G589" s="54">
        <f>IF(_imp!$C$591="","",INDEX(_imp!$J$4:$J$4503,_imp!$C$591))</f>
        <v/>
      </c>
      <c r="K589" s="54">
        <f>IF(_imp!$C$591="","",INDEX(_imp!$K$4:$K$4503,_imp!$C$591))</f>
        <v/>
      </c>
    </row>
    <row r="590">
      <c r="A590" s="54">
        <f>IF(_imp!$C$592="","",INDEX(_imp!$D$4:$D$4503,_imp!$C$592))</f>
        <v/>
      </c>
      <c r="B590" s="54">
        <f>IF(_imp!$C$592="","",INDEX(_imp!$E$4:$E$4503,_imp!$C$592))</f>
        <v/>
      </c>
      <c r="C590" s="54">
        <f>IF(_imp!$C$592="","",INDEX(_imp!$F$4:$F$4503,_imp!$C$592))</f>
        <v/>
      </c>
      <c r="D590" s="54">
        <f>IF(_imp!$C$592="","",INDEX(_imp!$G$4:$G$4503,_imp!$C$592))</f>
        <v/>
      </c>
      <c r="E590" s="54">
        <f>IF(_imp!$C$592="","",INDEX(_imp!$H$4:$H$4503,_imp!$C$592))</f>
        <v/>
      </c>
      <c r="F590" s="54">
        <f>IF(_imp!$C$592="","",INDEX(_imp!$I$4:$I$4503,_imp!$C$592))</f>
        <v/>
      </c>
      <c r="G590" s="54">
        <f>IF(_imp!$C$592="","",INDEX(_imp!$J$4:$J$4503,_imp!$C$592))</f>
        <v/>
      </c>
      <c r="K590" s="54">
        <f>IF(_imp!$C$592="","",INDEX(_imp!$K$4:$K$4503,_imp!$C$592))</f>
        <v/>
      </c>
    </row>
    <row r="591">
      <c r="A591" s="54">
        <f>IF(_imp!$C$593="","",INDEX(_imp!$D$4:$D$4503,_imp!$C$593))</f>
        <v/>
      </c>
      <c r="B591" s="54">
        <f>IF(_imp!$C$593="","",INDEX(_imp!$E$4:$E$4503,_imp!$C$593))</f>
        <v/>
      </c>
      <c r="C591" s="54">
        <f>IF(_imp!$C$593="","",INDEX(_imp!$F$4:$F$4503,_imp!$C$593))</f>
        <v/>
      </c>
      <c r="D591" s="54">
        <f>IF(_imp!$C$593="","",INDEX(_imp!$G$4:$G$4503,_imp!$C$593))</f>
        <v/>
      </c>
      <c r="E591" s="54">
        <f>IF(_imp!$C$593="","",INDEX(_imp!$H$4:$H$4503,_imp!$C$593))</f>
        <v/>
      </c>
      <c r="F591" s="54">
        <f>IF(_imp!$C$593="","",INDEX(_imp!$I$4:$I$4503,_imp!$C$593))</f>
        <v/>
      </c>
      <c r="G591" s="54">
        <f>IF(_imp!$C$593="","",INDEX(_imp!$J$4:$J$4503,_imp!$C$593))</f>
        <v/>
      </c>
      <c r="K591" s="54">
        <f>IF(_imp!$C$593="","",INDEX(_imp!$K$4:$K$4503,_imp!$C$593))</f>
        <v/>
      </c>
    </row>
    <row r="592">
      <c r="A592" s="54">
        <f>IF(_imp!$C$594="","",INDEX(_imp!$D$4:$D$4503,_imp!$C$594))</f>
        <v/>
      </c>
      <c r="B592" s="54">
        <f>IF(_imp!$C$594="","",INDEX(_imp!$E$4:$E$4503,_imp!$C$594))</f>
        <v/>
      </c>
      <c r="C592" s="54">
        <f>IF(_imp!$C$594="","",INDEX(_imp!$F$4:$F$4503,_imp!$C$594))</f>
        <v/>
      </c>
      <c r="D592" s="54">
        <f>IF(_imp!$C$594="","",INDEX(_imp!$G$4:$G$4503,_imp!$C$594))</f>
        <v/>
      </c>
      <c r="E592" s="54">
        <f>IF(_imp!$C$594="","",INDEX(_imp!$H$4:$H$4503,_imp!$C$594))</f>
        <v/>
      </c>
      <c r="F592" s="54">
        <f>IF(_imp!$C$594="","",INDEX(_imp!$I$4:$I$4503,_imp!$C$594))</f>
        <v/>
      </c>
      <c r="G592" s="54">
        <f>IF(_imp!$C$594="","",INDEX(_imp!$J$4:$J$4503,_imp!$C$594))</f>
        <v/>
      </c>
      <c r="K592" s="54">
        <f>IF(_imp!$C$594="","",INDEX(_imp!$K$4:$K$4503,_imp!$C$594))</f>
        <v/>
      </c>
    </row>
    <row r="593">
      <c r="A593" s="54">
        <f>IF(_imp!$C$595="","",INDEX(_imp!$D$4:$D$4503,_imp!$C$595))</f>
        <v/>
      </c>
      <c r="B593" s="54">
        <f>IF(_imp!$C$595="","",INDEX(_imp!$E$4:$E$4503,_imp!$C$595))</f>
        <v/>
      </c>
      <c r="C593" s="54">
        <f>IF(_imp!$C$595="","",INDEX(_imp!$F$4:$F$4503,_imp!$C$595))</f>
        <v/>
      </c>
      <c r="D593" s="54">
        <f>IF(_imp!$C$595="","",INDEX(_imp!$G$4:$G$4503,_imp!$C$595))</f>
        <v/>
      </c>
      <c r="E593" s="54">
        <f>IF(_imp!$C$595="","",INDEX(_imp!$H$4:$H$4503,_imp!$C$595))</f>
        <v/>
      </c>
      <c r="F593" s="54">
        <f>IF(_imp!$C$595="","",INDEX(_imp!$I$4:$I$4503,_imp!$C$595))</f>
        <v/>
      </c>
      <c r="G593" s="54">
        <f>IF(_imp!$C$595="","",INDEX(_imp!$J$4:$J$4503,_imp!$C$595))</f>
        <v/>
      </c>
      <c r="K593" s="54">
        <f>IF(_imp!$C$595="","",INDEX(_imp!$K$4:$K$4503,_imp!$C$595))</f>
        <v/>
      </c>
    </row>
    <row r="594">
      <c r="A594" s="54">
        <f>IF(_imp!$C$596="","",INDEX(_imp!$D$4:$D$4503,_imp!$C$596))</f>
        <v/>
      </c>
      <c r="B594" s="54">
        <f>IF(_imp!$C$596="","",INDEX(_imp!$E$4:$E$4503,_imp!$C$596))</f>
        <v/>
      </c>
      <c r="C594" s="54">
        <f>IF(_imp!$C$596="","",INDEX(_imp!$F$4:$F$4503,_imp!$C$596))</f>
        <v/>
      </c>
      <c r="D594" s="54">
        <f>IF(_imp!$C$596="","",INDEX(_imp!$G$4:$G$4503,_imp!$C$596))</f>
        <v/>
      </c>
      <c r="E594" s="54">
        <f>IF(_imp!$C$596="","",INDEX(_imp!$H$4:$H$4503,_imp!$C$596))</f>
        <v/>
      </c>
      <c r="F594" s="54">
        <f>IF(_imp!$C$596="","",INDEX(_imp!$I$4:$I$4503,_imp!$C$596))</f>
        <v/>
      </c>
      <c r="G594" s="54">
        <f>IF(_imp!$C$596="","",INDEX(_imp!$J$4:$J$4503,_imp!$C$596))</f>
        <v/>
      </c>
      <c r="K594" s="54">
        <f>IF(_imp!$C$596="","",INDEX(_imp!$K$4:$K$4503,_imp!$C$596))</f>
        <v/>
      </c>
    </row>
    <row r="595">
      <c r="A595" s="54">
        <f>IF(_imp!$C$597="","",INDEX(_imp!$D$4:$D$4503,_imp!$C$597))</f>
        <v/>
      </c>
      <c r="B595" s="54">
        <f>IF(_imp!$C$597="","",INDEX(_imp!$E$4:$E$4503,_imp!$C$597))</f>
        <v/>
      </c>
      <c r="C595" s="54">
        <f>IF(_imp!$C$597="","",INDEX(_imp!$F$4:$F$4503,_imp!$C$597))</f>
        <v/>
      </c>
      <c r="D595" s="54">
        <f>IF(_imp!$C$597="","",INDEX(_imp!$G$4:$G$4503,_imp!$C$597))</f>
        <v/>
      </c>
      <c r="E595" s="54">
        <f>IF(_imp!$C$597="","",INDEX(_imp!$H$4:$H$4503,_imp!$C$597))</f>
        <v/>
      </c>
      <c r="F595" s="54">
        <f>IF(_imp!$C$597="","",INDEX(_imp!$I$4:$I$4503,_imp!$C$597))</f>
        <v/>
      </c>
      <c r="G595" s="54">
        <f>IF(_imp!$C$597="","",INDEX(_imp!$J$4:$J$4503,_imp!$C$597))</f>
        <v/>
      </c>
      <c r="K595" s="54">
        <f>IF(_imp!$C$597="","",INDEX(_imp!$K$4:$K$4503,_imp!$C$597))</f>
        <v/>
      </c>
    </row>
    <row r="596">
      <c r="A596" s="54">
        <f>IF(_imp!$C$598="","",INDEX(_imp!$D$4:$D$4503,_imp!$C$598))</f>
        <v/>
      </c>
      <c r="B596" s="54">
        <f>IF(_imp!$C$598="","",INDEX(_imp!$E$4:$E$4503,_imp!$C$598))</f>
        <v/>
      </c>
      <c r="C596" s="54">
        <f>IF(_imp!$C$598="","",INDEX(_imp!$F$4:$F$4503,_imp!$C$598))</f>
        <v/>
      </c>
      <c r="D596" s="54">
        <f>IF(_imp!$C$598="","",INDEX(_imp!$G$4:$G$4503,_imp!$C$598))</f>
        <v/>
      </c>
      <c r="E596" s="54">
        <f>IF(_imp!$C$598="","",INDEX(_imp!$H$4:$H$4503,_imp!$C$598))</f>
        <v/>
      </c>
      <c r="F596" s="54">
        <f>IF(_imp!$C$598="","",INDEX(_imp!$I$4:$I$4503,_imp!$C$598))</f>
        <v/>
      </c>
      <c r="G596" s="54">
        <f>IF(_imp!$C$598="","",INDEX(_imp!$J$4:$J$4503,_imp!$C$598))</f>
        <v/>
      </c>
      <c r="K596" s="54">
        <f>IF(_imp!$C$598="","",INDEX(_imp!$K$4:$K$4503,_imp!$C$598))</f>
        <v/>
      </c>
    </row>
    <row r="597">
      <c r="A597" s="54">
        <f>IF(_imp!$C$599="","",INDEX(_imp!$D$4:$D$4503,_imp!$C$599))</f>
        <v/>
      </c>
      <c r="B597" s="54">
        <f>IF(_imp!$C$599="","",INDEX(_imp!$E$4:$E$4503,_imp!$C$599))</f>
        <v/>
      </c>
      <c r="C597" s="54">
        <f>IF(_imp!$C$599="","",INDEX(_imp!$F$4:$F$4503,_imp!$C$599))</f>
        <v/>
      </c>
      <c r="D597" s="54">
        <f>IF(_imp!$C$599="","",INDEX(_imp!$G$4:$G$4503,_imp!$C$599))</f>
        <v/>
      </c>
      <c r="E597" s="54">
        <f>IF(_imp!$C$599="","",INDEX(_imp!$H$4:$H$4503,_imp!$C$599))</f>
        <v/>
      </c>
      <c r="F597" s="54">
        <f>IF(_imp!$C$599="","",INDEX(_imp!$I$4:$I$4503,_imp!$C$599))</f>
        <v/>
      </c>
      <c r="G597" s="54">
        <f>IF(_imp!$C$599="","",INDEX(_imp!$J$4:$J$4503,_imp!$C$599))</f>
        <v/>
      </c>
      <c r="K597" s="54">
        <f>IF(_imp!$C$599="","",INDEX(_imp!$K$4:$K$4503,_imp!$C$599))</f>
        <v/>
      </c>
    </row>
    <row r="598">
      <c r="A598" s="54">
        <f>IF(_imp!$C$600="","",INDEX(_imp!$D$4:$D$4503,_imp!$C$600))</f>
        <v/>
      </c>
      <c r="B598" s="54">
        <f>IF(_imp!$C$600="","",INDEX(_imp!$E$4:$E$4503,_imp!$C$600))</f>
        <v/>
      </c>
      <c r="C598" s="54">
        <f>IF(_imp!$C$600="","",INDEX(_imp!$F$4:$F$4503,_imp!$C$600))</f>
        <v/>
      </c>
      <c r="D598" s="54">
        <f>IF(_imp!$C$600="","",INDEX(_imp!$G$4:$G$4503,_imp!$C$600))</f>
        <v/>
      </c>
      <c r="E598" s="54">
        <f>IF(_imp!$C$600="","",INDEX(_imp!$H$4:$H$4503,_imp!$C$600))</f>
        <v/>
      </c>
      <c r="F598" s="54">
        <f>IF(_imp!$C$600="","",INDEX(_imp!$I$4:$I$4503,_imp!$C$600))</f>
        <v/>
      </c>
      <c r="G598" s="54">
        <f>IF(_imp!$C$600="","",INDEX(_imp!$J$4:$J$4503,_imp!$C$600))</f>
        <v/>
      </c>
      <c r="K598" s="54">
        <f>IF(_imp!$C$600="","",INDEX(_imp!$K$4:$K$4503,_imp!$C$600))</f>
        <v/>
      </c>
    </row>
    <row r="599">
      <c r="A599" s="54">
        <f>IF(_imp!$C$601="","",INDEX(_imp!$D$4:$D$4503,_imp!$C$601))</f>
        <v/>
      </c>
      <c r="B599" s="54">
        <f>IF(_imp!$C$601="","",INDEX(_imp!$E$4:$E$4503,_imp!$C$601))</f>
        <v/>
      </c>
      <c r="C599" s="54">
        <f>IF(_imp!$C$601="","",INDEX(_imp!$F$4:$F$4503,_imp!$C$601))</f>
        <v/>
      </c>
      <c r="D599" s="54">
        <f>IF(_imp!$C$601="","",INDEX(_imp!$G$4:$G$4503,_imp!$C$601))</f>
        <v/>
      </c>
      <c r="E599" s="54">
        <f>IF(_imp!$C$601="","",INDEX(_imp!$H$4:$H$4503,_imp!$C$601))</f>
        <v/>
      </c>
      <c r="F599" s="54">
        <f>IF(_imp!$C$601="","",INDEX(_imp!$I$4:$I$4503,_imp!$C$601))</f>
        <v/>
      </c>
      <c r="G599" s="54">
        <f>IF(_imp!$C$601="","",INDEX(_imp!$J$4:$J$4503,_imp!$C$601))</f>
        <v/>
      </c>
      <c r="K599" s="54">
        <f>IF(_imp!$C$601="","",INDEX(_imp!$K$4:$K$4503,_imp!$C$601))</f>
        <v/>
      </c>
    </row>
    <row r="600">
      <c r="A600" s="54">
        <f>IF(_imp!$C$602="","",INDEX(_imp!$D$4:$D$4503,_imp!$C$602))</f>
        <v/>
      </c>
      <c r="B600" s="54">
        <f>IF(_imp!$C$602="","",INDEX(_imp!$E$4:$E$4503,_imp!$C$602))</f>
        <v/>
      </c>
      <c r="C600" s="54">
        <f>IF(_imp!$C$602="","",INDEX(_imp!$F$4:$F$4503,_imp!$C$602))</f>
        <v/>
      </c>
      <c r="D600" s="54">
        <f>IF(_imp!$C$602="","",INDEX(_imp!$G$4:$G$4503,_imp!$C$602))</f>
        <v/>
      </c>
      <c r="E600" s="54">
        <f>IF(_imp!$C$602="","",INDEX(_imp!$H$4:$H$4503,_imp!$C$602))</f>
        <v/>
      </c>
      <c r="F600" s="54">
        <f>IF(_imp!$C$602="","",INDEX(_imp!$I$4:$I$4503,_imp!$C$602))</f>
        <v/>
      </c>
      <c r="G600" s="54">
        <f>IF(_imp!$C$602="","",INDEX(_imp!$J$4:$J$4503,_imp!$C$602))</f>
        <v/>
      </c>
      <c r="K600" s="54">
        <f>IF(_imp!$C$602="","",INDEX(_imp!$K$4:$K$4503,_imp!$C$602))</f>
        <v/>
      </c>
    </row>
    <row r="601">
      <c r="A601" s="54">
        <f>IF(_imp!$C$603="","",INDEX(_imp!$D$4:$D$4503,_imp!$C$603))</f>
        <v/>
      </c>
      <c r="B601" s="54">
        <f>IF(_imp!$C$603="","",INDEX(_imp!$E$4:$E$4503,_imp!$C$603))</f>
        <v/>
      </c>
      <c r="C601" s="54">
        <f>IF(_imp!$C$603="","",INDEX(_imp!$F$4:$F$4503,_imp!$C$603))</f>
        <v/>
      </c>
      <c r="D601" s="54">
        <f>IF(_imp!$C$603="","",INDEX(_imp!$G$4:$G$4503,_imp!$C$603))</f>
        <v/>
      </c>
      <c r="E601" s="54">
        <f>IF(_imp!$C$603="","",INDEX(_imp!$H$4:$H$4503,_imp!$C$603))</f>
        <v/>
      </c>
      <c r="F601" s="54">
        <f>IF(_imp!$C$603="","",INDEX(_imp!$I$4:$I$4503,_imp!$C$603))</f>
        <v/>
      </c>
      <c r="G601" s="54">
        <f>IF(_imp!$C$603="","",INDEX(_imp!$J$4:$J$4503,_imp!$C$603))</f>
        <v/>
      </c>
      <c r="K601" s="54">
        <f>IF(_imp!$C$603="","",INDEX(_imp!$K$4:$K$4503,_imp!$C$603))</f>
        <v/>
      </c>
    </row>
    <row r="602">
      <c r="A602" s="54">
        <f>IF(_imp!$C$604="","",INDEX(_imp!$D$4:$D$4503,_imp!$C$604))</f>
        <v/>
      </c>
      <c r="B602" s="54">
        <f>IF(_imp!$C$604="","",INDEX(_imp!$E$4:$E$4503,_imp!$C$604))</f>
        <v/>
      </c>
      <c r="C602" s="54">
        <f>IF(_imp!$C$604="","",INDEX(_imp!$F$4:$F$4503,_imp!$C$604))</f>
        <v/>
      </c>
      <c r="D602" s="54">
        <f>IF(_imp!$C$604="","",INDEX(_imp!$G$4:$G$4503,_imp!$C$604))</f>
        <v/>
      </c>
      <c r="E602" s="54">
        <f>IF(_imp!$C$604="","",INDEX(_imp!$H$4:$H$4503,_imp!$C$604))</f>
        <v/>
      </c>
      <c r="F602" s="54">
        <f>IF(_imp!$C$604="","",INDEX(_imp!$I$4:$I$4503,_imp!$C$604))</f>
        <v/>
      </c>
      <c r="G602" s="54">
        <f>IF(_imp!$C$604="","",INDEX(_imp!$J$4:$J$4503,_imp!$C$604))</f>
        <v/>
      </c>
      <c r="K602" s="54">
        <f>IF(_imp!$C$604="","",INDEX(_imp!$K$4:$K$4503,_imp!$C$604))</f>
        <v/>
      </c>
    </row>
    <row r="603">
      <c r="A603" s="54">
        <f>IF(_imp!$C$605="","",INDEX(_imp!$D$4:$D$4503,_imp!$C$605))</f>
        <v/>
      </c>
      <c r="B603" s="54">
        <f>IF(_imp!$C$605="","",INDEX(_imp!$E$4:$E$4503,_imp!$C$605))</f>
        <v/>
      </c>
      <c r="C603" s="54">
        <f>IF(_imp!$C$605="","",INDEX(_imp!$F$4:$F$4503,_imp!$C$605))</f>
        <v/>
      </c>
      <c r="D603" s="54">
        <f>IF(_imp!$C$605="","",INDEX(_imp!$G$4:$G$4503,_imp!$C$605))</f>
        <v/>
      </c>
      <c r="E603" s="54">
        <f>IF(_imp!$C$605="","",INDEX(_imp!$H$4:$H$4503,_imp!$C$605))</f>
        <v/>
      </c>
      <c r="F603" s="54">
        <f>IF(_imp!$C$605="","",INDEX(_imp!$I$4:$I$4503,_imp!$C$605))</f>
        <v/>
      </c>
      <c r="G603" s="54">
        <f>IF(_imp!$C$605="","",INDEX(_imp!$J$4:$J$4503,_imp!$C$605))</f>
        <v/>
      </c>
      <c r="K603" s="54">
        <f>IF(_imp!$C$605="","",INDEX(_imp!$K$4:$K$4503,_imp!$C$605))</f>
        <v/>
      </c>
    </row>
    <row r="604">
      <c r="A604" s="54">
        <f>IF(_imp!$C$606="","",INDEX(_imp!$D$4:$D$4503,_imp!$C$606))</f>
        <v/>
      </c>
      <c r="B604" s="54">
        <f>IF(_imp!$C$606="","",INDEX(_imp!$E$4:$E$4503,_imp!$C$606))</f>
        <v/>
      </c>
      <c r="C604" s="54">
        <f>IF(_imp!$C$606="","",INDEX(_imp!$F$4:$F$4503,_imp!$C$606))</f>
        <v/>
      </c>
      <c r="D604" s="54">
        <f>IF(_imp!$C$606="","",INDEX(_imp!$G$4:$G$4503,_imp!$C$606))</f>
        <v/>
      </c>
      <c r="E604" s="54">
        <f>IF(_imp!$C$606="","",INDEX(_imp!$H$4:$H$4503,_imp!$C$606))</f>
        <v/>
      </c>
      <c r="F604" s="54">
        <f>IF(_imp!$C$606="","",INDEX(_imp!$I$4:$I$4503,_imp!$C$606))</f>
        <v/>
      </c>
      <c r="G604" s="54">
        <f>IF(_imp!$C$606="","",INDEX(_imp!$J$4:$J$4503,_imp!$C$606))</f>
        <v/>
      </c>
      <c r="K604" s="54">
        <f>IF(_imp!$C$606="","",INDEX(_imp!$K$4:$K$4503,_imp!$C$606))</f>
        <v/>
      </c>
    </row>
    <row r="605">
      <c r="A605" s="54">
        <f>IF(_imp!$C$607="","",INDEX(_imp!$D$4:$D$4503,_imp!$C$607))</f>
        <v/>
      </c>
      <c r="B605" s="54">
        <f>IF(_imp!$C$607="","",INDEX(_imp!$E$4:$E$4503,_imp!$C$607))</f>
        <v/>
      </c>
      <c r="C605" s="54">
        <f>IF(_imp!$C$607="","",INDEX(_imp!$F$4:$F$4503,_imp!$C$607))</f>
        <v/>
      </c>
      <c r="D605" s="54">
        <f>IF(_imp!$C$607="","",INDEX(_imp!$G$4:$G$4503,_imp!$C$607))</f>
        <v/>
      </c>
      <c r="E605" s="54">
        <f>IF(_imp!$C$607="","",INDEX(_imp!$H$4:$H$4503,_imp!$C$607))</f>
        <v/>
      </c>
      <c r="F605" s="54">
        <f>IF(_imp!$C$607="","",INDEX(_imp!$I$4:$I$4503,_imp!$C$607))</f>
        <v/>
      </c>
      <c r="G605" s="54">
        <f>IF(_imp!$C$607="","",INDEX(_imp!$J$4:$J$4503,_imp!$C$607))</f>
        <v/>
      </c>
      <c r="K605" s="54">
        <f>IF(_imp!$C$607="","",INDEX(_imp!$K$4:$K$4503,_imp!$C$607))</f>
        <v/>
      </c>
    </row>
    <row r="606">
      <c r="A606" s="54">
        <f>IF(_imp!$C$608="","",INDEX(_imp!$D$4:$D$4503,_imp!$C$608))</f>
        <v/>
      </c>
      <c r="B606" s="54">
        <f>IF(_imp!$C$608="","",INDEX(_imp!$E$4:$E$4503,_imp!$C$608))</f>
        <v/>
      </c>
      <c r="C606" s="54">
        <f>IF(_imp!$C$608="","",INDEX(_imp!$F$4:$F$4503,_imp!$C$608))</f>
        <v/>
      </c>
      <c r="D606" s="54">
        <f>IF(_imp!$C$608="","",INDEX(_imp!$G$4:$G$4503,_imp!$C$608))</f>
        <v/>
      </c>
      <c r="E606" s="54">
        <f>IF(_imp!$C$608="","",INDEX(_imp!$H$4:$H$4503,_imp!$C$608))</f>
        <v/>
      </c>
      <c r="F606" s="54">
        <f>IF(_imp!$C$608="","",INDEX(_imp!$I$4:$I$4503,_imp!$C$608))</f>
        <v/>
      </c>
      <c r="G606" s="54">
        <f>IF(_imp!$C$608="","",INDEX(_imp!$J$4:$J$4503,_imp!$C$608))</f>
        <v/>
      </c>
      <c r="K606" s="54">
        <f>IF(_imp!$C$608="","",INDEX(_imp!$K$4:$K$4503,_imp!$C$608))</f>
        <v/>
      </c>
    </row>
    <row r="607">
      <c r="A607" s="54">
        <f>IF(_imp!$C$609="","",INDEX(_imp!$D$4:$D$4503,_imp!$C$609))</f>
        <v/>
      </c>
      <c r="B607" s="54">
        <f>IF(_imp!$C$609="","",INDEX(_imp!$E$4:$E$4503,_imp!$C$609))</f>
        <v/>
      </c>
      <c r="C607" s="54">
        <f>IF(_imp!$C$609="","",INDEX(_imp!$F$4:$F$4503,_imp!$C$609))</f>
        <v/>
      </c>
      <c r="D607" s="54">
        <f>IF(_imp!$C$609="","",INDEX(_imp!$G$4:$G$4503,_imp!$C$609))</f>
        <v/>
      </c>
      <c r="E607" s="54">
        <f>IF(_imp!$C$609="","",INDEX(_imp!$H$4:$H$4503,_imp!$C$609))</f>
        <v/>
      </c>
      <c r="F607" s="54">
        <f>IF(_imp!$C$609="","",INDEX(_imp!$I$4:$I$4503,_imp!$C$609))</f>
        <v/>
      </c>
      <c r="G607" s="54">
        <f>IF(_imp!$C$609="","",INDEX(_imp!$J$4:$J$4503,_imp!$C$609))</f>
        <v/>
      </c>
      <c r="K607" s="54">
        <f>IF(_imp!$C$609="","",INDEX(_imp!$K$4:$K$4503,_imp!$C$609))</f>
        <v/>
      </c>
    </row>
    <row r="608">
      <c r="A608" s="54">
        <f>IF(_imp!$C$610="","",INDEX(_imp!$D$4:$D$4503,_imp!$C$610))</f>
        <v/>
      </c>
      <c r="B608" s="54">
        <f>IF(_imp!$C$610="","",INDEX(_imp!$E$4:$E$4503,_imp!$C$610))</f>
        <v/>
      </c>
      <c r="C608" s="54">
        <f>IF(_imp!$C$610="","",INDEX(_imp!$F$4:$F$4503,_imp!$C$610))</f>
        <v/>
      </c>
      <c r="D608" s="54">
        <f>IF(_imp!$C$610="","",INDEX(_imp!$G$4:$G$4503,_imp!$C$610))</f>
        <v/>
      </c>
      <c r="E608" s="54">
        <f>IF(_imp!$C$610="","",INDEX(_imp!$H$4:$H$4503,_imp!$C$610))</f>
        <v/>
      </c>
      <c r="F608" s="54">
        <f>IF(_imp!$C$610="","",INDEX(_imp!$I$4:$I$4503,_imp!$C$610))</f>
        <v/>
      </c>
      <c r="G608" s="54">
        <f>IF(_imp!$C$610="","",INDEX(_imp!$J$4:$J$4503,_imp!$C$610))</f>
        <v/>
      </c>
      <c r="K608" s="54">
        <f>IF(_imp!$C$610="","",INDEX(_imp!$K$4:$K$4503,_imp!$C$610))</f>
        <v/>
      </c>
    </row>
    <row r="609">
      <c r="A609" s="54">
        <f>IF(_imp!$C$611="","",INDEX(_imp!$D$4:$D$4503,_imp!$C$611))</f>
        <v/>
      </c>
      <c r="B609" s="54">
        <f>IF(_imp!$C$611="","",INDEX(_imp!$E$4:$E$4503,_imp!$C$611))</f>
        <v/>
      </c>
      <c r="C609" s="54">
        <f>IF(_imp!$C$611="","",INDEX(_imp!$F$4:$F$4503,_imp!$C$611))</f>
        <v/>
      </c>
      <c r="D609" s="54">
        <f>IF(_imp!$C$611="","",INDEX(_imp!$G$4:$G$4503,_imp!$C$611))</f>
        <v/>
      </c>
      <c r="E609" s="54">
        <f>IF(_imp!$C$611="","",INDEX(_imp!$H$4:$H$4503,_imp!$C$611))</f>
        <v/>
      </c>
      <c r="F609" s="54">
        <f>IF(_imp!$C$611="","",INDEX(_imp!$I$4:$I$4503,_imp!$C$611))</f>
        <v/>
      </c>
      <c r="G609" s="54">
        <f>IF(_imp!$C$611="","",INDEX(_imp!$J$4:$J$4503,_imp!$C$611))</f>
        <v/>
      </c>
      <c r="K609" s="54">
        <f>IF(_imp!$C$611="","",INDEX(_imp!$K$4:$K$4503,_imp!$C$611))</f>
        <v/>
      </c>
    </row>
    <row r="610">
      <c r="A610" s="54">
        <f>IF(_imp!$C$612="","",INDEX(_imp!$D$4:$D$4503,_imp!$C$612))</f>
        <v/>
      </c>
      <c r="B610" s="54">
        <f>IF(_imp!$C$612="","",INDEX(_imp!$E$4:$E$4503,_imp!$C$612))</f>
        <v/>
      </c>
      <c r="C610" s="54">
        <f>IF(_imp!$C$612="","",INDEX(_imp!$F$4:$F$4503,_imp!$C$612))</f>
        <v/>
      </c>
      <c r="D610" s="54">
        <f>IF(_imp!$C$612="","",INDEX(_imp!$G$4:$G$4503,_imp!$C$612))</f>
        <v/>
      </c>
      <c r="E610" s="54">
        <f>IF(_imp!$C$612="","",INDEX(_imp!$H$4:$H$4503,_imp!$C$612))</f>
        <v/>
      </c>
      <c r="F610" s="54">
        <f>IF(_imp!$C$612="","",INDEX(_imp!$I$4:$I$4503,_imp!$C$612))</f>
        <v/>
      </c>
      <c r="G610" s="54">
        <f>IF(_imp!$C$612="","",INDEX(_imp!$J$4:$J$4503,_imp!$C$612))</f>
        <v/>
      </c>
      <c r="K610" s="54">
        <f>IF(_imp!$C$612="","",INDEX(_imp!$K$4:$K$4503,_imp!$C$612))</f>
        <v/>
      </c>
    </row>
    <row r="611">
      <c r="A611" s="54">
        <f>IF(_imp!$C$613="","",INDEX(_imp!$D$4:$D$4503,_imp!$C$613))</f>
        <v/>
      </c>
      <c r="B611" s="54">
        <f>IF(_imp!$C$613="","",INDEX(_imp!$E$4:$E$4503,_imp!$C$613))</f>
        <v/>
      </c>
      <c r="C611" s="54">
        <f>IF(_imp!$C$613="","",INDEX(_imp!$F$4:$F$4503,_imp!$C$613))</f>
        <v/>
      </c>
      <c r="D611" s="54">
        <f>IF(_imp!$C$613="","",INDEX(_imp!$G$4:$G$4503,_imp!$C$613))</f>
        <v/>
      </c>
      <c r="E611" s="54">
        <f>IF(_imp!$C$613="","",INDEX(_imp!$H$4:$H$4503,_imp!$C$613))</f>
        <v/>
      </c>
      <c r="F611" s="54">
        <f>IF(_imp!$C$613="","",INDEX(_imp!$I$4:$I$4503,_imp!$C$613))</f>
        <v/>
      </c>
      <c r="G611" s="54">
        <f>IF(_imp!$C$613="","",INDEX(_imp!$J$4:$J$4503,_imp!$C$613))</f>
        <v/>
      </c>
      <c r="K611" s="54">
        <f>IF(_imp!$C$613="","",INDEX(_imp!$K$4:$K$4503,_imp!$C$613))</f>
        <v/>
      </c>
    </row>
    <row r="612">
      <c r="A612" s="54">
        <f>IF(_imp!$C$614="","",INDEX(_imp!$D$4:$D$4503,_imp!$C$614))</f>
        <v/>
      </c>
      <c r="B612" s="54">
        <f>IF(_imp!$C$614="","",INDEX(_imp!$E$4:$E$4503,_imp!$C$614))</f>
        <v/>
      </c>
      <c r="C612" s="54">
        <f>IF(_imp!$C$614="","",INDEX(_imp!$F$4:$F$4503,_imp!$C$614))</f>
        <v/>
      </c>
      <c r="D612" s="54">
        <f>IF(_imp!$C$614="","",INDEX(_imp!$G$4:$G$4503,_imp!$C$614))</f>
        <v/>
      </c>
      <c r="E612" s="54">
        <f>IF(_imp!$C$614="","",INDEX(_imp!$H$4:$H$4503,_imp!$C$614))</f>
        <v/>
      </c>
      <c r="F612" s="54">
        <f>IF(_imp!$C$614="","",INDEX(_imp!$I$4:$I$4503,_imp!$C$614))</f>
        <v/>
      </c>
      <c r="G612" s="54">
        <f>IF(_imp!$C$614="","",INDEX(_imp!$J$4:$J$4503,_imp!$C$614))</f>
        <v/>
      </c>
      <c r="K612" s="54">
        <f>IF(_imp!$C$614="","",INDEX(_imp!$K$4:$K$4503,_imp!$C$614))</f>
        <v/>
      </c>
    </row>
    <row r="613">
      <c r="A613" s="54">
        <f>IF(_imp!$C$615="","",INDEX(_imp!$D$4:$D$4503,_imp!$C$615))</f>
        <v/>
      </c>
      <c r="B613" s="54">
        <f>IF(_imp!$C$615="","",INDEX(_imp!$E$4:$E$4503,_imp!$C$615))</f>
        <v/>
      </c>
      <c r="C613" s="54">
        <f>IF(_imp!$C$615="","",INDEX(_imp!$F$4:$F$4503,_imp!$C$615))</f>
        <v/>
      </c>
      <c r="D613" s="54">
        <f>IF(_imp!$C$615="","",INDEX(_imp!$G$4:$G$4503,_imp!$C$615))</f>
        <v/>
      </c>
      <c r="E613" s="54">
        <f>IF(_imp!$C$615="","",INDEX(_imp!$H$4:$H$4503,_imp!$C$615))</f>
        <v/>
      </c>
      <c r="F613" s="54">
        <f>IF(_imp!$C$615="","",INDEX(_imp!$I$4:$I$4503,_imp!$C$615))</f>
        <v/>
      </c>
      <c r="G613" s="54">
        <f>IF(_imp!$C$615="","",INDEX(_imp!$J$4:$J$4503,_imp!$C$615))</f>
        <v/>
      </c>
      <c r="K613" s="54">
        <f>IF(_imp!$C$615="","",INDEX(_imp!$K$4:$K$4503,_imp!$C$615))</f>
        <v/>
      </c>
    </row>
    <row r="614">
      <c r="A614" s="54">
        <f>IF(_imp!$C$616="","",INDEX(_imp!$D$4:$D$4503,_imp!$C$616))</f>
        <v/>
      </c>
      <c r="B614" s="54">
        <f>IF(_imp!$C$616="","",INDEX(_imp!$E$4:$E$4503,_imp!$C$616))</f>
        <v/>
      </c>
      <c r="C614" s="54">
        <f>IF(_imp!$C$616="","",INDEX(_imp!$F$4:$F$4503,_imp!$C$616))</f>
        <v/>
      </c>
      <c r="D614" s="54">
        <f>IF(_imp!$C$616="","",INDEX(_imp!$G$4:$G$4503,_imp!$C$616))</f>
        <v/>
      </c>
      <c r="E614" s="54">
        <f>IF(_imp!$C$616="","",INDEX(_imp!$H$4:$H$4503,_imp!$C$616))</f>
        <v/>
      </c>
      <c r="F614" s="54">
        <f>IF(_imp!$C$616="","",INDEX(_imp!$I$4:$I$4503,_imp!$C$616))</f>
        <v/>
      </c>
      <c r="G614" s="54">
        <f>IF(_imp!$C$616="","",INDEX(_imp!$J$4:$J$4503,_imp!$C$616))</f>
        <v/>
      </c>
      <c r="K614" s="54">
        <f>IF(_imp!$C$616="","",INDEX(_imp!$K$4:$K$4503,_imp!$C$616))</f>
        <v/>
      </c>
    </row>
    <row r="615">
      <c r="A615" s="54">
        <f>IF(_imp!$C$617="","",INDEX(_imp!$D$4:$D$4503,_imp!$C$617))</f>
        <v/>
      </c>
      <c r="B615" s="54">
        <f>IF(_imp!$C$617="","",INDEX(_imp!$E$4:$E$4503,_imp!$C$617))</f>
        <v/>
      </c>
      <c r="C615" s="54">
        <f>IF(_imp!$C$617="","",INDEX(_imp!$F$4:$F$4503,_imp!$C$617))</f>
        <v/>
      </c>
      <c r="D615" s="54">
        <f>IF(_imp!$C$617="","",INDEX(_imp!$G$4:$G$4503,_imp!$C$617))</f>
        <v/>
      </c>
      <c r="E615" s="54">
        <f>IF(_imp!$C$617="","",INDEX(_imp!$H$4:$H$4503,_imp!$C$617))</f>
        <v/>
      </c>
      <c r="F615" s="54">
        <f>IF(_imp!$C$617="","",INDEX(_imp!$I$4:$I$4503,_imp!$C$617))</f>
        <v/>
      </c>
      <c r="G615" s="54">
        <f>IF(_imp!$C$617="","",INDEX(_imp!$J$4:$J$4503,_imp!$C$617))</f>
        <v/>
      </c>
      <c r="K615" s="54">
        <f>IF(_imp!$C$617="","",INDEX(_imp!$K$4:$K$4503,_imp!$C$617))</f>
        <v/>
      </c>
    </row>
    <row r="616">
      <c r="A616" s="54">
        <f>IF(_imp!$C$618="","",INDEX(_imp!$D$4:$D$4503,_imp!$C$618))</f>
        <v/>
      </c>
      <c r="B616" s="54">
        <f>IF(_imp!$C$618="","",INDEX(_imp!$E$4:$E$4503,_imp!$C$618))</f>
        <v/>
      </c>
      <c r="C616" s="54">
        <f>IF(_imp!$C$618="","",INDEX(_imp!$F$4:$F$4503,_imp!$C$618))</f>
        <v/>
      </c>
      <c r="D616" s="54">
        <f>IF(_imp!$C$618="","",INDEX(_imp!$G$4:$G$4503,_imp!$C$618))</f>
        <v/>
      </c>
      <c r="E616" s="54">
        <f>IF(_imp!$C$618="","",INDEX(_imp!$H$4:$H$4503,_imp!$C$618))</f>
        <v/>
      </c>
      <c r="F616" s="54">
        <f>IF(_imp!$C$618="","",INDEX(_imp!$I$4:$I$4503,_imp!$C$618))</f>
        <v/>
      </c>
      <c r="G616" s="54">
        <f>IF(_imp!$C$618="","",INDEX(_imp!$J$4:$J$4503,_imp!$C$618))</f>
        <v/>
      </c>
      <c r="K616" s="54">
        <f>IF(_imp!$C$618="","",INDEX(_imp!$K$4:$K$4503,_imp!$C$618))</f>
        <v/>
      </c>
    </row>
    <row r="617">
      <c r="A617" s="54">
        <f>IF(_imp!$C$619="","",INDEX(_imp!$D$4:$D$4503,_imp!$C$619))</f>
        <v/>
      </c>
      <c r="B617" s="54">
        <f>IF(_imp!$C$619="","",INDEX(_imp!$E$4:$E$4503,_imp!$C$619))</f>
        <v/>
      </c>
      <c r="C617" s="54">
        <f>IF(_imp!$C$619="","",INDEX(_imp!$F$4:$F$4503,_imp!$C$619))</f>
        <v/>
      </c>
      <c r="D617" s="54">
        <f>IF(_imp!$C$619="","",INDEX(_imp!$G$4:$G$4503,_imp!$C$619))</f>
        <v/>
      </c>
      <c r="E617" s="54">
        <f>IF(_imp!$C$619="","",INDEX(_imp!$H$4:$H$4503,_imp!$C$619))</f>
        <v/>
      </c>
      <c r="F617" s="54">
        <f>IF(_imp!$C$619="","",INDEX(_imp!$I$4:$I$4503,_imp!$C$619))</f>
        <v/>
      </c>
      <c r="G617" s="54">
        <f>IF(_imp!$C$619="","",INDEX(_imp!$J$4:$J$4503,_imp!$C$619))</f>
        <v/>
      </c>
      <c r="K617" s="54">
        <f>IF(_imp!$C$619="","",INDEX(_imp!$K$4:$K$4503,_imp!$C$619))</f>
        <v/>
      </c>
    </row>
    <row r="618">
      <c r="A618" s="54">
        <f>IF(_imp!$C$620="","",INDEX(_imp!$D$4:$D$4503,_imp!$C$620))</f>
        <v/>
      </c>
      <c r="B618" s="54">
        <f>IF(_imp!$C$620="","",INDEX(_imp!$E$4:$E$4503,_imp!$C$620))</f>
        <v/>
      </c>
      <c r="C618" s="54">
        <f>IF(_imp!$C$620="","",INDEX(_imp!$F$4:$F$4503,_imp!$C$620))</f>
        <v/>
      </c>
      <c r="D618" s="54">
        <f>IF(_imp!$C$620="","",INDEX(_imp!$G$4:$G$4503,_imp!$C$620))</f>
        <v/>
      </c>
      <c r="E618" s="54">
        <f>IF(_imp!$C$620="","",INDEX(_imp!$H$4:$H$4503,_imp!$C$620))</f>
        <v/>
      </c>
      <c r="F618" s="54">
        <f>IF(_imp!$C$620="","",INDEX(_imp!$I$4:$I$4503,_imp!$C$620))</f>
        <v/>
      </c>
      <c r="G618" s="54">
        <f>IF(_imp!$C$620="","",INDEX(_imp!$J$4:$J$4503,_imp!$C$620))</f>
        <v/>
      </c>
      <c r="K618" s="54">
        <f>IF(_imp!$C$620="","",INDEX(_imp!$K$4:$K$4503,_imp!$C$620))</f>
        <v/>
      </c>
    </row>
    <row r="619">
      <c r="A619" s="54">
        <f>IF(_imp!$C$621="","",INDEX(_imp!$D$4:$D$4503,_imp!$C$621))</f>
        <v/>
      </c>
      <c r="B619" s="54">
        <f>IF(_imp!$C$621="","",INDEX(_imp!$E$4:$E$4503,_imp!$C$621))</f>
        <v/>
      </c>
      <c r="C619" s="54">
        <f>IF(_imp!$C$621="","",INDEX(_imp!$F$4:$F$4503,_imp!$C$621))</f>
        <v/>
      </c>
      <c r="D619" s="54">
        <f>IF(_imp!$C$621="","",INDEX(_imp!$G$4:$G$4503,_imp!$C$621))</f>
        <v/>
      </c>
      <c r="E619" s="54">
        <f>IF(_imp!$C$621="","",INDEX(_imp!$H$4:$H$4503,_imp!$C$621))</f>
        <v/>
      </c>
      <c r="F619" s="54">
        <f>IF(_imp!$C$621="","",INDEX(_imp!$I$4:$I$4503,_imp!$C$621))</f>
        <v/>
      </c>
      <c r="G619" s="54">
        <f>IF(_imp!$C$621="","",INDEX(_imp!$J$4:$J$4503,_imp!$C$621))</f>
        <v/>
      </c>
      <c r="K619" s="54">
        <f>IF(_imp!$C$621="","",INDEX(_imp!$K$4:$K$4503,_imp!$C$621))</f>
        <v/>
      </c>
    </row>
    <row r="620">
      <c r="A620" s="54">
        <f>IF(_imp!$C$622="","",INDEX(_imp!$D$4:$D$4503,_imp!$C$622))</f>
        <v/>
      </c>
      <c r="B620" s="54">
        <f>IF(_imp!$C$622="","",INDEX(_imp!$E$4:$E$4503,_imp!$C$622))</f>
        <v/>
      </c>
      <c r="C620" s="54">
        <f>IF(_imp!$C$622="","",INDEX(_imp!$F$4:$F$4503,_imp!$C$622))</f>
        <v/>
      </c>
      <c r="D620" s="54">
        <f>IF(_imp!$C$622="","",INDEX(_imp!$G$4:$G$4503,_imp!$C$622))</f>
        <v/>
      </c>
      <c r="E620" s="54">
        <f>IF(_imp!$C$622="","",INDEX(_imp!$H$4:$H$4503,_imp!$C$622))</f>
        <v/>
      </c>
      <c r="F620" s="54">
        <f>IF(_imp!$C$622="","",INDEX(_imp!$I$4:$I$4503,_imp!$C$622))</f>
        <v/>
      </c>
      <c r="G620" s="54">
        <f>IF(_imp!$C$622="","",INDEX(_imp!$J$4:$J$4503,_imp!$C$622))</f>
        <v/>
      </c>
      <c r="K620" s="54">
        <f>IF(_imp!$C$622="","",INDEX(_imp!$K$4:$K$4503,_imp!$C$622))</f>
        <v/>
      </c>
    </row>
    <row r="621">
      <c r="A621" s="54">
        <f>IF(_imp!$C$623="","",INDEX(_imp!$D$4:$D$4503,_imp!$C$623))</f>
        <v/>
      </c>
      <c r="B621" s="54">
        <f>IF(_imp!$C$623="","",INDEX(_imp!$E$4:$E$4503,_imp!$C$623))</f>
        <v/>
      </c>
      <c r="C621" s="54">
        <f>IF(_imp!$C$623="","",INDEX(_imp!$F$4:$F$4503,_imp!$C$623))</f>
        <v/>
      </c>
      <c r="D621" s="54">
        <f>IF(_imp!$C$623="","",INDEX(_imp!$G$4:$G$4503,_imp!$C$623))</f>
        <v/>
      </c>
      <c r="E621" s="54">
        <f>IF(_imp!$C$623="","",INDEX(_imp!$H$4:$H$4503,_imp!$C$623))</f>
        <v/>
      </c>
      <c r="F621" s="54">
        <f>IF(_imp!$C$623="","",INDEX(_imp!$I$4:$I$4503,_imp!$C$623))</f>
        <v/>
      </c>
      <c r="G621" s="54">
        <f>IF(_imp!$C$623="","",INDEX(_imp!$J$4:$J$4503,_imp!$C$623))</f>
        <v/>
      </c>
      <c r="K621" s="54">
        <f>IF(_imp!$C$623="","",INDEX(_imp!$K$4:$K$4503,_imp!$C$623))</f>
        <v/>
      </c>
    </row>
    <row r="622">
      <c r="A622" s="54">
        <f>IF(_imp!$C$624="","",INDEX(_imp!$D$4:$D$4503,_imp!$C$624))</f>
        <v/>
      </c>
      <c r="B622" s="54">
        <f>IF(_imp!$C$624="","",INDEX(_imp!$E$4:$E$4503,_imp!$C$624))</f>
        <v/>
      </c>
      <c r="C622" s="54">
        <f>IF(_imp!$C$624="","",INDEX(_imp!$F$4:$F$4503,_imp!$C$624))</f>
        <v/>
      </c>
      <c r="D622" s="54">
        <f>IF(_imp!$C$624="","",INDEX(_imp!$G$4:$G$4503,_imp!$C$624))</f>
        <v/>
      </c>
      <c r="E622" s="54">
        <f>IF(_imp!$C$624="","",INDEX(_imp!$H$4:$H$4503,_imp!$C$624))</f>
        <v/>
      </c>
      <c r="F622" s="54">
        <f>IF(_imp!$C$624="","",INDEX(_imp!$I$4:$I$4503,_imp!$C$624))</f>
        <v/>
      </c>
      <c r="G622" s="54">
        <f>IF(_imp!$C$624="","",INDEX(_imp!$J$4:$J$4503,_imp!$C$624))</f>
        <v/>
      </c>
      <c r="K622" s="54">
        <f>IF(_imp!$C$624="","",INDEX(_imp!$K$4:$K$4503,_imp!$C$624))</f>
        <v/>
      </c>
    </row>
    <row r="623">
      <c r="A623" s="54">
        <f>IF(_imp!$C$625="","",INDEX(_imp!$D$4:$D$4503,_imp!$C$625))</f>
        <v/>
      </c>
      <c r="B623" s="54">
        <f>IF(_imp!$C$625="","",INDEX(_imp!$E$4:$E$4503,_imp!$C$625))</f>
        <v/>
      </c>
      <c r="C623" s="54">
        <f>IF(_imp!$C$625="","",INDEX(_imp!$F$4:$F$4503,_imp!$C$625))</f>
        <v/>
      </c>
      <c r="D623" s="54">
        <f>IF(_imp!$C$625="","",INDEX(_imp!$G$4:$G$4503,_imp!$C$625))</f>
        <v/>
      </c>
      <c r="E623" s="54">
        <f>IF(_imp!$C$625="","",INDEX(_imp!$H$4:$H$4503,_imp!$C$625))</f>
        <v/>
      </c>
      <c r="F623" s="54">
        <f>IF(_imp!$C$625="","",INDEX(_imp!$I$4:$I$4503,_imp!$C$625))</f>
        <v/>
      </c>
      <c r="G623" s="54">
        <f>IF(_imp!$C$625="","",INDEX(_imp!$J$4:$J$4503,_imp!$C$625))</f>
        <v/>
      </c>
      <c r="K623" s="54">
        <f>IF(_imp!$C$625="","",INDEX(_imp!$K$4:$K$4503,_imp!$C$625))</f>
        <v/>
      </c>
    </row>
    <row r="624">
      <c r="A624" s="54">
        <f>IF(_imp!$C$626="","",INDEX(_imp!$D$4:$D$4503,_imp!$C$626))</f>
        <v/>
      </c>
      <c r="B624" s="54">
        <f>IF(_imp!$C$626="","",INDEX(_imp!$E$4:$E$4503,_imp!$C$626))</f>
        <v/>
      </c>
      <c r="C624" s="54">
        <f>IF(_imp!$C$626="","",INDEX(_imp!$F$4:$F$4503,_imp!$C$626))</f>
        <v/>
      </c>
      <c r="D624" s="54">
        <f>IF(_imp!$C$626="","",INDEX(_imp!$G$4:$G$4503,_imp!$C$626))</f>
        <v/>
      </c>
      <c r="E624" s="54">
        <f>IF(_imp!$C$626="","",INDEX(_imp!$H$4:$H$4503,_imp!$C$626))</f>
        <v/>
      </c>
      <c r="F624" s="54">
        <f>IF(_imp!$C$626="","",INDEX(_imp!$I$4:$I$4503,_imp!$C$626))</f>
        <v/>
      </c>
      <c r="G624" s="54">
        <f>IF(_imp!$C$626="","",INDEX(_imp!$J$4:$J$4503,_imp!$C$626))</f>
        <v/>
      </c>
      <c r="K624" s="54">
        <f>IF(_imp!$C$626="","",INDEX(_imp!$K$4:$K$4503,_imp!$C$626))</f>
        <v/>
      </c>
    </row>
    <row r="625">
      <c r="A625" s="54">
        <f>IF(_imp!$C$627="","",INDEX(_imp!$D$4:$D$4503,_imp!$C$627))</f>
        <v/>
      </c>
      <c r="B625" s="54">
        <f>IF(_imp!$C$627="","",INDEX(_imp!$E$4:$E$4503,_imp!$C$627))</f>
        <v/>
      </c>
      <c r="C625" s="54">
        <f>IF(_imp!$C$627="","",INDEX(_imp!$F$4:$F$4503,_imp!$C$627))</f>
        <v/>
      </c>
      <c r="D625" s="54">
        <f>IF(_imp!$C$627="","",INDEX(_imp!$G$4:$G$4503,_imp!$C$627))</f>
        <v/>
      </c>
      <c r="E625" s="54">
        <f>IF(_imp!$C$627="","",INDEX(_imp!$H$4:$H$4503,_imp!$C$627))</f>
        <v/>
      </c>
      <c r="F625" s="54">
        <f>IF(_imp!$C$627="","",INDEX(_imp!$I$4:$I$4503,_imp!$C$627))</f>
        <v/>
      </c>
      <c r="G625" s="54">
        <f>IF(_imp!$C$627="","",INDEX(_imp!$J$4:$J$4503,_imp!$C$627))</f>
        <v/>
      </c>
      <c r="K625" s="54">
        <f>IF(_imp!$C$627="","",INDEX(_imp!$K$4:$K$4503,_imp!$C$627))</f>
        <v/>
      </c>
    </row>
    <row r="626">
      <c r="A626" s="54">
        <f>IF(_imp!$C$628="","",INDEX(_imp!$D$4:$D$4503,_imp!$C$628))</f>
        <v/>
      </c>
      <c r="B626" s="54">
        <f>IF(_imp!$C$628="","",INDEX(_imp!$E$4:$E$4503,_imp!$C$628))</f>
        <v/>
      </c>
      <c r="C626" s="54">
        <f>IF(_imp!$C$628="","",INDEX(_imp!$F$4:$F$4503,_imp!$C$628))</f>
        <v/>
      </c>
      <c r="D626" s="54">
        <f>IF(_imp!$C$628="","",INDEX(_imp!$G$4:$G$4503,_imp!$C$628))</f>
        <v/>
      </c>
      <c r="E626" s="54">
        <f>IF(_imp!$C$628="","",INDEX(_imp!$H$4:$H$4503,_imp!$C$628))</f>
        <v/>
      </c>
      <c r="F626" s="54">
        <f>IF(_imp!$C$628="","",INDEX(_imp!$I$4:$I$4503,_imp!$C$628))</f>
        <v/>
      </c>
      <c r="G626" s="54">
        <f>IF(_imp!$C$628="","",INDEX(_imp!$J$4:$J$4503,_imp!$C$628))</f>
        <v/>
      </c>
      <c r="K626" s="54">
        <f>IF(_imp!$C$628="","",INDEX(_imp!$K$4:$K$4503,_imp!$C$628))</f>
        <v/>
      </c>
    </row>
    <row r="627">
      <c r="A627" s="54">
        <f>IF(_imp!$C$629="","",INDEX(_imp!$D$4:$D$4503,_imp!$C$629))</f>
        <v/>
      </c>
      <c r="B627" s="54">
        <f>IF(_imp!$C$629="","",INDEX(_imp!$E$4:$E$4503,_imp!$C$629))</f>
        <v/>
      </c>
      <c r="C627" s="54">
        <f>IF(_imp!$C$629="","",INDEX(_imp!$F$4:$F$4503,_imp!$C$629))</f>
        <v/>
      </c>
      <c r="D627" s="54">
        <f>IF(_imp!$C$629="","",INDEX(_imp!$G$4:$G$4503,_imp!$C$629))</f>
        <v/>
      </c>
      <c r="E627" s="54">
        <f>IF(_imp!$C$629="","",INDEX(_imp!$H$4:$H$4503,_imp!$C$629))</f>
        <v/>
      </c>
      <c r="F627" s="54">
        <f>IF(_imp!$C$629="","",INDEX(_imp!$I$4:$I$4503,_imp!$C$629))</f>
        <v/>
      </c>
      <c r="G627" s="54">
        <f>IF(_imp!$C$629="","",INDEX(_imp!$J$4:$J$4503,_imp!$C$629))</f>
        <v/>
      </c>
      <c r="K627" s="54">
        <f>IF(_imp!$C$629="","",INDEX(_imp!$K$4:$K$4503,_imp!$C$629))</f>
        <v/>
      </c>
    </row>
    <row r="628">
      <c r="A628" s="54">
        <f>IF(_imp!$C$630="","",INDEX(_imp!$D$4:$D$4503,_imp!$C$630))</f>
        <v/>
      </c>
      <c r="B628" s="54">
        <f>IF(_imp!$C$630="","",INDEX(_imp!$E$4:$E$4503,_imp!$C$630))</f>
        <v/>
      </c>
      <c r="C628" s="54">
        <f>IF(_imp!$C$630="","",INDEX(_imp!$F$4:$F$4503,_imp!$C$630))</f>
        <v/>
      </c>
      <c r="D628" s="54">
        <f>IF(_imp!$C$630="","",INDEX(_imp!$G$4:$G$4503,_imp!$C$630))</f>
        <v/>
      </c>
      <c r="E628" s="54">
        <f>IF(_imp!$C$630="","",INDEX(_imp!$H$4:$H$4503,_imp!$C$630))</f>
        <v/>
      </c>
      <c r="F628" s="54">
        <f>IF(_imp!$C$630="","",INDEX(_imp!$I$4:$I$4503,_imp!$C$630))</f>
        <v/>
      </c>
      <c r="G628" s="54">
        <f>IF(_imp!$C$630="","",INDEX(_imp!$J$4:$J$4503,_imp!$C$630))</f>
        <v/>
      </c>
      <c r="K628" s="54">
        <f>IF(_imp!$C$630="","",INDEX(_imp!$K$4:$K$4503,_imp!$C$630))</f>
        <v/>
      </c>
    </row>
    <row r="629">
      <c r="A629" s="54">
        <f>IF(_imp!$C$631="","",INDEX(_imp!$D$4:$D$4503,_imp!$C$631))</f>
        <v/>
      </c>
      <c r="B629" s="54">
        <f>IF(_imp!$C$631="","",INDEX(_imp!$E$4:$E$4503,_imp!$C$631))</f>
        <v/>
      </c>
      <c r="C629" s="54">
        <f>IF(_imp!$C$631="","",INDEX(_imp!$F$4:$F$4503,_imp!$C$631))</f>
        <v/>
      </c>
      <c r="D629" s="54">
        <f>IF(_imp!$C$631="","",INDEX(_imp!$G$4:$G$4503,_imp!$C$631))</f>
        <v/>
      </c>
      <c r="E629" s="54">
        <f>IF(_imp!$C$631="","",INDEX(_imp!$H$4:$H$4503,_imp!$C$631))</f>
        <v/>
      </c>
      <c r="F629" s="54">
        <f>IF(_imp!$C$631="","",INDEX(_imp!$I$4:$I$4503,_imp!$C$631))</f>
        <v/>
      </c>
      <c r="G629" s="54">
        <f>IF(_imp!$C$631="","",INDEX(_imp!$J$4:$J$4503,_imp!$C$631))</f>
        <v/>
      </c>
      <c r="K629" s="54">
        <f>IF(_imp!$C$631="","",INDEX(_imp!$K$4:$K$4503,_imp!$C$631))</f>
        <v/>
      </c>
    </row>
    <row r="630">
      <c r="A630" s="54">
        <f>IF(_imp!$C$632="","",INDEX(_imp!$D$4:$D$4503,_imp!$C$632))</f>
        <v/>
      </c>
      <c r="B630" s="54">
        <f>IF(_imp!$C$632="","",INDEX(_imp!$E$4:$E$4503,_imp!$C$632))</f>
        <v/>
      </c>
      <c r="C630" s="54">
        <f>IF(_imp!$C$632="","",INDEX(_imp!$F$4:$F$4503,_imp!$C$632))</f>
        <v/>
      </c>
      <c r="D630" s="54">
        <f>IF(_imp!$C$632="","",INDEX(_imp!$G$4:$G$4503,_imp!$C$632))</f>
        <v/>
      </c>
      <c r="E630" s="54">
        <f>IF(_imp!$C$632="","",INDEX(_imp!$H$4:$H$4503,_imp!$C$632))</f>
        <v/>
      </c>
      <c r="F630" s="54">
        <f>IF(_imp!$C$632="","",INDEX(_imp!$I$4:$I$4503,_imp!$C$632))</f>
        <v/>
      </c>
      <c r="G630" s="54">
        <f>IF(_imp!$C$632="","",INDEX(_imp!$J$4:$J$4503,_imp!$C$632))</f>
        <v/>
      </c>
      <c r="K630" s="54">
        <f>IF(_imp!$C$632="","",INDEX(_imp!$K$4:$K$4503,_imp!$C$632))</f>
        <v/>
      </c>
    </row>
    <row r="631">
      <c r="A631" s="54">
        <f>IF(_imp!$C$633="","",INDEX(_imp!$D$4:$D$4503,_imp!$C$633))</f>
        <v/>
      </c>
      <c r="B631" s="54">
        <f>IF(_imp!$C$633="","",INDEX(_imp!$E$4:$E$4503,_imp!$C$633))</f>
        <v/>
      </c>
      <c r="C631" s="54">
        <f>IF(_imp!$C$633="","",INDEX(_imp!$F$4:$F$4503,_imp!$C$633))</f>
        <v/>
      </c>
      <c r="D631" s="54">
        <f>IF(_imp!$C$633="","",INDEX(_imp!$G$4:$G$4503,_imp!$C$633))</f>
        <v/>
      </c>
      <c r="E631" s="54">
        <f>IF(_imp!$C$633="","",INDEX(_imp!$H$4:$H$4503,_imp!$C$633))</f>
        <v/>
      </c>
      <c r="F631" s="54">
        <f>IF(_imp!$C$633="","",INDEX(_imp!$I$4:$I$4503,_imp!$C$633))</f>
        <v/>
      </c>
      <c r="G631" s="54">
        <f>IF(_imp!$C$633="","",INDEX(_imp!$J$4:$J$4503,_imp!$C$633))</f>
        <v/>
      </c>
      <c r="K631" s="54">
        <f>IF(_imp!$C$633="","",INDEX(_imp!$K$4:$K$4503,_imp!$C$633))</f>
        <v/>
      </c>
    </row>
    <row r="632">
      <c r="A632" s="54">
        <f>IF(_imp!$C$634="","",INDEX(_imp!$D$4:$D$4503,_imp!$C$634))</f>
        <v/>
      </c>
      <c r="B632" s="54">
        <f>IF(_imp!$C$634="","",INDEX(_imp!$E$4:$E$4503,_imp!$C$634))</f>
        <v/>
      </c>
      <c r="C632" s="54">
        <f>IF(_imp!$C$634="","",INDEX(_imp!$F$4:$F$4503,_imp!$C$634))</f>
        <v/>
      </c>
      <c r="D632" s="54">
        <f>IF(_imp!$C$634="","",INDEX(_imp!$G$4:$G$4503,_imp!$C$634))</f>
        <v/>
      </c>
      <c r="E632" s="54">
        <f>IF(_imp!$C$634="","",INDEX(_imp!$H$4:$H$4503,_imp!$C$634))</f>
        <v/>
      </c>
      <c r="F632" s="54">
        <f>IF(_imp!$C$634="","",INDEX(_imp!$I$4:$I$4503,_imp!$C$634))</f>
        <v/>
      </c>
      <c r="G632" s="54">
        <f>IF(_imp!$C$634="","",INDEX(_imp!$J$4:$J$4503,_imp!$C$634))</f>
        <v/>
      </c>
      <c r="K632" s="54">
        <f>IF(_imp!$C$634="","",INDEX(_imp!$K$4:$K$4503,_imp!$C$634))</f>
        <v/>
      </c>
    </row>
    <row r="633">
      <c r="A633" s="54">
        <f>IF(_imp!$C$635="","",INDEX(_imp!$D$4:$D$4503,_imp!$C$635))</f>
        <v/>
      </c>
      <c r="B633" s="54">
        <f>IF(_imp!$C$635="","",INDEX(_imp!$E$4:$E$4503,_imp!$C$635))</f>
        <v/>
      </c>
      <c r="C633" s="54">
        <f>IF(_imp!$C$635="","",INDEX(_imp!$F$4:$F$4503,_imp!$C$635))</f>
        <v/>
      </c>
      <c r="D633" s="54">
        <f>IF(_imp!$C$635="","",INDEX(_imp!$G$4:$G$4503,_imp!$C$635))</f>
        <v/>
      </c>
      <c r="E633" s="54">
        <f>IF(_imp!$C$635="","",INDEX(_imp!$H$4:$H$4503,_imp!$C$635))</f>
        <v/>
      </c>
      <c r="F633" s="54">
        <f>IF(_imp!$C$635="","",INDEX(_imp!$I$4:$I$4503,_imp!$C$635))</f>
        <v/>
      </c>
      <c r="G633" s="54">
        <f>IF(_imp!$C$635="","",INDEX(_imp!$J$4:$J$4503,_imp!$C$635))</f>
        <v/>
      </c>
      <c r="K633" s="54">
        <f>IF(_imp!$C$635="","",INDEX(_imp!$K$4:$K$4503,_imp!$C$635))</f>
        <v/>
      </c>
    </row>
    <row r="634">
      <c r="A634" s="54">
        <f>IF(_imp!$C$636="","",INDEX(_imp!$D$4:$D$4503,_imp!$C$636))</f>
        <v/>
      </c>
      <c r="B634" s="54">
        <f>IF(_imp!$C$636="","",INDEX(_imp!$E$4:$E$4503,_imp!$C$636))</f>
        <v/>
      </c>
      <c r="C634" s="54">
        <f>IF(_imp!$C$636="","",INDEX(_imp!$F$4:$F$4503,_imp!$C$636))</f>
        <v/>
      </c>
      <c r="D634" s="54">
        <f>IF(_imp!$C$636="","",INDEX(_imp!$G$4:$G$4503,_imp!$C$636))</f>
        <v/>
      </c>
      <c r="E634" s="54">
        <f>IF(_imp!$C$636="","",INDEX(_imp!$H$4:$H$4503,_imp!$C$636))</f>
        <v/>
      </c>
      <c r="F634" s="54">
        <f>IF(_imp!$C$636="","",INDEX(_imp!$I$4:$I$4503,_imp!$C$636))</f>
        <v/>
      </c>
      <c r="G634" s="54">
        <f>IF(_imp!$C$636="","",INDEX(_imp!$J$4:$J$4503,_imp!$C$636))</f>
        <v/>
      </c>
      <c r="K634" s="54">
        <f>IF(_imp!$C$636="","",INDEX(_imp!$K$4:$K$4503,_imp!$C$636))</f>
        <v/>
      </c>
    </row>
    <row r="635">
      <c r="A635" s="54">
        <f>IF(_imp!$C$637="","",INDEX(_imp!$D$4:$D$4503,_imp!$C$637))</f>
        <v/>
      </c>
      <c r="B635" s="54">
        <f>IF(_imp!$C$637="","",INDEX(_imp!$E$4:$E$4503,_imp!$C$637))</f>
        <v/>
      </c>
      <c r="C635" s="54">
        <f>IF(_imp!$C$637="","",INDEX(_imp!$F$4:$F$4503,_imp!$C$637))</f>
        <v/>
      </c>
      <c r="D635" s="54">
        <f>IF(_imp!$C$637="","",INDEX(_imp!$G$4:$G$4503,_imp!$C$637))</f>
        <v/>
      </c>
      <c r="E635" s="54">
        <f>IF(_imp!$C$637="","",INDEX(_imp!$H$4:$H$4503,_imp!$C$637))</f>
        <v/>
      </c>
      <c r="F635" s="54">
        <f>IF(_imp!$C$637="","",INDEX(_imp!$I$4:$I$4503,_imp!$C$637))</f>
        <v/>
      </c>
      <c r="G635" s="54">
        <f>IF(_imp!$C$637="","",INDEX(_imp!$J$4:$J$4503,_imp!$C$637))</f>
        <v/>
      </c>
      <c r="K635" s="54">
        <f>IF(_imp!$C$637="","",INDEX(_imp!$K$4:$K$4503,_imp!$C$637))</f>
        <v/>
      </c>
    </row>
    <row r="636">
      <c r="A636" s="54">
        <f>IF(_imp!$C$638="","",INDEX(_imp!$D$4:$D$4503,_imp!$C$638))</f>
        <v/>
      </c>
      <c r="B636" s="54">
        <f>IF(_imp!$C$638="","",INDEX(_imp!$E$4:$E$4503,_imp!$C$638))</f>
        <v/>
      </c>
      <c r="C636" s="54">
        <f>IF(_imp!$C$638="","",INDEX(_imp!$F$4:$F$4503,_imp!$C$638))</f>
        <v/>
      </c>
      <c r="D636" s="54">
        <f>IF(_imp!$C$638="","",INDEX(_imp!$G$4:$G$4503,_imp!$C$638))</f>
        <v/>
      </c>
      <c r="E636" s="54">
        <f>IF(_imp!$C$638="","",INDEX(_imp!$H$4:$H$4503,_imp!$C$638))</f>
        <v/>
      </c>
      <c r="F636" s="54">
        <f>IF(_imp!$C$638="","",INDEX(_imp!$I$4:$I$4503,_imp!$C$638))</f>
        <v/>
      </c>
      <c r="G636" s="54">
        <f>IF(_imp!$C$638="","",INDEX(_imp!$J$4:$J$4503,_imp!$C$638))</f>
        <v/>
      </c>
      <c r="K636" s="54">
        <f>IF(_imp!$C$638="","",INDEX(_imp!$K$4:$K$4503,_imp!$C$638))</f>
        <v/>
      </c>
    </row>
    <row r="637">
      <c r="A637" s="54">
        <f>IF(_imp!$C$639="","",INDEX(_imp!$D$4:$D$4503,_imp!$C$639))</f>
        <v/>
      </c>
      <c r="B637" s="54">
        <f>IF(_imp!$C$639="","",INDEX(_imp!$E$4:$E$4503,_imp!$C$639))</f>
        <v/>
      </c>
      <c r="C637" s="54">
        <f>IF(_imp!$C$639="","",INDEX(_imp!$F$4:$F$4503,_imp!$C$639))</f>
        <v/>
      </c>
      <c r="D637" s="54">
        <f>IF(_imp!$C$639="","",INDEX(_imp!$G$4:$G$4503,_imp!$C$639))</f>
        <v/>
      </c>
      <c r="E637" s="54">
        <f>IF(_imp!$C$639="","",INDEX(_imp!$H$4:$H$4503,_imp!$C$639))</f>
        <v/>
      </c>
      <c r="F637" s="54">
        <f>IF(_imp!$C$639="","",INDEX(_imp!$I$4:$I$4503,_imp!$C$639))</f>
        <v/>
      </c>
      <c r="G637" s="54">
        <f>IF(_imp!$C$639="","",INDEX(_imp!$J$4:$J$4503,_imp!$C$639))</f>
        <v/>
      </c>
      <c r="K637" s="54">
        <f>IF(_imp!$C$639="","",INDEX(_imp!$K$4:$K$4503,_imp!$C$639))</f>
        <v/>
      </c>
    </row>
    <row r="638">
      <c r="A638" s="54">
        <f>IF(_imp!$C$640="","",INDEX(_imp!$D$4:$D$4503,_imp!$C$640))</f>
        <v/>
      </c>
      <c r="B638" s="54">
        <f>IF(_imp!$C$640="","",INDEX(_imp!$E$4:$E$4503,_imp!$C$640))</f>
        <v/>
      </c>
      <c r="C638" s="54">
        <f>IF(_imp!$C$640="","",INDEX(_imp!$F$4:$F$4503,_imp!$C$640))</f>
        <v/>
      </c>
      <c r="D638" s="54">
        <f>IF(_imp!$C$640="","",INDEX(_imp!$G$4:$G$4503,_imp!$C$640))</f>
        <v/>
      </c>
      <c r="E638" s="54">
        <f>IF(_imp!$C$640="","",INDEX(_imp!$H$4:$H$4503,_imp!$C$640))</f>
        <v/>
      </c>
      <c r="F638" s="54">
        <f>IF(_imp!$C$640="","",INDEX(_imp!$I$4:$I$4503,_imp!$C$640))</f>
        <v/>
      </c>
      <c r="G638" s="54">
        <f>IF(_imp!$C$640="","",INDEX(_imp!$J$4:$J$4503,_imp!$C$640))</f>
        <v/>
      </c>
      <c r="K638" s="54">
        <f>IF(_imp!$C$640="","",INDEX(_imp!$K$4:$K$4503,_imp!$C$640))</f>
        <v/>
      </c>
    </row>
    <row r="639">
      <c r="A639" s="54">
        <f>IF(_imp!$C$641="","",INDEX(_imp!$D$4:$D$4503,_imp!$C$641))</f>
        <v/>
      </c>
      <c r="B639" s="54">
        <f>IF(_imp!$C$641="","",INDEX(_imp!$E$4:$E$4503,_imp!$C$641))</f>
        <v/>
      </c>
      <c r="C639" s="54">
        <f>IF(_imp!$C$641="","",INDEX(_imp!$F$4:$F$4503,_imp!$C$641))</f>
        <v/>
      </c>
      <c r="D639" s="54">
        <f>IF(_imp!$C$641="","",INDEX(_imp!$G$4:$G$4503,_imp!$C$641))</f>
        <v/>
      </c>
      <c r="E639" s="54">
        <f>IF(_imp!$C$641="","",INDEX(_imp!$H$4:$H$4503,_imp!$C$641))</f>
        <v/>
      </c>
      <c r="F639" s="54">
        <f>IF(_imp!$C$641="","",INDEX(_imp!$I$4:$I$4503,_imp!$C$641))</f>
        <v/>
      </c>
      <c r="G639" s="54">
        <f>IF(_imp!$C$641="","",INDEX(_imp!$J$4:$J$4503,_imp!$C$641))</f>
        <v/>
      </c>
      <c r="K639" s="54">
        <f>IF(_imp!$C$641="","",INDEX(_imp!$K$4:$K$4503,_imp!$C$641))</f>
        <v/>
      </c>
    </row>
    <row r="640">
      <c r="A640" s="54">
        <f>IF(_imp!$C$642="","",INDEX(_imp!$D$4:$D$4503,_imp!$C$642))</f>
        <v/>
      </c>
      <c r="B640" s="54">
        <f>IF(_imp!$C$642="","",INDEX(_imp!$E$4:$E$4503,_imp!$C$642))</f>
        <v/>
      </c>
      <c r="C640" s="54">
        <f>IF(_imp!$C$642="","",INDEX(_imp!$F$4:$F$4503,_imp!$C$642))</f>
        <v/>
      </c>
      <c r="D640" s="54">
        <f>IF(_imp!$C$642="","",INDEX(_imp!$G$4:$G$4503,_imp!$C$642))</f>
        <v/>
      </c>
      <c r="E640" s="54">
        <f>IF(_imp!$C$642="","",INDEX(_imp!$H$4:$H$4503,_imp!$C$642))</f>
        <v/>
      </c>
      <c r="F640" s="54">
        <f>IF(_imp!$C$642="","",INDEX(_imp!$I$4:$I$4503,_imp!$C$642))</f>
        <v/>
      </c>
      <c r="G640" s="54">
        <f>IF(_imp!$C$642="","",INDEX(_imp!$J$4:$J$4503,_imp!$C$642))</f>
        <v/>
      </c>
      <c r="K640" s="54">
        <f>IF(_imp!$C$642="","",INDEX(_imp!$K$4:$K$4503,_imp!$C$642))</f>
        <v/>
      </c>
    </row>
    <row r="641">
      <c r="A641" s="54">
        <f>IF(_imp!$C$643="","",INDEX(_imp!$D$4:$D$4503,_imp!$C$643))</f>
        <v/>
      </c>
      <c r="B641" s="54">
        <f>IF(_imp!$C$643="","",INDEX(_imp!$E$4:$E$4503,_imp!$C$643))</f>
        <v/>
      </c>
      <c r="C641" s="54">
        <f>IF(_imp!$C$643="","",INDEX(_imp!$F$4:$F$4503,_imp!$C$643))</f>
        <v/>
      </c>
      <c r="D641" s="54">
        <f>IF(_imp!$C$643="","",INDEX(_imp!$G$4:$G$4503,_imp!$C$643))</f>
        <v/>
      </c>
      <c r="E641" s="54">
        <f>IF(_imp!$C$643="","",INDEX(_imp!$H$4:$H$4503,_imp!$C$643))</f>
        <v/>
      </c>
      <c r="F641" s="54">
        <f>IF(_imp!$C$643="","",INDEX(_imp!$I$4:$I$4503,_imp!$C$643))</f>
        <v/>
      </c>
      <c r="G641" s="54">
        <f>IF(_imp!$C$643="","",INDEX(_imp!$J$4:$J$4503,_imp!$C$643))</f>
        <v/>
      </c>
      <c r="K641" s="54">
        <f>IF(_imp!$C$643="","",INDEX(_imp!$K$4:$K$4503,_imp!$C$643))</f>
        <v/>
      </c>
    </row>
    <row r="642">
      <c r="A642" s="54">
        <f>IF(_imp!$C$644="","",INDEX(_imp!$D$4:$D$4503,_imp!$C$644))</f>
        <v/>
      </c>
      <c r="B642" s="54">
        <f>IF(_imp!$C$644="","",INDEX(_imp!$E$4:$E$4503,_imp!$C$644))</f>
        <v/>
      </c>
      <c r="C642" s="54">
        <f>IF(_imp!$C$644="","",INDEX(_imp!$F$4:$F$4503,_imp!$C$644))</f>
        <v/>
      </c>
      <c r="D642" s="54">
        <f>IF(_imp!$C$644="","",INDEX(_imp!$G$4:$G$4503,_imp!$C$644))</f>
        <v/>
      </c>
      <c r="E642" s="54">
        <f>IF(_imp!$C$644="","",INDEX(_imp!$H$4:$H$4503,_imp!$C$644))</f>
        <v/>
      </c>
      <c r="F642" s="54">
        <f>IF(_imp!$C$644="","",INDEX(_imp!$I$4:$I$4503,_imp!$C$644))</f>
        <v/>
      </c>
      <c r="G642" s="54">
        <f>IF(_imp!$C$644="","",INDEX(_imp!$J$4:$J$4503,_imp!$C$644))</f>
        <v/>
      </c>
      <c r="K642" s="54">
        <f>IF(_imp!$C$644="","",INDEX(_imp!$K$4:$K$4503,_imp!$C$644))</f>
        <v/>
      </c>
    </row>
    <row r="643">
      <c r="A643" s="54">
        <f>IF(_imp!$C$645="","",INDEX(_imp!$D$4:$D$4503,_imp!$C$645))</f>
        <v/>
      </c>
      <c r="B643" s="54">
        <f>IF(_imp!$C$645="","",INDEX(_imp!$E$4:$E$4503,_imp!$C$645))</f>
        <v/>
      </c>
      <c r="C643" s="54">
        <f>IF(_imp!$C$645="","",INDEX(_imp!$F$4:$F$4503,_imp!$C$645))</f>
        <v/>
      </c>
      <c r="D643" s="54">
        <f>IF(_imp!$C$645="","",INDEX(_imp!$G$4:$G$4503,_imp!$C$645))</f>
        <v/>
      </c>
      <c r="E643" s="54">
        <f>IF(_imp!$C$645="","",INDEX(_imp!$H$4:$H$4503,_imp!$C$645))</f>
        <v/>
      </c>
      <c r="F643" s="54">
        <f>IF(_imp!$C$645="","",INDEX(_imp!$I$4:$I$4503,_imp!$C$645))</f>
        <v/>
      </c>
      <c r="G643" s="54">
        <f>IF(_imp!$C$645="","",INDEX(_imp!$J$4:$J$4503,_imp!$C$645))</f>
        <v/>
      </c>
      <c r="K643" s="54">
        <f>IF(_imp!$C$645="","",INDEX(_imp!$K$4:$K$4503,_imp!$C$645))</f>
        <v/>
      </c>
    </row>
    <row r="644">
      <c r="A644" s="54">
        <f>IF(_imp!$C$646="","",INDEX(_imp!$D$4:$D$4503,_imp!$C$646))</f>
        <v/>
      </c>
      <c r="B644" s="54">
        <f>IF(_imp!$C$646="","",INDEX(_imp!$E$4:$E$4503,_imp!$C$646))</f>
        <v/>
      </c>
      <c r="C644" s="54">
        <f>IF(_imp!$C$646="","",INDEX(_imp!$F$4:$F$4503,_imp!$C$646))</f>
        <v/>
      </c>
      <c r="D644" s="54">
        <f>IF(_imp!$C$646="","",INDEX(_imp!$G$4:$G$4503,_imp!$C$646))</f>
        <v/>
      </c>
      <c r="E644" s="54">
        <f>IF(_imp!$C$646="","",INDEX(_imp!$H$4:$H$4503,_imp!$C$646))</f>
        <v/>
      </c>
      <c r="F644" s="54">
        <f>IF(_imp!$C$646="","",INDEX(_imp!$I$4:$I$4503,_imp!$C$646))</f>
        <v/>
      </c>
      <c r="G644" s="54">
        <f>IF(_imp!$C$646="","",INDEX(_imp!$J$4:$J$4503,_imp!$C$646))</f>
        <v/>
      </c>
      <c r="K644" s="54">
        <f>IF(_imp!$C$646="","",INDEX(_imp!$K$4:$K$4503,_imp!$C$646))</f>
        <v/>
      </c>
    </row>
    <row r="645">
      <c r="A645" s="54">
        <f>IF(_imp!$C$647="","",INDEX(_imp!$D$4:$D$4503,_imp!$C$647))</f>
        <v/>
      </c>
      <c r="B645" s="54">
        <f>IF(_imp!$C$647="","",INDEX(_imp!$E$4:$E$4503,_imp!$C$647))</f>
        <v/>
      </c>
      <c r="C645" s="54">
        <f>IF(_imp!$C$647="","",INDEX(_imp!$F$4:$F$4503,_imp!$C$647))</f>
        <v/>
      </c>
      <c r="D645" s="54">
        <f>IF(_imp!$C$647="","",INDEX(_imp!$G$4:$G$4503,_imp!$C$647))</f>
        <v/>
      </c>
      <c r="E645" s="54">
        <f>IF(_imp!$C$647="","",INDEX(_imp!$H$4:$H$4503,_imp!$C$647))</f>
        <v/>
      </c>
      <c r="F645" s="54">
        <f>IF(_imp!$C$647="","",INDEX(_imp!$I$4:$I$4503,_imp!$C$647))</f>
        <v/>
      </c>
      <c r="G645" s="54">
        <f>IF(_imp!$C$647="","",INDEX(_imp!$J$4:$J$4503,_imp!$C$647))</f>
        <v/>
      </c>
      <c r="K645" s="54">
        <f>IF(_imp!$C$647="","",INDEX(_imp!$K$4:$K$4503,_imp!$C$647))</f>
        <v/>
      </c>
    </row>
    <row r="646">
      <c r="A646" s="54">
        <f>IF(_imp!$C$648="","",INDEX(_imp!$D$4:$D$4503,_imp!$C$648))</f>
        <v/>
      </c>
      <c r="B646" s="54">
        <f>IF(_imp!$C$648="","",INDEX(_imp!$E$4:$E$4503,_imp!$C$648))</f>
        <v/>
      </c>
      <c r="C646" s="54">
        <f>IF(_imp!$C$648="","",INDEX(_imp!$F$4:$F$4503,_imp!$C$648))</f>
        <v/>
      </c>
      <c r="D646" s="54">
        <f>IF(_imp!$C$648="","",INDEX(_imp!$G$4:$G$4503,_imp!$C$648))</f>
        <v/>
      </c>
      <c r="E646" s="54">
        <f>IF(_imp!$C$648="","",INDEX(_imp!$H$4:$H$4503,_imp!$C$648))</f>
        <v/>
      </c>
      <c r="F646" s="54">
        <f>IF(_imp!$C$648="","",INDEX(_imp!$I$4:$I$4503,_imp!$C$648))</f>
        <v/>
      </c>
      <c r="G646" s="54">
        <f>IF(_imp!$C$648="","",INDEX(_imp!$J$4:$J$4503,_imp!$C$648))</f>
        <v/>
      </c>
      <c r="K646" s="54">
        <f>IF(_imp!$C$648="","",INDEX(_imp!$K$4:$K$4503,_imp!$C$648))</f>
        <v/>
      </c>
    </row>
    <row r="647">
      <c r="A647" s="54">
        <f>IF(_imp!$C$649="","",INDEX(_imp!$D$4:$D$4503,_imp!$C$649))</f>
        <v/>
      </c>
      <c r="B647" s="54">
        <f>IF(_imp!$C$649="","",INDEX(_imp!$E$4:$E$4503,_imp!$C$649))</f>
        <v/>
      </c>
      <c r="C647" s="54">
        <f>IF(_imp!$C$649="","",INDEX(_imp!$F$4:$F$4503,_imp!$C$649))</f>
        <v/>
      </c>
      <c r="D647" s="54">
        <f>IF(_imp!$C$649="","",INDEX(_imp!$G$4:$G$4503,_imp!$C$649))</f>
        <v/>
      </c>
      <c r="E647" s="54">
        <f>IF(_imp!$C$649="","",INDEX(_imp!$H$4:$H$4503,_imp!$C$649))</f>
        <v/>
      </c>
      <c r="F647" s="54">
        <f>IF(_imp!$C$649="","",INDEX(_imp!$I$4:$I$4503,_imp!$C$649))</f>
        <v/>
      </c>
      <c r="G647" s="54">
        <f>IF(_imp!$C$649="","",INDEX(_imp!$J$4:$J$4503,_imp!$C$649))</f>
        <v/>
      </c>
      <c r="K647" s="54">
        <f>IF(_imp!$C$649="","",INDEX(_imp!$K$4:$K$4503,_imp!$C$649))</f>
        <v/>
      </c>
    </row>
    <row r="648">
      <c r="A648" s="54">
        <f>IF(_imp!$C$650="","",INDEX(_imp!$D$4:$D$4503,_imp!$C$650))</f>
        <v/>
      </c>
      <c r="B648" s="54">
        <f>IF(_imp!$C$650="","",INDEX(_imp!$E$4:$E$4503,_imp!$C$650))</f>
        <v/>
      </c>
      <c r="C648" s="54">
        <f>IF(_imp!$C$650="","",INDEX(_imp!$F$4:$F$4503,_imp!$C$650))</f>
        <v/>
      </c>
      <c r="D648" s="54">
        <f>IF(_imp!$C$650="","",INDEX(_imp!$G$4:$G$4503,_imp!$C$650))</f>
        <v/>
      </c>
      <c r="E648" s="54">
        <f>IF(_imp!$C$650="","",INDEX(_imp!$H$4:$H$4503,_imp!$C$650))</f>
        <v/>
      </c>
      <c r="F648" s="54">
        <f>IF(_imp!$C$650="","",INDEX(_imp!$I$4:$I$4503,_imp!$C$650))</f>
        <v/>
      </c>
      <c r="G648" s="54">
        <f>IF(_imp!$C$650="","",INDEX(_imp!$J$4:$J$4503,_imp!$C$650))</f>
        <v/>
      </c>
      <c r="K648" s="54">
        <f>IF(_imp!$C$650="","",INDEX(_imp!$K$4:$K$4503,_imp!$C$650))</f>
        <v/>
      </c>
    </row>
    <row r="649">
      <c r="A649" s="54">
        <f>IF(_imp!$C$651="","",INDEX(_imp!$D$4:$D$4503,_imp!$C$651))</f>
        <v/>
      </c>
      <c r="B649" s="54">
        <f>IF(_imp!$C$651="","",INDEX(_imp!$E$4:$E$4503,_imp!$C$651))</f>
        <v/>
      </c>
      <c r="C649" s="54">
        <f>IF(_imp!$C$651="","",INDEX(_imp!$F$4:$F$4503,_imp!$C$651))</f>
        <v/>
      </c>
      <c r="D649" s="54">
        <f>IF(_imp!$C$651="","",INDEX(_imp!$G$4:$G$4503,_imp!$C$651))</f>
        <v/>
      </c>
      <c r="E649" s="54">
        <f>IF(_imp!$C$651="","",INDEX(_imp!$H$4:$H$4503,_imp!$C$651))</f>
        <v/>
      </c>
      <c r="F649" s="54">
        <f>IF(_imp!$C$651="","",INDEX(_imp!$I$4:$I$4503,_imp!$C$651))</f>
        <v/>
      </c>
      <c r="G649" s="54">
        <f>IF(_imp!$C$651="","",INDEX(_imp!$J$4:$J$4503,_imp!$C$651))</f>
        <v/>
      </c>
      <c r="K649" s="54">
        <f>IF(_imp!$C$651="","",INDEX(_imp!$K$4:$K$4503,_imp!$C$651))</f>
        <v/>
      </c>
    </row>
    <row r="650">
      <c r="A650" s="54">
        <f>IF(_imp!$C$652="","",INDEX(_imp!$D$4:$D$4503,_imp!$C$652))</f>
        <v/>
      </c>
      <c r="B650" s="54">
        <f>IF(_imp!$C$652="","",INDEX(_imp!$E$4:$E$4503,_imp!$C$652))</f>
        <v/>
      </c>
      <c r="C650" s="54">
        <f>IF(_imp!$C$652="","",INDEX(_imp!$F$4:$F$4503,_imp!$C$652))</f>
        <v/>
      </c>
      <c r="D650" s="54">
        <f>IF(_imp!$C$652="","",INDEX(_imp!$G$4:$G$4503,_imp!$C$652))</f>
        <v/>
      </c>
      <c r="E650" s="54">
        <f>IF(_imp!$C$652="","",INDEX(_imp!$H$4:$H$4503,_imp!$C$652))</f>
        <v/>
      </c>
      <c r="F650" s="54">
        <f>IF(_imp!$C$652="","",INDEX(_imp!$I$4:$I$4503,_imp!$C$652))</f>
        <v/>
      </c>
      <c r="G650" s="54">
        <f>IF(_imp!$C$652="","",INDEX(_imp!$J$4:$J$4503,_imp!$C$652))</f>
        <v/>
      </c>
      <c r="K650" s="54">
        <f>IF(_imp!$C$652="","",INDEX(_imp!$K$4:$K$4503,_imp!$C$652))</f>
        <v/>
      </c>
    </row>
    <row r="651">
      <c r="A651" s="54">
        <f>IF(_imp!$C$653="","",INDEX(_imp!$D$4:$D$4503,_imp!$C$653))</f>
        <v/>
      </c>
      <c r="B651" s="54">
        <f>IF(_imp!$C$653="","",INDEX(_imp!$E$4:$E$4503,_imp!$C$653))</f>
        <v/>
      </c>
      <c r="C651" s="54">
        <f>IF(_imp!$C$653="","",INDEX(_imp!$F$4:$F$4503,_imp!$C$653))</f>
        <v/>
      </c>
      <c r="D651" s="54">
        <f>IF(_imp!$C$653="","",INDEX(_imp!$G$4:$G$4503,_imp!$C$653))</f>
        <v/>
      </c>
      <c r="E651" s="54">
        <f>IF(_imp!$C$653="","",INDEX(_imp!$H$4:$H$4503,_imp!$C$653))</f>
        <v/>
      </c>
      <c r="F651" s="54">
        <f>IF(_imp!$C$653="","",INDEX(_imp!$I$4:$I$4503,_imp!$C$653))</f>
        <v/>
      </c>
      <c r="G651" s="54">
        <f>IF(_imp!$C$653="","",INDEX(_imp!$J$4:$J$4503,_imp!$C$653))</f>
        <v/>
      </c>
      <c r="K651" s="54">
        <f>IF(_imp!$C$653="","",INDEX(_imp!$K$4:$K$4503,_imp!$C$653))</f>
        <v/>
      </c>
    </row>
    <row r="652">
      <c r="A652" s="54">
        <f>IF(_imp!$C$654="","",INDEX(_imp!$D$4:$D$4503,_imp!$C$654))</f>
        <v/>
      </c>
      <c r="B652" s="54">
        <f>IF(_imp!$C$654="","",INDEX(_imp!$E$4:$E$4503,_imp!$C$654))</f>
        <v/>
      </c>
      <c r="C652" s="54">
        <f>IF(_imp!$C$654="","",INDEX(_imp!$F$4:$F$4503,_imp!$C$654))</f>
        <v/>
      </c>
      <c r="D652" s="54">
        <f>IF(_imp!$C$654="","",INDEX(_imp!$G$4:$G$4503,_imp!$C$654))</f>
        <v/>
      </c>
      <c r="E652" s="54">
        <f>IF(_imp!$C$654="","",INDEX(_imp!$H$4:$H$4503,_imp!$C$654))</f>
        <v/>
      </c>
      <c r="F652" s="54">
        <f>IF(_imp!$C$654="","",INDEX(_imp!$I$4:$I$4503,_imp!$C$654))</f>
        <v/>
      </c>
      <c r="G652" s="54">
        <f>IF(_imp!$C$654="","",INDEX(_imp!$J$4:$J$4503,_imp!$C$654))</f>
        <v/>
      </c>
      <c r="K652" s="54">
        <f>IF(_imp!$C$654="","",INDEX(_imp!$K$4:$K$4503,_imp!$C$654))</f>
        <v/>
      </c>
    </row>
    <row r="653">
      <c r="A653" s="54">
        <f>IF(_imp!$C$655="","",INDEX(_imp!$D$4:$D$4503,_imp!$C$655))</f>
        <v/>
      </c>
      <c r="B653" s="54">
        <f>IF(_imp!$C$655="","",INDEX(_imp!$E$4:$E$4503,_imp!$C$655))</f>
        <v/>
      </c>
      <c r="C653" s="54">
        <f>IF(_imp!$C$655="","",INDEX(_imp!$F$4:$F$4503,_imp!$C$655))</f>
        <v/>
      </c>
      <c r="D653" s="54">
        <f>IF(_imp!$C$655="","",INDEX(_imp!$G$4:$G$4503,_imp!$C$655))</f>
        <v/>
      </c>
      <c r="E653" s="54">
        <f>IF(_imp!$C$655="","",INDEX(_imp!$H$4:$H$4503,_imp!$C$655))</f>
        <v/>
      </c>
      <c r="F653" s="54">
        <f>IF(_imp!$C$655="","",INDEX(_imp!$I$4:$I$4503,_imp!$C$655))</f>
        <v/>
      </c>
      <c r="G653" s="54">
        <f>IF(_imp!$C$655="","",INDEX(_imp!$J$4:$J$4503,_imp!$C$655))</f>
        <v/>
      </c>
      <c r="K653" s="54">
        <f>IF(_imp!$C$655="","",INDEX(_imp!$K$4:$K$4503,_imp!$C$655))</f>
        <v/>
      </c>
    </row>
    <row r="654">
      <c r="A654" s="54">
        <f>IF(_imp!$C$656="","",INDEX(_imp!$D$4:$D$4503,_imp!$C$656))</f>
        <v/>
      </c>
      <c r="B654" s="54">
        <f>IF(_imp!$C$656="","",INDEX(_imp!$E$4:$E$4503,_imp!$C$656))</f>
        <v/>
      </c>
      <c r="C654" s="54">
        <f>IF(_imp!$C$656="","",INDEX(_imp!$F$4:$F$4503,_imp!$C$656))</f>
        <v/>
      </c>
      <c r="D654" s="54">
        <f>IF(_imp!$C$656="","",INDEX(_imp!$G$4:$G$4503,_imp!$C$656))</f>
        <v/>
      </c>
      <c r="E654" s="54">
        <f>IF(_imp!$C$656="","",INDEX(_imp!$H$4:$H$4503,_imp!$C$656))</f>
        <v/>
      </c>
      <c r="F654" s="54">
        <f>IF(_imp!$C$656="","",INDEX(_imp!$I$4:$I$4503,_imp!$C$656))</f>
        <v/>
      </c>
      <c r="G654" s="54">
        <f>IF(_imp!$C$656="","",INDEX(_imp!$J$4:$J$4503,_imp!$C$656))</f>
        <v/>
      </c>
      <c r="K654" s="54">
        <f>IF(_imp!$C$656="","",INDEX(_imp!$K$4:$K$4503,_imp!$C$656))</f>
        <v/>
      </c>
    </row>
    <row r="655">
      <c r="A655" s="54">
        <f>IF(_imp!$C$657="","",INDEX(_imp!$D$4:$D$4503,_imp!$C$657))</f>
        <v/>
      </c>
      <c r="B655" s="54">
        <f>IF(_imp!$C$657="","",INDEX(_imp!$E$4:$E$4503,_imp!$C$657))</f>
        <v/>
      </c>
      <c r="C655" s="54">
        <f>IF(_imp!$C$657="","",INDEX(_imp!$F$4:$F$4503,_imp!$C$657))</f>
        <v/>
      </c>
      <c r="D655" s="54">
        <f>IF(_imp!$C$657="","",INDEX(_imp!$G$4:$G$4503,_imp!$C$657))</f>
        <v/>
      </c>
      <c r="E655" s="54">
        <f>IF(_imp!$C$657="","",INDEX(_imp!$H$4:$H$4503,_imp!$C$657))</f>
        <v/>
      </c>
      <c r="F655" s="54">
        <f>IF(_imp!$C$657="","",INDEX(_imp!$I$4:$I$4503,_imp!$C$657))</f>
        <v/>
      </c>
      <c r="G655" s="54">
        <f>IF(_imp!$C$657="","",INDEX(_imp!$J$4:$J$4503,_imp!$C$657))</f>
        <v/>
      </c>
      <c r="K655" s="54">
        <f>IF(_imp!$C$657="","",INDEX(_imp!$K$4:$K$4503,_imp!$C$657))</f>
        <v/>
      </c>
    </row>
    <row r="656">
      <c r="A656" s="54">
        <f>IF(_imp!$C$658="","",INDEX(_imp!$D$4:$D$4503,_imp!$C$658))</f>
        <v/>
      </c>
      <c r="B656" s="54">
        <f>IF(_imp!$C$658="","",INDEX(_imp!$E$4:$E$4503,_imp!$C$658))</f>
        <v/>
      </c>
      <c r="C656" s="54">
        <f>IF(_imp!$C$658="","",INDEX(_imp!$F$4:$F$4503,_imp!$C$658))</f>
        <v/>
      </c>
      <c r="D656" s="54">
        <f>IF(_imp!$C$658="","",INDEX(_imp!$G$4:$G$4503,_imp!$C$658))</f>
        <v/>
      </c>
      <c r="E656" s="54">
        <f>IF(_imp!$C$658="","",INDEX(_imp!$H$4:$H$4503,_imp!$C$658))</f>
        <v/>
      </c>
      <c r="F656" s="54">
        <f>IF(_imp!$C$658="","",INDEX(_imp!$I$4:$I$4503,_imp!$C$658))</f>
        <v/>
      </c>
      <c r="G656" s="54">
        <f>IF(_imp!$C$658="","",INDEX(_imp!$J$4:$J$4503,_imp!$C$658))</f>
        <v/>
      </c>
      <c r="K656" s="54">
        <f>IF(_imp!$C$658="","",INDEX(_imp!$K$4:$K$4503,_imp!$C$658))</f>
        <v/>
      </c>
    </row>
    <row r="657">
      <c r="A657" s="54">
        <f>IF(_imp!$C$659="","",INDEX(_imp!$D$4:$D$4503,_imp!$C$659))</f>
        <v/>
      </c>
      <c r="B657" s="54">
        <f>IF(_imp!$C$659="","",INDEX(_imp!$E$4:$E$4503,_imp!$C$659))</f>
        <v/>
      </c>
      <c r="C657" s="54">
        <f>IF(_imp!$C$659="","",INDEX(_imp!$F$4:$F$4503,_imp!$C$659))</f>
        <v/>
      </c>
      <c r="D657" s="54">
        <f>IF(_imp!$C$659="","",INDEX(_imp!$G$4:$G$4503,_imp!$C$659))</f>
        <v/>
      </c>
      <c r="E657" s="54">
        <f>IF(_imp!$C$659="","",INDEX(_imp!$H$4:$H$4503,_imp!$C$659))</f>
        <v/>
      </c>
      <c r="F657" s="54">
        <f>IF(_imp!$C$659="","",INDEX(_imp!$I$4:$I$4503,_imp!$C$659))</f>
        <v/>
      </c>
      <c r="G657" s="54">
        <f>IF(_imp!$C$659="","",INDEX(_imp!$J$4:$J$4503,_imp!$C$659))</f>
        <v/>
      </c>
      <c r="K657" s="54">
        <f>IF(_imp!$C$659="","",INDEX(_imp!$K$4:$K$4503,_imp!$C$659))</f>
        <v/>
      </c>
    </row>
    <row r="658">
      <c r="A658" s="54">
        <f>IF(_imp!$C$660="","",INDEX(_imp!$D$4:$D$4503,_imp!$C$660))</f>
        <v/>
      </c>
      <c r="B658" s="54">
        <f>IF(_imp!$C$660="","",INDEX(_imp!$E$4:$E$4503,_imp!$C$660))</f>
        <v/>
      </c>
      <c r="C658" s="54">
        <f>IF(_imp!$C$660="","",INDEX(_imp!$F$4:$F$4503,_imp!$C$660))</f>
        <v/>
      </c>
      <c r="D658" s="54">
        <f>IF(_imp!$C$660="","",INDEX(_imp!$G$4:$G$4503,_imp!$C$660))</f>
        <v/>
      </c>
      <c r="E658" s="54">
        <f>IF(_imp!$C$660="","",INDEX(_imp!$H$4:$H$4503,_imp!$C$660))</f>
        <v/>
      </c>
      <c r="F658" s="54">
        <f>IF(_imp!$C$660="","",INDEX(_imp!$I$4:$I$4503,_imp!$C$660))</f>
        <v/>
      </c>
      <c r="G658" s="54">
        <f>IF(_imp!$C$660="","",INDEX(_imp!$J$4:$J$4503,_imp!$C$660))</f>
        <v/>
      </c>
      <c r="K658" s="54">
        <f>IF(_imp!$C$660="","",INDEX(_imp!$K$4:$K$4503,_imp!$C$660))</f>
        <v/>
      </c>
    </row>
    <row r="659">
      <c r="A659" s="54">
        <f>IF(_imp!$C$661="","",INDEX(_imp!$D$4:$D$4503,_imp!$C$661))</f>
        <v/>
      </c>
      <c r="B659" s="54">
        <f>IF(_imp!$C$661="","",INDEX(_imp!$E$4:$E$4503,_imp!$C$661))</f>
        <v/>
      </c>
      <c r="C659" s="54">
        <f>IF(_imp!$C$661="","",INDEX(_imp!$F$4:$F$4503,_imp!$C$661))</f>
        <v/>
      </c>
      <c r="D659" s="54">
        <f>IF(_imp!$C$661="","",INDEX(_imp!$G$4:$G$4503,_imp!$C$661))</f>
        <v/>
      </c>
      <c r="E659" s="54">
        <f>IF(_imp!$C$661="","",INDEX(_imp!$H$4:$H$4503,_imp!$C$661))</f>
        <v/>
      </c>
      <c r="F659" s="54">
        <f>IF(_imp!$C$661="","",INDEX(_imp!$I$4:$I$4503,_imp!$C$661))</f>
        <v/>
      </c>
      <c r="G659" s="54">
        <f>IF(_imp!$C$661="","",INDEX(_imp!$J$4:$J$4503,_imp!$C$661))</f>
        <v/>
      </c>
      <c r="K659" s="54">
        <f>IF(_imp!$C$661="","",INDEX(_imp!$K$4:$K$4503,_imp!$C$661))</f>
        <v/>
      </c>
    </row>
    <row r="660">
      <c r="A660" s="54">
        <f>IF(_imp!$C$662="","",INDEX(_imp!$D$4:$D$4503,_imp!$C$662))</f>
        <v/>
      </c>
      <c r="B660" s="54">
        <f>IF(_imp!$C$662="","",INDEX(_imp!$E$4:$E$4503,_imp!$C$662))</f>
        <v/>
      </c>
      <c r="C660" s="54">
        <f>IF(_imp!$C$662="","",INDEX(_imp!$F$4:$F$4503,_imp!$C$662))</f>
        <v/>
      </c>
      <c r="D660" s="54">
        <f>IF(_imp!$C$662="","",INDEX(_imp!$G$4:$G$4503,_imp!$C$662))</f>
        <v/>
      </c>
      <c r="E660" s="54">
        <f>IF(_imp!$C$662="","",INDEX(_imp!$H$4:$H$4503,_imp!$C$662))</f>
        <v/>
      </c>
      <c r="F660" s="54">
        <f>IF(_imp!$C$662="","",INDEX(_imp!$I$4:$I$4503,_imp!$C$662))</f>
        <v/>
      </c>
      <c r="G660" s="54">
        <f>IF(_imp!$C$662="","",INDEX(_imp!$J$4:$J$4503,_imp!$C$662))</f>
        <v/>
      </c>
      <c r="K660" s="54">
        <f>IF(_imp!$C$662="","",INDEX(_imp!$K$4:$K$4503,_imp!$C$662))</f>
        <v/>
      </c>
    </row>
    <row r="661">
      <c r="A661" s="54">
        <f>IF(_imp!$C$663="","",INDEX(_imp!$D$4:$D$4503,_imp!$C$663))</f>
        <v/>
      </c>
      <c r="B661" s="54">
        <f>IF(_imp!$C$663="","",INDEX(_imp!$E$4:$E$4503,_imp!$C$663))</f>
        <v/>
      </c>
      <c r="C661" s="54">
        <f>IF(_imp!$C$663="","",INDEX(_imp!$F$4:$F$4503,_imp!$C$663))</f>
        <v/>
      </c>
      <c r="D661" s="54">
        <f>IF(_imp!$C$663="","",INDEX(_imp!$G$4:$G$4503,_imp!$C$663))</f>
        <v/>
      </c>
      <c r="E661" s="54">
        <f>IF(_imp!$C$663="","",INDEX(_imp!$H$4:$H$4503,_imp!$C$663))</f>
        <v/>
      </c>
      <c r="F661" s="54">
        <f>IF(_imp!$C$663="","",INDEX(_imp!$I$4:$I$4503,_imp!$C$663))</f>
        <v/>
      </c>
      <c r="G661" s="54">
        <f>IF(_imp!$C$663="","",INDEX(_imp!$J$4:$J$4503,_imp!$C$663))</f>
        <v/>
      </c>
      <c r="K661" s="54">
        <f>IF(_imp!$C$663="","",INDEX(_imp!$K$4:$K$4503,_imp!$C$663))</f>
        <v/>
      </c>
    </row>
    <row r="662">
      <c r="A662" s="54">
        <f>IF(_imp!$C$664="","",INDEX(_imp!$D$4:$D$4503,_imp!$C$664))</f>
        <v/>
      </c>
      <c r="B662" s="54">
        <f>IF(_imp!$C$664="","",INDEX(_imp!$E$4:$E$4503,_imp!$C$664))</f>
        <v/>
      </c>
      <c r="C662" s="54">
        <f>IF(_imp!$C$664="","",INDEX(_imp!$F$4:$F$4503,_imp!$C$664))</f>
        <v/>
      </c>
      <c r="D662" s="54">
        <f>IF(_imp!$C$664="","",INDEX(_imp!$G$4:$G$4503,_imp!$C$664))</f>
        <v/>
      </c>
      <c r="E662" s="54">
        <f>IF(_imp!$C$664="","",INDEX(_imp!$H$4:$H$4503,_imp!$C$664))</f>
        <v/>
      </c>
      <c r="F662" s="54">
        <f>IF(_imp!$C$664="","",INDEX(_imp!$I$4:$I$4503,_imp!$C$664))</f>
        <v/>
      </c>
      <c r="G662" s="54">
        <f>IF(_imp!$C$664="","",INDEX(_imp!$J$4:$J$4503,_imp!$C$664))</f>
        <v/>
      </c>
      <c r="K662" s="54">
        <f>IF(_imp!$C$664="","",INDEX(_imp!$K$4:$K$4503,_imp!$C$664))</f>
        <v/>
      </c>
    </row>
    <row r="663">
      <c r="A663" s="54">
        <f>IF(_imp!$C$665="","",INDEX(_imp!$D$4:$D$4503,_imp!$C$665))</f>
        <v/>
      </c>
      <c r="B663" s="54">
        <f>IF(_imp!$C$665="","",INDEX(_imp!$E$4:$E$4503,_imp!$C$665))</f>
        <v/>
      </c>
      <c r="C663" s="54">
        <f>IF(_imp!$C$665="","",INDEX(_imp!$F$4:$F$4503,_imp!$C$665))</f>
        <v/>
      </c>
      <c r="D663" s="54">
        <f>IF(_imp!$C$665="","",INDEX(_imp!$G$4:$G$4503,_imp!$C$665))</f>
        <v/>
      </c>
      <c r="E663" s="54">
        <f>IF(_imp!$C$665="","",INDEX(_imp!$H$4:$H$4503,_imp!$C$665))</f>
        <v/>
      </c>
      <c r="F663" s="54">
        <f>IF(_imp!$C$665="","",INDEX(_imp!$I$4:$I$4503,_imp!$C$665))</f>
        <v/>
      </c>
      <c r="G663" s="54">
        <f>IF(_imp!$C$665="","",INDEX(_imp!$J$4:$J$4503,_imp!$C$665))</f>
        <v/>
      </c>
      <c r="K663" s="54">
        <f>IF(_imp!$C$665="","",INDEX(_imp!$K$4:$K$4503,_imp!$C$665))</f>
        <v/>
      </c>
    </row>
    <row r="664">
      <c r="A664" s="54">
        <f>IF(_imp!$C$666="","",INDEX(_imp!$D$4:$D$4503,_imp!$C$666))</f>
        <v/>
      </c>
      <c r="B664" s="54">
        <f>IF(_imp!$C$666="","",INDEX(_imp!$E$4:$E$4503,_imp!$C$666))</f>
        <v/>
      </c>
      <c r="C664" s="54">
        <f>IF(_imp!$C$666="","",INDEX(_imp!$F$4:$F$4503,_imp!$C$666))</f>
        <v/>
      </c>
      <c r="D664" s="54">
        <f>IF(_imp!$C$666="","",INDEX(_imp!$G$4:$G$4503,_imp!$C$666))</f>
        <v/>
      </c>
      <c r="E664" s="54">
        <f>IF(_imp!$C$666="","",INDEX(_imp!$H$4:$H$4503,_imp!$C$666))</f>
        <v/>
      </c>
      <c r="F664" s="54">
        <f>IF(_imp!$C$666="","",INDEX(_imp!$I$4:$I$4503,_imp!$C$666))</f>
        <v/>
      </c>
      <c r="G664" s="54">
        <f>IF(_imp!$C$666="","",INDEX(_imp!$J$4:$J$4503,_imp!$C$666))</f>
        <v/>
      </c>
      <c r="K664" s="54">
        <f>IF(_imp!$C$666="","",INDEX(_imp!$K$4:$K$4503,_imp!$C$666))</f>
        <v/>
      </c>
    </row>
    <row r="665">
      <c r="A665" s="54">
        <f>IF(_imp!$C$667="","",INDEX(_imp!$D$4:$D$4503,_imp!$C$667))</f>
        <v/>
      </c>
      <c r="B665" s="54">
        <f>IF(_imp!$C$667="","",INDEX(_imp!$E$4:$E$4503,_imp!$C$667))</f>
        <v/>
      </c>
      <c r="C665" s="54">
        <f>IF(_imp!$C$667="","",INDEX(_imp!$F$4:$F$4503,_imp!$C$667))</f>
        <v/>
      </c>
      <c r="D665" s="54">
        <f>IF(_imp!$C$667="","",INDEX(_imp!$G$4:$G$4503,_imp!$C$667))</f>
        <v/>
      </c>
      <c r="E665" s="54">
        <f>IF(_imp!$C$667="","",INDEX(_imp!$H$4:$H$4503,_imp!$C$667))</f>
        <v/>
      </c>
      <c r="F665" s="54">
        <f>IF(_imp!$C$667="","",INDEX(_imp!$I$4:$I$4503,_imp!$C$667))</f>
        <v/>
      </c>
      <c r="G665" s="54">
        <f>IF(_imp!$C$667="","",INDEX(_imp!$J$4:$J$4503,_imp!$C$667))</f>
        <v/>
      </c>
      <c r="K665" s="54">
        <f>IF(_imp!$C$667="","",INDEX(_imp!$K$4:$K$4503,_imp!$C$667))</f>
        <v/>
      </c>
    </row>
    <row r="666">
      <c r="A666" s="54">
        <f>IF(_imp!$C$668="","",INDEX(_imp!$D$4:$D$4503,_imp!$C$668))</f>
        <v/>
      </c>
      <c r="B666" s="54">
        <f>IF(_imp!$C$668="","",INDEX(_imp!$E$4:$E$4503,_imp!$C$668))</f>
        <v/>
      </c>
      <c r="C666" s="54">
        <f>IF(_imp!$C$668="","",INDEX(_imp!$F$4:$F$4503,_imp!$C$668))</f>
        <v/>
      </c>
      <c r="D666" s="54">
        <f>IF(_imp!$C$668="","",INDEX(_imp!$G$4:$G$4503,_imp!$C$668))</f>
        <v/>
      </c>
      <c r="E666" s="54">
        <f>IF(_imp!$C$668="","",INDEX(_imp!$H$4:$H$4503,_imp!$C$668))</f>
        <v/>
      </c>
      <c r="F666" s="54">
        <f>IF(_imp!$C$668="","",INDEX(_imp!$I$4:$I$4503,_imp!$C$668))</f>
        <v/>
      </c>
      <c r="G666" s="54">
        <f>IF(_imp!$C$668="","",INDEX(_imp!$J$4:$J$4503,_imp!$C$668))</f>
        <v/>
      </c>
      <c r="K666" s="54">
        <f>IF(_imp!$C$668="","",INDEX(_imp!$K$4:$K$4503,_imp!$C$668))</f>
        <v/>
      </c>
    </row>
    <row r="667">
      <c r="A667" s="54">
        <f>IF(_imp!$C$669="","",INDEX(_imp!$D$4:$D$4503,_imp!$C$669))</f>
        <v/>
      </c>
      <c r="B667" s="54">
        <f>IF(_imp!$C$669="","",INDEX(_imp!$E$4:$E$4503,_imp!$C$669))</f>
        <v/>
      </c>
      <c r="C667" s="54">
        <f>IF(_imp!$C$669="","",INDEX(_imp!$F$4:$F$4503,_imp!$C$669))</f>
        <v/>
      </c>
      <c r="D667" s="54">
        <f>IF(_imp!$C$669="","",INDEX(_imp!$G$4:$G$4503,_imp!$C$669))</f>
        <v/>
      </c>
      <c r="E667" s="54">
        <f>IF(_imp!$C$669="","",INDEX(_imp!$H$4:$H$4503,_imp!$C$669))</f>
        <v/>
      </c>
      <c r="F667" s="54">
        <f>IF(_imp!$C$669="","",INDEX(_imp!$I$4:$I$4503,_imp!$C$669))</f>
        <v/>
      </c>
      <c r="G667" s="54">
        <f>IF(_imp!$C$669="","",INDEX(_imp!$J$4:$J$4503,_imp!$C$669))</f>
        <v/>
      </c>
      <c r="K667" s="54">
        <f>IF(_imp!$C$669="","",INDEX(_imp!$K$4:$K$4503,_imp!$C$669))</f>
        <v/>
      </c>
    </row>
    <row r="668">
      <c r="A668" s="54">
        <f>IF(_imp!$C$670="","",INDEX(_imp!$D$4:$D$4503,_imp!$C$670))</f>
        <v/>
      </c>
      <c r="B668" s="54">
        <f>IF(_imp!$C$670="","",INDEX(_imp!$E$4:$E$4503,_imp!$C$670))</f>
        <v/>
      </c>
      <c r="C668" s="54">
        <f>IF(_imp!$C$670="","",INDEX(_imp!$F$4:$F$4503,_imp!$C$670))</f>
        <v/>
      </c>
      <c r="D668" s="54">
        <f>IF(_imp!$C$670="","",INDEX(_imp!$G$4:$G$4503,_imp!$C$670))</f>
        <v/>
      </c>
      <c r="E668" s="54">
        <f>IF(_imp!$C$670="","",INDEX(_imp!$H$4:$H$4503,_imp!$C$670))</f>
        <v/>
      </c>
      <c r="F668" s="54">
        <f>IF(_imp!$C$670="","",INDEX(_imp!$I$4:$I$4503,_imp!$C$670))</f>
        <v/>
      </c>
      <c r="G668" s="54">
        <f>IF(_imp!$C$670="","",INDEX(_imp!$J$4:$J$4503,_imp!$C$670))</f>
        <v/>
      </c>
      <c r="K668" s="54">
        <f>IF(_imp!$C$670="","",INDEX(_imp!$K$4:$K$4503,_imp!$C$670))</f>
        <v/>
      </c>
    </row>
    <row r="669">
      <c r="A669" s="54">
        <f>IF(_imp!$C$671="","",INDEX(_imp!$D$4:$D$4503,_imp!$C$671))</f>
        <v/>
      </c>
      <c r="B669" s="54">
        <f>IF(_imp!$C$671="","",INDEX(_imp!$E$4:$E$4503,_imp!$C$671))</f>
        <v/>
      </c>
      <c r="C669" s="54">
        <f>IF(_imp!$C$671="","",INDEX(_imp!$F$4:$F$4503,_imp!$C$671))</f>
        <v/>
      </c>
      <c r="D669" s="54">
        <f>IF(_imp!$C$671="","",INDEX(_imp!$G$4:$G$4503,_imp!$C$671))</f>
        <v/>
      </c>
      <c r="E669" s="54">
        <f>IF(_imp!$C$671="","",INDEX(_imp!$H$4:$H$4503,_imp!$C$671))</f>
        <v/>
      </c>
      <c r="F669" s="54">
        <f>IF(_imp!$C$671="","",INDEX(_imp!$I$4:$I$4503,_imp!$C$671))</f>
        <v/>
      </c>
      <c r="G669" s="54">
        <f>IF(_imp!$C$671="","",INDEX(_imp!$J$4:$J$4503,_imp!$C$671))</f>
        <v/>
      </c>
      <c r="K669" s="54">
        <f>IF(_imp!$C$671="","",INDEX(_imp!$K$4:$K$4503,_imp!$C$671))</f>
        <v/>
      </c>
    </row>
    <row r="670">
      <c r="A670" s="54">
        <f>IF(_imp!$C$672="","",INDEX(_imp!$D$4:$D$4503,_imp!$C$672))</f>
        <v/>
      </c>
      <c r="B670" s="54">
        <f>IF(_imp!$C$672="","",INDEX(_imp!$E$4:$E$4503,_imp!$C$672))</f>
        <v/>
      </c>
      <c r="C670" s="54">
        <f>IF(_imp!$C$672="","",INDEX(_imp!$F$4:$F$4503,_imp!$C$672))</f>
        <v/>
      </c>
      <c r="D670" s="54">
        <f>IF(_imp!$C$672="","",INDEX(_imp!$G$4:$G$4503,_imp!$C$672))</f>
        <v/>
      </c>
      <c r="E670" s="54">
        <f>IF(_imp!$C$672="","",INDEX(_imp!$H$4:$H$4503,_imp!$C$672))</f>
        <v/>
      </c>
      <c r="F670" s="54">
        <f>IF(_imp!$C$672="","",INDEX(_imp!$I$4:$I$4503,_imp!$C$672))</f>
        <v/>
      </c>
      <c r="G670" s="54">
        <f>IF(_imp!$C$672="","",INDEX(_imp!$J$4:$J$4503,_imp!$C$672))</f>
        <v/>
      </c>
      <c r="K670" s="54">
        <f>IF(_imp!$C$672="","",INDEX(_imp!$K$4:$K$4503,_imp!$C$672))</f>
        <v/>
      </c>
    </row>
    <row r="671">
      <c r="A671" s="54">
        <f>IF(_imp!$C$673="","",INDEX(_imp!$D$4:$D$4503,_imp!$C$673))</f>
        <v/>
      </c>
      <c r="B671" s="54">
        <f>IF(_imp!$C$673="","",INDEX(_imp!$E$4:$E$4503,_imp!$C$673))</f>
        <v/>
      </c>
      <c r="C671" s="54">
        <f>IF(_imp!$C$673="","",INDEX(_imp!$F$4:$F$4503,_imp!$C$673))</f>
        <v/>
      </c>
      <c r="D671" s="54">
        <f>IF(_imp!$C$673="","",INDEX(_imp!$G$4:$G$4503,_imp!$C$673))</f>
        <v/>
      </c>
      <c r="E671" s="54">
        <f>IF(_imp!$C$673="","",INDEX(_imp!$H$4:$H$4503,_imp!$C$673))</f>
        <v/>
      </c>
      <c r="F671" s="54">
        <f>IF(_imp!$C$673="","",INDEX(_imp!$I$4:$I$4503,_imp!$C$673))</f>
        <v/>
      </c>
      <c r="G671" s="54">
        <f>IF(_imp!$C$673="","",INDEX(_imp!$J$4:$J$4503,_imp!$C$673))</f>
        <v/>
      </c>
      <c r="K671" s="54">
        <f>IF(_imp!$C$673="","",INDEX(_imp!$K$4:$K$4503,_imp!$C$673))</f>
        <v/>
      </c>
    </row>
    <row r="672">
      <c r="A672" s="54">
        <f>IF(_imp!$C$674="","",INDEX(_imp!$D$4:$D$4503,_imp!$C$674))</f>
        <v/>
      </c>
      <c r="B672" s="54">
        <f>IF(_imp!$C$674="","",INDEX(_imp!$E$4:$E$4503,_imp!$C$674))</f>
        <v/>
      </c>
      <c r="C672" s="54">
        <f>IF(_imp!$C$674="","",INDEX(_imp!$F$4:$F$4503,_imp!$C$674))</f>
        <v/>
      </c>
      <c r="D672" s="54">
        <f>IF(_imp!$C$674="","",INDEX(_imp!$G$4:$G$4503,_imp!$C$674))</f>
        <v/>
      </c>
      <c r="E672" s="54">
        <f>IF(_imp!$C$674="","",INDEX(_imp!$H$4:$H$4503,_imp!$C$674))</f>
        <v/>
      </c>
      <c r="F672" s="54">
        <f>IF(_imp!$C$674="","",INDEX(_imp!$I$4:$I$4503,_imp!$C$674))</f>
        <v/>
      </c>
      <c r="G672" s="54">
        <f>IF(_imp!$C$674="","",INDEX(_imp!$J$4:$J$4503,_imp!$C$674))</f>
        <v/>
      </c>
      <c r="K672" s="54">
        <f>IF(_imp!$C$674="","",INDEX(_imp!$K$4:$K$4503,_imp!$C$674))</f>
        <v/>
      </c>
    </row>
    <row r="673">
      <c r="A673" s="54">
        <f>IF(_imp!$C$675="","",INDEX(_imp!$D$4:$D$4503,_imp!$C$675))</f>
        <v/>
      </c>
      <c r="B673" s="54">
        <f>IF(_imp!$C$675="","",INDEX(_imp!$E$4:$E$4503,_imp!$C$675))</f>
        <v/>
      </c>
      <c r="C673" s="54">
        <f>IF(_imp!$C$675="","",INDEX(_imp!$F$4:$F$4503,_imp!$C$675))</f>
        <v/>
      </c>
      <c r="D673" s="54">
        <f>IF(_imp!$C$675="","",INDEX(_imp!$G$4:$G$4503,_imp!$C$675))</f>
        <v/>
      </c>
      <c r="E673" s="54">
        <f>IF(_imp!$C$675="","",INDEX(_imp!$H$4:$H$4503,_imp!$C$675))</f>
        <v/>
      </c>
      <c r="F673" s="54">
        <f>IF(_imp!$C$675="","",INDEX(_imp!$I$4:$I$4503,_imp!$C$675))</f>
        <v/>
      </c>
      <c r="G673" s="54">
        <f>IF(_imp!$C$675="","",INDEX(_imp!$J$4:$J$4503,_imp!$C$675))</f>
        <v/>
      </c>
      <c r="K673" s="54">
        <f>IF(_imp!$C$675="","",INDEX(_imp!$K$4:$K$4503,_imp!$C$675))</f>
        <v/>
      </c>
    </row>
    <row r="674">
      <c r="A674" s="54">
        <f>IF(_imp!$C$676="","",INDEX(_imp!$D$4:$D$4503,_imp!$C$676))</f>
        <v/>
      </c>
      <c r="B674" s="54">
        <f>IF(_imp!$C$676="","",INDEX(_imp!$E$4:$E$4503,_imp!$C$676))</f>
        <v/>
      </c>
      <c r="C674" s="54">
        <f>IF(_imp!$C$676="","",INDEX(_imp!$F$4:$F$4503,_imp!$C$676))</f>
        <v/>
      </c>
      <c r="D674" s="54">
        <f>IF(_imp!$C$676="","",INDEX(_imp!$G$4:$G$4503,_imp!$C$676))</f>
        <v/>
      </c>
      <c r="E674" s="54">
        <f>IF(_imp!$C$676="","",INDEX(_imp!$H$4:$H$4503,_imp!$C$676))</f>
        <v/>
      </c>
      <c r="F674" s="54">
        <f>IF(_imp!$C$676="","",INDEX(_imp!$I$4:$I$4503,_imp!$C$676))</f>
        <v/>
      </c>
      <c r="G674" s="54">
        <f>IF(_imp!$C$676="","",INDEX(_imp!$J$4:$J$4503,_imp!$C$676))</f>
        <v/>
      </c>
      <c r="K674" s="54">
        <f>IF(_imp!$C$676="","",INDEX(_imp!$K$4:$K$4503,_imp!$C$676))</f>
        <v/>
      </c>
    </row>
    <row r="675">
      <c r="A675" s="54">
        <f>IF(_imp!$C$677="","",INDEX(_imp!$D$4:$D$4503,_imp!$C$677))</f>
        <v/>
      </c>
      <c r="B675" s="54">
        <f>IF(_imp!$C$677="","",INDEX(_imp!$E$4:$E$4503,_imp!$C$677))</f>
        <v/>
      </c>
      <c r="C675" s="54">
        <f>IF(_imp!$C$677="","",INDEX(_imp!$F$4:$F$4503,_imp!$C$677))</f>
        <v/>
      </c>
      <c r="D675" s="54">
        <f>IF(_imp!$C$677="","",INDEX(_imp!$G$4:$G$4503,_imp!$C$677))</f>
        <v/>
      </c>
      <c r="E675" s="54">
        <f>IF(_imp!$C$677="","",INDEX(_imp!$H$4:$H$4503,_imp!$C$677))</f>
        <v/>
      </c>
      <c r="F675" s="54">
        <f>IF(_imp!$C$677="","",INDEX(_imp!$I$4:$I$4503,_imp!$C$677))</f>
        <v/>
      </c>
      <c r="G675" s="54">
        <f>IF(_imp!$C$677="","",INDEX(_imp!$J$4:$J$4503,_imp!$C$677))</f>
        <v/>
      </c>
      <c r="K675" s="54">
        <f>IF(_imp!$C$677="","",INDEX(_imp!$K$4:$K$4503,_imp!$C$677))</f>
        <v/>
      </c>
    </row>
    <row r="676">
      <c r="A676" s="54">
        <f>IF(_imp!$C$678="","",INDEX(_imp!$D$4:$D$4503,_imp!$C$678))</f>
        <v/>
      </c>
      <c r="B676" s="54">
        <f>IF(_imp!$C$678="","",INDEX(_imp!$E$4:$E$4503,_imp!$C$678))</f>
        <v/>
      </c>
      <c r="C676" s="54">
        <f>IF(_imp!$C$678="","",INDEX(_imp!$F$4:$F$4503,_imp!$C$678))</f>
        <v/>
      </c>
      <c r="D676" s="54">
        <f>IF(_imp!$C$678="","",INDEX(_imp!$G$4:$G$4503,_imp!$C$678))</f>
        <v/>
      </c>
      <c r="E676" s="54">
        <f>IF(_imp!$C$678="","",INDEX(_imp!$H$4:$H$4503,_imp!$C$678))</f>
        <v/>
      </c>
      <c r="F676" s="54">
        <f>IF(_imp!$C$678="","",INDEX(_imp!$I$4:$I$4503,_imp!$C$678))</f>
        <v/>
      </c>
      <c r="G676" s="54">
        <f>IF(_imp!$C$678="","",INDEX(_imp!$J$4:$J$4503,_imp!$C$678))</f>
        <v/>
      </c>
      <c r="K676" s="54">
        <f>IF(_imp!$C$678="","",INDEX(_imp!$K$4:$K$4503,_imp!$C$678))</f>
        <v/>
      </c>
    </row>
    <row r="677">
      <c r="A677" s="54">
        <f>IF(_imp!$C$679="","",INDEX(_imp!$D$4:$D$4503,_imp!$C$679))</f>
        <v/>
      </c>
      <c r="B677" s="54">
        <f>IF(_imp!$C$679="","",INDEX(_imp!$E$4:$E$4503,_imp!$C$679))</f>
        <v/>
      </c>
      <c r="C677" s="54">
        <f>IF(_imp!$C$679="","",INDEX(_imp!$F$4:$F$4503,_imp!$C$679))</f>
        <v/>
      </c>
      <c r="D677" s="54">
        <f>IF(_imp!$C$679="","",INDEX(_imp!$G$4:$G$4503,_imp!$C$679))</f>
        <v/>
      </c>
      <c r="E677" s="54">
        <f>IF(_imp!$C$679="","",INDEX(_imp!$H$4:$H$4503,_imp!$C$679))</f>
        <v/>
      </c>
      <c r="F677" s="54">
        <f>IF(_imp!$C$679="","",INDEX(_imp!$I$4:$I$4503,_imp!$C$679))</f>
        <v/>
      </c>
      <c r="G677" s="54">
        <f>IF(_imp!$C$679="","",INDEX(_imp!$J$4:$J$4503,_imp!$C$679))</f>
        <v/>
      </c>
      <c r="K677" s="54">
        <f>IF(_imp!$C$679="","",INDEX(_imp!$K$4:$K$4503,_imp!$C$679))</f>
        <v/>
      </c>
    </row>
    <row r="678">
      <c r="A678" s="54">
        <f>IF(_imp!$C$680="","",INDEX(_imp!$D$4:$D$4503,_imp!$C$680))</f>
        <v/>
      </c>
      <c r="B678" s="54">
        <f>IF(_imp!$C$680="","",INDEX(_imp!$E$4:$E$4503,_imp!$C$680))</f>
        <v/>
      </c>
      <c r="C678" s="54">
        <f>IF(_imp!$C$680="","",INDEX(_imp!$F$4:$F$4503,_imp!$C$680))</f>
        <v/>
      </c>
      <c r="D678" s="54">
        <f>IF(_imp!$C$680="","",INDEX(_imp!$G$4:$G$4503,_imp!$C$680))</f>
        <v/>
      </c>
      <c r="E678" s="54">
        <f>IF(_imp!$C$680="","",INDEX(_imp!$H$4:$H$4503,_imp!$C$680))</f>
        <v/>
      </c>
      <c r="F678" s="54">
        <f>IF(_imp!$C$680="","",INDEX(_imp!$I$4:$I$4503,_imp!$C$680))</f>
        <v/>
      </c>
      <c r="G678" s="54">
        <f>IF(_imp!$C$680="","",INDEX(_imp!$J$4:$J$4503,_imp!$C$680))</f>
        <v/>
      </c>
      <c r="K678" s="54">
        <f>IF(_imp!$C$680="","",INDEX(_imp!$K$4:$K$4503,_imp!$C$680))</f>
        <v/>
      </c>
    </row>
    <row r="679">
      <c r="A679" s="54">
        <f>IF(_imp!$C$681="","",INDEX(_imp!$D$4:$D$4503,_imp!$C$681))</f>
        <v/>
      </c>
      <c r="B679" s="54">
        <f>IF(_imp!$C$681="","",INDEX(_imp!$E$4:$E$4503,_imp!$C$681))</f>
        <v/>
      </c>
      <c r="C679" s="54">
        <f>IF(_imp!$C$681="","",INDEX(_imp!$F$4:$F$4503,_imp!$C$681))</f>
        <v/>
      </c>
      <c r="D679" s="54">
        <f>IF(_imp!$C$681="","",INDEX(_imp!$G$4:$G$4503,_imp!$C$681))</f>
        <v/>
      </c>
      <c r="E679" s="54">
        <f>IF(_imp!$C$681="","",INDEX(_imp!$H$4:$H$4503,_imp!$C$681))</f>
        <v/>
      </c>
      <c r="F679" s="54">
        <f>IF(_imp!$C$681="","",INDEX(_imp!$I$4:$I$4503,_imp!$C$681))</f>
        <v/>
      </c>
      <c r="G679" s="54">
        <f>IF(_imp!$C$681="","",INDEX(_imp!$J$4:$J$4503,_imp!$C$681))</f>
        <v/>
      </c>
      <c r="K679" s="54">
        <f>IF(_imp!$C$681="","",INDEX(_imp!$K$4:$K$4503,_imp!$C$681))</f>
        <v/>
      </c>
    </row>
    <row r="680">
      <c r="A680" s="54">
        <f>IF(_imp!$C$682="","",INDEX(_imp!$D$4:$D$4503,_imp!$C$682))</f>
        <v/>
      </c>
      <c r="B680" s="54">
        <f>IF(_imp!$C$682="","",INDEX(_imp!$E$4:$E$4503,_imp!$C$682))</f>
        <v/>
      </c>
      <c r="C680" s="54">
        <f>IF(_imp!$C$682="","",INDEX(_imp!$F$4:$F$4503,_imp!$C$682))</f>
        <v/>
      </c>
      <c r="D680" s="54">
        <f>IF(_imp!$C$682="","",INDEX(_imp!$G$4:$G$4503,_imp!$C$682))</f>
        <v/>
      </c>
      <c r="E680" s="54">
        <f>IF(_imp!$C$682="","",INDEX(_imp!$H$4:$H$4503,_imp!$C$682))</f>
        <v/>
      </c>
      <c r="F680" s="54">
        <f>IF(_imp!$C$682="","",INDEX(_imp!$I$4:$I$4503,_imp!$C$682))</f>
        <v/>
      </c>
      <c r="G680" s="54">
        <f>IF(_imp!$C$682="","",INDEX(_imp!$J$4:$J$4503,_imp!$C$682))</f>
        <v/>
      </c>
      <c r="K680" s="54">
        <f>IF(_imp!$C$682="","",INDEX(_imp!$K$4:$K$4503,_imp!$C$682))</f>
        <v/>
      </c>
    </row>
    <row r="681">
      <c r="A681" s="54">
        <f>IF(_imp!$C$683="","",INDEX(_imp!$D$4:$D$4503,_imp!$C$683))</f>
        <v/>
      </c>
      <c r="B681" s="54">
        <f>IF(_imp!$C$683="","",INDEX(_imp!$E$4:$E$4503,_imp!$C$683))</f>
        <v/>
      </c>
      <c r="C681" s="54">
        <f>IF(_imp!$C$683="","",INDEX(_imp!$F$4:$F$4503,_imp!$C$683))</f>
        <v/>
      </c>
      <c r="D681" s="54">
        <f>IF(_imp!$C$683="","",INDEX(_imp!$G$4:$G$4503,_imp!$C$683))</f>
        <v/>
      </c>
      <c r="E681" s="54">
        <f>IF(_imp!$C$683="","",INDEX(_imp!$H$4:$H$4503,_imp!$C$683))</f>
        <v/>
      </c>
      <c r="F681" s="54">
        <f>IF(_imp!$C$683="","",INDEX(_imp!$I$4:$I$4503,_imp!$C$683))</f>
        <v/>
      </c>
      <c r="G681" s="54">
        <f>IF(_imp!$C$683="","",INDEX(_imp!$J$4:$J$4503,_imp!$C$683))</f>
        <v/>
      </c>
      <c r="K681" s="54">
        <f>IF(_imp!$C$683="","",INDEX(_imp!$K$4:$K$4503,_imp!$C$683))</f>
        <v/>
      </c>
    </row>
    <row r="682">
      <c r="A682" s="54">
        <f>IF(_imp!$C$684="","",INDEX(_imp!$D$4:$D$4503,_imp!$C$684))</f>
        <v/>
      </c>
      <c r="B682" s="54">
        <f>IF(_imp!$C$684="","",INDEX(_imp!$E$4:$E$4503,_imp!$C$684))</f>
        <v/>
      </c>
      <c r="C682" s="54">
        <f>IF(_imp!$C$684="","",INDEX(_imp!$F$4:$F$4503,_imp!$C$684))</f>
        <v/>
      </c>
      <c r="D682" s="54">
        <f>IF(_imp!$C$684="","",INDEX(_imp!$G$4:$G$4503,_imp!$C$684))</f>
        <v/>
      </c>
      <c r="E682" s="54">
        <f>IF(_imp!$C$684="","",INDEX(_imp!$H$4:$H$4503,_imp!$C$684))</f>
        <v/>
      </c>
      <c r="F682" s="54">
        <f>IF(_imp!$C$684="","",INDEX(_imp!$I$4:$I$4503,_imp!$C$684))</f>
        <v/>
      </c>
      <c r="G682" s="54">
        <f>IF(_imp!$C$684="","",INDEX(_imp!$J$4:$J$4503,_imp!$C$684))</f>
        <v/>
      </c>
      <c r="K682" s="54">
        <f>IF(_imp!$C$684="","",INDEX(_imp!$K$4:$K$4503,_imp!$C$684))</f>
        <v/>
      </c>
    </row>
    <row r="683">
      <c r="A683" s="54">
        <f>IF(_imp!$C$685="","",INDEX(_imp!$D$4:$D$4503,_imp!$C$685))</f>
        <v/>
      </c>
      <c r="B683" s="54">
        <f>IF(_imp!$C$685="","",INDEX(_imp!$E$4:$E$4503,_imp!$C$685))</f>
        <v/>
      </c>
      <c r="C683" s="54">
        <f>IF(_imp!$C$685="","",INDEX(_imp!$F$4:$F$4503,_imp!$C$685))</f>
        <v/>
      </c>
      <c r="D683" s="54">
        <f>IF(_imp!$C$685="","",INDEX(_imp!$G$4:$G$4503,_imp!$C$685))</f>
        <v/>
      </c>
      <c r="E683" s="54">
        <f>IF(_imp!$C$685="","",INDEX(_imp!$H$4:$H$4503,_imp!$C$685))</f>
        <v/>
      </c>
      <c r="F683" s="54">
        <f>IF(_imp!$C$685="","",INDEX(_imp!$I$4:$I$4503,_imp!$C$685))</f>
        <v/>
      </c>
      <c r="G683" s="54">
        <f>IF(_imp!$C$685="","",INDEX(_imp!$J$4:$J$4503,_imp!$C$685))</f>
        <v/>
      </c>
      <c r="K683" s="54">
        <f>IF(_imp!$C$685="","",INDEX(_imp!$K$4:$K$4503,_imp!$C$685))</f>
        <v/>
      </c>
    </row>
    <row r="684">
      <c r="A684" s="54">
        <f>IF(_imp!$C$686="","",INDEX(_imp!$D$4:$D$4503,_imp!$C$686))</f>
        <v/>
      </c>
      <c r="B684" s="54">
        <f>IF(_imp!$C$686="","",INDEX(_imp!$E$4:$E$4503,_imp!$C$686))</f>
        <v/>
      </c>
      <c r="C684" s="54">
        <f>IF(_imp!$C$686="","",INDEX(_imp!$F$4:$F$4503,_imp!$C$686))</f>
        <v/>
      </c>
      <c r="D684" s="54">
        <f>IF(_imp!$C$686="","",INDEX(_imp!$G$4:$G$4503,_imp!$C$686))</f>
        <v/>
      </c>
      <c r="E684" s="54">
        <f>IF(_imp!$C$686="","",INDEX(_imp!$H$4:$H$4503,_imp!$C$686))</f>
        <v/>
      </c>
      <c r="F684" s="54">
        <f>IF(_imp!$C$686="","",INDEX(_imp!$I$4:$I$4503,_imp!$C$686))</f>
        <v/>
      </c>
      <c r="G684" s="54">
        <f>IF(_imp!$C$686="","",INDEX(_imp!$J$4:$J$4503,_imp!$C$686))</f>
        <v/>
      </c>
      <c r="K684" s="54">
        <f>IF(_imp!$C$686="","",INDEX(_imp!$K$4:$K$4503,_imp!$C$686))</f>
        <v/>
      </c>
    </row>
    <row r="685">
      <c r="A685" s="54">
        <f>IF(_imp!$C$687="","",INDEX(_imp!$D$4:$D$4503,_imp!$C$687))</f>
        <v/>
      </c>
      <c r="B685" s="54">
        <f>IF(_imp!$C$687="","",INDEX(_imp!$E$4:$E$4503,_imp!$C$687))</f>
        <v/>
      </c>
      <c r="C685" s="54">
        <f>IF(_imp!$C$687="","",INDEX(_imp!$F$4:$F$4503,_imp!$C$687))</f>
        <v/>
      </c>
      <c r="D685" s="54">
        <f>IF(_imp!$C$687="","",INDEX(_imp!$G$4:$G$4503,_imp!$C$687))</f>
        <v/>
      </c>
      <c r="E685" s="54">
        <f>IF(_imp!$C$687="","",INDEX(_imp!$H$4:$H$4503,_imp!$C$687))</f>
        <v/>
      </c>
      <c r="F685" s="54">
        <f>IF(_imp!$C$687="","",INDEX(_imp!$I$4:$I$4503,_imp!$C$687))</f>
        <v/>
      </c>
      <c r="G685" s="54">
        <f>IF(_imp!$C$687="","",INDEX(_imp!$J$4:$J$4503,_imp!$C$687))</f>
        <v/>
      </c>
      <c r="K685" s="54">
        <f>IF(_imp!$C$687="","",INDEX(_imp!$K$4:$K$4503,_imp!$C$687))</f>
        <v/>
      </c>
    </row>
    <row r="686">
      <c r="A686" s="54">
        <f>IF(_imp!$C$688="","",INDEX(_imp!$D$4:$D$4503,_imp!$C$688))</f>
        <v/>
      </c>
      <c r="B686" s="54">
        <f>IF(_imp!$C$688="","",INDEX(_imp!$E$4:$E$4503,_imp!$C$688))</f>
        <v/>
      </c>
      <c r="C686" s="54">
        <f>IF(_imp!$C$688="","",INDEX(_imp!$F$4:$F$4503,_imp!$C$688))</f>
        <v/>
      </c>
      <c r="D686" s="54">
        <f>IF(_imp!$C$688="","",INDEX(_imp!$G$4:$G$4503,_imp!$C$688))</f>
        <v/>
      </c>
      <c r="E686" s="54">
        <f>IF(_imp!$C$688="","",INDEX(_imp!$H$4:$H$4503,_imp!$C$688))</f>
        <v/>
      </c>
      <c r="F686" s="54">
        <f>IF(_imp!$C$688="","",INDEX(_imp!$I$4:$I$4503,_imp!$C$688))</f>
        <v/>
      </c>
      <c r="G686" s="54">
        <f>IF(_imp!$C$688="","",INDEX(_imp!$J$4:$J$4503,_imp!$C$688))</f>
        <v/>
      </c>
      <c r="K686" s="54">
        <f>IF(_imp!$C$688="","",INDEX(_imp!$K$4:$K$4503,_imp!$C$688))</f>
        <v/>
      </c>
    </row>
    <row r="687">
      <c r="A687" s="54">
        <f>IF(_imp!$C$689="","",INDEX(_imp!$D$4:$D$4503,_imp!$C$689))</f>
        <v/>
      </c>
      <c r="B687" s="54">
        <f>IF(_imp!$C$689="","",INDEX(_imp!$E$4:$E$4503,_imp!$C$689))</f>
        <v/>
      </c>
      <c r="C687" s="54">
        <f>IF(_imp!$C$689="","",INDEX(_imp!$F$4:$F$4503,_imp!$C$689))</f>
        <v/>
      </c>
      <c r="D687" s="54">
        <f>IF(_imp!$C$689="","",INDEX(_imp!$G$4:$G$4503,_imp!$C$689))</f>
        <v/>
      </c>
      <c r="E687" s="54">
        <f>IF(_imp!$C$689="","",INDEX(_imp!$H$4:$H$4503,_imp!$C$689))</f>
        <v/>
      </c>
      <c r="F687" s="54">
        <f>IF(_imp!$C$689="","",INDEX(_imp!$I$4:$I$4503,_imp!$C$689))</f>
        <v/>
      </c>
      <c r="G687" s="54">
        <f>IF(_imp!$C$689="","",INDEX(_imp!$J$4:$J$4503,_imp!$C$689))</f>
        <v/>
      </c>
      <c r="K687" s="54">
        <f>IF(_imp!$C$689="","",INDEX(_imp!$K$4:$K$4503,_imp!$C$689))</f>
        <v/>
      </c>
    </row>
    <row r="688">
      <c r="A688" s="54">
        <f>IF(_imp!$C$690="","",INDEX(_imp!$D$4:$D$4503,_imp!$C$690))</f>
        <v/>
      </c>
      <c r="B688" s="54">
        <f>IF(_imp!$C$690="","",INDEX(_imp!$E$4:$E$4503,_imp!$C$690))</f>
        <v/>
      </c>
      <c r="C688" s="54">
        <f>IF(_imp!$C$690="","",INDEX(_imp!$F$4:$F$4503,_imp!$C$690))</f>
        <v/>
      </c>
      <c r="D688" s="54">
        <f>IF(_imp!$C$690="","",INDEX(_imp!$G$4:$G$4503,_imp!$C$690))</f>
        <v/>
      </c>
      <c r="E688" s="54">
        <f>IF(_imp!$C$690="","",INDEX(_imp!$H$4:$H$4503,_imp!$C$690))</f>
        <v/>
      </c>
      <c r="F688" s="54">
        <f>IF(_imp!$C$690="","",INDEX(_imp!$I$4:$I$4503,_imp!$C$690))</f>
        <v/>
      </c>
      <c r="G688" s="54">
        <f>IF(_imp!$C$690="","",INDEX(_imp!$J$4:$J$4503,_imp!$C$690))</f>
        <v/>
      </c>
      <c r="K688" s="54">
        <f>IF(_imp!$C$690="","",INDEX(_imp!$K$4:$K$4503,_imp!$C$690))</f>
        <v/>
      </c>
    </row>
    <row r="689">
      <c r="A689" s="54">
        <f>IF(_imp!$C$691="","",INDEX(_imp!$D$4:$D$4503,_imp!$C$691))</f>
        <v/>
      </c>
      <c r="B689" s="54">
        <f>IF(_imp!$C$691="","",INDEX(_imp!$E$4:$E$4503,_imp!$C$691))</f>
        <v/>
      </c>
      <c r="C689" s="54">
        <f>IF(_imp!$C$691="","",INDEX(_imp!$F$4:$F$4503,_imp!$C$691))</f>
        <v/>
      </c>
      <c r="D689" s="54">
        <f>IF(_imp!$C$691="","",INDEX(_imp!$G$4:$G$4503,_imp!$C$691))</f>
        <v/>
      </c>
      <c r="E689" s="54">
        <f>IF(_imp!$C$691="","",INDEX(_imp!$H$4:$H$4503,_imp!$C$691))</f>
        <v/>
      </c>
      <c r="F689" s="54">
        <f>IF(_imp!$C$691="","",INDEX(_imp!$I$4:$I$4503,_imp!$C$691))</f>
        <v/>
      </c>
      <c r="G689" s="54">
        <f>IF(_imp!$C$691="","",INDEX(_imp!$J$4:$J$4503,_imp!$C$691))</f>
        <v/>
      </c>
      <c r="K689" s="54">
        <f>IF(_imp!$C$691="","",INDEX(_imp!$K$4:$K$4503,_imp!$C$691))</f>
        <v/>
      </c>
    </row>
    <row r="690">
      <c r="A690" s="54">
        <f>IF(_imp!$C$692="","",INDEX(_imp!$D$4:$D$4503,_imp!$C$692))</f>
        <v/>
      </c>
      <c r="B690" s="54">
        <f>IF(_imp!$C$692="","",INDEX(_imp!$E$4:$E$4503,_imp!$C$692))</f>
        <v/>
      </c>
      <c r="C690" s="54">
        <f>IF(_imp!$C$692="","",INDEX(_imp!$F$4:$F$4503,_imp!$C$692))</f>
        <v/>
      </c>
      <c r="D690" s="54">
        <f>IF(_imp!$C$692="","",INDEX(_imp!$G$4:$G$4503,_imp!$C$692))</f>
        <v/>
      </c>
      <c r="E690" s="54">
        <f>IF(_imp!$C$692="","",INDEX(_imp!$H$4:$H$4503,_imp!$C$692))</f>
        <v/>
      </c>
      <c r="F690" s="54">
        <f>IF(_imp!$C$692="","",INDEX(_imp!$I$4:$I$4503,_imp!$C$692))</f>
        <v/>
      </c>
      <c r="G690" s="54">
        <f>IF(_imp!$C$692="","",INDEX(_imp!$J$4:$J$4503,_imp!$C$692))</f>
        <v/>
      </c>
      <c r="K690" s="54">
        <f>IF(_imp!$C$692="","",INDEX(_imp!$K$4:$K$4503,_imp!$C$692))</f>
        <v/>
      </c>
    </row>
    <row r="691">
      <c r="A691" s="54">
        <f>IF(_imp!$C$693="","",INDEX(_imp!$D$4:$D$4503,_imp!$C$693))</f>
        <v/>
      </c>
      <c r="B691" s="54">
        <f>IF(_imp!$C$693="","",INDEX(_imp!$E$4:$E$4503,_imp!$C$693))</f>
        <v/>
      </c>
      <c r="C691" s="54">
        <f>IF(_imp!$C$693="","",INDEX(_imp!$F$4:$F$4503,_imp!$C$693))</f>
        <v/>
      </c>
      <c r="D691" s="54">
        <f>IF(_imp!$C$693="","",INDEX(_imp!$G$4:$G$4503,_imp!$C$693))</f>
        <v/>
      </c>
      <c r="E691" s="54">
        <f>IF(_imp!$C$693="","",INDEX(_imp!$H$4:$H$4503,_imp!$C$693))</f>
        <v/>
      </c>
      <c r="F691" s="54">
        <f>IF(_imp!$C$693="","",INDEX(_imp!$I$4:$I$4503,_imp!$C$693))</f>
        <v/>
      </c>
      <c r="G691" s="54">
        <f>IF(_imp!$C$693="","",INDEX(_imp!$J$4:$J$4503,_imp!$C$693))</f>
        <v/>
      </c>
      <c r="K691" s="54">
        <f>IF(_imp!$C$693="","",INDEX(_imp!$K$4:$K$4503,_imp!$C$693))</f>
        <v/>
      </c>
    </row>
    <row r="692">
      <c r="A692" s="54">
        <f>IF(_imp!$C$694="","",INDEX(_imp!$D$4:$D$4503,_imp!$C$694))</f>
        <v/>
      </c>
      <c r="B692" s="54">
        <f>IF(_imp!$C$694="","",INDEX(_imp!$E$4:$E$4503,_imp!$C$694))</f>
        <v/>
      </c>
      <c r="C692" s="54">
        <f>IF(_imp!$C$694="","",INDEX(_imp!$F$4:$F$4503,_imp!$C$694))</f>
        <v/>
      </c>
      <c r="D692" s="54">
        <f>IF(_imp!$C$694="","",INDEX(_imp!$G$4:$G$4503,_imp!$C$694))</f>
        <v/>
      </c>
      <c r="E692" s="54">
        <f>IF(_imp!$C$694="","",INDEX(_imp!$H$4:$H$4503,_imp!$C$694))</f>
        <v/>
      </c>
      <c r="F692" s="54">
        <f>IF(_imp!$C$694="","",INDEX(_imp!$I$4:$I$4503,_imp!$C$694))</f>
        <v/>
      </c>
      <c r="G692" s="54">
        <f>IF(_imp!$C$694="","",INDEX(_imp!$J$4:$J$4503,_imp!$C$694))</f>
        <v/>
      </c>
      <c r="K692" s="54">
        <f>IF(_imp!$C$694="","",INDEX(_imp!$K$4:$K$4503,_imp!$C$694))</f>
        <v/>
      </c>
    </row>
    <row r="693">
      <c r="A693" s="54">
        <f>IF(_imp!$C$695="","",INDEX(_imp!$D$4:$D$4503,_imp!$C$695))</f>
        <v/>
      </c>
      <c r="B693" s="54">
        <f>IF(_imp!$C$695="","",INDEX(_imp!$E$4:$E$4503,_imp!$C$695))</f>
        <v/>
      </c>
      <c r="C693" s="54">
        <f>IF(_imp!$C$695="","",INDEX(_imp!$F$4:$F$4503,_imp!$C$695))</f>
        <v/>
      </c>
      <c r="D693" s="54">
        <f>IF(_imp!$C$695="","",INDEX(_imp!$G$4:$G$4503,_imp!$C$695))</f>
        <v/>
      </c>
      <c r="E693" s="54">
        <f>IF(_imp!$C$695="","",INDEX(_imp!$H$4:$H$4503,_imp!$C$695))</f>
        <v/>
      </c>
      <c r="F693" s="54">
        <f>IF(_imp!$C$695="","",INDEX(_imp!$I$4:$I$4503,_imp!$C$695))</f>
        <v/>
      </c>
      <c r="G693" s="54">
        <f>IF(_imp!$C$695="","",INDEX(_imp!$J$4:$J$4503,_imp!$C$695))</f>
        <v/>
      </c>
      <c r="K693" s="54">
        <f>IF(_imp!$C$695="","",INDEX(_imp!$K$4:$K$4503,_imp!$C$695))</f>
        <v/>
      </c>
    </row>
    <row r="694">
      <c r="A694" s="54">
        <f>IF(_imp!$C$696="","",INDEX(_imp!$D$4:$D$4503,_imp!$C$696))</f>
        <v/>
      </c>
      <c r="B694" s="54">
        <f>IF(_imp!$C$696="","",INDEX(_imp!$E$4:$E$4503,_imp!$C$696))</f>
        <v/>
      </c>
      <c r="C694" s="54">
        <f>IF(_imp!$C$696="","",INDEX(_imp!$F$4:$F$4503,_imp!$C$696))</f>
        <v/>
      </c>
      <c r="D694" s="54">
        <f>IF(_imp!$C$696="","",INDEX(_imp!$G$4:$G$4503,_imp!$C$696))</f>
        <v/>
      </c>
      <c r="E694" s="54">
        <f>IF(_imp!$C$696="","",INDEX(_imp!$H$4:$H$4503,_imp!$C$696))</f>
        <v/>
      </c>
      <c r="F694" s="54">
        <f>IF(_imp!$C$696="","",INDEX(_imp!$I$4:$I$4503,_imp!$C$696))</f>
        <v/>
      </c>
      <c r="G694" s="54">
        <f>IF(_imp!$C$696="","",INDEX(_imp!$J$4:$J$4503,_imp!$C$696))</f>
        <v/>
      </c>
      <c r="K694" s="54">
        <f>IF(_imp!$C$696="","",INDEX(_imp!$K$4:$K$4503,_imp!$C$696))</f>
        <v/>
      </c>
    </row>
    <row r="695">
      <c r="A695" s="54">
        <f>IF(_imp!$C$697="","",INDEX(_imp!$D$4:$D$4503,_imp!$C$697))</f>
        <v/>
      </c>
      <c r="B695" s="54">
        <f>IF(_imp!$C$697="","",INDEX(_imp!$E$4:$E$4503,_imp!$C$697))</f>
        <v/>
      </c>
      <c r="C695" s="54">
        <f>IF(_imp!$C$697="","",INDEX(_imp!$F$4:$F$4503,_imp!$C$697))</f>
        <v/>
      </c>
      <c r="D695" s="54">
        <f>IF(_imp!$C$697="","",INDEX(_imp!$G$4:$G$4503,_imp!$C$697))</f>
        <v/>
      </c>
      <c r="E695" s="54">
        <f>IF(_imp!$C$697="","",INDEX(_imp!$H$4:$H$4503,_imp!$C$697))</f>
        <v/>
      </c>
      <c r="F695" s="54">
        <f>IF(_imp!$C$697="","",INDEX(_imp!$I$4:$I$4503,_imp!$C$697))</f>
        <v/>
      </c>
      <c r="G695" s="54">
        <f>IF(_imp!$C$697="","",INDEX(_imp!$J$4:$J$4503,_imp!$C$697))</f>
        <v/>
      </c>
      <c r="K695" s="54">
        <f>IF(_imp!$C$697="","",INDEX(_imp!$K$4:$K$4503,_imp!$C$697))</f>
        <v/>
      </c>
    </row>
    <row r="696">
      <c r="A696" s="54">
        <f>IF(_imp!$C$698="","",INDEX(_imp!$D$4:$D$4503,_imp!$C$698))</f>
        <v/>
      </c>
      <c r="B696" s="54">
        <f>IF(_imp!$C$698="","",INDEX(_imp!$E$4:$E$4503,_imp!$C$698))</f>
        <v/>
      </c>
      <c r="C696" s="54">
        <f>IF(_imp!$C$698="","",INDEX(_imp!$F$4:$F$4503,_imp!$C$698))</f>
        <v/>
      </c>
      <c r="D696" s="54">
        <f>IF(_imp!$C$698="","",INDEX(_imp!$G$4:$G$4503,_imp!$C$698))</f>
        <v/>
      </c>
      <c r="E696" s="54">
        <f>IF(_imp!$C$698="","",INDEX(_imp!$H$4:$H$4503,_imp!$C$698))</f>
        <v/>
      </c>
      <c r="F696" s="54">
        <f>IF(_imp!$C$698="","",INDEX(_imp!$I$4:$I$4503,_imp!$C$698))</f>
        <v/>
      </c>
      <c r="G696" s="54">
        <f>IF(_imp!$C$698="","",INDEX(_imp!$J$4:$J$4503,_imp!$C$698))</f>
        <v/>
      </c>
      <c r="K696" s="54">
        <f>IF(_imp!$C$698="","",INDEX(_imp!$K$4:$K$4503,_imp!$C$698))</f>
        <v/>
      </c>
    </row>
    <row r="697">
      <c r="A697" s="54">
        <f>IF(_imp!$C$699="","",INDEX(_imp!$D$4:$D$4503,_imp!$C$699))</f>
        <v/>
      </c>
      <c r="B697" s="54">
        <f>IF(_imp!$C$699="","",INDEX(_imp!$E$4:$E$4503,_imp!$C$699))</f>
        <v/>
      </c>
      <c r="C697" s="54">
        <f>IF(_imp!$C$699="","",INDEX(_imp!$F$4:$F$4503,_imp!$C$699))</f>
        <v/>
      </c>
      <c r="D697" s="54">
        <f>IF(_imp!$C$699="","",INDEX(_imp!$G$4:$G$4503,_imp!$C$699))</f>
        <v/>
      </c>
      <c r="E697" s="54">
        <f>IF(_imp!$C$699="","",INDEX(_imp!$H$4:$H$4503,_imp!$C$699))</f>
        <v/>
      </c>
      <c r="F697" s="54">
        <f>IF(_imp!$C$699="","",INDEX(_imp!$I$4:$I$4503,_imp!$C$699))</f>
        <v/>
      </c>
      <c r="G697" s="54">
        <f>IF(_imp!$C$699="","",INDEX(_imp!$J$4:$J$4503,_imp!$C$699))</f>
        <v/>
      </c>
      <c r="K697" s="54">
        <f>IF(_imp!$C$699="","",INDEX(_imp!$K$4:$K$4503,_imp!$C$699))</f>
        <v/>
      </c>
    </row>
    <row r="698">
      <c r="A698" s="54">
        <f>IF(_imp!$C$700="","",INDEX(_imp!$D$4:$D$4503,_imp!$C$700))</f>
        <v/>
      </c>
      <c r="B698" s="54">
        <f>IF(_imp!$C$700="","",INDEX(_imp!$E$4:$E$4503,_imp!$C$700))</f>
        <v/>
      </c>
      <c r="C698" s="54">
        <f>IF(_imp!$C$700="","",INDEX(_imp!$F$4:$F$4503,_imp!$C$700))</f>
        <v/>
      </c>
      <c r="D698" s="54">
        <f>IF(_imp!$C$700="","",INDEX(_imp!$G$4:$G$4503,_imp!$C$700))</f>
        <v/>
      </c>
      <c r="E698" s="54">
        <f>IF(_imp!$C$700="","",INDEX(_imp!$H$4:$H$4503,_imp!$C$700))</f>
        <v/>
      </c>
      <c r="F698" s="54">
        <f>IF(_imp!$C$700="","",INDEX(_imp!$I$4:$I$4503,_imp!$C$700))</f>
        <v/>
      </c>
      <c r="G698" s="54">
        <f>IF(_imp!$C$700="","",INDEX(_imp!$J$4:$J$4503,_imp!$C$700))</f>
        <v/>
      </c>
      <c r="K698" s="54">
        <f>IF(_imp!$C$700="","",INDEX(_imp!$K$4:$K$4503,_imp!$C$700))</f>
        <v/>
      </c>
    </row>
    <row r="699">
      <c r="A699" s="54">
        <f>IF(_imp!$C$701="","",INDEX(_imp!$D$4:$D$4503,_imp!$C$701))</f>
        <v/>
      </c>
      <c r="B699" s="54">
        <f>IF(_imp!$C$701="","",INDEX(_imp!$E$4:$E$4503,_imp!$C$701))</f>
        <v/>
      </c>
      <c r="C699" s="54">
        <f>IF(_imp!$C$701="","",INDEX(_imp!$F$4:$F$4503,_imp!$C$701))</f>
        <v/>
      </c>
      <c r="D699" s="54">
        <f>IF(_imp!$C$701="","",INDEX(_imp!$G$4:$G$4503,_imp!$C$701))</f>
        <v/>
      </c>
      <c r="E699" s="54">
        <f>IF(_imp!$C$701="","",INDEX(_imp!$H$4:$H$4503,_imp!$C$701))</f>
        <v/>
      </c>
      <c r="F699" s="54">
        <f>IF(_imp!$C$701="","",INDEX(_imp!$I$4:$I$4503,_imp!$C$701))</f>
        <v/>
      </c>
      <c r="G699" s="54">
        <f>IF(_imp!$C$701="","",INDEX(_imp!$J$4:$J$4503,_imp!$C$701))</f>
        <v/>
      </c>
      <c r="K699" s="54">
        <f>IF(_imp!$C$701="","",INDEX(_imp!$K$4:$K$4503,_imp!$C$701))</f>
        <v/>
      </c>
    </row>
    <row r="700">
      <c r="A700" s="54">
        <f>IF(_imp!$C$702="","",INDEX(_imp!$D$4:$D$4503,_imp!$C$702))</f>
        <v/>
      </c>
      <c r="B700" s="54">
        <f>IF(_imp!$C$702="","",INDEX(_imp!$E$4:$E$4503,_imp!$C$702))</f>
        <v/>
      </c>
      <c r="C700" s="54">
        <f>IF(_imp!$C$702="","",INDEX(_imp!$F$4:$F$4503,_imp!$C$702))</f>
        <v/>
      </c>
      <c r="D700" s="54">
        <f>IF(_imp!$C$702="","",INDEX(_imp!$G$4:$G$4503,_imp!$C$702))</f>
        <v/>
      </c>
      <c r="E700" s="54">
        <f>IF(_imp!$C$702="","",INDEX(_imp!$H$4:$H$4503,_imp!$C$702))</f>
        <v/>
      </c>
      <c r="F700" s="54">
        <f>IF(_imp!$C$702="","",INDEX(_imp!$I$4:$I$4503,_imp!$C$702))</f>
        <v/>
      </c>
      <c r="G700" s="54">
        <f>IF(_imp!$C$702="","",INDEX(_imp!$J$4:$J$4503,_imp!$C$702))</f>
        <v/>
      </c>
      <c r="K700" s="54">
        <f>IF(_imp!$C$702="","",INDEX(_imp!$K$4:$K$4503,_imp!$C$702))</f>
        <v/>
      </c>
    </row>
    <row r="701">
      <c r="A701" s="54">
        <f>IF(_imp!$C$703="","",INDEX(_imp!$D$4:$D$4503,_imp!$C$703))</f>
        <v/>
      </c>
      <c r="B701" s="54">
        <f>IF(_imp!$C$703="","",INDEX(_imp!$E$4:$E$4503,_imp!$C$703))</f>
        <v/>
      </c>
      <c r="C701" s="54">
        <f>IF(_imp!$C$703="","",INDEX(_imp!$F$4:$F$4503,_imp!$C$703))</f>
        <v/>
      </c>
      <c r="D701" s="54">
        <f>IF(_imp!$C$703="","",INDEX(_imp!$G$4:$G$4503,_imp!$C$703))</f>
        <v/>
      </c>
      <c r="E701" s="54">
        <f>IF(_imp!$C$703="","",INDEX(_imp!$H$4:$H$4503,_imp!$C$703))</f>
        <v/>
      </c>
      <c r="F701" s="54">
        <f>IF(_imp!$C$703="","",INDEX(_imp!$I$4:$I$4503,_imp!$C$703))</f>
        <v/>
      </c>
      <c r="G701" s="54">
        <f>IF(_imp!$C$703="","",INDEX(_imp!$J$4:$J$4503,_imp!$C$703))</f>
        <v/>
      </c>
      <c r="K701" s="54">
        <f>IF(_imp!$C$703="","",INDEX(_imp!$K$4:$K$4503,_imp!$C$703))</f>
        <v/>
      </c>
    </row>
    <row r="702">
      <c r="A702" s="54">
        <f>IF(_imp!$C$704="","",INDEX(_imp!$D$4:$D$4503,_imp!$C$704))</f>
        <v/>
      </c>
      <c r="B702" s="54">
        <f>IF(_imp!$C$704="","",INDEX(_imp!$E$4:$E$4503,_imp!$C$704))</f>
        <v/>
      </c>
      <c r="C702" s="54">
        <f>IF(_imp!$C$704="","",INDEX(_imp!$F$4:$F$4503,_imp!$C$704))</f>
        <v/>
      </c>
      <c r="D702" s="54">
        <f>IF(_imp!$C$704="","",INDEX(_imp!$G$4:$G$4503,_imp!$C$704))</f>
        <v/>
      </c>
      <c r="E702" s="54">
        <f>IF(_imp!$C$704="","",INDEX(_imp!$H$4:$H$4503,_imp!$C$704))</f>
        <v/>
      </c>
      <c r="F702" s="54">
        <f>IF(_imp!$C$704="","",INDEX(_imp!$I$4:$I$4503,_imp!$C$704))</f>
        <v/>
      </c>
      <c r="G702" s="54">
        <f>IF(_imp!$C$704="","",INDEX(_imp!$J$4:$J$4503,_imp!$C$704))</f>
        <v/>
      </c>
      <c r="K702" s="54">
        <f>IF(_imp!$C$704="","",INDEX(_imp!$K$4:$K$4503,_imp!$C$704))</f>
        <v/>
      </c>
    </row>
    <row r="703">
      <c r="A703" s="54">
        <f>IF(_imp!$C$705="","",INDEX(_imp!$D$4:$D$4503,_imp!$C$705))</f>
        <v/>
      </c>
      <c r="B703" s="54">
        <f>IF(_imp!$C$705="","",INDEX(_imp!$E$4:$E$4503,_imp!$C$705))</f>
        <v/>
      </c>
      <c r="C703" s="54">
        <f>IF(_imp!$C$705="","",INDEX(_imp!$F$4:$F$4503,_imp!$C$705))</f>
        <v/>
      </c>
      <c r="D703" s="54">
        <f>IF(_imp!$C$705="","",INDEX(_imp!$G$4:$G$4503,_imp!$C$705))</f>
        <v/>
      </c>
      <c r="E703" s="54">
        <f>IF(_imp!$C$705="","",INDEX(_imp!$H$4:$H$4503,_imp!$C$705))</f>
        <v/>
      </c>
      <c r="F703" s="54">
        <f>IF(_imp!$C$705="","",INDEX(_imp!$I$4:$I$4503,_imp!$C$705))</f>
        <v/>
      </c>
      <c r="G703" s="54">
        <f>IF(_imp!$C$705="","",INDEX(_imp!$J$4:$J$4503,_imp!$C$705))</f>
        <v/>
      </c>
      <c r="K703" s="54">
        <f>IF(_imp!$C$705="","",INDEX(_imp!$K$4:$K$4503,_imp!$C$705))</f>
        <v/>
      </c>
    </row>
    <row r="704">
      <c r="A704" s="54">
        <f>IF(_imp!$C$706="","",INDEX(_imp!$D$4:$D$4503,_imp!$C$706))</f>
        <v/>
      </c>
      <c r="B704" s="54">
        <f>IF(_imp!$C$706="","",INDEX(_imp!$E$4:$E$4503,_imp!$C$706))</f>
        <v/>
      </c>
      <c r="C704" s="54">
        <f>IF(_imp!$C$706="","",INDEX(_imp!$F$4:$F$4503,_imp!$C$706))</f>
        <v/>
      </c>
      <c r="D704" s="54">
        <f>IF(_imp!$C$706="","",INDEX(_imp!$G$4:$G$4503,_imp!$C$706))</f>
        <v/>
      </c>
      <c r="E704" s="54">
        <f>IF(_imp!$C$706="","",INDEX(_imp!$H$4:$H$4503,_imp!$C$706))</f>
        <v/>
      </c>
      <c r="F704" s="54">
        <f>IF(_imp!$C$706="","",INDEX(_imp!$I$4:$I$4503,_imp!$C$706))</f>
        <v/>
      </c>
      <c r="G704" s="54">
        <f>IF(_imp!$C$706="","",INDEX(_imp!$J$4:$J$4503,_imp!$C$706))</f>
        <v/>
      </c>
      <c r="K704" s="54">
        <f>IF(_imp!$C$706="","",INDEX(_imp!$K$4:$K$4503,_imp!$C$706))</f>
        <v/>
      </c>
    </row>
    <row r="705">
      <c r="A705" s="54">
        <f>IF(_imp!$C$707="","",INDEX(_imp!$D$4:$D$4503,_imp!$C$707))</f>
        <v/>
      </c>
      <c r="B705" s="54">
        <f>IF(_imp!$C$707="","",INDEX(_imp!$E$4:$E$4503,_imp!$C$707))</f>
        <v/>
      </c>
      <c r="C705" s="54">
        <f>IF(_imp!$C$707="","",INDEX(_imp!$F$4:$F$4503,_imp!$C$707))</f>
        <v/>
      </c>
      <c r="D705" s="54">
        <f>IF(_imp!$C$707="","",INDEX(_imp!$G$4:$G$4503,_imp!$C$707))</f>
        <v/>
      </c>
      <c r="E705" s="54">
        <f>IF(_imp!$C$707="","",INDEX(_imp!$H$4:$H$4503,_imp!$C$707))</f>
        <v/>
      </c>
      <c r="F705" s="54">
        <f>IF(_imp!$C$707="","",INDEX(_imp!$I$4:$I$4503,_imp!$C$707))</f>
        <v/>
      </c>
      <c r="G705" s="54">
        <f>IF(_imp!$C$707="","",INDEX(_imp!$J$4:$J$4503,_imp!$C$707))</f>
        <v/>
      </c>
      <c r="K705" s="54">
        <f>IF(_imp!$C$707="","",INDEX(_imp!$K$4:$K$4503,_imp!$C$707))</f>
        <v/>
      </c>
    </row>
    <row r="706">
      <c r="A706" s="54">
        <f>IF(_imp!$C$708="","",INDEX(_imp!$D$4:$D$4503,_imp!$C$708))</f>
        <v/>
      </c>
      <c r="B706" s="54">
        <f>IF(_imp!$C$708="","",INDEX(_imp!$E$4:$E$4503,_imp!$C$708))</f>
        <v/>
      </c>
      <c r="C706" s="54">
        <f>IF(_imp!$C$708="","",INDEX(_imp!$F$4:$F$4503,_imp!$C$708))</f>
        <v/>
      </c>
      <c r="D706" s="54">
        <f>IF(_imp!$C$708="","",INDEX(_imp!$G$4:$G$4503,_imp!$C$708))</f>
        <v/>
      </c>
      <c r="E706" s="54">
        <f>IF(_imp!$C$708="","",INDEX(_imp!$H$4:$H$4503,_imp!$C$708))</f>
        <v/>
      </c>
      <c r="F706" s="54">
        <f>IF(_imp!$C$708="","",INDEX(_imp!$I$4:$I$4503,_imp!$C$708))</f>
        <v/>
      </c>
      <c r="G706" s="54">
        <f>IF(_imp!$C$708="","",INDEX(_imp!$J$4:$J$4503,_imp!$C$708))</f>
        <v/>
      </c>
      <c r="K706" s="54">
        <f>IF(_imp!$C$708="","",INDEX(_imp!$K$4:$K$4503,_imp!$C$708))</f>
        <v/>
      </c>
    </row>
    <row r="707">
      <c r="A707" s="54">
        <f>IF(_imp!$C$709="","",INDEX(_imp!$D$4:$D$4503,_imp!$C$709))</f>
        <v/>
      </c>
      <c r="B707" s="54">
        <f>IF(_imp!$C$709="","",INDEX(_imp!$E$4:$E$4503,_imp!$C$709))</f>
        <v/>
      </c>
      <c r="C707" s="54">
        <f>IF(_imp!$C$709="","",INDEX(_imp!$F$4:$F$4503,_imp!$C$709))</f>
        <v/>
      </c>
      <c r="D707" s="54">
        <f>IF(_imp!$C$709="","",INDEX(_imp!$G$4:$G$4503,_imp!$C$709))</f>
        <v/>
      </c>
      <c r="E707" s="54">
        <f>IF(_imp!$C$709="","",INDEX(_imp!$H$4:$H$4503,_imp!$C$709))</f>
        <v/>
      </c>
      <c r="F707" s="54">
        <f>IF(_imp!$C$709="","",INDEX(_imp!$I$4:$I$4503,_imp!$C$709))</f>
        <v/>
      </c>
      <c r="G707" s="54">
        <f>IF(_imp!$C$709="","",INDEX(_imp!$J$4:$J$4503,_imp!$C$709))</f>
        <v/>
      </c>
      <c r="K707" s="54">
        <f>IF(_imp!$C$709="","",INDEX(_imp!$K$4:$K$4503,_imp!$C$709))</f>
        <v/>
      </c>
    </row>
    <row r="708">
      <c r="A708" s="54">
        <f>IF(_imp!$C$710="","",INDEX(_imp!$D$4:$D$4503,_imp!$C$710))</f>
        <v/>
      </c>
      <c r="B708" s="54">
        <f>IF(_imp!$C$710="","",INDEX(_imp!$E$4:$E$4503,_imp!$C$710))</f>
        <v/>
      </c>
      <c r="C708" s="54">
        <f>IF(_imp!$C$710="","",INDEX(_imp!$F$4:$F$4503,_imp!$C$710))</f>
        <v/>
      </c>
      <c r="D708" s="54">
        <f>IF(_imp!$C$710="","",INDEX(_imp!$G$4:$G$4503,_imp!$C$710))</f>
        <v/>
      </c>
      <c r="E708" s="54">
        <f>IF(_imp!$C$710="","",INDEX(_imp!$H$4:$H$4503,_imp!$C$710))</f>
        <v/>
      </c>
      <c r="F708" s="54">
        <f>IF(_imp!$C$710="","",INDEX(_imp!$I$4:$I$4503,_imp!$C$710))</f>
        <v/>
      </c>
      <c r="G708" s="54">
        <f>IF(_imp!$C$710="","",INDEX(_imp!$J$4:$J$4503,_imp!$C$710))</f>
        <v/>
      </c>
      <c r="K708" s="54">
        <f>IF(_imp!$C$710="","",INDEX(_imp!$K$4:$K$4503,_imp!$C$710))</f>
        <v/>
      </c>
    </row>
    <row r="709">
      <c r="A709" s="54">
        <f>IF(_imp!$C$711="","",INDEX(_imp!$D$4:$D$4503,_imp!$C$711))</f>
        <v/>
      </c>
      <c r="B709" s="54">
        <f>IF(_imp!$C$711="","",INDEX(_imp!$E$4:$E$4503,_imp!$C$711))</f>
        <v/>
      </c>
      <c r="C709" s="54">
        <f>IF(_imp!$C$711="","",INDEX(_imp!$F$4:$F$4503,_imp!$C$711))</f>
        <v/>
      </c>
      <c r="D709" s="54">
        <f>IF(_imp!$C$711="","",INDEX(_imp!$G$4:$G$4503,_imp!$C$711))</f>
        <v/>
      </c>
      <c r="E709" s="54">
        <f>IF(_imp!$C$711="","",INDEX(_imp!$H$4:$H$4503,_imp!$C$711))</f>
        <v/>
      </c>
      <c r="F709" s="54">
        <f>IF(_imp!$C$711="","",INDEX(_imp!$I$4:$I$4503,_imp!$C$711))</f>
        <v/>
      </c>
      <c r="G709" s="54">
        <f>IF(_imp!$C$711="","",INDEX(_imp!$J$4:$J$4503,_imp!$C$711))</f>
        <v/>
      </c>
      <c r="K709" s="54">
        <f>IF(_imp!$C$711="","",INDEX(_imp!$K$4:$K$4503,_imp!$C$711))</f>
        <v/>
      </c>
    </row>
    <row r="710">
      <c r="A710" s="54">
        <f>IF(_imp!$C$712="","",INDEX(_imp!$D$4:$D$4503,_imp!$C$712))</f>
        <v/>
      </c>
      <c r="B710" s="54">
        <f>IF(_imp!$C$712="","",INDEX(_imp!$E$4:$E$4503,_imp!$C$712))</f>
        <v/>
      </c>
      <c r="C710" s="54">
        <f>IF(_imp!$C$712="","",INDEX(_imp!$F$4:$F$4503,_imp!$C$712))</f>
        <v/>
      </c>
      <c r="D710" s="54">
        <f>IF(_imp!$C$712="","",INDEX(_imp!$G$4:$G$4503,_imp!$C$712))</f>
        <v/>
      </c>
      <c r="E710" s="54">
        <f>IF(_imp!$C$712="","",INDEX(_imp!$H$4:$H$4503,_imp!$C$712))</f>
        <v/>
      </c>
      <c r="F710" s="54">
        <f>IF(_imp!$C$712="","",INDEX(_imp!$I$4:$I$4503,_imp!$C$712))</f>
        <v/>
      </c>
      <c r="G710" s="54">
        <f>IF(_imp!$C$712="","",INDEX(_imp!$J$4:$J$4503,_imp!$C$712))</f>
        <v/>
      </c>
      <c r="K710" s="54">
        <f>IF(_imp!$C$712="","",INDEX(_imp!$K$4:$K$4503,_imp!$C$712))</f>
        <v/>
      </c>
    </row>
    <row r="711">
      <c r="A711" s="54">
        <f>IF(_imp!$C$713="","",INDEX(_imp!$D$4:$D$4503,_imp!$C$713))</f>
        <v/>
      </c>
      <c r="B711" s="54">
        <f>IF(_imp!$C$713="","",INDEX(_imp!$E$4:$E$4503,_imp!$C$713))</f>
        <v/>
      </c>
      <c r="C711" s="54">
        <f>IF(_imp!$C$713="","",INDEX(_imp!$F$4:$F$4503,_imp!$C$713))</f>
        <v/>
      </c>
      <c r="D711" s="54">
        <f>IF(_imp!$C$713="","",INDEX(_imp!$G$4:$G$4503,_imp!$C$713))</f>
        <v/>
      </c>
      <c r="E711" s="54">
        <f>IF(_imp!$C$713="","",INDEX(_imp!$H$4:$H$4503,_imp!$C$713))</f>
        <v/>
      </c>
      <c r="F711" s="54">
        <f>IF(_imp!$C$713="","",INDEX(_imp!$I$4:$I$4503,_imp!$C$713))</f>
        <v/>
      </c>
      <c r="G711" s="54">
        <f>IF(_imp!$C$713="","",INDEX(_imp!$J$4:$J$4503,_imp!$C$713))</f>
        <v/>
      </c>
      <c r="K711" s="54">
        <f>IF(_imp!$C$713="","",INDEX(_imp!$K$4:$K$4503,_imp!$C$713))</f>
        <v/>
      </c>
    </row>
    <row r="712">
      <c r="A712" s="54">
        <f>IF(_imp!$C$714="","",INDEX(_imp!$D$4:$D$4503,_imp!$C$714))</f>
        <v/>
      </c>
      <c r="B712" s="54">
        <f>IF(_imp!$C$714="","",INDEX(_imp!$E$4:$E$4503,_imp!$C$714))</f>
        <v/>
      </c>
      <c r="C712" s="54">
        <f>IF(_imp!$C$714="","",INDEX(_imp!$F$4:$F$4503,_imp!$C$714))</f>
        <v/>
      </c>
      <c r="D712" s="54">
        <f>IF(_imp!$C$714="","",INDEX(_imp!$G$4:$G$4503,_imp!$C$714))</f>
        <v/>
      </c>
      <c r="E712" s="54">
        <f>IF(_imp!$C$714="","",INDEX(_imp!$H$4:$H$4503,_imp!$C$714))</f>
        <v/>
      </c>
      <c r="F712" s="54">
        <f>IF(_imp!$C$714="","",INDEX(_imp!$I$4:$I$4503,_imp!$C$714))</f>
        <v/>
      </c>
      <c r="G712" s="54">
        <f>IF(_imp!$C$714="","",INDEX(_imp!$J$4:$J$4503,_imp!$C$714))</f>
        <v/>
      </c>
      <c r="K712" s="54">
        <f>IF(_imp!$C$714="","",INDEX(_imp!$K$4:$K$4503,_imp!$C$714))</f>
        <v/>
      </c>
    </row>
    <row r="713">
      <c r="A713" s="54">
        <f>IF(_imp!$C$715="","",INDEX(_imp!$D$4:$D$4503,_imp!$C$715))</f>
        <v/>
      </c>
      <c r="B713" s="54">
        <f>IF(_imp!$C$715="","",INDEX(_imp!$E$4:$E$4503,_imp!$C$715))</f>
        <v/>
      </c>
      <c r="C713" s="54">
        <f>IF(_imp!$C$715="","",INDEX(_imp!$F$4:$F$4503,_imp!$C$715))</f>
        <v/>
      </c>
      <c r="D713" s="54">
        <f>IF(_imp!$C$715="","",INDEX(_imp!$G$4:$G$4503,_imp!$C$715))</f>
        <v/>
      </c>
      <c r="E713" s="54">
        <f>IF(_imp!$C$715="","",INDEX(_imp!$H$4:$H$4503,_imp!$C$715))</f>
        <v/>
      </c>
      <c r="F713" s="54">
        <f>IF(_imp!$C$715="","",INDEX(_imp!$I$4:$I$4503,_imp!$C$715))</f>
        <v/>
      </c>
      <c r="G713" s="54">
        <f>IF(_imp!$C$715="","",INDEX(_imp!$J$4:$J$4503,_imp!$C$715))</f>
        <v/>
      </c>
      <c r="K713" s="54">
        <f>IF(_imp!$C$715="","",INDEX(_imp!$K$4:$K$4503,_imp!$C$715))</f>
        <v/>
      </c>
    </row>
    <row r="714">
      <c r="A714" s="54">
        <f>IF(_imp!$C$716="","",INDEX(_imp!$D$4:$D$4503,_imp!$C$716))</f>
        <v/>
      </c>
      <c r="B714" s="54">
        <f>IF(_imp!$C$716="","",INDEX(_imp!$E$4:$E$4503,_imp!$C$716))</f>
        <v/>
      </c>
      <c r="C714" s="54">
        <f>IF(_imp!$C$716="","",INDEX(_imp!$F$4:$F$4503,_imp!$C$716))</f>
        <v/>
      </c>
      <c r="D714" s="54">
        <f>IF(_imp!$C$716="","",INDEX(_imp!$G$4:$G$4503,_imp!$C$716))</f>
        <v/>
      </c>
      <c r="E714" s="54">
        <f>IF(_imp!$C$716="","",INDEX(_imp!$H$4:$H$4503,_imp!$C$716))</f>
        <v/>
      </c>
      <c r="F714" s="54">
        <f>IF(_imp!$C$716="","",INDEX(_imp!$I$4:$I$4503,_imp!$C$716))</f>
        <v/>
      </c>
      <c r="G714" s="54">
        <f>IF(_imp!$C$716="","",INDEX(_imp!$J$4:$J$4503,_imp!$C$716))</f>
        <v/>
      </c>
      <c r="K714" s="54">
        <f>IF(_imp!$C$716="","",INDEX(_imp!$K$4:$K$4503,_imp!$C$716))</f>
        <v/>
      </c>
    </row>
    <row r="715">
      <c r="A715" s="54">
        <f>IF(_imp!$C$717="","",INDEX(_imp!$D$4:$D$4503,_imp!$C$717))</f>
        <v/>
      </c>
      <c r="B715" s="54">
        <f>IF(_imp!$C$717="","",INDEX(_imp!$E$4:$E$4503,_imp!$C$717))</f>
        <v/>
      </c>
      <c r="C715" s="54">
        <f>IF(_imp!$C$717="","",INDEX(_imp!$F$4:$F$4503,_imp!$C$717))</f>
        <v/>
      </c>
      <c r="D715" s="54">
        <f>IF(_imp!$C$717="","",INDEX(_imp!$G$4:$G$4503,_imp!$C$717))</f>
        <v/>
      </c>
      <c r="E715" s="54">
        <f>IF(_imp!$C$717="","",INDEX(_imp!$H$4:$H$4503,_imp!$C$717))</f>
        <v/>
      </c>
      <c r="F715" s="54">
        <f>IF(_imp!$C$717="","",INDEX(_imp!$I$4:$I$4503,_imp!$C$717))</f>
        <v/>
      </c>
      <c r="G715" s="54">
        <f>IF(_imp!$C$717="","",INDEX(_imp!$J$4:$J$4503,_imp!$C$717))</f>
        <v/>
      </c>
      <c r="K715" s="54">
        <f>IF(_imp!$C$717="","",INDEX(_imp!$K$4:$K$4503,_imp!$C$717))</f>
        <v/>
      </c>
    </row>
    <row r="716">
      <c r="A716" s="54">
        <f>IF(_imp!$C$718="","",INDEX(_imp!$D$4:$D$4503,_imp!$C$718))</f>
        <v/>
      </c>
      <c r="B716" s="54">
        <f>IF(_imp!$C$718="","",INDEX(_imp!$E$4:$E$4503,_imp!$C$718))</f>
        <v/>
      </c>
      <c r="C716" s="54">
        <f>IF(_imp!$C$718="","",INDEX(_imp!$F$4:$F$4503,_imp!$C$718))</f>
        <v/>
      </c>
      <c r="D716" s="54">
        <f>IF(_imp!$C$718="","",INDEX(_imp!$G$4:$G$4503,_imp!$C$718))</f>
        <v/>
      </c>
      <c r="E716" s="54">
        <f>IF(_imp!$C$718="","",INDEX(_imp!$H$4:$H$4503,_imp!$C$718))</f>
        <v/>
      </c>
      <c r="F716" s="54">
        <f>IF(_imp!$C$718="","",INDEX(_imp!$I$4:$I$4503,_imp!$C$718))</f>
        <v/>
      </c>
      <c r="G716" s="54">
        <f>IF(_imp!$C$718="","",INDEX(_imp!$J$4:$J$4503,_imp!$C$718))</f>
        <v/>
      </c>
      <c r="K716" s="54">
        <f>IF(_imp!$C$718="","",INDEX(_imp!$K$4:$K$4503,_imp!$C$718))</f>
        <v/>
      </c>
    </row>
    <row r="717">
      <c r="A717" s="54">
        <f>IF(_imp!$C$719="","",INDEX(_imp!$D$4:$D$4503,_imp!$C$719))</f>
        <v/>
      </c>
      <c r="B717" s="54">
        <f>IF(_imp!$C$719="","",INDEX(_imp!$E$4:$E$4503,_imp!$C$719))</f>
        <v/>
      </c>
      <c r="C717" s="54">
        <f>IF(_imp!$C$719="","",INDEX(_imp!$F$4:$F$4503,_imp!$C$719))</f>
        <v/>
      </c>
      <c r="D717" s="54">
        <f>IF(_imp!$C$719="","",INDEX(_imp!$G$4:$G$4503,_imp!$C$719))</f>
        <v/>
      </c>
      <c r="E717" s="54">
        <f>IF(_imp!$C$719="","",INDEX(_imp!$H$4:$H$4503,_imp!$C$719))</f>
        <v/>
      </c>
      <c r="F717" s="54">
        <f>IF(_imp!$C$719="","",INDEX(_imp!$I$4:$I$4503,_imp!$C$719))</f>
        <v/>
      </c>
      <c r="G717" s="54">
        <f>IF(_imp!$C$719="","",INDEX(_imp!$J$4:$J$4503,_imp!$C$719))</f>
        <v/>
      </c>
      <c r="K717" s="54">
        <f>IF(_imp!$C$719="","",INDEX(_imp!$K$4:$K$4503,_imp!$C$719))</f>
        <v/>
      </c>
    </row>
    <row r="718">
      <c r="A718" s="54">
        <f>IF(_imp!$C$720="","",INDEX(_imp!$D$4:$D$4503,_imp!$C$720))</f>
        <v/>
      </c>
      <c r="B718" s="54">
        <f>IF(_imp!$C$720="","",INDEX(_imp!$E$4:$E$4503,_imp!$C$720))</f>
        <v/>
      </c>
      <c r="C718" s="54">
        <f>IF(_imp!$C$720="","",INDEX(_imp!$F$4:$F$4503,_imp!$C$720))</f>
        <v/>
      </c>
      <c r="D718" s="54">
        <f>IF(_imp!$C$720="","",INDEX(_imp!$G$4:$G$4503,_imp!$C$720))</f>
        <v/>
      </c>
      <c r="E718" s="54">
        <f>IF(_imp!$C$720="","",INDEX(_imp!$H$4:$H$4503,_imp!$C$720))</f>
        <v/>
      </c>
      <c r="F718" s="54">
        <f>IF(_imp!$C$720="","",INDEX(_imp!$I$4:$I$4503,_imp!$C$720))</f>
        <v/>
      </c>
      <c r="G718" s="54">
        <f>IF(_imp!$C$720="","",INDEX(_imp!$J$4:$J$4503,_imp!$C$720))</f>
        <v/>
      </c>
      <c r="K718" s="54">
        <f>IF(_imp!$C$720="","",INDEX(_imp!$K$4:$K$4503,_imp!$C$720))</f>
        <v/>
      </c>
    </row>
    <row r="719">
      <c r="A719" s="54">
        <f>IF(_imp!$C$721="","",INDEX(_imp!$D$4:$D$4503,_imp!$C$721))</f>
        <v/>
      </c>
      <c r="B719" s="54">
        <f>IF(_imp!$C$721="","",INDEX(_imp!$E$4:$E$4503,_imp!$C$721))</f>
        <v/>
      </c>
      <c r="C719" s="54">
        <f>IF(_imp!$C$721="","",INDEX(_imp!$F$4:$F$4503,_imp!$C$721))</f>
        <v/>
      </c>
      <c r="D719" s="54">
        <f>IF(_imp!$C$721="","",INDEX(_imp!$G$4:$G$4503,_imp!$C$721))</f>
        <v/>
      </c>
      <c r="E719" s="54">
        <f>IF(_imp!$C$721="","",INDEX(_imp!$H$4:$H$4503,_imp!$C$721))</f>
        <v/>
      </c>
      <c r="F719" s="54">
        <f>IF(_imp!$C$721="","",INDEX(_imp!$I$4:$I$4503,_imp!$C$721))</f>
        <v/>
      </c>
      <c r="G719" s="54">
        <f>IF(_imp!$C$721="","",INDEX(_imp!$J$4:$J$4503,_imp!$C$721))</f>
        <v/>
      </c>
      <c r="K719" s="54">
        <f>IF(_imp!$C$721="","",INDEX(_imp!$K$4:$K$4503,_imp!$C$721))</f>
        <v/>
      </c>
    </row>
    <row r="720">
      <c r="A720" s="54">
        <f>IF(_imp!$C$722="","",INDEX(_imp!$D$4:$D$4503,_imp!$C$722))</f>
        <v/>
      </c>
      <c r="B720" s="54">
        <f>IF(_imp!$C$722="","",INDEX(_imp!$E$4:$E$4503,_imp!$C$722))</f>
        <v/>
      </c>
      <c r="C720" s="54">
        <f>IF(_imp!$C$722="","",INDEX(_imp!$F$4:$F$4503,_imp!$C$722))</f>
        <v/>
      </c>
      <c r="D720" s="54">
        <f>IF(_imp!$C$722="","",INDEX(_imp!$G$4:$G$4503,_imp!$C$722))</f>
        <v/>
      </c>
      <c r="E720" s="54">
        <f>IF(_imp!$C$722="","",INDEX(_imp!$H$4:$H$4503,_imp!$C$722))</f>
        <v/>
      </c>
      <c r="F720" s="54">
        <f>IF(_imp!$C$722="","",INDEX(_imp!$I$4:$I$4503,_imp!$C$722))</f>
        <v/>
      </c>
      <c r="G720" s="54">
        <f>IF(_imp!$C$722="","",INDEX(_imp!$J$4:$J$4503,_imp!$C$722))</f>
        <v/>
      </c>
      <c r="K720" s="54">
        <f>IF(_imp!$C$722="","",INDEX(_imp!$K$4:$K$4503,_imp!$C$722))</f>
        <v/>
      </c>
    </row>
    <row r="721">
      <c r="A721" s="54">
        <f>IF(_imp!$C$723="","",INDEX(_imp!$D$4:$D$4503,_imp!$C$723))</f>
        <v/>
      </c>
      <c r="B721" s="54">
        <f>IF(_imp!$C$723="","",INDEX(_imp!$E$4:$E$4503,_imp!$C$723))</f>
        <v/>
      </c>
      <c r="C721" s="54">
        <f>IF(_imp!$C$723="","",INDEX(_imp!$F$4:$F$4503,_imp!$C$723))</f>
        <v/>
      </c>
      <c r="D721" s="54">
        <f>IF(_imp!$C$723="","",INDEX(_imp!$G$4:$G$4503,_imp!$C$723))</f>
        <v/>
      </c>
      <c r="E721" s="54">
        <f>IF(_imp!$C$723="","",INDEX(_imp!$H$4:$H$4503,_imp!$C$723))</f>
        <v/>
      </c>
      <c r="F721" s="54">
        <f>IF(_imp!$C$723="","",INDEX(_imp!$I$4:$I$4503,_imp!$C$723))</f>
        <v/>
      </c>
      <c r="G721" s="54">
        <f>IF(_imp!$C$723="","",INDEX(_imp!$J$4:$J$4503,_imp!$C$723))</f>
        <v/>
      </c>
      <c r="K721" s="54">
        <f>IF(_imp!$C$723="","",INDEX(_imp!$K$4:$K$4503,_imp!$C$723))</f>
        <v/>
      </c>
    </row>
    <row r="722">
      <c r="A722" s="54">
        <f>IF(_imp!$C$724="","",INDEX(_imp!$D$4:$D$4503,_imp!$C$724))</f>
        <v/>
      </c>
      <c r="B722" s="54">
        <f>IF(_imp!$C$724="","",INDEX(_imp!$E$4:$E$4503,_imp!$C$724))</f>
        <v/>
      </c>
      <c r="C722" s="54">
        <f>IF(_imp!$C$724="","",INDEX(_imp!$F$4:$F$4503,_imp!$C$724))</f>
        <v/>
      </c>
      <c r="D722" s="54">
        <f>IF(_imp!$C$724="","",INDEX(_imp!$G$4:$G$4503,_imp!$C$724))</f>
        <v/>
      </c>
      <c r="E722" s="54">
        <f>IF(_imp!$C$724="","",INDEX(_imp!$H$4:$H$4503,_imp!$C$724))</f>
        <v/>
      </c>
      <c r="F722" s="54">
        <f>IF(_imp!$C$724="","",INDEX(_imp!$I$4:$I$4503,_imp!$C$724))</f>
        <v/>
      </c>
      <c r="G722" s="54">
        <f>IF(_imp!$C$724="","",INDEX(_imp!$J$4:$J$4503,_imp!$C$724))</f>
        <v/>
      </c>
      <c r="K722" s="54">
        <f>IF(_imp!$C$724="","",INDEX(_imp!$K$4:$K$4503,_imp!$C$724))</f>
        <v/>
      </c>
    </row>
    <row r="723">
      <c r="A723" s="54">
        <f>IF(_imp!$C$725="","",INDEX(_imp!$D$4:$D$4503,_imp!$C$725))</f>
        <v/>
      </c>
      <c r="B723" s="54">
        <f>IF(_imp!$C$725="","",INDEX(_imp!$E$4:$E$4503,_imp!$C$725))</f>
        <v/>
      </c>
      <c r="C723" s="54">
        <f>IF(_imp!$C$725="","",INDEX(_imp!$F$4:$F$4503,_imp!$C$725))</f>
        <v/>
      </c>
      <c r="D723" s="54">
        <f>IF(_imp!$C$725="","",INDEX(_imp!$G$4:$G$4503,_imp!$C$725))</f>
        <v/>
      </c>
      <c r="E723" s="54">
        <f>IF(_imp!$C$725="","",INDEX(_imp!$H$4:$H$4503,_imp!$C$725))</f>
        <v/>
      </c>
      <c r="F723" s="54">
        <f>IF(_imp!$C$725="","",INDEX(_imp!$I$4:$I$4503,_imp!$C$725))</f>
        <v/>
      </c>
      <c r="G723" s="54">
        <f>IF(_imp!$C$725="","",INDEX(_imp!$J$4:$J$4503,_imp!$C$725))</f>
        <v/>
      </c>
      <c r="K723" s="54">
        <f>IF(_imp!$C$725="","",INDEX(_imp!$K$4:$K$4503,_imp!$C$725))</f>
        <v/>
      </c>
    </row>
    <row r="724">
      <c r="A724" s="54">
        <f>IF(_imp!$C$726="","",INDEX(_imp!$D$4:$D$4503,_imp!$C$726))</f>
        <v/>
      </c>
      <c r="B724" s="54">
        <f>IF(_imp!$C$726="","",INDEX(_imp!$E$4:$E$4503,_imp!$C$726))</f>
        <v/>
      </c>
      <c r="C724" s="54">
        <f>IF(_imp!$C$726="","",INDEX(_imp!$F$4:$F$4503,_imp!$C$726))</f>
        <v/>
      </c>
      <c r="D724" s="54">
        <f>IF(_imp!$C$726="","",INDEX(_imp!$G$4:$G$4503,_imp!$C$726))</f>
        <v/>
      </c>
      <c r="E724" s="54">
        <f>IF(_imp!$C$726="","",INDEX(_imp!$H$4:$H$4503,_imp!$C$726))</f>
        <v/>
      </c>
      <c r="F724" s="54">
        <f>IF(_imp!$C$726="","",INDEX(_imp!$I$4:$I$4503,_imp!$C$726))</f>
        <v/>
      </c>
      <c r="G724" s="54">
        <f>IF(_imp!$C$726="","",INDEX(_imp!$J$4:$J$4503,_imp!$C$726))</f>
        <v/>
      </c>
      <c r="K724" s="54">
        <f>IF(_imp!$C$726="","",INDEX(_imp!$K$4:$K$4503,_imp!$C$726))</f>
        <v/>
      </c>
    </row>
    <row r="725">
      <c r="A725" s="54">
        <f>IF(_imp!$C$727="","",INDEX(_imp!$D$4:$D$4503,_imp!$C$727))</f>
        <v/>
      </c>
      <c r="B725" s="54">
        <f>IF(_imp!$C$727="","",INDEX(_imp!$E$4:$E$4503,_imp!$C$727))</f>
        <v/>
      </c>
      <c r="C725" s="54">
        <f>IF(_imp!$C$727="","",INDEX(_imp!$F$4:$F$4503,_imp!$C$727))</f>
        <v/>
      </c>
      <c r="D725" s="54">
        <f>IF(_imp!$C$727="","",INDEX(_imp!$G$4:$G$4503,_imp!$C$727))</f>
        <v/>
      </c>
      <c r="E725" s="54">
        <f>IF(_imp!$C$727="","",INDEX(_imp!$H$4:$H$4503,_imp!$C$727))</f>
        <v/>
      </c>
      <c r="F725" s="54">
        <f>IF(_imp!$C$727="","",INDEX(_imp!$I$4:$I$4503,_imp!$C$727))</f>
        <v/>
      </c>
      <c r="G725" s="54">
        <f>IF(_imp!$C$727="","",INDEX(_imp!$J$4:$J$4503,_imp!$C$727))</f>
        <v/>
      </c>
      <c r="K725" s="54">
        <f>IF(_imp!$C$727="","",INDEX(_imp!$K$4:$K$4503,_imp!$C$727))</f>
        <v/>
      </c>
    </row>
    <row r="726">
      <c r="A726" s="54">
        <f>IF(_imp!$C$728="","",INDEX(_imp!$D$4:$D$4503,_imp!$C$728))</f>
        <v/>
      </c>
      <c r="B726" s="54">
        <f>IF(_imp!$C$728="","",INDEX(_imp!$E$4:$E$4503,_imp!$C$728))</f>
        <v/>
      </c>
      <c r="C726" s="54">
        <f>IF(_imp!$C$728="","",INDEX(_imp!$F$4:$F$4503,_imp!$C$728))</f>
        <v/>
      </c>
      <c r="D726" s="54">
        <f>IF(_imp!$C$728="","",INDEX(_imp!$G$4:$G$4503,_imp!$C$728))</f>
        <v/>
      </c>
      <c r="E726" s="54">
        <f>IF(_imp!$C$728="","",INDEX(_imp!$H$4:$H$4503,_imp!$C$728))</f>
        <v/>
      </c>
      <c r="F726" s="54">
        <f>IF(_imp!$C$728="","",INDEX(_imp!$I$4:$I$4503,_imp!$C$728))</f>
        <v/>
      </c>
      <c r="G726" s="54">
        <f>IF(_imp!$C$728="","",INDEX(_imp!$J$4:$J$4503,_imp!$C$728))</f>
        <v/>
      </c>
      <c r="K726" s="54">
        <f>IF(_imp!$C$728="","",INDEX(_imp!$K$4:$K$4503,_imp!$C$728))</f>
        <v/>
      </c>
    </row>
    <row r="727">
      <c r="A727" s="54">
        <f>IF(_imp!$C$729="","",INDEX(_imp!$D$4:$D$4503,_imp!$C$729))</f>
        <v/>
      </c>
      <c r="B727" s="54">
        <f>IF(_imp!$C$729="","",INDEX(_imp!$E$4:$E$4503,_imp!$C$729))</f>
        <v/>
      </c>
      <c r="C727" s="54">
        <f>IF(_imp!$C$729="","",INDEX(_imp!$F$4:$F$4503,_imp!$C$729))</f>
        <v/>
      </c>
      <c r="D727" s="54">
        <f>IF(_imp!$C$729="","",INDEX(_imp!$G$4:$G$4503,_imp!$C$729))</f>
        <v/>
      </c>
      <c r="E727" s="54">
        <f>IF(_imp!$C$729="","",INDEX(_imp!$H$4:$H$4503,_imp!$C$729))</f>
        <v/>
      </c>
      <c r="F727" s="54">
        <f>IF(_imp!$C$729="","",INDEX(_imp!$I$4:$I$4503,_imp!$C$729))</f>
        <v/>
      </c>
      <c r="G727" s="54">
        <f>IF(_imp!$C$729="","",INDEX(_imp!$J$4:$J$4503,_imp!$C$729))</f>
        <v/>
      </c>
      <c r="K727" s="54">
        <f>IF(_imp!$C$729="","",INDEX(_imp!$K$4:$K$4503,_imp!$C$729))</f>
        <v/>
      </c>
    </row>
    <row r="728">
      <c r="A728" s="54">
        <f>IF(_imp!$C$730="","",INDEX(_imp!$D$4:$D$4503,_imp!$C$730))</f>
        <v/>
      </c>
      <c r="B728" s="54">
        <f>IF(_imp!$C$730="","",INDEX(_imp!$E$4:$E$4503,_imp!$C$730))</f>
        <v/>
      </c>
      <c r="C728" s="54">
        <f>IF(_imp!$C$730="","",INDEX(_imp!$F$4:$F$4503,_imp!$C$730))</f>
        <v/>
      </c>
      <c r="D728" s="54">
        <f>IF(_imp!$C$730="","",INDEX(_imp!$G$4:$G$4503,_imp!$C$730))</f>
        <v/>
      </c>
      <c r="E728" s="54">
        <f>IF(_imp!$C$730="","",INDEX(_imp!$H$4:$H$4503,_imp!$C$730))</f>
        <v/>
      </c>
      <c r="F728" s="54">
        <f>IF(_imp!$C$730="","",INDEX(_imp!$I$4:$I$4503,_imp!$C$730))</f>
        <v/>
      </c>
      <c r="G728" s="54">
        <f>IF(_imp!$C$730="","",INDEX(_imp!$J$4:$J$4503,_imp!$C$730))</f>
        <v/>
      </c>
      <c r="K728" s="54">
        <f>IF(_imp!$C$730="","",INDEX(_imp!$K$4:$K$4503,_imp!$C$730))</f>
        <v/>
      </c>
    </row>
    <row r="729">
      <c r="A729" s="54">
        <f>IF(_imp!$C$731="","",INDEX(_imp!$D$4:$D$4503,_imp!$C$731))</f>
        <v/>
      </c>
      <c r="B729" s="54">
        <f>IF(_imp!$C$731="","",INDEX(_imp!$E$4:$E$4503,_imp!$C$731))</f>
        <v/>
      </c>
      <c r="C729" s="54">
        <f>IF(_imp!$C$731="","",INDEX(_imp!$F$4:$F$4503,_imp!$C$731))</f>
        <v/>
      </c>
      <c r="D729" s="54">
        <f>IF(_imp!$C$731="","",INDEX(_imp!$G$4:$G$4503,_imp!$C$731))</f>
        <v/>
      </c>
      <c r="E729" s="54">
        <f>IF(_imp!$C$731="","",INDEX(_imp!$H$4:$H$4503,_imp!$C$731))</f>
        <v/>
      </c>
      <c r="F729" s="54">
        <f>IF(_imp!$C$731="","",INDEX(_imp!$I$4:$I$4503,_imp!$C$731))</f>
        <v/>
      </c>
      <c r="G729" s="54">
        <f>IF(_imp!$C$731="","",INDEX(_imp!$J$4:$J$4503,_imp!$C$731))</f>
        <v/>
      </c>
      <c r="K729" s="54">
        <f>IF(_imp!$C$731="","",INDEX(_imp!$K$4:$K$4503,_imp!$C$731))</f>
        <v/>
      </c>
    </row>
    <row r="730">
      <c r="A730" s="54">
        <f>IF(_imp!$C$732="","",INDEX(_imp!$D$4:$D$4503,_imp!$C$732))</f>
        <v/>
      </c>
      <c r="B730" s="54">
        <f>IF(_imp!$C$732="","",INDEX(_imp!$E$4:$E$4503,_imp!$C$732))</f>
        <v/>
      </c>
      <c r="C730" s="54">
        <f>IF(_imp!$C$732="","",INDEX(_imp!$F$4:$F$4503,_imp!$C$732))</f>
        <v/>
      </c>
      <c r="D730" s="54">
        <f>IF(_imp!$C$732="","",INDEX(_imp!$G$4:$G$4503,_imp!$C$732))</f>
        <v/>
      </c>
      <c r="E730" s="54">
        <f>IF(_imp!$C$732="","",INDEX(_imp!$H$4:$H$4503,_imp!$C$732))</f>
        <v/>
      </c>
      <c r="F730" s="54">
        <f>IF(_imp!$C$732="","",INDEX(_imp!$I$4:$I$4503,_imp!$C$732))</f>
        <v/>
      </c>
      <c r="G730" s="54">
        <f>IF(_imp!$C$732="","",INDEX(_imp!$J$4:$J$4503,_imp!$C$732))</f>
        <v/>
      </c>
      <c r="K730" s="54">
        <f>IF(_imp!$C$732="","",INDEX(_imp!$K$4:$K$4503,_imp!$C$732))</f>
        <v/>
      </c>
    </row>
    <row r="731">
      <c r="A731" s="54">
        <f>IF(_imp!$C$733="","",INDEX(_imp!$D$4:$D$4503,_imp!$C$733))</f>
        <v/>
      </c>
      <c r="B731" s="54">
        <f>IF(_imp!$C$733="","",INDEX(_imp!$E$4:$E$4503,_imp!$C$733))</f>
        <v/>
      </c>
      <c r="C731" s="54">
        <f>IF(_imp!$C$733="","",INDEX(_imp!$F$4:$F$4503,_imp!$C$733))</f>
        <v/>
      </c>
      <c r="D731" s="54">
        <f>IF(_imp!$C$733="","",INDEX(_imp!$G$4:$G$4503,_imp!$C$733))</f>
        <v/>
      </c>
      <c r="E731" s="54">
        <f>IF(_imp!$C$733="","",INDEX(_imp!$H$4:$H$4503,_imp!$C$733))</f>
        <v/>
      </c>
      <c r="F731" s="54">
        <f>IF(_imp!$C$733="","",INDEX(_imp!$I$4:$I$4503,_imp!$C$733))</f>
        <v/>
      </c>
      <c r="G731" s="54">
        <f>IF(_imp!$C$733="","",INDEX(_imp!$J$4:$J$4503,_imp!$C$733))</f>
        <v/>
      </c>
      <c r="K731" s="54">
        <f>IF(_imp!$C$733="","",INDEX(_imp!$K$4:$K$4503,_imp!$C$733))</f>
        <v/>
      </c>
    </row>
    <row r="732">
      <c r="A732" s="54">
        <f>IF(_imp!$C$734="","",INDEX(_imp!$D$4:$D$4503,_imp!$C$734))</f>
        <v/>
      </c>
      <c r="B732" s="54">
        <f>IF(_imp!$C$734="","",INDEX(_imp!$E$4:$E$4503,_imp!$C$734))</f>
        <v/>
      </c>
      <c r="C732" s="54">
        <f>IF(_imp!$C$734="","",INDEX(_imp!$F$4:$F$4503,_imp!$C$734))</f>
        <v/>
      </c>
      <c r="D732" s="54">
        <f>IF(_imp!$C$734="","",INDEX(_imp!$G$4:$G$4503,_imp!$C$734))</f>
        <v/>
      </c>
      <c r="E732" s="54">
        <f>IF(_imp!$C$734="","",INDEX(_imp!$H$4:$H$4503,_imp!$C$734))</f>
        <v/>
      </c>
      <c r="F732" s="54">
        <f>IF(_imp!$C$734="","",INDEX(_imp!$I$4:$I$4503,_imp!$C$734))</f>
        <v/>
      </c>
      <c r="G732" s="54">
        <f>IF(_imp!$C$734="","",INDEX(_imp!$J$4:$J$4503,_imp!$C$734))</f>
        <v/>
      </c>
      <c r="K732" s="54">
        <f>IF(_imp!$C$734="","",INDEX(_imp!$K$4:$K$4503,_imp!$C$734))</f>
        <v/>
      </c>
    </row>
    <row r="733">
      <c r="A733" s="54">
        <f>IF(_imp!$C$735="","",INDEX(_imp!$D$4:$D$4503,_imp!$C$735))</f>
        <v/>
      </c>
      <c r="B733" s="54">
        <f>IF(_imp!$C$735="","",INDEX(_imp!$E$4:$E$4503,_imp!$C$735))</f>
        <v/>
      </c>
      <c r="C733" s="54">
        <f>IF(_imp!$C$735="","",INDEX(_imp!$F$4:$F$4503,_imp!$C$735))</f>
        <v/>
      </c>
      <c r="D733" s="54">
        <f>IF(_imp!$C$735="","",INDEX(_imp!$G$4:$G$4503,_imp!$C$735))</f>
        <v/>
      </c>
      <c r="E733" s="54">
        <f>IF(_imp!$C$735="","",INDEX(_imp!$H$4:$H$4503,_imp!$C$735))</f>
        <v/>
      </c>
      <c r="F733" s="54">
        <f>IF(_imp!$C$735="","",INDEX(_imp!$I$4:$I$4503,_imp!$C$735))</f>
        <v/>
      </c>
      <c r="G733" s="54">
        <f>IF(_imp!$C$735="","",INDEX(_imp!$J$4:$J$4503,_imp!$C$735))</f>
        <v/>
      </c>
      <c r="K733" s="54">
        <f>IF(_imp!$C$735="","",INDEX(_imp!$K$4:$K$4503,_imp!$C$735))</f>
        <v/>
      </c>
    </row>
    <row r="734">
      <c r="A734" s="54">
        <f>IF(_imp!$C$736="","",INDEX(_imp!$D$4:$D$4503,_imp!$C$736))</f>
        <v/>
      </c>
      <c r="B734" s="54">
        <f>IF(_imp!$C$736="","",INDEX(_imp!$E$4:$E$4503,_imp!$C$736))</f>
        <v/>
      </c>
      <c r="C734" s="54">
        <f>IF(_imp!$C$736="","",INDEX(_imp!$F$4:$F$4503,_imp!$C$736))</f>
        <v/>
      </c>
      <c r="D734" s="54">
        <f>IF(_imp!$C$736="","",INDEX(_imp!$G$4:$G$4503,_imp!$C$736))</f>
        <v/>
      </c>
      <c r="E734" s="54">
        <f>IF(_imp!$C$736="","",INDEX(_imp!$H$4:$H$4503,_imp!$C$736))</f>
        <v/>
      </c>
      <c r="F734" s="54">
        <f>IF(_imp!$C$736="","",INDEX(_imp!$I$4:$I$4503,_imp!$C$736))</f>
        <v/>
      </c>
      <c r="G734" s="54">
        <f>IF(_imp!$C$736="","",INDEX(_imp!$J$4:$J$4503,_imp!$C$736))</f>
        <v/>
      </c>
      <c r="K734" s="54">
        <f>IF(_imp!$C$736="","",INDEX(_imp!$K$4:$K$4503,_imp!$C$736))</f>
        <v/>
      </c>
    </row>
    <row r="735">
      <c r="A735" s="54">
        <f>IF(_imp!$C$737="","",INDEX(_imp!$D$4:$D$4503,_imp!$C$737))</f>
        <v/>
      </c>
      <c r="B735" s="54">
        <f>IF(_imp!$C$737="","",INDEX(_imp!$E$4:$E$4503,_imp!$C$737))</f>
        <v/>
      </c>
      <c r="C735" s="54">
        <f>IF(_imp!$C$737="","",INDEX(_imp!$F$4:$F$4503,_imp!$C$737))</f>
        <v/>
      </c>
      <c r="D735" s="54">
        <f>IF(_imp!$C$737="","",INDEX(_imp!$G$4:$G$4503,_imp!$C$737))</f>
        <v/>
      </c>
      <c r="E735" s="54">
        <f>IF(_imp!$C$737="","",INDEX(_imp!$H$4:$H$4503,_imp!$C$737))</f>
        <v/>
      </c>
      <c r="F735" s="54">
        <f>IF(_imp!$C$737="","",INDEX(_imp!$I$4:$I$4503,_imp!$C$737))</f>
        <v/>
      </c>
      <c r="G735" s="54">
        <f>IF(_imp!$C$737="","",INDEX(_imp!$J$4:$J$4503,_imp!$C$737))</f>
        <v/>
      </c>
      <c r="K735" s="54">
        <f>IF(_imp!$C$737="","",INDEX(_imp!$K$4:$K$4503,_imp!$C$737))</f>
        <v/>
      </c>
    </row>
    <row r="736">
      <c r="A736" s="54">
        <f>IF(_imp!$C$738="","",INDEX(_imp!$D$4:$D$4503,_imp!$C$738))</f>
        <v/>
      </c>
      <c r="B736" s="54">
        <f>IF(_imp!$C$738="","",INDEX(_imp!$E$4:$E$4503,_imp!$C$738))</f>
        <v/>
      </c>
      <c r="C736" s="54">
        <f>IF(_imp!$C$738="","",INDEX(_imp!$F$4:$F$4503,_imp!$C$738))</f>
        <v/>
      </c>
      <c r="D736" s="54">
        <f>IF(_imp!$C$738="","",INDEX(_imp!$G$4:$G$4503,_imp!$C$738))</f>
        <v/>
      </c>
      <c r="E736" s="54">
        <f>IF(_imp!$C$738="","",INDEX(_imp!$H$4:$H$4503,_imp!$C$738))</f>
        <v/>
      </c>
      <c r="F736" s="54">
        <f>IF(_imp!$C$738="","",INDEX(_imp!$I$4:$I$4503,_imp!$C$738))</f>
        <v/>
      </c>
      <c r="G736" s="54">
        <f>IF(_imp!$C$738="","",INDEX(_imp!$J$4:$J$4503,_imp!$C$738))</f>
        <v/>
      </c>
      <c r="K736" s="54">
        <f>IF(_imp!$C$738="","",INDEX(_imp!$K$4:$K$4503,_imp!$C$738))</f>
        <v/>
      </c>
    </row>
    <row r="737">
      <c r="A737" s="54">
        <f>IF(_imp!$C$739="","",INDEX(_imp!$D$4:$D$4503,_imp!$C$739))</f>
        <v/>
      </c>
      <c r="B737" s="54">
        <f>IF(_imp!$C$739="","",INDEX(_imp!$E$4:$E$4503,_imp!$C$739))</f>
        <v/>
      </c>
      <c r="C737" s="54">
        <f>IF(_imp!$C$739="","",INDEX(_imp!$F$4:$F$4503,_imp!$C$739))</f>
        <v/>
      </c>
      <c r="D737" s="54">
        <f>IF(_imp!$C$739="","",INDEX(_imp!$G$4:$G$4503,_imp!$C$739))</f>
        <v/>
      </c>
      <c r="E737" s="54">
        <f>IF(_imp!$C$739="","",INDEX(_imp!$H$4:$H$4503,_imp!$C$739))</f>
        <v/>
      </c>
      <c r="F737" s="54">
        <f>IF(_imp!$C$739="","",INDEX(_imp!$I$4:$I$4503,_imp!$C$739))</f>
        <v/>
      </c>
      <c r="G737" s="54">
        <f>IF(_imp!$C$739="","",INDEX(_imp!$J$4:$J$4503,_imp!$C$739))</f>
        <v/>
      </c>
      <c r="K737" s="54">
        <f>IF(_imp!$C$739="","",INDEX(_imp!$K$4:$K$4503,_imp!$C$739))</f>
        <v/>
      </c>
    </row>
    <row r="738">
      <c r="A738" s="54">
        <f>IF(_imp!$C$740="","",INDEX(_imp!$D$4:$D$4503,_imp!$C$740))</f>
        <v/>
      </c>
      <c r="B738" s="54">
        <f>IF(_imp!$C$740="","",INDEX(_imp!$E$4:$E$4503,_imp!$C$740))</f>
        <v/>
      </c>
      <c r="C738" s="54">
        <f>IF(_imp!$C$740="","",INDEX(_imp!$F$4:$F$4503,_imp!$C$740))</f>
        <v/>
      </c>
      <c r="D738" s="54">
        <f>IF(_imp!$C$740="","",INDEX(_imp!$G$4:$G$4503,_imp!$C$740))</f>
        <v/>
      </c>
      <c r="E738" s="54">
        <f>IF(_imp!$C$740="","",INDEX(_imp!$H$4:$H$4503,_imp!$C$740))</f>
        <v/>
      </c>
      <c r="F738" s="54">
        <f>IF(_imp!$C$740="","",INDEX(_imp!$I$4:$I$4503,_imp!$C$740))</f>
        <v/>
      </c>
      <c r="G738" s="54">
        <f>IF(_imp!$C$740="","",INDEX(_imp!$J$4:$J$4503,_imp!$C$740))</f>
        <v/>
      </c>
      <c r="K738" s="54">
        <f>IF(_imp!$C$740="","",INDEX(_imp!$K$4:$K$4503,_imp!$C$740))</f>
        <v/>
      </c>
    </row>
    <row r="739">
      <c r="A739" s="54">
        <f>IF(_imp!$C$741="","",INDEX(_imp!$D$4:$D$4503,_imp!$C$741))</f>
        <v/>
      </c>
      <c r="B739" s="54">
        <f>IF(_imp!$C$741="","",INDEX(_imp!$E$4:$E$4503,_imp!$C$741))</f>
        <v/>
      </c>
      <c r="C739" s="54">
        <f>IF(_imp!$C$741="","",INDEX(_imp!$F$4:$F$4503,_imp!$C$741))</f>
        <v/>
      </c>
      <c r="D739" s="54">
        <f>IF(_imp!$C$741="","",INDEX(_imp!$G$4:$G$4503,_imp!$C$741))</f>
        <v/>
      </c>
      <c r="E739" s="54">
        <f>IF(_imp!$C$741="","",INDEX(_imp!$H$4:$H$4503,_imp!$C$741))</f>
        <v/>
      </c>
      <c r="F739" s="54">
        <f>IF(_imp!$C$741="","",INDEX(_imp!$I$4:$I$4503,_imp!$C$741))</f>
        <v/>
      </c>
      <c r="G739" s="54">
        <f>IF(_imp!$C$741="","",INDEX(_imp!$J$4:$J$4503,_imp!$C$741))</f>
        <v/>
      </c>
      <c r="K739" s="54">
        <f>IF(_imp!$C$741="","",INDEX(_imp!$K$4:$K$4503,_imp!$C$741))</f>
        <v/>
      </c>
    </row>
    <row r="740">
      <c r="A740" s="54">
        <f>IF(_imp!$C$742="","",INDEX(_imp!$D$4:$D$4503,_imp!$C$742))</f>
        <v/>
      </c>
      <c r="B740" s="54">
        <f>IF(_imp!$C$742="","",INDEX(_imp!$E$4:$E$4503,_imp!$C$742))</f>
        <v/>
      </c>
      <c r="C740" s="54">
        <f>IF(_imp!$C$742="","",INDEX(_imp!$F$4:$F$4503,_imp!$C$742))</f>
        <v/>
      </c>
      <c r="D740" s="54">
        <f>IF(_imp!$C$742="","",INDEX(_imp!$G$4:$G$4503,_imp!$C$742))</f>
        <v/>
      </c>
      <c r="E740" s="54">
        <f>IF(_imp!$C$742="","",INDEX(_imp!$H$4:$H$4503,_imp!$C$742))</f>
        <v/>
      </c>
      <c r="F740" s="54">
        <f>IF(_imp!$C$742="","",INDEX(_imp!$I$4:$I$4503,_imp!$C$742))</f>
        <v/>
      </c>
      <c r="G740" s="54">
        <f>IF(_imp!$C$742="","",INDEX(_imp!$J$4:$J$4503,_imp!$C$742))</f>
        <v/>
      </c>
      <c r="K740" s="54">
        <f>IF(_imp!$C$742="","",INDEX(_imp!$K$4:$K$4503,_imp!$C$742))</f>
        <v/>
      </c>
    </row>
    <row r="741">
      <c r="A741" s="54">
        <f>IF(_imp!$C$743="","",INDEX(_imp!$D$4:$D$4503,_imp!$C$743))</f>
        <v/>
      </c>
      <c r="B741" s="54">
        <f>IF(_imp!$C$743="","",INDEX(_imp!$E$4:$E$4503,_imp!$C$743))</f>
        <v/>
      </c>
      <c r="C741" s="54">
        <f>IF(_imp!$C$743="","",INDEX(_imp!$F$4:$F$4503,_imp!$C$743))</f>
        <v/>
      </c>
      <c r="D741" s="54">
        <f>IF(_imp!$C$743="","",INDEX(_imp!$G$4:$G$4503,_imp!$C$743))</f>
        <v/>
      </c>
      <c r="E741" s="54">
        <f>IF(_imp!$C$743="","",INDEX(_imp!$H$4:$H$4503,_imp!$C$743))</f>
        <v/>
      </c>
      <c r="F741" s="54">
        <f>IF(_imp!$C$743="","",INDEX(_imp!$I$4:$I$4503,_imp!$C$743))</f>
        <v/>
      </c>
      <c r="G741" s="54">
        <f>IF(_imp!$C$743="","",INDEX(_imp!$J$4:$J$4503,_imp!$C$743))</f>
        <v/>
      </c>
      <c r="K741" s="54">
        <f>IF(_imp!$C$743="","",INDEX(_imp!$K$4:$K$4503,_imp!$C$743))</f>
        <v/>
      </c>
    </row>
    <row r="742">
      <c r="A742" s="54">
        <f>IF(_imp!$C$744="","",INDEX(_imp!$D$4:$D$4503,_imp!$C$744))</f>
        <v/>
      </c>
      <c r="B742" s="54">
        <f>IF(_imp!$C$744="","",INDEX(_imp!$E$4:$E$4503,_imp!$C$744))</f>
        <v/>
      </c>
      <c r="C742" s="54">
        <f>IF(_imp!$C$744="","",INDEX(_imp!$F$4:$F$4503,_imp!$C$744))</f>
        <v/>
      </c>
      <c r="D742" s="54">
        <f>IF(_imp!$C$744="","",INDEX(_imp!$G$4:$G$4503,_imp!$C$744))</f>
        <v/>
      </c>
      <c r="E742" s="54">
        <f>IF(_imp!$C$744="","",INDEX(_imp!$H$4:$H$4503,_imp!$C$744))</f>
        <v/>
      </c>
      <c r="F742" s="54">
        <f>IF(_imp!$C$744="","",INDEX(_imp!$I$4:$I$4503,_imp!$C$744))</f>
        <v/>
      </c>
      <c r="G742" s="54">
        <f>IF(_imp!$C$744="","",INDEX(_imp!$J$4:$J$4503,_imp!$C$744))</f>
        <v/>
      </c>
      <c r="K742" s="54">
        <f>IF(_imp!$C$744="","",INDEX(_imp!$K$4:$K$4503,_imp!$C$744))</f>
        <v/>
      </c>
    </row>
    <row r="743">
      <c r="A743" s="54">
        <f>IF(_imp!$C$745="","",INDEX(_imp!$D$4:$D$4503,_imp!$C$745))</f>
        <v/>
      </c>
      <c r="B743" s="54">
        <f>IF(_imp!$C$745="","",INDEX(_imp!$E$4:$E$4503,_imp!$C$745))</f>
        <v/>
      </c>
      <c r="C743" s="54">
        <f>IF(_imp!$C$745="","",INDEX(_imp!$F$4:$F$4503,_imp!$C$745))</f>
        <v/>
      </c>
      <c r="D743" s="54">
        <f>IF(_imp!$C$745="","",INDEX(_imp!$G$4:$G$4503,_imp!$C$745))</f>
        <v/>
      </c>
      <c r="E743" s="54">
        <f>IF(_imp!$C$745="","",INDEX(_imp!$H$4:$H$4503,_imp!$C$745))</f>
        <v/>
      </c>
      <c r="F743" s="54">
        <f>IF(_imp!$C$745="","",INDEX(_imp!$I$4:$I$4503,_imp!$C$745))</f>
        <v/>
      </c>
      <c r="G743" s="54">
        <f>IF(_imp!$C$745="","",INDEX(_imp!$J$4:$J$4503,_imp!$C$745))</f>
        <v/>
      </c>
      <c r="K743" s="54">
        <f>IF(_imp!$C$745="","",INDEX(_imp!$K$4:$K$4503,_imp!$C$745))</f>
        <v/>
      </c>
    </row>
    <row r="744">
      <c r="A744" s="54">
        <f>IF(_imp!$C$746="","",INDEX(_imp!$D$4:$D$4503,_imp!$C$746))</f>
        <v/>
      </c>
      <c r="B744" s="54">
        <f>IF(_imp!$C$746="","",INDEX(_imp!$E$4:$E$4503,_imp!$C$746))</f>
        <v/>
      </c>
      <c r="C744" s="54">
        <f>IF(_imp!$C$746="","",INDEX(_imp!$F$4:$F$4503,_imp!$C$746))</f>
        <v/>
      </c>
      <c r="D744" s="54">
        <f>IF(_imp!$C$746="","",INDEX(_imp!$G$4:$G$4503,_imp!$C$746))</f>
        <v/>
      </c>
      <c r="E744" s="54">
        <f>IF(_imp!$C$746="","",INDEX(_imp!$H$4:$H$4503,_imp!$C$746))</f>
        <v/>
      </c>
      <c r="F744" s="54">
        <f>IF(_imp!$C$746="","",INDEX(_imp!$I$4:$I$4503,_imp!$C$746))</f>
        <v/>
      </c>
      <c r="G744" s="54">
        <f>IF(_imp!$C$746="","",INDEX(_imp!$J$4:$J$4503,_imp!$C$746))</f>
        <v/>
      </c>
      <c r="K744" s="54">
        <f>IF(_imp!$C$746="","",INDEX(_imp!$K$4:$K$4503,_imp!$C$746))</f>
        <v/>
      </c>
    </row>
    <row r="745">
      <c r="A745" s="54">
        <f>IF(_imp!$C$747="","",INDEX(_imp!$D$4:$D$4503,_imp!$C$747))</f>
        <v/>
      </c>
      <c r="B745" s="54">
        <f>IF(_imp!$C$747="","",INDEX(_imp!$E$4:$E$4503,_imp!$C$747))</f>
        <v/>
      </c>
      <c r="C745" s="54">
        <f>IF(_imp!$C$747="","",INDEX(_imp!$F$4:$F$4503,_imp!$C$747))</f>
        <v/>
      </c>
      <c r="D745" s="54">
        <f>IF(_imp!$C$747="","",INDEX(_imp!$G$4:$G$4503,_imp!$C$747))</f>
        <v/>
      </c>
      <c r="E745" s="54">
        <f>IF(_imp!$C$747="","",INDEX(_imp!$H$4:$H$4503,_imp!$C$747))</f>
        <v/>
      </c>
      <c r="F745" s="54">
        <f>IF(_imp!$C$747="","",INDEX(_imp!$I$4:$I$4503,_imp!$C$747))</f>
        <v/>
      </c>
      <c r="G745" s="54">
        <f>IF(_imp!$C$747="","",INDEX(_imp!$J$4:$J$4503,_imp!$C$747))</f>
        <v/>
      </c>
      <c r="K745" s="54">
        <f>IF(_imp!$C$747="","",INDEX(_imp!$K$4:$K$4503,_imp!$C$747))</f>
        <v/>
      </c>
    </row>
    <row r="746">
      <c r="A746" s="54">
        <f>IF(_imp!$C$748="","",INDEX(_imp!$D$4:$D$4503,_imp!$C$748))</f>
        <v/>
      </c>
      <c r="B746" s="54">
        <f>IF(_imp!$C$748="","",INDEX(_imp!$E$4:$E$4503,_imp!$C$748))</f>
        <v/>
      </c>
      <c r="C746" s="54">
        <f>IF(_imp!$C$748="","",INDEX(_imp!$F$4:$F$4503,_imp!$C$748))</f>
        <v/>
      </c>
      <c r="D746" s="54">
        <f>IF(_imp!$C$748="","",INDEX(_imp!$G$4:$G$4503,_imp!$C$748))</f>
        <v/>
      </c>
      <c r="E746" s="54">
        <f>IF(_imp!$C$748="","",INDEX(_imp!$H$4:$H$4503,_imp!$C$748))</f>
        <v/>
      </c>
      <c r="F746" s="54">
        <f>IF(_imp!$C$748="","",INDEX(_imp!$I$4:$I$4503,_imp!$C$748))</f>
        <v/>
      </c>
      <c r="G746" s="54">
        <f>IF(_imp!$C$748="","",INDEX(_imp!$J$4:$J$4503,_imp!$C$748))</f>
        <v/>
      </c>
      <c r="K746" s="54">
        <f>IF(_imp!$C$748="","",INDEX(_imp!$K$4:$K$4503,_imp!$C$748))</f>
        <v/>
      </c>
    </row>
    <row r="747">
      <c r="A747" s="54">
        <f>IF(_imp!$C$749="","",INDEX(_imp!$D$4:$D$4503,_imp!$C$749))</f>
        <v/>
      </c>
      <c r="B747" s="54">
        <f>IF(_imp!$C$749="","",INDEX(_imp!$E$4:$E$4503,_imp!$C$749))</f>
        <v/>
      </c>
      <c r="C747" s="54">
        <f>IF(_imp!$C$749="","",INDEX(_imp!$F$4:$F$4503,_imp!$C$749))</f>
        <v/>
      </c>
      <c r="D747" s="54">
        <f>IF(_imp!$C$749="","",INDEX(_imp!$G$4:$G$4503,_imp!$C$749))</f>
        <v/>
      </c>
      <c r="E747" s="54">
        <f>IF(_imp!$C$749="","",INDEX(_imp!$H$4:$H$4503,_imp!$C$749))</f>
        <v/>
      </c>
      <c r="F747" s="54">
        <f>IF(_imp!$C$749="","",INDEX(_imp!$I$4:$I$4503,_imp!$C$749))</f>
        <v/>
      </c>
      <c r="G747" s="54">
        <f>IF(_imp!$C$749="","",INDEX(_imp!$J$4:$J$4503,_imp!$C$749))</f>
        <v/>
      </c>
      <c r="K747" s="54">
        <f>IF(_imp!$C$749="","",INDEX(_imp!$K$4:$K$4503,_imp!$C$749))</f>
        <v/>
      </c>
    </row>
    <row r="748">
      <c r="A748" s="54">
        <f>IF(_imp!$C$750="","",INDEX(_imp!$D$4:$D$4503,_imp!$C$750))</f>
        <v/>
      </c>
      <c r="B748" s="54">
        <f>IF(_imp!$C$750="","",INDEX(_imp!$E$4:$E$4503,_imp!$C$750))</f>
        <v/>
      </c>
      <c r="C748" s="54">
        <f>IF(_imp!$C$750="","",INDEX(_imp!$F$4:$F$4503,_imp!$C$750))</f>
        <v/>
      </c>
      <c r="D748" s="54">
        <f>IF(_imp!$C$750="","",INDEX(_imp!$G$4:$G$4503,_imp!$C$750))</f>
        <v/>
      </c>
      <c r="E748" s="54">
        <f>IF(_imp!$C$750="","",INDEX(_imp!$H$4:$H$4503,_imp!$C$750))</f>
        <v/>
      </c>
      <c r="F748" s="54">
        <f>IF(_imp!$C$750="","",INDEX(_imp!$I$4:$I$4503,_imp!$C$750))</f>
        <v/>
      </c>
      <c r="G748" s="54">
        <f>IF(_imp!$C$750="","",INDEX(_imp!$J$4:$J$4503,_imp!$C$750))</f>
        <v/>
      </c>
      <c r="K748" s="54">
        <f>IF(_imp!$C$750="","",INDEX(_imp!$K$4:$K$4503,_imp!$C$750))</f>
        <v/>
      </c>
    </row>
    <row r="749">
      <c r="A749" s="54">
        <f>IF(_imp!$C$751="","",INDEX(_imp!$D$4:$D$4503,_imp!$C$751))</f>
        <v/>
      </c>
      <c r="B749" s="54">
        <f>IF(_imp!$C$751="","",INDEX(_imp!$E$4:$E$4503,_imp!$C$751))</f>
        <v/>
      </c>
      <c r="C749" s="54">
        <f>IF(_imp!$C$751="","",INDEX(_imp!$F$4:$F$4503,_imp!$C$751))</f>
        <v/>
      </c>
      <c r="D749" s="54">
        <f>IF(_imp!$C$751="","",INDEX(_imp!$G$4:$G$4503,_imp!$C$751))</f>
        <v/>
      </c>
      <c r="E749" s="54">
        <f>IF(_imp!$C$751="","",INDEX(_imp!$H$4:$H$4503,_imp!$C$751))</f>
        <v/>
      </c>
      <c r="F749" s="54">
        <f>IF(_imp!$C$751="","",INDEX(_imp!$I$4:$I$4503,_imp!$C$751))</f>
        <v/>
      </c>
      <c r="G749" s="54">
        <f>IF(_imp!$C$751="","",INDEX(_imp!$J$4:$J$4503,_imp!$C$751))</f>
        <v/>
      </c>
      <c r="K749" s="54">
        <f>IF(_imp!$C$751="","",INDEX(_imp!$K$4:$K$4503,_imp!$C$751))</f>
        <v/>
      </c>
    </row>
    <row r="750">
      <c r="A750" s="54">
        <f>IF(_imp!$C$752="","",INDEX(_imp!$D$4:$D$4503,_imp!$C$752))</f>
        <v/>
      </c>
      <c r="B750" s="54">
        <f>IF(_imp!$C$752="","",INDEX(_imp!$E$4:$E$4503,_imp!$C$752))</f>
        <v/>
      </c>
      <c r="C750" s="54">
        <f>IF(_imp!$C$752="","",INDEX(_imp!$F$4:$F$4503,_imp!$C$752))</f>
        <v/>
      </c>
      <c r="D750" s="54">
        <f>IF(_imp!$C$752="","",INDEX(_imp!$G$4:$G$4503,_imp!$C$752))</f>
        <v/>
      </c>
      <c r="E750" s="54">
        <f>IF(_imp!$C$752="","",INDEX(_imp!$H$4:$H$4503,_imp!$C$752))</f>
        <v/>
      </c>
      <c r="F750" s="54">
        <f>IF(_imp!$C$752="","",INDEX(_imp!$I$4:$I$4503,_imp!$C$752))</f>
        <v/>
      </c>
      <c r="G750" s="54">
        <f>IF(_imp!$C$752="","",INDEX(_imp!$J$4:$J$4503,_imp!$C$752))</f>
        <v/>
      </c>
      <c r="K750" s="54">
        <f>IF(_imp!$C$752="","",INDEX(_imp!$K$4:$K$4503,_imp!$C$752))</f>
        <v/>
      </c>
    </row>
    <row r="751">
      <c r="A751" s="54">
        <f>IF(_imp!$C$753="","",INDEX(_imp!$D$4:$D$4503,_imp!$C$753))</f>
        <v/>
      </c>
      <c r="B751" s="54">
        <f>IF(_imp!$C$753="","",INDEX(_imp!$E$4:$E$4503,_imp!$C$753))</f>
        <v/>
      </c>
      <c r="C751" s="54">
        <f>IF(_imp!$C$753="","",INDEX(_imp!$F$4:$F$4503,_imp!$C$753))</f>
        <v/>
      </c>
      <c r="D751" s="54">
        <f>IF(_imp!$C$753="","",INDEX(_imp!$G$4:$G$4503,_imp!$C$753))</f>
        <v/>
      </c>
      <c r="E751" s="54">
        <f>IF(_imp!$C$753="","",INDEX(_imp!$H$4:$H$4503,_imp!$C$753))</f>
        <v/>
      </c>
      <c r="F751" s="54">
        <f>IF(_imp!$C$753="","",INDEX(_imp!$I$4:$I$4503,_imp!$C$753))</f>
        <v/>
      </c>
      <c r="G751" s="54">
        <f>IF(_imp!$C$753="","",INDEX(_imp!$J$4:$J$4503,_imp!$C$753))</f>
        <v/>
      </c>
      <c r="K751" s="54">
        <f>IF(_imp!$C$753="","",INDEX(_imp!$K$4:$K$4503,_imp!$C$753))</f>
        <v/>
      </c>
    </row>
    <row r="752">
      <c r="A752" s="54">
        <f>IF(_imp!$C$754="","",INDEX(_imp!$D$4:$D$4503,_imp!$C$754))</f>
        <v/>
      </c>
      <c r="B752" s="54">
        <f>IF(_imp!$C$754="","",INDEX(_imp!$E$4:$E$4503,_imp!$C$754))</f>
        <v/>
      </c>
      <c r="C752" s="54">
        <f>IF(_imp!$C$754="","",INDEX(_imp!$F$4:$F$4503,_imp!$C$754))</f>
        <v/>
      </c>
      <c r="D752" s="54">
        <f>IF(_imp!$C$754="","",INDEX(_imp!$G$4:$G$4503,_imp!$C$754))</f>
        <v/>
      </c>
      <c r="E752" s="54">
        <f>IF(_imp!$C$754="","",INDEX(_imp!$H$4:$H$4503,_imp!$C$754))</f>
        <v/>
      </c>
      <c r="F752" s="54">
        <f>IF(_imp!$C$754="","",INDEX(_imp!$I$4:$I$4503,_imp!$C$754))</f>
        <v/>
      </c>
      <c r="G752" s="54">
        <f>IF(_imp!$C$754="","",INDEX(_imp!$J$4:$J$4503,_imp!$C$754))</f>
        <v/>
      </c>
      <c r="K752" s="54">
        <f>IF(_imp!$C$754="","",INDEX(_imp!$K$4:$K$4503,_imp!$C$754))</f>
        <v/>
      </c>
    </row>
    <row r="753">
      <c r="A753" s="54">
        <f>IF(_imp!$C$755="","",INDEX(_imp!$D$4:$D$4503,_imp!$C$755))</f>
        <v/>
      </c>
      <c r="B753" s="54">
        <f>IF(_imp!$C$755="","",INDEX(_imp!$E$4:$E$4503,_imp!$C$755))</f>
        <v/>
      </c>
      <c r="C753" s="54">
        <f>IF(_imp!$C$755="","",INDEX(_imp!$F$4:$F$4503,_imp!$C$755))</f>
        <v/>
      </c>
      <c r="D753" s="54">
        <f>IF(_imp!$C$755="","",INDEX(_imp!$G$4:$G$4503,_imp!$C$755))</f>
        <v/>
      </c>
      <c r="E753" s="54">
        <f>IF(_imp!$C$755="","",INDEX(_imp!$H$4:$H$4503,_imp!$C$755))</f>
        <v/>
      </c>
      <c r="F753" s="54">
        <f>IF(_imp!$C$755="","",INDEX(_imp!$I$4:$I$4503,_imp!$C$755))</f>
        <v/>
      </c>
      <c r="G753" s="54">
        <f>IF(_imp!$C$755="","",INDEX(_imp!$J$4:$J$4503,_imp!$C$755))</f>
        <v/>
      </c>
      <c r="K753" s="54">
        <f>IF(_imp!$C$755="","",INDEX(_imp!$K$4:$K$4503,_imp!$C$755))</f>
        <v/>
      </c>
    </row>
    <row r="754">
      <c r="A754" s="54">
        <f>IF(_imp!$C$756="","",INDEX(_imp!$D$4:$D$4503,_imp!$C$756))</f>
        <v/>
      </c>
      <c r="B754" s="54">
        <f>IF(_imp!$C$756="","",INDEX(_imp!$E$4:$E$4503,_imp!$C$756))</f>
        <v/>
      </c>
      <c r="C754" s="54">
        <f>IF(_imp!$C$756="","",INDEX(_imp!$F$4:$F$4503,_imp!$C$756))</f>
        <v/>
      </c>
      <c r="D754" s="54">
        <f>IF(_imp!$C$756="","",INDEX(_imp!$G$4:$G$4503,_imp!$C$756))</f>
        <v/>
      </c>
      <c r="E754" s="54">
        <f>IF(_imp!$C$756="","",INDEX(_imp!$H$4:$H$4503,_imp!$C$756))</f>
        <v/>
      </c>
      <c r="F754" s="54">
        <f>IF(_imp!$C$756="","",INDEX(_imp!$I$4:$I$4503,_imp!$C$756))</f>
        <v/>
      </c>
      <c r="G754" s="54">
        <f>IF(_imp!$C$756="","",INDEX(_imp!$J$4:$J$4503,_imp!$C$756))</f>
        <v/>
      </c>
      <c r="K754" s="54">
        <f>IF(_imp!$C$756="","",INDEX(_imp!$K$4:$K$4503,_imp!$C$756))</f>
        <v/>
      </c>
    </row>
    <row r="755">
      <c r="A755" s="54">
        <f>IF(_imp!$C$757="","",INDEX(_imp!$D$4:$D$4503,_imp!$C$757))</f>
        <v/>
      </c>
      <c r="B755" s="54">
        <f>IF(_imp!$C$757="","",INDEX(_imp!$E$4:$E$4503,_imp!$C$757))</f>
        <v/>
      </c>
      <c r="C755" s="54">
        <f>IF(_imp!$C$757="","",INDEX(_imp!$F$4:$F$4503,_imp!$C$757))</f>
        <v/>
      </c>
      <c r="D755" s="54">
        <f>IF(_imp!$C$757="","",INDEX(_imp!$G$4:$G$4503,_imp!$C$757))</f>
        <v/>
      </c>
      <c r="E755" s="54">
        <f>IF(_imp!$C$757="","",INDEX(_imp!$H$4:$H$4503,_imp!$C$757))</f>
        <v/>
      </c>
      <c r="F755" s="54">
        <f>IF(_imp!$C$757="","",INDEX(_imp!$I$4:$I$4503,_imp!$C$757))</f>
        <v/>
      </c>
      <c r="G755" s="54">
        <f>IF(_imp!$C$757="","",INDEX(_imp!$J$4:$J$4503,_imp!$C$757))</f>
        <v/>
      </c>
      <c r="K755" s="54">
        <f>IF(_imp!$C$757="","",INDEX(_imp!$K$4:$K$4503,_imp!$C$757))</f>
        <v/>
      </c>
    </row>
    <row r="756">
      <c r="A756" s="54">
        <f>IF(_imp!$C$758="","",INDEX(_imp!$D$4:$D$4503,_imp!$C$758))</f>
        <v/>
      </c>
      <c r="B756" s="54">
        <f>IF(_imp!$C$758="","",INDEX(_imp!$E$4:$E$4503,_imp!$C$758))</f>
        <v/>
      </c>
      <c r="C756" s="54">
        <f>IF(_imp!$C$758="","",INDEX(_imp!$F$4:$F$4503,_imp!$C$758))</f>
        <v/>
      </c>
      <c r="D756" s="54">
        <f>IF(_imp!$C$758="","",INDEX(_imp!$G$4:$G$4503,_imp!$C$758))</f>
        <v/>
      </c>
      <c r="E756" s="54">
        <f>IF(_imp!$C$758="","",INDEX(_imp!$H$4:$H$4503,_imp!$C$758))</f>
        <v/>
      </c>
      <c r="F756" s="54">
        <f>IF(_imp!$C$758="","",INDEX(_imp!$I$4:$I$4503,_imp!$C$758))</f>
        <v/>
      </c>
      <c r="G756" s="54">
        <f>IF(_imp!$C$758="","",INDEX(_imp!$J$4:$J$4503,_imp!$C$758))</f>
        <v/>
      </c>
      <c r="K756" s="54">
        <f>IF(_imp!$C$758="","",INDEX(_imp!$K$4:$K$4503,_imp!$C$758))</f>
        <v/>
      </c>
    </row>
    <row r="757">
      <c r="A757" s="54">
        <f>IF(_imp!$C$759="","",INDEX(_imp!$D$4:$D$4503,_imp!$C$759))</f>
        <v/>
      </c>
      <c r="B757" s="54">
        <f>IF(_imp!$C$759="","",INDEX(_imp!$E$4:$E$4503,_imp!$C$759))</f>
        <v/>
      </c>
      <c r="C757" s="54">
        <f>IF(_imp!$C$759="","",INDEX(_imp!$F$4:$F$4503,_imp!$C$759))</f>
        <v/>
      </c>
      <c r="D757" s="54">
        <f>IF(_imp!$C$759="","",INDEX(_imp!$G$4:$G$4503,_imp!$C$759))</f>
        <v/>
      </c>
      <c r="E757" s="54">
        <f>IF(_imp!$C$759="","",INDEX(_imp!$H$4:$H$4503,_imp!$C$759))</f>
        <v/>
      </c>
      <c r="F757" s="54">
        <f>IF(_imp!$C$759="","",INDEX(_imp!$I$4:$I$4503,_imp!$C$759))</f>
        <v/>
      </c>
      <c r="G757" s="54">
        <f>IF(_imp!$C$759="","",INDEX(_imp!$J$4:$J$4503,_imp!$C$759))</f>
        <v/>
      </c>
      <c r="K757" s="54">
        <f>IF(_imp!$C$759="","",INDEX(_imp!$K$4:$K$4503,_imp!$C$759))</f>
        <v/>
      </c>
    </row>
    <row r="758">
      <c r="A758" s="54">
        <f>IF(_imp!$C$760="","",INDEX(_imp!$D$4:$D$4503,_imp!$C$760))</f>
        <v/>
      </c>
      <c r="B758" s="54">
        <f>IF(_imp!$C$760="","",INDEX(_imp!$E$4:$E$4503,_imp!$C$760))</f>
        <v/>
      </c>
      <c r="C758" s="54">
        <f>IF(_imp!$C$760="","",INDEX(_imp!$F$4:$F$4503,_imp!$C$760))</f>
        <v/>
      </c>
      <c r="D758" s="54">
        <f>IF(_imp!$C$760="","",INDEX(_imp!$G$4:$G$4503,_imp!$C$760))</f>
        <v/>
      </c>
      <c r="E758" s="54">
        <f>IF(_imp!$C$760="","",INDEX(_imp!$H$4:$H$4503,_imp!$C$760))</f>
        <v/>
      </c>
      <c r="F758" s="54">
        <f>IF(_imp!$C$760="","",INDEX(_imp!$I$4:$I$4503,_imp!$C$760))</f>
        <v/>
      </c>
      <c r="G758" s="54">
        <f>IF(_imp!$C$760="","",INDEX(_imp!$J$4:$J$4503,_imp!$C$760))</f>
        <v/>
      </c>
      <c r="K758" s="54">
        <f>IF(_imp!$C$760="","",INDEX(_imp!$K$4:$K$4503,_imp!$C$760))</f>
        <v/>
      </c>
    </row>
    <row r="759">
      <c r="A759" s="54">
        <f>IF(_imp!$C$761="","",INDEX(_imp!$D$4:$D$4503,_imp!$C$761))</f>
        <v/>
      </c>
      <c r="B759" s="54">
        <f>IF(_imp!$C$761="","",INDEX(_imp!$E$4:$E$4503,_imp!$C$761))</f>
        <v/>
      </c>
      <c r="C759" s="54">
        <f>IF(_imp!$C$761="","",INDEX(_imp!$F$4:$F$4503,_imp!$C$761))</f>
        <v/>
      </c>
      <c r="D759" s="54">
        <f>IF(_imp!$C$761="","",INDEX(_imp!$G$4:$G$4503,_imp!$C$761))</f>
        <v/>
      </c>
      <c r="E759" s="54">
        <f>IF(_imp!$C$761="","",INDEX(_imp!$H$4:$H$4503,_imp!$C$761))</f>
        <v/>
      </c>
      <c r="F759" s="54">
        <f>IF(_imp!$C$761="","",INDEX(_imp!$I$4:$I$4503,_imp!$C$761))</f>
        <v/>
      </c>
      <c r="G759" s="54">
        <f>IF(_imp!$C$761="","",INDEX(_imp!$J$4:$J$4503,_imp!$C$761))</f>
        <v/>
      </c>
      <c r="K759" s="54">
        <f>IF(_imp!$C$761="","",INDEX(_imp!$K$4:$K$4503,_imp!$C$761))</f>
        <v/>
      </c>
    </row>
    <row r="760">
      <c r="A760" s="54">
        <f>IF(_imp!$C$762="","",INDEX(_imp!$D$4:$D$4503,_imp!$C$762))</f>
        <v/>
      </c>
      <c r="B760" s="54">
        <f>IF(_imp!$C$762="","",INDEX(_imp!$E$4:$E$4503,_imp!$C$762))</f>
        <v/>
      </c>
      <c r="C760" s="54">
        <f>IF(_imp!$C$762="","",INDEX(_imp!$F$4:$F$4503,_imp!$C$762))</f>
        <v/>
      </c>
      <c r="D760" s="54">
        <f>IF(_imp!$C$762="","",INDEX(_imp!$G$4:$G$4503,_imp!$C$762))</f>
        <v/>
      </c>
      <c r="E760" s="54">
        <f>IF(_imp!$C$762="","",INDEX(_imp!$H$4:$H$4503,_imp!$C$762))</f>
        <v/>
      </c>
      <c r="F760" s="54">
        <f>IF(_imp!$C$762="","",INDEX(_imp!$I$4:$I$4503,_imp!$C$762))</f>
        <v/>
      </c>
      <c r="G760" s="54">
        <f>IF(_imp!$C$762="","",INDEX(_imp!$J$4:$J$4503,_imp!$C$762))</f>
        <v/>
      </c>
      <c r="K760" s="54">
        <f>IF(_imp!$C$762="","",INDEX(_imp!$K$4:$K$4503,_imp!$C$762))</f>
        <v/>
      </c>
    </row>
    <row r="761">
      <c r="A761" s="54">
        <f>IF(_imp!$C$763="","",INDEX(_imp!$D$4:$D$4503,_imp!$C$763))</f>
        <v/>
      </c>
      <c r="B761" s="54">
        <f>IF(_imp!$C$763="","",INDEX(_imp!$E$4:$E$4503,_imp!$C$763))</f>
        <v/>
      </c>
      <c r="C761" s="54">
        <f>IF(_imp!$C$763="","",INDEX(_imp!$F$4:$F$4503,_imp!$C$763))</f>
        <v/>
      </c>
      <c r="D761" s="54">
        <f>IF(_imp!$C$763="","",INDEX(_imp!$G$4:$G$4503,_imp!$C$763))</f>
        <v/>
      </c>
      <c r="E761" s="54">
        <f>IF(_imp!$C$763="","",INDEX(_imp!$H$4:$H$4503,_imp!$C$763))</f>
        <v/>
      </c>
      <c r="F761" s="54">
        <f>IF(_imp!$C$763="","",INDEX(_imp!$I$4:$I$4503,_imp!$C$763))</f>
        <v/>
      </c>
      <c r="G761" s="54">
        <f>IF(_imp!$C$763="","",INDEX(_imp!$J$4:$J$4503,_imp!$C$763))</f>
        <v/>
      </c>
      <c r="K761" s="54">
        <f>IF(_imp!$C$763="","",INDEX(_imp!$K$4:$K$4503,_imp!$C$763))</f>
        <v/>
      </c>
    </row>
    <row r="762">
      <c r="A762" s="54">
        <f>IF(_imp!$C$764="","",INDEX(_imp!$D$4:$D$4503,_imp!$C$764))</f>
        <v/>
      </c>
      <c r="B762" s="54">
        <f>IF(_imp!$C$764="","",INDEX(_imp!$E$4:$E$4503,_imp!$C$764))</f>
        <v/>
      </c>
      <c r="C762" s="54">
        <f>IF(_imp!$C$764="","",INDEX(_imp!$F$4:$F$4503,_imp!$C$764))</f>
        <v/>
      </c>
      <c r="D762" s="54">
        <f>IF(_imp!$C$764="","",INDEX(_imp!$G$4:$G$4503,_imp!$C$764))</f>
        <v/>
      </c>
      <c r="E762" s="54">
        <f>IF(_imp!$C$764="","",INDEX(_imp!$H$4:$H$4503,_imp!$C$764))</f>
        <v/>
      </c>
      <c r="F762" s="54">
        <f>IF(_imp!$C$764="","",INDEX(_imp!$I$4:$I$4503,_imp!$C$764))</f>
        <v/>
      </c>
      <c r="G762" s="54">
        <f>IF(_imp!$C$764="","",INDEX(_imp!$J$4:$J$4503,_imp!$C$764))</f>
        <v/>
      </c>
      <c r="K762" s="54">
        <f>IF(_imp!$C$764="","",INDEX(_imp!$K$4:$K$4503,_imp!$C$764))</f>
        <v/>
      </c>
    </row>
    <row r="763">
      <c r="A763" s="54">
        <f>IF(_imp!$C$765="","",INDEX(_imp!$D$4:$D$4503,_imp!$C$765))</f>
        <v/>
      </c>
      <c r="B763" s="54">
        <f>IF(_imp!$C$765="","",INDEX(_imp!$E$4:$E$4503,_imp!$C$765))</f>
        <v/>
      </c>
      <c r="C763" s="54">
        <f>IF(_imp!$C$765="","",INDEX(_imp!$F$4:$F$4503,_imp!$C$765))</f>
        <v/>
      </c>
      <c r="D763" s="54">
        <f>IF(_imp!$C$765="","",INDEX(_imp!$G$4:$G$4503,_imp!$C$765))</f>
        <v/>
      </c>
      <c r="E763" s="54">
        <f>IF(_imp!$C$765="","",INDEX(_imp!$H$4:$H$4503,_imp!$C$765))</f>
        <v/>
      </c>
      <c r="F763" s="54">
        <f>IF(_imp!$C$765="","",INDEX(_imp!$I$4:$I$4503,_imp!$C$765))</f>
        <v/>
      </c>
      <c r="G763" s="54">
        <f>IF(_imp!$C$765="","",INDEX(_imp!$J$4:$J$4503,_imp!$C$765))</f>
        <v/>
      </c>
      <c r="K763" s="54">
        <f>IF(_imp!$C$765="","",INDEX(_imp!$K$4:$K$4503,_imp!$C$765))</f>
        <v/>
      </c>
    </row>
    <row r="764">
      <c r="A764" s="54">
        <f>IF(_imp!$C$766="","",INDEX(_imp!$D$4:$D$4503,_imp!$C$766))</f>
        <v/>
      </c>
      <c r="B764" s="54">
        <f>IF(_imp!$C$766="","",INDEX(_imp!$E$4:$E$4503,_imp!$C$766))</f>
        <v/>
      </c>
      <c r="C764" s="54">
        <f>IF(_imp!$C$766="","",INDEX(_imp!$F$4:$F$4503,_imp!$C$766))</f>
        <v/>
      </c>
      <c r="D764" s="54">
        <f>IF(_imp!$C$766="","",INDEX(_imp!$G$4:$G$4503,_imp!$C$766))</f>
        <v/>
      </c>
      <c r="E764" s="54">
        <f>IF(_imp!$C$766="","",INDEX(_imp!$H$4:$H$4503,_imp!$C$766))</f>
        <v/>
      </c>
      <c r="F764" s="54">
        <f>IF(_imp!$C$766="","",INDEX(_imp!$I$4:$I$4503,_imp!$C$766))</f>
        <v/>
      </c>
      <c r="G764" s="54">
        <f>IF(_imp!$C$766="","",INDEX(_imp!$J$4:$J$4503,_imp!$C$766))</f>
        <v/>
      </c>
      <c r="K764" s="54">
        <f>IF(_imp!$C$766="","",INDEX(_imp!$K$4:$K$4503,_imp!$C$766))</f>
        <v/>
      </c>
    </row>
    <row r="765">
      <c r="A765" s="54">
        <f>IF(_imp!$C$767="","",INDEX(_imp!$D$4:$D$4503,_imp!$C$767))</f>
        <v/>
      </c>
      <c r="B765" s="54">
        <f>IF(_imp!$C$767="","",INDEX(_imp!$E$4:$E$4503,_imp!$C$767))</f>
        <v/>
      </c>
      <c r="C765" s="54">
        <f>IF(_imp!$C$767="","",INDEX(_imp!$F$4:$F$4503,_imp!$C$767))</f>
        <v/>
      </c>
      <c r="D765" s="54">
        <f>IF(_imp!$C$767="","",INDEX(_imp!$G$4:$G$4503,_imp!$C$767))</f>
        <v/>
      </c>
      <c r="E765" s="54">
        <f>IF(_imp!$C$767="","",INDEX(_imp!$H$4:$H$4503,_imp!$C$767))</f>
        <v/>
      </c>
      <c r="F765" s="54">
        <f>IF(_imp!$C$767="","",INDEX(_imp!$I$4:$I$4503,_imp!$C$767))</f>
        <v/>
      </c>
      <c r="G765" s="54">
        <f>IF(_imp!$C$767="","",INDEX(_imp!$J$4:$J$4503,_imp!$C$767))</f>
        <v/>
      </c>
      <c r="K765" s="54">
        <f>IF(_imp!$C$767="","",INDEX(_imp!$K$4:$K$4503,_imp!$C$767))</f>
        <v/>
      </c>
    </row>
    <row r="766">
      <c r="A766" s="54">
        <f>IF(_imp!$C$768="","",INDEX(_imp!$D$4:$D$4503,_imp!$C$768))</f>
        <v/>
      </c>
      <c r="B766" s="54">
        <f>IF(_imp!$C$768="","",INDEX(_imp!$E$4:$E$4503,_imp!$C$768))</f>
        <v/>
      </c>
      <c r="C766" s="54">
        <f>IF(_imp!$C$768="","",INDEX(_imp!$F$4:$F$4503,_imp!$C$768))</f>
        <v/>
      </c>
      <c r="D766" s="54">
        <f>IF(_imp!$C$768="","",INDEX(_imp!$G$4:$G$4503,_imp!$C$768))</f>
        <v/>
      </c>
      <c r="E766" s="54">
        <f>IF(_imp!$C$768="","",INDEX(_imp!$H$4:$H$4503,_imp!$C$768))</f>
        <v/>
      </c>
      <c r="F766" s="54">
        <f>IF(_imp!$C$768="","",INDEX(_imp!$I$4:$I$4503,_imp!$C$768))</f>
        <v/>
      </c>
      <c r="G766" s="54">
        <f>IF(_imp!$C$768="","",INDEX(_imp!$J$4:$J$4503,_imp!$C$768))</f>
        <v/>
      </c>
      <c r="K766" s="54">
        <f>IF(_imp!$C$768="","",INDEX(_imp!$K$4:$K$4503,_imp!$C$768))</f>
        <v/>
      </c>
    </row>
    <row r="767">
      <c r="A767" s="54">
        <f>IF(_imp!$C$769="","",INDEX(_imp!$D$4:$D$4503,_imp!$C$769))</f>
        <v/>
      </c>
      <c r="B767" s="54">
        <f>IF(_imp!$C$769="","",INDEX(_imp!$E$4:$E$4503,_imp!$C$769))</f>
        <v/>
      </c>
      <c r="C767" s="54">
        <f>IF(_imp!$C$769="","",INDEX(_imp!$F$4:$F$4503,_imp!$C$769))</f>
        <v/>
      </c>
      <c r="D767" s="54">
        <f>IF(_imp!$C$769="","",INDEX(_imp!$G$4:$G$4503,_imp!$C$769))</f>
        <v/>
      </c>
      <c r="E767" s="54">
        <f>IF(_imp!$C$769="","",INDEX(_imp!$H$4:$H$4503,_imp!$C$769))</f>
        <v/>
      </c>
      <c r="F767" s="54">
        <f>IF(_imp!$C$769="","",INDEX(_imp!$I$4:$I$4503,_imp!$C$769))</f>
        <v/>
      </c>
      <c r="G767" s="54">
        <f>IF(_imp!$C$769="","",INDEX(_imp!$J$4:$J$4503,_imp!$C$769))</f>
        <v/>
      </c>
      <c r="K767" s="54">
        <f>IF(_imp!$C$769="","",INDEX(_imp!$K$4:$K$4503,_imp!$C$769))</f>
        <v/>
      </c>
    </row>
    <row r="768">
      <c r="A768" s="54">
        <f>IF(_imp!$C$770="","",INDEX(_imp!$D$4:$D$4503,_imp!$C$770))</f>
        <v/>
      </c>
      <c r="B768" s="54">
        <f>IF(_imp!$C$770="","",INDEX(_imp!$E$4:$E$4503,_imp!$C$770))</f>
        <v/>
      </c>
      <c r="C768" s="54">
        <f>IF(_imp!$C$770="","",INDEX(_imp!$F$4:$F$4503,_imp!$C$770))</f>
        <v/>
      </c>
      <c r="D768" s="54">
        <f>IF(_imp!$C$770="","",INDEX(_imp!$G$4:$G$4503,_imp!$C$770))</f>
        <v/>
      </c>
      <c r="E768" s="54">
        <f>IF(_imp!$C$770="","",INDEX(_imp!$H$4:$H$4503,_imp!$C$770))</f>
        <v/>
      </c>
      <c r="F768" s="54">
        <f>IF(_imp!$C$770="","",INDEX(_imp!$I$4:$I$4503,_imp!$C$770))</f>
        <v/>
      </c>
      <c r="G768" s="54">
        <f>IF(_imp!$C$770="","",INDEX(_imp!$J$4:$J$4503,_imp!$C$770))</f>
        <v/>
      </c>
      <c r="K768" s="54">
        <f>IF(_imp!$C$770="","",INDEX(_imp!$K$4:$K$4503,_imp!$C$770))</f>
        <v/>
      </c>
    </row>
    <row r="769">
      <c r="A769" s="54">
        <f>IF(_imp!$C$771="","",INDEX(_imp!$D$4:$D$4503,_imp!$C$771))</f>
        <v/>
      </c>
      <c r="B769" s="54">
        <f>IF(_imp!$C$771="","",INDEX(_imp!$E$4:$E$4503,_imp!$C$771))</f>
        <v/>
      </c>
      <c r="C769" s="54">
        <f>IF(_imp!$C$771="","",INDEX(_imp!$F$4:$F$4503,_imp!$C$771))</f>
        <v/>
      </c>
      <c r="D769" s="54">
        <f>IF(_imp!$C$771="","",INDEX(_imp!$G$4:$G$4503,_imp!$C$771))</f>
        <v/>
      </c>
      <c r="E769" s="54">
        <f>IF(_imp!$C$771="","",INDEX(_imp!$H$4:$H$4503,_imp!$C$771))</f>
        <v/>
      </c>
      <c r="F769" s="54">
        <f>IF(_imp!$C$771="","",INDEX(_imp!$I$4:$I$4503,_imp!$C$771))</f>
        <v/>
      </c>
      <c r="G769" s="54">
        <f>IF(_imp!$C$771="","",INDEX(_imp!$J$4:$J$4503,_imp!$C$771))</f>
        <v/>
      </c>
      <c r="K769" s="54">
        <f>IF(_imp!$C$771="","",INDEX(_imp!$K$4:$K$4503,_imp!$C$771))</f>
        <v/>
      </c>
    </row>
    <row r="770">
      <c r="A770" s="54">
        <f>IF(_imp!$C$772="","",INDEX(_imp!$D$4:$D$4503,_imp!$C$772))</f>
        <v/>
      </c>
      <c r="B770" s="54">
        <f>IF(_imp!$C$772="","",INDEX(_imp!$E$4:$E$4503,_imp!$C$772))</f>
        <v/>
      </c>
      <c r="C770" s="54">
        <f>IF(_imp!$C$772="","",INDEX(_imp!$F$4:$F$4503,_imp!$C$772))</f>
        <v/>
      </c>
      <c r="D770" s="54">
        <f>IF(_imp!$C$772="","",INDEX(_imp!$G$4:$G$4503,_imp!$C$772))</f>
        <v/>
      </c>
      <c r="E770" s="54">
        <f>IF(_imp!$C$772="","",INDEX(_imp!$H$4:$H$4503,_imp!$C$772))</f>
        <v/>
      </c>
      <c r="F770" s="54">
        <f>IF(_imp!$C$772="","",INDEX(_imp!$I$4:$I$4503,_imp!$C$772))</f>
        <v/>
      </c>
      <c r="G770" s="54">
        <f>IF(_imp!$C$772="","",INDEX(_imp!$J$4:$J$4503,_imp!$C$772))</f>
        <v/>
      </c>
      <c r="K770" s="54">
        <f>IF(_imp!$C$772="","",INDEX(_imp!$K$4:$K$4503,_imp!$C$772))</f>
        <v/>
      </c>
    </row>
    <row r="771">
      <c r="A771" s="54">
        <f>IF(_imp!$C$773="","",INDEX(_imp!$D$4:$D$4503,_imp!$C$773))</f>
        <v/>
      </c>
      <c r="B771" s="54">
        <f>IF(_imp!$C$773="","",INDEX(_imp!$E$4:$E$4503,_imp!$C$773))</f>
        <v/>
      </c>
      <c r="C771" s="54">
        <f>IF(_imp!$C$773="","",INDEX(_imp!$F$4:$F$4503,_imp!$C$773))</f>
        <v/>
      </c>
      <c r="D771" s="54">
        <f>IF(_imp!$C$773="","",INDEX(_imp!$G$4:$G$4503,_imp!$C$773))</f>
        <v/>
      </c>
      <c r="E771" s="54">
        <f>IF(_imp!$C$773="","",INDEX(_imp!$H$4:$H$4503,_imp!$C$773))</f>
        <v/>
      </c>
      <c r="F771" s="54">
        <f>IF(_imp!$C$773="","",INDEX(_imp!$I$4:$I$4503,_imp!$C$773))</f>
        <v/>
      </c>
      <c r="G771" s="54">
        <f>IF(_imp!$C$773="","",INDEX(_imp!$J$4:$J$4503,_imp!$C$773))</f>
        <v/>
      </c>
      <c r="K771" s="54">
        <f>IF(_imp!$C$773="","",INDEX(_imp!$K$4:$K$4503,_imp!$C$773))</f>
        <v/>
      </c>
    </row>
    <row r="772">
      <c r="A772" s="54">
        <f>IF(_imp!$C$774="","",INDEX(_imp!$D$4:$D$4503,_imp!$C$774))</f>
        <v/>
      </c>
      <c r="B772" s="54">
        <f>IF(_imp!$C$774="","",INDEX(_imp!$E$4:$E$4503,_imp!$C$774))</f>
        <v/>
      </c>
      <c r="C772" s="54">
        <f>IF(_imp!$C$774="","",INDEX(_imp!$F$4:$F$4503,_imp!$C$774))</f>
        <v/>
      </c>
      <c r="D772" s="54">
        <f>IF(_imp!$C$774="","",INDEX(_imp!$G$4:$G$4503,_imp!$C$774))</f>
        <v/>
      </c>
      <c r="E772" s="54">
        <f>IF(_imp!$C$774="","",INDEX(_imp!$H$4:$H$4503,_imp!$C$774))</f>
        <v/>
      </c>
      <c r="F772" s="54">
        <f>IF(_imp!$C$774="","",INDEX(_imp!$I$4:$I$4503,_imp!$C$774))</f>
        <v/>
      </c>
      <c r="G772" s="54">
        <f>IF(_imp!$C$774="","",INDEX(_imp!$J$4:$J$4503,_imp!$C$774))</f>
        <v/>
      </c>
      <c r="K772" s="54">
        <f>IF(_imp!$C$774="","",INDEX(_imp!$K$4:$K$4503,_imp!$C$774))</f>
        <v/>
      </c>
    </row>
    <row r="773">
      <c r="A773" s="54">
        <f>IF(_imp!$C$775="","",INDEX(_imp!$D$4:$D$4503,_imp!$C$775))</f>
        <v/>
      </c>
      <c r="B773" s="54">
        <f>IF(_imp!$C$775="","",INDEX(_imp!$E$4:$E$4503,_imp!$C$775))</f>
        <v/>
      </c>
      <c r="C773" s="54">
        <f>IF(_imp!$C$775="","",INDEX(_imp!$F$4:$F$4503,_imp!$C$775))</f>
        <v/>
      </c>
      <c r="D773" s="54">
        <f>IF(_imp!$C$775="","",INDEX(_imp!$G$4:$G$4503,_imp!$C$775))</f>
        <v/>
      </c>
      <c r="E773" s="54">
        <f>IF(_imp!$C$775="","",INDEX(_imp!$H$4:$H$4503,_imp!$C$775))</f>
        <v/>
      </c>
      <c r="F773" s="54">
        <f>IF(_imp!$C$775="","",INDEX(_imp!$I$4:$I$4503,_imp!$C$775))</f>
        <v/>
      </c>
      <c r="G773" s="54">
        <f>IF(_imp!$C$775="","",INDEX(_imp!$J$4:$J$4503,_imp!$C$775))</f>
        <v/>
      </c>
      <c r="K773" s="54">
        <f>IF(_imp!$C$775="","",INDEX(_imp!$K$4:$K$4503,_imp!$C$775))</f>
        <v/>
      </c>
    </row>
    <row r="774">
      <c r="A774" s="54">
        <f>IF(_imp!$C$776="","",INDEX(_imp!$D$4:$D$4503,_imp!$C$776))</f>
        <v/>
      </c>
      <c r="B774" s="54">
        <f>IF(_imp!$C$776="","",INDEX(_imp!$E$4:$E$4503,_imp!$C$776))</f>
        <v/>
      </c>
      <c r="C774" s="54">
        <f>IF(_imp!$C$776="","",INDEX(_imp!$F$4:$F$4503,_imp!$C$776))</f>
        <v/>
      </c>
      <c r="D774" s="54">
        <f>IF(_imp!$C$776="","",INDEX(_imp!$G$4:$G$4503,_imp!$C$776))</f>
        <v/>
      </c>
      <c r="E774" s="54">
        <f>IF(_imp!$C$776="","",INDEX(_imp!$H$4:$H$4503,_imp!$C$776))</f>
        <v/>
      </c>
      <c r="F774" s="54">
        <f>IF(_imp!$C$776="","",INDEX(_imp!$I$4:$I$4503,_imp!$C$776))</f>
        <v/>
      </c>
      <c r="G774" s="54">
        <f>IF(_imp!$C$776="","",INDEX(_imp!$J$4:$J$4503,_imp!$C$776))</f>
        <v/>
      </c>
      <c r="K774" s="54">
        <f>IF(_imp!$C$776="","",INDEX(_imp!$K$4:$K$4503,_imp!$C$776))</f>
        <v/>
      </c>
    </row>
    <row r="775">
      <c r="A775" s="54">
        <f>IF(_imp!$C$777="","",INDEX(_imp!$D$4:$D$4503,_imp!$C$777))</f>
        <v/>
      </c>
      <c r="B775" s="54">
        <f>IF(_imp!$C$777="","",INDEX(_imp!$E$4:$E$4503,_imp!$C$777))</f>
        <v/>
      </c>
      <c r="C775" s="54">
        <f>IF(_imp!$C$777="","",INDEX(_imp!$F$4:$F$4503,_imp!$C$777))</f>
        <v/>
      </c>
      <c r="D775" s="54">
        <f>IF(_imp!$C$777="","",INDEX(_imp!$G$4:$G$4503,_imp!$C$777))</f>
        <v/>
      </c>
      <c r="E775" s="54">
        <f>IF(_imp!$C$777="","",INDEX(_imp!$H$4:$H$4503,_imp!$C$777))</f>
        <v/>
      </c>
      <c r="F775" s="54">
        <f>IF(_imp!$C$777="","",INDEX(_imp!$I$4:$I$4503,_imp!$C$777))</f>
        <v/>
      </c>
      <c r="G775" s="54">
        <f>IF(_imp!$C$777="","",INDEX(_imp!$J$4:$J$4503,_imp!$C$777))</f>
        <v/>
      </c>
      <c r="K775" s="54">
        <f>IF(_imp!$C$777="","",INDEX(_imp!$K$4:$K$4503,_imp!$C$777))</f>
        <v/>
      </c>
    </row>
    <row r="776">
      <c r="A776" s="54">
        <f>IF(_imp!$C$778="","",INDEX(_imp!$D$4:$D$4503,_imp!$C$778))</f>
        <v/>
      </c>
      <c r="B776" s="54">
        <f>IF(_imp!$C$778="","",INDEX(_imp!$E$4:$E$4503,_imp!$C$778))</f>
        <v/>
      </c>
      <c r="C776" s="54">
        <f>IF(_imp!$C$778="","",INDEX(_imp!$F$4:$F$4503,_imp!$C$778))</f>
        <v/>
      </c>
      <c r="D776" s="54">
        <f>IF(_imp!$C$778="","",INDEX(_imp!$G$4:$G$4503,_imp!$C$778))</f>
        <v/>
      </c>
      <c r="E776" s="54">
        <f>IF(_imp!$C$778="","",INDEX(_imp!$H$4:$H$4503,_imp!$C$778))</f>
        <v/>
      </c>
      <c r="F776" s="54">
        <f>IF(_imp!$C$778="","",INDEX(_imp!$I$4:$I$4503,_imp!$C$778))</f>
        <v/>
      </c>
      <c r="G776" s="54">
        <f>IF(_imp!$C$778="","",INDEX(_imp!$J$4:$J$4503,_imp!$C$778))</f>
        <v/>
      </c>
      <c r="K776" s="54">
        <f>IF(_imp!$C$778="","",INDEX(_imp!$K$4:$K$4503,_imp!$C$778))</f>
        <v/>
      </c>
    </row>
    <row r="777">
      <c r="A777" s="54">
        <f>IF(_imp!$C$779="","",INDEX(_imp!$D$4:$D$4503,_imp!$C$779))</f>
        <v/>
      </c>
      <c r="B777" s="54">
        <f>IF(_imp!$C$779="","",INDEX(_imp!$E$4:$E$4503,_imp!$C$779))</f>
        <v/>
      </c>
      <c r="C777" s="54">
        <f>IF(_imp!$C$779="","",INDEX(_imp!$F$4:$F$4503,_imp!$C$779))</f>
        <v/>
      </c>
      <c r="D777" s="54">
        <f>IF(_imp!$C$779="","",INDEX(_imp!$G$4:$G$4503,_imp!$C$779))</f>
        <v/>
      </c>
      <c r="E777" s="54">
        <f>IF(_imp!$C$779="","",INDEX(_imp!$H$4:$H$4503,_imp!$C$779))</f>
        <v/>
      </c>
      <c r="F777" s="54">
        <f>IF(_imp!$C$779="","",INDEX(_imp!$I$4:$I$4503,_imp!$C$779))</f>
        <v/>
      </c>
      <c r="G777" s="54">
        <f>IF(_imp!$C$779="","",INDEX(_imp!$J$4:$J$4503,_imp!$C$779))</f>
        <v/>
      </c>
      <c r="K777" s="54">
        <f>IF(_imp!$C$779="","",INDEX(_imp!$K$4:$K$4503,_imp!$C$779))</f>
        <v/>
      </c>
    </row>
    <row r="778">
      <c r="A778" s="54">
        <f>IF(_imp!$C$780="","",INDEX(_imp!$D$4:$D$4503,_imp!$C$780))</f>
        <v/>
      </c>
      <c r="B778" s="54">
        <f>IF(_imp!$C$780="","",INDEX(_imp!$E$4:$E$4503,_imp!$C$780))</f>
        <v/>
      </c>
      <c r="C778" s="54">
        <f>IF(_imp!$C$780="","",INDEX(_imp!$F$4:$F$4503,_imp!$C$780))</f>
        <v/>
      </c>
      <c r="D778" s="54">
        <f>IF(_imp!$C$780="","",INDEX(_imp!$G$4:$G$4503,_imp!$C$780))</f>
        <v/>
      </c>
      <c r="E778" s="54">
        <f>IF(_imp!$C$780="","",INDEX(_imp!$H$4:$H$4503,_imp!$C$780))</f>
        <v/>
      </c>
      <c r="F778" s="54">
        <f>IF(_imp!$C$780="","",INDEX(_imp!$I$4:$I$4503,_imp!$C$780))</f>
        <v/>
      </c>
      <c r="G778" s="54">
        <f>IF(_imp!$C$780="","",INDEX(_imp!$J$4:$J$4503,_imp!$C$780))</f>
        <v/>
      </c>
      <c r="K778" s="54">
        <f>IF(_imp!$C$780="","",INDEX(_imp!$K$4:$K$4503,_imp!$C$780))</f>
        <v/>
      </c>
    </row>
    <row r="779">
      <c r="A779" s="54">
        <f>IF(_imp!$C$781="","",INDEX(_imp!$D$4:$D$4503,_imp!$C$781))</f>
        <v/>
      </c>
      <c r="B779" s="54">
        <f>IF(_imp!$C$781="","",INDEX(_imp!$E$4:$E$4503,_imp!$C$781))</f>
        <v/>
      </c>
      <c r="C779" s="54">
        <f>IF(_imp!$C$781="","",INDEX(_imp!$F$4:$F$4503,_imp!$C$781))</f>
        <v/>
      </c>
      <c r="D779" s="54">
        <f>IF(_imp!$C$781="","",INDEX(_imp!$G$4:$G$4503,_imp!$C$781))</f>
        <v/>
      </c>
      <c r="E779" s="54">
        <f>IF(_imp!$C$781="","",INDEX(_imp!$H$4:$H$4503,_imp!$C$781))</f>
        <v/>
      </c>
      <c r="F779" s="54">
        <f>IF(_imp!$C$781="","",INDEX(_imp!$I$4:$I$4503,_imp!$C$781))</f>
        <v/>
      </c>
      <c r="G779" s="54">
        <f>IF(_imp!$C$781="","",INDEX(_imp!$J$4:$J$4503,_imp!$C$781))</f>
        <v/>
      </c>
      <c r="K779" s="54">
        <f>IF(_imp!$C$781="","",INDEX(_imp!$K$4:$K$4503,_imp!$C$781))</f>
        <v/>
      </c>
    </row>
    <row r="780">
      <c r="A780" s="54">
        <f>IF(_imp!$C$782="","",INDEX(_imp!$D$4:$D$4503,_imp!$C$782))</f>
        <v/>
      </c>
      <c r="B780" s="54">
        <f>IF(_imp!$C$782="","",INDEX(_imp!$E$4:$E$4503,_imp!$C$782))</f>
        <v/>
      </c>
      <c r="C780" s="54">
        <f>IF(_imp!$C$782="","",INDEX(_imp!$F$4:$F$4503,_imp!$C$782))</f>
        <v/>
      </c>
      <c r="D780" s="54">
        <f>IF(_imp!$C$782="","",INDEX(_imp!$G$4:$G$4503,_imp!$C$782))</f>
        <v/>
      </c>
      <c r="E780" s="54">
        <f>IF(_imp!$C$782="","",INDEX(_imp!$H$4:$H$4503,_imp!$C$782))</f>
        <v/>
      </c>
      <c r="F780" s="54">
        <f>IF(_imp!$C$782="","",INDEX(_imp!$I$4:$I$4503,_imp!$C$782))</f>
        <v/>
      </c>
      <c r="G780" s="54">
        <f>IF(_imp!$C$782="","",INDEX(_imp!$J$4:$J$4503,_imp!$C$782))</f>
        <v/>
      </c>
      <c r="K780" s="54">
        <f>IF(_imp!$C$782="","",INDEX(_imp!$K$4:$K$4503,_imp!$C$782))</f>
        <v/>
      </c>
    </row>
    <row r="781">
      <c r="A781" s="54">
        <f>IF(_imp!$C$783="","",INDEX(_imp!$D$4:$D$4503,_imp!$C$783))</f>
        <v/>
      </c>
      <c r="B781" s="54">
        <f>IF(_imp!$C$783="","",INDEX(_imp!$E$4:$E$4503,_imp!$C$783))</f>
        <v/>
      </c>
      <c r="C781" s="54">
        <f>IF(_imp!$C$783="","",INDEX(_imp!$F$4:$F$4503,_imp!$C$783))</f>
        <v/>
      </c>
      <c r="D781" s="54">
        <f>IF(_imp!$C$783="","",INDEX(_imp!$G$4:$G$4503,_imp!$C$783))</f>
        <v/>
      </c>
      <c r="E781" s="54">
        <f>IF(_imp!$C$783="","",INDEX(_imp!$H$4:$H$4503,_imp!$C$783))</f>
        <v/>
      </c>
      <c r="F781" s="54">
        <f>IF(_imp!$C$783="","",INDEX(_imp!$I$4:$I$4503,_imp!$C$783))</f>
        <v/>
      </c>
      <c r="G781" s="54">
        <f>IF(_imp!$C$783="","",INDEX(_imp!$J$4:$J$4503,_imp!$C$783))</f>
        <v/>
      </c>
      <c r="K781" s="54">
        <f>IF(_imp!$C$783="","",INDEX(_imp!$K$4:$K$4503,_imp!$C$783))</f>
        <v/>
      </c>
    </row>
    <row r="782">
      <c r="A782" s="54">
        <f>IF(_imp!$C$784="","",INDEX(_imp!$D$4:$D$4503,_imp!$C$784))</f>
        <v/>
      </c>
      <c r="B782" s="54">
        <f>IF(_imp!$C$784="","",INDEX(_imp!$E$4:$E$4503,_imp!$C$784))</f>
        <v/>
      </c>
      <c r="C782" s="54">
        <f>IF(_imp!$C$784="","",INDEX(_imp!$F$4:$F$4503,_imp!$C$784))</f>
        <v/>
      </c>
      <c r="D782" s="54">
        <f>IF(_imp!$C$784="","",INDEX(_imp!$G$4:$G$4503,_imp!$C$784))</f>
        <v/>
      </c>
      <c r="E782" s="54">
        <f>IF(_imp!$C$784="","",INDEX(_imp!$H$4:$H$4503,_imp!$C$784))</f>
        <v/>
      </c>
      <c r="F782" s="54">
        <f>IF(_imp!$C$784="","",INDEX(_imp!$I$4:$I$4503,_imp!$C$784))</f>
        <v/>
      </c>
      <c r="G782" s="54">
        <f>IF(_imp!$C$784="","",INDEX(_imp!$J$4:$J$4503,_imp!$C$784))</f>
        <v/>
      </c>
      <c r="K782" s="54">
        <f>IF(_imp!$C$784="","",INDEX(_imp!$K$4:$K$4503,_imp!$C$784))</f>
        <v/>
      </c>
    </row>
    <row r="783">
      <c r="A783" s="54">
        <f>IF(_imp!$C$785="","",INDEX(_imp!$D$4:$D$4503,_imp!$C$785))</f>
        <v/>
      </c>
      <c r="B783" s="54">
        <f>IF(_imp!$C$785="","",INDEX(_imp!$E$4:$E$4503,_imp!$C$785))</f>
        <v/>
      </c>
      <c r="C783" s="54">
        <f>IF(_imp!$C$785="","",INDEX(_imp!$F$4:$F$4503,_imp!$C$785))</f>
        <v/>
      </c>
      <c r="D783" s="54">
        <f>IF(_imp!$C$785="","",INDEX(_imp!$G$4:$G$4503,_imp!$C$785))</f>
        <v/>
      </c>
      <c r="E783" s="54">
        <f>IF(_imp!$C$785="","",INDEX(_imp!$H$4:$H$4503,_imp!$C$785))</f>
        <v/>
      </c>
      <c r="F783" s="54">
        <f>IF(_imp!$C$785="","",INDEX(_imp!$I$4:$I$4503,_imp!$C$785))</f>
        <v/>
      </c>
      <c r="G783" s="54">
        <f>IF(_imp!$C$785="","",INDEX(_imp!$J$4:$J$4503,_imp!$C$785))</f>
        <v/>
      </c>
      <c r="K783" s="54">
        <f>IF(_imp!$C$785="","",INDEX(_imp!$K$4:$K$4503,_imp!$C$785))</f>
        <v/>
      </c>
    </row>
    <row r="784">
      <c r="A784" s="54">
        <f>IF(_imp!$C$786="","",INDEX(_imp!$D$4:$D$4503,_imp!$C$786))</f>
        <v/>
      </c>
      <c r="B784" s="54">
        <f>IF(_imp!$C$786="","",INDEX(_imp!$E$4:$E$4503,_imp!$C$786))</f>
        <v/>
      </c>
      <c r="C784" s="54">
        <f>IF(_imp!$C$786="","",INDEX(_imp!$F$4:$F$4503,_imp!$C$786))</f>
        <v/>
      </c>
      <c r="D784" s="54">
        <f>IF(_imp!$C$786="","",INDEX(_imp!$G$4:$G$4503,_imp!$C$786))</f>
        <v/>
      </c>
      <c r="E784" s="54">
        <f>IF(_imp!$C$786="","",INDEX(_imp!$H$4:$H$4503,_imp!$C$786))</f>
        <v/>
      </c>
      <c r="F784" s="54">
        <f>IF(_imp!$C$786="","",INDEX(_imp!$I$4:$I$4503,_imp!$C$786))</f>
        <v/>
      </c>
      <c r="G784" s="54">
        <f>IF(_imp!$C$786="","",INDEX(_imp!$J$4:$J$4503,_imp!$C$786))</f>
        <v/>
      </c>
      <c r="K784" s="54">
        <f>IF(_imp!$C$786="","",INDEX(_imp!$K$4:$K$4503,_imp!$C$786))</f>
        <v/>
      </c>
    </row>
    <row r="785">
      <c r="A785" s="54">
        <f>IF(_imp!$C$787="","",INDEX(_imp!$D$4:$D$4503,_imp!$C$787))</f>
        <v/>
      </c>
      <c r="B785" s="54">
        <f>IF(_imp!$C$787="","",INDEX(_imp!$E$4:$E$4503,_imp!$C$787))</f>
        <v/>
      </c>
      <c r="C785" s="54">
        <f>IF(_imp!$C$787="","",INDEX(_imp!$F$4:$F$4503,_imp!$C$787))</f>
        <v/>
      </c>
      <c r="D785" s="54">
        <f>IF(_imp!$C$787="","",INDEX(_imp!$G$4:$G$4503,_imp!$C$787))</f>
        <v/>
      </c>
      <c r="E785" s="54">
        <f>IF(_imp!$C$787="","",INDEX(_imp!$H$4:$H$4503,_imp!$C$787))</f>
        <v/>
      </c>
      <c r="F785" s="54">
        <f>IF(_imp!$C$787="","",INDEX(_imp!$I$4:$I$4503,_imp!$C$787))</f>
        <v/>
      </c>
      <c r="G785" s="54">
        <f>IF(_imp!$C$787="","",INDEX(_imp!$J$4:$J$4503,_imp!$C$787))</f>
        <v/>
      </c>
      <c r="K785" s="54">
        <f>IF(_imp!$C$787="","",INDEX(_imp!$K$4:$K$4503,_imp!$C$787))</f>
        <v/>
      </c>
    </row>
    <row r="786">
      <c r="A786" s="54">
        <f>IF(_imp!$C$788="","",INDEX(_imp!$D$4:$D$4503,_imp!$C$788))</f>
        <v/>
      </c>
      <c r="B786" s="54">
        <f>IF(_imp!$C$788="","",INDEX(_imp!$E$4:$E$4503,_imp!$C$788))</f>
        <v/>
      </c>
      <c r="C786" s="54">
        <f>IF(_imp!$C$788="","",INDEX(_imp!$F$4:$F$4503,_imp!$C$788))</f>
        <v/>
      </c>
      <c r="D786" s="54">
        <f>IF(_imp!$C$788="","",INDEX(_imp!$G$4:$G$4503,_imp!$C$788))</f>
        <v/>
      </c>
      <c r="E786" s="54">
        <f>IF(_imp!$C$788="","",INDEX(_imp!$H$4:$H$4503,_imp!$C$788))</f>
        <v/>
      </c>
      <c r="F786" s="54">
        <f>IF(_imp!$C$788="","",INDEX(_imp!$I$4:$I$4503,_imp!$C$788))</f>
        <v/>
      </c>
      <c r="G786" s="54">
        <f>IF(_imp!$C$788="","",INDEX(_imp!$J$4:$J$4503,_imp!$C$788))</f>
        <v/>
      </c>
      <c r="K786" s="54">
        <f>IF(_imp!$C$788="","",INDEX(_imp!$K$4:$K$4503,_imp!$C$788))</f>
        <v/>
      </c>
    </row>
    <row r="787">
      <c r="A787" s="54">
        <f>IF(_imp!$C$789="","",INDEX(_imp!$D$4:$D$4503,_imp!$C$789))</f>
        <v/>
      </c>
      <c r="B787" s="54">
        <f>IF(_imp!$C$789="","",INDEX(_imp!$E$4:$E$4503,_imp!$C$789))</f>
        <v/>
      </c>
      <c r="C787" s="54">
        <f>IF(_imp!$C$789="","",INDEX(_imp!$F$4:$F$4503,_imp!$C$789))</f>
        <v/>
      </c>
      <c r="D787" s="54">
        <f>IF(_imp!$C$789="","",INDEX(_imp!$G$4:$G$4503,_imp!$C$789))</f>
        <v/>
      </c>
      <c r="E787" s="54">
        <f>IF(_imp!$C$789="","",INDEX(_imp!$H$4:$H$4503,_imp!$C$789))</f>
        <v/>
      </c>
      <c r="F787" s="54">
        <f>IF(_imp!$C$789="","",INDEX(_imp!$I$4:$I$4503,_imp!$C$789))</f>
        <v/>
      </c>
      <c r="G787" s="54">
        <f>IF(_imp!$C$789="","",INDEX(_imp!$J$4:$J$4503,_imp!$C$789))</f>
        <v/>
      </c>
      <c r="K787" s="54">
        <f>IF(_imp!$C$789="","",INDEX(_imp!$K$4:$K$4503,_imp!$C$789))</f>
        <v/>
      </c>
    </row>
    <row r="788">
      <c r="A788" s="54">
        <f>IF(_imp!$C$790="","",INDEX(_imp!$D$4:$D$4503,_imp!$C$790))</f>
        <v/>
      </c>
      <c r="B788" s="54">
        <f>IF(_imp!$C$790="","",INDEX(_imp!$E$4:$E$4503,_imp!$C$790))</f>
        <v/>
      </c>
      <c r="C788" s="54">
        <f>IF(_imp!$C$790="","",INDEX(_imp!$F$4:$F$4503,_imp!$C$790))</f>
        <v/>
      </c>
      <c r="D788" s="54">
        <f>IF(_imp!$C$790="","",INDEX(_imp!$G$4:$G$4503,_imp!$C$790))</f>
        <v/>
      </c>
      <c r="E788" s="54">
        <f>IF(_imp!$C$790="","",INDEX(_imp!$H$4:$H$4503,_imp!$C$790))</f>
        <v/>
      </c>
      <c r="F788" s="54">
        <f>IF(_imp!$C$790="","",INDEX(_imp!$I$4:$I$4503,_imp!$C$790))</f>
        <v/>
      </c>
      <c r="G788" s="54">
        <f>IF(_imp!$C$790="","",INDEX(_imp!$J$4:$J$4503,_imp!$C$790))</f>
        <v/>
      </c>
      <c r="K788" s="54">
        <f>IF(_imp!$C$790="","",INDEX(_imp!$K$4:$K$4503,_imp!$C$790))</f>
        <v/>
      </c>
    </row>
    <row r="789">
      <c r="A789" s="54">
        <f>IF(_imp!$C$791="","",INDEX(_imp!$D$4:$D$4503,_imp!$C$791))</f>
        <v/>
      </c>
      <c r="B789" s="54">
        <f>IF(_imp!$C$791="","",INDEX(_imp!$E$4:$E$4503,_imp!$C$791))</f>
        <v/>
      </c>
      <c r="C789" s="54">
        <f>IF(_imp!$C$791="","",INDEX(_imp!$F$4:$F$4503,_imp!$C$791))</f>
        <v/>
      </c>
      <c r="D789" s="54">
        <f>IF(_imp!$C$791="","",INDEX(_imp!$G$4:$G$4503,_imp!$C$791))</f>
        <v/>
      </c>
      <c r="E789" s="54">
        <f>IF(_imp!$C$791="","",INDEX(_imp!$H$4:$H$4503,_imp!$C$791))</f>
        <v/>
      </c>
      <c r="F789" s="54">
        <f>IF(_imp!$C$791="","",INDEX(_imp!$I$4:$I$4503,_imp!$C$791))</f>
        <v/>
      </c>
      <c r="G789" s="54">
        <f>IF(_imp!$C$791="","",INDEX(_imp!$J$4:$J$4503,_imp!$C$791))</f>
        <v/>
      </c>
      <c r="K789" s="54">
        <f>IF(_imp!$C$791="","",INDEX(_imp!$K$4:$K$4503,_imp!$C$791))</f>
        <v/>
      </c>
    </row>
    <row r="790">
      <c r="A790" s="54">
        <f>IF(_imp!$C$792="","",INDEX(_imp!$D$4:$D$4503,_imp!$C$792))</f>
        <v/>
      </c>
      <c r="B790" s="54">
        <f>IF(_imp!$C$792="","",INDEX(_imp!$E$4:$E$4503,_imp!$C$792))</f>
        <v/>
      </c>
      <c r="C790" s="54">
        <f>IF(_imp!$C$792="","",INDEX(_imp!$F$4:$F$4503,_imp!$C$792))</f>
        <v/>
      </c>
      <c r="D790" s="54">
        <f>IF(_imp!$C$792="","",INDEX(_imp!$G$4:$G$4503,_imp!$C$792))</f>
        <v/>
      </c>
      <c r="E790" s="54">
        <f>IF(_imp!$C$792="","",INDEX(_imp!$H$4:$H$4503,_imp!$C$792))</f>
        <v/>
      </c>
      <c r="F790" s="54">
        <f>IF(_imp!$C$792="","",INDEX(_imp!$I$4:$I$4503,_imp!$C$792))</f>
        <v/>
      </c>
      <c r="G790" s="54">
        <f>IF(_imp!$C$792="","",INDEX(_imp!$J$4:$J$4503,_imp!$C$792))</f>
        <v/>
      </c>
      <c r="K790" s="54">
        <f>IF(_imp!$C$792="","",INDEX(_imp!$K$4:$K$4503,_imp!$C$792))</f>
        <v/>
      </c>
    </row>
    <row r="791">
      <c r="A791" s="54">
        <f>IF(_imp!$C$793="","",INDEX(_imp!$D$4:$D$4503,_imp!$C$793))</f>
        <v/>
      </c>
      <c r="B791" s="54">
        <f>IF(_imp!$C$793="","",INDEX(_imp!$E$4:$E$4503,_imp!$C$793))</f>
        <v/>
      </c>
      <c r="C791" s="54">
        <f>IF(_imp!$C$793="","",INDEX(_imp!$F$4:$F$4503,_imp!$C$793))</f>
        <v/>
      </c>
      <c r="D791" s="54">
        <f>IF(_imp!$C$793="","",INDEX(_imp!$G$4:$G$4503,_imp!$C$793))</f>
        <v/>
      </c>
      <c r="E791" s="54">
        <f>IF(_imp!$C$793="","",INDEX(_imp!$H$4:$H$4503,_imp!$C$793))</f>
        <v/>
      </c>
      <c r="F791" s="54">
        <f>IF(_imp!$C$793="","",INDEX(_imp!$I$4:$I$4503,_imp!$C$793))</f>
        <v/>
      </c>
      <c r="G791" s="54">
        <f>IF(_imp!$C$793="","",INDEX(_imp!$J$4:$J$4503,_imp!$C$793))</f>
        <v/>
      </c>
      <c r="K791" s="54">
        <f>IF(_imp!$C$793="","",INDEX(_imp!$K$4:$K$4503,_imp!$C$793))</f>
        <v/>
      </c>
    </row>
    <row r="792">
      <c r="A792" s="54">
        <f>IF(_imp!$C$794="","",INDEX(_imp!$D$4:$D$4503,_imp!$C$794))</f>
        <v/>
      </c>
      <c r="B792" s="54">
        <f>IF(_imp!$C$794="","",INDEX(_imp!$E$4:$E$4503,_imp!$C$794))</f>
        <v/>
      </c>
      <c r="C792" s="54">
        <f>IF(_imp!$C$794="","",INDEX(_imp!$F$4:$F$4503,_imp!$C$794))</f>
        <v/>
      </c>
      <c r="D792" s="54">
        <f>IF(_imp!$C$794="","",INDEX(_imp!$G$4:$G$4503,_imp!$C$794))</f>
        <v/>
      </c>
      <c r="E792" s="54">
        <f>IF(_imp!$C$794="","",INDEX(_imp!$H$4:$H$4503,_imp!$C$794))</f>
        <v/>
      </c>
      <c r="F792" s="54">
        <f>IF(_imp!$C$794="","",INDEX(_imp!$I$4:$I$4503,_imp!$C$794))</f>
        <v/>
      </c>
      <c r="G792" s="54">
        <f>IF(_imp!$C$794="","",INDEX(_imp!$J$4:$J$4503,_imp!$C$794))</f>
        <v/>
      </c>
      <c r="K792" s="54">
        <f>IF(_imp!$C$794="","",INDEX(_imp!$K$4:$K$4503,_imp!$C$794))</f>
        <v/>
      </c>
    </row>
    <row r="793">
      <c r="A793" s="54">
        <f>IF(_imp!$C$795="","",INDEX(_imp!$D$4:$D$4503,_imp!$C$795))</f>
        <v/>
      </c>
      <c r="B793" s="54">
        <f>IF(_imp!$C$795="","",INDEX(_imp!$E$4:$E$4503,_imp!$C$795))</f>
        <v/>
      </c>
      <c r="C793" s="54">
        <f>IF(_imp!$C$795="","",INDEX(_imp!$F$4:$F$4503,_imp!$C$795))</f>
        <v/>
      </c>
      <c r="D793" s="54">
        <f>IF(_imp!$C$795="","",INDEX(_imp!$G$4:$G$4503,_imp!$C$795))</f>
        <v/>
      </c>
      <c r="E793" s="54">
        <f>IF(_imp!$C$795="","",INDEX(_imp!$H$4:$H$4503,_imp!$C$795))</f>
        <v/>
      </c>
      <c r="F793" s="54">
        <f>IF(_imp!$C$795="","",INDEX(_imp!$I$4:$I$4503,_imp!$C$795))</f>
        <v/>
      </c>
      <c r="G793" s="54">
        <f>IF(_imp!$C$795="","",INDEX(_imp!$J$4:$J$4503,_imp!$C$795))</f>
        <v/>
      </c>
      <c r="K793" s="54">
        <f>IF(_imp!$C$795="","",INDEX(_imp!$K$4:$K$4503,_imp!$C$795))</f>
        <v/>
      </c>
    </row>
    <row r="794">
      <c r="A794" s="54">
        <f>IF(_imp!$C$796="","",INDEX(_imp!$D$4:$D$4503,_imp!$C$796))</f>
        <v/>
      </c>
      <c r="B794" s="54">
        <f>IF(_imp!$C$796="","",INDEX(_imp!$E$4:$E$4503,_imp!$C$796))</f>
        <v/>
      </c>
      <c r="C794" s="54">
        <f>IF(_imp!$C$796="","",INDEX(_imp!$F$4:$F$4503,_imp!$C$796))</f>
        <v/>
      </c>
      <c r="D794" s="54">
        <f>IF(_imp!$C$796="","",INDEX(_imp!$G$4:$G$4503,_imp!$C$796))</f>
        <v/>
      </c>
      <c r="E794" s="54">
        <f>IF(_imp!$C$796="","",INDEX(_imp!$H$4:$H$4503,_imp!$C$796))</f>
        <v/>
      </c>
      <c r="F794" s="54">
        <f>IF(_imp!$C$796="","",INDEX(_imp!$I$4:$I$4503,_imp!$C$796))</f>
        <v/>
      </c>
      <c r="G794" s="54">
        <f>IF(_imp!$C$796="","",INDEX(_imp!$J$4:$J$4503,_imp!$C$796))</f>
        <v/>
      </c>
      <c r="K794" s="54">
        <f>IF(_imp!$C$796="","",INDEX(_imp!$K$4:$K$4503,_imp!$C$796))</f>
        <v/>
      </c>
    </row>
    <row r="795">
      <c r="A795" s="54">
        <f>IF(_imp!$C$797="","",INDEX(_imp!$D$4:$D$4503,_imp!$C$797))</f>
        <v/>
      </c>
      <c r="B795" s="54">
        <f>IF(_imp!$C$797="","",INDEX(_imp!$E$4:$E$4503,_imp!$C$797))</f>
        <v/>
      </c>
      <c r="C795" s="54">
        <f>IF(_imp!$C$797="","",INDEX(_imp!$F$4:$F$4503,_imp!$C$797))</f>
        <v/>
      </c>
      <c r="D795" s="54">
        <f>IF(_imp!$C$797="","",INDEX(_imp!$G$4:$G$4503,_imp!$C$797))</f>
        <v/>
      </c>
      <c r="E795" s="54">
        <f>IF(_imp!$C$797="","",INDEX(_imp!$H$4:$H$4503,_imp!$C$797))</f>
        <v/>
      </c>
      <c r="F795" s="54">
        <f>IF(_imp!$C$797="","",INDEX(_imp!$I$4:$I$4503,_imp!$C$797))</f>
        <v/>
      </c>
      <c r="G795" s="54">
        <f>IF(_imp!$C$797="","",INDEX(_imp!$J$4:$J$4503,_imp!$C$797))</f>
        <v/>
      </c>
      <c r="K795" s="54">
        <f>IF(_imp!$C$797="","",INDEX(_imp!$K$4:$K$4503,_imp!$C$797))</f>
        <v/>
      </c>
    </row>
    <row r="796">
      <c r="A796" s="54">
        <f>IF(_imp!$C$798="","",INDEX(_imp!$D$4:$D$4503,_imp!$C$798))</f>
        <v/>
      </c>
      <c r="B796" s="54">
        <f>IF(_imp!$C$798="","",INDEX(_imp!$E$4:$E$4503,_imp!$C$798))</f>
        <v/>
      </c>
      <c r="C796" s="54">
        <f>IF(_imp!$C$798="","",INDEX(_imp!$F$4:$F$4503,_imp!$C$798))</f>
        <v/>
      </c>
      <c r="D796" s="54">
        <f>IF(_imp!$C$798="","",INDEX(_imp!$G$4:$G$4503,_imp!$C$798))</f>
        <v/>
      </c>
      <c r="E796" s="54">
        <f>IF(_imp!$C$798="","",INDEX(_imp!$H$4:$H$4503,_imp!$C$798))</f>
        <v/>
      </c>
      <c r="F796" s="54">
        <f>IF(_imp!$C$798="","",INDEX(_imp!$I$4:$I$4503,_imp!$C$798))</f>
        <v/>
      </c>
      <c r="G796" s="54">
        <f>IF(_imp!$C$798="","",INDEX(_imp!$J$4:$J$4503,_imp!$C$798))</f>
        <v/>
      </c>
      <c r="K796" s="54">
        <f>IF(_imp!$C$798="","",INDEX(_imp!$K$4:$K$4503,_imp!$C$798))</f>
        <v/>
      </c>
    </row>
    <row r="797">
      <c r="A797" s="54">
        <f>IF(_imp!$C$799="","",INDEX(_imp!$D$4:$D$4503,_imp!$C$799))</f>
        <v/>
      </c>
      <c r="B797" s="54">
        <f>IF(_imp!$C$799="","",INDEX(_imp!$E$4:$E$4503,_imp!$C$799))</f>
        <v/>
      </c>
      <c r="C797" s="54">
        <f>IF(_imp!$C$799="","",INDEX(_imp!$F$4:$F$4503,_imp!$C$799))</f>
        <v/>
      </c>
      <c r="D797" s="54">
        <f>IF(_imp!$C$799="","",INDEX(_imp!$G$4:$G$4503,_imp!$C$799))</f>
        <v/>
      </c>
      <c r="E797" s="54">
        <f>IF(_imp!$C$799="","",INDEX(_imp!$H$4:$H$4503,_imp!$C$799))</f>
        <v/>
      </c>
      <c r="F797" s="54">
        <f>IF(_imp!$C$799="","",INDEX(_imp!$I$4:$I$4503,_imp!$C$799))</f>
        <v/>
      </c>
      <c r="G797" s="54">
        <f>IF(_imp!$C$799="","",INDEX(_imp!$J$4:$J$4503,_imp!$C$799))</f>
        <v/>
      </c>
      <c r="K797" s="54">
        <f>IF(_imp!$C$799="","",INDEX(_imp!$K$4:$K$4503,_imp!$C$799))</f>
        <v/>
      </c>
    </row>
    <row r="798">
      <c r="A798" s="54">
        <f>IF(_imp!$C$800="","",INDEX(_imp!$D$4:$D$4503,_imp!$C$800))</f>
        <v/>
      </c>
      <c r="B798" s="54">
        <f>IF(_imp!$C$800="","",INDEX(_imp!$E$4:$E$4503,_imp!$C$800))</f>
        <v/>
      </c>
      <c r="C798" s="54">
        <f>IF(_imp!$C$800="","",INDEX(_imp!$F$4:$F$4503,_imp!$C$800))</f>
        <v/>
      </c>
      <c r="D798" s="54">
        <f>IF(_imp!$C$800="","",INDEX(_imp!$G$4:$G$4503,_imp!$C$800))</f>
        <v/>
      </c>
      <c r="E798" s="54">
        <f>IF(_imp!$C$800="","",INDEX(_imp!$H$4:$H$4503,_imp!$C$800))</f>
        <v/>
      </c>
      <c r="F798" s="54">
        <f>IF(_imp!$C$800="","",INDEX(_imp!$I$4:$I$4503,_imp!$C$800))</f>
        <v/>
      </c>
      <c r="G798" s="54">
        <f>IF(_imp!$C$800="","",INDEX(_imp!$J$4:$J$4503,_imp!$C$800))</f>
        <v/>
      </c>
      <c r="K798" s="54">
        <f>IF(_imp!$C$800="","",INDEX(_imp!$K$4:$K$4503,_imp!$C$800))</f>
        <v/>
      </c>
    </row>
    <row r="799">
      <c r="A799" s="54">
        <f>IF(_imp!$C$801="","",INDEX(_imp!$D$4:$D$4503,_imp!$C$801))</f>
        <v/>
      </c>
      <c r="B799" s="54">
        <f>IF(_imp!$C$801="","",INDEX(_imp!$E$4:$E$4503,_imp!$C$801))</f>
        <v/>
      </c>
      <c r="C799" s="54">
        <f>IF(_imp!$C$801="","",INDEX(_imp!$F$4:$F$4503,_imp!$C$801))</f>
        <v/>
      </c>
      <c r="D799" s="54">
        <f>IF(_imp!$C$801="","",INDEX(_imp!$G$4:$G$4503,_imp!$C$801))</f>
        <v/>
      </c>
      <c r="E799" s="54">
        <f>IF(_imp!$C$801="","",INDEX(_imp!$H$4:$H$4503,_imp!$C$801))</f>
        <v/>
      </c>
      <c r="F799" s="54">
        <f>IF(_imp!$C$801="","",INDEX(_imp!$I$4:$I$4503,_imp!$C$801))</f>
        <v/>
      </c>
      <c r="G799" s="54">
        <f>IF(_imp!$C$801="","",INDEX(_imp!$J$4:$J$4503,_imp!$C$801))</f>
        <v/>
      </c>
      <c r="K799" s="54">
        <f>IF(_imp!$C$801="","",INDEX(_imp!$K$4:$K$4503,_imp!$C$801))</f>
        <v/>
      </c>
    </row>
    <row r="800">
      <c r="A800" s="54">
        <f>IF(_imp!$C$802="","",INDEX(_imp!$D$4:$D$4503,_imp!$C$802))</f>
        <v/>
      </c>
      <c r="B800" s="54">
        <f>IF(_imp!$C$802="","",INDEX(_imp!$E$4:$E$4503,_imp!$C$802))</f>
        <v/>
      </c>
      <c r="C800" s="54">
        <f>IF(_imp!$C$802="","",INDEX(_imp!$F$4:$F$4503,_imp!$C$802))</f>
        <v/>
      </c>
      <c r="D800" s="54">
        <f>IF(_imp!$C$802="","",INDEX(_imp!$G$4:$G$4503,_imp!$C$802))</f>
        <v/>
      </c>
      <c r="E800" s="54">
        <f>IF(_imp!$C$802="","",INDEX(_imp!$H$4:$H$4503,_imp!$C$802))</f>
        <v/>
      </c>
      <c r="F800" s="54">
        <f>IF(_imp!$C$802="","",INDEX(_imp!$I$4:$I$4503,_imp!$C$802))</f>
        <v/>
      </c>
      <c r="G800" s="54">
        <f>IF(_imp!$C$802="","",INDEX(_imp!$J$4:$J$4503,_imp!$C$802))</f>
        <v/>
      </c>
      <c r="K800" s="54">
        <f>IF(_imp!$C$802="","",INDEX(_imp!$K$4:$K$4503,_imp!$C$802))</f>
        <v/>
      </c>
    </row>
    <row r="801">
      <c r="A801" s="54">
        <f>IF(_imp!$C$803="","",INDEX(_imp!$D$4:$D$4503,_imp!$C$803))</f>
        <v/>
      </c>
      <c r="B801" s="54">
        <f>IF(_imp!$C$803="","",INDEX(_imp!$E$4:$E$4503,_imp!$C$803))</f>
        <v/>
      </c>
      <c r="C801" s="54">
        <f>IF(_imp!$C$803="","",INDEX(_imp!$F$4:$F$4503,_imp!$C$803))</f>
        <v/>
      </c>
      <c r="D801" s="54">
        <f>IF(_imp!$C$803="","",INDEX(_imp!$G$4:$G$4503,_imp!$C$803))</f>
        <v/>
      </c>
      <c r="E801" s="54">
        <f>IF(_imp!$C$803="","",INDEX(_imp!$H$4:$H$4503,_imp!$C$803))</f>
        <v/>
      </c>
      <c r="F801" s="54">
        <f>IF(_imp!$C$803="","",INDEX(_imp!$I$4:$I$4503,_imp!$C$803))</f>
        <v/>
      </c>
      <c r="G801" s="54">
        <f>IF(_imp!$C$803="","",INDEX(_imp!$J$4:$J$4503,_imp!$C$803))</f>
        <v/>
      </c>
      <c r="K801" s="54">
        <f>IF(_imp!$C$803="","",INDEX(_imp!$K$4:$K$4503,_imp!$C$803))</f>
        <v/>
      </c>
    </row>
    <row r="802">
      <c r="A802" s="54">
        <f>IF(_imp!$C$804="","",INDEX(_imp!$D$4:$D$4503,_imp!$C$804))</f>
        <v/>
      </c>
      <c r="B802" s="54">
        <f>IF(_imp!$C$804="","",INDEX(_imp!$E$4:$E$4503,_imp!$C$804))</f>
        <v/>
      </c>
      <c r="C802" s="54">
        <f>IF(_imp!$C$804="","",INDEX(_imp!$F$4:$F$4503,_imp!$C$804))</f>
        <v/>
      </c>
      <c r="D802" s="54">
        <f>IF(_imp!$C$804="","",INDEX(_imp!$G$4:$G$4503,_imp!$C$804))</f>
        <v/>
      </c>
      <c r="E802" s="54">
        <f>IF(_imp!$C$804="","",INDEX(_imp!$H$4:$H$4503,_imp!$C$804))</f>
        <v/>
      </c>
      <c r="F802" s="54">
        <f>IF(_imp!$C$804="","",INDEX(_imp!$I$4:$I$4503,_imp!$C$804))</f>
        <v/>
      </c>
      <c r="G802" s="54">
        <f>IF(_imp!$C$804="","",INDEX(_imp!$J$4:$J$4503,_imp!$C$804))</f>
        <v/>
      </c>
      <c r="K802" s="54">
        <f>IF(_imp!$C$804="","",INDEX(_imp!$K$4:$K$4503,_imp!$C$804))</f>
        <v/>
      </c>
    </row>
    <row r="803">
      <c r="A803" s="54">
        <f>IF(_imp!$C$805="","",INDEX(_imp!$D$4:$D$4503,_imp!$C$805))</f>
        <v/>
      </c>
      <c r="B803" s="54">
        <f>IF(_imp!$C$805="","",INDEX(_imp!$E$4:$E$4503,_imp!$C$805))</f>
        <v/>
      </c>
      <c r="C803" s="54">
        <f>IF(_imp!$C$805="","",INDEX(_imp!$F$4:$F$4503,_imp!$C$805))</f>
        <v/>
      </c>
      <c r="D803" s="54">
        <f>IF(_imp!$C$805="","",INDEX(_imp!$G$4:$G$4503,_imp!$C$805))</f>
        <v/>
      </c>
      <c r="E803" s="54">
        <f>IF(_imp!$C$805="","",INDEX(_imp!$H$4:$H$4503,_imp!$C$805))</f>
        <v/>
      </c>
      <c r="F803" s="54">
        <f>IF(_imp!$C$805="","",INDEX(_imp!$I$4:$I$4503,_imp!$C$805))</f>
        <v/>
      </c>
      <c r="G803" s="54">
        <f>IF(_imp!$C$805="","",INDEX(_imp!$J$4:$J$4503,_imp!$C$805))</f>
        <v/>
      </c>
      <c r="K803" s="54">
        <f>IF(_imp!$C$805="","",INDEX(_imp!$K$4:$K$4503,_imp!$C$805))</f>
        <v/>
      </c>
    </row>
    <row r="804">
      <c r="A804" s="54">
        <f>IF(_imp!$C$806="","",INDEX(_imp!$D$4:$D$4503,_imp!$C$806))</f>
        <v/>
      </c>
      <c r="B804" s="54">
        <f>IF(_imp!$C$806="","",INDEX(_imp!$E$4:$E$4503,_imp!$C$806))</f>
        <v/>
      </c>
      <c r="C804" s="54">
        <f>IF(_imp!$C$806="","",INDEX(_imp!$F$4:$F$4503,_imp!$C$806))</f>
        <v/>
      </c>
      <c r="D804" s="54">
        <f>IF(_imp!$C$806="","",INDEX(_imp!$G$4:$G$4503,_imp!$C$806))</f>
        <v/>
      </c>
      <c r="E804" s="54">
        <f>IF(_imp!$C$806="","",INDEX(_imp!$H$4:$H$4503,_imp!$C$806))</f>
        <v/>
      </c>
      <c r="F804" s="54">
        <f>IF(_imp!$C$806="","",INDEX(_imp!$I$4:$I$4503,_imp!$C$806))</f>
        <v/>
      </c>
      <c r="G804" s="54">
        <f>IF(_imp!$C$806="","",INDEX(_imp!$J$4:$J$4503,_imp!$C$806))</f>
        <v/>
      </c>
      <c r="K804" s="54">
        <f>IF(_imp!$C$806="","",INDEX(_imp!$K$4:$K$4503,_imp!$C$806))</f>
        <v/>
      </c>
    </row>
    <row r="805">
      <c r="A805" s="54">
        <f>IF(_imp!$C$807="","",INDEX(_imp!$D$4:$D$4503,_imp!$C$807))</f>
        <v/>
      </c>
      <c r="B805" s="54">
        <f>IF(_imp!$C$807="","",INDEX(_imp!$E$4:$E$4503,_imp!$C$807))</f>
        <v/>
      </c>
      <c r="C805" s="54">
        <f>IF(_imp!$C$807="","",INDEX(_imp!$F$4:$F$4503,_imp!$C$807))</f>
        <v/>
      </c>
      <c r="D805" s="54">
        <f>IF(_imp!$C$807="","",INDEX(_imp!$G$4:$G$4503,_imp!$C$807))</f>
        <v/>
      </c>
      <c r="E805" s="54">
        <f>IF(_imp!$C$807="","",INDEX(_imp!$H$4:$H$4503,_imp!$C$807))</f>
        <v/>
      </c>
      <c r="F805" s="54">
        <f>IF(_imp!$C$807="","",INDEX(_imp!$I$4:$I$4503,_imp!$C$807))</f>
        <v/>
      </c>
      <c r="G805" s="54">
        <f>IF(_imp!$C$807="","",INDEX(_imp!$J$4:$J$4503,_imp!$C$807))</f>
        <v/>
      </c>
      <c r="K805" s="54">
        <f>IF(_imp!$C$807="","",INDEX(_imp!$K$4:$K$4503,_imp!$C$807))</f>
        <v/>
      </c>
    </row>
    <row r="806">
      <c r="A806" s="54">
        <f>IF(_imp!$C$808="","",INDEX(_imp!$D$4:$D$4503,_imp!$C$808))</f>
        <v/>
      </c>
      <c r="B806" s="54">
        <f>IF(_imp!$C$808="","",INDEX(_imp!$E$4:$E$4503,_imp!$C$808))</f>
        <v/>
      </c>
      <c r="C806" s="54">
        <f>IF(_imp!$C$808="","",INDEX(_imp!$F$4:$F$4503,_imp!$C$808))</f>
        <v/>
      </c>
      <c r="D806" s="54">
        <f>IF(_imp!$C$808="","",INDEX(_imp!$G$4:$G$4503,_imp!$C$808))</f>
        <v/>
      </c>
      <c r="E806" s="54">
        <f>IF(_imp!$C$808="","",INDEX(_imp!$H$4:$H$4503,_imp!$C$808))</f>
        <v/>
      </c>
      <c r="F806" s="54">
        <f>IF(_imp!$C$808="","",INDEX(_imp!$I$4:$I$4503,_imp!$C$808))</f>
        <v/>
      </c>
      <c r="G806" s="54">
        <f>IF(_imp!$C$808="","",INDEX(_imp!$J$4:$J$4503,_imp!$C$808))</f>
        <v/>
      </c>
      <c r="K806" s="54">
        <f>IF(_imp!$C$808="","",INDEX(_imp!$K$4:$K$4503,_imp!$C$808))</f>
        <v/>
      </c>
    </row>
    <row r="807">
      <c r="A807" s="54">
        <f>IF(_imp!$C$809="","",INDEX(_imp!$D$4:$D$4503,_imp!$C$809))</f>
        <v/>
      </c>
      <c r="B807" s="54">
        <f>IF(_imp!$C$809="","",INDEX(_imp!$E$4:$E$4503,_imp!$C$809))</f>
        <v/>
      </c>
      <c r="C807" s="54">
        <f>IF(_imp!$C$809="","",INDEX(_imp!$F$4:$F$4503,_imp!$C$809))</f>
        <v/>
      </c>
      <c r="D807" s="54">
        <f>IF(_imp!$C$809="","",INDEX(_imp!$G$4:$G$4503,_imp!$C$809))</f>
        <v/>
      </c>
      <c r="E807" s="54">
        <f>IF(_imp!$C$809="","",INDEX(_imp!$H$4:$H$4503,_imp!$C$809))</f>
        <v/>
      </c>
      <c r="F807" s="54">
        <f>IF(_imp!$C$809="","",INDEX(_imp!$I$4:$I$4503,_imp!$C$809))</f>
        <v/>
      </c>
      <c r="G807" s="54">
        <f>IF(_imp!$C$809="","",INDEX(_imp!$J$4:$J$4503,_imp!$C$809))</f>
        <v/>
      </c>
      <c r="K807" s="54">
        <f>IF(_imp!$C$809="","",INDEX(_imp!$K$4:$K$4503,_imp!$C$809))</f>
        <v/>
      </c>
    </row>
    <row r="808">
      <c r="A808" s="54">
        <f>IF(_imp!$C$810="","",INDEX(_imp!$D$4:$D$4503,_imp!$C$810))</f>
        <v/>
      </c>
      <c r="B808" s="54">
        <f>IF(_imp!$C$810="","",INDEX(_imp!$E$4:$E$4503,_imp!$C$810))</f>
        <v/>
      </c>
      <c r="C808" s="54">
        <f>IF(_imp!$C$810="","",INDEX(_imp!$F$4:$F$4503,_imp!$C$810))</f>
        <v/>
      </c>
      <c r="D808" s="54">
        <f>IF(_imp!$C$810="","",INDEX(_imp!$G$4:$G$4503,_imp!$C$810))</f>
        <v/>
      </c>
      <c r="E808" s="54">
        <f>IF(_imp!$C$810="","",INDEX(_imp!$H$4:$H$4503,_imp!$C$810))</f>
        <v/>
      </c>
      <c r="F808" s="54">
        <f>IF(_imp!$C$810="","",INDEX(_imp!$I$4:$I$4503,_imp!$C$810))</f>
        <v/>
      </c>
      <c r="G808" s="54">
        <f>IF(_imp!$C$810="","",INDEX(_imp!$J$4:$J$4503,_imp!$C$810))</f>
        <v/>
      </c>
      <c r="K808" s="54">
        <f>IF(_imp!$C$810="","",INDEX(_imp!$K$4:$K$4503,_imp!$C$810))</f>
        <v/>
      </c>
    </row>
    <row r="809">
      <c r="A809" s="54">
        <f>IF(_imp!$C$811="","",INDEX(_imp!$D$4:$D$4503,_imp!$C$811))</f>
        <v/>
      </c>
      <c r="B809" s="54">
        <f>IF(_imp!$C$811="","",INDEX(_imp!$E$4:$E$4503,_imp!$C$811))</f>
        <v/>
      </c>
      <c r="C809" s="54">
        <f>IF(_imp!$C$811="","",INDEX(_imp!$F$4:$F$4503,_imp!$C$811))</f>
        <v/>
      </c>
      <c r="D809" s="54">
        <f>IF(_imp!$C$811="","",INDEX(_imp!$G$4:$G$4503,_imp!$C$811))</f>
        <v/>
      </c>
      <c r="E809" s="54">
        <f>IF(_imp!$C$811="","",INDEX(_imp!$H$4:$H$4503,_imp!$C$811))</f>
        <v/>
      </c>
      <c r="F809" s="54">
        <f>IF(_imp!$C$811="","",INDEX(_imp!$I$4:$I$4503,_imp!$C$811))</f>
        <v/>
      </c>
      <c r="G809" s="54">
        <f>IF(_imp!$C$811="","",INDEX(_imp!$J$4:$J$4503,_imp!$C$811))</f>
        <v/>
      </c>
      <c r="K809" s="54">
        <f>IF(_imp!$C$811="","",INDEX(_imp!$K$4:$K$4503,_imp!$C$811))</f>
        <v/>
      </c>
    </row>
    <row r="810">
      <c r="A810" s="54">
        <f>IF(_imp!$C$812="","",INDEX(_imp!$D$4:$D$4503,_imp!$C$812))</f>
        <v/>
      </c>
      <c r="B810" s="54">
        <f>IF(_imp!$C$812="","",INDEX(_imp!$E$4:$E$4503,_imp!$C$812))</f>
        <v/>
      </c>
      <c r="C810" s="54">
        <f>IF(_imp!$C$812="","",INDEX(_imp!$F$4:$F$4503,_imp!$C$812))</f>
        <v/>
      </c>
      <c r="D810" s="54">
        <f>IF(_imp!$C$812="","",INDEX(_imp!$G$4:$G$4503,_imp!$C$812))</f>
        <v/>
      </c>
      <c r="E810" s="54">
        <f>IF(_imp!$C$812="","",INDEX(_imp!$H$4:$H$4503,_imp!$C$812))</f>
        <v/>
      </c>
      <c r="F810" s="54">
        <f>IF(_imp!$C$812="","",INDEX(_imp!$I$4:$I$4503,_imp!$C$812))</f>
        <v/>
      </c>
      <c r="G810" s="54">
        <f>IF(_imp!$C$812="","",INDEX(_imp!$J$4:$J$4503,_imp!$C$812))</f>
        <v/>
      </c>
      <c r="K810" s="54">
        <f>IF(_imp!$C$812="","",INDEX(_imp!$K$4:$K$4503,_imp!$C$812))</f>
        <v/>
      </c>
    </row>
    <row r="811">
      <c r="A811" s="54">
        <f>IF(_imp!$C$813="","",INDEX(_imp!$D$4:$D$4503,_imp!$C$813))</f>
        <v/>
      </c>
      <c r="B811" s="54">
        <f>IF(_imp!$C$813="","",INDEX(_imp!$E$4:$E$4503,_imp!$C$813))</f>
        <v/>
      </c>
      <c r="C811" s="54">
        <f>IF(_imp!$C$813="","",INDEX(_imp!$F$4:$F$4503,_imp!$C$813))</f>
        <v/>
      </c>
      <c r="D811" s="54">
        <f>IF(_imp!$C$813="","",INDEX(_imp!$G$4:$G$4503,_imp!$C$813))</f>
        <v/>
      </c>
      <c r="E811" s="54">
        <f>IF(_imp!$C$813="","",INDEX(_imp!$H$4:$H$4503,_imp!$C$813))</f>
        <v/>
      </c>
      <c r="F811" s="54">
        <f>IF(_imp!$C$813="","",INDEX(_imp!$I$4:$I$4503,_imp!$C$813))</f>
        <v/>
      </c>
      <c r="G811" s="54">
        <f>IF(_imp!$C$813="","",INDEX(_imp!$J$4:$J$4503,_imp!$C$813))</f>
        <v/>
      </c>
      <c r="K811" s="54">
        <f>IF(_imp!$C$813="","",INDEX(_imp!$K$4:$K$4503,_imp!$C$813))</f>
        <v/>
      </c>
    </row>
    <row r="812">
      <c r="A812" s="54">
        <f>IF(_imp!$C$814="","",INDEX(_imp!$D$4:$D$4503,_imp!$C$814))</f>
        <v/>
      </c>
      <c r="B812" s="54">
        <f>IF(_imp!$C$814="","",INDEX(_imp!$E$4:$E$4503,_imp!$C$814))</f>
        <v/>
      </c>
      <c r="C812" s="54">
        <f>IF(_imp!$C$814="","",INDEX(_imp!$F$4:$F$4503,_imp!$C$814))</f>
        <v/>
      </c>
      <c r="D812" s="54">
        <f>IF(_imp!$C$814="","",INDEX(_imp!$G$4:$G$4503,_imp!$C$814))</f>
        <v/>
      </c>
      <c r="E812" s="54">
        <f>IF(_imp!$C$814="","",INDEX(_imp!$H$4:$H$4503,_imp!$C$814))</f>
        <v/>
      </c>
      <c r="F812" s="54">
        <f>IF(_imp!$C$814="","",INDEX(_imp!$I$4:$I$4503,_imp!$C$814))</f>
        <v/>
      </c>
      <c r="G812" s="54">
        <f>IF(_imp!$C$814="","",INDEX(_imp!$J$4:$J$4503,_imp!$C$814))</f>
        <v/>
      </c>
      <c r="K812" s="54">
        <f>IF(_imp!$C$814="","",INDEX(_imp!$K$4:$K$4503,_imp!$C$814))</f>
        <v/>
      </c>
    </row>
    <row r="813">
      <c r="A813" s="54">
        <f>IF(_imp!$C$815="","",INDEX(_imp!$D$4:$D$4503,_imp!$C$815))</f>
        <v/>
      </c>
      <c r="B813" s="54">
        <f>IF(_imp!$C$815="","",INDEX(_imp!$E$4:$E$4503,_imp!$C$815))</f>
        <v/>
      </c>
      <c r="C813" s="54">
        <f>IF(_imp!$C$815="","",INDEX(_imp!$F$4:$F$4503,_imp!$C$815))</f>
        <v/>
      </c>
      <c r="D813" s="54">
        <f>IF(_imp!$C$815="","",INDEX(_imp!$G$4:$G$4503,_imp!$C$815))</f>
        <v/>
      </c>
      <c r="E813" s="54">
        <f>IF(_imp!$C$815="","",INDEX(_imp!$H$4:$H$4503,_imp!$C$815))</f>
        <v/>
      </c>
      <c r="F813" s="54">
        <f>IF(_imp!$C$815="","",INDEX(_imp!$I$4:$I$4503,_imp!$C$815))</f>
        <v/>
      </c>
      <c r="G813" s="54">
        <f>IF(_imp!$C$815="","",INDEX(_imp!$J$4:$J$4503,_imp!$C$815))</f>
        <v/>
      </c>
      <c r="K813" s="54">
        <f>IF(_imp!$C$815="","",INDEX(_imp!$K$4:$K$4503,_imp!$C$815))</f>
        <v/>
      </c>
    </row>
    <row r="814">
      <c r="A814" s="54">
        <f>IF(_imp!$C$816="","",INDEX(_imp!$D$4:$D$4503,_imp!$C$816))</f>
        <v/>
      </c>
      <c r="B814" s="54">
        <f>IF(_imp!$C$816="","",INDEX(_imp!$E$4:$E$4503,_imp!$C$816))</f>
        <v/>
      </c>
      <c r="C814" s="54">
        <f>IF(_imp!$C$816="","",INDEX(_imp!$F$4:$F$4503,_imp!$C$816))</f>
        <v/>
      </c>
      <c r="D814" s="54">
        <f>IF(_imp!$C$816="","",INDEX(_imp!$G$4:$G$4503,_imp!$C$816))</f>
        <v/>
      </c>
      <c r="E814" s="54">
        <f>IF(_imp!$C$816="","",INDEX(_imp!$H$4:$H$4503,_imp!$C$816))</f>
        <v/>
      </c>
      <c r="F814" s="54">
        <f>IF(_imp!$C$816="","",INDEX(_imp!$I$4:$I$4503,_imp!$C$816))</f>
        <v/>
      </c>
      <c r="G814" s="54">
        <f>IF(_imp!$C$816="","",INDEX(_imp!$J$4:$J$4503,_imp!$C$816))</f>
        <v/>
      </c>
      <c r="K814" s="54">
        <f>IF(_imp!$C$816="","",INDEX(_imp!$K$4:$K$4503,_imp!$C$816))</f>
        <v/>
      </c>
    </row>
    <row r="815">
      <c r="A815" s="54">
        <f>IF(_imp!$C$817="","",INDEX(_imp!$D$4:$D$4503,_imp!$C$817))</f>
        <v/>
      </c>
      <c r="B815" s="54">
        <f>IF(_imp!$C$817="","",INDEX(_imp!$E$4:$E$4503,_imp!$C$817))</f>
        <v/>
      </c>
      <c r="C815" s="54">
        <f>IF(_imp!$C$817="","",INDEX(_imp!$F$4:$F$4503,_imp!$C$817))</f>
        <v/>
      </c>
      <c r="D815" s="54">
        <f>IF(_imp!$C$817="","",INDEX(_imp!$G$4:$G$4503,_imp!$C$817))</f>
        <v/>
      </c>
      <c r="E815" s="54">
        <f>IF(_imp!$C$817="","",INDEX(_imp!$H$4:$H$4503,_imp!$C$817))</f>
        <v/>
      </c>
      <c r="F815" s="54">
        <f>IF(_imp!$C$817="","",INDEX(_imp!$I$4:$I$4503,_imp!$C$817))</f>
        <v/>
      </c>
      <c r="G815" s="54">
        <f>IF(_imp!$C$817="","",INDEX(_imp!$J$4:$J$4503,_imp!$C$817))</f>
        <v/>
      </c>
      <c r="K815" s="54">
        <f>IF(_imp!$C$817="","",INDEX(_imp!$K$4:$K$4503,_imp!$C$817))</f>
        <v/>
      </c>
    </row>
    <row r="816">
      <c r="A816" s="54">
        <f>IF(_imp!$C$818="","",INDEX(_imp!$D$4:$D$4503,_imp!$C$818))</f>
        <v/>
      </c>
      <c r="B816" s="54">
        <f>IF(_imp!$C$818="","",INDEX(_imp!$E$4:$E$4503,_imp!$C$818))</f>
        <v/>
      </c>
      <c r="C816" s="54">
        <f>IF(_imp!$C$818="","",INDEX(_imp!$F$4:$F$4503,_imp!$C$818))</f>
        <v/>
      </c>
      <c r="D816" s="54">
        <f>IF(_imp!$C$818="","",INDEX(_imp!$G$4:$G$4503,_imp!$C$818))</f>
        <v/>
      </c>
      <c r="E816" s="54">
        <f>IF(_imp!$C$818="","",INDEX(_imp!$H$4:$H$4503,_imp!$C$818))</f>
        <v/>
      </c>
      <c r="F816" s="54">
        <f>IF(_imp!$C$818="","",INDEX(_imp!$I$4:$I$4503,_imp!$C$818))</f>
        <v/>
      </c>
      <c r="G816" s="54">
        <f>IF(_imp!$C$818="","",INDEX(_imp!$J$4:$J$4503,_imp!$C$818))</f>
        <v/>
      </c>
      <c r="K816" s="54">
        <f>IF(_imp!$C$818="","",INDEX(_imp!$K$4:$K$4503,_imp!$C$818))</f>
        <v/>
      </c>
    </row>
    <row r="817">
      <c r="A817" s="54">
        <f>IF(_imp!$C$819="","",INDEX(_imp!$D$4:$D$4503,_imp!$C$819))</f>
        <v/>
      </c>
      <c r="B817" s="54">
        <f>IF(_imp!$C$819="","",INDEX(_imp!$E$4:$E$4503,_imp!$C$819))</f>
        <v/>
      </c>
      <c r="C817" s="54">
        <f>IF(_imp!$C$819="","",INDEX(_imp!$F$4:$F$4503,_imp!$C$819))</f>
        <v/>
      </c>
      <c r="D817" s="54">
        <f>IF(_imp!$C$819="","",INDEX(_imp!$G$4:$G$4503,_imp!$C$819))</f>
        <v/>
      </c>
      <c r="E817" s="54">
        <f>IF(_imp!$C$819="","",INDEX(_imp!$H$4:$H$4503,_imp!$C$819))</f>
        <v/>
      </c>
      <c r="F817" s="54">
        <f>IF(_imp!$C$819="","",INDEX(_imp!$I$4:$I$4503,_imp!$C$819))</f>
        <v/>
      </c>
      <c r="G817" s="54">
        <f>IF(_imp!$C$819="","",INDEX(_imp!$J$4:$J$4503,_imp!$C$819))</f>
        <v/>
      </c>
      <c r="K817" s="54">
        <f>IF(_imp!$C$819="","",INDEX(_imp!$K$4:$K$4503,_imp!$C$819))</f>
        <v/>
      </c>
    </row>
    <row r="818">
      <c r="A818" s="54">
        <f>IF(_imp!$C$820="","",INDEX(_imp!$D$4:$D$4503,_imp!$C$820))</f>
        <v/>
      </c>
      <c r="B818" s="54">
        <f>IF(_imp!$C$820="","",INDEX(_imp!$E$4:$E$4503,_imp!$C$820))</f>
        <v/>
      </c>
      <c r="C818" s="54">
        <f>IF(_imp!$C$820="","",INDEX(_imp!$F$4:$F$4503,_imp!$C$820))</f>
        <v/>
      </c>
      <c r="D818" s="54">
        <f>IF(_imp!$C$820="","",INDEX(_imp!$G$4:$G$4503,_imp!$C$820))</f>
        <v/>
      </c>
      <c r="E818" s="54">
        <f>IF(_imp!$C$820="","",INDEX(_imp!$H$4:$H$4503,_imp!$C$820))</f>
        <v/>
      </c>
      <c r="F818" s="54">
        <f>IF(_imp!$C$820="","",INDEX(_imp!$I$4:$I$4503,_imp!$C$820))</f>
        <v/>
      </c>
      <c r="G818" s="54">
        <f>IF(_imp!$C$820="","",INDEX(_imp!$J$4:$J$4503,_imp!$C$820))</f>
        <v/>
      </c>
      <c r="K818" s="54">
        <f>IF(_imp!$C$820="","",INDEX(_imp!$K$4:$K$4503,_imp!$C$820))</f>
        <v/>
      </c>
    </row>
    <row r="819">
      <c r="A819" s="54">
        <f>IF(_imp!$C$821="","",INDEX(_imp!$D$4:$D$4503,_imp!$C$821))</f>
        <v/>
      </c>
      <c r="B819" s="54">
        <f>IF(_imp!$C$821="","",INDEX(_imp!$E$4:$E$4503,_imp!$C$821))</f>
        <v/>
      </c>
      <c r="C819" s="54">
        <f>IF(_imp!$C$821="","",INDEX(_imp!$F$4:$F$4503,_imp!$C$821))</f>
        <v/>
      </c>
      <c r="D819" s="54">
        <f>IF(_imp!$C$821="","",INDEX(_imp!$G$4:$G$4503,_imp!$C$821))</f>
        <v/>
      </c>
      <c r="E819" s="54">
        <f>IF(_imp!$C$821="","",INDEX(_imp!$H$4:$H$4503,_imp!$C$821))</f>
        <v/>
      </c>
      <c r="F819" s="54">
        <f>IF(_imp!$C$821="","",INDEX(_imp!$I$4:$I$4503,_imp!$C$821))</f>
        <v/>
      </c>
      <c r="G819" s="54">
        <f>IF(_imp!$C$821="","",INDEX(_imp!$J$4:$J$4503,_imp!$C$821))</f>
        <v/>
      </c>
      <c r="K819" s="54">
        <f>IF(_imp!$C$821="","",INDEX(_imp!$K$4:$K$4503,_imp!$C$821))</f>
        <v/>
      </c>
    </row>
    <row r="820">
      <c r="A820" s="54">
        <f>IF(_imp!$C$822="","",INDEX(_imp!$D$4:$D$4503,_imp!$C$822))</f>
        <v/>
      </c>
      <c r="B820" s="54">
        <f>IF(_imp!$C$822="","",INDEX(_imp!$E$4:$E$4503,_imp!$C$822))</f>
        <v/>
      </c>
      <c r="C820" s="54">
        <f>IF(_imp!$C$822="","",INDEX(_imp!$F$4:$F$4503,_imp!$C$822))</f>
        <v/>
      </c>
      <c r="D820" s="54">
        <f>IF(_imp!$C$822="","",INDEX(_imp!$G$4:$G$4503,_imp!$C$822))</f>
        <v/>
      </c>
      <c r="E820" s="54">
        <f>IF(_imp!$C$822="","",INDEX(_imp!$H$4:$H$4503,_imp!$C$822))</f>
        <v/>
      </c>
      <c r="F820" s="54">
        <f>IF(_imp!$C$822="","",INDEX(_imp!$I$4:$I$4503,_imp!$C$822))</f>
        <v/>
      </c>
      <c r="G820" s="54">
        <f>IF(_imp!$C$822="","",INDEX(_imp!$J$4:$J$4503,_imp!$C$822))</f>
        <v/>
      </c>
      <c r="K820" s="54">
        <f>IF(_imp!$C$822="","",INDEX(_imp!$K$4:$K$4503,_imp!$C$822))</f>
        <v/>
      </c>
    </row>
    <row r="821">
      <c r="A821" s="54">
        <f>IF(_imp!$C$823="","",INDEX(_imp!$D$4:$D$4503,_imp!$C$823))</f>
        <v/>
      </c>
      <c r="B821" s="54">
        <f>IF(_imp!$C$823="","",INDEX(_imp!$E$4:$E$4503,_imp!$C$823))</f>
        <v/>
      </c>
      <c r="C821" s="54">
        <f>IF(_imp!$C$823="","",INDEX(_imp!$F$4:$F$4503,_imp!$C$823))</f>
        <v/>
      </c>
      <c r="D821" s="54">
        <f>IF(_imp!$C$823="","",INDEX(_imp!$G$4:$G$4503,_imp!$C$823))</f>
        <v/>
      </c>
      <c r="E821" s="54">
        <f>IF(_imp!$C$823="","",INDEX(_imp!$H$4:$H$4503,_imp!$C$823))</f>
        <v/>
      </c>
      <c r="F821" s="54">
        <f>IF(_imp!$C$823="","",INDEX(_imp!$I$4:$I$4503,_imp!$C$823))</f>
        <v/>
      </c>
      <c r="G821" s="54">
        <f>IF(_imp!$C$823="","",INDEX(_imp!$J$4:$J$4503,_imp!$C$823))</f>
        <v/>
      </c>
      <c r="K821" s="54">
        <f>IF(_imp!$C$823="","",INDEX(_imp!$K$4:$K$4503,_imp!$C$823))</f>
        <v/>
      </c>
    </row>
    <row r="822">
      <c r="A822" s="54">
        <f>IF(_imp!$C$824="","",INDEX(_imp!$D$4:$D$4503,_imp!$C$824))</f>
        <v/>
      </c>
      <c r="B822" s="54">
        <f>IF(_imp!$C$824="","",INDEX(_imp!$E$4:$E$4503,_imp!$C$824))</f>
        <v/>
      </c>
      <c r="C822" s="54">
        <f>IF(_imp!$C$824="","",INDEX(_imp!$F$4:$F$4503,_imp!$C$824))</f>
        <v/>
      </c>
      <c r="D822" s="54">
        <f>IF(_imp!$C$824="","",INDEX(_imp!$G$4:$G$4503,_imp!$C$824))</f>
        <v/>
      </c>
      <c r="E822" s="54">
        <f>IF(_imp!$C$824="","",INDEX(_imp!$H$4:$H$4503,_imp!$C$824))</f>
        <v/>
      </c>
      <c r="F822" s="54">
        <f>IF(_imp!$C$824="","",INDEX(_imp!$I$4:$I$4503,_imp!$C$824))</f>
        <v/>
      </c>
      <c r="G822" s="54">
        <f>IF(_imp!$C$824="","",INDEX(_imp!$J$4:$J$4503,_imp!$C$824))</f>
        <v/>
      </c>
      <c r="K822" s="54">
        <f>IF(_imp!$C$824="","",INDEX(_imp!$K$4:$K$4503,_imp!$C$824))</f>
        <v/>
      </c>
    </row>
    <row r="823">
      <c r="A823" s="54">
        <f>IF(_imp!$C$825="","",INDEX(_imp!$D$4:$D$4503,_imp!$C$825))</f>
        <v/>
      </c>
      <c r="B823" s="54">
        <f>IF(_imp!$C$825="","",INDEX(_imp!$E$4:$E$4503,_imp!$C$825))</f>
        <v/>
      </c>
      <c r="C823" s="54">
        <f>IF(_imp!$C$825="","",INDEX(_imp!$F$4:$F$4503,_imp!$C$825))</f>
        <v/>
      </c>
      <c r="D823" s="54">
        <f>IF(_imp!$C$825="","",INDEX(_imp!$G$4:$G$4503,_imp!$C$825))</f>
        <v/>
      </c>
      <c r="E823" s="54">
        <f>IF(_imp!$C$825="","",INDEX(_imp!$H$4:$H$4503,_imp!$C$825))</f>
        <v/>
      </c>
      <c r="F823" s="54">
        <f>IF(_imp!$C$825="","",INDEX(_imp!$I$4:$I$4503,_imp!$C$825))</f>
        <v/>
      </c>
      <c r="G823" s="54">
        <f>IF(_imp!$C$825="","",INDEX(_imp!$J$4:$J$4503,_imp!$C$825))</f>
        <v/>
      </c>
      <c r="K823" s="54">
        <f>IF(_imp!$C$825="","",INDEX(_imp!$K$4:$K$4503,_imp!$C$825))</f>
        <v/>
      </c>
    </row>
    <row r="824">
      <c r="A824" s="54">
        <f>IF(_imp!$C$826="","",INDEX(_imp!$D$4:$D$4503,_imp!$C$826))</f>
        <v/>
      </c>
      <c r="B824" s="54">
        <f>IF(_imp!$C$826="","",INDEX(_imp!$E$4:$E$4503,_imp!$C$826))</f>
        <v/>
      </c>
      <c r="C824" s="54">
        <f>IF(_imp!$C$826="","",INDEX(_imp!$F$4:$F$4503,_imp!$C$826))</f>
        <v/>
      </c>
      <c r="D824" s="54">
        <f>IF(_imp!$C$826="","",INDEX(_imp!$G$4:$G$4503,_imp!$C$826))</f>
        <v/>
      </c>
      <c r="E824" s="54">
        <f>IF(_imp!$C$826="","",INDEX(_imp!$H$4:$H$4503,_imp!$C$826))</f>
        <v/>
      </c>
      <c r="F824" s="54">
        <f>IF(_imp!$C$826="","",INDEX(_imp!$I$4:$I$4503,_imp!$C$826))</f>
        <v/>
      </c>
      <c r="G824" s="54">
        <f>IF(_imp!$C$826="","",INDEX(_imp!$J$4:$J$4503,_imp!$C$826))</f>
        <v/>
      </c>
      <c r="K824" s="54">
        <f>IF(_imp!$C$826="","",INDEX(_imp!$K$4:$K$4503,_imp!$C$826))</f>
        <v/>
      </c>
    </row>
    <row r="825">
      <c r="A825" s="54">
        <f>IF(_imp!$C$827="","",INDEX(_imp!$D$4:$D$4503,_imp!$C$827))</f>
        <v/>
      </c>
      <c r="B825" s="54">
        <f>IF(_imp!$C$827="","",INDEX(_imp!$E$4:$E$4503,_imp!$C$827))</f>
        <v/>
      </c>
      <c r="C825" s="54">
        <f>IF(_imp!$C$827="","",INDEX(_imp!$F$4:$F$4503,_imp!$C$827))</f>
        <v/>
      </c>
      <c r="D825" s="54">
        <f>IF(_imp!$C$827="","",INDEX(_imp!$G$4:$G$4503,_imp!$C$827))</f>
        <v/>
      </c>
      <c r="E825" s="54">
        <f>IF(_imp!$C$827="","",INDEX(_imp!$H$4:$H$4503,_imp!$C$827))</f>
        <v/>
      </c>
      <c r="F825" s="54">
        <f>IF(_imp!$C$827="","",INDEX(_imp!$I$4:$I$4503,_imp!$C$827))</f>
        <v/>
      </c>
      <c r="G825" s="54">
        <f>IF(_imp!$C$827="","",INDEX(_imp!$J$4:$J$4503,_imp!$C$827))</f>
        <v/>
      </c>
      <c r="K825" s="54">
        <f>IF(_imp!$C$827="","",INDEX(_imp!$K$4:$K$4503,_imp!$C$827))</f>
        <v/>
      </c>
    </row>
    <row r="826">
      <c r="A826" s="54">
        <f>IF(_imp!$C$828="","",INDEX(_imp!$D$4:$D$4503,_imp!$C$828))</f>
        <v/>
      </c>
      <c r="B826" s="54">
        <f>IF(_imp!$C$828="","",INDEX(_imp!$E$4:$E$4503,_imp!$C$828))</f>
        <v/>
      </c>
      <c r="C826" s="54">
        <f>IF(_imp!$C$828="","",INDEX(_imp!$F$4:$F$4503,_imp!$C$828))</f>
        <v/>
      </c>
      <c r="D826" s="54">
        <f>IF(_imp!$C$828="","",INDEX(_imp!$G$4:$G$4503,_imp!$C$828))</f>
        <v/>
      </c>
      <c r="E826" s="54">
        <f>IF(_imp!$C$828="","",INDEX(_imp!$H$4:$H$4503,_imp!$C$828))</f>
        <v/>
      </c>
      <c r="F826" s="54">
        <f>IF(_imp!$C$828="","",INDEX(_imp!$I$4:$I$4503,_imp!$C$828))</f>
        <v/>
      </c>
      <c r="G826" s="54">
        <f>IF(_imp!$C$828="","",INDEX(_imp!$J$4:$J$4503,_imp!$C$828))</f>
        <v/>
      </c>
      <c r="K826" s="54">
        <f>IF(_imp!$C$828="","",INDEX(_imp!$K$4:$K$4503,_imp!$C$828))</f>
        <v/>
      </c>
    </row>
    <row r="827">
      <c r="A827" s="54">
        <f>IF(_imp!$C$829="","",INDEX(_imp!$D$4:$D$4503,_imp!$C$829))</f>
        <v/>
      </c>
      <c r="B827" s="54">
        <f>IF(_imp!$C$829="","",INDEX(_imp!$E$4:$E$4503,_imp!$C$829))</f>
        <v/>
      </c>
      <c r="C827" s="54">
        <f>IF(_imp!$C$829="","",INDEX(_imp!$F$4:$F$4503,_imp!$C$829))</f>
        <v/>
      </c>
      <c r="D827" s="54">
        <f>IF(_imp!$C$829="","",INDEX(_imp!$G$4:$G$4503,_imp!$C$829))</f>
        <v/>
      </c>
      <c r="E827" s="54">
        <f>IF(_imp!$C$829="","",INDEX(_imp!$H$4:$H$4503,_imp!$C$829))</f>
        <v/>
      </c>
      <c r="F827" s="54">
        <f>IF(_imp!$C$829="","",INDEX(_imp!$I$4:$I$4503,_imp!$C$829))</f>
        <v/>
      </c>
      <c r="G827" s="54">
        <f>IF(_imp!$C$829="","",INDEX(_imp!$J$4:$J$4503,_imp!$C$829))</f>
        <v/>
      </c>
      <c r="K827" s="54">
        <f>IF(_imp!$C$829="","",INDEX(_imp!$K$4:$K$4503,_imp!$C$829))</f>
        <v/>
      </c>
    </row>
    <row r="828">
      <c r="A828" s="54">
        <f>IF(_imp!$C$830="","",INDEX(_imp!$D$4:$D$4503,_imp!$C$830))</f>
        <v/>
      </c>
      <c r="B828" s="54">
        <f>IF(_imp!$C$830="","",INDEX(_imp!$E$4:$E$4503,_imp!$C$830))</f>
        <v/>
      </c>
      <c r="C828" s="54">
        <f>IF(_imp!$C$830="","",INDEX(_imp!$F$4:$F$4503,_imp!$C$830))</f>
        <v/>
      </c>
      <c r="D828" s="54">
        <f>IF(_imp!$C$830="","",INDEX(_imp!$G$4:$G$4503,_imp!$C$830))</f>
        <v/>
      </c>
      <c r="E828" s="54">
        <f>IF(_imp!$C$830="","",INDEX(_imp!$H$4:$H$4503,_imp!$C$830))</f>
        <v/>
      </c>
      <c r="F828" s="54">
        <f>IF(_imp!$C$830="","",INDEX(_imp!$I$4:$I$4503,_imp!$C$830))</f>
        <v/>
      </c>
      <c r="G828" s="54">
        <f>IF(_imp!$C$830="","",INDEX(_imp!$J$4:$J$4503,_imp!$C$830))</f>
        <v/>
      </c>
      <c r="K828" s="54">
        <f>IF(_imp!$C$830="","",INDEX(_imp!$K$4:$K$4503,_imp!$C$830))</f>
        <v/>
      </c>
    </row>
    <row r="829">
      <c r="A829" s="54">
        <f>IF(_imp!$C$831="","",INDEX(_imp!$D$4:$D$4503,_imp!$C$831))</f>
        <v/>
      </c>
      <c r="B829" s="54">
        <f>IF(_imp!$C$831="","",INDEX(_imp!$E$4:$E$4503,_imp!$C$831))</f>
        <v/>
      </c>
      <c r="C829" s="54">
        <f>IF(_imp!$C$831="","",INDEX(_imp!$F$4:$F$4503,_imp!$C$831))</f>
        <v/>
      </c>
      <c r="D829" s="54">
        <f>IF(_imp!$C$831="","",INDEX(_imp!$G$4:$G$4503,_imp!$C$831))</f>
        <v/>
      </c>
      <c r="E829" s="54">
        <f>IF(_imp!$C$831="","",INDEX(_imp!$H$4:$H$4503,_imp!$C$831))</f>
        <v/>
      </c>
      <c r="F829" s="54">
        <f>IF(_imp!$C$831="","",INDEX(_imp!$I$4:$I$4503,_imp!$C$831))</f>
        <v/>
      </c>
      <c r="G829" s="54">
        <f>IF(_imp!$C$831="","",INDEX(_imp!$J$4:$J$4503,_imp!$C$831))</f>
        <v/>
      </c>
      <c r="K829" s="54">
        <f>IF(_imp!$C$831="","",INDEX(_imp!$K$4:$K$4503,_imp!$C$831))</f>
        <v/>
      </c>
    </row>
    <row r="830">
      <c r="A830" s="54">
        <f>IF(_imp!$C$832="","",INDEX(_imp!$D$4:$D$4503,_imp!$C$832))</f>
        <v/>
      </c>
      <c r="B830" s="54">
        <f>IF(_imp!$C$832="","",INDEX(_imp!$E$4:$E$4503,_imp!$C$832))</f>
        <v/>
      </c>
      <c r="C830" s="54">
        <f>IF(_imp!$C$832="","",INDEX(_imp!$F$4:$F$4503,_imp!$C$832))</f>
        <v/>
      </c>
      <c r="D830" s="54">
        <f>IF(_imp!$C$832="","",INDEX(_imp!$G$4:$G$4503,_imp!$C$832))</f>
        <v/>
      </c>
      <c r="E830" s="54">
        <f>IF(_imp!$C$832="","",INDEX(_imp!$H$4:$H$4503,_imp!$C$832))</f>
        <v/>
      </c>
      <c r="F830" s="54">
        <f>IF(_imp!$C$832="","",INDEX(_imp!$I$4:$I$4503,_imp!$C$832))</f>
        <v/>
      </c>
      <c r="G830" s="54">
        <f>IF(_imp!$C$832="","",INDEX(_imp!$J$4:$J$4503,_imp!$C$832))</f>
        <v/>
      </c>
      <c r="K830" s="54">
        <f>IF(_imp!$C$832="","",INDEX(_imp!$K$4:$K$4503,_imp!$C$832))</f>
        <v/>
      </c>
    </row>
    <row r="831">
      <c r="A831" s="54">
        <f>IF(_imp!$C$833="","",INDEX(_imp!$D$4:$D$4503,_imp!$C$833))</f>
        <v/>
      </c>
      <c r="B831" s="54">
        <f>IF(_imp!$C$833="","",INDEX(_imp!$E$4:$E$4503,_imp!$C$833))</f>
        <v/>
      </c>
      <c r="C831" s="54">
        <f>IF(_imp!$C$833="","",INDEX(_imp!$F$4:$F$4503,_imp!$C$833))</f>
        <v/>
      </c>
      <c r="D831" s="54">
        <f>IF(_imp!$C$833="","",INDEX(_imp!$G$4:$G$4503,_imp!$C$833))</f>
        <v/>
      </c>
      <c r="E831" s="54">
        <f>IF(_imp!$C$833="","",INDEX(_imp!$H$4:$H$4503,_imp!$C$833))</f>
        <v/>
      </c>
      <c r="F831" s="54">
        <f>IF(_imp!$C$833="","",INDEX(_imp!$I$4:$I$4503,_imp!$C$833))</f>
        <v/>
      </c>
      <c r="G831" s="54">
        <f>IF(_imp!$C$833="","",INDEX(_imp!$J$4:$J$4503,_imp!$C$833))</f>
        <v/>
      </c>
      <c r="K831" s="54">
        <f>IF(_imp!$C$833="","",INDEX(_imp!$K$4:$K$4503,_imp!$C$833))</f>
        <v/>
      </c>
    </row>
    <row r="832">
      <c r="A832" s="54">
        <f>IF(_imp!$C$834="","",INDEX(_imp!$D$4:$D$4503,_imp!$C$834))</f>
        <v/>
      </c>
      <c r="B832" s="54">
        <f>IF(_imp!$C$834="","",INDEX(_imp!$E$4:$E$4503,_imp!$C$834))</f>
        <v/>
      </c>
      <c r="C832" s="54">
        <f>IF(_imp!$C$834="","",INDEX(_imp!$F$4:$F$4503,_imp!$C$834))</f>
        <v/>
      </c>
      <c r="D832" s="54">
        <f>IF(_imp!$C$834="","",INDEX(_imp!$G$4:$G$4503,_imp!$C$834))</f>
        <v/>
      </c>
      <c r="E832" s="54">
        <f>IF(_imp!$C$834="","",INDEX(_imp!$H$4:$H$4503,_imp!$C$834))</f>
        <v/>
      </c>
      <c r="F832" s="54">
        <f>IF(_imp!$C$834="","",INDEX(_imp!$I$4:$I$4503,_imp!$C$834))</f>
        <v/>
      </c>
      <c r="G832" s="54">
        <f>IF(_imp!$C$834="","",INDEX(_imp!$J$4:$J$4503,_imp!$C$834))</f>
        <v/>
      </c>
      <c r="K832" s="54">
        <f>IF(_imp!$C$834="","",INDEX(_imp!$K$4:$K$4503,_imp!$C$834))</f>
        <v/>
      </c>
    </row>
    <row r="833">
      <c r="A833" s="54">
        <f>IF(_imp!$C$835="","",INDEX(_imp!$D$4:$D$4503,_imp!$C$835))</f>
        <v/>
      </c>
      <c r="B833" s="54">
        <f>IF(_imp!$C$835="","",INDEX(_imp!$E$4:$E$4503,_imp!$C$835))</f>
        <v/>
      </c>
      <c r="C833" s="54">
        <f>IF(_imp!$C$835="","",INDEX(_imp!$F$4:$F$4503,_imp!$C$835))</f>
        <v/>
      </c>
      <c r="D833" s="54">
        <f>IF(_imp!$C$835="","",INDEX(_imp!$G$4:$G$4503,_imp!$C$835))</f>
        <v/>
      </c>
      <c r="E833" s="54">
        <f>IF(_imp!$C$835="","",INDEX(_imp!$H$4:$H$4503,_imp!$C$835))</f>
        <v/>
      </c>
      <c r="F833" s="54">
        <f>IF(_imp!$C$835="","",INDEX(_imp!$I$4:$I$4503,_imp!$C$835))</f>
        <v/>
      </c>
      <c r="G833" s="54">
        <f>IF(_imp!$C$835="","",INDEX(_imp!$J$4:$J$4503,_imp!$C$835))</f>
        <v/>
      </c>
      <c r="K833" s="54">
        <f>IF(_imp!$C$835="","",INDEX(_imp!$K$4:$K$4503,_imp!$C$835))</f>
        <v/>
      </c>
    </row>
    <row r="834">
      <c r="A834" s="54">
        <f>IF(_imp!$C$836="","",INDEX(_imp!$D$4:$D$4503,_imp!$C$836))</f>
        <v/>
      </c>
      <c r="B834" s="54">
        <f>IF(_imp!$C$836="","",INDEX(_imp!$E$4:$E$4503,_imp!$C$836))</f>
        <v/>
      </c>
      <c r="C834" s="54">
        <f>IF(_imp!$C$836="","",INDEX(_imp!$F$4:$F$4503,_imp!$C$836))</f>
        <v/>
      </c>
      <c r="D834" s="54">
        <f>IF(_imp!$C$836="","",INDEX(_imp!$G$4:$G$4503,_imp!$C$836))</f>
        <v/>
      </c>
      <c r="E834" s="54">
        <f>IF(_imp!$C$836="","",INDEX(_imp!$H$4:$H$4503,_imp!$C$836))</f>
        <v/>
      </c>
      <c r="F834" s="54">
        <f>IF(_imp!$C$836="","",INDEX(_imp!$I$4:$I$4503,_imp!$C$836))</f>
        <v/>
      </c>
      <c r="G834" s="54">
        <f>IF(_imp!$C$836="","",INDEX(_imp!$J$4:$J$4503,_imp!$C$836))</f>
        <v/>
      </c>
      <c r="K834" s="54">
        <f>IF(_imp!$C$836="","",INDEX(_imp!$K$4:$K$4503,_imp!$C$836))</f>
        <v/>
      </c>
    </row>
    <row r="835">
      <c r="A835" s="54">
        <f>IF(_imp!$C$837="","",INDEX(_imp!$D$4:$D$4503,_imp!$C$837))</f>
        <v/>
      </c>
      <c r="B835" s="54">
        <f>IF(_imp!$C$837="","",INDEX(_imp!$E$4:$E$4503,_imp!$C$837))</f>
        <v/>
      </c>
      <c r="C835" s="54">
        <f>IF(_imp!$C$837="","",INDEX(_imp!$F$4:$F$4503,_imp!$C$837))</f>
        <v/>
      </c>
      <c r="D835" s="54">
        <f>IF(_imp!$C$837="","",INDEX(_imp!$G$4:$G$4503,_imp!$C$837))</f>
        <v/>
      </c>
      <c r="E835" s="54">
        <f>IF(_imp!$C$837="","",INDEX(_imp!$H$4:$H$4503,_imp!$C$837))</f>
        <v/>
      </c>
      <c r="F835" s="54">
        <f>IF(_imp!$C$837="","",INDEX(_imp!$I$4:$I$4503,_imp!$C$837))</f>
        <v/>
      </c>
      <c r="G835" s="54">
        <f>IF(_imp!$C$837="","",INDEX(_imp!$J$4:$J$4503,_imp!$C$837))</f>
        <v/>
      </c>
      <c r="K835" s="54">
        <f>IF(_imp!$C$837="","",INDEX(_imp!$K$4:$K$4503,_imp!$C$837))</f>
        <v/>
      </c>
    </row>
    <row r="836">
      <c r="A836" s="54">
        <f>IF(_imp!$C$838="","",INDEX(_imp!$D$4:$D$4503,_imp!$C$838))</f>
        <v/>
      </c>
      <c r="B836" s="54">
        <f>IF(_imp!$C$838="","",INDEX(_imp!$E$4:$E$4503,_imp!$C$838))</f>
        <v/>
      </c>
      <c r="C836" s="54">
        <f>IF(_imp!$C$838="","",INDEX(_imp!$F$4:$F$4503,_imp!$C$838))</f>
        <v/>
      </c>
      <c r="D836" s="54">
        <f>IF(_imp!$C$838="","",INDEX(_imp!$G$4:$G$4503,_imp!$C$838))</f>
        <v/>
      </c>
      <c r="E836" s="54">
        <f>IF(_imp!$C$838="","",INDEX(_imp!$H$4:$H$4503,_imp!$C$838))</f>
        <v/>
      </c>
      <c r="F836" s="54">
        <f>IF(_imp!$C$838="","",INDEX(_imp!$I$4:$I$4503,_imp!$C$838))</f>
        <v/>
      </c>
      <c r="G836" s="54">
        <f>IF(_imp!$C$838="","",INDEX(_imp!$J$4:$J$4503,_imp!$C$838))</f>
        <v/>
      </c>
      <c r="K836" s="54">
        <f>IF(_imp!$C$838="","",INDEX(_imp!$K$4:$K$4503,_imp!$C$838))</f>
        <v/>
      </c>
    </row>
    <row r="837">
      <c r="A837" s="54">
        <f>IF(_imp!$C$839="","",INDEX(_imp!$D$4:$D$4503,_imp!$C$839))</f>
        <v/>
      </c>
      <c r="B837" s="54">
        <f>IF(_imp!$C$839="","",INDEX(_imp!$E$4:$E$4503,_imp!$C$839))</f>
        <v/>
      </c>
      <c r="C837" s="54">
        <f>IF(_imp!$C$839="","",INDEX(_imp!$F$4:$F$4503,_imp!$C$839))</f>
        <v/>
      </c>
      <c r="D837" s="54">
        <f>IF(_imp!$C$839="","",INDEX(_imp!$G$4:$G$4503,_imp!$C$839))</f>
        <v/>
      </c>
      <c r="E837" s="54">
        <f>IF(_imp!$C$839="","",INDEX(_imp!$H$4:$H$4503,_imp!$C$839))</f>
        <v/>
      </c>
      <c r="F837" s="54">
        <f>IF(_imp!$C$839="","",INDEX(_imp!$I$4:$I$4503,_imp!$C$839))</f>
        <v/>
      </c>
      <c r="G837" s="54">
        <f>IF(_imp!$C$839="","",INDEX(_imp!$J$4:$J$4503,_imp!$C$839))</f>
        <v/>
      </c>
      <c r="K837" s="54">
        <f>IF(_imp!$C$839="","",INDEX(_imp!$K$4:$K$4503,_imp!$C$839))</f>
        <v/>
      </c>
    </row>
    <row r="838">
      <c r="A838" s="54">
        <f>IF(_imp!$C$840="","",INDEX(_imp!$D$4:$D$4503,_imp!$C$840))</f>
        <v/>
      </c>
      <c r="B838" s="54">
        <f>IF(_imp!$C$840="","",INDEX(_imp!$E$4:$E$4503,_imp!$C$840))</f>
        <v/>
      </c>
      <c r="C838" s="54">
        <f>IF(_imp!$C$840="","",INDEX(_imp!$F$4:$F$4503,_imp!$C$840))</f>
        <v/>
      </c>
      <c r="D838" s="54">
        <f>IF(_imp!$C$840="","",INDEX(_imp!$G$4:$G$4503,_imp!$C$840))</f>
        <v/>
      </c>
      <c r="E838" s="54">
        <f>IF(_imp!$C$840="","",INDEX(_imp!$H$4:$H$4503,_imp!$C$840))</f>
        <v/>
      </c>
      <c r="F838" s="54">
        <f>IF(_imp!$C$840="","",INDEX(_imp!$I$4:$I$4503,_imp!$C$840))</f>
        <v/>
      </c>
      <c r="G838" s="54">
        <f>IF(_imp!$C$840="","",INDEX(_imp!$J$4:$J$4503,_imp!$C$840))</f>
        <v/>
      </c>
      <c r="K838" s="54">
        <f>IF(_imp!$C$840="","",INDEX(_imp!$K$4:$K$4503,_imp!$C$840))</f>
        <v/>
      </c>
    </row>
    <row r="839">
      <c r="A839" s="54">
        <f>IF(_imp!$C$841="","",INDEX(_imp!$D$4:$D$4503,_imp!$C$841))</f>
        <v/>
      </c>
      <c r="B839" s="54">
        <f>IF(_imp!$C$841="","",INDEX(_imp!$E$4:$E$4503,_imp!$C$841))</f>
        <v/>
      </c>
      <c r="C839" s="54">
        <f>IF(_imp!$C$841="","",INDEX(_imp!$F$4:$F$4503,_imp!$C$841))</f>
        <v/>
      </c>
      <c r="D839" s="54">
        <f>IF(_imp!$C$841="","",INDEX(_imp!$G$4:$G$4503,_imp!$C$841))</f>
        <v/>
      </c>
      <c r="E839" s="54">
        <f>IF(_imp!$C$841="","",INDEX(_imp!$H$4:$H$4503,_imp!$C$841))</f>
        <v/>
      </c>
      <c r="F839" s="54">
        <f>IF(_imp!$C$841="","",INDEX(_imp!$I$4:$I$4503,_imp!$C$841))</f>
        <v/>
      </c>
      <c r="G839" s="54">
        <f>IF(_imp!$C$841="","",INDEX(_imp!$J$4:$J$4503,_imp!$C$841))</f>
        <v/>
      </c>
      <c r="K839" s="54">
        <f>IF(_imp!$C$841="","",INDEX(_imp!$K$4:$K$4503,_imp!$C$841))</f>
        <v/>
      </c>
    </row>
    <row r="840">
      <c r="A840" s="54">
        <f>IF(_imp!$C$842="","",INDEX(_imp!$D$4:$D$4503,_imp!$C$842))</f>
        <v/>
      </c>
      <c r="B840" s="54">
        <f>IF(_imp!$C$842="","",INDEX(_imp!$E$4:$E$4503,_imp!$C$842))</f>
        <v/>
      </c>
      <c r="C840" s="54">
        <f>IF(_imp!$C$842="","",INDEX(_imp!$F$4:$F$4503,_imp!$C$842))</f>
        <v/>
      </c>
      <c r="D840" s="54">
        <f>IF(_imp!$C$842="","",INDEX(_imp!$G$4:$G$4503,_imp!$C$842))</f>
        <v/>
      </c>
      <c r="E840" s="54">
        <f>IF(_imp!$C$842="","",INDEX(_imp!$H$4:$H$4503,_imp!$C$842))</f>
        <v/>
      </c>
      <c r="F840" s="54">
        <f>IF(_imp!$C$842="","",INDEX(_imp!$I$4:$I$4503,_imp!$C$842))</f>
        <v/>
      </c>
      <c r="G840" s="54">
        <f>IF(_imp!$C$842="","",INDEX(_imp!$J$4:$J$4503,_imp!$C$842))</f>
        <v/>
      </c>
      <c r="K840" s="54">
        <f>IF(_imp!$C$842="","",INDEX(_imp!$K$4:$K$4503,_imp!$C$842))</f>
        <v/>
      </c>
    </row>
    <row r="841">
      <c r="A841" s="54">
        <f>IF(_imp!$C$843="","",INDEX(_imp!$D$4:$D$4503,_imp!$C$843))</f>
        <v/>
      </c>
      <c r="B841" s="54">
        <f>IF(_imp!$C$843="","",INDEX(_imp!$E$4:$E$4503,_imp!$C$843))</f>
        <v/>
      </c>
      <c r="C841" s="54">
        <f>IF(_imp!$C$843="","",INDEX(_imp!$F$4:$F$4503,_imp!$C$843))</f>
        <v/>
      </c>
      <c r="D841" s="54">
        <f>IF(_imp!$C$843="","",INDEX(_imp!$G$4:$G$4503,_imp!$C$843))</f>
        <v/>
      </c>
      <c r="E841" s="54">
        <f>IF(_imp!$C$843="","",INDEX(_imp!$H$4:$H$4503,_imp!$C$843))</f>
        <v/>
      </c>
      <c r="F841" s="54">
        <f>IF(_imp!$C$843="","",INDEX(_imp!$I$4:$I$4503,_imp!$C$843))</f>
        <v/>
      </c>
      <c r="G841" s="54">
        <f>IF(_imp!$C$843="","",INDEX(_imp!$J$4:$J$4503,_imp!$C$843))</f>
        <v/>
      </c>
      <c r="K841" s="54">
        <f>IF(_imp!$C$843="","",INDEX(_imp!$K$4:$K$4503,_imp!$C$843))</f>
        <v/>
      </c>
    </row>
    <row r="842">
      <c r="A842" s="54">
        <f>IF(_imp!$C$844="","",INDEX(_imp!$D$4:$D$4503,_imp!$C$844))</f>
        <v/>
      </c>
      <c r="B842" s="54">
        <f>IF(_imp!$C$844="","",INDEX(_imp!$E$4:$E$4503,_imp!$C$844))</f>
        <v/>
      </c>
      <c r="C842" s="54">
        <f>IF(_imp!$C$844="","",INDEX(_imp!$F$4:$F$4503,_imp!$C$844))</f>
        <v/>
      </c>
      <c r="D842" s="54">
        <f>IF(_imp!$C$844="","",INDEX(_imp!$G$4:$G$4503,_imp!$C$844))</f>
        <v/>
      </c>
      <c r="E842" s="54">
        <f>IF(_imp!$C$844="","",INDEX(_imp!$H$4:$H$4503,_imp!$C$844))</f>
        <v/>
      </c>
      <c r="F842" s="54">
        <f>IF(_imp!$C$844="","",INDEX(_imp!$I$4:$I$4503,_imp!$C$844))</f>
        <v/>
      </c>
      <c r="G842" s="54">
        <f>IF(_imp!$C$844="","",INDEX(_imp!$J$4:$J$4503,_imp!$C$844))</f>
        <v/>
      </c>
      <c r="K842" s="54">
        <f>IF(_imp!$C$844="","",INDEX(_imp!$K$4:$K$4503,_imp!$C$844))</f>
        <v/>
      </c>
    </row>
    <row r="843">
      <c r="A843" s="54">
        <f>IF(_imp!$C$845="","",INDEX(_imp!$D$4:$D$4503,_imp!$C$845))</f>
        <v/>
      </c>
      <c r="B843" s="54">
        <f>IF(_imp!$C$845="","",INDEX(_imp!$E$4:$E$4503,_imp!$C$845))</f>
        <v/>
      </c>
      <c r="C843" s="54">
        <f>IF(_imp!$C$845="","",INDEX(_imp!$F$4:$F$4503,_imp!$C$845))</f>
        <v/>
      </c>
      <c r="D843" s="54">
        <f>IF(_imp!$C$845="","",INDEX(_imp!$G$4:$G$4503,_imp!$C$845))</f>
        <v/>
      </c>
      <c r="E843" s="54">
        <f>IF(_imp!$C$845="","",INDEX(_imp!$H$4:$H$4503,_imp!$C$845))</f>
        <v/>
      </c>
      <c r="F843" s="54">
        <f>IF(_imp!$C$845="","",INDEX(_imp!$I$4:$I$4503,_imp!$C$845))</f>
        <v/>
      </c>
      <c r="G843" s="54">
        <f>IF(_imp!$C$845="","",INDEX(_imp!$J$4:$J$4503,_imp!$C$845))</f>
        <v/>
      </c>
      <c r="K843" s="54">
        <f>IF(_imp!$C$845="","",INDEX(_imp!$K$4:$K$4503,_imp!$C$845))</f>
        <v/>
      </c>
    </row>
    <row r="844">
      <c r="A844" s="54">
        <f>IF(_imp!$C$846="","",INDEX(_imp!$D$4:$D$4503,_imp!$C$846))</f>
        <v/>
      </c>
      <c r="B844" s="54">
        <f>IF(_imp!$C$846="","",INDEX(_imp!$E$4:$E$4503,_imp!$C$846))</f>
        <v/>
      </c>
      <c r="C844" s="54">
        <f>IF(_imp!$C$846="","",INDEX(_imp!$F$4:$F$4503,_imp!$C$846))</f>
        <v/>
      </c>
      <c r="D844" s="54">
        <f>IF(_imp!$C$846="","",INDEX(_imp!$G$4:$G$4503,_imp!$C$846))</f>
        <v/>
      </c>
      <c r="E844" s="54">
        <f>IF(_imp!$C$846="","",INDEX(_imp!$H$4:$H$4503,_imp!$C$846))</f>
        <v/>
      </c>
      <c r="F844" s="54">
        <f>IF(_imp!$C$846="","",INDEX(_imp!$I$4:$I$4503,_imp!$C$846))</f>
        <v/>
      </c>
      <c r="G844" s="54">
        <f>IF(_imp!$C$846="","",INDEX(_imp!$J$4:$J$4503,_imp!$C$846))</f>
        <v/>
      </c>
      <c r="K844" s="54">
        <f>IF(_imp!$C$846="","",INDEX(_imp!$K$4:$K$4503,_imp!$C$846))</f>
        <v/>
      </c>
    </row>
    <row r="845">
      <c r="A845" s="54">
        <f>IF(_imp!$C$847="","",INDEX(_imp!$D$4:$D$4503,_imp!$C$847))</f>
        <v/>
      </c>
      <c r="B845" s="54">
        <f>IF(_imp!$C$847="","",INDEX(_imp!$E$4:$E$4503,_imp!$C$847))</f>
        <v/>
      </c>
      <c r="C845" s="54">
        <f>IF(_imp!$C$847="","",INDEX(_imp!$F$4:$F$4503,_imp!$C$847))</f>
        <v/>
      </c>
      <c r="D845" s="54">
        <f>IF(_imp!$C$847="","",INDEX(_imp!$G$4:$G$4503,_imp!$C$847))</f>
        <v/>
      </c>
      <c r="E845" s="54">
        <f>IF(_imp!$C$847="","",INDEX(_imp!$H$4:$H$4503,_imp!$C$847))</f>
        <v/>
      </c>
      <c r="F845" s="54">
        <f>IF(_imp!$C$847="","",INDEX(_imp!$I$4:$I$4503,_imp!$C$847))</f>
        <v/>
      </c>
      <c r="G845" s="54">
        <f>IF(_imp!$C$847="","",INDEX(_imp!$J$4:$J$4503,_imp!$C$847))</f>
        <v/>
      </c>
      <c r="K845" s="54">
        <f>IF(_imp!$C$847="","",INDEX(_imp!$K$4:$K$4503,_imp!$C$847))</f>
        <v/>
      </c>
    </row>
    <row r="846">
      <c r="A846" s="54">
        <f>IF(_imp!$C$848="","",INDEX(_imp!$D$4:$D$4503,_imp!$C$848))</f>
        <v/>
      </c>
      <c r="B846" s="54">
        <f>IF(_imp!$C$848="","",INDEX(_imp!$E$4:$E$4503,_imp!$C$848))</f>
        <v/>
      </c>
      <c r="C846" s="54">
        <f>IF(_imp!$C$848="","",INDEX(_imp!$F$4:$F$4503,_imp!$C$848))</f>
        <v/>
      </c>
      <c r="D846" s="54">
        <f>IF(_imp!$C$848="","",INDEX(_imp!$G$4:$G$4503,_imp!$C$848))</f>
        <v/>
      </c>
      <c r="E846" s="54">
        <f>IF(_imp!$C$848="","",INDEX(_imp!$H$4:$H$4503,_imp!$C$848))</f>
        <v/>
      </c>
      <c r="F846" s="54">
        <f>IF(_imp!$C$848="","",INDEX(_imp!$I$4:$I$4503,_imp!$C$848))</f>
        <v/>
      </c>
      <c r="G846" s="54">
        <f>IF(_imp!$C$848="","",INDEX(_imp!$J$4:$J$4503,_imp!$C$848))</f>
        <v/>
      </c>
      <c r="K846" s="54">
        <f>IF(_imp!$C$848="","",INDEX(_imp!$K$4:$K$4503,_imp!$C$848))</f>
        <v/>
      </c>
    </row>
    <row r="847">
      <c r="A847" s="54">
        <f>IF(_imp!$C$849="","",INDEX(_imp!$D$4:$D$4503,_imp!$C$849))</f>
        <v/>
      </c>
      <c r="B847" s="54">
        <f>IF(_imp!$C$849="","",INDEX(_imp!$E$4:$E$4503,_imp!$C$849))</f>
        <v/>
      </c>
      <c r="C847" s="54">
        <f>IF(_imp!$C$849="","",INDEX(_imp!$F$4:$F$4503,_imp!$C$849))</f>
        <v/>
      </c>
      <c r="D847" s="54">
        <f>IF(_imp!$C$849="","",INDEX(_imp!$G$4:$G$4503,_imp!$C$849))</f>
        <v/>
      </c>
      <c r="E847" s="54">
        <f>IF(_imp!$C$849="","",INDEX(_imp!$H$4:$H$4503,_imp!$C$849))</f>
        <v/>
      </c>
      <c r="F847" s="54">
        <f>IF(_imp!$C$849="","",INDEX(_imp!$I$4:$I$4503,_imp!$C$849))</f>
        <v/>
      </c>
      <c r="G847" s="54">
        <f>IF(_imp!$C$849="","",INDEX(_imp!$J$4:$J$4503,_imp!$C$849))</f>
        <v/>
      </c>
      <c r="K847" s="54">
        <f>IF(_imp!$C$849="","",INDEX(_imp!$K$4:$K$4503,_imp!$C$849))</f>
        <v/>
      </c>
    </row>
    <row r="848">
      <c r="A848" s="54">
        <f>IF(_imp!$C$850="","",INDEX(_imp!$D$4:$D$4503,_imp!$C$850))</f>
        <v/>
      </c>
      <c r="B848" s="54">
        <f>IF(_imp!$C$850="","",INDEX(_imp!$E$4:$E$4503,_imp!$C$850))</f>
        <v/>
      </c>
      <c r="C848" s="54">
        <f>IF(_imp!$C$850="","",INDEX(_imp!$F$4:$F$4503,_imp!$C$850))</f>
        <v/>
      </c>
      <c r="D848" s="54">
        <f>IF(_imp!$C$850="","",INDEX(_imp!$G$4:$G$4503,_imp!$C$850))</f>
        <v/>
      </c>
      <c r="E848" s="54">
        <f>IF(_imp!$C$850="","",INDEX(_imp!$H$4:$H$4503,_imp!$C$850))</f>
        <v/>
      </c>
      <c r="F848" s="54">
        <f>IF(_imp!$C$850="","",INDEX(_imp!$I$4:$I$4503,_imp!$C$850))</f>
        <v/>
      </c>
      <c r="G848" s="54">
        <f>IF(_imp!$C$850="","",INDEX(_imp!$J$4:$J$4503,_imp!$C$850))</f>
        <v/>
      </c>
      <c r="K848" s="54">
        <f>IF(_imp!$C$850="","",INDEX(_imp!$K$4:$K$4503,_imp!$C$850))</f>
        <v/>
      </c>
    </row>
    <row r="849">
      <c r="A849" s="54">
        <f>IF(_imp!$C$851="","",INDEX(_imp!$D$4:$D$4503,_imp!$C$851))</f>
        <v/>
      </c>
      <c r="B849" s="54">
        <f>IF(_imp!$C$851="","",INDEX(_imp!$E$4:$E$4503,_imp!$C$851))</f>
        <v/>
      </c>
      <c r="C849" s="54">
        <f>IF(_imp!$C$851="","",INDEX(_imp!$F$4:$F$4503,_imp!$C$851))</f>
        <v/>
      </c>
      <c r="D849" s="54">
        <f>IF(_imp!$C$851="","",INDEX(_imp!$G$4:$G$4503,_imp!$C$851))</f>
        <v/>
      </c>
      <c r="E849" s="54">
        <f>IF(_imp!$C$851="","",INDEX(_imp!$H$4:$H$4503,_imp!$C$851))</f>
        <v/>
      </c>
      <c r="F849" s="54">
        <f>IF(_imp!$C$851="","",INDEX(_imp!$I$4:$I$4503,_imp!$C$851))</f>
        <v/>
      </c>
      <c r="G849" s="54">
        <f>IF(_imp!$C$851="","",INDEX(_imp!$J$4:$J$4503,_imp!$C$851))</f>
        <v/>
      </c>
      <c r="K849" s="54">
        <f>IF(_imp!$C$851="","",INDEX(_imp!$K$4:$K$4503,_imp!$C$851))</f>
        <v/>
      </c>
    </row>
    <row r="850">
      <c r="A850" s="54">
        <f>IF(_imp!$C$852="","",INDEX(_imp!$D$4:$D$4503,_imp!$C$852))</f>
        <v/>
      </c>
      <c r="B850" s="54">
        <f>IF(_imp!$C$852="","",INDEX(_imp!$E$4:$E$4503,_imp!$C$852))</f>
        <v/>
      </c>
      <c r="C850" s="54">
        <f>IF(_imp!$C$852="","",INDEX(_imp!$F$4:$F$4503,_imp!$C$852))</f>
        <v/>
      </c>
      <c r="D850" s="54">
        <f>IF(_imp!$C$852="","",INDEX(_imp!$G$4:$G$4503,_imp!$C$852))</f>
        <v/>
      </c>
      <c r="E850" s="54">
        <f>IF(_imp!$C$852="","",INDEX(_imp!$H$4:$H$4503,_imp!$C$852))</f>
        <v/>
      </c>
      <c r="F850" s="54">
        <f>IF(_imp!$C$852="","",INDEX(_imp!$I$4:$I$4503,_imp!$C$852))</f>
        <v/>
      </c>
      <c r="G850" s="54">
        <f>IF(_imp!$C$852="","",INDEX(_imp!$J$4:$J$4503,_imp!$C$852))</f>
        <v/>
      </c>
      <c r="K850" s="54">
        <f>IF(_imp!$C$852="","",INDEX(_imp!$K$4:$K$4503,_imp!$C$852))</f>
        <v/>
      </c>
    </row>
    <row r="851">
      <c r="A851" s="54">
        <f>IF(_imp!$C$853="","",INDEX(_imp!$D$4:$D$4503,_imp!$C$853))</f>
        <v/>
      </c>
      <c r="B851" s="54">
        <f>IF(_imp!$C$853="","",INDEX(_imp!$E$4:$E$4503,_imp!$C$853))</f>
        <v/>
      </c>
      <c r="C851" s="54">
        <f>IF(_imp!$C$853="","",INDEX(_imp!$F$4:$F$4503,_imp!$C$853))</f>
        <v/>
      </c>
      <c r="D851" s="54">
        <f>IF(_imp!$C$853="","",INDEX(_imp!$G$4:$G$4503,_imp!$C$853))</f>
        <v/>
      </c>
      <c r="E851" s="54">
        <f>IF(_imp!$C$853="","",INDEX(_imp!$H$4:$H$4503,_imp!$C$853))</f>
        <v/>
      </c>
      <c r="F851" s="54">
        <f>IF(_imp!$C$853="","",INDEX(_imp!$I$4:$I$4503,_imp!$C$853))</f>
        <v/>
      </c>
      <c r="G851" s="54">
        <f>IF(_imp!$C$853="","",INDEX(_imp!$J$4:$J$4503,_imp!$C$853))</f>
        <v/>
      </c>
      <c r="K851" s="54">
        <f>IF(_imp!$C$853="","",INDEX(_imp!$K$4:$K$4503,_imp!$C$853))</f>
        <v/>
      </c>
    </row>
    <row r="852">
      <c r="A852" s="54">
        <f>IF(_imp!$C$854="","",INDEX(_imp!$D$4:$D$4503,_imp!$C$854))</f>
        <v/>
      </c>
      <c r="B852" s="54">
        <f>IF(_imp!$C$854="","",INDEX(_imp!$E$4:$E$4503,_imp!$C$854))</f>
        <v/>
      </c>
      <c r="C852" s="54">
        <f>IF(_imp!$C$854="","",INDEX(_imp!$F$4:$F$4503,_imp!$C$854))</f>
        <v/>
      </c>
      <c r="D852" s="54">
        <f>IF(_imp!$C$854="","",INDEX(_imp!$G$4:$G$4503,_imp!$C$854))</f>
        <v/>
      </c>
      <c r="E852" s="54">
        <f>IF(_imp!$C$854="","",INDEX(_imp!$H$4:$H$4503,_imp!$C$854))</f>
        <v/>
      </c>
      <c r="F852" s="54">
        <f>IF(_imp!$C$854="","",INDEX(_imp!$I$4:$I$4503,_imp!$C$854))</f>
        <v/>
      </c>
      <c r="G852" s="54">
        <f>IF(_imp!$C$854="","",INDEX(_imp!$J$4:$J$4503,_imp!$C$854))</f>
        <v/>
      </c>
      <c r="K852" s="54">
        <f>IF(_imp!$C$854="","",INDEX(_imp!$K$4:$K$4503,_imp!$C$854))</f>
        <v/>
      </c>
    </row>
    <row r="853">
      <c r="A853" s="54">
        <f>IF(_imp!$C$855="","",INDEX(_imp!$D$4:$D$4503,_imp!$C$855))</f>
        <v/>
      </c>
      <c r="B853" s="54">
        <f>IF(_imp!$C$855="","",INDEX(_imp!$E$4:$E$4503,_imp!$C$855))</f>
        <v/>
      </c>
      <c r="C853" s="54">
        <f>IF(_imp!$C$855="","",INDEX(_imp!$F$4:$F$4503,_imp!$C$855))</f>
        <v/>
      </c>
      <c r="D853" s="54">
        <f>IF(_imp!$C$855="","",INDEX(_imp!$G$4:$G$4503,_imp!$C$855))</f>
        <v/>
      </c>
      <c r="E853" s="54">
        <f>IF(_imp!$C$855="","",INDEX(_imp!$H$4:$H$4503,_imp!$C$855))</f>
        <v/>
      </c>
      <c r="F853" s="54">
        <f>IF(_imp!$C$855="","",INDEX(_imp!$I$4:$I$4503,_imp!$C$855))</f>
        <v/>
      </c>
      <c r="G853" s="54">
        <f>IF(_imp!$C$855="","",INDEX(_imp!$J$4:$J$4503,_imp!$C$855))</f>
        <v/>
      </c>
      <c r="K853" s="54">
        <f>IF(_imp!$C$855="","",INDEX(_imp!$K$4:$K$4503,_imp!$C$855))</f>
        <v/>
      </c>
    </row>
    <row r="854">
      <c r="A854" s="54">
        <f>IF(_imp!$C$856="","",INDEX(_imp!$D$4:$D$4503,_imp!$C$856))</f>
        <v/>
      </c>
      <c r="B854" s="54">
        <f>IF(_imp!$C$856="","",INDEX(_imp!$E$4:$E$4503,_imp!$C$856))</f>
        <v/>
      </c>
      <c r="C854" s="54">
        <f>IF(_imp!$C$856="","",INDEX(_imp!$F$4:$F$4503,_imp!$C$856))</f>
        <v/>
      </c>
      <c r="D854" s="54">
        <f>IF(_imp!$C$856="","",INDEX(_imp!$G$4:$G$4503,_imp!$C$856))</f>
        <v/>
      </c>
      <c r="E854" s="54">
        <f>IF(_imp!$C$856="","",INDEX(_imp!$H$4:$H$4503,_imp!$C$856))</f>
        <v/>
      </c>
      <c r="F854" s="54">
        <f>IF(_imp!$C$856="","",INDEX(_imp!$I$4:$I$4503,_imp!$C$856))</f>
        <v/>
      </c>
      <c r="G854" s="54">
        <f>IF(_imp!$C$856="","",INDEX(_imp!$J$4:$J$4503,_imp!$C$856))</f>
        <v/>
      </c>
      <c r="K854" s="54">
        <f>IF(_imp!$C$856="","",INDEX(_imp!$K$4:$K$4503,_imp!$C$856))</f>
        <v/>
      </c>
    </row>
    <row r="855">
      <c r="A855" s="54">
        <f>IF(_imp!$C$857="","",INDEX(_imp!$D$4:$D$4503,_imp!$C$857))</f>
        <v/>
      </c>
      <c r="B855" s="54">
        <f>IF(_imp!$C$857="","",INDEX(_imp!$E$4:$E$4503,_imp!$C$857))</f>
        <v/>
      </c>
      <c r="C855" s="54">
        <f>IF(_imp!$C$857="","",INDEX(_imp!$F$4:$F$4503,_imp!$C$857))</f>
        <v/>
      </c>
      <c r="D855" s="54">
        <f>IF(_imp!$C$857="","",INDEX(_imp!$G$4:$G$4503,_imp!$C$857))</f>
        <v/>
      </c>
      <c r="E855" s="54">
        <f>IF(_imp!$C$857="","",INDEX(_imp!$H$4:$H$4503,_imp!$C$857))</f>
        <v/>
      </c>
      <c r="F855" s="54">
        <f>IF(_imp!$C$857="","",INDEX(_imp!$I$4:$I$4503,_imp!$C$857))</f>
        <v/>
      </c>
      <c r="G855" s="54">
        <f>IF(_imp!$C$857="","",INDEX(_imp!$J$4:$J$4503,_imp!$C$857))</f>
        <v/>
      </c>
      <c r="K855" s="54">
        <f>IF(_imp!$C$857="","",INDEX(_imp!$K$4:$K$4503,_imp!$C$857))</f>
        <v/>
      </c>
    </row>
    <row r="856">
      <c r="A856" s="54">
        <f>IF(_imp!$C$858="","",INDEX(_imp!$D$4:$D$4503,_imp!$C$858))</f>
        <v/>
      </c>
      <c r="B856" s="54">
        <f>IF(_imp!$C$858="","",INDEX(_imp!$E$4:$E$4503,_imp!$C$858))</f>
        <v/>
      </c>
      <c r="C856" s="54">
        <f>IF(_imp!$C$858="","",INDEX(_imp!$F$4:$F$4503,_imp!$C$858))</f>
        <v/>
      </c>
      <c r="D856" s="54">
        <f>IF(_imp!$C$858="","",INDEX(_imp!$G$4:$G$4503,_imp!$C$858))</f>
        <v/>
      </c>
      <c r="E856" s="54">
        <f>IF(_imp!$C$858="","",INDEX(_imp!$H$4:$H$4503,_imp!$C$858))</f>
        <v/>
      </c>
      <c r="F856" s="54">
        <f>IF(_imp!$C$858="","",INDEX(_imp!$I$4:$I$4503,_imp!$C$858))</f>
        <v/>
      </c>
      <c r="G856" s="54">
        <f>IF(_imp!$C$858="","",INDEX(_imp!$J$4:$J$4503,_imp!$C$858))</f>
        <v/>
      </c>
      <c r="K856" s="54">
        <f>IF(_imp!$C$858="","",INDEX(_imp!$K$4:$K$4503,_imp!$C$858))</f>
        <v/>
      </c>
    </row>
    <row r="857">
      <c r="A857" s="54">
        <f>IF(_imp!$C$859="","",INDEX(_imp!$D$4:$D$4503,_imp!$C$859))</f>
        <v/>
      </c>
      <c r="B857" s="54">
        <f>IF(_imp!$C$859="","",INDEX(_imp!$E$4:$E$4503,_imp!$C$859))</f>
        <v/>
      </c>
      <c r="C857" s="54">
        <f>IF(_imp!$C$859="","",INDEX(_imp!$F$4:$F$4503,_imp!$C$859))</f>
        <v/>
      </c>
      <c r="D857" s="54">
        <f>IF(_imp!$C$859="","",INDEX(_imp!$G$4:$G$4503,_imp!$C$859))</f>
        <v/>
      </c>
      <c r="E857" s="54">
        <f>IF(_imp!$C$859="","",INDEX(_imp!$H$4:$H$4503,_imp!$C$859))</f>
        <v/>
      </c>
      <c r="F857" s="54">
        <f>IF(_imp!$C$859="","",INDEX(_imp!$I$4:$I$4503,_imp!$C$859))</f>
        <v/>
      </c>
      <c r="G857" s="54">
        <f>IF(_imp!$C$859="","",INDEX(_imp!$J$4:$J$4503,_imp!$C$859))</f>
        <v/>
      </c>
      <c r="K857" s="54">
        <f>IF(_imp!$C$859="","",INDEX(_imp!$K$4:$K$4503,_imp!$C$859))</f>
        <v/>
      </c>
    </row>
    <row r="858">
      <c r="A858" s="54">
        <f>IF(_imp!$C$860="","",INDEX(_imp!$D$4:$D$4503,_imp!$C$860))</f>
        <v/>
      </c>
      <c r="B858" s="54">
        <f>IF(_imp!$C$860="","",INDEX(_imp!$E$4:$E$4503,_imp!$C$860))</f>
        <v/>
      </c>
      <c r="C858" s="54">
        <f>IF(_imp!$C$860="","",INDEX(_imp!$F$4:$F$4503,_imp!$C$860))</f>
        <v/>
      </c>
      <c r="D858" s="54">
        <f>IF(_imp!$C$860="","",INDEX(_imp!$G$4:$G$4503,_imp!$C$860))</f>
        <v/>
      </c>
      <c r="E858" s="54">
        <f>IF(_imp!$C$860="","",INDEX(_imp!$H$4:$H$4503,_imp!$C$860))</f>
        <v/>
      </c>
      <c r="F858" s="54">
        <f>IF(_imp!$C$860="","",INDEX(_imp!$I$4:$I$4503,_imp!$C$860))</f>
        <v/>
      </c>
      <c r="G858" s="54">
        <f>IF(_imp!$C$860="","",INDEX(_imp!$J$4:$J$4503,_imp!$C$860))</f>
        <v/>
      </c>
      <c r="K858" s="54">
        <f>IF(_imp!$C$860="","",INDEX(_imp!$K$4:$K$4503,_imp!$C$860))</f>
        <v/>
      </c>
    </row>
    <row r="859">
      <c r="A859" s="54">
        <f>IF(_imp!$C$861="","",INDEX(_imp!$D$4:$D$4503,_imp!$C$861))</f>
        <v/>
      </c>
      <c r="B859" s="54">
        <f>IF(_imp!$C$861="","",INDEX(_imp!$E$4:$E$4503,_imp!$C$861))</f>
        <v/>
      </c>
      <c r="C859" s="54">
        <f>IF(_imp!$C$861="","",INDEX(_imp!$F$4:$F$4503,_imp!$C$861))</f>
        <v/>
      </c>
      <c r="D859" s="54">
        <f>IF(_imp!$C$861="","",INDEX(_imp!$G$4:$G$4503,_imp!$C$861))</f>
        <v/>
      </c>
      <c r="E859" s="54">
        <f>IF(_imp!$C$861="","",INDEX(_imp!$H$4:$H$4503,_imp!$C$861))</f>
        <v/>
      </c>
      <c r="F859" s="54">
        <f>IF(_imp!$C$861="","",INDEX(_imp!$I$4:$I$4503,_imp!$C$861))</f>
        <v/>
      </c>
      <c r="G859" s="54">
        <f>IF(_imp!$C$861="","",INDEX(_imp!$J$4:$J$4503,_imp!$C$861))</f>
        <v/>
      </c>
      <c r="K859" s="54">
        <f>IF(_imp!$C$861="","",INDEX(_imp!$K$4:$K$4503,_imp!$C$861))</f>
        <v/>
      </c>
    </row>
    <row r="860">
      <c r="A860" s="54">
        <f>IF(_imp!$C$862="","",INDEX(_imp!$D$4:$D$4503,_imp!$C$862))</f>
        <v/>
      </c>
      <c r="B860" s="54">
        <f>IF(_imp!$C$862="","",INDEX(_imp!$E$4:$E$4503,_imp!$C$862))</f>
        <v/>
      </c>
      <c r="C860" s="54">
        <f>IF(_imp!$C$862="","",INDEX(_imp!$F$4:$F$4503,_imp!$C$862))</f>
        <v/>
      </c>
      <c r="D860" s="54">
        <f>IF(_imp!$C$862="","",INDEX(_imp!$G$4:$G$4503,_imp!$C$862))</f>
        <v/>
      </c>
      <c r="E860" s="54">
        <f>IF(_imp!$C$862="","",INDEX(_imp!$H$4:$H$4503,_imp!$C$862))</f>
        <v/>
      </c>
      <c r="F860" s="54">
        <f>IF(_imp!$C$862="","",INDEX(_imp!$I$4:$I$4503,_imp!$C$862))</f>
        <v/>
      </c>
      <c r="G860" s="54">
        <f>IF(_imp!$C$862="","",INDEX(_imp!$J$4:$J$4503,_imp!$C$862))</f>
        <v/>
      </c>
      <c r="K860" s="54">
        <f>IF(_imp!$C$862="","",INDEX(_imp!$K$4:$K$4503,_imp!$C$862))</f>
        <v/>
      </c>
    </row>
    <row r="861">
      <c r="A861" s="54">
        <f>IF(_imp!$C$863="","",INDEX(_imp!$D$4:$D$4503,_imp!$C$863))</f>
        <v/>
      </c>
      <c r="B861" s="54">
        <f>IF(_imp!$C$863="","",INDEX(_imp!$E$4:$E$4503,_imp!$C$863))</f>
        <v/>
      </c>
      <c r="C861" s="54">
        <f>IF(_imp!$C$863="","",INDEX(_imp!$F$4:$F$4503,_imp!$C$863))</f>
        <v/>
      </c>
      <c r="D861" s="54">
        <f>IF(_imp!$C$863="","",INDEX(_imp!$G$4:$G$4503,_imp!$C$863))</f>
        <v/>
      </c>
      <c r="E861" s="54">
        <f>IF(_imp!$C$863="","",INDEX(_imp!$H$4:$H$4503,_imp!$C$863))</f>
        <v/>
      </c>
      <c r="F861" s="54">
        <f>IF(_imp!$C$863="","",INDEX(_imp!$I$4:$I$4503,_imp!$C$863))</f>
        <v/>
      </c>
      <c r="G861" s="54">
        <f>IF(_imp!$C$863="","",INDEX(_imp!$J$4:$J$4503,_imp!$C$863))</f>
        <v/>
      </c>
      <c r="K861" s="54">
        <f>IF(_imp!$C$863="","",INDEX(_imp!$K$4:$K$4503,_imp!$C$863))</f>
        <v/>
      </c>
    </row>
    <row r="862">
      <c r="A862" s="54">
        <f>IF(_imp!$C$864="","",INDEX(_imp!$D$4:$D$4503,_imp!$C$864))</f>
        <v/>
      </c>
      <c r="B862" s="54">
        <f>IF(_imp!$C$864="","",INDEX(_imp!$E$4:$E$4503,_imp!$C$864))</f>
        <v/>
      </c>
      <c r="C862" s="54">
        <f>IF(_imp!$C$864="","",INDEX(_imp!$F$4:$F$4503,_imp!$C$864))</f>
        <v/>
      </c>
      <c r="D862" s="54">
        <f>IF(_imp!$C$864="","",INDEX(_imp!$G$4:$G$4503,_imp!$C$864))</f>
        <v/>
      </c>
      <c r="E862" s="54">
        <f>IF(_imp!$C$864="","",INDEX(_imp!$H$4:$H$4503,_imp!$C$864))</f>
        <v/>
      </c>
      <c r="F862" s="54">
        <f>IF(_imp!$C$864="","",INDEX(_imp!$I$4:$I$4503,_imp!$C$864))</f>
        <v/>
      </c>
      <c r="G862" s="54">
        <f>IF(_imp!$C$864="","",INDEX(_imp!$J$4:$J$4503,_imp!$C$864))</f>
        <v/>
      </c>
      <c r="K862" s="54">
        <f>IF(_imp!$C$864="","",INDEX(_imp!$K$4:$K$4503,_imp!$C$864))</f>
        <v/>
      </c>
    </row>
    <row r="863">
      <c r="A863" s="54">
        <f>IF(_imp!$C$865="","",INDEX(_imp!$D$4:$D$4503,_imp!$C$865))</f>
        <v/>
      </c>
      <c r="B863" s="54">
        <f>IF(_imp!$C$865="","",INDEX(_imp!$E$4:$E$4503,_imp!$C$865))</f>
        <v/>
      </c>
      <c r="C863" s="54">
        <f>IF(_imp!$C$865="","",INDEX(_imp!$F$4:$F$4503,_imp!$C$865))</f>
        <v/>
      </c>
      <c r="D863" s="54">
        <f>IF(_imp!$C$865="","",INDEX(_imp!$G$4:$G$4503,_imp!$C$865))</f>
        <v/>
      </c>
      <c r="E863" s="54">
        <f>IF(_imp!$C$865="","",INDEX(_imp!$H$4:$H$4503,_imp!$C$865))</f>
        <v/>
      </c>
      <c r="F863" s="54">
        <f>IF(_imp!$C$865="","",INDEX(_imp!$I$4:$I$4503,_imp!$C$865))</f>
        <v/>
      </c>
      <c r="G863" s="54">
        <f>IF(_imp!$C$865="","",INDEX(_imp!$J$4:$J$4503,_imp!$C$865))</f>
        <v/>
      </c>
      <c r="K863" s="54">
        <f>IF(_imp!$C$865="","",INDEX(_imp!$K$4:$K$4503,_imp!$C$865))</f>
        <v/>
      </c>
    </row>
    <row r="864">
      <c r="A864" s="54">
        <f>IF(_imp!$C$866="","",INDEX(_imp!$D$4:$D$4503,_imp!$C$866))</f>
        <v/>
      </c>
      <c r="B864" s="54">
        <f>IF(_imp!$C$866="","",INDEX(_imp!$E$4:$E$4503,_imp!$C$866))</f>
        <v/>
      </c>
      <c r="C864" s="54">
        <f>IF(_imp!$C$866="","",INDEX(_imp!$F$4:$F$4503,_imp!$C$866))</f>
        <v/>
      </c>
      <c r="D864" s="54">
        <f>IF(_imp!$C$866="","",INDEX(_imp!$G$4:$G$4503,_imp!$C$866))</f>
        <v/>
      </c>
      <c r="E864" s="54">
        <f>IF(_imp!$C$866="","",INDEX(_imp!$H$4:$H$4503,_imp!$C$866))</f>
        <v/>
      </c>
      <c r="F864" s="54">
        <f>IF(_imp!$C$866="","",INDEX(_imp!$I$4:$I$4503,_imp!$C$866))</f>
        <v/>
      </c>
      <c r="G864" s="54">
        <f>IF(_imp!$C$866="","",INDEX(_imp!$J$4:$J$4503,_imp!$C$866))</f>
        <v/>
      </c>
      <c r="K864" s="54">
        <f>IF(_imp!$C$866="","",INDEX(_imp!$K$4:$K$4503,_imp!$C$866))</f>
        <v/>
      </c>
    </row>
    <row r="865">
      <c r="A865" s="54">
        <f>IF(_imp!$C$867="","",INDEX(_imp!$D$4:$D$4503,_imp!$C$867))</f>
        <v/>
      </c>
      <c r="B865" s="54">
        <f>IF(_imp!$C$867="","",INDEX(_imp!$E$4:$E$4503,_imp!$C$867))</f>
        <v/>
      </c>
      <c r="C865" s="54">
        <f>IF(_imp!$C$867="","",INDEX(_imp!$F$4:$F$4503,_imp!$C$867))</f>
        <v/>
      </c>
      <c r="D865" s="54">
        <f>IF(_imp!$C$867="","",INDEX(_imp!$G$4:$G$4503,_imp!$C$867))</f>
        <v/>
      </c>
      <c r="E865" s="54">
        <f>IF(_imp!$C$867="","",INDEX(_imp!$H$4:$H$4503,_imp!$C$867))</f>
        <v/>
      </c>
      <c r="F865" s="54">
        <f>IF(_imp!$C$867="","",INDEX(_imp!$I$4:$I$4503,_imp!$C$867))</f>
        <v/>
      </c>
      <c r="G865" s="54">
        <f>IF(_imp!$C$867="","",INDEX(_imp!$J$4:$J$4503,_imp!$C$867))</f>
        <v/>
      </c>
      <c r="K865" s="54">
        <f>IF(_imp!$C$867="","",INDEX(_imp!$K$4:$K$4503,_imp!$C$867))</f>
        <v/>
      </c>
    </row>
    <row r="866">
      <c r="A866" s="54">
        <f>IF(_imp!$C$868="","",INDEX(_imp!$D$4:$D$4503,_imp!$C$868))</f>
        <v/>
      </c>
      <c r="B866" s="54">
        <f>IF(_imp!$C$868="","",INDEX(_imp!$E$4:$E$4503,_imp!$C$868))</f>
        <v/>
      </c>
      <c r="C866" s="54">
        <f>IF(_imp!$C$868="","",INDEX(_imp!$F$4:$F$4503,_imp!$C$868))</f>
        <v/>
      </c>
      <c r="D866" s="54">
        <f>IF(_imp!$C$868="","",INDEX(_imp!$G$4:$G$4503,_imp!$C$868))</f>
        <v/>
      </c>
      <c r="E866" s="54">
        <f>IF(_imp!$C$868="","",INDEX(_imp!$H$4:$H$4503,_imp!$C$868))</f>
        <v/>
      </c>
      <c r="F866" s="54">
        <f>IF(_imp!$C$868="","",INDEX(_imp!$I$4:$I$4503,_imp!$C$868))</f>
        <v/>
      </c>
      <c r="G866" s="54">
        <f>IF(_imp!$C$868="","",INDEX(_imp!$J$4:$J$4503,_imp!$C$868))</f>
        <v/>
      </c>
      <c r="K866" s="54">
        <f>IF(_imp!$C$868="","",INDEX(_imp!$K$4:$K$4503,_imp!$C$868))</f>
        <v/>
      </c>
    </row>
    <row r="867">
      <c r="A867" s="54">
        <f>IF(_imp!$C$869="","",INDEX(_imp!$D$4:$D$4503,_imp!$C$869))</f>
        <v/>
      </c>
      <c r="B867" s="54">
        <f>IF(_imp!$C$869="","",INDEX(_imp!$E$4:$E$4503,_imp!$C$869))</f>
        <v/>
      </c>
      <c r="C867" s="54">
        <f>IF(_imp!$C$869="","",INDEX(_imp!$F$4:$F$4503,_imp!$C$869))</f>
        <v/>
      </c>
      <c r="D867" s="54">
        <f>IF(_imp!$C$869="","",INDEX(_imp!$G$4:$G$4503,_imp!$C$869))</f>
        <v/>
      </c>
      <c r="E867" s="54">
        <f>IF(_imp!$C$869="","",INDEX(_imp!$H$4:$H$4503,_imp!$C$869))</f>
        <v/>
      </c>
      <c r="F867" s="54">
        <f>IF(_imp!$C$869="","",INDEX(_imp!$I$4:$I$4503,_imp!$C$869))</f>
        <v/>
      </c>
      <c r="G867" s="54">
        <f>IF(_imp!$C$869="","",INDEX(_imp!$J$4:$J$4503,_imp!$C$869))</f>
        <v/>
      </c>
      <c r="K867" s="54">
        <f>IF(_imp!$C$869="","",INDEX(_imp!$K$4:$K$4503,_imp!$C$869))</f>
        <v/>
      </c>
    </row>
    <row r="868">
      <c r="A868" s="54">
        <f>IF(_imp!$C$870="","",INDEX(_imp!$D$4:$D$4503,_imp!$C$870))</f>
        <v/>
      </c>
      <c r="B868" s="54">
        <f>IF(_imp!$C$870="","",INDEX(_imp!$E$4:$E$4503,_imp!$C$870))</f>
        <v/>
      </c>
      <c r="C868" s="54">
        <f>IF(_imp!$C$870="","",INDEX(_imp!$F$4:$F$4503,_imp!$C$870))</f>
        <v/>
      </c>
      <c r="D868" s="54">
        <f>IF(_imp!$C$870="","",INDEX(_imp!$G$4:$G$4503,_imp!$C$870))</f>
        <v/>
      </c>
      <c r="E868" s="54">
        <f>IF(_imp!$C$870="","",INDEX(_imp!$H$4:$H$4503,_imp!$C$870))</f>
        <v/>
      </c>
      <c r="F868" s="54">
        <f>IF(_imp!$C$870="","",INDEX(_imp!$I$4:$I$4503,_imp!$C$870))</f>
        <v/>
      </c>
      <c r="G868" s="54">
        <f>IF(_imp!$C$870="","",INDEX(_imp!$J$4:$J$4503,_imp!$C$870))</f>
        <v/>
      </c>
      <c r="K868" s="54">
        <f>IF(_imp!$C$870="","",INDEX(_imp!$K$4:$K$4503,_imp!$C$870))</f>
        <v/>
      </c>
    </row>
    <row r="869">
      <c r="A869" s="54">
        <f>IF(_imp!$C$871="","",INDEX(_imp!$D$4:$D$4503,_imp!$C$871))</f>
        <v/>
      </c>
      <c r="B869" s="54">
        <f>IF(_imp!$C$871="","",INDEX(_imp!$E$4:$E$4503,_imp!$C$871))</f>
        <v/>
      </c>
      <c r="C869" s="54">
        <f>IF(_imp!$C$871="","",INDEX(_imp!$F$4:$F$4503,_imp!$C$871))</f>
        <v/>
      </c>
      <c r="D869" s="54">
        <f>IF(_imp!$C$871="","",INDEX(_imp!$G$4:$G$4503,_imp!$C$871))</f>
        <v/>
      </c>
      <c r="E869" s="54">
        <f>IF(_imp!$C$871="","",INDEX(_imp!$H$4:$H$4503,_imp!$C$871))</f>
        <v/>
      </c>
      <c r="F869" s="54">
        <f>IF(_imp!$C$871="","",INDEX(_imp!$I$4:$I$4503,_imp!$C$871))</f>
        <v/>
      </c>
      <c r="G869" s="54">
        <f>IF(_imp!$C$871="","",INDEX(_imp!$J$4:$J$4503,_imp!$C$871))</f>
        <v/>
      </c>
      <c r="K869" s="54">
        <f>IF(_imp!$C$871="","",INDEX(_imp!$K$4:$K$4503,_imp!$C$871))</f>
        <v/>
      </c>
    </row>
    <row r="870">
      <c r="A870" s="54">
        <f>IF(_imp!$C$872="","",INDEX(_imp!$D$4:$D$4503,_imp!$C$872))</f>
        <v/>
      </c>
      <c r="B870" s="54">
        <f>IF(_imp!$C$872="","",INDEX(_imp!$E$4:$E$4503,_imp!$C$872))</f>
        <v/>
      </c>
      <c r="C870" s="54">
        <f>IF(_imp!$C$872="","",INDEX(_imp!$F$4:$F$4503,_imp!$C$872))</f>
        <v/>
      </c>
      <c r="D870" s="54">
        <f>IF(_imp!$C$872="","",INDEX(_imp!$G$4:$G$4503,_imp!$C$872))</f>
        <v/>
      </c>
      <c r="E870" s="54">
        <f>IF(_imp!$C$872="","",INDEX(_imp!$H$4:$H$4503,_imp!$C$872))</f>
        <v/>
      </c>
      <c r="F870" s="54">
        <f>IF(_imp!$C$872="","",INDEX(_imp!$I$4:$I$4503,_imp!$C$872))</f>
        <v/>
      </c>
      <c r="G870" s="54">
        <f>IF(_imp!$C$872="","",INDEX(_imp!$J$4:$J$4503,_imp!$C$872))</f>
        <v/>
      </c>
      <c r="K870" s="54">
        <f>IF(_imp!$C$872="","",INDEX(_imp!$K$4:$K$4503,_imp!$C$872))</f>
        <v/>
      </c>
    </row>
    <row r="871">
      <c r="A871" s="54">
        <f>IF(_imp!$C$873="","",INDEX(_imp!$D$4:$D$4503,_imp!$C$873))</f>
        <v/>
      </c>
      <c r="B871" s="54">
        <f>IF(_imp!$C$873="","",INDEX(_imp!$E$4:$E$4503,_imp!$C$873))</f>
        <v/>
      </c>
      <c r="C871" s="54">
        <f>IF(_imp!$C$873="","",INDEX(_imp!$F$4:$F$4503,_imp!$C$873))</f>
        <v/>
      </c>
      <c r="D871" s="54">
        <f>IF(_imp!$C$873="","",INDEX(_imp!$G$4:$G$4503,_imp!$C$873))</f>
        <v/>
      </c>
      <c r="E871" s="54">
        <f>IF(_imp!$C$873="","",INDEX(_imp!$H$4:$H$4503,_imp!$C$873))</f>
        <v/>
      </c>
      <c r="F871" s="54">
        <f>IF(_imp!$C$873="","",INDEX(_imp!$I$4:$I$4503,_imp!$C$873))</f>
        <v/>
      </c>
      <c r="G871" s="54">
        <f>IF(_imp!$C$873="","",INDEX(_imp!$J$4:$J$4503,_imp!$C$873))</f>
        <v/>
      </c>
      <c r="K871" s="54">
        <f>IF(_imp!$C$873="","",INDEX(_imp!$K$4:$K$4503,_imp!$C$873))</f>
        <v/>
      </c>
    </row>
    <row r="872">
      <c r="A872" s="54">
        <f>IF(_imp!$C$874="","",INDEX(_imp!$D$4:$D$4503,_imp!$C$874))</f>
        <v/>
      </c>
      <c r="B872" s="54">
        <f>IF(_imp!$C$874="","",INDEX(_imp!$E$4:$E$4503,_imp!$C$874))</f>
        <v/>
      </c>
      <c r="C872" s="54">
        <f>IF(_imp!$C$874="","",INDEX(_imp!$F$4:$F$4503,_imp!$C$874))</f>
        <v/>
      </c>
      <c r="D872" s="54">
        <f>IF(_imp!$C$874="","",INDEX(_imp!$G$4:$G$4503,_imp!$C$874))</f>
        <v/>
      </c>
      <c r="E872" s="54">
        <f>IF(_imp!$C$874="","",INDEX(_imp!$H$4:$H$4503,_imp!$C$874))</f>
        <v/>
      </c>
      <c r="F872" s="54">
        <f>IF(_imp!$C$874="","",INDEX(_imp!$I$4:$I$4503,_imp!$C$874))</f>
        <v/>
      </c>
      <c r="G872" s="54">
        <f>IF(_imp!$C$874="","",INDEX(_imp!$J$4:$J$4503,_imp!$C$874))</f>
        <v/>
      </c>
      <c r="K872" s="54">
        <f>IF(_imp!$C$874="","",INDEX(_imp!$K$4:$K$4503,_imp!$C$874))</f>
        <v/>
      </c>
    </row>
    <row r="873">
      <c r="A873" s="54">
        <f>IF(_imp!$C$875="","",INDEX(_imp!$D$4:$D$4503,_imp!$C$875))</f>
        <v/>
      </c>
      <c r="B873" s="54">
        <f>IF(_imp!$C$875="","",INDEX(_imp!$E$4:$E$4503,_imp!$C$875))</f>
        <v/>
      </c>
      <c r="C873" s="54">
        <f>IF(_imp!$C$875="","",INDEX(_imp!$F$4:$F$4503,_imp!$C$875))</f>
        <v/>
      </c>
      <c r="D873" s="54">
        <f>IF(_imp!$C$875="","",INDEX(_imp!$G$4:$G$4503,_imp!$C$875))</f>
        <v/>
      </c>
      <c r="E873" s="54">
        <f>IF(_imp!$C$875="","",INDEX(_imp!$H$4:$H$4503,_imp!$C$875))</f>
        <v/>
      </c>
      <c r="F873" s="54">
        <f>IF(_imp!$C$875="","",INDEX(_imp!$I$4:$I$4503,_imp!$C$875))</f>
        <v/>
      </c>
      <c r="G873" s="54">
        <f>IF(_imp!$C$875="","",INDEX(_imp!$J$4:$J$4503,_imp!$C$875))</f>
        <v/>
      </c>
      <c r="K873" s="54">
        <f>IF(_imp!$C$875="","",INDEX(_imp!$K$4:$K$4503,_imp!$C$875))</f>
        <v/>
      </c>
    </row>
    <row r="874">
      <c r="A874" s="54">
        <f>IF(_imp!$C$876="","",INDEX(_imp!$D$4:$D$4503,_imp!$C$876))</f>
        <v/>
      </c>
      <c r="B874" s="54">
        <f>IF(_imp!$C$876="","",INDEX(_imp!$E$4:$E$4503,_imp!$C$876))</f>
        <v/>
      </c>
      <c r="C874" s="54">
        <f>IF(_imp!$C$876="","",INDEX(_imp!$F$4:$F$4503,_imp!$C$876))</f>
        <v/>
      </c>
      <c r="D874" s="54">
        <f>IF(_imp!$C$876="","",INDEX(_imp!$G$4:$G$4503,_imp!$C$876))</f>
        <v/>
      </c>
      <c r="E874" s="54">
        <f>IF(_imp!$C$876="","",INDEX(_imp!$H$4:$H$4503,_imp!$C$876))</f>
        <v/>
      </c>
      <c r="F874" s="54">
        <f>IF(_imp!$C$876="","",INDEX(_imp!$I$4:$I$4503,_imp!$C$876))</f>
        <v/>
      </c>
      <c r="G874" s="54">
        <f>IF(_imp!$C$876="","",INDEX(_imp!$J$4:$J$4503,_imp!$C$876))</f>
        <v/>
      </c>
      <c r="K874" s="54">
        <f>IF(_imp!$C$876="","",INDEX(_imp!$K$4:$K$4503,_imp!$C$876))</f>
        <v/>
      </c>
    </row>
    <row r="875">
      <c r="A875" s="54">
        <f>IF(_imp!$C$877="","",INDEX(_imp!$D$4:$D$4503,_imp!$C$877))</f>
        <v/>
      </c>
      <c r="B875" s="54">
        <f>IF(_imp!$C$877="","",INDEX(_imp!$E$4:$E$4503,_imp!$C$877))</f>
        <v/>
      </c>
      <c r="C875" s="54">
        <f>IF(_imp!$C$877="","",INDEX(_imp!$F$4:$F$4503,_imp!$C$877))</f>
        <v/>
      </c>
      <c r="D875" s="54">
        <f>IF(_imp!$C$877="","",INDEX(_imp!$G$4:$G$4503,_imp!$C$877))</f>
        <v/>
      </c>
      <c r="E875" s="54">
        <f>IF(_imp!$C$877="","",INDEX(_imp!$H$4:$H$4503,_imp!$C$877))</f>
        <v/>
      </c>
      <c r="F875" s="54">
        <f>IF(_imp!$C$877="","",INDEX(_imp!$I$4:$I$4503,_imp!$C$877))</f>
        <v/>
      </c>
      <c r="G875" s="54">
        <f>IF(_imp!$C$877="","",INDEX(_imp!$J$4:$J$4503,_imp!$C$877))</f>
        <v/>
      </c>
      <c r="K875" s="54">
        <f>IF(_imp!$C$877="","",INDEX(_imp!$K$4:$K$4503,_imp!$C$877))</f>
        <v/>
      </c>
    </row>
    <row r="876">
      <c r="A876" s="54">
        <f>IF(_imp!$C$878="","",INDEX(_imp!$D$4:$D$4503,_imp!$C$878))</f>
        <v/>
      </c>
      <c r="B876" s="54">
        <f>IF(_imp!$C$878="","",INDEX(_imp!$E$4:$E$4503,_imp!$C$878))</f>
        <v/>
      </c>
      <c r="C876" s="54">
        <f>IF(_imp!$C$878="","",INDEX(_imp!$F$4:$F$4503,_imp!$C$878))</f>
        <v/>
      </c>
      <c r="D876" s="54">
        <f>IF(_imp!$C$878="","",INDEX(_imp!$G$4:$G$4503,_imp!$C$878))</f>
        <v/>
      </c>
      <c r="E876" s="54">
        <f>IF(_imp!$C$878="","",INDEX(_imp!$H$4:$H$4503,_imp!$C$878))</f>
        <v/>
      </c>
      <c r="F876" s="54">
        <f>IF(_imp!$C$878="","",INDEX(_imp!$I$4:$I$4503,_imp!$C$878))</f>
        <v/>
      </c>
      <c r="G876" s="54">
        <f>IF(_imp!$C$878="","",INDEX(_imp!$J$4:$J$4503,_imp!$C$878))</f>
        <v/>
      </c>
      <c r="K876" s="54">
        <f>IF(_imp!$C$878="","",INDEX(_imp!$K$4:$K$4503,_imp!$C$878))</f>
        <v/>
      </c>
    </row>
    <row r="877">
      <c r="A877" s="54">
        <f>IF(_imp!$C$879="","",INDEX(_imp!$D$4:$D$4503,_imp!$C$879))</f>
        <v/>
      </c>
      <c r="B877" s="54">
        <f>IF(_imp!$C$879="","",INDEX(_imp!$E$4:$E$4503,_imp!$C$879))</f>
        <v/>
      </c>
      <c r="C877" s="54">
        <f>IF(_imp!$C$879="","",INDEX(_imp!$F$4:$F$4503,_imp!$C$879))</f>
        <v/>
      </c>
      <c r="D877" s="54">
        <f>IF(_imp!$C$879="","",INDEX(_imp!$G$4:$G$4503,_imp!$C$879))</f>
        <v/>
      </c>
      <c r="E877" s="54">
        <f>IF(_imp!$C$879="","",INDEX(_imp!$H$4:$H$4503,_imp!$C$879))</f>
        <v/>
      </c>
      <c r="F877" s="54">
        <f>IF(_imp!$C$879="","",INDEX(_imp!$I$4:$I$4503,_imp!$C$879))</f>
        <v/>
      </c>
      <c r="G877" s="54">
        <f>IF(_imp!$C$879="","",INDEX(_imp!$J$4:$J$4503,_imp!$C$879))</f>
        <v/>
      </c>
      <c r="K877" s="54">
        <f>IF(_imp!$C$879="","",INDEX(_imp!$K$4:$K$4503,_imp!$C$879))</f>
        <v/>
      </c>
    </row>
    <row r="878">
      <c r="A878" s="54">
        <f>IF(_imp!$C$880="","",INDEX(_imp!$D$4:$D$4503,_imp!$C$880))</f>
        <v/>
      </c>
      <c r="B878" s="54">
        <f>IF(_imp!$C$880="","",INDEX(_imp!$E$4:$E$4503,_imp!$C$880))</f>
        <v/>
      </c>
      <c r="C878" s="54">
        <f>IF(_imp!$C$880="","",INDEX(_imp!$F$4:$F$4503,_imp!$C$880))</f>
        <v/>
      </c>
      <c r="D878" s="54">
        <f>IF(_imp!$C$880="","",INDEX(_imp!$G$4:$G$4503,_imp!$C$880))</f>
        <v/>
      </c>
      <c r="E878" s="54">
        <f>IF(_imp!$C$880="","",INDEX(_imp!$H$4:$H$4503,_imp!$C$880))</f>
        <v/>
      </c>
      <c r="F878" s="54">
        <f>IF(_imp!$C$880="","",INDEX(_imp!$I$4:$I$4503,_imp!$C$880))</f>
        <v/>
      </c>
      <c r="G878" s="54">
        <f>IF(_imp!$C$880="","",INDEX(_imp!$J$4:$J$4503,_imp!$C$880))</f>
        <v/>
      </c>
      <c r="K878" s="54">
        <f>IF(_imp!$C$880="","",INDEX(_imp!$K$4:$K$4503,_imp!$C$880))</f>
        <v/>
      </c>
    </row>
    <row r="879">
      <c r="A879" s="54">
        <f>IF(_imp!$C$881="","",INDEX(_imp!$D$4:$D$4503,_imp!$C$881))</f>
        <v/>
      </c>
      <c r="B879" s="54">
        <f>IF(_imp!$C$881="","",INDEX(_imp!$E$4:$E$4503,_imp!$C$881))</f>
        <v/>
      </c>
      <c r="C879" s="54">
        <f>IF(_imp!$C$881="","",INDEX(_imp!$F$4:$F$4503,_imp!$C$881))</f>
        <v/>
      </c>
      <c r="D879" s="54">
        <f>IF(_imp!$C$881="","",INDEX(_imp!$G$4:$G$4503,_imp!$C$881))</f>
        <v/>
      </c>
      <c r="E879" s="54">
        <f>IF(_imp!$C$881="","",INDEX(_imp!$H$4:$H$4503,_imp!$C$881))</f>
        <v/>
      </c>
      <c r="F879" s="54">
        <f>IF(_imp!$C$881="","",INDEX(_imp!$I$4:$I$4503,_imp!$C$881))</f>
        <v/>
      </c>
      <c r="G879" s="54">
        <f>IF(_imp!$C$881="","",INDEX(_imp!$J$4:$J$4503,_imp!$C$881))</f>
        <v/>
      </c>
      <c r="K879" s="54">
        <f>IF(_imp!$C$881="","",INDEX(_imp!$K$4:$K$4503,_imp!$C$881))</f>
        <v/>
      </c>
    </row>
    <row r="880">
      <c r="A880" s="54">
        <f>IF(_imp!$C$882="","",INDEX(_imp!$D$4:$D$4503,_imp!$C$882))</f>
        <v/>
      </c>
      <c r="B880" s="54">
        <f>IF(_imp!$C$882="","",INDEX(_imp!$E$4:$E$4503,_imp!$C$882))</f>
        <v/>
      </c>
      <c r="C880" s="54">
        <f>IF(_imp!$C$882="","",INDEX(_imp!$F$4:$F$4503,_imp!$C$882))</f>
        <v/>
      </c>
      <c r="D880" s="54">
        <f>IF(_imp!$C$882="","",INDEX(_imp!$G$4:$G$4503,_imp!$C$882))</f>
        <v/>
      </c>
      <c r="E880" s="54">
        <f>IF(_imp!$C$882="","",INDEX(_imp!$H$4:$H$4503,_imp!$C$882))</f>
        <v/>
      </c>
      <c r="F880" s="54">
        <f>IF(_imp!$C$882="","",INDEX(_imp!$I$4:$I$4503,_imp!$C$882))</f>
        <v/>
      </c>
      <c r="G880" s="54">
        <f>IF(_imp!$C$882="","",INDEX(_imp!$J$4:$J$4503,_imp!$C$882))</f>
        <v/>
      </c>
      <c r="K880" s="54">
        <f>IF(_imp!$C$882="","",INDEX(_imp!$K$4:$K$4503,_imp!$C$882))</f>
        <v/>
      </c>
    </row>
    <row r="881">
      <c r="A881" s="54">
        <f>IF(_imp!$C$883="","",INDEX(_imp!$D$4:$D$4503,_imp!$C$883))</f>
        <v/>
      </c>
      <c r="B881" s="54">
        <f>IF(_imp!$C$883="","",INDEX(_imp!$E$4:$E$4503,_imp!$C$883))</f>
        <v/>
      </c>
      <c r="C881" s="54">
        <f>IF(_imp!$C$883="","",INDEX(_imp!$F$4:$F$4503,_imp!$C$883))</f>
        <v/>
      </c>
      <c r="D881" s="54">
        <f>IF(_imp!$C$883="","",INDEX(_imp!$G$4:$G$4503,_imp!$C$883))</f>
        <v/>
      </c>
      <c r="E881" s="54">
        <f>IF(_imp!$C$883="","",INDEX(_imp!$H$4:$H$4503,_imp!$C$883))</f>
        <v/>
      </c>
      <c r="F881" s="54">
        <f>IF(_imp!$C$883="","",INDEX(_imp!$I$4:$I$4503,_imp!$C$883))</f>
        <v/>
      </c>
      <c r="G881" s="54">
        <f>IF(_imp!$C$883="","",INDEX(_imp!$J$4:$J$4503,_imp!$C$883))</f>
        <v/>
      </c>
      <c r="K881" s="54">
        <f>IF(_imp!$C$883="","",INDEX(_imp!$K$4:$K$4503,_imp!$C$883))</f>
        <v/>
      </c>
    </row>
    <row r="882">
      <c r="A882" s="54">
        <f>IF(_imp!$C$884="","",INDEX(_imp!$D$4:$D$4503,_imp!$C$884))</f>
        <v/>
      </c>
      <c r="B882" s="54">
        <f>IF(_imp!$C$884="","",INDEX(_imp!$E$4:$E$4503,_imp!$C$884))</f>
        <v/>
      </c>
      <c r="C882" s="54">
        <f>IF(_imp!$C$884="","",INDEX(_imp!$F$4:$F$4503,_imp!$C$884))</f>
        <v/>
      </c>
      <c r="D882" s="54">
        <f>IF(_imp!$C$884="","",INDEX(_imp!$G$4:$G$4503,_imp!$C$884))</f>
        <v/>
      </c>
      <c r="E882" s="54">
        <f>IF(_imp!$C$884="","",INDEX(_imp!$H$4:$H$4503,_imp!$C$884))</f>
        <v/>
      </c>
      <c r="F882" s="54">
        <f>IF(_imp!$C$884="","",INDEX(_imp!$I$4:$I$4503,_imp!$C$884))</f>
        <v/>
      </c>
      <c r="G882" s="54">
        <f>IF(_imp!$C$884="","",INDEX(_imp!$J$4:$J$4503,_imp!$C$884))</f>
        <v/>
      </c>
      <c r="K882" s="54">
        <f>IF(_imp!$C$884="","",INDEX(_imp!$K$4:$K$4503,_imp!$C$884))</f>
        <v/>
      </c>
    </row>
    <row r="883">
      <c r="A883" s="54">
        <f>IF(_imp!$C$885="","",INDEX(_imp!$D$4:$D$4503,_imp!$C$885))</f>
        <v/>
      </c>
      <c r="B883" s="54">
        <f>IF(_imp!$C$885="","",INDEX(_imp!$E$4:$E$4503,_imp!$C$885))</f>
        <v/>
      </c>
      <c r="C883" s="54">
        <f>IF(_imp!$C$885="","",INDEX(_imp!$F$4:$F$4503,_imp!$C$885))</f>
        <v/>
      </c>
      <c r="D883" s="54">
        <f>IF(_imp!$C$885="","",INDEX(_imp!$G$4:$G$4503,_imp!$C$885))</f>
        <v/>
      </c>
      <c r="E883" s="54">
        <f>IF(_imp!$C$885="","",INDEX(_imp!$H$4:$H$4503,_imp!$C$885))</f>
        <v/>
      </c>
      <c r="F883" s="54">
        <f>IF(_imp!$C$885="","",INDEX(_imp!$I$4:$I$4503,_imp!$C$885))</f>
        <v/>
      </c>
      <c r="G883" s="54">
        <f>IF(_imp!$C$885="","",INDEX(_imp!$J$4:$J$4503,_imp!$C$885))</f>
        <v/>
      </c>
      <c r="K883" s="54">
        <f>IF(_imp!$C$885="","",INDEX(_imp!$K$4:$K$4503,_imp!$C$885))</f>
        <v/>
      </c>
    </row>
    <row r="884">
      <c r="A884" s="54">
        <f>IF(_imp!$C$886="","",INDEX(_imp!$D$4:$D$4503,_imp!$C$886))</f>
        <v/>
      </c>
      <c r="B884" s="54">
        <f>IF(_imp!$C$886="","",INDEX(_imp!$E$4:$E$4503,_imp!$C$886))</f>
        <v/>
      </c>
      <c r="C884" s="54">
        <f>IF(_imp!$C$886="","",INDEX(_imp!$F$4:$F$4503,_imp!$C$886))</f>
        <v/>
      </c>
      <c r="D884" s="54">
        <f>IF(_imp!$C$886="","",INDEX(_imp!$G$4:$G$4503,_imp!$C$886))</f>
        <v/>
      </c>
      <c r="E884" s="54">
        <f>IF(_imp!$C$886="","",INDEX(_imp!$H$4:$H$4503,_imp!$C$886))</f>
        <v/>
      </c>
      <c r="F884" s="54">
        <f>IF(_imp!$C$886="","",INDEX(_imp!$I$4:$I$4503,_imp!$C$886))</f>
        <v/>
      </c>
      <c r="G884" s="54">
        <f>IF(_imp!$C$886="","",INDEX(_imp!$J$4:$J$4503,_imp!$C$886))</f>
        <v/>
      </c>
      <c r="K884" s="54">
        <f>IF(_imp!$C$886="","",INDEX(_imp!$K$4:$K$4503,_imp!$C$886))</f>
        <v/>
      </c>
    </row>
    <row r="885">
      <c r="A885" s="54">
        <f>IF(_imp!$C$887="","",INDEX(_imp!$D$4:$D$4503,_imp!$C$887))</f>
        <v/>
      </c>
      <c r="B885" s="54">
        <f>IF(_imp!$C$887="","",INDEX(_imp!$E$4:$E$4503,_imp!$C$887))</f>
        <v/>
      </c>
      <c r="C885" s="54">
        <f>IF(_imp!$C$887="","",INDEX(_imp!$F$4:$F$4503,_imp!$C$887))</f>
        <v/>
      </c>
      <c r="D885" s="54">
        <f>IF(_imp!$C$887="","",INDEX(_imp!$G$4:$G$4503,_imp!$C$887))</f>
        <v/>
      </c>
      <c r="E885" s="54">
        <f>IF(_imp!$C$887="","",INDEX(_imp!$H$4:$H$4503,_imp!$C$887))</f>
        <v/>
      </c>
      <c r="F885" s="54">
        <f>IF(_imp!$C$887="","",INDEX(_imp!$I$4:$I$4503,_imp!$C$887))</f>
        <v/>
      </c>
      <c r="G885" s="54">
        <f>IF(_imp!$C$887="","",INDEX(_imp!$J$4:$J$4503,_imp!$C$887))</f>
        <v/>
      </c>
      <c r="K885" s="54">
        <f>IF(_imp!$C$887="","",INDEX(_imp!$K$4:$K$4503,_imp!$C$887))</f>
        <v/>
      </c>
    </row>
    <row r="886">
      <c r="A886" s="54">
        <f>IF(_imp!$C$888="","",INDEX(_imp!$D$4:$D$4503,_imp!$C$888))</f>
        <v/>
      </c>
      <c r="B886" s="54">
        <f>IF(_imp!$C$888="","",INDEX(_imp!$E$4:$E$4503,_imp!$C$888))</f>
        <v/>
      </c>
      <c r="C886" s="54">
        <f>IF(_imp!$C$888="","",INDEX(_imp!$F$4:$F$4503,_imp!$C$888))</f>
        <v/>
      </c>
      <c r="D886" s="54">
        <f>IF(_imp!$C$888="","",INDEX(_imp!$G$4:$G$4503,_imp!$C$888))</f>
        <v/>
      </c>
      <c r="E886" s="54">
        <f>IF(_imp!$C$888="","",INDEX(_imp!$H$4:$H$4503,_imp!$C$888))</f>
        <v/>
      </c>
      <c r="F886" s="54">
        <f>IF(_imp!$C$888="","",INDEX(_imp!$I$4:$I$4503,_imp!$C$888))</f>
        <v/>
      </c>
      <c r="G886" s="54">
        <f>IF(_imp!$C$888="","",INDEX(_imp!$J$4:$J$4503,_imp!$C$888))</f>
        <v/>
      </c>
      <c r="K886" s="54">
        <f>IF(_imp!$C$888="","",INDEX(_imp!$K$4:$K$4503,_imp!$C$888))</f>
        <v/>
      </c>
    </row>
    <row r="887">
      <c r="A887" s="54">
        <f>IF(_imp!$C$889="","",INDEX(_imp!$D$4:$D$4503,_imp!$C$889))</f>
        <v/>
      </c>
      <c r="B887" s="54">
        <f>IF(_imp!$C$889="","",INDEX(_imp!$E$4:$E$4503,_imp!$C$889))</f>
        <v/>
      </c>
      <c r="C887" s="54">
        <f>IF(_imp!$C$889="","",INDEX(_imp!$F$4:$F$4503,_imp!$C$889))</f>
        <v/>
      </c>
      <c r="D887" s="54">
        <f>IF(_imp!$C$889="","",INDEX(_imp!$G$4:$G$4503,_imp!$C$889))</f>
        <v/>
      </c>
      <c r="E887" s="54">
        <f>IF(_imp!$C$889="","",INDEX(_imp!$H$4:$H$4503,_imp!$C$889))</f>
        <v/>
      </c>
      <c r="F887" s="54">
        <f>IF(_imp!$C$889="","",INDEX(_imp!$I$4:$I$4503,_imp!$C$889))</f>
        <v/>
      </c>
      <c r="G887" s="54">
        <f>IF(_imp!$C$889="","",INDEX(_imp!$J$4:$J$4503,_imp!$C$889))</f>
        <v/>
      </c>
      <c r="K887" s="54">
        <f>IF(_imp!$C$889="","",INDEX(_imp!$K$4:$K$4503,_imp!$C$889))</f>
        <v/>
      </c>
    </row>
    <row r="888">
      <c r="A888" s="54">
        <f>IF(_imp!$C$890="","",INDEX(_imp!$D$4:$D$4503,_imp!$C$890))</f>
        <v/>
      </c>
      <c r="B888" s="54">
        <f>IF(_imp!$C$890="","",INDEX(_imp!$E$4:$E$4503,_imp!$C$890))</f>
        <v/>
      </c>
      <c r="C888" s="54">
        <f>IF(_imp!$C$890="","",INDEX(_imp!$F$4:$F$4503,_imp!$C$890))</f>
        <v/>
      </c>
      <c r="D888" s="54">
        <f>IF(_imp!$C$890="","",INDEX(_imp!$G$4:$G$4503,_imp!$C$890))</f>
        <v/>
      </c>
      <c r="E888" s="54">
        <f>IF(_imp!$C$890="","",INDEX(_imp!$H$4:$H$4503,_imp!$C$890))</f>
        <v/>
      </c>
      <c r="F888" s="54">
        <f>IF(_imp!$C$890="","",INDEX(_imp!$I$4:$I$4503,_imp!$C$890))</f>
        <v/>
      </c>
      <c r="G888" s="54">
        <f>IF(_imp!$C$890="","",INDEX(_imp!$J$4:$J$4503,_imp!$C$890))</f>
        <v/>
      </c>
      <c r="K888" s="54">
        <f>IF(_imp!$C$890="","",INDEX(_imp!$K$4:$K$4503,_imp!$C$890))</f>
        <v/>
      </c>
    </row>
    <row r="889">
      <c r="A889" s="54">
        <f>IF(_imp!$C$891="","",INDEX(_imp!$D$4:$D$4503,_imp!$C$891))</f>
        <v/>
      </c>
      <c r="B889" s="54">
        <f>IF(_imp!$C$891="","",INDEX(_imp!$E$4:$E$4503,_imp!$C$891))</f>
        <v/>
      </c>
      <c r="C889" s="54">
        <f>IF(_imp!$C$891="","",INDEX(_imp!$F$4:$F$4503,_imp!$C$891))</f>
        <v/>
      </c>
      <c r="D889" s="54">
        <f>IF(_imp!$C$891="","",INDEX(_imp!$G$4:$G$4503,_imp!$C$891))</f>
        <v/>
      </c>
      <c r="E889" s="54">
        <f>IF(_imp!$C$891="","",INDEX(_imp!$H$4:$H$4503,_imp!$C$891))</f>
        <v/>
      </c>
      <c r="F889" s="54">
        <f>IF(_imp!$C$891="","",INDEX(_imp!$I$4:$I$4503,_imp!$C$891))</f>
        <v/>
      </c>
      <c r="G889" s="54">
        <f>IF(_imp!$C$891="","",INDEX(_imp!$J$4:$J$4503,_imp!$C$891))</f>
        <v/>
      </c>
      <c r="K889" s="54">
        <f>IF(_imp!$C$891="","",INDEX(_imp!$K$4:$K$4503,_imp!$C$891))</f>
        <v/>
      </c>
    </row>
    <row r="890">
      <c r="A890" s="54">
        <f>IF(_imp!$C$892="","",INDEX(_imp!$D$4:$D$4503,_imp!$C$892))</f>
        <v/>
      </c>
      <c r="B890" s="54">
        <f>IF(_imp!$C$892="","",INDEX(_imp!$E$4:$E$4503,_imp!$C$892))</f>
        <v/>
      </c>
      <c r="C890" s="54">
        <f>IF(_imp!$C$892="","",INDEX(_imp!$F$4:$F$4503,_imp!$C$892))</f>
        <v/>
      </c>
      <c r="D890" s="54">
        <f>IF(_imp!$C$892="","",INDEX(_imp!$G$4:$G$4503,_imp!$C$892))</f>
        <v/>
      </c>
      <c r="E890" s="54">
        <f>IF(_imp!$C$892="","",INDEX(_imp!$H$4:$H$4503,_imp!$C$892))</f>
        <v/>
      </c>
      <c r="F890" s="54">
        <f>IF(_imp!$C$892="","",INDEX(_imp!$I$4:$I$4503,_imp!$C$892))</f>
        <v/>
      </c>
      <c r="G890" s="54">
        <f>IF(_imp!$C$892="","",INDEX(_imp!$J$4:$J$4503,_imp!$C$892))</f>
        <v/>
      </c>
      <c r="K890" s="54">
        <f>IF(_imp!$C$892="","",INDEX(_imp!$K$4:$K$4503,_imp!$C$892))</f>
        <v/>
      </c>
    </row>
    <row r="891">
      <c r="A891" s="54">
        <f>IF(_imp!$C$893="","",INDEX(_imp!$D$4:$D$4503,_imp!$C$893))</f>
        <v/>
      </c>
      <c r="B891" s="54">
        <f>IF(_imp!$C$893="","",INDEX(_imp!$E$4:$E$4503,_imp!$C$893))</f>
        <v/>
      </c>
      <c r="C891" s="54">
        <f>IF(_imp!$C$893="","",INDEX(_imp!$F$4:$F$4503,_imp!$C$893))</f>
        <v/>
      </c>
      <c r="D891" s="54">
        <f>IF(_imp!$C$893="","",INDEX(_imp!$G$4:$G$4503,_imp!$C$893))</f>
        <v/>
      </c>
      <c r="E891" s="54">
        <f>IF(_imp!$C$893="","",INDEX(_imp!$H$4:$H$4503,_imp!$C$893))</f>
        <v/>
      </c>
      <c r="F891" s="54">
        <f>IF(_imp!$C$893="","",INDEX(_imp!$I$4:$I$4503,_imp!$C$893))</f>
        <v/>
      </c>
      <c r="G891" s="54">
        <f>IF(_imp!$C$893="","",INDEX(_imp!$J$4:$J$4503,_imp!$C$893))</f>
        <v/>
      </c>
      <c r="K891" s="54">
        <f>IF(_imp!$C$893="","",INDEX(_imp!$K$4:$K$4503,_imp!$C$893))</f>
        <v/>
      </c>
    </row>
    <row r="892">
      <c r="A892" s="54">
        <f>IF(_imp!$C$894="","",INDEX(_imp!$D$4:$D$4503,_imp!$C$894))</f>
        <v/>
      </c>
      <c r="B892" s="54">
        <f>IF(_imp!$C$894="","",INDEX(_imp!$E$4:$E$4503,_imp!$C$894))</f>
        <v/>
      </c>
      <c r="C892" s="54">
        <f>IF(_imp!$C$894="","",INDEX(_imp!$F$4:$F$4503,_imp!$C$894))</f>
        <v/>
      </c>
      <c r="D892" s="54">
        <f>IF(_imp!$C$894="","",INDEX(_imp!$G$4:$G$4503,_imp!$C$894))</f>
        <v/>
      </c>
      <c r="E892" s="54">
        <f>IF(_imp!$C$894="","",INDEX(_imp!$H$4:$H$4503,_imp!$C$894))</f>
        <v/>
      </c>
      <c r="F892" s="54">
        <f>IF(_imp!$C$894="","",INDEX(_imp!$I$4:$I$4503,_imp!$C$894))</f>
        <v/>
      </c>
      <c r="G892" s="54">
        <f>IF(_imp!$C$894="","",INDEX(_imp!$J$4:$J$4503,_imp!$C$894))</f>
        <v/>
      </c>
      <c r="K892" s="54">
        <f>IF(_imp!$C$894="","",INDEX(_imp!$K$4:$K$4503,_imp!$C$894))</f>
        <v/>
      </c>
    </row>
    <row r="893">
      <c r="A893" s="54">
        <f>IF(_imp!$C$895="","",INDEX(_imp!$D$4:$D$4503,_imp!$C$895))</f>
        <v/>
      </c>
      <c r="B893" s="54">
        <f>IF(_imp!$C$895="","",INDEX(_imp!$E$4:$E$4503,_imp!$C$895))</f>
        <v/>
      </c>
      <c r="C893" s="54">
        <f>IF(_imp!$C$895="","",INDEX(_imp!$F$4:$F$4503,_imp!$C$895))</f>
        <v/>
      </c>
      <c r="D893" s="54">
        <f>IF(_imp!$C$895="","",INDEX(_imp!$G$4:$G$4503,_imp!$C$895))</f>
        <v/>
      </c>
      <c r="E893" s="54">
        <f>IF(_imp!$C$895="","",INDEX(_imp!$H$4:$H$4503,_imp!$C$895))</f>
        <v/>
      </c>
      <c r="F893" s="54">
        <f>IF(_imp!$C$895="","",INDEX(_imp!$I$4:$I$4503,_imp!$C$895))</f>
        <v/>
      </c>
      <c r="G893" s="54">
        <f>IF(_imp!$C$895="","",INDEX(_imp!$J$4:$J$4503,_imp!$C$895))</f>
        <v/>
      </c>
      <c r="K893" s="54">
        <f>IF(_imp!$C$895="","",INDEX(_imp!$K$4:$K$4503,_imp!$C$895))</f>
        <v/>
      </c>
    </row>
    <row r="894">
      <c r="A894" s="54">
        <f>IF(_imp!$C$896="","",INDEX(_imp!$D$4:$D$4503,_imp!$C$896))</f>
        <v/>
      </c>
      <c r="B894" s="54">
        <f>IF(_imp!$C$896="","",INDEX(_imp!$E$4:$E$4503,_imp!$C$896))</f>
        <v/>
      </c>
      <c r="C894" s="54">
        <f>IF(_imp!$C$896="","",INDEX(_imp!$F$4:$F$4503,_imp!$C$896))</f>
        <v/>
      </c>
      <c r="D894" s="54">
        <f>IF(_imp!$C$896="","",INDEX(_imp!$G$4:$G$4503,_imp!$C$896))</f>
        <v/>
      </c>
      <c r="E894" s="54">
        <f>IF(_imp!$C$896="","",INDEX(_imp!$H$4:$H$4503,_imp!$C$896))</f>
        <v/>
      </c>
      <c r="F894" s="54">
        <f>IF(_imp!$C$896="","",INDEX(_imp!$I$4:$I$4503,_imp!$C$896))</f>
        <v/>
      </c>
      <c r="G894" s="54">
        <f>IF(_imp!$C$896="","",INDEX(_imp!$J$4:$J$4503,_imp!$C$896))</f>
        <v/>
      </c>
      <c r="K894" s="54">
        <f>IF(_imp!$C$896="","",INDEX(_imp!$K$4:$K$4503,_imp!$C$896))</f>
        <v/>
      </c>
    </row>
    <row r="895">
      <c r="A895" s="54">
        <f>IF(_imp!$C$897="","",INDEX(_imp!$D$4:$D$4503,_imp!$C$897))</f>
        <v/>
      </c>
      <c r="B895" s="54">
        <f>IF(_imp!$C$897="","",INDEX(_imp!$E$4:$E$4503,_imp!$C$897))</f>
        <v/>
      </c>
      <c r="C895" s="54">
        <f>IF(_imp!$C$897="","",INDEX(_imp!$F$4:$F$4503,_imp!$C$897))</f>
        <v/>
      </c>
      <c r="D895" s="54">
        <f>IF(_imp!$C$897="","",INDEX(_imp!$G$4:$G$4503,_imp!$C$897))</f>
        <v/>
      </c>
      <c r="E895" s="54">
        <f>IF(_imp!$C$897="","",INDEX(_imp!$H$4:$H$4503,_imp!$C$897))</f>
        <v/>
      </c>
      <c r="F895" s="54">
        <f>IF(_imp!$C$897="","",INDEX(_imp!$I$4:$I$4503,_imp!$C$897))</f>
        <v/>
      </c>
      <c r="G895" s="54">
        <f>IF(_imp!$C$897="","",INDEX(_imp!$J$4:$J$4503,_imp!$C$897))</f>
        <v/>
      </c>
      <c r="K895" s="54">
        <f>IF(_imp!$C$897="","",INDEX(_imp!$K$4:$K$4503,_imp!$C$897))</f>
        <v/>
      </c>
    </row>
    <row r="896">
      <c r="A896" s="54">
        <f>IF(_imp!$C$898="","",INDEX(_imp!$D$4:$D$4503,_imp!$C$898))</f>
        <v/>
      </c>
      <c r="B896" s="54">
        <f>IF(_imp!$C$898="","",INDEX(_imp!$E$4:$E$4503,_imp!$C$898))</f>
        <v/>
      </c>
      <c r="C896" s="54">
        <f>IF(_imp!$C$898="","",INDEX(_imp!$F$4:$F$4503,_imp!$C$898))</f>
        <v/>
      </c>
      <c r="D896" s="54">
        <f>IF(_imp!$C$898="","",INDEX(_imp!$G$4:$G$4503,_imp!$C$898))</f>
        <v/>
      </c>
      <c r="E896" s="54">
        <f>IF(_imp!$C$898="","",INDEX(_imp!$H$4:$H$4503,_imp!$C$898))</f>
        <v/>
      </c>
      <c r="F896" s="54">
        <f>IF(_imp!$C$898="","",INDEX(_imp!$I$4:$I$4503,_imp!$C$898))</f>
        <v/>
      </c>
      <c r="G896" s="54">
        <f>IF(_imp!$C$898="","",INDEX(_imp!$J$4:$J$4503,_imp!$C$898))</f>
        <v/>
      </c>
      <c r="K896" s="54">
        <f>IF(_imp!$C$898="","",INDEX(_imp!$K$4:$K$4503,_imp!$C$898))</f>
        <v/>
      </c>
    </row>
    <row r="897">
      <c r="A897" s="54">
        <f>IF(_imp!$C$899="","",INDEX(_imp!$D$4:$D$4503,_imp!$C$899))</f>
        <v/>
      </c>
      <c r="B897" s="54">
        <f>IF(_imp!$C$899="","",INDEX(_imp!$E$4:$E$4503,_imp!$C$899))</f>
        <v/>
      </c>
      <c r="C897" s="54">
        <f>IF(_imp!$C$899="","",INDEX(_imp!$F$4:$F$4503,_imp!$C$899))</f>
        <v/>
      </c>
      <c r="D897" s="54">
        <f>IF(_imp!$C$899="","",INDEX(_imp!$G$4:$G$4503,_imp!$C$899))</f>
        <v/>
      </c>
      <c r="E897" s="54">
        <f>IF(_imp!$C$899="","",INDEX(_imp!$H$4:$H$4503,_imp!$C$899))</f>
        <v/>
      </c>
      <c r="F897" s="54">
        <f>IF(_imp!$C$899="","",INDEX(_imp!$I$4:$I$4503,_imp!$C$899))</f>
        <v/>
      </c>
      <c r="G897" s="54">
        <f>IF(_imp!$C$899="","",INDEX(_imp!$J$4:$J$4503,_imp!$C$899))</f>
        <v/>
      </c>
      <c r="K897" s="54">
        <f>IF(_imp!$C$899="","",INDEX(_imp!$K$4:$K$4503,_imp!$C$899))</f>
        <v/>
      </c>
    </row>
    <row r="898">
      <c r="A898" s="54">
        <f>IF(_imp!$C$900="","",INDEX(_imp!$D$4:$D$4503,_imp!$C$900))</f>
        <v/>
      </c>
      <c r="B898" s="54">
        <f>IF(_imp!$C$900="","",INDEX(_imp!$E$4:$E$4503,_imp!$C$900))</f>
        <v/>
      </c>
      <c r="C898" s="54">
        <f>IF(_imp!$C$900="","",INDEX(_imp!$F$4:$F$4503,_imp!$C$900))</f>
        <v/>
      </c>
      <c r="D898" s="54">
        <f>IF(_imp!$C$900="","",INDEX(_imp!$G$4:$G$4503,_imp!$C$900))</f>
        <v/>
      </c>
      <c r="E898" s="54">
        <f>IF(_imp!$C$900="","",INDEX(_imp!$H$4:$H$4503,_imp!$C$900))</f>
        <v/>
      </c>
      <c r="F898" s="54">
        <f>IF(_imp!$C$900="","",INDEX(_imp!$I$4:$I$4503,_imp!$C$900))</f>
        <v/>
      </c>
      <c r="G898" s="54">
        <f>IF(_imp!$C$900="","",INDEX(_imp!$J$4:$J$4503,_imp!$C$900))</f>
        <v/>
      </c>
      <c r="K898" s="54">
        <f>IF(_imp!$C$900="","",INDEX(_imp!$K$4:$K$4503,_imp!$C$900))</f>
        <v/>
      </c>
    </row>
    <row r="899">
      <c r="A899" s="54">
        <f>IF(_imp!$C$901="","",INDEX(_imp!$D$4:$D$4503,_imp!$C$901))</f>
        <v/>
      </c>
      <c r="B899" s="54">
        <f>IF(_imp!$C$901="","",INDEX(_imp!$E$4:$E$4503,_imp!$C$901))</f>
        <v/>
      </c>
      <c r="C899" s="54">
        <f>IF(_imp!$C$901="","",INDEX(_imp!$F$4:$F$4503,_imp!$C$901))</f>
        <v/>
      </c>
      <c r="D899" s="54">
        <f>IF(_imp!$C$901="","",INDEX(_imp!$G$4:$G$4503,_imp!$C$901))</f>
        <v/>
      </c>
      <c r="E899" s="54">
        <f>IF(_imp!$C$901="","",INDEX(_imp!$H$4:$H$4503,_imp!$C$901))</f>
        <v/>
      </c>
      <c r="F899" s="54">
        <f>IF(_imp!$C$901="","",INDEX(_imp!$I$4:$I$4503,_imp!$C$901))</f>
        <v/>
      </c>
      <c r="G899" s="54">
        <f>IF(_imp!$C$901="","",INDEX(_imp!$J$4:$J$4503,_imp!$C$901))</f>
        <v/>
      </c>
      <c r="K899" s="54">
        <f>IF(_imp!$C$901="","",INDEX(_imp!$K$4:$K$4503,_imp!$C$901))</f>
        <v/>
      </c>
    </row>
    <row r="900">
      <c r="A900" s="54">
        <f>IF(_imp!$C$902="","",INDEX(_imp!$D$4:$D$4503,_imp!$C$902))</f>
        <v/>
      </c>
      <c r="B900" s="54">
        <f>IF(_imp!$C$902="","",INDEX(_imp!$E$4:$E$4503,_imp!$C$902))</f>
        <v/>
      </c>
      <c r="C900" s="54">
        <f>IF(_imp!$C$902="","",INDEX(_imp!$F$4:$F$4503,_imp!$C$902))</f>
        <v/>
      </c>
      <c r="D900" s="54">
        <f>IF(_imp!$C$902="","",INDEX(_imp!$G$4:$G$4503,_imp!$C$902))</f>
        <v/>
      </c>
      <c r="E900" s="54">
        <f>IF(_imp!$C$902="","",INDEX(_imp!$H$4:$H$4503,_imp!$C$902))</f>
        <v/>
      </c>
      <c r="F900" s="54">
        <f>IF(_imp!$C$902="","",INDEX(_imp!$I$4:$I$4503,_imp!$C$902))</f>
        <v/>
      </c>
      <c r="G900" s="54">
        <f>IF(_imp!$C$902="","",INDEX(_imp!$J$4:$J$4503,_imp!$C$902))</f>
        <v/>
      </c>
      <c r="K900" s="54">
        <f>IF(_imp!$C$902="","",INDEX(_imp!$K$4:$K$4503,_imp!$C$902))</f>
        <v/>
      </c>
    </row>
    <row r="901">
      <c r="A901" s="54">
        <f>IF(_imp!$C$903="","",INDEX(_imp!$D$4:$D$4503,_imp!$C$903))</f>
        <v/>
      </c>
      <c r="B901" s="54">
        <f>IF(_imp!$C$903="","",INDEX(_imp!$E$4:$E$4503,_imp!$C$903))</f>
        <v/>
      </c>
      <c r="C901" s="54">
        <f>IF(_imp!$C$903="","",INDEX(_imp!$F$4:$F$4503,_imp!$C$903))</f>
        <v/>
      </c>
      <c r="D901" s="54">
        <f>IF(_imp!$C$903="","",INDEX(_imp!$G$4:$G$4503,_imp!$C$903))</f>
        <v/>
      </c>
      <c r="E901" s="54">
        <f>IF(_imp!$C$903="","",INDEX(_imp!$H$4:$H$4503,_imp!$C$903))</f>
        <v/>
      </c>
      <c r="F901" s="54">
        <f>IF(_imp!$C$903="","",INDEX(_imp!$I$4:$I$4503,_imp!$C$903))</f>
        <v/>
      </c>
      <c r="G901" s="54">
        <f>IF(_imp!$C$903="","",INDEX(_imp!$J$4:$J$4503,_imp!$C$903))</f>
        <v/>
      </c>
      <c r="K901" s="54">
        <f>IF(_imp!$C$903="","",INDEX(_imp!$K$4:$K$4503,_imp!$C$903))</f>
        <v/>
      </c>
    </row>
    <row r="902">
      <c r="A902" s="54">
        <f>IF(_imp!$C$904="","",INDEX(_imp!$D$4:$D$4503,_imp!$C$904))</f>
        <v/>
      </c>
      <c r="B902" s="54">
        <f>IF(_imp!$C$904="","",INDEX(_imp!$E$4:$E$4503,_imp!$C$904))</f>
        <v/>
      </c>
      <c r="C902" s="54">
        <f>IF(_imp!$C$904="","",INDEX(_imp!$F$4:$F$4503,_imp!$C$904))</f>
        <v/>
      </c>
      <c r="D902" s="54">
        <f>IF(_imp!$C$904="","",INDEX(_imp!$G$4:$G$4503,_imp!$C$904))</f>
        <v/>
      </c>
      <c r="E902" s="54">
        <f>IF(_imp!$C$904="","",INDEX(_imp!$H$4:$H$4503,_imp!$C$904))</f>
        <v/>
      </c>
      <c r="F902" s="54">
        <f>IF(_imp!$C$904="","",INDEX(_imp!$I$4:$I$4503,_imp!$C$904))</f>
        <v/>
      </c>
      <c r="G902" s="54">
        <f>IF(_imp!$C$904="","",INDEX(_imp!$J$4:$J$4503,_imp!$C$904))</f>
        <v/>
      </c>
      <c r="K902" s="54">
        <f>IF(_imp!$C$904="","",INDEX(_imp!$K$4:$K$4503,_imp!$C$904))</f>
        <v/>
      </c>
    </row>
    <row r="903">
      <c r="A903" s="54">
        <f>IF(_imp!$C$905="","",INDEX(_imp!$D$4:$D$4503,_imp!$C$905))</f>
        <v/>
      </c>
      <c r="B903" s="54">
        <f>IF(_imp!$C$905="","",INDEX(_imp!$E$4:$E$4503,_imp!$C$905))</f>
        <v/>
      </c>
      <c r="C903" s="54">
        <f>IF(_imp!$C$905="","",INDEX(_imp!$F$4:$F$4503,_imp!$C$905))</f>
        <v/>
      </c>
      <c r="D903" s="54">
        <f>IF(_imp!$C$905="","",INDEX(_imp!$G$4:$G$4503,_imp!$C$905))</f>
        <v/>
      </c>
      <c r="E903" s="54">
        <f>IF(_imp!$C$905="","",INDEX(_imp!$H$4:$H$4503,_imp!$C$905))</f>
        <v/>
      </c>
      <c r="F903" s="54">
        <f>IF(_imp!$C$905="","",INDEX(_imp!$I$4:$I$4503,_imp!$C$905))</f>
        <v/>
      </c>
      <c r="G903" s="54">
        <f>IF(_imp!$C$905="","",INDEX(_imp!$J$4:$J$4503,_imp!$C$905))</f>
        <v/>
      </c>
      <c r="K903" s="54">
        <f>IF(_imp!$C$905="","",INDEX(_imp!$K$4:$K$4503,_imp!$C$905))</f>
        <v/>
      </c>
    </row>
    <row r="904">
      <c r="A904" s="54">
        <f>IF(_imp!$C$906="","",INDEX(_imp!$D$4:$D$4503,_imp!$C$906))</f>
        <v/>
      </c>
      <c r="B904" s="54">
        <f>IF(_imp!$C$906="","",INDEX(_imp!$E$4:$E$4503,_imp!$C$906))</f>
        <v/>
      </c>
      <c r="C904" s="54">
        <f>IF(_imp!$C$906="","",INDEX(_imp!$F$4:$F$4503,_imp!$C$906))</f>
        <v/>
      </c>
      <c r="D904" s="54">
        <f>IF(_imp!$C$906="","",INDEX(_imp!$G$4:$G$4503,_imp!$C$906))</f>
        <v/>
      </c>
      <c r="E904" s="54">
        <f>IF(_imp!$C$906="","",INDEX(_imp!$H$4:$H$4503,_imp!$C$906))</f>
        <v/>
      </c>
      <c r="F904" s="54">
        <f>IF(_imp!$C$906="","",INDEX(_imp!$I$4:$I$4503,_imp!$C$906))</f>
        <v/>
      </c>
      <c r="G904" s="54">
        <f>IF(_imp!$C$906="","",INDEX(_imp!$J$4:$J$4503,_imp!$C$906))</f>
        <v/>
      </c>
      <c r="K904" s="54">
        <f>IF(_imp!$C$906="","",INDEX(_imp!$K$4:$K$4503,_imp!$C$906))</f>
        <v/>
      </c>
    </row>
    <row r="905">
      <c r="A905" s="54">
        <f>IF(_imp!$C$907="","",INDEX(_imp!$D$4:$D$4503,_imp!$C$907))</f>
        <v/>
      </c>
      <c r="B905" s="54">
        <f>IF(_imp!$C$907="","",INDEX(_imp!$E$4:$E$4503,_imp!$C$907))</f>
        <v/>
      </c>
      <c r="C905" s="54">
        <f>IF(_imp!$C$907="","",INDEX(_imp!$F$4:$F$4503,_imp!$C$907))</f>
        <v/>
      </c>
      <c r="D905" s="54">
        <f>IF(_imp!$C$907="","",INDEX(_imp!$G$4:$G$4503,_imp!$C$907))</f>
        <v/>
      </c>
      <c r="E905" s="54">
        <f>IF(_imp!$C$907="","",INDEX(_imp!$H$4:$H$4503,_imp!$C$907))</f>
        <v/>
      </c>
      <c r="F905" s="54">
        <f>IF(_imp!$C$907="","",INDEX(_imp!$I$4:$I$4503,_imp!$C$907))</f>
        <v/>
      </c>
      <c r="G905" s="54">
        <f>IF(_imp!$C$907="","",INDEX(_imp!$J$4:$J$4503,_imp!$C$907))</f>
        <v/>
      </c>
      <c r="K905" s="54">
        <f>IF(_imp!$C$907="","",INDEX(_imp!$K$4:$K$4503,_imp!$C$907))</f>
        <v/>
      </c>
    </row>
    <row r="906">
      <c r="A906" s="54">
        <f>IF(_imp!$C$908="","",INDEX(_imp!$D$4:$D$4503,_imp!$C$908))</f>
        <v/>
      </c>
      <c r="B906" s="54">
        <f>IF(_imp!$C$908="","",INDEX(_imp!$E$4:$E$4503,_imp!$C$908))</f>
        <v/>
      </c>
      <c r="C906" s="54">
        <f>IF(_imp!$C$908="","",INDEX(_imp!$F$4:$F$4503,_imp!$C$908))</f>
        <v/>
      </c>
      <c r="D906" s="54">
        <f>IF(_imp!$C$908="","",INDEX(_imp!$G$4:$G$4503,_imp!$C$908))</f>
        <v/>
      </c>
      <c r="E906" s="54">
        <f>IF(_imp!$C$908="","",INDEX(_imp!$H$4:$H$4503,_imp!$C$908))</f>
        <v/>
      </c>
      <c r="F906" s="54">
        <f>IF(_imp!$C$908="","",INDEX(_imp!$I$4:$I$4503,_imp!$C$908))</f>
        <v/>
      </c>
      <c r="G906" s="54">
        <f>IF(_imp!$C$908="","",INDEX(_imp!$J$4:$J$4503,_imp!$C$908))</f>
        <v/>
      </c>
      <c r="K906" s="54">
        <f>IF(_imp!$C$908="","",INDEX(_imp!$K$4:$K$4503,_imp!$C$908))</f>
        <v/>
      </c>
    </row>
    <row r="907">
      <c r="A907" s="54">
        <f>IF(_imp!$C$909="","",INDEX(_imp!$D$4:$D$4503,_imp!$C$909))</f>
        <v/>
      </c>
      <c r="B907" s="54">
        <f>IF(_imp!$C$909="","",INDEX(_imp!$E$4:$E$4503,_imp!$C$909))</f>
        <v/>
      </c>
      <c r="C907" s="54">
        <f>IF(_imp!$C$909="","",INDEX(_imp!$F$4:$F$4503,_imp!$C$909))</f>
        <v/>
      </c>
      <c r="D907" s="54">
        <f>IF(_imp!$C$909="","",INDEX(_imp!$G$4:$G$4503,_imp!$C$909))</f>
        <v/>
      </c>
      <c r="E907" s="54">
        <f>IF(_imp!$C$909="","",INDEX(_imp!$H$4:$H$4503,_imp!$C$909))</f>
        <v/>
      </c>
      <c r="F907" s="54">
        <f>IF(_imp!$C$909="","",INDEX(_imp!$I$4:$I$4503,_imp!$C$909))</f>
        <v/>
      </c>
      <c r="G907" s="54">
        <f>IF(_imp!$C$909="","",INDEX(_imp!$J$4:$J$4503,_imp!$C$909))</f>
        <v/>
      </c>
      <c r="K907" s="54">
        <f>IF(_imp!$C$909="","",INDEX(_imp!$K$4:$K$4503,_imp!$C$909))</f>
        <v/>
      </c>
    </row>
    <row r="908">
      <c r="A908" s="54">
        <f>IF(_imp!$C$910="","",INDEX(_imp!$D$4:$D$4503,_imp!$C$910))</f>
        <v/>
      </c>
      <c r="B908" s="54">
        <f>IF(_imp!$C$910="","",INDEX(_imp!$E$4:$E$4503,_imp!$C$910))</f>
        <v/>
      </c>
      <c r="C908" s="54">
        <f>IF(_imp!$C$910="","",INDEX(_imp!$F$4:$F$4503,_imp!$C$910))</f>
        <v/>
      </c>
      <c r="D908" s="54">
        <f>IF(_imp!$C$910="","",INDEX(_imp!$G$4:$G$4503,_imp!$C$910))</f>
        <v/>
      </c>
      <c r="E908" s="54">
        <f>IF(_imp!$C$910="","",INDEX(_imp!$H$4:$H$4503,_imp!$C$910))</f>
        <v/>
      </c>
      <c r="F908" s="54">
        <f>IF(_imp!$C$910="","",INDEX(_imp!$I$4:$I$4503,_imp!$C$910))</f>
        <v/>
      </c>
      <c r="G908" s="54">
        <f>IF(_imp!$C$910="","",INDEX(_imp!$J$4:$J$4503,_imp!$C$910))</f>
        <v/>
      </c>
      <c r="K908" s="54">
        <f>IF(_imp!$C$910="","",INDEX(_imp!$K$4:$K$4503,_imp!$C$910))</f>
        <v/>
      </c>
    </row>
    <row r="909">
      <c r="A909" s="54">
        <f>IF(_imp!$C$911="","",INDEX(_imp!$D$4:$D$4503,_imp!$C$911))</f>
        <v/>
      </c>
      <c r="B909" s="54">
        <f>IF(_imp!$C$911="","",INDEX(_imp!$E$4:$E$4503,_imp!$C$911))</f>
        <v/>
      </c>
      <c r="C909" s="54">
        <f>IF(_imp!$C$911="","",INDEX(_imp!$F$4:$F$4503,_imp!$C$911))</f>
        <v/>
      </c>
      <c r="D909" s="54">
        <f>IF(_imp!$C$911="","",INDEX(_imp!$G$4:$G$4503,_imp!$C$911))</f>
        <v/>
      </c>
      <c r="E909" s="54">
        <f>IF(_imp!$C$911="","",INDEX(_imp!$H$4:$H$4503,_imp!$C$911))</f>
        <v/>
      </c>
      <c r="F909" s="54">
        <f>IF(_imp!$C$911="","",INDEX(_imp!$I$4:$I$4503,_imp!$C$911))</f>
        <v/>
      </c>
      <c r="G909" s="54">
        <f>IF(_imp!$C$911="","",INDEX(_imp!$J$4:$J$4503,_imp!$C$911))</f>
        <v/>
      </c>
      <c r="K909" s="54">
        <f>IF(_imp!$C$911="","",INDEX(_imp!$K$4:$K$4503,_imp!$C$911))</f>
        <v/>
      </c>
    </row>
    <row r="910">
      <c r="A910" s="54">
        <f>IF(_imp!$C$912="","",INDEX(_imp!$D$4:$D$4503,_imp!$C$912))</f>
        <v/>
      </c>
      <c r="B910" s="54">
        <f>IF(_imp!$C$912="","",INDEX(_imp!$E$4:$E$4503,_imp!$C$912))</f>
        <v/>
      </c>
      <c r="C910" s="54">
        <f>IF(_imp!$C$912="","",INDEX(_imp!$F$4:$F$4503,_imp!$C$912))</f>
        <v/>
      </c>
      <c r="D910" s="54">
        <f>IF(_imp!$C$912="","",INDEX(_imp!$G$4:$G$4503,_imp!$C$912))</f>
        <v/>
      </c>
      <c r="E910" s="54">
        <f>IF(_imp!$C$912="","",INDEX(_imp!$H$4:$H$4503,_imp!$C$912))</f>
        <v/>
      </c>
      <c r="F910" s="54">
        <f>IF(_imp!$C$912="","",INDEX(_imp!$I$4:$I$4503,_imp!$C$912))</f>
        <v/>
      </c>
      <c r="G910" s="54">
        <f>IF(_imp!$C$912="","",INDEX(_imp!$J$4:$J$4503,_imp!$C$912))</f>
        <v/>
      </c>
      <c r="K910" s="54">
        <f>IF(_imp!$C$912="","",INDEX(_imp!$K$4:$K$4503,_imp!$C$912))</f>
        <v/>
      </c>
    </row>
    <row r="911">
      <c r="A911" s="54">
        <f>IF(_imp!$C$913="","",INDEX(_imp!$D$4:$D$4503,_imp!$C$913))</f>
        <v/>
      </c>
      <c r="B911" s="54">
        <f>IF(_imp!$C$913="","",INDEX(_imp!$E$4:$E$4503,_imp!$C$913))</f>
        <v/>
      </c>
      <c r="C911" s="54">
        <f>IF(_imp!$C$913="","",INDEX(_imp!$F$4:$F$4503,_imp!$C$913))</f>
        <v/>
      </c>
      <c r="D911" s="54">
        <f>IF(_imp!$C$913="","",INDEX(_imp!$G$4:$G$4503,_imp!$C$913))</f>
        <v/>
      </c>
      <c r="E911" s="54">
        <f>IF(_imp!$C$913="","",INDEX(_imp!$H$4:$H$4503,_imp!$C$913))</f>
        <v/>
      </c>
      <c r="F911" s="54">
        <f>IF(_imp!$C$913="","",INDEX(_imp!$I$4:$I$4503,_imp!$C$913))</f>
        <v/>
      </c>
      <c r="G911" s="54">
        <f>IF(_imp!$C$913="","",INDEX(_imp!$J$4:$J$4503,_imp!$C$913))</f>
        <v/>
      </c>
      <c r="K911" s="54">
        <f>IF(_imp!$C$913="","",INDEX(_imp!$K$4:$K$4503,_imp!$C$913))</f>
        <v/>
      </c>
    </row>
    <row r="912">
      <c r="A912" s="54">
        <f>IF(_imp!$C$914="","",INDEX(_imp!$D$4:$D$4503,_imp!$C$914))</f>
        <v/>
      </c>
      <c r="B912" s="54">
        <f>IF(_imp!$C$914="","",INDEX(_imp!$E$4:$E$4503,_imp!$C$914))</f>
        <v/>
      </c>
      <c r="C912" s="54">
        <f>IF(_imp!$C$914="","",INDEX(_imp!$F$4:$F$4503,_imp!$C$914))</f>
        <v/>
      </c>
      <c r="D912" s="54">
        <f>IF(_imp!$C$914="","",INDEX(_imp!$G$4:$G$4503,_imp!$C$914))</f>
        <v/>
      </c>
      <c r="E912" s="54">
        <f>IF(_imp!$C$914="","",INDEX(_imp!$H$4:$H$4503,_imp!$C$914))</f>
        <v/>
      </c>
      <c r="F912" s="54">
        <f>IF(_imp!$C$914="","",INDEX(_imp!$I$4:$I$4503,_imp!$C$914))</f>
        <v/>
      </c>
      <c r="G912" s="54">
        <f>IF(_imp!$C$914="","",INDEX(_imp!$J$4:$J$4503,_imp!$C$914))</f>
        <v/>
      </c>
      <c r="K912" s="54">
        <f>IF(_imp!$C$914="","",INDEX(_imp!$K$4:$K$4503,_imp!$C$914))</f>
        <v/>
      </c>
    </row>
    <row r="913">
      <c r="A913" s="54">
        <f>IF(_imp!$C$915="","",INDEX(_imp!$D$4:$D$4503,_imp!$C$915))</f>
        <v/>
      </c>
      <c r="B913" s="54">
        <f>IF(_imp!$C$915="","",INDEX(_imp!$E$4:$E$4503,_imp!$C$915))</f>
        <v/>
      </c>
      <c r="C913" s="54">
        <f>IF(_imp!$C$915="","",INDEX(_imp!$F$4:$F$4503,_imp!$C$915))</f>
        <v/>
      </c>
      <c r="D913" s="54">
        <f>IF(_imp!$C$915="","",INDEX(_imp!$G$4:$G$4503,_imp!$C$915))</f>
        <v/>
      </c>
      <c r="E913" s="54">
        <f>IF(_imp!$C$915="","",INDEX(_imp!$H$4:$H$4503,_imp!$C$915))</f>
        <v/>
      </c>
      <c r="F913" s="54">
        <f>IF(_imp!$C$915="","",INDEX(_imp!$I$4:$I$4503,_imp!$C$915))</f>
        <v/>
      </c>
      <c r="G913" s="54">
        <f>IF(_imp!$C$915="","",INDEX(_imp!$J$4:$J$4503,_imp!$C$915))</f>
        <v/>
      </c>
      <c r="K913" s="54">
        <f>IF(_imp!$C$915="","",INDEX(_imp!$K$4:$K$4503,_imp!$C$915))</f>
        <v/>
      </c>
    </row>
    <row r="914">
      <c r="A914" s="54">
        <f>IF(_imp!$C$916="","",INDEX(_imp!$D$4:$D$4503,_imp!$C$916))</f>
        <v/>
      </c>
      <c r="B914" s="54">
        <f>IF(_imp!$C$916="","",INDEX(_imp!$E$4:$E$4503,_imp!$C$916))</f>
        <v/>
      </c>
      <c r="C914" s="54">
        <f>IF(_imp!$C$916="","",INDEX(_imp!$F$4:$F$4503,_imp!$C$916))</f>
        <v/>
      </c>
      <c r="D914" s="54">
        <f>IF(_imp!$C$916="","",INDEX(_imp!$G$4:$G$4503,_imp!$C$916))</f>
        <v/>
      </c>
      <c r="E914" s="54">
        <f>IF(_imp!$C$916="","",INDEX(_imp!$H$4:$H$4503,_imp!$C$916))</f>
        <v/>
      </c>
      <c r="F914" s="54">
        <f>IF(_imp!$C$916="","",INDEX(_imp!$I$4:$I$4503,_imp!$C$916))</f>
        <v/>
      </c>
      <c r="G914" s="54">
        <f>IF(_imp!$C$916="","",INDEX(_imp!$J$4:$J$4503,_imp!$C$916))</f>
        <v/>
      </c>
      <c r="K914" s="54">
        <f>IF(_imp!$C$916="","",INDEX(_imp!$K$4:$K$4503,_imp!$C$916))</f>
        <v/>
      </c>
    </row>
    <row r="915">
      <c r="A915" s="54">
        <f>IF(_imp!$C$917="","",INDEX(_imp!$D$4:$D$4503,_imp!$C$917))</f>
        <v/>
      </c>
      <c r="B915" s="54">
        <f>IF(_imp!$C$917="","",INDEX(_imp!$E$4:$E$4503,_imp!$C$917))</f>
        <v/>
      </c>
      <c r="C915" s="54">
        <f>IF(_imp!$C$917="","",INDEX(_imp!$F$4:$F$4503,_imp!$C$917))</f>
        <v/>
      </c>
      <c r="D915" s="54">
        <f>IF(_imp!$C$917="","",INDEX(_imp!$G$4:$G$4503,_imp!$C$917))</f>
        <v/>
      </c>
      <c r="E915" s="54">
        <f>IF(_imp!$C$917="","",INDEX(_imp!$H$4:$H$4503,_imp!$C$917))</f>
        <v/>
      </c>
      <c r="F915" s="54">
        <f>IF(_imp!$C$917="","",INDEX(_imp!$I$4:$I$4503,_imp!$C$917))</f>
        <v/>
      </c>
      <c r="G915" s="54">
        <f>IF(_imp!$C$917="","",INDEX(_imp!$J$4:$J$4503,_imp!$C$917))</f>
        <v/>
      </c>
      <c r="K915" s="54">
        <f>IF(_imp!$C$917="","",INDEX(_imp!$K$4:$K$4503,_imp!$C$917))</f>
        <v/>
      </c>
    </row>
    <row r="916">
      <c r="A916" s="54">
        <f>IF(_imp!$C$918="","",INDEX(_imp!$D$4:$D$4503,_imp!$C$918))</f>
        <v/>
      </c>
      <c r="B916" s="54">
        <f>IF(_imp!$C$918="","",INDEX(_imp!$E$4:$E$4503,_imp!$C$918))</f>
        <v/>
      </c>
      <c r="C916" s="54">
        <f>IF(_imp!$C$918="","",INDEX(_imp!$F$4:$F$4503,_imp!$C$918))</f>
        <v/>
      </c>
      <c r="D916" s="54">
        <f>IF(_imp!$C$918="","",INDEX(_imp!$G$4:$G$4503,_imp!$C$918))</f>
        <v/>
      </c>
      <c r="E916" s="54">
        <f>IF(_imp!$C$918="","",INDEX(_imp!$H$4:$H$4503,_imp!$C$918))</f>
        <v/>
      </c>
      <c r="F916" s="54">
        <f>IF(_imp!$C$918="","",INDEX(_imp!$I$4:$I$4503,_imp!$C$918))</f>
        <v/>
      </c>
      <c r="G916" s="54">
        <f>IF(_imp!$C$918="","",INDEX(_imp!$J$4:$J$4503,_imp!$C$918))</f>
        <v/>
      </c>
      <c r="K916" s="54">
        <f>IF(_imp!$C$918="","",INDEX(_imp!$K$4:$K$4503,_imp!$C$918))</f>
        <v/>
      </c>
    </row>
    <row r="917">
      <c r="A917" s="54">
        <f>IF(_imp!$C$919="","",INDEX(_imp!$D$4:$D$4503,_imp!$C$919))</f>
        <v/>
      </c>
      <c r="B917" s="54">
        <f>IF(_imp!$C$919="","",INDEX(_imp!$E$4:$E$4503,_imp!$C$919))</f>
        <v/>
      </c>
      <c r="C917" s="54">
        <f>IF(_imp!$C$919="","",INDEX(_imp!$F$4:$F$4503,_imp!$C$919))</f>
        <v/>
      </c>
      <c r="D917" s="54">
        <f>IF(_imp!$C$919="","",INDEX(_imp!$G$4:$G$4503,_imp!$C$919))</f>
        <v/>
      </c>
      <c r="E917" s="54">
        <f>IF(_imp!$C$919="","",INDEX(_imp!$H$4:$H$4503,_imp!$C$919))</f>
        <v/>
      </c>
      <c r="F917" s="54">
        <f>IF(_imp!$C$919="","",INDEX(_imp!$I$4:$I$4503,_imp!$C$919))</f>
        <v/>
      </c>
      <c r="G917" s="54">
        <f>IF(_imp!$C$919="","",INDEX(_imp!$J$4:$J$4503,_imp!$C$919))</f>
        <v/>
      </c>
      <c r="K917" s="54">
        <f>IF(_imp!$C$919="","",INDEX(_imp!$K$4:$K$4503,_imp!$C$919))</f>
        <v/>
      </c>
    </row>
    <row r="918">
      <c r="A918" s="54">
        <f>IF(_imp!$C$920="","",INDEX(_imp!$D$4:$D$4503,_imp!$C$920))</f>
        <v/>
      </c>
      <c r="B918" s="54">
        <f>IF(_imp!$C$920="","",INDEX(_imp!$E$4:$E$4503,_imp!$C$920))</f>
        <v/>
      </c>
      <c r="C918" s="54">
        <f>IF(_imp!$C$920="","",INDEX(_imp!$F$4:$F$4503,_imp!$C$920))</f>
        <v/>
      </c>
      <c r="D918" s="54">
        <f>IF(_imp!$C$920="","",INDEX(_imp!$G$4:$G$4503,_imp!$C$920))</f>
        <v/>
      </c>
      <c r="E918" s="54">
        <f>IF(_imp!$C$920="","",INDEX(_imp!$H$4:$H$4503,_imp!$C$920))</f>
        <v/>
      </c>
      <c r="F918" s="54">
        <f>IF(_imp!$C$920="","",INDEX(_imp!$I$4:$I$4503,_imp!$C$920))</f>
        <v/>
      </c>
      <c r="G918" s="54">
        <f>IF(_imp!$C$920="","",INDEX(_imp!$J$4:$J$4503,_imp!$C$920))</f>
        <v/>
      </c>
      <c r="K918" s="54">
        <f>IF(_imp!$C$920="","",INDEX(_imp!$K$4:$K$4503,_imp!$C$920))</f>
        <v/>
      </c>
    </row>
    <row r="919">
      <c r="A919" s="54">
        <f>IF(_imp!$C$921="","",INDEX(_imp!$D$4:$D$4503,_imp!$C$921))</f>
        <v/>
      </c>
      <c r="B919" s="54">
        <f>IF(_imp!$C$921="","",INDEX(_imp!$E$4:$E$4503,_imp!$C$921))</f>
        <v/>
      </c>
      <c r="C919" s="54">
        <f>IF(_imp!$C$921="","",INDEX(_imp!$F$4:$F$4503,_imp!$C$921))</f>
        <v/>
      </c>
      <c r="D919" s="54">
        <f>IF(_imp!$C$921="","",INDEX(_imp!$G$4:$G$4503,_imp!$C$921))</f>
        <v/>
      </c>
      <c r="E919" s="54">
        <f>IF(_imp!$C$921="","",INDEX(_imp!$H$4:$H$4503,_imp!$C$921))</f>
        <v/>
      </c>
      <c r="F919" s="54">
        <f>IF(_imp!$C$921="","",INDEX(_imp!$I$4:$I$4503,_imp!$C$921))</f>
        <v/>
      </c>
      <c r="G919" s="54">
        <f>IF(_imp!$C$921="","",INDEX(_imp!$J$4:$J$4503,_imp!$C$921))</f>
        <v/>
      </c>
      <c r="K919" s="54">
        <f>IF(_imp!$C$921="","",INDEX(_imp!$K$4:$K$4503,_imp!$C$921))</f>
        <v/>
      </c>
    </row>
    <row r="920">
      <c r="A920" s="54">
        <f>IF(_imp!$C$922="","",INDEX(_imp!$D$4:$D$4503,_imp!$C$922))</f>
        <v/>
      </c>
      <c r="B920" s="54">
        <f>IF(_imp!$C$922="","",INDEX(_imp!$E$4:$E$4503,_imp!$C$922))</f>
        <v/>
      </c>
      <c r="C920" s="54">
        <f>IF(_imp!$C$922="","",INDEX(_imp!$F$4:$F$4503,_imp!$C$922))</f>
        <v/>
      </c>
      <c r="D920" s="54">
        <f>IF(_imp!$C$922="","",INDEX(_imp!$G$4:$G$4503,_imp!$C$922))</f>
        <v/>
      </c>
      <c r="E920" s="54">
        <f>IF(_imp!$C$922="","",INDEX(_imp!$H$4:$H$4503,_imp!$C$922))</f>
        <v/>
      </c>
      <c r="F920" s="54">
        <f>IF(_imp!$C$922="","",INDEX(_imp!$I$4:$I$4503,_imp!$C$922))</f>
        <v/>
      </c>
      <c r="G920" s="54">
        <f>IF(_imp!$C$922="","",INDEX(_imp!$J$4:$J$4503,_imp!$C$922))</f>
        <v/>
      </c>
      <c r="K920" s="54">
        <f>IF(_imp!$C$922="","",INDEX(_imp!$K$4:$K$4503,_imp!$C$922))</f>
        <v/>
      </c>
    </row>
    <row r="921">
      <c r="A921" s="54">
        <f>IF(_imp!$C$923="","",INDEX(_imp!$D$4:$D$4503,_imp!$C$923))</f>
        <v/>
      </c>
      <c r="B921" s="54">
        <f>IF(_imp!$C$923="","",INDEX(_imp!$E$4:$E$4503,_imp!$C$923))</f>
        <v/>
      </c>
      <c r="C921" s="54">
        <f>IF(_imp!$C$923="","",INDEX(_imp!$F$4:$F$4503,_imp!$C$923))</f>
        <v/>
      </c>
      <c r="D921" s="54">
        <f>IF(_imp!$C$923="","",INDEX(_imp!$G$4:$G$4503,_imp!$C$923))</f>
        <v/>
      </c>
      <c r="E921" s="54">
        <f>IF(_imp!$C$923="","",INDEX(_imp!$H$4:$H$4503,_imp!$C$923))</f>
        <v/>
      </c>
      <c r="F921" s="54">
        <f>IF(_imp!$C$923="","",INDEX(_imp!$I$4:$I$4503,_imp!$C$923))</f>
        <v/>
      </c>
      <c r="G921" s="54">
        <f>IF(_imp!$C$923="","",INDEX(_imp!$J$4:$J$4503,_imp!$C$923))</f>
        <v/>
      </c>
      <c r="K921" s="54">
        <f>IF(_imp!$C$923="","",INDEX(_imp!$K$4:$K$4503,_imp!$C$923))</f>
        <v/>
      </c>
    </row>
    <row r="922">
      <c r="A922" s="54">
        <f>IF(_imp!$C$924="","",INDEX(_imp!$D$4:$D$4503,_imp!$C$924))</f>
        <v/>
      </c>
      <c r="B922" s="54">
        <f>IF(_imp!$C$924="","",INDEX(_imp!$E$4:$E$4503,_imp!$C$924))</f>
        <v/>
      </c>
      <c r="C922" s="54">
        <f>IF(_imp!$C$924="","",INDEX(_imp!$F$4:$F$4503,_imp!$C$924))</f>
        <v/>
      </c>
      <c r="D922" s="54">
        <f>IF(_imp!$C$924="","",INDEX(_imp!$G$4:$G$4503,_imp!$C$924))</f>
        <v/>
      </c>
      <c r="E922" s="54">
        <f>IF(_imp!$C$924="","",INDEX(_imp!$H$4:$H$4503,_imp!$C$924))</f>
        <v/>
      </c>
      <c r="F922" s="54">
        <f>IF(_imp!$C$924="","",INDEX(_imp!$I$4:$I$4503,_imp!$C$924))</f>
        <v/>
      </c>
      <c r="G922" s="54">
        <f>IF(_imp!$C$924="","",INDEX(_imp!$J$4:$J$4503,_imp!$C$924))</f>
        <v/>
      </c>
      <c r="K922" s="54">
        <f>IF(_imp!$C$924="","",INDEX(_imp!$K$4:$K$4503,_imp!$C$924))</f>
        <v/>
      </c>
    </row>
    <row r="923">
      <c r="A923" s="54">
        <f>IF(_imp!$C$925="","",INDEX(_imp!$D$4:$D$4503,_imp!$C$925))</f>
        <v/>
      </c>
      <c r="B923" s="54">
        <f>IF(_imp!$C$925="","",INDEX(_imp!$E$4:$E$4503,_imp!$C$925))</f>
        <v/>
      </c>
      <c r="C923" s="54">
        <f>IF(_imp!$C$925="","",INDEX(_imp!$F$4:$F$4503,_imp!$C$925))</f>
        <v/>
      </c>
      <c r="D923" s="54">
        <f>IF(_imp!$C$925="","",INDEX(_imp!$G$4:$G$4503,_imp!$C$925))</f>
        <v/>
      </c>
      <c r="E923" s="54">
        <f>IF(_imp!$C$925="","",INDEX(_imp!$H$4:$H$4503,_imp!$C$925))</f>
        <v/>
      </c>
      <c r="F923" s="54">
        <f>IF(_imp!$C$925="","",INDEX(_imp!$I$4:$I$4503,_imp!$C$925))</f>
        <v/>
      </c>
      <c r="G923" s="54">
        <f>IF(_imp!$C$925="","",INDEX(_imp!$J$4:$J$4503,_imp!$C$925))</f>
        <v/>
      </c>
      <c r="K923" s="54">
        <f>IF(_imp!$C$925="","",INDEX(_imp!$K$4:$K$4503,_imp!$C$925))</f>
        <v/>
      </c>
    </row>
    <row r="924">
      <c r="A924" s="54">
        <f>IF(_imp!$C$926="","",INDEX(_imp!$D$4:$D$4503,_imp!$C$926))</f>
        <v/>
      </c>
      <c r="B924" s="54">
        <f>IF(_imp!$C$926="","",INDEX(_imp!$E$4:$E$4503,_imp!$C$926))</f>
        <v/>
      </c>
      <c r="C924" s="54">
        <f>IF(_imp!$C$926="","",INDEX(_imp!$F$4:$F$4503,_imp!$C$926))</f>
        <v/>
      </c>
      <c r="D924" s="54">
        <f>IF(_imp!$C$926="","",INDEX(_imp!$G$4:$G$4503,_imp!$C$926))</f>
        <v/>
      </c>
      <c r="E924" s="54">
        <f>IF(_imp!$C$926="","",INDEX(_imp!$H$4:$H$4503,_imp!$C$926))</f>
        <v/>
      </c>
      <c r="F924" s="54">
        <f>IF(_imp!$C$926="","",INDEX(_imp!$I$4:$I$4503,_imp!$C$926))</f>
        <v/>
      </c>
      <c r="G924" s="54">
        <f>IF(_imp!$C$926="","",INDEX(_imp!$J$4:$J$4503,_imp!$C$926))</f>
        <v/>
      </c>
      <c r="K924" s="54">
        <f>IF(_imp!$C$926="","",INDEX(_imp!$K$4:$K$4503,_imp!$C$926))</f>
        <v/>
      </c>
    </row>
    <row r="925">
      <c r="A925" s="54">
        <f>IF(_imp!$C$927="","",INDEX(_imp!$D$4:$D$4503,_imp!$C$927))</f>
        <v/>
      </c>
      <c r="B925" s="54">
        <f>IF(_imp!$C$927="","",INDEX(_imp!$E$4:$E$4503,_imp!$C$927))</f>
        <v/>
      </c>
      <c r="C925" s="54">
        <f>IF(_imp!$C$927="","",INDEX(_imp!$F$4:$F$4503,_imp!$C$927))</f>
        <v/>
      </c>
      <c r="D925" s="54">
        <f>IF(_imp!$C$927="","",INDEX(_imp!$G$4:$G$4503,_imp!$C$927))</f>
        <v/>
      </c>
      <c r="E925" s="54">
        <f>IF(_imp!$C$927="","",INDEX(_imp!$H$4:$H$4503,_imp!$C$927))</f>
        <v/>
      </c>
      <c r="F925" s="54">
        <f>IF(_imp!$C$927="","",INDEX(_imp!$I$4:$I$4503,_imp!$C$927))</f>
        <v/>
      </c>
      <c r="G925" s="54">
        <f>IF(_imp!$C$927="","",INDEX(_imp!$J$4:$J$4503,_imp!$C$927))</f>
        <v/>
      </c>
      <c r="K925" s="54">
        <f>IF(_imp!$C$927="","",INDEX(_imp!$K$4:$K$4503,_imp!$C$927))</f>
        <v/>
      </c>
    </row>
    <row r="926">
      <c r="A926" s="54">
        <f>IF(_imp!$C$928="","",INDEX(_imp!$D$4:$D$4503,_imp!$C$928))</f>
        <v/>
      </c>
      <c r="B926" s="54">
        <f>IF(_imp!$C$928="","",INDEX(_imp!$E$4:$E$4503,_imp!$C$928))</f>
        <v/>
      </c>
      <c r="C926" s="54">
        <f>IF(_imp!$C$928="","",INDEX(_imp!$F$4:$F$4503,_imp!$C$928))</f>
        <v/>
      </c>
      <c r="D926" s="54">
        <f>IF(_imp!$C$928="","",INDEX(_imp!$G$4:$G$4503,_imp!$C$928))</f>
        <v/>
      </c>
      <c r="E926" s="54">
        <f>IF(_imp!$C$928="","",INDEX(_imp!$H$4:$H$4503,_imp!$C$928))</f>
        <v/>
      </c>
      <c r="F926" s="54">
        <f>IF(_imp!$C$928="","",INDEX(_imp!$I$4:$I$4503,_imp!$C$928))</f>
        <v/>
      </c>
      <c r="G926" s="54">
        <f>IF(_imp!$C$928="","",INDEX(_imp!$J$4:$J$4503,_imp!$C$928))</f>
        <v/>
      </c>
      <c r="K926" s="54">
        <f>IF(_imp!$C$928="","",INDEX(_imp!$K$4:$K$4503,_imp!$C$928))</f>
        <v/>
      </c>
    </row>
    <row r="927">
      <c r="A927" s="54">
        <f>IF(_imp!$C$929="","",INDEX(_imp!$D$4:$D$4503,_imp!$C$929))</f>
        <v/>
      </c>
      <c r="B927" s="54">
        <f>IF(_imp!$C$929="","",INDEX(_imp!$E$4:$E$4503,_imp!$C$929))</f>
        <v/>
      </c>
      <c r="C927" s="54">
        <f>IF(_imp!$C$929="","",INDEX(_imp!$F$4:$F$4503,_imp!$C$929))</f>
        <v/>
      </c>
      <c r="D927" s="54">
        <f>IF(_imp!$C$929="","",INDEX(_imp!$G$4:$G$4503,_imp!$C$929))</f>
        <v/>
      </c>
      <c r="E927" s="54">
        <f>IF(_imp!$C$929="","",INDEX(_imp!$H$4:$H$4503,_imp!$C$929))</f>
        <v/>
      </c>
      <c r="F927" s="54">
        <f>IF(_imp!$C$929="","",INDEX(_imp!$I$4:$I$4503,_imp!$C$929))</f>
        <v/>
      </c>
      <c r="G927" s="54">
        <f>IF(_imp!$C$929="","",INDEX(_imp!$J$4:$J$4503,_imp!$C$929))</f>
        <v/>
      </c>
      <c r="K927" s="54">
        <f>IF(_imp!$C$929="","",INDEX(_imp!$K$4:$K$4503,_imp!$C$929))</f>
        <v/>
      </c>
    </row>
    <row r="928">
      <c r="A928" s="54">
        <f>IF(_imp!$C$930="","",INDEX(_imp!$D$4:$D$4503,_imp!$C$930))</f>
        <v/>
      </c>
      <c r="B928" s="54">
        <f>IF(_imp!$C$930="","",INDEX(_imp!$E$4:$E$4503,_imp!$C$930))</f>
        <v/>
      </c>
      <c r="C928" s="54">
        <f>IF(_imp!$C$930="","",INDEX(_imp!$F$4:$F$4503,_imp!$C$930))</f>
        <v/>
      </c>
      <c r="D928" s="54">
        <f>IF(_imp!$C$930="","",INDEX(_imp!$G$4:$G$4503,_imp!$C$930))</f>
        <v/>
      </c>
      <c r="E928" s="54">
        <f>IF(_imp!$C$930="","",INDEX(_imp!$H$4:$H$4503,_imp!$C$930))</f>
        <v/>
      </c>
      <c r="F928" s="54">
        <f>IF(_imp!$C$930="","",INDEX(_imp!$I$4:$I$4503,_imp!$C$930))</f>
        <v/>
      </c>
      <c r="G928" s="54">
        <f>IF(_imp!$C$930="","",INDEX(_imp!$J$4:$J$4503,_imp!$C$930))</f>
        <v/>
      </c>
      <c r="K928" s="54">
        <f>IF(_imp!$C$930="","",INDEX(_imp!$K$4:$K$4503,_imp!$C$930))</f>
        <v/>
      </c>
    </row>
    <row r="929">
      <c r="A929" s="54">
        <f>IF(_imp!$C$931="","",INDEX(_imp!$D$4:$D$4503,_imp!$C$931))</f>
        <v/>
      </c>
      <c r="B929" s="54">
        <f>IF(_imp!$C$931="","",INDEX(_imp!$E$4:$E$4503,_imp!$C$931))</f>
        <v/>
      </c>
      <c r="C929" s="54">
        <f>IF(_imp!$C$931="","",INDEX(_imp!$F$4:$F$4503,_imp!$C$931))</f>
        <v/>
      </c>
      <c r="D929" s="54">
        <f>IF(_imp!$C$931="","",INDEX(_imp!$G$4:$G$4503,_imp!$C$931))</f>
        <v/>
      </c>
      <c r="E929" s="54">
        <f>IF(_imp!$C$931="","",INDEX(_imp!$H$4:$H$4503,_imp!$C$931))</f>
        <v/>
      </c>
      <c r="F929" s="54">
        <f>IF(_imp!$C$931="","",INDEX(_imp!$I$4:$I$4503,_imp!$C$931))</f>
        <v/>
      </c>
      <c r="G929" s="54">
        <f>IF(_imp!$C$931="","",INDEX(_imp!$J$4:$J$4503,_imp!$C$931))</f>
        <v/>
      </c>
      <c r="K929" s="54">
        <f>IF(_imp!$C$931="","",INDEX(_imp!$K$4:$K$4503,_imp!$C$931))</f>
        <v/>
      </c>
    </row>
    <row r="930">
      <c r="A930" s="54">
        <f>IF(_imp!$C$932="","",INDEX(_imp!$D$4:$D$4503,_imp!$C$932))</f>
        <v/>
      </c>
      <c r="B930" s="54">
        <f>IF(_imp!$C$932="","",INDEX(_imp!$E$4:$E$4503,_imp!$C$932))</f>
        <v/>
      </c>
      <c r="C930" s="54">
        <f>IF(_imp!$C$932="","",INDEX(_imp!$F$4:$F$4503,_imp!$C$932))</f>
        <v/>
      </c>
      <c r="D930" s="54">
        <f>IF(_imp!$C$932="","",INDEX(_imp!$G$4:$G$4503,_imp!$C$932))</f>
        <v/>
      </c>
      <c r="E930" s="54">
        <f>IF(_imp!$C$932="","",INDEX(_imp!$H$4:$H$4503,_imp!$C$932))</f>
        <v/>
      </c>
      <c r="F930" s="54">
        <f>IF(_imp!$C$932="","",INDEX(_imp!$I$4:$I$4503,_imp!$C$932))</f>
        <v/>
      </c>
      <c r="G930" s="54">
        <f>IF(_imp!$C$932="","",INDEX(_imp!$J$4:$J$4503,_imp!$C$932))</f>
        <v/>
      </c>
      <c r="K930" s="54">
        <f>IF(_imp!$C$932="","",INDEX(_imp!$K$4:$K$4503,_imp!$C$932))</f>
        <v/>
      </c>
    </row>
    <row r="931">
      <c r="A931" s="54">
        <f>IF(_imp!$C$933="","",INDEX(_imp!$D$4:$D$4503,_imp!$C$933))</f>
        <v/>
      </c>
      <c r="B931" s="54">
        <f>IF(_imp!$C$933="","",INDEX(_imp!$E$4:$E$4503,_imp!$C$933))</f>
        <v/>
      </c>
      <c r="C931" s="54">
        <f>IF(_imp!$C$933="","",INDEX(_imp!$F$4:$F$4503,_imp!$C$933))</f>
        <v/>
      </c>
      <c r="D931" s="54">
        <f>IF(_imp!$C$933="","",INDEX(_imp!$G$4:$G$4503,_imp!$C$933))</f>
        <v/>
      </c>
      <c r="E931" s="54">
        <f>IF(_imp!$C$933="","",INDEX(_imp!$H$4:$H$4503,_imp!$C$933))</f>
        <v/>
      </c>
      <c r="F931" s="54">
        <f>IF(_imp!$C$933="","",INDEX(_imp!$I$4:$I$4503,_imp!$C$933))</f>
        <v/>
      </c>
      <c r="G931" s="54">
        <f>IF(_imp!$C$933="","",INDEX(_imp!$J$4:$J$4503,_imp!$C$933))</f>
        <v/>
      </c>
      <c r="K931" s="54">
        <f>IF(_imp!$C$933="","",INDEX(_imp!$K$4:$K$4503,_imp!$C$933))</f>
        <v/>
      </c>
    </row>
    <row r="932">
      <c r="A932" s="54">
        <f>IF(_imp!$C$934="","",INDEX(_imp!$D$4:$D$4503,_imp!$C$934))</f>
        <v/>
      </c>
      <c r="B932" s="54">
        <f>IF(_imp!$C$934="","",INDEX(_imp!$E$4:$E$4503,_imp!$C$934))</f>
        <v/>
      </c>
      <c r="C932" s="54">
        <f>IF(_imp!$C$934="","",INDEX(_imp!$F$4:$F$4503,_imp!$C$934))</f>
        <v/>
      </c>
      <c r="D932" s="54">
        <f>IF(_imp!$C$934="","",INDEX(_imp!$G$4:$G$4503,_imp!$C$934))</f>
        <v/>
      </c>
      <c r="E932" s="54">
        <f>IF(_imp!$C$934="","",INDEX(_imp!$H$4:$H$4503,_imp!$C$934))</f>
        <v/>
      </c>
      <c r="F932" s="54">
        <f>IF(_imp!$C$934="","",INDEX(_imp!$I$4:$I$4503,_imp!$C$934))</f>
        <v/>
      </c>
      <c r="G932" s="54">
        <f>IF(_imp!$C$934="","",INDEX(_imp!$J$4:$J$4503,_imp!$C$934))</f>
        <v/>
      </c>
      <c r="K932" s="54">
        <f>IF(_imp!$C$934="","",INDEX(_imp!$K$4:$K$4503,_imp!$C$934))</f>
        <v/>
      </c>
    </row>
    <row r="933">
      <c r="A933" s="54">
        <f>IF(_imp!$C$935="","",INDEX(_imp!$D$4:$D$4503,_imp!$C$935))</f>
        <v/>
      </c>
      <c r="B933" s="54">
        <f>IF(_imp!$C$935="","",INDEX(_imp!$E$4:$E$4503,_imp!$C$935))</f>
        <v/>
      </c>
      <c r="C933" s="54">
        <f>IF(_imp!$C$935="","",INDEX(_imp!$F$4:$F$4503,_imp!$C$935))</f>
        <v/>
      </c>
      <c r="D933" s="54">
        <f>IF(_imp!$C$935="","",INDEX(_imp!$G$4:$G$4503,_imp!$C$935))</f>
        <v/>
      </c>
      <c r="E933" s="54">
        <f>IF(_imp!$C$935="","",INDEX(_imp!$H$4:$H$4503,_imp!$C$935))</f>
        <v/>
      </c>
      <c r="F933" s="54">
        <f>IF(_imp!$C$935="","",INDEX(_imp!$I$4:$I$4503,_imp!$C$935))</f>
        <v/>
      </c>
      <c r="G933" s="54">
        <f>IF(_imp!$C$935="","",INDEX(_imp!$J$4:$J$4503,_imp!$C$935))</f>
        <v/>
      </c>
      <c r="K933" s="54">
        <f>IF(_imp!$C$935="","",INDEX(_imp!$K$4:$K$4503,_imp!$C$935))</f>
        <v/>
      </c>
    </row>
    <row r="934">
      <c r="A934" s="54">
        <f>IF(_imp!$C$936="","",INDEX(_imp!$D$4:$D$4503,_imp!$C$936))</f>
        <v/>
      </c>
      <c r="B934" s="54">
        <f>IF(_imp!$C$936="","",INDEX(_imp!$E$4:$E$4503,_imp!$C$936))</f>
        <v/>
      </c>
      <c r="C934" s="54">
        <f>IF(_imp!$C$936="","",INDEX(_imp!$F$4:$F$4503,_imp!$C$936))</f>
        <v/>
      </c>
      <c r="D934" s="54">
        <f>IF(_imp!$C$936="","",INDEX(_imp!$G$4:$G$4503,_imp!$C$936))</f>
        <v/>
      </c>
      <c r="E934" s="54">
        <f>IF(_imp!$C$936="","",INDEX(_imp!$H$4:$H$4503,_imp!$C$936))</f>
        <v/>
      </c>
      <c r="F934" s="54">
        <f>IF(_imp!$C$936="","",INDEX(_imp!$I$4:$I$4503,_imp!$C$936))</f>
        <v/>
      </c>
      <c r="G934" s="54">
        <f>IF(_imp!$C$936="","",INDEX(_imp!$J$4:$J$4503,_imp!$C$936))</f>
        <v/>
      </c>
      <c r="K934" s="54">
        <f>IF(_imp!$C$936="","",INDEX(_imp!$K$4:$K$4503,_imp!$C$936))</f>
        <v/>
      </c>
    </row>
    <row r="935">
      <c r="A935" s="54">
        <f>IF(_imp!$C$937="","",INDEX(_imp!$D$4:$D$4503,_imp!$C$937))</f>
        <v/>
      </c>
      <c r="B935" s="54">
        <f>IF(_imp!$C$937="","",INDEX(_imp!$E$4:$E$4503,_imp!$C$937))</f>
        <v/>
      </c>
      <c r="C935" s="54">
        <f>IF(_imp!$C$937="","",INDEX(_imp!$F$4:$F$4503,_imp!$C$937))</f>
        <v/>
      </c>
      <c r="D935" s="54">
        <f>IF(_imp!$C$937="","",INDEX(_imp!$G$4:$G$4503,_imp!$C$937))</f>
        <v/>
      </c>
      <c r="E935" s="54">
        <f>IF(_imp!$C$937="","",INDEX(_imp!$H$4:$H$4503,_imp!$C$937))</f>
        <v/>
      </c>
      <c r="F935" s="54">
        <f>IF(_imp!$C$937="","",INDEX(_imp!$I$4:$I$4503,_imp!$C$937))</f>
        <v/>
      </c>
      <c r="G935" s="54">
        <f>IF(_imp!$C$937="","",INDEX(_imp!$J$4:$J$4503,_imp!$C$937))</f>
        <v/>
      </c>
      <c r="K935" s="54">
        <f>IF(_imp!$C$937="","",INDEX(_imp!$K$4:$K$4503,_imp!$C$937))</f>
        <v/>
      </c>
    </row>
    <row r="936">
      <c r="A936" s="54">
        <f>IF(_imp!$C$938="","",INDEX(_imp!$D$4:$D$4503,_imp!$C$938))</f>
        <v/>
      </c>
      <c r="B936" s="54">
        <f>IF(_imp!$C$938="","",INDEX(_imp!$E$4:$E$4503,_imp!$C$938))</f>
        <v/>
      </c>
      <c r="C936" s="54">
        <f>IF(_imp!$C$938="","",INDEX(_imp!$F$4:$F$4503,_imp!$C$938))</f>
        <v/>
      </c>
      <c r="D936" s="54">
        <f>IF(_imp!$C$938="","",INDEX(_imp!$G$4:$G$4503,_imp!$C$938))</f>
        <v/>
      </c>
      <c r="E936" s="54">
        <f>IF(_imp!$C$938="","",INDEX(_imp!$H$4:$H$4503,_imp!$C$938))</f>
        <v/>
      </c>
      <c r="F936" s="54">
        <f>IF(_imp!$C$938="","",INDEX(_imp!$I$4:$I$4503,_imp!$C$938))</f>
        <v/>
      </c>
      <c r="G936" s="54">
        <f>IF(_imp!$C$938="","",INDEX(_imp!$J$4:$J$4503,_imp!$C$938))</f>
        <v/>
      </c>
      <c r="K936" s="54">
        <f>IF(_imp!$C$938="","",INDEX(_imp!$K$4:$K$4503,_imp!$C$938))</f>
        <v/>
      </c>
    </row>
    <row r="937">
      <c r="A937" s="54">
        <f>IF(_imp!$C$939="","",INDEX(_imp!$D$4:$D$4503,_imp!$C$939))</f>
        <v/>
      </c>
      <c r="B937" s="54">
        <f>IF(_imp!$C$939="","",INDEX(_imp!$E$4:$E$4503,_imp!$C$939))</f>
        <v/>
      </c>
      <c r="C937" s="54">
        <f>IF(_imp!$C$939="","",INDEX(_imp!$F$4:$F$4503,_imp!$C$939))</f>
        <v/>
      </c>
      <c r="D937" s="54">
        <f>IF(_imp!$C$939="","",INDEX(_imp!$G$4:$G$4503,_imp!$C$939))</f>
        <v/>
      </c>
      <c r="E937" s="54">
        <f>IF(_imp!$C$939="","",INDEX(_imp!$H$4:$H$4503,_imp!$C$939))</f>
        <v/>
      </c>
      <c r="F937" s="54">
        <f>IF(_imp!$C$939="","",INDEX(_imp!$I$4:$I$4503,_imp!$C$939))</f>
        <v/>
      </c>
      <c r="G937" s="54">
        <f>IF(_imp!$C$939="","",INDEX(_imp!$J$4:$J$4503,_imp!$C$939))</f>
        <v/>
      </c>
      <c r="K937" s="54">
        <f>IF(_imp!$C$939="","",INDEX(_imp!$K$4:$K$4503,_imp!$C$939))</f>
        <v/>
      </c>
    </row>
    <row r="938">
      <c r="A938" s="54">
        <f>IF(_imp!$C$940="","",INDEX(_imp!$D$4:$D$4503,_imp!$C$940))</f>
        <v/>
      </c>
      <c r="B938" s="54">
        <f>IF(_imp!$C$940="","",INDEX(_imp!$E$4:$E$4503,_imp!$C$940))</f>
        <v/>
      </c>
      <c r="C938" s="54">
        <f>IF(_imp!$C$940="","",INDEX(_imp!$F$4:$F$4503,_imp!$C$940))</f>
        <v/>
      </c>
      <c r="D938" s="54">
        <f>IF(_imp!$C$940="","",INDEX(_imp!$G$4:$G$4503,_imp!$C$940))</f>
        <v/>
      </c>
      <c r="E938" s="54">
        <f>IF(_imp!$C$940="","",INDEX(_imp!$H$4:$H$4503,_imp!$C$940))</f>
        <v/>
      </c>
      <c r="F938" s="54">
        <f>IF(_imp!$C$940="","",INDEX(_imp!$I$4:$I$4503,_imp!$C$940))</f>
        <v/>
      </c>
      <c r="G938" s="54">
        <f>IF(_imp!$C$940="","",INDEX(_imp!$J$4:$J$4503,_imp!$C$940))</f>
        <v/>
      </c>
      <c r="K938" s="54">
        <f>IF(_imp!$C$940="","",INDEX(_imp!$K$4:$K$4503,_imp!$C$940))</f>
        <v/>
      </c>
    </row>
    <row r="939">
      <c r="A939" s="54">
        <f>IF(_imp!$C$941="","",INDEX(_imp!$D$4:$D$4503,_imp!$C$941))</f>
        <v/>
      </c>
      <c r="B939" s="54">
        <f>IF(_imp!$C$941="","",INDEX(_imp!$E$4:$E$4503,_imp!$C$941))</f>
        <v/>
      </c>
      <c r="C939" s="54">
        <f>IF(_imp!$C$941="","",INDEX(_imp!$F$4:$F$4503,_imp!$C$941))</f>
        <v/>
      </c>
      <c r="D939" s="54">
        <f>IF(_imp!$C$941="","",INDEX(_imp!$G$4:$G$4503,_imp!$C$941))</f>
        <v/>
      </c>
      <c r="E939" s="54">
        <f>IF(_imp!$C$941="","",INDEX(_imp!$H$4:$H$4503,_imp!$C$941))</f>
        <v/>
      </c>
      <c r="F939" s="54">
        <f>IF(_imp!$C$941="","",INDEX(_imp!$I$4:$I$4503,_imp!$C$941))</f>
        <v/>
      </c>
      <c r="G939" s="54">
        <f>IF(_imp!$C$941="","",INDEX(_imp!$J$4:$J$4503,_imp!$C$941))</f>
        <v/>
      </c>
      <c r="K939" s="54">
        <f>IF(_imp!$C$941="","",INDEX(_imp!$K$4:$K$4503,_imp!$C$941))</f>
        <v/>
      </c>
    </row>
    <row r="940">
      <c r="A940" s="54">
        <f>IF(_imp!$C$942="","",INDEX(_imp!$D$4:$D$4503,_imp!$C$942))</f>
        <v/>
      </c>
      <c r="B940" s="54">
        <f>IF(_imp!$C$942="","",INDEX(_imp!$E$4:$E$4503,_imp!$C$942))</f>
        <v/>
      </c>
      <c r="C940" s="54">
        <f>IF(_imp!$C$942="","",INDEX(_imp!$F$4:$F$4503,_imp!$C$942))</f>
        <v/>
      </c>
      <c r="D940" s="54">
        <f>IF(_imp!$C$942="","",INDEX(_imp!$G$4:$G$4503,_imp!$C$942))</f>
        <v/>
      </c>
      <c r="E940" s="54">
        <f>IF(_imp!$C$942="","",INDEX(_imp!$H$4:$H$4503,_imp!$C$942))</f>
        <v/>
      </c>
      <c r="F940" s="54">
        <f>IF(_imp!$C$942="","",INDEX(_imp!$I$4:$I$4503,_imp!$C$942))</f>
        <v/>
      </c>
      <c r="G940" s="54">
        <f>IF(_imp!$C$942="","",INDEX(_imp!$J$4:$J$4503,_imp!$C$942))</f>
        <v/>
      </c>
      <c r="K940" s="54">
        <f>IF(_imp!$C$942="","",INDEX(_imp!$K$4:$K$4503,_imp!$C$942))</f>
        <v/>
      </c>
    </row>
    <row r="941">
      <c r="A941" s="54">
        <f>IF(_imp!$C$943="","",INDEX(_imp!$D$4:$D$4503,_imp!$C$943))</f>
        <v/>
      </c>
      <c r="B941" s="54">
        <f>IF(_imp!$C$943="","",INDEX(_imp!$E$4:$E$4503,_imp!$C$943))</f>
        <v/>
      </c>
      <c r="C941" s="54">
        <f>IF(_imp!$C$943="","",INDEX(_imp!$F$4:$F$4503,_imp!$C$943))</f>
        <v/>
      </c>
      <c r="D941" s="54">
        <f>IF(_imp!$C$943="","",INDEX(_imp!$G$4:$G$4503,_imp!$C$943))</f>
        <v/>
      </c>
      <c r="E941" s="54">
        <f>IF(_imp!$C$943="","",INDEX(_imp!$H$4:$H$4503,_imp!$C$943))</f>
        <v/>
      </c>
      <c r="F941" s="54">
        <f>IF(_imp!$C$943="","",INDEX(_imp!$I$4:$I$4503,_imp!$C$943))</f>
        <v/>
      </c>
      <c r="G941" s="54">
        <f>IF(_imp!$C$943="","",INDEX(_imp!$J$4:$J$4503,_imp!$C$943))</f>
        <v/>
      </c>
      <c r="K941" s="54">
        <f>IF(_imp!$C$943="","",INDEX(_imp!$K$4:$K$4503,_imp!$C$943))</f>
        <v/>
      </c>
    </row>
    <row r="942">
      <c r="A942" s="54">
        <f>IF(_imp!$C$944="","",INDEX(_imp!$D$4:$D$4503,_imp!$C$944))</f>
        <v/>
      </c>
      <c r="B942" s="54">
        <f>IF(_imp!$C$944="","",INDEX(_imp!$E$4:$E$4503,_imp!$C$944))</f>
        <v/>
      </c>
      <c r="C942" s="54">
        <f>IF(_imp!$C$944="","",INDEX(_imp!$F$4:$F$4503,_imp!$C$944))</f>
        <v/>
      </c>
      <c r="D942" s="54">
        <f>IF(_imp!$C$944="","",INDEX(_imp!$G$4:$G$4503,_imp!$C$944))</f>
        <v/>
      </c>
      <c r="E942" s="54">
        <f>IF(_imp!$C$944="","",INDEX(_imp!$H$4:$H$4503,_imp!$C$944))</f>
        <v/>
      </c>
      <c r="F942" s="54">
        <f>IF(_imp!$C$944="","",INDEX(_imp!$I$4:$I$4503,_imp!$C$944))</f>
        <v/>
      </c>
      <c r="G942" s="54">
        <f>IF(_imp!$C$944="","",INDEX(_imp!$J$4:$J$4503,_imp!$C$944))</f>
        <v/>
      </c>
      <c r="K942" s="54">
        <f>IF(_imp!$C$944="","",INDEX(_imp!$K$4:$K$4503,_imp!$C$944))</f>
        <v/>
      </c>
    </row>
    <row r="943">
      <c r="A943" s="54">
        <f>IF(_imp!$C$945="","",INDEX(_imp!$D$4:$D$4503,_imp!$C$945))</f>
        <v/>
      </c>
      <c r="B943" s="54">
        <f>IF(_imp!$C$945="","",INDEX(_imp!$E$4:$E$4503,_imp!$C$945))</f>
        <v/>
      </c>
      <c r="C943" s="54">
        <f>IF(_imp!$C$945="","",INDEX(_imp!$F$4:$F$4503,_imp!$C$945))</f>
        <v/>
      </c>
      <c r="D943" s="54">
        <f>IF(_imp!$C$945="","",INDEX(_imp!$G$4:$G$4503,_imp!$C$945))</f>
        <v/>
      </c>
      <c r="E943" s="54">
        <f>IF(_imp!$C$945="","",INDEX(_imp!$H$4:$H$4503,_imp!$C$945))</f>
        <v/>
      </c>
      <c r="F943" s="54">
        <f>IF(_imp!$C$945="","",INDEX(_imp!$I$4:$I$4503,_imp!$C$945))</f>
        <v/>
      </c>
      <c r="G943" s="54">
        <f>IF(_imp!$C$945="","",INDEX(_imp!$J$4:$J$4503,_imp!$C$945))</f>
        <v/>
      </c>
      <c r="K943" s="54">
        <f>IF(_imp!$C$945="","",INDEX(_imp!$K$4:$K$4503,_imp!$C$945))</f>
        <v/>
      </c>
    </row>
    <row r="944">
      <c r="A944" s="54">
        <f>IF(_imp!$C$946="","",INDEX(_imp!$D$4:$D$4503,_imp!$C$946))</f>
        <v/>
      </c>
      <c r="B944" s="54">
        <f>IF(_imp!$C$946="","",INDEX(_imp!$E$4:$E$4503,_imp!$C$946))</f>
        <v/>
      </c>
      <c r="C944" s="54">
        <f>IF(_imp!$C$946="","",INDEX(_imp!$F$4:$F$4503,_imp!$C$946))</f>
        <v/>
      </c>
      <c r="D944" s="54">
        <f>IF(_imp!$C$946="","",INDEX(_imp!$G$4:$G$4503,_imp!$C$946))</f>
        <v/>
      </c>
      <c r="E944" s="54">
        <f>IF(_imp!$C$946="","",INDEX(_imp!$H$4:$H$4503,_imp!$C$946))</f>
        <v/>
      </c>
      <c r="F944" s="54">
        <f>IF(_imp!$C$946="","",INDEX(_imp!$I$4:$I$4503,_imp!$C$946))</f>
        <v/>
      </c>
      <c r="G944" s="54">
        <f>IF(_imp!$C$946="","",INDEX(_imp!$J$4:$J$4503,_imp!$C$946))</f>
        <v/>
      </c>
      <c r="K944" s="54">
        <f>IF(_imp!$C$946="","",INDEX(_imp!$K$4:$K$4503,_imp!$C$946))</f>
        <v/>
      </c>
    </row>
    <row r="945">
      <c r="A945" s="54">
        <f>IF(_imp!$C$947="","",INDEX(_imp!$D$4:$D$4503,_imp!$C$947))</f>
        <v/>
      </c>
      <c r="B945" s="54">
        <f>IF(_imp!$C$947="","",INDEX(_imp!$E$4:$E$4503,_imp!$C$947))</f>
        <v/>
      </c>
      <c r="C945" s="54">
        <f>IF(_imp!$C$947="","",INDEX(_imp!$F$4:$F$4503,_imp!$C$947))</f>
        <v/>
      </c>
      <c r="D945" s="54">
        <f>IF(_imp!$C$947="","",INDEX(_imp!$G$4:$G$4503,_imp!$C$947))</f>
        <v/>
      </c>
      <c r="E945" s="54">
        <f>IF(_imp!$C$947="","",INDEX(_imp!$H$4:$H$4503,_imp!$C$947))</f>
        <v/>
      </c>
      <c r="F945" s="54">
        <f>IF(_imp!$C$947="","",INDEX(_imp!$I$4:$I$4503,_imp!$C$947))</f>
        <v/>
      </c>
      <c r="G945" s="54">
        <f>IF(_imp!$C$947="","",INDEX(_imp!$J$4:$J$4503,_imp!$C$947))</f>
        <v/>
      </c>
      <c r="K945" s="54">
        <f>IF(_imp!$C$947="","",INDEX(_imp!$K$4:$K$4503,_imp!$C$947))</f>
        <v/>
      </c>
    </row>
    <row r="946">
      <c r="A946" s="54">
        <f>IF(_imp!$C$948="","",INDEX(_imp!$D$4:$D$4503,_imp!$C$948))</f>
        <v/>
      </c>
      <c r="B946" s="54">
        <f>IF(_imp!$C$948="","",INDEX(_imp!$E$4:$E$4503,_imp!$C$948))</f>
        <v/>
      </c>
      <c r="C946" s="54">
        <f>IF(_imp!$C$948="","",INDEX(_imp!$F$4:$F$4503,_imp!$C$948))</f>
        <v/>
      </c>
      <c r="D946" s="54">
        <f>IF(_imp!$C$948="","",INDEX(_imp!$G$4:$G$4503,_imp!$C$948))</f>
        <v/>
      </c>
      <c r="E946" s="54">
        <f>IF(_imp!$C$948="","",INDEX(_imp!$H$4:$H$4503,_imp!$C$948))</f>
        <v/>
      </c>
      <c r="F946" s="54">
        <f>IF(_imp!$C$948="","",INDEX(_imp!$I$4:$I$4503,_imp!$C$948))</f>
        <v/>
      </c>
      <c r="G946" s="54">
        <f>IF(_imp!$C$948="","",INDEX(_imp!$J$4:$J$4503,_imp!$C$948))</f>
        <v/>
      </c>
      <c r="K946" s="54">
        <f>IF(_imp!$C$948="","",INDEX(_imp!$K$4:$K$4503,_imp!$C$948))</f>
        <v/>
      </c>
    </row>
    <row r="947">
      <c r="A947" s="54">
        <f>IF(_imp!$C$949="","",INDEX(_imp!$D$4:$D$4503,_imp!$C$949))</f>
        <v/>
      </c>
      <c r="B947" s="54">
        <f>IF(_imp!$C$949="","",INDEX(_imp!$E$4:$E$4503,_imp!$C$949))</f>
        <v/>
      </c>
      <c r="C947" s="54">
        <f>IF(_imp!$C$949="","",INDEX(_imp!$F$4:$F$4503,_imp!$C$949))</f>
        <v/>
      </c>
      <c r="D947" s="54">
        <f>IF(_imp!$C$949="","",INDEX(_imp!$G$4:$G$4503,_imp!$C$949))</f>
        <v/>
      </c>
      <c r="E947" s="54">
        <f>IF(_imp!$C$949="","",INDEX(_imp!$H$4:$H$4503,_imp!$C$949))</f>
        <v/>
      </c>
      <c r="F947" s="54">
        <f>IF(_imp!$C$949="","",INDEX(_imp!$I$4:$I$4503,_imp!$C$949))</f>
        <v/>
      </c>
      <c r="G947" s="54">
        <f>IF(_imp!$C$949="","",INDEX(_imp!$J$4:$J$4503,_imp!$C$949))</f>
        <v/>
      </c>
      <c r="K947" s="54">
        <f>IF(_imp!$C$949="","",INDEX(_imp!$K$4:$K$4503,_imp!$C$949))</f>
        <v/>
      </c>
    </row>
    <row r="948">
      <c r="A948" s="54">
        <f>IF(_imp!$C$950="","",INDEX(_imp!$D$4:$D$4503,_imp!$C$950))</f>
        <v/>
      </c>
      <c r="B948" s="54">
        <f>IF(_imp!$C$950="","",INDEX(_imp!$E$4:$E$4503,_imp!$C$950))</f>
        <v/>
      </c>
      <c r="C948" s="54">
        <f>IF(_imp!$C$950="","",INDEX(_imp!$F$4:$F$4503,_imp!$C$950))</f>
        <v/>
      </c>
      <c r="D948" s="54">
        <f>IF(_imp!$C$950="","",INDEX(_imp!$G$4:$G$4503,_imp!$C$950))</f>
        <v/>
      </c>
      <c r="E948" s="54">
        <f>IF(_imp!$C$950="","",INDEX(_imp!$H$4:$H$4503,_imp!$C$950))</f>
        <v/>
      </c>
      <c r="F948" s="54">
        <f>IF(_imp!$C$950="","",INDEX(_imp!$I$4:$I$4503,_imp!$C$950))</f>
        <v/>
      </c>
      <c r="G948" s="54">
        <f>IF(_imp!$C$950="","",INDEX(_imp!$J$4:$J$4503,_imp!$C$950))</f>
        <v/>
      </c>
      <c r="K948" s="54">
        <f>IF(_imp!$C$950="","",INDEX(_imp!$K$4:$K$4503,_imp!$C$950))</f>
        <v/>
      </c>
    </row>
    <row r="949">
      <c r="A949" s="54">
        <f>IF(_imp!$C$951="","",INDEX(_imp!$D$4:$D$4503,_imp!$C$951))</f>
        <v/>
      </c>
      <c r="B949" s="54">
        <f>IF(_imp!$C$951="","",INDEX(_imp!$E$4:$E$4503,_imp!$C$951))</f>
        <v/>
      </c>
      <c r="C949" s="54">
        <f>IF(_imp!$C$951="","",INDEX(_imp!$F$4:$F$4503,_imp!$C$951))</f>
        <v/>
      </c>
      <c r="D949" s="54">
        <f>IF(_imp!$C$951="","",INDEX(_imp!$G$4:$G$4503,_imp!$C$951))</f>
        <v/>
      </c>
      <c r="E949" s="54">
        <f>IF(_imp!$C$951="","",INDEX(_imp!$H$4:$H$4503,_imp!$C$951))</f>
        <v/>
      </c>
      <c r="F949" s="54">
        <f>IF(_imp!$C$951="","",INDEX(_imp!$I$4:$I$4503,_imp!$C$951))</f>
        <v/>
      </c>
      <c r="G949" s="54">
        <f>IF(_imp!$C$951="","",INDEX(_imp!$J$4:$J$4503,_imp!$C$951))</f>
        <v/>
      </c>
      <c r="K949" s="54">
        <f>IF(_imp!$C$951="","",INDEX(_imp!$K$4:$K$4503,_imp!$C$951))</f>
        <v/>
      </c>
    </row>
    <row r="950">
      <c r="A950" s="54">
        <f>IF(_imp!$C$952="","",INDEX(_imp!$D$4:$D$4503,_imp!$C$952))</f>
        <v/>
      </c>
      <c r="B950" s="54">
        <f>IF(_imp!$C$952="","",INDEX(_imp!$E$4:$E$4503,_imp!$C$952))</f>
        <v/>
      </c>
      <c r="C950" s="54">
        <f>IF(_imp!$C$952="","",INDEX(_imp!$F$4:$F$4503,_imp!$C$952))</f>
        <v/>
      </c>
      <c r="D950" s="54">
        <f>IF(_imp!$C$952="","",INDEX(_imp!$G$4:$G$4503,_imp!$C$952))</f>
        <v/>
      </c>
      <c r="E950" s="54">
        <f>IF(_imp!$C$952="","",INDEX(_imp!$H$4:$H$4503,_imp!$C$952))</f>
        <v/>
      </c>
      <c r="F950" s="54">
        <f>IF(_imp!$C$952="","",INDEX(_imp!$I$4:$I$4503,_imp!$C$952))</f>
        <v/>
      </c>
      <c r="G950" s="54">
        <f>IF(_imp!$C$952="","",INDEX(_imp!$J$4:$J$4503,_imp!$C$952))</f>
        <v/>
      </c>
      <c r="K950" s="54">
        <f>IF(_imp!$C$952="","",INDEX(_imp!$K$4:$K$4503,_imp!$C$952))</f>
        <v/>
      </c>
    </row>
    <row r="951">
      <c r="A951" s="54">
        <f>IF(_imp!$C$953="","",INDEX(_imp!$D$4:$D$4503,_imp!$C$953))</f>
        <v/>
      </c>
      <c r="B951" s="54">
        <f>IF(_imp!$C$953="","",INDEX(_imp!$E$4:$E$4503,_imp!$C$953))</f>
        <v/>
      </c>
      <c r="C951" s="54">
        <f>IF(_imp!$C$953="","",INDEX(_imp!$F$4:$F$4503,_imp!$C$953))</f>
        <v/>
      </c>
      <c r="D951" s="54">
        <f>IF(_imp!$C$953="","",INDEX(_imp!$G$4:$G$4503,_imp!$C$953))</f>
        <v/>
      </c>
      <c r="E951" s="54">
        <f>IF(_imp!$C$953="","",INDEX(_imp!$H$4:$H$4503,_imp!$C$953))</f>
        <v/>
      </c>
      <c r="F951" s="54">
        <f>IF(_imp!$C$953="","",INDEX(_imp!$I$4:$I$4503,_imp!$C$953))</f>
        <v/>
      </c>
      <c r="G951" s="54">
        <f>IF(_imp!$C$953="","",INDEX(_imp!$J$4:$J$4503,_imp!$C$953))</f>
        <v/>
      </c>
      <c r="K951" s="54">
        <f>IF(_imp!$C$953="","",INDEX(_imp!$K$4:$K$4503,_imp!$C$953))</f>
        <v/>
      </c>
    </row>
    <row r="952">
      <c r="A952" s="54">
        <f>IF(_imp!$C$954="","",INDEX(_imp!$D$4:$D$4503,_imp!$C$954))</f>
        <v/>
      </c>
      <c r="B952" s="54">
        <f>IF(_imp!$C$954="","",INDEX(_imp!$E$4:$E$4503,_imp!$C$954))</f>
        <v/>
      </c>
      <c r="C952" s="54">
        <f>IF(_imp!$C$954="","",INDEX(_imp!$F$4:$F$4503,_imp!$C$954))</f>
        <v/>
      </c>
      <c r="D952" s="54">
        <f>IF(_imp!$C$954="","",INDEX(_imp!$G$4:$G$4503,_imp!$C$954))</f>
        <v/>
      </c>
      <c r="E952" s="54">
        <f>IF(_imp!$C$954="","",INDEX(_imp!$H$4:$H$4503,_imp!$C$954))</f>
        <v/>
      </c>
      <c r="F952" s="54">
        <f>IF(_imp!$C$954="","",INDEX(_imp!$I$4:$I$4503,_imp!$C$954))</f>
        <v/>
      </c>
      <c r="G952" s="54">
        <f>IF(_imp!$C$954="","",INDEX(_imp!$J$4:$J$4503,_imp!$C$954))</f>
        <v/>
      </c>
      <c r="K952" s="54">
        <f>IF(_imp!$C$954="","",INDEX(_imp!$K$4:$K$4503,_imp!$C$954))</f>
        <v/>
      </c>
    </row>
    <row r="953">
      <c r="A953" s="54">
        <f>IF(_imp!$C$955="","",INDEX(_imp!$D$4:$D$4503,_imp!$C$955))</f>
        <v/>
      </c>
      <c r="B953" s="54">
        <f>IF(_imp!$C$955="","",INDEX(_imp!$E$4:$E$4503,_imp!$C$955))</f>
        <v/>
      </c>
      <c r="C953" s="54">
        <f>IF(_imp!$C$955="","",INDEX(_imp!$F$4:$F$4503,_imp!$C$955))</f>
        <v/>
      </c>
      <c r="D953" s="54">
        <f>IF(_imp!$C$955="","",INDEX(_imp!$G$4:$G$4503,_imp!$C$955))</f>
        <v/>
      </c>
      <c r="E953" s="54">
        <f>IF(_imp!$C$955="","",INDEX(_imp!$H$4:$H$4503,_imp!$C$955))</f>
        <v/>
      </c>
      <c r="F953" s="54">
        <f>IF(_imp!$C$955="","",INDEX(_imp!$I$4:$I$4503,_imp!$C$955))</f>
        <v/>
      </c>
      <c r="G953" s="54">
        <f>IF(_imp!$C$955="","",INDEX(_imp!$J$4:$J$4503,_imp!$C$955))</f>
        <v/>
      </c>
      <c r="K953" s="54">
        <f>IF(_imp!$C$955="","",INDEX(_imp!$K$4:$K$4503,_imp!$C$955))</f>
        <v/>
      </c>
    </row>
    <row r="954">
      <c r="A954" s="54">
        <f>IF(_imp!$C$956="","",INDEX(_imp!$D$4:$D$4503,_imp!$C$956))</f>
        <v/>
      </c>
      <c r="B954" s="54">
        <f>IF(_imp!$C$956="","",INDEX(_imp!$E$4:$E$4503,_imp!$C$956))</f>
        <v/>
      </c>
      <c r="C954" s="54">
        <f>IF(_imp!$C$956="","",INDEX(_imp!$F$4:$F$4503,_imp!$C$956))</f>
        <v/>
      </c>
      <c r="D954" s="54">
        <f>IF(_imp!$C$956="","",INDEX(_imp!$G$4:$G$4503,_imp!$C$956))</f>
        <v/>
      </c>
      <c r="E954" s="54">
        <f>IF(_imp!$C$956="","",INDEX(_imp!$H$4:$H$4503,_imp!$C$956))</f>
        <v/>
      </c>
      <c r="F954" s="54">
        <f>IF(_imp!$C$956="","",INDEX(_imp!$I$4:$I$4503,_imp!$C$956))</f>
        <v/>
      </c>
      <c r="G954" s="54">
        <f>IF(_imp!$C$956="","",INDEX(_imp!$J$4:$J$4503,_imp!$C$956))</f>
        <v/>
      </c>
      <c r="K954" s="54">
        <f>IF(_imp!$C$956="","",INDEX(_imp!$K$4:$K$4503,_imp!$C$956))</f>
        <v/>
      </c>
    </row>
    <row r="955">
      <c r="A955" s="54">
        <f>IF(_imp!$C$957="","",INDEX(_imp!$D$4:$D$4503,_imp!$C$957))</f>
        <v/>
      </c>
      <c r="B955" s="54">
        <f>IF(_imp!$C$957="","",INDEX(_imp!$E$4:$E$4503,_imp!$C$957))</f>
        <v/>
      </c>
      <c r="C955" s="54">
        <f>IF(_imp!$C$957="","",INDEX(_imp!$F$4:$F$4503,_imp!$C$957))</f>
        <v/>
      </c>
      <c r="D955" s="54">
        <f>IF(_imp!$C$957="","",INDEX(_imp!$G$4:$G$4503,_imp!$C$957))</f>
        <v/>
      </c>
      <c r="E955" s="54">
        <f>IF(_imp!$C$957="","",INDEX(_imp!$H$4:$H$4503,_imp!$C$957))</f>
        <v/>
      </c>
      <c r="F955" s="54">
        <f>IF(_imp!$C$957="","",INDEX(_imp!$I$4:$I$4503,_imp!$C$957))</f>
        <v/>
      </c>
      <c r="G955" s="54">
        <f>IF(_imp!$C$957="","",INDEX(_imp!$J$4:$J$4503,_imp!$C$957))</f>
        <v/>
      </c>
      <c r="K955" s="54">
        <f>IF(_imp!$C$957="","",INDEX(_imp!$K$4:$K$4503,_imp!$C$957))</f>
        <v/>
      </c>
    </row>
    <row r="956">
      <c r="A956" s="54">
        <f>IF(_imp!$C$958="","",INDEX(_imp!$D$4:$D$4503,_imp!$C$958))</f>
        <v/>
      </c>
      <c r="B956" s="54">
        <f>IF(_imp!$C$958="","",INDEX(_imp!$E$4:$E$4503,_imp!$C$958))</f>
        <v/>
      </c>
      <c r="C956" s="54">
        <f>IF(_imp!$C$958="","",INDEX(_imp!$F$4:$F$4503,_imp!$C$958))</f>
        <v/>
      </c>
      <c r="D956" s="54">
        <f>IF(_imp!$C$958="","",INDEX(_imp!$G$4:$G$4503,_imp!$C$958))</f>
        <v/>
      </c>
      <c r="E956" s="54">
        <f>IF(_imp!$C$958="","",INDEX(_imp!$H$4:$H$4503,_imp!$C$958))</f>
        <v/>
      </c>
      <c r="F956" s="54">
        <f>IF(_imp!$C$958="","",INDEX(_imp!$I$4:$I$4503,_imp!$C$958))</f>
        <v/>
      </c>
      <c r="G956" s="54">
        <f>IF(_imp!$C$958="","",INDEX(_imp!$J$4:$J$4503,_imp!$C$958))</f>
        <v/>
      </c>
      <c r="K956" s="54">
        <f>IF(_imp!$C$958="","",INDEX(_imp!$K$4:$K$4503,_imp!$C$958))</f>
        <v/>
      </c>
    </row>
    <row r="957">
      <c r="A957" s="54">
        <f>IF(_imp!$C$959="","",INDEX(_imp!$D$4:$D$4503,_imp!$C$959))</f>
        <v/>
      </c>
      <c r="B957" s="54">
        <f>IF(_imp!$C$959="","",INDEX(_imp!$E$4:$E$4503,_imp!$C$959))</f>
        <v/>
      </c>
      <c r="C957" s="54">
        <f>IF(_imp!$C$959="","",INDEX(_imp!$F$4:$F$4503,_imp!$C$959))</f>
        <v/>
      </c>
      <c r="D957" s="54">
        <f>IF(_imp!$C$959="","",INDEX(_imp!$G$4:$G$4503,_imp!$C$959))</f>
        <v/>
      </c>
      <c r="E957" s="54">
        <f>IF(_imp!$C$959="","",INDEX(_imp!$H$4:$H$4503,_imp!$C$959))</f>
        <v/>
      </c>
      <c r="F957" s="54">
        <f>IF(_imp!$C$959="","",INDEX(_imp!$I$4:$I$4503,_imp!$C$959))</f>
        <v/>
      </c>
      <c r="G957" s="54">
        <f>IF(_imp!$C$959="","",INDEX(_imp!$J$4:$J$4503,_imp!$C$959))</f>
        <v/>
      </c>
      <c r="K957" s="54">
        <f>IF(_imp!$C$959="","",INDEX(_imp!$K$4:$K$4503,_imp!$C$959))</f>
        <v/>
      </c>
    </row>
    <row r="958">
      <c r="A958" s="54">
        <f>IF(_imp!$C$960="","",INDEX(_imp!$D$4:$D$4503,_imp!$C$960))</f>
        <v/>
      </c>
      <c r="B958" s="54">
        <f>IF(_imp!$C$960="","",INDEX(_imp!$E$4:$E$4503,_imp!$C$960))</f>
        <v/>
      </c>
      <c r="C958" s="54">
        <f>IF(_imp!$C$960="","",INDEX(_imp!$F$4:$F$4503,_imp!$C$960))</f>
        <v/>
      </c>
      <c r="D958" s="54">
        <f>IF(_imp!$C$960="","",INDEX(_imp!$G$4:$G$4503,_imp!$C$960))</f>
        <v/>
      </c>
      <c r="E958" s="54">
        <f>IF(_imp!$C$960="","",INDEX(_imp!$H$4:$H$4503,_imp!$C$960))</f>
        <v/>
      </c>
      <c r="F958" s="54">
        <f>IF(_imp!$C$960="","",INDEX(_imp!$I$4:$I$4503,_imp!$C$960))</f>
        <v/>
      </c>
      <c r="G958" s="54">
        <f>IF(_imp!$C$960="","",INDEX(_imp!$J$4:$J$4503,_imp!$C$960))</f>
        <v/>
      </c>
      <c r="K958" s="54">
        <f>IF(_imp!$C$960="","",INDEX(_imp!$K$4:$K$4503,_imp!$C$960))</f>
        <v/>
      </c>
    </row>
    <row r="959">
      <c r="A959" s="54">
        <f>IF(_imp!$C$961="","",INDEX(_imp!$D$4:$D$4503,_imp!$C$961))</f>
        <v/>
      </c>
      <c r="B959" s="54">
        <f>IF(_imp!$C$961="","",INDEX(_imp!$E$4:$E$4503,_imp!$C$961))</f>
        <v/>
      </c>
      <c r="C959" s="54">
        <f>IF(_imp!$C$961="","",INDEX(_imp!$F$4:$F$4503,_imp!$C$961))</f>
        <v/>
      </c>
      <c r="D959" s="54">
        <f>IF(_imp!$C$961="","",INDEX(_imp!$G$4:$G$4503,_imp!$C$961))</f>
        <v/>
      </c>
      <c r="E959" s="54">
        <f>IF(_imp!$C$961="","",INDEX(_imp!$H$4:$H$4503,_imp!$C$961))</f>
        <v/>
      </c>
      <c r="F959" s="54">
        <f>IF(_imp!$C$961="","",INDEX(_imp!$I$4:$I$4503,_imp!$C$961))</f>
        <v/>
      </c>
      <c r="G959" s="54">
        <f>IF(_imp!$C$961="","",INDEX(_imp!$J$4:$J$4503,_imp!$C$961))</f>
        <v/>
      </c>
      <c r="K959" s="54">
        <f>IF(_imp!$C$961="","",INDEX(_imp!$K$4:$K$4503,_imp!$C$961))</f>
        <v/>
      </c>
    </row>
    <row r="960">
      <c r="A960" s="54">
        <f>IF(_imp!$C$962="","",INDEX(_imp!$D$4:$D$4503,_imp!$C$962))</f>
        <v/>
      </c>
      <c r="B960" s="54">
        <f>IF(_imp!$C$962="","",INDEX(_imp!$E$4:$E$4503,_imp!$C$962))</f>
        <v/>
      </c>
      <c r="C960" s="54">
        <f>IF(_imp!$C$962="","",INDEX(_imp!$F$4:$F$4503,_imp!$C$962))</f>
        <v/>
      </c>
      <c r="D960" s="54">
        <f>IF(_imp!$C$962="","",INDEX(_imp!$G$4:$G$4503,_imp!$C$962))</f>
        <v/>
      </c>
      <c r="E960" s="54">
        <f>IF(_imp!$C$962="","",INDEX(_imp!$H$4:$H$4503,_imp!$C$962))</f>
        <v/>
      </c>
      <c r="F960" s="54">
        <f>IF(_imp!$C$962="","",INDEX(_imp!$I$4:$I$4503,_imp!$C$962))</f>
        <v/>
      </c>
      <c r="G960" s="54">
        <f>IF(_imp!$C$962="","",INDEX(_imp!$J$4:$J$4503,_imp!$C$962))</f>
        <v/>
      </c>
      <c r="K960" s="54">
        <f>IF(_imp!$C$962="","",INDEX(_imp!$K$4:$K$4503,_imp!$C$962))</f>
        <v/>
      </c>
    </row>
    <row r="961">
      <c r="A961" s="54">
        <f>IF(_imp!$C$963="","",INDEX(_imp!$D$4:$D$4503,_imp!$C$963))</f>
        <v/>
      </c>
      <c r="B961" s="54">
        <f>IF(_imp!$C$963="","",INDEX(_imp!$E$4:$E$4503,_imp!$C$963))</f>
        <v/>
      </c>
      <c r="C961" s="54">
        <f>IF(_imp!$C$963="","",INDEX(_imp!$F$4:$F$4503,_imp!$C$963))</f>
        <v/>
      </c>
      <c r="D961" s="54">
        <f>IF(_imp!$C$963="","",INDEX(_imp!$G$4:$G$4503,_imp!$C$963))</f>
        <v/>
      </c>
      <c r="E961" s="54">
        <f>IF(_imp!$C$963="","",INDEX(_imp!$H$4:$H$4503,_imp!$C$963))</f>
        <v/>
      </c>
      <c r="F961" s="54">
        <f>IF(_imp!$C$963="","",INDEX(_imp!$I$4:$I$4503,_imp!$C$963))</f>
        <v/>
      </c>
      <c r="G961" s="54">
        <f>IF(_imp!$C$963="","",INDEX(_imp!$J$4:$J$4503,_imp!$C$963))</f>
        <v/>
      </c>
      <c r="K961" s="54">
        <f>IF(_imp!$C$963="","",INDEX(_imp!$K$4:$K$4503,_imp!$C$963))</f>
        <v/>
      </c>
    </row>
    <row r="962">
      <c r="A962" s="54">
        <f>IF(_imp!$C$964="","",INDEX(_imp!$D$4:$D$4503,_imp!$C$964))</f>
        <v/>
      </c>
      <c r="B962" s="54">
        <f>IF(_imp!$C$964="","",INDEX(_imp!$E$4:$E$4503,_imp!$C$964))</f>
        <v/>
      </c>
      <c r="C962" s="54">
        <f>IF(_imp!$C$964="","",INDEX(_imp!$F$4:$F$4503,_imp!$C$964))</f>
        <v/>
      </c>
      <c r="D962" s="54">
        <f>IF(_imp!$C$964="","",INDEX(_imp!$G$4:$G$4503,_imp!$C$964))</f>
        <v/>
      </c>
      <c r="E962" s="54">
        <f>IF(_imp!$C$964="","",INDEX(_imp!$H$4:$H$4503,_imp!$C$964))</f>
        <v/>
      </c>
      <c r="F962" s="54">
        <f>IF(_imp!$C$964="","",INDEX(_imp!$I$4:$I$4503,_imp!$C$964))</f>
        <v/>
      </c>
      <c r="G962" s="54">
        <f>IF(_imp!$C$964="","",INDEX(_imp!$J$4:$J$4503,_imp!$C$964))</f>
        <v/>
      </c>
      <c r="K962" s="54">
        <f>IF(_imp!$C$964="","",INDEX(_imp!$K$4:$K$4503,_imp!$C$964))</f>
        <v/>
      </c>
    </row>
    <row r="963">
      <c r="A963" s="54">
        <f>IF(_imp!$C$965="","",INDEX(_imp!$D$4:$D$4503,_imp!$C$965))</f>
        <v/>
      </c>
      <c r="B963" s="54">
        <f>IF(_imp!$C$965="","",INDEX(_imp!$E$4:$E$4503,_imp!$C$965))</f>
        <v/>
      </c>
      <c r="C963" s="54">
        <f>IF(_imp!$C$965="","",INDEX(_imp!$F$4:$F$4503,_imp!$C$965))</f>
        <v/>
      </c>
      <c r="D963" s="54">
        <f>IF(_imp!$C$965="","",INDEX(_imp!$G$4:$G$4503,_imp!$C$965))</f>
        <v/>
      </c>
      <c r="E963" s="54">
        <f>IF(_imp!$C$965="","",INDEX(_imp!$H$4:$H$4503,_imp!$C$965))</f>
        <v/>
      </c>
      <c r="F963" s="54">
        <f>IF(_imp!$C$965="","",INDEX(_imp!$I$4:$I$4503,_imp!$C$965))</f>
        <v/>
      </c>
      <c r="G963" s="54">
        <f>IF(_imp!$C$965="","",INDEX(_imp!$J$4:$J$4503,_imp!$C$965))</f>
        <v/>
      </c>
      <c r="K963" s="54">
        <f>IF(_imp!$C$965="","",INDEX(_imp!$K$4:$K$4503,_imp!$C$965))</f>
        <v/>
      </c>
    </row>
    <row r="964">
      <c r="A964" s="54">
        <f>IF(_imp!$C$966="","",INDEX(_imp!$D$4:$D$4503,_imp!$C$966))</f>
        <v/>
      </c>
      <c r="B964" s="54">
        <f>IF(_imp!$C$966="","",INDEX(_imp!$E$4:$E$4503,_imp!$C$966))</f>
        <v/>
      </c>
      <c r="C964" s="54">
        <f>IF(_imp!$C$966="","",INDEX(_imp!$F$4:$F$4503,_imp!$C$966))</f>
        <v/>
      </c>
      <c r="D964" s="54">
        <f>IF(_imp!$C$966="","",INDEX(_imp!$G$4:$G$4503,_imp!$C$966))</f>
        <v/>
      </c>
      <c r="E964" s="54">
        <f>IF(_imp!$C$966="","",INDEX(_imp!$H$4:$H$4503,_imp!$C$966))</f>
        <v/>
      </c>
      <c r="F964" s="54">
        <f>IF(_imp!$C$966="","",INDEX(_imp!$I$4:$I$4503,_imp!$C$966))</f>
        <v/>
      </c>
      <c r="G964" s="54">
        <f>IF(_imp!$C$966="","",INDEX(_imp!$J$4:$J$4503,_imp!$C$966))</f>
        <v/>
      </c>
      <c r="K964" s="54">
        <f>IF(_imp!$C$966="","",INDEX(_imp!$K$4:$K$4503,_imp!$C$966))</f>
        <v/>
      </c>
    </row>
    <row r="965">
      <c r="A965" s="54">
        <f>IF(_imp!$C$967="","",INDEX(_imp!$D$4:$D$4503,_imp!$C$967))</f>
        <v/>
      </c>
      <c r="B965" s="54">
        <f>IF(_imp!$C$967="","",INDEX(_imp!$E$4:$E$4503,_imp!$C$967))</f>
        <v/>
      </c>
      <c r="C965" s="54">
        <f>IF(_imp!$C$967="","",INDEX(_imp!$F$4:$F$4503,_imp!$C$967))</f>
        <v/>
      </c>
      <c r="D965" s="54">
        <f>IF(_imp!$C$967="","",INDEX(_imp!$G$4:$G$4503,_imp!$C$967))</f>
        <v/>
      </c>
      <c r="E965" s="54">
        <f>IF(_imp!$C$967="","",INDEX(_imp!$H$4:$H$4503,_imp!$C$967))</f>
        <v/>
      </c>
      <c r="F965" s="54">
        <f>IF(_imp!$C$967="","",INDEX(_imp!$I$4:$I$4503,_imp!$C$967))</f>
        <v/>
      </c>
      <c r="G965" s="54">
        <f>IF(_imp!$C$967="","",INDEX(_imp!$J$4:$J$4503,_imp!$C$967))</f>
        <v/>
      </c>
      <c r="K965" s="54">
        <f>IF(_imp!$C$967="","",INDEX(_imp!$K$4:$K$4503,_imp!$C$967))</f>
        <v/>
      </c>
    </row>
    <row r="966">
      <c r="A966" s="54">
        <f>IF(_imp!$C$968="","",INDEX(_imp!$D$4:$D$4503,_imp!$C$968))</f>
        <v/>
      </c>
      <c r="B966" s="54">
        <f>IF(_imp!$C$968="","",INDEX(_imp!$E$4:$E$4503,_imp!$C$968))</f>
        <v/>
      </c>
      <c r="C966" s="54">
        <f>IF(_imp!$C$968="","",INDEX(_imp!$F$4:$F$4503,_imp!$C$968))</f>
        <v/>
      </c>
      <c r="D966" s="54">
        <f>IF(_imp!$C$968="","",INDEX(_imp!$G$4:$G$4503,_imp!$C$968))</f>
        <v/>
      </c>
      <c r="E966" s="54">
        <f>IF(_imp!$C$968="","",INDEX(_imp!$H$4:$H$4503,_imp!$C$968))</f>
        <v/>
      </c>
      <c r="F966" s="54">
        <f>IF(_imp!$C$968="","",INDEX(_imp!$I$4:$I$4503,_imp!$C$968))</f>
        <v/>
      </c>
      <c r="G966" s="54">
        <f>IF(_imp!$C$968="","",INDEX(_imp!$J$4:$J$4503,_imp!$C$968))</f>
        <v/>
      </c>
      <c r="K966" s="54">
        <f>IF(_imp!$C$968="","",INDEX(_imp!$K$4:$K$4503,_imp!$C$968))</f>
        <v/>
      </c>
    </row>
    <row r="967">
      <c r="A967" s="54">
        <f>IF(_imp!$C$969="","",INDEX(_imp!$D$4:$D$4503,_imp!$C$969))</f>
        <v/>
      </c>
      <c r="B967" s="54">
        <f>IF(_imp!$C$969="","",INDEX(_imp!$E$4:$E$4503,_imp!$C$969))</f>
        <v/>
      </c>
      <c r="C967" s="54">
        <f>IF(_imp!$C$969="","",INDEX(_imp!$F$4:$F$4503,_imp!$C$969))</f>
        <v/>
      </c>
      <c r="D967" s="54">
        <f>IF(_imp!$C$969="","",INDEX(_imp!$G$4:$G$4503,_imp!$C$969))</f>
        <v/>
      </c>
      <c r="E967" s="54">
        <f>IF(_imp!$C$969="","",INDEX(_imp!$H$4:$H$4503,_imp!$C$969))</f>
        <v/>
      </c>
      <c r="F967" s="54">
        <f>IF(_imp!$C$969="","",INDEX(_imp!$I$4:$I$4503,_imp!$C$969))</f>
        <v/>
      </c>
      <c r="G967" s="54">
        <f>IF(_imp!$C$969="","",INDEX(_imp!$J$4:$J$4503,_imp!$C$969))</f>
        <v/>
      </c>
      <c r="K967" s="54">
        <f>IF(_imp!$C$969="","",INDEX(_imp!$K$4:$K$4503,_imp!$C$969))</f>
        <v/>
      </c>
    </row>
    <row r="968">
      <c r="A968" s="54">
        <f>IF(_imp!$C$970="","",INDEX(_imp!$D$4:$D$4503,_imp!$C$970))</f>
        <v/>
      </c>
      <c r="B968" s="54">
        <f>IF(_imp!$C$970="","",INDEX(_imp!$E$4:$E$4503,_imp!$C$970))</f>
        <v/>
      </c>
      <c r="C968" s="54">
        <f>IF(_imp!$C$970="","",INDEX(_imp!$F$4:$F$4503,_imp!$C$970))</f>
        <v/>
      </c>
      <c r="D968" s="54">
        <f>IF(_imp!$C$970="","",INDEX(_imp!$G$4:$G$4503,_imp!$C$970))</f>
        <v/>
      </c>
      <c r="E968" s="54">
        <f>IF(_imp!$C$970="","",INDEX(_imp!$H$4:$H$4503,_imp!$C$970))</f>
        <v/>
      </c>
      <c r="F968" s="54">
        <f>IF(_imp!$C$970="","",INDEX(_imp!$I$4:$I$4503,_imp!$C$970))</f>
        <v/>
      </c>
      <c r="G968" s="54">
        <f>IF(_imp!$C$970="","",INDEX(_imp!$J$4:$J$4503,_imp!$C$970))</f>
        <v/>
      </c>
      <c r="K968" s="54">
        <f>IF(_imp!$C$970="","",INDEX(_imp!$K$4:$K$4503,_imp!$C$970))</f>
        <v/>
      </c>
    </row>
    <row r="969">
      <c r="A969" s="54">
        <f>IF(_imp!$C$971="","",INDEX(_imp!$D$4:$D$4503,_imp!$C$971))</f>
        <v/>
      </c>
      <c r="B969" s="54">
        <f>IF(_imp!$C$971="","",INDEX(_imp!$E$4:$E$4503,_imp!$C$971))</f>
        <v/>
      </c>
      <c r="C969" s="54">
        <f>IF(_imp!$C$971="","",INDEX(_imp!$F$4:$F$4503,_imp!$C$971))</f>
        <v/>
      </c>
      <c r="D969" s="54">
        <f>IF(_imp!$C$971="","",INDEX(_imp!$G$4:$G$4503,_imp!$C$971))</f>
        <v/>
      </c>
      <c r="E969" s="54">
        <f>IF(_imp!$C$971="","",INDEX(_imp!$H$4:$H$4503,_imp!$C$971))</f>
        <v/>
      </c>
      <c r="F969" s="54">
        <f>IF(_imp!$C$971="","",INDEX(_imp!$I$4:$I$4503,_imp!$C$971))</f>
        <v/>
      </c>
      <c r="G969" s="54">
        <f>IF(_imp!$C$971="","",INDEX(_imp!$J$4:$J$4503,_imp!$C$971))</f>
        <v/>
      </c>
      <c r="K969" s="54">
        <f>IF(_imp!$C$971="","",INDEX(_imp!$K$4:$K$4503,_imp!$C$971))</f>
        <v/>
      </c>
    </row>
    <row r="970">
      <c r="A970" s="54">
        <f>IF(_imp!$C$972="","",INDEX(_imp!$D$4:$D$4503,_imp!$C$972))</f>
        <v/>
      </c>
      <c r="B970" s="54">
        <f>IF(_imp!$C$972="","",INDEX(_imp!$E$4:$E$4503,_imp!$C$972))</f>
        <v/>
      </c>
      <c r="C970" s="54">
        <f>IF(_imp!$C$972="","",INDEX(_imp!$F$4:$F$4503,_imp!$C$972))</f>
        <v/>
      </c>
      <c r="D970" s="54">
        <f>IF(_imp!$C$972="","",INDEX(_imp!$G$4:$G$4503,_imp!$C$972))</f>
        <v/>
      </c>
      <c r="E970" s="54">
        <f>IF(_imp!$C$972="","",INDEX(_imp!$H$4:$H$4503,_imp!$C$972))</f>
        <v/>
      </c>
      <c r="F970" s="54">
        <f>IF(_imp!$C$972="","",INDEX(_imp!$I$4:$I$4503,_imp!$C$972))</f>
        <v/>
      </c>
      <c r="G970" s="54">
        <f>IF(_imp!$C$972="","",INDEX(_imp!$J$4:$J$4503,_imp!$C$972))</f>
        <v/>
      </c>
      <c r="K970" s="54">
        <f>IF(_imp!$C$972="","",INDEX(_imp!$K$4:$K$4503,_imp!$C$972))</f>
        <v/>
      </c>
    </row>
    <row r="971">
      <c r="A971" s="54">
        <f>IF(_imp!$C$973="","",INDEX(_imp!$D$4:$D$4503,_imp!$C$973))</f>
        <v/>
      </c>
      <c r="B971" s="54">
        <f>IF(_imp!$C$973="","",INDEX(_imp!$E$4:$E$4503,_imp!$C$973))</f>
        <v/>
      </c>
      <c r="C971" s="54">
        <f>IF(_imp!$C$973="","",INDEX(_imp!$F$4:$F$4503,_imp!$C$973))</f>
        <v/>
      </c>
      <c r="D971" s="54">
        <f>IF(_imp!$C$973="","",INDEX(_imp!$G$4:$G$4503,_imp!$C$973))</f>
        <v/>
      </c>
      <c r="E971" s="54">
        <f>IF(_imp!$C$973="","",INDEX(_imp!$H$4:$H$4503,_imp!$C$973))</f>
        <v/>
      </c>
      <c r="F971" s="54">
        <f>IF(_imp!$C$973="","",INDEX(_imp!$I$4:$I$4503,_imp!$C$973))</f>
        <v/>
      </c>
      <c r="G971" s="54">
        <f>IF(_imp!$C$973="","",INDEX(_imp!$J$4:$J$4503,_imp!$C$973))</f>
        <v/>
      </c>
      <c r="K971" s="54">
        <f>IF(_imp!$C$973="","",INDEX(_imp!$K$4:$K$4503,_imp!$C$973))</f>
        <v/>
      </c>
    </row>
    <row r="972">
      <c r="A972" s="54">
        <f>IF(_imp!$C$974="","",INDEX(_imp!$D$4:$D$4503,_imp!$C$974))</f>
        <v/>
      </c>
      <c r="B972" s="54">
        <f>IF(_imp!$C$974="","",INDEX(_imp!$E$4:$E$4503,_imp!$C$974))</f>
        <v/>
      </c>
      <c r="C972" s="54">
        <f>IF(_imp!$C$974="","",INDEX(_imp!$F$4:$F$4503,_imp!$C$974))</f>
        <v/>
      </c>
      <c r="D972" s="54">
        <f>IF(_imp!$C$974="","",INDEX(_imp!$G$4:$G$4503,_imp!$C$974))</f>
        <v/>
      </c>
      <c r="E972" s="54">
        <f>IF(_imp!$C$974="","",INDEX(_imp!$H$4:$H$4503,_imp!$C$974))</f>
        <v/>
      </c>
      <c r="F972" s="54">
        <f>IF(_imp!$C$974="","",INDEX(_imp!$I$4:$I$4503,_imp!$C$974))</f>
        <v/>
      </c>
      <c r="G972" s="54">
        <f>IF(_imp!$C$974="","",INDEX(_imp!$J$4:$J$4503,_imp!$C$974))</f>
        <v/>
      </c>
      <c r="K972" s="54">
        <f>IF(_imp!$C$974="","",INDEX(_imp!$K$4:$K$4503,_imp!$C$974))</f>
        <v/>
      </c>
    </row>
    <row r="973">
      <c r="A973" s="54">
        <f>IF(_imp!$C$975="","",INDEX(_imp!$D$4:$D$4503,_imp!$C$975))</f>
        <v/>
      </c>
      <c r="B973" s="54">
        <f>IF(_imp!$C$975="","",INDEX(_imp!$E$4:$E$4503,_imp!$C$975))</f>
        <v/>
      </c>
      <c r="C973" s="54">
        <f>IF(_imp!$C$975="","",INDEX(_imp!$F$4:$F$4503,_imp!$C$975))</f>
        <v/>
      </c>
      <c r="D973" s="54">
        <f>IF(_imp!$C$975="","",INDEX(_imp!$G$4:$G$4503,_imp!$C$975))</f>
        <v/>
      </c>
      <c r="E973" s="54">
        <f>IF(_imp!$C$975="","",INDEX(_imp!$H$4:$H$4503,_imp!$C$975))</f>
        <v/>
      </c>
      <c r="F973" s="54">
        <f>IF(_imp!$C$975="","",INDEX(_imp!$I$4:$I$4503,_imp!$C$975))</f>
        <v/>
      </c>
      <c r="G973" s="54">
        <f>IF(_imp!$C$975="","",INDEX(_imp!$J$4:$J$4503,_imp!$C$975))</f>
        <v/>
      </c>
      <c r="K973" s="54">
        <f>IF(_imp!$C$975="","",INDEX(_imp!$K$4:$K$4503,_imp!$C$975))</f>
        <v/>
      </c>
    </row>
    <row r="974">
      <c r="A974" s="54">
        <f>IF(_imp!$C$976="","",INDEX(_imp!$D$4:$D$4503,_imp!$C$976))</f>
        <v/>
      </c>
      <c r="B974" s="54">
        <f>IF(_imp!$C$976="","",INDEX(_imp!$E$4:$E$4503,_imp!$C$976))</f>
        <v/>
      </c>
      <c r="C974" s="54">
        <f>IF(_imp!$C$976="","",INDEX(_imp!$F$4:$F$4503,_imp!$C$976))</f>
        <v/>
      </c>
      <c r="D974" s="54">
        <f>IF(_imp!$C$976="","",INDEX(_imp!$G$4:$G$4503,_imp!$C$976))</f>
        <v/>
      </c>
      <c r="E974" s="54">
        <f>IF(_imp!$C$976="","",INDEX(_imp!$H$4:$H$4503,_imp!$C$976))</f>
        <v/>
      </c>
      <c r="F974" s="54">
        <f>IF(_imp!$C$976="","",INDEX(_imp!$I$4:$I$4503,_imp!$C$976))</f>
        <v/>
      </c>
      <c r="G974" s="54">
        <f>IF(_imp!$C$976="","",INDEX(_imp!$J$4:$J$4503,_imp!$C$976))</f>
        <v/>
      </c>
      <c r="K974" s="54">
        <f>IF(_imp!$C$976="","",INDEX(_imp!$K$4:$K$4503,_imp!$C$976))</f>
        <v/>
      </c>
    </row>
    <row r="975">
      <c r="A975" s="54">
        <f>IF(_imp!$C$977="","",INDEX(_imp!$D$4:$D$4503,_imp!$C$977))</f>
        <v/>
      </c>
      <c r="B975" s="54">
        <f>IF(_imp!$C$977="","",INDEX(_imp!$E$4:$E$4503,_imp!$C$977))</f>
        <v/>
      </c>
      <c r="C975" s="54">
        <f>IF(_imp!$C$977="","",INDEX(_imp!$F$4:$F$4503,_imp!$C$977))</f>
        <v/>
      </c>
      <c r="D975" s="54">
        <f>IF(_imp!$C$977="","",INDEX(_imp!$G$4:$G$4503,_imp!$C$977))</f>
        <v/>
      </c>
      <c r="E975" s="54">
        <f>IF(_imp!$C$977="","",INDEX(_imp!$H$4:$H$4503,_imp!$C$977))</f>
        <v/>
      </c>
      <c r="F975" s="54">
        <f>IF(_imp!$C$977="","",INDEX(_imp!$I$4:$I$4503,_imp!$C$977))</f>
        <v/>
      </c>
      <c r="G975" s="54">
        <f>IF(_imp!$C$977="","",INDEX(_imp!$J$4:$J$4503,_imp!$C$977))</f>
        <v/>
      </c>
      <c r="K975" s="54">
        <f>IF(_imp!$C$977="","",INDEX(_imp!$K$4:$K$4503,_imp!$C$977))</f>
        <v/>
      </c>
    </row>
    <row r="976">
      <c r="A976" s="54">
        <f>IF(_imp!$C$978="","",INDEX(_imp!$D$4:$D$4503,_imp!$C$978))</f>
        <v/>
      </c>
      <c r="B976" s="54">
        <f>IF(_imp!$C$978="","",INDEX(_imp!$E$4:$E$4503,_imp!$C$978))</f>
        <v/>
      </c>
      <c r="C976" s="54">
        <f>IF(_imp!$C$978="","",INDEX(_imp!$F$4:$F$4503,_imp!$C$978))</f>
        <v/>
      </c>
      <c r="D976" s="54">
        <f>IF(_imp!$C$978="","",INDEX(_imp!$G$4:$G$4503,_imp!$C$978))</f>
        <v/>
      </c>
      <c r="E976" s="54">
        <f>IF(_imp!$C$978="","",INDEX(_imp!$H$4:$H$4503,_imp!$C$978))</f>
        <v/>
      </c>
      <c r="F976" s="54">
        <f>IF(_imp!$C$978="","",INDEX(_imp!$I$4:$I$4503,_imp!$C$978))</f>
        <v/>
      </c>
      <c r="G976" s="54">
        <f>IF(_imp!$C$978="","",INDEX(_imp!$J$4:$J$4503,_imp!$C$978))</f>
        <v/>
      </c>
      <c r="K976" s="54">
        <f>IF(_imp!$C$978="","",INDEX(_imp!$K$4:$K$4503,_imp!$C$978))</f>
        <v/>
      </c>
    </row>
    <row r="977">
      <c r="A977" s="54">
        <f>IF(_imp!$C$979="","",INDEX(_imp!$D$4:$D$4503,_imp!$C$979))</f>
        <v/>
      </c>
      <c r="B977" s="54">
        <f>IF(_imp!$C$979="","",INDEX(_imp!$E$4:$E$4503,_imp!$C$979))</f>
        <v/>
      </c>
      <c r="C977" s="54">
        <f>IF(_imp!$C$979="","",INDEX(_imp!$F$4:$F$4503,_imp!$C$979))</f>
        <v/>
      </c>
      <c r="D977" s="54">
        <f>IF(_imp!$C$979="","",INDEX(_imp!$G$4:$G$4503,_imp!$C$979))</f>
        <v/>
      </c>
      <c r="E977" s="54">
        <f>IF(_imp!$C$979="","",INDEX(_imp!$H$4:$H$4503,_imp!$C$979))</f>
        <v/>
      </c>
      <c r="F977" s="54">
        <f>IF(_imp!$C$979="","",INDEX(_imp!$I$4:$I$4503,_imp!$C$979))</f>
        <v/>
      </c>
      <c r="G977" s="54">
        <f>IF(_imp!$C$979="","",INDEX(_imp!$J$4:$J$4503,_imp!$C$979))</f>
        <v/>
      </c>
      <c r="K977" s="54">
        <f>IF(_imp!$C$979="","",INDEX(_imp!$K$4:$K$4503,_imp!$C$979))</f>
        <v/>
      </c>
    </row>
    <row r="978">
      <c r="A978" s="54">
        <f>IF(_imp!$C$980="","",INDEX(_imp!$D$4:$D$4503,_imp!$C$980))</f>
        <v/>
      </c>
      <c r="B978" s="54">
        <f>IF(_imp!$C$980="","",INDEX(_imp!$E$4:$E$4503,_imp!$C$980))</f>
        <v/>
      </c>
      <c r="C978" s="54">
        <f>IF(_imp!$C$980="","",INDEX(_imp!$F$4:$F$4503,_imp!$C$980))</f>
        <v/>
      </c>
      <c r="D978" s="54">
        <f>IF(_imp!$C$980="","",INDEX(_imp!$G$4:$G$4503,_imp!$C$980))</f>
        <v/>
      </c>
      <c r="E978" s="54">
        <f>IF(_imp!$C$980="","",INDEX(_imp!$H$4:$H$4503,_imp!$C$980))</f>
        <v/>
      </c>
      <c r="F978" s="54">
        <f>IF(_imp!$C$980="","",INDEX(_imp!$I$4:$I$4503,_imp!$C$980))</f>
        <v/>
      </c>
      <c r="G978" s="54">
        <f>IF(_imp!$C$980="","",INDEX(_imp!$J$4:$J$4503,_imp!$C$980))</f>
        <v/>
      </c>
      <c r="K978" s="54">
        <f>IF(_imp!$C$980="","",INDEX(_imp!$K$4:$K$4503,_imp!$C$980))</f>
        <v/>
      </c>
    </row>
    <row r="979">
      <c r="A979" s="54">
        <f>IF(_imp!$C$981="","",INDEX(_imp!$D$4:$D$4503,_imp!$C$981))</f>
        <v/>
      </c>
      <c r="B979" s="54">
        <f>IF(_imp!$C$981="","",INDEX(_imp!$E$4:$E$4503,_imp!$C$981))</f>
        <v/>
      </c>
      <c r="C979" s="54">
        <f>IF(_imp!$C$981="","",INDEX(_imp!$F$4:$F$4503,_imp!$C$981))</f>
        <v/>
      </c>
      <c r="D979" s="54">
        <f>IF(_imp!$C$981="","",INDEX(_imp!$G$4:$G$4503,_imp!$C$981))</f>
        <v/>
      </c>
      <c r="E979" s="54">
        <f>IF(_imp!$C$981="","",INDEX(_imp!$H$4:$H$4503,_imp!$C$981))</f>
        <v/>
      </c>
      <c r="F979" s="54">
        <f>IF(_imp!$C$981="","",INDEX(_imp!$I$4:$I$4503,_imp!$C$981))</f>
        <v/>
      </c>
      <c r="G979" s="54">
        <f>IF(_imp!$C$981="","",INDEX(_imp!$J$4:$J$4503,_imp!$C$981))</f>
        <v/>
      </c>
      <c r="K979" s="54">
        <f>IF(_imp!$C$981="","",INDEX(_imp!$K$4:$K$4503,_imp!$C$981))</f>
        <v/>
      </c>
    </row>
    <row r="980">
      <c r="A980" s="54">
        <f>IF(_imp!$C$982="","",INDEX(_imp!$D$4:$D$4503,_imp!$C$982))</f>
        <v/>
      </c>
      <c r="B980" s="54">
        <f>IF(_imp!$C$982="","",INDEX(_imp!$E$4:$E$4503,_imp!$C$982))</f>
        <v/>
      </c>
      <c r="C980" s="54">
        <f>IF(_imp!$C$982="","",INDEX(_imp!$F$4:$F$4503,_imp!$C$982))</f>
        <v/>
      </c>
      <c r="D980" s="54">
        <f>IF(_imp!$C$982="","",INDEX(_imp!$G$4:$G$4503,_imp!$C$982))</f>
        <v/>
      </c>
      <c r="E980" s="54">
        <f>IF(_imp!$C$982="","",INDEX(_imp!$H$4:$H$4503,_imp!$C$982))</f>
        <v/>
      </c>
      <c r="F980" s="54">
        <f>IF(_imp!$C$982="","",INDEX(_imp!$I$4:$I$4503,_imp!$C$982))</f>
        <v/>
      </c>
      <c r="G980" s="54">
        <f>IF(_imp!$C$982="","",INDEX(_imp!$J$4:$J$4503,_imp!$C$982))</f>
        <v/>
      </c>
      <c r="K980" s="54">
        <f>IF(_imp!$C$982="","",INDEX(_imp!$K$4:$K$4503,_imp!$C$982))</f>
        <v/>
      </c>
    </row>
    <row r="981">
      <c r="A981" s="54">
        <f>IF(_imp!$C$983="","",INDEX(_imp!$D$4:$D$4503,_imp!$C$983))</f>
        <v/>
      </c>
      <c r="B981" s="54">
        <f>IF(_imp!$C$983="","",INDEX(_imp!$E$4:$E$4503,_imp!$C$983))</f>
        <v/>
      </c>
      <c r="C981" s="54">
        <f>IF(_imp!$C$983="","",INDEX(_imp!$F$4:$F$4503,_imp!$C$983))</f>
        <v/>
      </c>
      <c r="D981" s="54">
        <f>IF(_imp!$C$983="","",INDEX(_imp!$G$4:$G$4503,_imp!$C$983))</f>
        <v/>
      </c>
      <c r="E981" s="54">
        <f>IF(_imp!$C$983="","",INDEX(_imp!$H$4:$H$4503,_imp!$C$983))</f>
        <v/>
      </c>
      <c r="F981" s="54">
        <f>IF(_imp!$C$983="","",INDEX(_imp!$I$4:$I$4503,_imp!$C$983))</f>
        <v/>
      </c>
      <c r="G981" s="54">
        <f>IF(_imp!$C$983="","",INDEX(_imp!$J$4:$J$4503,_imp!$C$983))</f>
        <v/>
      </c>
      <c r="K981" s="54">
        <f>IF(_imp!$C$983="","",INDEX(_imp!$K$4:$K$4503,_imp!$C$983))</f>
        <v/>
      </c>
    </row>
    <row r="982">
      <c r="A982" s="54">
        <f>IF(_imp!$C$984="","",INDEX(_imp!$D$4:$D$4503,_imp!$C$984))</f>
        <v/>
      </c>
      <c r="B982" s="54">
        <f>IF(_imp!$C$984="","",INDEX(_imp!$E$4:$E$4503,_imp!$C$984))</f>
        <v/>
      </c>
      <c r="C982" s="54">
        <f>IF(_imp!$C$984="","",INDEX(_imp!$F$4:$F$4503,_imp!$C$984))</f>
        <v/>
      </c>
      <c r="D982" s="54">
        <f>IF(_imp!$C$984="","",INDEX(_imp!$G$4:$G$4503,_imp!$C$984))</f>
        <v/>
      </c>
      <c r="E982" s="54">
        <f>IF(_imp!$C$984="","",INDEX(_imp!$H$4:$H$4503,_imp!$C$984))</f>
        <v/>
      </c>
      <c r="F982" s="54">
        <f>IF(_imp!$C$984="","",INDEX(_imp!$I$4:$I$4503,_imp!$C$984))</f>
        <v/>
      </c>
      <c r="G982" s="54">
        <f>IF(_imp!$C$984="","",INDEX(_imp!$J$4:$J$4503,_imp!$C$984))</f>
        <v/>
      </c>
      <c r="K982" s="54">
        <f>IF(_imp!$C$984="","",INDEX(_imp!$K$4:$K$4503,_imp!$C$984))</f>
        <v/>
      </c>
    </row>
    <row r="983">
      <c r="A983" s="54">
        <f>IF(_imp!$C$985="","",INDEX(_imp!$D$4:$D$4503,_imp!$C$985))</f>
        <v/>
      </c>
      <c r="B983" s="54">
        <f>IF(_imp!$C$985="","",INDEX(_imp!$E$4:$E$4503,_imp!$C$985))</f>
        <v/>
      </c>
      <c r="C983" s="54">
        <f>IF(_imp!$C$985="","",INDEX(_imp!$F$4:$F$4503,_imp!$C$985))</f>
        <v/>
      </c>
      <c r="D983" s="54">
        <f>IF(_imp!$C$985="","",INDEX(_imp!$G$4:$G$4503,_imp!$C$985))</f>
        <v/>
      </c>
      <c r="E983" s="54">
        <f>IF(_imp!$C$985="","",INDEX(_imp!$H$4:$H$4503,_imp!$C$985))</f>
        <v/>
      </c>
      <c r="F983" s="54">
        <f>IF(_imp!$C$985="","",INDEX(_imp!$I$4:$I$4503,_imp!$C$985))</f>
        <v/>
      </c>
      <c r="G983" s="54">
        <f>IF(_imp!$C$985="","",INDEX(_imp!$J$4:$J$4503,_imp!$C$985))</f>
        <v/>
      </c>
      <c r="K983" s="54">
        <f>IF(_imp!$C$985="","",INDEX(_imp!$K$4:$K$4503,_imp!$C$985))</f>
        <v/>
      </c>
    </row>
    <row r="984">
      <c r="A984" s="54">
        <f>IF(_imp!$C$986="","",INDEX(_imp!$D$4:$D$4503,_imp!$C$986))</f>
        <v/>
      </c>
      <c r="B984" s="54">
        <f>IF(_imp!$C$986="","",INDEX(_imp!$E$4:$E$4503,_imp!$C$986))</f>
        <v/>
      </c>
      <c r="C984" s="54">
        <f>IF(_imp!$C$986="","",INDEX(_imp!$F$4:$F$4503,_imp!$C$986))</f>
        <v/>
      </c>
      <c r="D984" s="54">
        <f>IF(_imp!$C$986="","",INDEX(_imp!$G$4:$G$4503,_imp!$C$986))</f>
        <v/>
      </c>
      <c r="E984" s="54">
        <f>IF(_imp!$C$986="","",INDEX(_imp!$H$4:$H$4503,_imp!$C$986))</f>
        <v/>
      </c>
      <c r="F984" s="54">
        <f>IF(_imp!$C$986="","",INDEX(_imp!$I$4:$I$4503,_imp!$C$986))</f>
        <v/>
      </c>
      <c r="G984" s="54">
        <f>IF(_imp!$C$986="","",INDEX(_imp!$J$4:$J$4503,_imp!$C$986))</f>
        <v/>
      </c>
      <c r="K984" s="54">
        <f>IF(_imp!$C$986="","",INDEX(_imp!$K$4:$K$4503,_imp!$C$986))</f>
        <v/>
      </c>
    </row>
    <row r="985">
      <c r="A985" s="54">
        <f>IF(_imp!$C$987="","",INDEX(_imp!$D$4:$D$4503,_imp!$C$987))</f>
        <v/>
      </c>
      <c r="B985" s="54">
        <f>IF(_imp!$C$987="","",INDEX(_imp!$E$4:$E$4503,_imp!$C$987))</f>
        <v/>
      </c>
      <c r="C985" s="54">
        <f>IF(_imp!$C$987="","",INDEX(_imp!$F$4:$F$4503,_imp!$C$987))</f>
        <v/>
      </c>
      <c r="D985" s="54">
        <f>IF(_imp!$C$987="","",INDEX(_imp!$G$4:$G$4503,_imp!$C$987))</f>
        <v/>
      </c>
      <c r="E985" s="54">
        <f>IF(_imp!$C$987="","",INDEX(_imp!$H$4:$H$4503,_imp!$C$987))</f>
        <v/>
      </c>
      <c r="F985" s="54">
        <f>IF(_imp!$C$987="","",INDEX(_imp!$I$4:$I$4503,_imp!$C$987))</f>
        <v/>
      </c>
      <c r="G985" s="54">
        <f>IF(_imp!$C$987="","",INDEX(_imp!$J$4:$J$4503,_imp!$C$987))</f>
        <v/>
      </c>
      <c r="K985" s="54">
        <f>IF(_imp!$C$987="","",INDEX(_imp!$K$4:$K$4503,_imp!$C$987))</f>
        <v/>
      </c>
    </row>
    <row r="986">
      <c r="A986" s="54">
        <f>IF(_imp!$C$988="","",INDEX(_imp!$D$4:$D$4503,_imp!$C$988))</f>
        <v/>
      </c>
      <c r="B986" s="54">
        <f>IF(_imp!$C$988="","",INDEX(_imp!$E$4:$E$4503,_imp!$C$988))</f>
        <v/>
      </c>
      <c r="C986" s="54">
        <f>IF(_imp!$C$988="","",INDEX(_imp!$F$4:$F$4503,_imp!$C$988))</f>
        <v/>
      </c>
      <c r="D986" s="54">
        <f>IF(_imp!$C$988="","",INDEX(_imp!$G$4:$G$4503,_imp!$C$988))</f>
        <v/>
      </c>
      <c r="E986" s="54">
        <f>IF(_imp!$C$988="","",INDEX(_imp!$H$4:$H$4503,_imp!$C$988))</f>
        <v/>
      </c>
      <c r="F986" s="54">
        <f>IF(_imp!$C$988="","",INDEX(_imp!$I$4:$I$4503,_imp!$C$988))</f>
        <v/>
      </c>
      <c r="G986" s="54">
        <f>IF(_imp!$C$988="","",INDEX(_imp!$J$4:$J$4503,_imp!$C$988))</f>
        <v/>
      </c>
      <c r="K986" s="54">
        <f>IF(_imp!$C$988="","",INDEX(_imp!$K$4:$K$4503,_imp!$C$988))</f>
        <v/>
      </c>
    </row>
    <row r="987">
      <c r="A987" s="54">
        <f>IF(_imp!$C$989="","",INDEX(_imp!$D$4:$D$4503,_imp!$C$989))</f>
        <v/>
      </c>
      <c r="B987" s="54">
        <f>IF(_imp!$C$989="","",INDEX(_imp!$E$4:$E$4503,_imp!$C$989))</f>
        <v/>
      </c>
      <c r="C987" s="54">
        <f>IF(_imp!$C$989="","",INDEX(_imp!$F$4:$F$4503,_imp!$C$989))</f>
        <v/>
      </c>
      <c r="D987" s="54">
        <f>IF(_imp!$C$989="","",INDEX(_imp!$G$4:$G$4503,_imp!$C$989))</f>
        <v/>
      </c>
      <c r="E987" s="54">
        <f>IF(_imp!$C$989="","",INDEX(_imp!$H$4:$H$4503,_imp!$C$989))</f>
        <v/>
      </c>
      <c r="F987" s="54">
        <f>IF(_imp!$C$989="","",INDEX(_imp!$I$4:$I$4503,_imp!$C$989))</f>
        <v/>
      </c>
      <c r="G987" s="54">
        <f>IF(_imp!$C$989="","",INDEX(_imp!$J$4:$J$4503,_imp!$C$989))</f>
        <v/>
      </c>
      <c r="K987" s="54">
        <f>IF(_imp!$C$989="","",INDEX(_imp!$K$4:$K$4503,_imp!$C$989))</f>
        <v/>
      </c>
    </row>
    <row r="988">
      <c r="A988" s="54">
        <f>IF(_imp!$C$990="","",INDEX(_imp!$D$4:$D$4503,_imp!$C$990))</f>
        <v/>
      </c>
      <c r="B988" s="54">
        <f>IF(_imp!$C$990="","",INDEX(_imp!$E$4:$E$4503,_imp!$C$990))</f>
        <v/>
      </c>
      <c r="C988" s="54">
        <f>IF(_imp!$C$990="","",INDEX(_imp!$F$4:$F$4503,_imp!$C$990))</f>
        <v/>
      </c>
      <c r="D988" s="54">
        <f>IF(_imp!$C$990="","",INDEX(_imp!$G$4:$G$4503,_imp!$C$990))</f>
        <v/>
      </c>
      <c r="E988" s="54">
        <f>IF(_imp!$C$990="","",INDEX(_imp!$H$4:$H$4503,_imp!$C$990))</f>
        <v/>
      </c>
      <c r="F988" s="54">
        <f>IF(_imp!$C$990="","",INDEX(_imp!$I$4:$I$4503,_imp!$C$990))</f>
        <v/>
      </c>
      <c r="G988" s="54">
        <f>IF(_imp!$C$990="","",INDEX(_imp!$J$4:$J$4503,_imp!$C$990))</f>
        <v/>
      </c>
      <c r="K988" s="54">
        <f>IF(_imp!$C$990="","",INDEX(_imp!$K$4:$K$4503,_imp!$C$990))</f>
        <v/>
      </c>
    </row>
    <row r="989">
      <c r="A989" s="54">
        <f>IF(_imp!$C$991="","",INDEX(_imp!$D$4:$D$4503,_imp!$C$991))</f>
        <v/>
      </c>
      <c r="B989" s="54">
        <f>IF(_imp!$C$991="","",INDEX(_imp!$E$4:$E$4503,_imp!$C$991))</f>
        <v/>
      </c>
      <c r="C989" s="54">
        <f>IF(_imp!$C$991="","",INDEX(_imp!$F$4:$F$4503,_imp!$C$991))</f>
        <v/>
      </c>
      <c r="D989" s="54">
        <f>IF(_imp!$C$991="","",INDEX(_imp!$G$4:$G$4503,_imp!$C$991))</f>
        <v/>
      </c>
      <c r="E989" s="54">
        <f>IF(_imp!$C$991="","",INDEX(_imp!$H$4:$H$4503,_imp!$C$991))</f>
        <v/>
      </c>
      <c r="F989" s="54">
        <f>IF(_imp!$C$991="","",INDEX(_imp!$I$4:$I$4503,_imp!$C$991))</f>
        <v/>
      </c>
      <c r="G989" s="54">
        <f>IF(_imp!$C$991="","",INDEX(_imp!$J$4:$J$4503,_imp!$C$991))</f>
        <v/>
      </c>
      <c r="K989" s="54">
        <f>IF(_imp!$C$991="","",INDEX(_imp!$K$4:$K$4503,_imp!$C$991))</f>
        <v/>
      </c>
    </row>
    <row r="990">
      <c r="A990" s="54">
        <f>IF(_imp!$C$992="","",INDEX(_imp!$D$4:$D$4503,_imp!$C$992))</f>
        <v/>
      </c>
      <c r="B990" s="54">
        <f>IF(_imp!$C$992="","",INDEX(_imp!$E$4:$E$4503,_imp!$C$992))</f>
        <v/>
      </c>
      <c r="C990" s="54">
        <f>IF(_imp!$C$992="","",INDEX(_imp!$F$4:$F$4503,_imp!$C$992))</f>
        <v/>
      </c>
      <c r="D990" s="54">
        <f>IF(_imp!$C$992="","",INDEX(_imp!$G$4:$G$4503,_imp!$C$992))</f>
        <v/>
      </c>
      <c r="E990" s="54">
        <f>IF(_imp!$C$992="","",INDEX(_imp!$H$4:$H$4503,_imp!$C$992))</f>
        <v/>
      </c>
      <c r="F990" s="54">
        <f>IF(_imp!$C$992="","",INDEX(_imp!$I$4:$I$4503,_imp!$C$992))</f>
        <v/>
      </c>
      <c r="G990" s="54">
        <f>IF(_imp!$C$992="","",INDEX(_imp!$J$4:$J$4503,_imp!$C$992))</f>
        <v/>
      </c>
      <c r="K990" s="54">
        <f>IF(_imp!$C$992="","",INDEX(_imp!$K$4:$K$4503,_imp!$C$992))</f>
        <v/>
      </c>
    </row>
    <row r="991">
      <c r="A991" s="54">
        <f>IF(_imp!$C$993="","",INDEX(_imp!$D$4:$D$4503,_imp!$C$993))</f>
        <v/>
      </c>
      <c r="B991" s="54">
        <f>IF(_imp!$C$993="","",INDEX(_imp!$E$4:$E$4503,_imp!$C$993))</f>
        <v/>
      </c>
      <c r="C991" s="54">
        <f>IF(_imp!$C$993="","",INDEX(_imp!$F$4:$F$4503,_imp!$C$993))</f>
        <v/>
      </c>
      <c r="D991" s="54">
        <f>IF(_imp!$C$993="","",INDEX(_imp!$G$4:$G$4503,_imp!$C$993))</f>
        <v/>
      </c>
      <c r="E991" s="54">
        <f>IF(_imp!$C$993="","",INDEX(_imp!$H$4:$H$4503,_imp!$C$993))</f>
        <v/>
      </c>
      <c r="F991" s="54">
        <f>IF(_imp!$C$993="","",INDEX(_imp!$I$4:$I$4503,_imp!$C$993))</f>
        <v/>
      </c>
      <c r="G991" s="54">
        <f>IF(_imp!$C$993="","",INDEX(_imp!$J$4:$J$4503,_imp!$C$993))</f>
        <v/>
      </c>
      <c r="K991" s="54">
        <f>IF(_imp!$C$993="","",INDEX(_imp!$K$4:$K$4503,_imp!$C$993))</f>
        <v/>
      </c>
    </row>
    <row r="992">
      <c r="A992" s="54">
        <f>IF(_imp!$C$994="","",INDEX(_imp!$D$4:$D$4503,_imp!$C$994))</f>
        <v/>
      </c>
      <c r="B992" s="54">
        <f>IF(_imp!$C$994="","",INDEX(_imp!$E$4:$E$4503,_imp!$C$994))</f>
        <v/>
      </c>
      <c r="C992" s="54">
        <f>IF(_imp!$C$994="","",INDEX(_imp!$F$4:$F$4503,_imp!$C$994))</f>
        <v/>
      </c>
      <c r="D992" s="54">
        <f>IF(_imp!$C$994="","",INDEX(_imp!$G$4:$G$4503,_imp!$C$994))</f>
        <v/>
      </c>
      <c r="E992" s="54">
        <f>IF(_imp!$C$994="","",INDEX(_imp!$H$4:$H$4503,_imp!$C$994))</f>
        <v/>
      </c>
      <c r="F992" s="54">
        <f>IF(_imp!$C$994="","",INDEX(_imp!$I$4:$I$4503,_imp!$C$994))</f>
        <v/>
      </c>
      <c r="G992" s="54">
        <f>IF(_imp!$C$994="","",INDEX(_imp!$J$4:$J$4503,_imp!$C$994))</f>
        <v/>
      </c>
      <c r="K992" s="54">
        <f>IF(_imp!$C$994="","",INDEX(_imp!$K$4:$K$4503,_imp!$C$994))</f>
        <v/>
      </c>
    </row>
    <row r="993">
      <c r="A993" s="54">
        <f>IF(_imp!$C$995="","",INDEX(_imp!$D$4:$D$4503,_imp!$C$995))</f>
        <v/>
      </c>
      <c r="B993" s="54">
        <f>IF(_imp!$C$995="","",INDEX(_imp!$E$4:$E$4503,_imp!$C$995))</f>
        <v/>
      </c>
      <c r="C993" s="54">
        <f>IF(_imp!$C$995="","",INDEX(_imp!$F$4:$F$4503,_imp!$C$995))</f>
        <v/>
      </c>
      <c r="D993" s="54">
        <f>IF(_imp!$C$995="","",INDEX(_imp!$G$4:$G$4503,_imp!$C$995))</f>
        <v/>
      </c>
      <c r="E993" s="54">
        <f>IF(_imp!$C$995="","",INDEX(_imp!$H$4:$H$4503,_imp!$C$995))</f>
        <v/>
      </c>
      <c r="F993" s="54">
        <f>IF(_imp!$C$995="","",INDEX(_imp!$I$4:$I$4503,_imp!$C$995))</f>
        <v/>
      </c>
      <c r="G993" s="54">
        <f>IF(_imp!$C$995="","",INDEX(_imp!$J$4:$J$4503,_imp!$C$995))</f>
        <v/>
      </c>
      <c r="K993" s="54">
        <f>IF(_imp!$C$995="","",INDEX(_imp!$K$4:$K$4503,_imp!$C$995))</f>
        <v/>
      </c>
    </row>
    <row r="994">
      <c r="A994" s="54">
        <f>IF(_imp!$C$996="","",INDEX(_imp!$D$4:$D$4503,_imp!$C$996))</f>
        <v/>
      </c>
      <c r="B994" s="54">
        <f>IF(_imp!$C$996="","",INDEX(_imp!$E$4:$E$4503,_imp!$C$996))</f>
        <v/>
      </c>
      <c r="C994" s="54">
        <f>IF(_imp!$C$996="","",INDEX(_imp!$F$4:$F$4503,_imp!$C$996))</f>
        <v/>
      </c>
      <c r="D994" s="54">
        <f>IF(_imp!$C$996="","",INDEX(_imp!$G$4:$G$4503,_imp!$C$996))</f>
        <v/>
      </c>
      <c r="E994" s="54">
        <f>IF(_imp!$C$996="","",INDEX(_imp!$H$4:$H$4503,_imp!$C$996))</f>
        <v/>
      </c>
      <c r="F994" s="54">
        <f>IF(_imp!$C$996="","",INDEX(_imp!$I$4:$I$4503,_imp!$C$996))</f>
        <v/>
      </c>
      <c r="G994" s="54">
        <f>IF(_imp!$C$996="","",INDEX(_imp!$J$4:$J$4503,_imp!$C$996))</f>
        <v/>
      </c>
      <c r="K994" s="54">
        <f>IF(_imp!$C$996="","",INDEX(_imp!$K$4:$K$4503,_imp!$C$996))</f>
        <v/>
      </c>
    </row>
    <row r="995">
      <c r="A995" s="54">
        <f>IF(_imp!$C$997="","",INDEX(_imp!$D$4:$D$4503,_imp!$C$997))</f>
        <v/>
      </c>
      <c r="B995" s="54">
        <f>IF(_imp!$C$997="","",INDEX(_imp!$E$4:$E$4503,_imp!$C$997))</f>
        <v/>
      </c>
      <c r="C995" s="54">
        <f>IF(_imp!$C$997="","",INDEX(_imp!$F$4:$F$4503,_imp!$C$997))</f>
        <v/>
      </c>
      <c r="D995" s="54">
        <f>IF(_imp!$C$997="","",INDEX(_imp!$G$4:$G$4503,_imp!$C$997))</f>
        <v/>
      </c>
      <c r="E995" s="54">
        <f>IF(_imp!$C$997="","",INDEX(_imp!$H$4:$H$4503,_imp!$C$997))</f>
        <v/>
      </c>
      <c r="F995" s="54">
        <f>IF(_imp!$C$997="","",INDEX(_imp!$I$4:$I$4503,_imp!$C$997))</f>
        <v/>
      </c>
      <c r="G995" s="54">
        <f>IF(_imp!$C$997="","",INDEX(_imp!$J$4:$J$4503,_imp!$C$997))</f>
        <v/>
      </c>
      <c r="K995" s="54">
        <f>IF(_imp!$C$997="","",INDEX(_imp!$K$4:$K$4503,_imp!$C$997))</f>
        <v/>
      </c>
    </row>
    <row r="996">
      <c r="A996" s="54">
        <f>IF(_imp!$C$998="","",INDEX(_imp!$D$4:$D$4503,_imp!$C$998))</f>
        <v/>
      </c>
      <c r="B996" s="54">
        <f>IF(_imp!$C$998="","",INDEX(_imp!$E$4:$E$4503,_imp!$C$998))</f>
        <v/>
      </c>
      <c r="C996" s="54">
        <f>IF(_imp!$C$998="","",INDEX(_imp!$F$4:$F$4503,_imp!$C$998))</f>
        <v/>
      </c>
      <c r="D996" s="54">
        <f>IF(_imp!$C$998="","",INDEX(_imp!$G$4:$G$4503,_imp!$C$998))</f>
        <v/>
      </c>
      <c r="E996" s="54">
        <f>IF(_imp!$C$998="","",INDEX(_imp!$H$4:$H$4503,_imp!$C$998))</f>
        <v/>
      </c>
      <c r="F996" s="54">
        <f>IF(_imp!$C$998="","",INDEX(_imp!$I$4:$I$4503,_imp!$C$998))</f>
        <v/>
      </c>
      <c r="G996" s="54">
        <f>IF(_imp!$C$998="","",INDEX(_imp!$J$4:$J$4503,_imp!$C$998))</f>
        <v/>
      </c>
      <c r="K996" s="54">
        <f>IF(_imp!$C$998="","",INDEX(_imp!$K$4:$K$4503,_imp!$C$998))</f>
        <v/>
      </c>
    </row>
    <row r="997">
      <c r="A997" s="54">
        <f>IF(_imp!$C$999="","",INDEX(_imp!$D$4:$D$4503,_imp!$C$999))</f>
        <v/>
      </c>
      <c r="B997" s="54">
        <f>IF(_imp!$C$999="","",INDEX(_imp!$E$4:$E$4503,_imp!$C$999))</f>
        <v/>
      </c>
      <c r="C997" s="54">
        <f>IF(_imp!$C$999="","",INDEX(_imp!$F$4:$F$4503,_imp!$C$999))</f>
        <v/>
      </c>
      <c r="D997" s="54">
        <f>IF(_imp!$C$999="","",INDEX(_imp!$G$4:$G$4503,_imp!$C$999))</f>
        <v/>
      </c>
      <c r="E997" s="54">
        <f>IF(_imp!$C$999="","",INDEX(_imp!$H$4:$H$4503,_imp!$C$999))</f>
        <v/>
      </c>
      <c r="F997" s="54">
        <f>IF(_imp!$C$999="","",INDEX(_imp!$I$4:$I$4503,_imp!$C$999))</f>
        <v/>
      </c>
      <c r="G997" s="54">
        <f>IF(_imp!$C$999="","",INDEX(_imp!$J$4:$J$4503,_imp!$C$999))</f>
        <v/>
      </c>
      <c r="K997" s="54">
        <f>IF(_imp!$C$999="","",INDEX(_imp!$K$4:$K$4503,_imp!$C$999))</f>
        <v/>
      </c>
    </row>
    <row r="998">
      <c r="A998" s="54">
        <f>IF(_imp!$C$1000="","",INDEX(_imp!$D$4:$D$4503,_imp!$C$1000))</f>
        <v/>
      </c>
      <c r="B998" s="54">
        <f>IF(_imp!$C$1000="","",INDEX(_imp!$E$4:$E$4503,_imp!$C$1000))</f>
        <v/>
      </c>
      <c r="C998" s="54">
        <f>IF(_imp!$C$1000="","",INDEX(_imp!$F$4:$F$4503,_imp!$C$1000))</f>
        <v/>
      </c>
      <c r="D998" s="54">
        <f>IF(_imp!$C$1000="","",INDEX(_imp!$G$4:$G$4503,_imp!$C$1000))</f>
        <v/>
      </c>
      <c r="E998" s="54">
        <f>IF(_imp!$C$1000="","",INDEX(_imp!$H$4:$H$4503,_imp!$C$1000))</f>
        <v/>
      </c>
      <c r="F998" s="54">
        <f>IF(_imp!$C$1000="","",INDEX(_imp!$I$4:$I$4503,_imp!$C$1000))</f>
        <v/>
      </c>
      <c r="G998" s="54">
        <f>IF(_imp!$C$1000="","",INDEX(_imp!$J$4:$J$4503,_imp!$C$1000))</f>
        <v/>
      </c>
      <c r="K998" s="54">
        <f>IF(_imp!$C$1000="","",INDEX(_imp!$K$4:$K$4503,_imp!$C$1000))</f>
        <v/>
      </c>
    </row>
    <row r="999">
      <c r="A999" s="54">
        <f>IF(_imp!$C$1001="","",INDEX(_imp!$D$4:$D$4503,_imp!$C$1001))</f>
        <v/>
      </c>
      <c r="B999" s="54">
        <f>IF(_imp!$C$1001="","",INDEX(_imp!$E$4:$E$4503,_imp!$C$1001))</f>
        <v/>
      </c>
      <c r="C999" s="54">
        <f>IF(_imp!$C$1001="","",INDEX(_imp!$F$4:$F$4503,_imp!$C$1001))</f>
        <v/>
      </c>
      <c r="D999" s="54">
        <f>IF(_imp!$C$1001="","",INDEX(_imp!$G$4:$G$4503,_imp!$C$1001))</f>
        <v/>
      </c>
      <c r="E999" s="54">
        <f>IF(_imp!$C$1001="","",INDEX(_imp!$H$4:$H$4503,_imp!$C$1001))</f>
        <v/>
      </c>
      <c r="F999" s="54">
        <f>IF(_imp!$C$1001="","",INDEX(_imp!$I$4:$I$4503,_imp!$C$1001))</f>
        <v/>
      </c>
      <c r="G999" s="54">
        <f>IF(_imp!$C$1001="","",INDEX(_imp!$J$4:$J$4503,_imp!$C$1001))</f>
        <v/>
      </c>
      <c r="K999" s="54">
        <f>IF(_imp!$C$1001="","",INDEX(_imp!$K$4:$K$4503,_imp!$C$1001))</f>
        <v/>
      </c>
    </row>
    <row r="1000">
      <c r="A1000" s="54">
        <f>IF(_imp!$C$1002="","",INDEX(_imp!$D$4:$D$4503,_imp!$C$1002))</f>
        <v/>
      </c>
      <c r="B1000" s="54">
        <f>IF(_imp!$C$1002="","",INDEX(_imp!$E$4:$E$4503,_imp!$C$1002))</f>
        <v/>
      </c>
      <c r="C1000" s="54">
        <f>IF(_imp!$C$1002="","",INDEX(_imp!$F$4:$F$4503,_imp!$C$1002))</f>
        <v/>
      </c>
      <c r="D1000" s="54">
        <f>IF(_imp!$C$1002="","",INDEX(_imp!$G$4:$G$4503,_imp!$C$1002))</f>
        <v/>
      </c>
      <c r="E1000" s="54">
        <f>IF(_imp!$C$1002="","",INDEX(_imp!$H$4:$H$4503,_imp!$C$1002))</f>
        <v/>
      </c>
      <c r="F1000" s="54">
        <f>IF(_imp!$C$1002="","",INDEX(_imp!$I$4:$I$4503,_imp!$C$1002))</f>
        <v/>
      </c>
      <c r="G1000" s="54">
        <f>IF(_imp!$C$1002="","",INDEX(_imp!$J$4:$J$4503,_imp!$C$1002))</f>
        <v/>
      </c>
      <c r="K1000" s="54">
        <f>IF(_imp!$C$1002="","",INDEX(_imp!$K$4:$K$4503,_imp!$C$1002))</f>
        <v/>
      </c>
    </row>
    <row r="1001">
      <c r="A1001" s="54">
        <f>IF(_imp!$C$1003="","",INDEX(_imp!$D$4:$D$4503,_imp!$C$1003))</f>
        <v/>
      </c>
      <c r="B1001" s="54">
        <f>IF(_imp!$C$1003="","",INDEX(_imp!$E$4:$E$4503,_imp!$C$1003))</f>
        <v/>
      </c>
      <c r="C1001" s="54">
        <f>IF(_imp!$C$1003="","",INDEX(_imp!$F$4:$F$4503,_imp!$C$1003))</f>
        <v/>
      </c>
      <c r="D1001" s="54">
        <f>IF(_imp!$C$1003="","",INDEX(_imp!$G$4:$G$4503,_imp!$C$1003))</f>
        <v/>
      </c>
      <c r="E1001" s="54">
        <f>IF(_imp!$C$1003="","",INDEX(_imp!$H$4:$H$4503,_imp!$C$1003))</f>
        <v/>
      </c>
      <c r="F1001" s="54">
        <f>IF(_imp!$C$1003="","",INDEX(_imp!$I$4:$I$4503,_imp!$C$1003))</f>
        <v/>
      </c>
      <c r="G1001" s="54">
        <f>IF(_imp!$C$1003="","",INDEX(_imp!$J$4:$J$4503,_imp!$C$1003))</f>
        <v/>
      </c>
      <c r="K1001" s="54">
        <f>IF(_imp!$C$1003="","",INDEX(_imp!$K$4:$K$4503,_imp!$C$1003))</f>
        <v/>
      </c>
    </row>
    <row r="1002">
      <c r="A1002" s="54">
        <f>IF(_imp!$C$1004="","",INDEX(_imp!$D$4:$D$4503,_imp!$C$1004))</f>
        <v/>
      </c>
      <c r="B1002" s="54">
        <f>IF(_imp!$C$1004="","",INDEX(_imp!$E$4:$E$4503,_imp!$C$1004))</f>
        <v/>
      </c>
      <c r="C1002" s="54">
        <f>IF(_imp!$C$1004="","",INDEX(_imp!$F$4:$F$4503,_imp!$C$1004))</f>
        <v/>
      </c>
      <c r="D1002" s="54">
        <f>IF(_imp!$C$1004="","",INDEX(_imp!$G$4:$G$4503,_imp!$C$1004))</f>
        <v/>
      </c>
      <c r="E1002" s="54">
        <f>IF(_imp!$C$1004="","",INDEX(_imp!$H$4:$H$4503,_imp!$C$1004))</f>
        <v/>
      </c>
      <c r="F1002" s="54">
        <f>IF(_imp!$C$1004="","",INDEX(_imp!$I$4:$I$4503,_imp!$C$1004))</f>
        <v/>
      </c>
      <c r="G1002" s="54">
        <f>IF(_imp!$C$1004="","",INDEX(_imp!$J$4:$J$4503,_imp!$C$1004))</f>
        <v/>
      </c>
      <c r="K1002" s="54">
        <f>IF(_imp!$C$1004="","",INDEX(_imp!$K$4:$K$4503,_imp!$C$1004))</f>
        <v/>
      </c>
    </row>
    <row r="1003">
      <c r="A1003" s="54">
        <f>IF(_imp!$C$1005="","",INDEX(_imp!$D$4:$D$4503,_imp!$C$1005))</f>
        <v/>
      </c>
      <c r="B1003" s="54">
        <f>IF(_imp!$C$1005="","",INDEX(_imp!$E$4:$E$4503,_imp!$C$1005))</f>
        <v/>
      </c>
      <c r="C1003" s="54">
        <f>IF(_imp!$C$1005="","",INDEX(_imp!$F$4:$F$4503,_imp!$C$1005))</f>
        <v/>
      </c>
      <c r="D1003" s="54">
        <f>IF(_imp!$C$1005="","",INDEX(_imp!$G$4:$G$4503,_imp!$C$1005))</f>
        <v/>
      </c>
      <c r="E1003" s="54">
        <f>IF(_imp!$C$1005="","",INDEX(_imp!$H$4:$H$4503,_imp!$C$1005))</f>
        <v/>
      </c>
      <c r="F1003" s="54">
        <f>IF(_imp!$C$1005="","",INDEX(_imp!$I$4:$I$4503,_imp!$C$1005))</f>
        <v/>
      </c>
      <c r="G1003" s="54">
        <f>IF(_imp!$C$1005="","",INDEX(_imp!$J$4:$J$4503,_imp!$C$1005))</f>
        <v/>
      </c>
      <c r="K1003" s="54">
        <f>IF(_imp!$C$1005="","",INDEX(_imp!$K$4:$K$4503,_imp!$C$1005))</f>
        <v/>
      </c>
    </row>
    <row r="1004">
      <c r="A1004" s="54">
        <f>IF(_imp!$C$1006="","",INDEX(_imp!$D$4:$D$4503,_imp!$C$1006))</f>
        <v/>
      </c>
      <c r="B1004" s="54">
        <f>IF(_imp!$C$1006="","",INDEX(_imp!$E$4:$E$4503,_imp!$C$1006))</f>
        <v/>
      </c>
      <c r="C1004" s="54">
        <f>IF(_imp!$C$1006="","",INDEX(_imp!$F$4:$F$4503,_imp!$C$1006))</f>
        <v/>
      </c>
      <c r="D1004" s="54">
        <f>IF(_imp!$C$1006="","",INDEX(_imp!$G$4:$G$4503,_imp!$C$1006))</f>
        <v/>
      </c>
      <c r="E1004" s="54">
        <f>IF(_imp!$C$1006="","",INDEX(_imp!$H$4:$H$4503,_imp!$C$1006))</f>
        <v/>
      </c>
      <c r="F1004" s="54">
        <f>IF(_imp!$C$1006="","",INDEX(_imp!$I$4:$I$4503,_imp!$C$1006))</f>
        <v/>
      </c>
      <c r="G1004" s="54">
        <f>IF(_imp!$C$1006="","",INDEX(_imp!$J$4:$J$4503,_imp!$C$1006))</f>
        <v/>
      </c>
      <c r="K1004" s="54">
        <f>IF(_imp!$C$1006="","",INDEX(_imp!$K$4:$K$4503,_imp!$C$1006))</f>
        <v/>
      </c>
    </row>
    <row r="1005">
      <c r="A1005" s="54">
        <f>IF(_imp!$C$1007="","",INDEX(_imp!$D$4:$D$4503,_imp!$C$1007))</f>
        <v/>
      </c>
      <c r="B1005" s="54">
        <f>IF(_imp!$C$1007="","",INDEX(_imp!$E$4:$E$4503,_imp!$C$1007))</f>
        <v/>
      </c>
      <c r="C1005" s="54">
        <f>IF(_imp!$C$1007="","",INDEX(_imp!$F$4:$F$4503,_imp!$C$1007))</f>
        <v/>
      </c>
      <c r="D1005" s="54">
        <f>IF(_imp!$C$1007="","",INDEX(_imp!$G$4:$G$4503,_imp!$C$1007))</f>
        <v/>
      </c>
      <c r="E1005" s="54">
        <f>IF(_imp!$C$1007="","",INDEX(_imp!$H$4:$H$4503,_imp!$C$1007))</f>
        <v/>
      </c>
      <c r="F1005" s="54">
        <f>IF(_imp!$C$1007="","",INDEX(_imp!$I$4:$I$4503,_imp!$C$1007))</f>
        <v/>
      </c>
      <c r="G1005" s="54">
        <f>IF(_imp!$C$1007="","",INDEX(_imp!$J$4:$J$4503,_imp!$C$1007))</f>
        <v/>
      </c>
      <c r="K1005" s="54">
        <f>IF(_imp!$C$1007="","",INDEX(_imp!$K$4:$K$4503,_imp!$C$1007))</f>
        <v/>
      </c>
    </row>
    <row r="1006">
      <c r="A1006" s="54">
        <f>IF(_imp!$C$1008="","",INDEX(_imp!$D$4:$D$4503,_imp!$C$1008))</f>
        <v/>
      </c>
      <c r="B1006" s="54">
        <f>IF(_imp!$C$1008="","",INDEX(_imp!$E$4:$E$4503,_imp!$C$1008))</f>
        <v/>
      </c>
      <c r="C1006" s="54">
        <f>IF(_imp!$C$1008="","",INDEX(_imp!$F$4:$F$4503,_imp!$C$1008))</f>
        <v/>
      </c>
      <c r="D1006" s="54">
        <f>IF(_imp!$C$1008="","",INDEX(_imp!$G$4:$G$4503,_imp!$C$1008))</f>
        <v/>
      </c>
      <c r="E1006" s="54">
        <f>IF(_imp!$C$1008="","",INDEX(_imp!$H$4:$H$4503,_imp!$C$1008))</f>
        <v/>
      </c>
      <c r="F1006" s="54">
        <f>IF(_imp!$C$1008="","",INDEX(_imp!$I$4:$I$4503,_imp!$C$1008))</f>
        <v/>
      </c>
      <c r="G1006" s="54">
        <f>IF(_imp!$C$1008="","",INDEX(_imp!$J$4:$J$4503,_imp!$C$1008))</f>
        <v/>
      </c>
      <c r="K1006" s="54">
        <f>IF(_imp!$C$1008="","",INDEX(_imp!$K$4:$K$4503,_imp!$C$1008))</f>
        <v/>
      </c>
    </row>
    <row r="1007">
      <c r="A1007" s="54">
        <f>IF(_imp!$C$1009="","",INDEX(_imp!$D$4:$D$4503,_imp!$C$1009))</f>
        <v/>
      </c>
      <c r="B1007" s="54">
        <f>IF(_imp!$C$1009="","",INDEX(_imp!$E$4:$E$4503,_imp!$C$1009))</f>
        <v/>
      </c>
      <c r="C1007" s="54">
        <f>IF(_imp!$C$1009="","",INDEX(_imp!$F$4:$F$4503,_imp!$C$1009))</f>
        <v/>
      </c>
      <c r="D1007" s="54">
        <f>IF(_imp!$C$1009="","",INDEX(_imp!$G$4:$G$4503,_imp!$C$1009))</f>
        <v/>
      </c>
      <c r="E1007" s="54">
        <f>IF(_imp!$C$1009="","",INDEX(_imp!$H$4:$H$4503,_imp!$C$1009))</f>
        <v/>
      </c>
      <c r="F1007" s="54">
        <f>IF(_imp!$C$1009="","",INDEX(_imp!$I$4:$I$4503,_imp!$C$1009))</f>
        <v/>
      </c>
      <c r="G1007" s="54">
        <f>IF(_imp!$C$1009="","",INDEX(_imp!$J$4:$J$4503,_imp!$C$1009))</f>
        <v/>
      </c>
      <c r="K1007" s="54">
        <f>IF(_imp!$C$1009="","",INDEX(_imp!$K$4:$K$4503,_imp!$C$1009))</f>
        <v/>
      </c>
    </row>
    <row r="1008">
      <c r="A1008" s="54">
        <f>IF(_imp!$C$1010="","",INDEX(_imp!$D$4:$D$4503,_imp!$C$1010))</f>
        <v/>
      </c>
      <c r="B1008" s="54">
        <f>IF(_imp!$C$1010="","",INDEX(_imp!$E$4:$E$4503,_imp!$C$1010))</f>
        <v/>
      </c>
      <c r="C1008" s="54">
        <f>IF(_imp!$C$1010="","",INDEX(_imp!$F$4:$F$4503,_imp!$C$1010))</f>
        <v/>
      </c>
      <c r="D1008" s="54">
        <f>IF(_imp!$C$1010="","",INDEX(_imp!$G$4:$G$4503,_imp!$C$1010))</f>
        <v/>
      </c>
      <c r="E1008" s="54">
        <f>IF(_imp!$C$1010="","",INDEX(_imp!$H$4:$H$4503,_imp!$C$1010))</f>
        <v/>
      </c>
      <c r="F1008" s="54">
        <f>IF(_imp!$C$1010="","",INDEX(_imp!$I$4:$I$4503,_imp!$C$1010))</f>
        <v/>
      </c>
      <c r="G1008" s="54">
        <f>IF(_imp!$C$1010="","",INDEX(_imp!$J$4:$J$4503,_imp!$C$1010))</f>
        <v/>
      </c>
      <c r="K1008" s="54">
        <f>IF(_imp!$C$1010="","",INDEX(_imp!$K$4:$K$4503,_imp!$C$1010))</f>
        <v/>
      </c>
    </row>
    <row r="1009">
      <c r="A1009" s="54">
        <f>IF(_imp!$C$1011="","",INDEX(_imp!$D$4:$D$4503,_imp!$C$1011))</f>
        <v/>
      </c>
      <c r="B1009" s="54">
        <f>IF(_imp!$C$1011="","",INDEX(_imp!$E$4:$E$4503,_imp!$C$1011))</f>
        <v/>
      </c>
      <c r="C1009" s="54">
        <f>IF(_imp!$C$1011="","",INDEX(_imp!$F$4:$F$4503,_imp!$C$1011))</f>
        <v/>
      </c>
      <c r="D1009" s="54">
        <f>IF(_imp!$C$1011="","",INDEX(_imp!$G$4:$G$4503,_imp!$C$1011))</f>
        <v/>
      </c>
      <c r="E1009" s="54">
        <f>IF(_imp!$C$1011="","",INDEX(_imp!$H$4:$H$4503,_imp!$C$1011))</f>
        <v/>
      </c>
      <c r="F1009" s="54">
        <f>IF(_imp!$C$1011="","",INDEX(_imp!$I$4:$I$4503,_imp!$C$1011))</f>
        <v/>
      </c>
      <c r="G1009" s="54">
        <f>IF(_imp!$C$1011="","",INDEX(_imp!$J$4:$J$4503,_imp!$C$1011))</f>
        <v/>
      </c>
      <c r="K1009" s="54">
        <f>IF(_imp!$C$1011="","",INDEX(_imp!$K$4:$K$4503,_imp!$C$1011))</f>
        <v/>
      </c>
    </row>
    <row r="1010">
      <c r="A1010" s="54">
        <f>IF(_imp!$C$1012="","",INDEX(_imp!$D$4:$D$4503,_imp!$C$1012))</f>
        <v/>
      </c>
      <c r="B1010" s="54">
        <f>IF(_imp!$C$1012="","",INDEX(_imp!$E$4:$E$4503,_imp!$C$1012))</f>
        <v/>
      </c>
      <c r="C1010" s="54">
        <f>IF(_imp!$C$1012="","",INDEX(_imp!$F$4:$F$4503,_imp!$C$1012))</f>
        <v/>
      </c>
      <c r="D1010" s="54">
        <f>IF(_imp!$C$1012="","",INDEX(_imp!$G$4:$G$4503,_imp!$C$1012))</f>
        <v/>
      </c>
      <c r="E1010" s="54">
        <f>IF(_imp!$C$1012="","",INDEX(_imp!$H$4:$H$4503,_imp!$C$1012))</f>
        <v/>
      </c>
      <c r="F1010" s="54">
        <f>IF(_imp!$C$1012="","",INDEX(_imp!$I$4:$I$4503,_imp!$C$1012))</f>
        <v/>
      </c>
      <c r="G1010" s="54">
        <f>IF(_imp!$C$1012="","",INDEX(_imp!$J$4:$J$4503,_imp!$C$1012))</f>
        <v/>
      </c>
      <c r="K1010" s="54">
        <f>IF(_imp!$C$1012="","",INDEX(_imp!$K$4:$K$4503,_imp!$C$1012))</f>
        <v/>
      </c>
    </row>
    <row r="1011">
      <c r="A1011" s="54">
        <f>IF(_imp!$C$1013="","",INDEX(_imp!$D$4:$D$4503,_imp!$C$1013))</f>
        <v/>
      </c>
      <c r="B1011" s="54">
        <f>IF(_imp!$C$1013="","",INDEX(_imp!$E$4:$E$4503,_imp!$C$1013))</f>
        <v/>
      </c>
      <c r="C1011" s="54">
        <f>IF(_imp!$C$1013="","",INDEX(_imp!$F$4:$F$4503,_imp!$C$1013))</f>
        <v/>
      </c>
      <c r="D1011" s="54">
        <f>IF(_imp!$C$1013="","",INDEX(_imp!$G$4:$G$4503,_imp!$C$1013))</f>
        <v/>
      </c>
      <c r="E1011" s="54">
        <f>IF(_imp!$C$1013="","",INDEX(_imp!$H$4:$H$4503,_imp!$C$1013))</f>
        <v/>
      </c>
      <c r="F1011" s="54">
        <f>IF(_imp!$C$1013="","",INDEX(_imp!$I$4:$I$4503,_imp!$C$1013))</f>
        <v/>
      </c>
      <c r="G1011" s="54">
        <f>IF(_imp!$C$1013="","",INDEX(_imp!$J$4:$J$4503,_imp!$C$1013))</f>
        <v/>
      </c>
      <c r="K1011" s="54">
        <f>IF(_imp!$C$1013="","",INDEX(_imp!$K$4:$K$4503,_imp!$C$1013))</f>
        <v/>
      </c>
    </row>
    <row r="1012">
      <c r="A1012" s="54">
        <f>IF(_imp!$C$1014="","",INDEX(_imp!$D$4:$D$4503,_imp!$C$1014))</f>
        <v/>
      </c>
      <c r="B1012" s="54">
        <f>IF(_imp!$C$1014="","",INDEX(_imp!$E$4:$E$4503,_imp!$C$1014))</f>
        <v/>
      </c>
      <c r="C1012" s="54">
        <f>IF(_imp!$C$1014="","",INDEX(_imp!$F$4:$F$4503,_imp!$C$1014))</f>
        <v/>
      </c>
      <c r="D1012" s="54">
        <f>IF(_imp!$C$1014="","",INDEX(_imp!$G$4:$G$4503,_imp!$C$1014))</f>
        <v/>
      </c>
      <c r="E1012" s="54">
        <f>IF(_imp!$C$1014="","",INDEX(_imp!$H$4:$H$4503,_imp!$C$1014))</f>
        <v/>
      </c>
      <c r="F1012" s="54">
        <f>IF(_imp!$C$1014="","",INDEX(_imp!$I$4:$I$4503,_imp!$C$1014))</f>
        <v/>
      </c>
      <c r="G1012" s="54">
        <f>IF(_imp!$C$1014="","",INDEX(_imp!$J$4:$J$4503,_imp!$C$1014))</f>
        <v/>
      </c>
      <c r="K1012" s="54">
        <f>IF(_imp!$C$1014="","",INDEX(_imp!$K$4:$K$4503,_imp!$C$1014))</f>
        <v/>
      </c>
    </row>
    <row r="1013">
      <c r="A1013" s="54">
        <f>IF(_imp!$C$1015="","",INDEX(_imp!$D$4:$D$4503,_imp!$C$1015))</f>
        <v/>
      </c>
      <c r="B1013" s="54">
        <f>IF(_imp!$C$1015="","",INDEX(_imp!$E$4:$E$4503,_imp!$C$1015))</f>
        <v/>
      </c>
      <c r="C1013" s="54">
        <f>IF(_imp!$C$1015="","",INDEX(_imp!$F$4:$F$4503,_imp!$C$1015))</f>
        <v/>
      </c>
      <c r="D1013" s="54">
        <f>IF(_imp!$C$1015="","",INDEX(_imp!$G$4:$G$4503,_imp!$C$1015))</f>
        <v/>
      </c>
      <c r="E1013" s="54">
        <f>IF(_imp!$C$1015="","",INDEX(_imp!$H$4:$H$4503,_imp!$C$1015))</f>
        <v/>
      </c>
      <c r="F1013" s="54">
        <f>IF(_imp!$C$1015="","",INDEX(_imp!$I$4:$I$4503,_imp!$C$1015))</f>
        <v/>
      </c>
      <c r="G1013" s="54">
        <f>IF(_imp!$C$1015="","",INDEX(_imp!$J$4:$J$4503,_imp!$C$1015))</f>
        <v/>
      </c>
      <c r="K1013" s="54">
        <f>IF(_imp!$C$1015="","",INDEX(_imp!$K$4:$K$4503,_imp!$C$1015))</f>
        <v/>
      </c>
    </row>
    <row r="1014">
      <c r="A1014" s="54">
        <f>IF(_imp!$C$1016="","",INDEX(_imp!$D$4:$D$4503,_imp!$C$1016))</f>
        <v/>
      </c>
      <c r="B1014" s="54">
        <f>IF(_imp!$C$1016="","",INDEX(_imp!$E$4:$E$4503,_imp!$C$1016))</f>
        <v/>
      </c>
      <c r="C1014" s="54">
        <f>IF(_imp!$C$1016="","",INDEX(_imp!$F$4:$F$4503,_imp!$C$1016))</f>
        <v/>
      </c>
      <c r="D1014" s="54">
        <f>IF(_imp!$C$1016="","",INDEX(_imp!$G$4:$G$4503,_imp!$C$1016))</f>
        <v/>
      </c>
      <c r="E1014" s="54">
        <f>IF(_imp!$C$1016="","",INDEX(_imp!$H$4:$H$4503,_imp!$C$1016))</f>
        <v/>
      </c>
      <c r="F1014" s="54">
        <f>IF(_imp!$C$1016="","",INDEX(_imp!$I$4:$I$4503,_imp!$C$1016))</f>
        <v/>
      </c>
      <c r="G1014" s="54">
        <f>IF(_imp!$C$1016="","",INDEX(_imp!$J$4:$J$4503,_imp!$C$1016))</f>
        <v/>
      </c>
      <c r="K1014" s="54">
        <f>IF(_imp!$C$1016="","",INDEX(_imp!$K$4:$K$4503,_imp!$C$1016))</f>
        <v/>
      </c>
    </row>
    <row r="1015">
      <c r="A1015" s="54">
        <f>IF(_imp!$C$1017="","",INDEX(_imp!$D$4:$D$4503,_imp!$C$1017))</f>
        <v/>
      </c>
      <c r="B1015" s="54">
        <f>IF(_imp!$C$1017="","",INDEX(_imp!$E$4:$E$4503,_imp!$C$1017))</f>
        <v/>
      </c>
      <c r="C1015" s="54">
        <f>IF(_imp!$C$1017="","",INDEX(_imp!$F$4:$F$4503,_imp!$C$1017))</f>
        <v/>
      </c>
      <c r="D1015" s="54">
        <f>IF(_imp!$C$1017="","",INDEX(_imp!$G$4:$G$4503,_imp!$C$1017))</f>
        <v/>
      </c>
      <c r="E1015" s="54">
        <f>IF(_imp!$C$1017="","",INDEX(_imp!$H$4:$H$4503,_imp!$C$1017))</f>
        <v/>
      </c>
      <c r="F1015" s="54">
        <f>IF(_imp!$C$1017="","",INDEX(_imp!$I$4:$I$4503,_imp!$C$1017))</f>
        <v/>
      </c>
      <c r="G1015" s="54">
        <f>IF(_imp!$C$1017="","",INDEX(_imp!$J$4:$J$4503,_imp!$C$1017))</f>
        <v/>
      </c>
      <c r="K1015" s="54">
        <f>IF(_imp!$C$1017="","",INDEX(_imp!$K$4:$K$4503,_imp!$C$1017))</f>
        <v/>
      </c>
    </row>
    <row r="1016">
      <c r="A1016" s="54">
        <f>IF(_imp!$C$1018="","",INDEX(_imp!$D$4:$D$4503,_imp!$C$1018))</f>
        <v/>
      </c>
      <c r="B1016" s="54">
        <f>IF(_imp!$C$1018="","",INDEX(_imp!$E$4:$E$4503,_imp!$C$1018))</f>
        <v/>
      </c>
      <c r="C1016" s="54">
        <f>IF(_imp!$C$1018="","",INDEX(_imp!$F$4:$F$4503,_imp!$C$1018))</f>
        <v/>
      </c>
      <c r="D1016" s="54">
        <f>IF(_imp!$C$1018="","",INDEX(_imp!$G$4:$G$4503,_imp!$C$1018))</f>
        <v/>
      </c>
      <c r="E1016" s="54">
        <f>IF(_imp!$C$1018="","",INDEX(_imp!$H$4:$H$4503,_imp!$C$1018))</f>
        <v/>
      </c>
      <c r="F1016" s="54">
        <f>IF(_imp!$C$1018="","",INDEX(_imp!$I$4:$I$4503,_imp!$C$1018))</f>
        <v/>
      </c>
      <c r="G1016" s="54">
        <f>IF(_imp!$C$1018="","",INDEX(_imp!$J$4:$J$4503,_imp!$C$1018))</f>
        <v/>
      </c>
      <c r="K1016" s="54">
        <f>IF(_imp!$C$1018="","",INDEX(_imp!$K$4:$K$4503,_imp!$C$1018))</f>
        <v/>
      </c>
    </row>
    <row r="1017">
      <c r="A1017" s="54">
        <f>IF(_imp!$C$1019="","",INDEX(_imp!$D$4:$D$4503,_imp!$C$1019))</f>
        <v/>
      </c>
      <c r="B1017" s="54">
        <f>IF(_imp!$C$1019="","",INDEX(_imp!$E$4:$E$4503,_imp!$C$1019))</f>
        <v/>
      </c>
      <c r="C1017" s="54">
        <f>IF(_imp!$C$1019="","",INDEX(_imp!$F$4:$F$4503,_imp!$C$1019))</f>
        <v/>
      </c>
      <c r="D1017" s="54">
        <f>IF(_imp!$C$1019="","",INDEX(_imp!$G$4:$G$4503,_imp!$C$1019))</f>
        <v/>
      </c>
      <c r="E1017" s="54">
        <f>IF(_imp!$C$1019="","",INDEX(_imp!$H$4:$H$4503,_imp!$C$1019))</f>
        <v/>
      </c>
      <c r="F1017" s="54">
        <f>IF(_imp!$C$1019="","",INDEX(_imp!$I$4:$I$4503,_imp!$C$1019))</f>
        <v/>
      </c>
      <c r="G1017" s="54">
        <f>IF(_imp!$C$1019="","",INDEX(_imp!$J$4:$J$4503,_imp!$C$1019))</f>
        <v/>
      </c>
      <c r="K1017" s="54">
        <f>IF(_imp!$C$1019="","",INDEX(_imp!$K$4:$K$4503,_imp!$C$1019))</f>
        <v/>
      </c>
    </row>
    <row r="1018">
      <c r="A1018" s="54">
        <f>IF(_imp!$C$1020="","",INDEX(_imp!$D$4:$D$4503,_imp!$C$1020))</f>
        <v/>
      </c>
      <c r="B1018" s="54">
        <f>IF(_imp!$C$1020="","",INDEX(_imp!$E$4:$E$4503,_imp!$C$1020))</f>
        <v/>
      </c>
      <c r="C1018" s="54">
        <f>IF(_imp!$C$1020="","",INDEX(_imp!$F$4:$F$4503,_imp!$C$1020))</f>
        <v/>
      </c>
      <c r="D1018" s="54">
        <f>IF(_imp!$C$1020="","",INDEX(_imp!$G$4:$G$4503,_imp!$C$1020))</f>
        <v/>
      </c>
      <c r="E1018" s="54">
        <f>IF(_imp!$C$1020="","",INDEX(_imp!$H$4:$H$4503,_imp!$C$1020))</f>
        <v/>
      </c>
      <c r="F1018" s="54">
        <f>IF(_imp!$C$1020="","",INDEX(_imp!$I$4:$I$4503,_imp!$C$1020))</f>
        <v/>
      </c>
      <c r="G1018" s="54">
        <f>IF(_imp!$C$1020="","",INDEX(_imp!$J$4:$J$4503,_imp!$C$1020))</f>
        <v/>
      </c>
      <c r="K1018" s="54">
        <f>IF(_imp!$C$1020="","",INDEX(_imp!$K$4:$K$4503,_imp!$C$1020))</f>
        <v/>
      </c>
    </row>
    <row r="1019">
      <c r="A1019" s="54">
        <f>IF(_imp!$C$1021="","",INDEX(_imp!$D$4:$D$4503,_imp!$C$1021))</f>
        <v/>
      </c>
      <c r="B1019" s="54">
        <f>IF(_imp!$C$1021="","",INDEX(_imp!$E$4:$E$4503,_imp!$C$1021))</f>
        <v/>
      </c>
      <c r="C1019" s="54">
        <f>IF(_imp!$C$1021="","",INDEX(_imp!$F$4:$F$4503,_imp!$C$1021))</f>
        <v/>
      </c>
      <c r="D1019" s="54">
        <f>IF(_imp!$C$1021="","",INDEX(_imp!$G$4:$G$4503,_imp!$C$1021))</f>
        <v/>
      </c>
      <c r="E1019" s="54">
        <f>IF(_imp!$C$1021="","",INDEX(_imp!$H$4:$H$4503,_imp!$C$1021))</f>
        <v/>
      </c>
      <c r="F1019" s="54">
        <f>IF(_imp!$C$1021="","",INDEX(_imp!$I$4:$I$4503,_imp!$C$1021))</f>
        <v/>
      </c>
      <c r="G1019" s="54">
        <f>IF(_imp!$C$1021="","",INDEX(_imp!$J$4:$J$4503,_imp!$C$1021))</f>
        <v/>
      </c>
      <c r="K1019" s="54">
        <f>IF(_imp!$C$1021="","",INDEX(_imp!$K$4:$K$4503,_imp!$C$1021))</f>
        <v/>
      </c>
    </row>
    <row r="1020">
      <c r="A1020" s="54">
        <f>IF(_imp!$C$1022="","",INDEX(_imp!$D$4:$D$4503,_imp!$C$1022))</f>
        <v/>
      </c>
      <c r="B1020" s="54">
        <f>IF(_imp!$C$1022="","",INDEX(_imp!$E$4:$E$4503,_imp!$C$1022))</f>
        <v/>
      </c>
      <c r="C1020" s="54">
        <f>IF(_imp!$C$1022="","",INDEX(_imp!$F$4:$F$4503,_imp!$C$1022))</f>
        <v/>
      </c>
      <c r="D1020" s="54">
        <f>IF(_imp!$C$1022="","",INDEX(_imp!$G$4:$G$4503,_imp!$C$1022))</f>
        <v/>
      </c>
      <c r="E1020" s="54">
        <f>IF(_imp!$C$1022="","",INDEX(_imp!$H$4:$H$4503,_imp!$C$1022))</f>
        <v/>
      </c>
      <c r="F1020" s="54">
        <f>IF(_imp!$C$1022="","",INDEX(_imp!$I$4:$I$4503,_imp!$C$1022))</f>
        <v/>
      </c>
      <c r="G1020" s="54">
        <f>IF(_imp!$C$1022="","",INDEX(_imp!$J$4:$J$4503,_imp!$C$1022))</f>
        <v/>
      </c>
      <c r="K1020" s="54">
        <f>IF(_imp!$C$1022="","",INDEX(_imp!$K$4:$K$4503,_imp!$C$1022))</f>
        <v/>
      </c>
    </row>
    <row r="1021">
      <c r="A1021" s="54">
        <f>IF(_imp!$C$1023="","",INDEX(_imp!$D$4:$D$4503,_imp!$C$1023))</f>
        <v/>
      </c>
      <c r="B1021" s="54">
        <f>IF(_imp!$C$1023="","",INDEX(_imp!$E$4:$E$4503,_imp!$C$1023))</f>
        <v/>
      </c>
      <c r="C1021" s="54">
        <f>IF(_imp!$C$1023="","",INDEX(_imp!$F$4:$F$4503,_imp!$C$1023))</f>
        <v/>
      </c>
      <c r="D1021" s="54">
        <f>IF(_imp!$C$1023="","",INDEX(_imp!$G$4:$G$4503,_imp!$C$1023))</f>
        <v/>
      </c>
      <c r="E1021" s="54">
        <f>IF(_imp!$C$1023="","",INDEX(_imp!$H$4:$H$4503,_imp!$C$1023))</f>
        <v/>
      </c>
      <c r="F1021" s="54">
        <f>IF(_imp!$C$1023="","",INDEX(_imp!$I$4:$I$4503,_imp!$C$1023))</f>
        <v/>
      </c>
      <c r="G1021" s="54">
        <f>IF(_imp!$C$1023="","",INDEX(_imp!$J$4:$J$4503,_imp!$C$1023))</f>
        <v/>
      </c>
      <c r="K1021" s="54">
        <f>IF(_imp!$C$1023="","",INDEX(_imp!$K$4:$K$4503,_imp!$C$1023))</f>
        <v/>
      </c>
    </row>
    <row r="1022">
      <c r="A1022" s="54">
        <f>IF(_imp!$C$1024="","",INDEX(_imp!$D$4:$D$4503,_imp!$C$1024))</f>
        <v/>
      </c>
      <c r="B1022" s="54">
        <f>IF(_imp!$C$1024="","",INDEX(_imp!$E$4:$E$4503,_imp!$C$1024))</f>
        <v/>
      </c>
      <c r="C1022" s="54">
        <f>IF(_imp!$C$1024="","",INDEX(_imp!$F$4:$F$4503,_imp!$C$1024))</f>
        <v/>
      </c>
      <c r="D1022" s="54">
        <f>IF(_imp!$C$1024="","",INDEX(_imp!$G$4:$G$4503,_imp!$C$1024))</f>
        <v/>
      </c>
      <c r="E1022" s="54">
        <f>IF(_imp!$C$1024="","",INDEX(_imp!$H$4:$H$4503,_imp!$C$1024))</f>
        <v/>
      </c>
      <c r="F1022" s="54">
        <f>IF(_imp!$C$1024="","",INDEX(_imp!$I$4:$I$4503,_imp!$C$1024))</f>
        <v/>
      </c>
      <c r="G1022" s="54">
        <f>IF(_imp!$C$1024="","",INDEX(_imp!$J$4:$J$4503,_imp!$C$1024))</f>
        <v/>
      </c>
      <c r="K1022" s="54">
        <f>IF(_imp!$C$1024="","",INDEX(_imp!$K$4:$K$4503,_imp!$C$1024))</f>
        <v/>
      </c>
    </row>
    <row r="1023">
      <c r="A1023" s="54">
        <f>IF(_imp!$C$1025="","",INDEX(_imp!$D$4:$D$4503,_imp!$C$1025))</f>
        <v/>
      </c>
      <c r="B1023" s="54">
        <f>IF(_imp!$C$1025="","",INDEX(_imp!$E$4:$E$4503,_imp!$C$1025))</f>
        <v/>
      </c>
      <c r="C1023" s="54">
        <f>IF(_imp!$C$1025="","",INDEX(_imp!$F$4:$F$4503,_imp!$C$1025))</f>
        <v/>
      </c>
      <c r="D1023" s="54">
        <f>IF(_imp!$C$1025="","",INDEX(_imp!$G$4:$G$4503,_imp!$C$1025))</f>
        <v/>
      </c>
      <c r="E1023" s="54">
        <f>IF(_imp!$C$1025="","",INDEX(_imp!$H$4:$H$4503,_imp!$C$1025))</f>
        <v/>
      </c>
      <c r="F1023" s="54">
        <f>IF(_imp!$C$1025="","",INDEX(_imp!$I$4:$I$4503,_imp!$C$1025))</f>
        <v/>
      </c>
      <c r="G1023" s="54">
        <f>IF(_imp!$C$1025="","",INDEX(_imp!$J$4:$J$4503,_imp!$C$1025))</f>
        <v/>
      </c>
      <c r="K1023" s="54">
        <f>IF(_imp!$C$1025="","",INDEX(_imp!$K$4:$K$4503,_imp!$C$1025))</f>
        <v/>
      </c>
    </row>
    <row r="1024">
      <c r="A1024" s="54">
        <f>IF(_imp!$C$1026="","",INDEX(_imp!$D$4:$D$4503,_imp!$C$1026))</f>
        <v/>
      </c>
      <c r="B1024" s="54">
        <f>IF(_imp!$C$1026="","",INDEX(_imp!$E$4:$E$4503,_imp!$C$1026))</f>
        <v/>
      </c>
      <c r="C1024" s="54">
        <f>IF(_imp!$C$1026="","",INDEX(_imp!$F$4:$F$4503,_imp!$C$1026))</f>
        <v/>
      </c>
      <c r="D1024" s="54">
        <f>IF(_imp!$C$1026="","",INDEX(_imp!$G$4:$G$4503,_imp!$C$1026))</f>
        <v/>
      </c>
      <c r="E1024" s="54">
        <f>IF(_imp!$C$1026="","",INDEX(_imp!$H$4:$H$4503,_imp!$C$1026))</f>
        <v/>
      </c>
      <c r="F1024" s="54">
        <f>IF(_imp!$C$1026="","",INDEX(_imp!$I$4:$I$4503,_imp!$C$1026))</f>
        <v/>
      </c>
      <c r="G1024" s="54">
        <f>IF(_imp!$C$1026="","",INDEX(_imp!$J$4:$J$4503,_imp!$C$1026))</f>
        <v/>
      </c>
      <c r="K1024" s="54">
        <f>IF(_imp!$C$1026="","",INDEX(_imp!$K$4:$K$4503,_imp!$C$1026))</f>
        <v/>
      </c>
    </row>
    <row r="1025">
      <c r="A1025" s="54">
        <f>IF(_imp!$C$1027="","",INDEX(_imp!$D$4:$D$4503,_imp!$C$1027))</f>
        <v/>
      </c>
      <c r="B1025" s="54">
        <f>IF(_imp!$C$1027="","",INDEX(_imp!$E$4:$E$4503,_imp!$C$1027))</f>
        <v/>
      </c>
      <c r="C1025" s="54">
        <f>IF(_imp!$C$1027="","",INDEX(_imp!$F$4:$F$4503,_imp!$C$1027))</f>
        <v/>
      </c>
      <c r="D1025" s="54">
        <f>IF(_imp!$C$1027="","",INDEX(_imp!$G$4:$G$4503,_imp!$C$1027))</f>
        <v/>
      </c>
      <c r="E1025" s="54">
        <f>IF(_imp!$C$1027="","",INDEX(_imp!$H$4:$H$4503,_imp!$C$1027))</f>
        <v/>
      </c>
      <c r="F1025" s="54">
        <f>IF(_imp!$C$1027="","",INDEX(_imp!$I$4:$I$4503,_imp!$C$1027))</f>
        <v/>
      </c>
      <c r="G1025" s="54">
        <f>IF(_imp!$C$1027="","",INDEX(_imp!$J$4:$J$4503,_imp!$C$1027))</f>
        <v/>
      </c>
      <c r="K1025" s="54">
        <f>IF(_imp!$C$1027="","",INDEX(_imp!$K$4:$K$4503,_imp!$C$1027))</f>
        <v/>
      </c>
    </row>
    <row r="1026">
      <c r="A1026" s="54">
        <f>IF(_imp!$C$1028="","",INDEX(_imp!$D$4:$D$4503,_imp!$C$1028))</f>
        <v/>
      </c>
      <c r="B1026" s="54">
        <f>IF(_imp!$C$1028="","",INDEX(_imp!$E$4:$E$4503,_imp!$C$1028))</f>
        <v/>
      </c>
      <c r="C1026" s="54">
        <f>IF(_imp!$C$1028="","",INDEX(_imp!$F$4:$F$4503,_imp!$C$1028))</f>
        <v/>
      </c>
      <c r="D1026" s="54">
        <f>IF(_imp!$C$1028="","",INDEX(_imp!$G$4:$G$4503,_imp!$C$1028))</f>
        <v/>
      </c>
      <c r="E1026" s="54">
        <f>IF(_imp!$C$1028="","",INDEX(_imp!$H$4:$H$4503,_imp!$C$1028))</f>
        <v/>
      </c>
      <c r="F1026" s="54">
        <f>IF(_imp!$C$1028="","",INDEX(_imp!$I$4:$I$4503,_imp!$C$1028))</f>
        <v/>
      </c>
      <c r="G1026" s="54">
        <f>IF(_imp!$C$1028="","",INDEX(_imp!$J$4:$J$4503,_imp!$C$1028))</f>
        <v/>
      </c>
      <c r="K1026" s="54">
        <f>IF(_imp!$C$1028="","",INDEX(_imp!$K$4:$K$4503,_imp!$C$1028))</f>
        <v/>
      </c>
    </row>
    <row r="1027">
      <c r="A1027" s="54">
        <f>IF(_imp!$C$1029="","",INDEX(_imp!$D$4:$D$4503,_imp!$C$1029))</f>
        <v/>
      </c>
      <c r="B1027" s="54">
        <f>IF(_imp!$C$1029="","",INDEX(_imp!$E$4:$E$4503,_imp!$C$1029))</f>
        <v/>
      </c>
      <c r="C1027" s="54">
        <f>IF(_imp!$C$1029="","",INDEX(_imp!$F$4:$F$4503,_imp!$C$1029))</f>
        <v/>
      </c>
      <c r="D1027" s="54">
        <f>IF(_imp!$C$1029="","",INDEX(_imp!$G$4:$G$4503,_imp!$C$1029))</f>
        <v/>
      </c>
      <c r="E1027" s="54">
        <f>IF(_imp!$C$1029="","",INDEX(_imp!$H$4:$H$4503,_imp!$C$1029))</f>
        <v/>
      </c>
      <c r="F1027" s="54">
        <f>IF(_imp!$C$1029="","",INDEX(_imp!$I$4:$I$4503,_imp!$C$1029))</f>
        <v/>
      </c>
      <c r="G1027" s="54">
        <f>IF(_imp!$C$1029="","",INDEX(_imp!$J$4:$J$4503,_imp!$C$1029))</f>
        <v/>
      </c>
      <c r="K1027" s="54">
        <f>IF(_imp!$C$1029="","",INDEX(_imp!$K$4:$K$4503,_imp!$C$1029))</f>
        <v/>
      </c>
    </row>
    <row r="1028">
      <c r="A1028" s="54">
        <f>IF(_imp!$C$1030="","",INDEX(_imp!$D$4:$D$4503,_imp!$C$1030))</f>
        <v/>
      </c>
      <c r="B1028" s="54">
        <f>IF(_imp!$C$1030="","",INDEX(_imp!$E$4:$E$4503,_imp!$C$1030))</f>
        <v/>
      </c>
      <c r="C1028" s="54">
        <f>IF(_imp!$C$1030="","",INDEX(_imp!$F$4:$F$4503,_imp!$C$1030))</f>
        <v/>
      </c>
      <c r="D1028" s="54">
        <f>IF(_imp!$C$1030="","",INDEX(_imp!$G$4:$G$4503,_imp!$C$1030))</f>
        <v/>
      </c>
      <c r="E1028" s="54">
        <f>IF(_imp!$C$1030="","",INDEX(_imp!$H$4:$H$4503,_imp!$C$1030))</f>
        <v/>
      </c>
      <c r="F1028" s="54">
        <f>IF(_imp!$C$1030="","",INDEX(_imp!$I$4:$I$4503,_imp!$C$1030))</f>
        <v/>
      </c>
      <c r="G1028" s="54">
        <f>IF(_imp!$C$1030="","",INDEX(_imp!$J$4:$J$4503,_imp!$C$1030))</f>
        <v/>
      </c>
      <c r="K1028" s="54">
        <f>IF(_imp!$C$1030="","",INDEX(_imp!$K$4:$K$4503,_imp!$C$1030))</f>
        <v/>
      </c>
    </row>
    <row r="1029">
      <c r="A1029" s="54">
        <f>IF(_imp!$C$1031="","",INDEX(_imp!$D$4:$D$4503,_imp!$C$1031))</f>
        <v/>
      </c>
      <c r="B1029" s="54">
        <f>IF(_imp!$C$1031="","",INDEX(_imp!$E$4:$E$4503,_imp!$C$1031))</f>
        <v/>
      </c>
      <c r="C1029" s="54">
        <f>IF(_imp!$C$1031="","",INDEX(_imp!$F$4:$F$4503,_imp!$C$1031))</f>
        <v/>
      </c>
      <c r="D1029" s="54">
        <f>IF(_imp!$C$1031="","",INDEX(_imp!$G$4:$G$4503,_imp!$C$1031))</f>
        <v/>
      </c>
      <c r="E1029" s="54">
        <f>IF(_imp!$C$1031="","",INDEX(_imp!$H$4:$H$4503,_imp!$C$1031))</f>
        <v/>
      </c>
      <c r="F1029" s="54">
        <f>IF(_imp!$C$1031="","",INDEX(_imp!$I$4:$I$4503,_imp!$C$1031))</f>
        <v/>
      </c>
      <c r="G1029" s="54">
        <f>IF(_imp!$C$1031="","",INDEX(_imp!$J$4:$J$4503,_imp!$C$1031))</f>
        <v/>
      </c>
      <c r="K1029" s="54">
        <f>IF(_imp!$C$1031="","",INDEX(_imp!$K$4:$K$4503,_imp!$C$1031))</f>
        <v/>
      </c>
    </row>
    <row r="1030">
      <c r="A1030" s="54">
        <f>IF(_imp!$C$1032="","",INDEX(_imp!$D$4:$D$4503,_imp!$C$1032))</f>
        <v/>
      </c>
      <c r="B1030" s="54">
        <f>IF(_imp!$C$1032="","",INDEX(_imp!$E$4:$E$4503,_imp!$C$1032))</f>
        <v/>
      </c>
      <c r="C1030" s="54">
        <f>IF(_imp!$C$1032="","",INDEX(_imp!$F$4:$F$4503,_imp!$C$1032))</f>
        <v/>
      </c>
      <c r="D1030" s="54">
        <f>IF(_imp!$C$1032="","",INDEX(_imp!$G$4:$G$4503,_imp!$C$1032))</f>
        <v/>
      </c>
      <c r="E1030" s="54">
        <f>IF(_imp!$C$1032="","",INDEX(_imp!$H$4:$H$4503,_imp!$C$1032))</f>
        <v/>
      </c>
      <c r="F1030" s="54">
        <f>IF(_imp!$C$1032="","",INDEX(_imp!$I$4:$I$4503,_imp!$C$1032))</f>
        <v/>
      </c>
      <c r="G1030" s="54">
        <f>IF(_imp!$C$1032="","",INDEX(_imp!$J$4:$J$4503,_imp!$C$1032))</f>
        <v/>
      </c>
      <c r="K1030" s="54">
        <f>IF(_imp!$C$1032="","",INDEX(_imp!$K$4:$K$4503,_imp!$C$1032))</f>
        <v/>
      </c>
    </row>
    <row r="1031">
      <c r="A1031" s="54">
        <f>IF(_imp!$C$1033="","",INDEX(_imp!$D$4:$D$4503,_imp!$C$1033))</f>
        <v/>
      </c>
      <c r="B1031" s="54">
        <f>IF(_imp!$C$1033="","",INDEX(_imp!$E$4:$E$4503,_imp!$C$1033))</f>
        <v/>
      </c>
      <c r="C1031" s="54">
        <f>IF(_imp!$C$1033="","",INDEX(_imp!$F$4:$F$4503,_imp!$C$1033))</f>
        <v/>
      </c>
      <c r="D1031" s="54">
        <f>IF(_imp!$C$1033="","",INDEX(_imp!$G$4:$G$4503,_imp!$C$1033))</f>
        <v/>
      </c>
      <c r="E1031" s="54">
        <f>IF(_imp!$C$1033="","",INDEX(_imp!$H$4:$H$4503,_imp!$C$1033))</f>
        <v/>
      </c>
      <c r="F1031" s="54">
        <f>IF(_imp!$C$1033="","",INDEX(_imp!$I$4:$I$4503,_imp!$C$1033))</f>
        <v/>
      </c>
      <c r="G1031" s="54">
        <f>IF(_imp!$C$1033="","",INDEX(_imp!$J$4:$J$4503,_imp!$C$1033))</f>
        <v/>
      </c>
      <c r="K1031" s="54">
        <f>IF(_imp!$C$1033="","",INDEX(_imp!$K$4:$K$4503,_imp!$C$1033))</f>
        <v/>
      </c>
    </row>
    <row r="1032">
      <c r="A1032" s="54">
        <f>IF(_imp!$C$1034="","",INDEX(_imp!$D$4:$D$4503,_imp!$C$1034))</f>
        <v/>
      </c>
      <c r="B1032" s="54">
        <f>IF(_imp!$C$1034="","",INDEX(_imp!$E$4:$E$4503,_imp!$C$1034))</f>
        <v/>
      </c>
      <c r="C1032" s="54">
        <f>IF(_imp!$C$1034="","",INDEX(_imp!$F$4:$F$4503,_imp!$C$1034))</f>
        <v/>
      </c>
      <c r="D1032" s="54">
        <f>IF(_imp!$C$1034="","",INDEX(_imp!$G$4:$G$4503,_imp!$C$1034))</f>
        <v/>
      </c>
      <c r="E1032" s="54">
        <f>IF(_imp!$C$1034="","",INDEX(_imp!$H$4:$H$4503,_imp!$C$1034))</f>
        <v/>
      </c>
      <c r="F1032" s="54">
        <f>IF(_imp!$C$1034="","",INDEX(_imp!$I$4:$I$4503,_imp!$C$1034))</f>
        <v/>
      </c>
      <c r="G1032" s="54">
        <f>IF(_imp!$C$1034="","",INDEX(_imp!$J$4:$J$4503,_imp!$C$1034))</f>
        <v/>
      </c>
      <c r="K1032" s="54">
        <f>IF(_imp!$C$1034="","",INDEX(_imp!$K$4:$K$4503,_imp!$C$1034))</f>
        <v/>
      </c>
    </row>
    <row r="1033">
      <c r="A1033" s="54">
        <f>IF(_imp!$C$1035="","",INDEX(_imp!$D$4:$D$4503,_imp!$C$1035))</f>
        <v/>
      </c>
      <c r="B1033" s="54">
        <f>IF(_imp!$C$1035="","",INDEX(_imp!$E$4:$E$4503,_imp!$C$1035))</f>
        <v/>
      </c>
      <c r="C1033" s="54">
        <f>IF(_imp!$C$1035="","",INDEX(_imp!$F$4:$F$4503,_imp!$C$1035))</f>
        <v/>
      </c>
      <c r="D1033" s="54">
        <f>IF(_imp!$C$1035="","",INDEX(_imp!$G$4:$G$4503,_imp!$C$1035))</f>
        <v/>
      </c>
      <c r="E1033" s="54">
        <f>IF(_imp!$C$1035="","",INDEX(_imp!$H$4:$H$4503,_imp!$C$1035))</f>
        <v/>
      </c>
      <c r="F1033" s="54">
        <f>IF(_imp!$C$1035="","",INDEX(_imp!$I$4:$I$4503,_imp!$C$1035))</f>
        <v/>
      </c>
      <c r="G1033" s="54">
        <f>IF(_imp!$C$1035="","",INDEX(_imp!$J$4:$J$4503,_imp!$C$1035))</f>
        <v/>
      </c>
      <c r="K1033" s="54">
        <f>IF(_imp!$C$1035="","",INDEX(_imp!$K$4:$K$4503,_imp!$C$1035))</f>
        <v/>
      </c>
    </row>
    <row r="1034">
      <c r="A1034" s="54">
        <f>IF(_imp!$C$1036="","",INDEX(_imp!$D$4:$D$4503,_imp!$C$1036))</f>
        <v/>
      </c>
      <c r="B1034" s="54">
        <f>IF(_imp!$C$1036="","",INDEX(_imp!$E$4:$E$4503,_imp!$C$1036))</f>
        <v/>
      </c>
      <c r="C1034" s="54">
        <f>IF(_imp!$C$1036="","",INDEX(_imp!$F$4:$F$4503,_imp!$C$1036))</f>
        <v/>
      </c>
      <c r="D1034" s="54">
        <f>IF(_imp!$C$1036="","",INDEX(_imp!$G$4:$G$4503,_imp!$C$1036))</f>
        <v/>
      </c>
      <c r="E1034" s="54">
        <f>IF(_imp!$C$1036="","",INDEX(_imp!$H$4:$H$4503,_imp!$C$1036))</f>
        <v/>
      </c>
      <c r="F1034" s="54">
        <f>IF(_imp!$C$1036="","",INDEX(_imp!$I$4:$I$4503,_imp!$C$1036))</f>
        <v/>
      </c>
      <c r="G1034" s="54">
        <f>IF(_imp!$C$1036="","",INDEX(_imp!$J$4:$J$4503,_imp!$C$1036))</f>
        <v/>
      </c>
      <c r="K1034" s="54">
        <f>IF(_imp!$C$1036="","",INDEX(_imp!$K$4:$K$4503,_imp!$C$1036))</f>
        <v/>
      </c>
    </row>
    <row r="1035">
      <c r="A1035" s="54">
        <f>IF(_imp!$C$1037="","",INDEX(_imp!$D$4:$D$4503,_imp!$C$1037))</f>
        <v/>
      </c>
      <c r="B1035" s="54">
        <f>IF(_imp!$C$1037="","",INDEX(_imp!$E$4:$E$4503,_imp!$C$1037))</f>
        <v/>
      </c>
      <c r="C1035" s="54">
        <f>IF(_imp!$C$1037="","",INDEX(_imp!$F$4:$F$4503,_imp!$C$1037))</f>
        <v/>
      </c>
      <c r="D1035" s="54">
        <f>IF(_imp!$C$1037="","",INDEX(_imp!$G$4:$G$4503,_imp!$C$1037))</f>
        <v/>
      </c>
      <c r="E1035" s="54">
        <f>IF(_imp!$C$1037="","",INDEX(_imp!$H$4:$H$4503,_imp!$C$1037))</f>
        <v/>
      </c>
      <c r="F1035" s="54">
        <f>IF(_imp!$C$1037="","",INDEX(_imp!$I$4:$I$4503,_imp!$C$1037))</f>
        <v/>
      </c>
      <c r="G1035" s="54">
        <f>IF(_imp!$C$1037="","",INDEX(_imp!$J$4:$J$4503,_imp!$C$1037))</f>
        <v/>
      </c>
      <c r="K1035" s="54">
        <f>IF(_imp!$C$1037="","",INDEX(_imp!$K$4:$K$4503,_imp!$C$1037))</f>
        <v/>
      </c>
    </row>
    <row r="1036">
      <c r="A1036" s="54">
        <f>IF(_imp!$C$1038="","",INDEX(_imp!$D$4:$D$4503,_imp!$C$1038))</f>
        <v/>
      </c>
      <c r="B1036" s="54">
        <f>IF(_imp!$C$1038="","",INDEX(_imp!$E$4:$E$4503,_imp!$C$1038))</f>
        <v/>
      </c>
      <c r="C1036" s="54">
        <f>IF(_imp!$C$1038="","",INDEX(_imp!$F$4:$F$4503,_imp!$C$1038))</f>
        <v/>
      </c>
      <c r="D1036" s="54">
        <f>IF(_imp!$C$1038="","",INDEX(_imp!$G$4:$G$4503,_imp!$C$1038))</f>
        <v/>
      </c>
      <c r="E1036" s="54">
        <f>IF(_imp!$C$1038="","",INDEX(_imp!$H$4:$H$4503,_imp!$C$1038))</f>
        <v/>
      </c>
      <c r="F1036" s="54">
        <f>IF(_imp!$C$1038="","",INDEX(_imp!$I$4:$I$4503,_imp!$C$1038))</f>
        <v/>
      </c>
      <c r="G1036" s="54">
        <f>IF(_imp!$C$1038="","",INDEX(_imp!$J$4:$J$4503,_imp!$C$1038))</f>
        <v/>
      </c>
      <c r="K1036" s="54">
        <f>IF(_imp!$C$1038="","",INDEX(_imp!$K$4:$K$4503,_imp!$C$1038))</f>
        <v/>
      </c>
    </row>
    <row r="1037">
      <c r="A1037" s="54">
        <f>IF(_imp!$C$1039="","",INDEX(_imp!$D$4:$D$4503,_imp!$C$1039))</f>
        <v/>
      </c>
      <c r="B1037" s="54">
        <f>IF(_imp!$C$1039="","",INDEX(_imp!$E$4:$E$4503,_imp!$C$1039))</f>
        <v/>
      </c>
      <c r="C1037" s="54">
        <f>IF(_imp!$C$1039="","",INDEX(_imp!$F$4:$F$4503,_imp!$C$1039))</f>
        <v/>
      </c>
      <c r="D1037" s="54">
        <f>IF(_imp!$C$1039="","",INDEX(_imp!$G$4:$G$4503,_imp!$C$1039))</f>
        <v/>
      </c>
      <c r="E1037" s="54">
        <f>IF(_imp!$C$1039="","",INDEX(_imp!$H$4:$H$4503,_imp!$C$1039))</f>
        <v/>
      </c>
      <c r="F1037" s="54">
        <f>IF(_imp!$C$1039="","",INDEX(_imp!$I$4:$I$4503,_imp!$C$1039))</f>
        <v/>
      </c>
      <c r="G1037" s="54">
        <f>IF(_imp!$C$1039="","",INDEX(_imp!$J$4:$J$4503,_imp!$C$1039))</f>
        <v/>
      </c>
      <c r="K1037" s="54">
        <f>IF(_imp!$C$1039="","",INDEX(_imp!$K$4:$K$4503,_imp!$C$1039))</f>
        <v/>
      </c>
    </row>
    <row r="1038">
      <c r="A1038" s="54">
        <f>IF(_imp!$C$1040="","",INDEX(_imp!$D$4:$D$4503,_imp!$C$1040))</f>
        <v/>
      </c>
      <c r="B1038" s="54">
        <f>IF(_imp!$C$1040="","",INDEX(_imp!$E$4:$E$4503,_imp!$C$1040))</f>
        <v/>
      </c>
      <c r="C1038" s="54">
        <f>IF(_imp!$C$1040="","",INDEX(_imp!$F$4:$F$4503,_imp!$C$1040))</f>
        <v/>
      </c>
      <c r="D1038" s="54">
        <f>IF(_imp!$C$1040="","",INDEX(_imp!$G$4:$G$4503,_imp!$C$1040))</f>
        <v/>
      </c>
      <c r="E1038" s="54">
        <f>IF(_imp!$C$1040="","",INDEX(_imp!$H$4:$H$4503,_imp!$C$1040))</f>
        <v/>
      </c>
      <c r="F1038" s="54">
        <f>IF(_imp!$C$1040="","",INDEX(_imp!$I$4:$I$4503,_imp!$C$1040))</f>
        <v/>
      </c>
      <c r="G1038" s="54">
        <f>IF(_imp!$C$1040="","",INDEX(_imp!$J$4:$J$4503,_imp!$C$1040))</f>
        <v/>
      </c>
      <c r="K1038" s="54">
        <f>IF(_imp!$C$1040="","",INDEX(_imp!$K$4:$K$4503,_imp!$C$1040))</f>
        <v/>
      </c>
    </row>
    <row r="1039">
      <c r="A1039" s="54">
        <f>IF(_imp!$C$1041="","",INDEX(_imp!$D$4:$D$4503,_imp!$C$1041))</f>
        <v/>
      </c>
      <c r="B1039" s="54">
        <f>IF(_imp!$C$1041="","",INDEX(_imp!$E$4:$E$4503,_imp!$C$1041))</f>
        <v/>
      </c>
      <c r="C1039" s="54">
        <f>IF(_imp!$C$1041="","",INDEX(_imp!$F$4:$F$4503,_imp!$C$1041))</f>
        <v/>
      </c>
      <c r="D1039" s="54">
        <f>IF(_imp!$C$1041="","",INDEX(_imp!$G$4:$G$4503,_imp!$C$1041))</f>
        <v/>
      </c>
      <c r="E1039" s="54">
        <f>IF(_imp!$C$1041="","",INDEX(_imp!$H$4:$H$4503,_imp!$C$1041))</f>
        <v/>
      </c>
      <c r="F1039" s="54">
        <f>IF(_imp!$C$1041="","",INDEX(_imp!$I$4:$I$4503,_imp!$C$1041))</f>
        <v/>
      </c>
      <c r="G1039" s="54">
        <f>IF(_imp!$C$1041="","",INDEX(_imp!$J$4:$J$4503,_imp!$C$1041))</f>
        <v/>
      </c>
      <c r="K1039" s="54">
        <f>IF(_imp!$C$1041="","",INDEX(_imp!$K$4:$K$4503,_imp!$C$1041))</f>
        <v/>
      </c>
    </row>
    <row r="1040">
      <c r="A1040" s="54">
        <f>IF(_imp!$C$1042="","",INDEX(_imp!$D$4:$D$4503,_imp!$C$1042))</f>
        <v/>
      </c>
      <c r="B1040" s="54">
        <f>IF(_imp!$C$1042="","",INDEX(_imp!$E$4:$E$4503,_imp!$C$1042))</f>
        <v/>
      </c>
      <c r="C1040" s="54">
        <f>IF(_imp!$C$1042="","",INDEX(_imp!$F$4:$F$4503,_imp!$C$1042))</f>
        <v/>
      </c>
      <c r="D1040" s="54">
        <f>IF(_imp!$C$1042="","",INDEX(_imp!$G$4:$G$4503,_imp!$C$1042))</f>
        <v/>
      </c>
      <c r="E1040" s="54">
        <f>IF(_imp!$C$1042="","",INDEX(_imp!$H$4:$H$4503,_imp!$C$1042))</f>
        <v/>
      </c>
      <c r="F1040" s="54">
        <f>IF(_imp!$C$1042="","",INDEX(_imp!$I$4:$I$4503,_imp!$C$1042))</f>
        <v/>
      </c>
      <c r="G1040" s="54">
        <f>IF(_imp!$C$1042="","",INDEX(_imp!$J$4:$J$4503,_imp!$C$1042))</f>
        <v/>
      </c>
      <c r="K1040" s="54">
        <f>IF(_imp!$C$1042="","",INDEX(_imp!$K$4:$K$4503,_imp!$C$1042))</f>
        <v/>
      </c>
    </row>
    <row r="1041">
      <c r="A1041" s="54">
        <f>IF(_imp!$C$1043="","",INDEX(_imp!$D$4:$D$4503,_imp!$C$1043))</f>
        <v/>
      </c>
      <c r="B1041" s="54">
        <f>IF(_imp!$C$1043="","",INDEX(_imp!$E$4:$E$4503,_imp!$C$1043))</f>
        <v/>
      </c>
      <c r="C1041" s="54">
        <f>IF(_imp!$C$1043="","",INDEX(_imp!$F$4:$F$4503,_imp!$C$1043))</f>
        <v/>
      </c>
      <c r="D1041" s="54">
        <f>IF(_imp!$C$1043="","",INDEX(_imp!$G$4:$G$4503,_imp!$C$1043))</f>
        <v/>
      </c>
      <c r="E1041" s="54">
        <f>IF(_imp!$C$1043="","",INDEX(_imp!$H$4:$H$4503,_imp!$C$1043))</f>
        <v/>
      </c>
      <c r="F1041" s="54">
        <f>IF(_imp!$C$1043="","",INDEX(_imp!$I$4:$I$4503,_imp!$C$1043))</f>
        <v/>
      </c>
      <c r="G1041" s="54">
        <f>IF(_imp!$C$1043="","",INDEX(_imp!$J$4:$J$4503,_imp!$C$1043))</f>
        <v/>
      </c>
      <c r="K1041" s="54">
        <f>IF(_imp!$C$1043="","",INDEX(_imp!$K$4:$K$4503,_imp!$C$1043))</f>
        <v/>
      </c>
    </row>
    <row r="1042">
      <c r="A1042" s="54">
        <f>IF(_imp!$C$1044="","",INDEX(_imp!$D$4:$D$4503,_imp!$C$1044))</f>
        <v/>
      </c>
      <c r="B1042" s="54">
        <f>IF(_imp!$C$1044="","",INDEX(_imp!$E$4:$E$4503,_imp!$C$1044))</f>
        <v/>
      </c>
      <c r="C1042" s="54">
        <f>IF(_imp!$C$1044="","",INDEX(_imp!$F$4:$F$4503,_imp!$C$1044))</f>
        <v/>
      </c>
      <c r="D1042" s="54">
        <f>IF(_imp!$C$1044="","",INDEX(_imp!$G$4:$G$4503,_imp!$C$1044))</f>
        <v/>
      </c>
      <c r="E1042" s="54">
        <f>IF(_imp!$C$1044="","",INDEX(_imp!$H$4:$H$4503,_imp!$C$1044))</f>
        <v/>
      </c>
      <c r="F1042" s="54">
        <f>IF(_imp!$C$1044="","",INDEX(_imp!$I$4:$I$4503,_imp!$C$1044))</f>
        <v/>
      </c>
      <c r="G1042" s="54">
        <f>IF(_imp!$C$1044="","",INDEX(_imp!$J$4:$J$4503,_imp!$C$1044))</f>
        <v/>
      </c>
      <c r="K1042" s="54">
        <f>IF(_imp!$C$1044="","",INDEX(_imp!$K$4:$K$4503,_imp!$C$1044))</f>
        <v/>
      </c>
    </row>
    <row r="1043">
      <c r="A1043" s="54">
        <f>IF(_imp!$C$1045="","",INDEX(_imp!$D$4:$D$4503,_imp!$C$1045))</f>
        <v/>
      </c>
      <c r="B1043" s="54">
        <f>IF(_imp!$C$1045="","",INDEX(_imp!$E$4:$E$4503,_imp!$C$1045))</f>
        <v/>
      </c>
      <c r="C1043" s="54">
        <f>IF(_imp!$C$1045="","",INDEX(_imp!$F$4:$F$4503,_imp!$C$1045))</f>
        <v/>
      </c>
      <c r="D1043" s="54">
        <f>IF(_imp!$C$1045="","",INDEX(_imp!$G$4:$G$4503,_imp!$C$1045))</f>
        <v/>
      </c>
      <c r="E1043" s="54">
        <f>IF(_imp!$C$1045="","",INDEX(_imp!$H$4:$H$4503,_imp!$C$1045))</f>
        <v/>
      </c>
      <c r="F1043" s="54">
        <f>IF(_imp!$C$1045="","",INDEX(_imp!$I$4:$I$4503,_imp!$C$1045))</f>
        <v/>
      </c>
      <c r="G1043" s="54">
        <f>IF(_imp!$C$1045="","",INDEX(_imp!$J$4:$J$4503,_imp!$C$1045))</f>
        <v/>
      </c>
      <c r="K1043" s="54">
        <f>IF(_imp!$C$1045="","",INDEX(_imp!$K$4:$K$4503,_imp!$C$1045))</f>
        <v/>
      </c>
    </row>
    <row r="1044">
      <c r="A1044" s="54">
        <f>IF(_imp!$C$1046="","",INDEX(_imp!$D$4:$D$4503,_imp!$C$1046))</f>
        <v/>
      </c>
      <c r="B1044" s="54">
        <f>IF(_imp!$C$1046="","",INDEX(_imp!$E$4:$E$4503,_imp!$C$1046))</f>
        <v/>
      </c>
      <c r="C1044" s="54">
        <f>IF(_imp!$C$1046="","",INDEX(_imp!$F$4:$F$4503,_imp!$C$1046))</f>
        <v/>
      </c>
      <c r="D1044" s="54">
        <f>IF(_imp!$C$1046="","",INDEX(_imp!$G$4:$G$4503,_imp!$C$1046))</f>
        <v/>
      </c>
      <c r="E1044" s="54">
        <f>IF(_imp!$C$1046="","",INDEX(_imp!$H$4:$H$4503,_imp!$C$1046))</f>
        <v/>
      </c>
      <c r="F1044" s="54">
        <f>IF(_imp!$C$1046="","",INDEX(_imp!$I$4:$I$4503,_imp!$C$1046))</f>
        <v/>
      </c>
      <c r="G1044" s="54">
        <f>IF(_imp!$C$1046="","",INDEX(_imp!$J$4:$J$4503,_imp!$C$1046))</f>
        <v/>
      </c>
      <c r="K1044" s="54">
        <f>IF(_imp!$C$1046="","",INDEX(_imp!$K$4:$K$4503,_imp!$C$1046))</f>
        <v/>
      </c>
    </row>
    <row r="1045">
      <c r="A1045" s="54">
        <f>IF(_imp!$C$1047="","",INDEX(_imp!$D$4:$D$4503,_imp!$C$1047))</f>
        <v/>
      </c>
      <c r="B1045" s="54">
        <f>IF(_imp!$C$1047="","",INDEX(_imp!$E$4:$E$4503,_imp!$C$1047))</f>
        <v/>
      </c>
      <c r="C1045" s="54">
        <f>IF(_imp!$C$1047="","",INDEX(_imp!$F$4:$F$4503,_imp!$C$1047))</f>
        <v/>
      </c>
      <c r="D1045" s="54">
        <f>IF(_imp!$C$1047="","",INDEX(_imp!$G$4:$G$4503,_imp!$C$1047))</f>
        <v/>
      </c>
      <c r="E1045" s="54">
        <f>IF(_imp!$C$1047="","",INDEX(_imp!$H$4:$H$4503,_imp!$C$1047))</f>
        <v/>
      </c>
      <c r="F1045" s="54">
        <f>IF(_imp!$C$1047="","",INDEX(_imp!$I$4:$I$4503,_imp!$C$1047))</f>
        <v/>
      </c>
      <c r="G1045" s="54">
        <f>IF(_imp!$C$1047="","",INDEX(_imp!$J$4:$J$4503,_imp!$C$1047))</f>
        <v/>
      </c>
      <c r="K1045" s="54">
        <f>IF(_imp!$C$1047="","",INDEX(_imp!$K$4:$K$4503,_imp!$C$1047))</f>
        <v/>
      </c>
    </row>
    <row r="1046">
      <c r="A1046" s="54">
        <f>IF(_imp!$C$1048="","",INDEX(_imp!$D$4:$D$4503,_imp!$C$1048))</f>
        <v/>
      </c>
      <c r="B1046" s="54">
        <f>IF(_imp!$C$1048="","",INDEX(_imp!$E$4:$E$4503,_imp!$C$1048))</f>
        <v/>
      </c>
      <c r="C1046" s="54">
        <f>IF(_imp!$C$1048="","",INDEX(_imp!$F$4:$F$4503,_imp!$C$1048))</f>
        <v/>
      </c>
      <c r="D1046" s="54">
        <f>IF(_imp!$C$1048="","",INDEX(_imp!$G$4:$G$4503,_imp!$C$1048))</f>
        <v/>
      </c>
      <c r="E1046" s="54">
        <f>IF(_imp!$C$1048="","",INDEX(_imp!$H$4:$H$4503,_imp!$C$1048))</f>
        <v/>
      </c>
      <c r="F1046" s="54">
        <f>IF(_imp!$C$1048="","",INDEX(_imp!$I$4:$I$4503,_imp!$C$1048))</f>
        <v/>
      </c>
      <c r="G1046" s="54">
        <f>IF(_imp!$C$1048="","",INDEX(_imp!$J$4:$J$4503,_imp!$C$1048))</f>
        <v/>
      </c>
      <c r="K1046" s="54">
        <f>IF(_imp!$C$1048="","",INDEX(_imp!$K$4:$K$4503,_imp!$C$1048))</f>
        <v/>
      </c>
    </row>
    <row r="1047">
      <c r="A1047" s="54">
        <f>IF(_imp!$C$1049="","",INDEX(_imp!$D$4:$D$4503,_imp!$C$1049))</f>
        <v/>
      </c>
      <c r="B1047" s="54">
        <f>IF(_imp!$C$1049="","",INDEX(_imp!$E$4:$E$4503,_imp!$C$1049))</f>
        <v/>
      </c>
      <c r="C1047" s="54">
        <f>IF(_imp!$C$1049="","",INDEX(_imp!$F$4:$F$4503,_imp!$C$1049))</f>
        <v/>
      </c>
      <c r="D1047" s="54">
        <f>IF(_imp!$C$1049="","",INDEX(_imp!$G$4:$G$4503,_imp!$C$1049))</f>
        <v/>
      </c>
      <c r="E1047" s="54">
        <f>IF(_imp!$C$1049="","",INDEX(_imp!$H$4:$H$4503,_imp!$C$1049))</f>
        <v/>
      </c>
      <c r="F1047" s="54">
        <f>IF(_imp!$C$1049="","",INDEX(_imp!$I$4:$I$4503,_imp!$C$1049))</f>
        <v/>
      </c>
      <c r="G1047" s="54">
        <f>IF(_imp!$C$1049="","",INDEX(_imp!$J$4:$J$4503,_imp!$C$1049))</f>
        <v/>
      </c>
      <c r="K1047" s="54">
        <f>IF(_imp!$C$1049="","",INDEX(_imp!$K$4:$K$4503,_imp!$C$1049))</f>
        <v/>
      </c>
    </row>
    <row r="1048">
      <c r="A1048" s="54">
        <f>IF(_imp!$C$1050="","",INDEX(_imp!$D$4:$D$4503,_imp!$C$1050))</f>
        <v/>
      </c>
      <c r="B1048" s="54">
        <f>IF(_imp!$C$1050="","",INDEX(_imp!$E$4:$E$4503,_imp!$C$1050))</f>
        <v/>
      </c>
      <c r="C1048" s="54">
        <f>IF(_imp!$C$1050="","",INDEX(_imp!$F$4:$F$4503,_imp!$C$1050))</f>
        <v/>
      </c>
      <c r="D1048" s="54">
        <f>IF(_imp!$C$1050="","",INDEX(_imp!$G$4:$G$4503,_imp!$C$1050))</f>
        <v/>
      </c>
      <c r="E1048" s="54">
        <f>IF(_imp!$C$1050="","",INDEX(_imp!$H$4:$H$4503,_imp!$C$1050))</f>
        <v/>
      </c>
      <c r="F1048" s="54">
        <f>IF(_imp!$C$1050="","",INDEX(_imp!$I$4:$I$4503,_imp!$C$1050))</f>
        <v/>
      </c>
      <c r="G1048" s="54">
        <f>IF(_imp!$C$1050="","",INDEX(_imp!$J$4:$J$4503,_imp!$C$1050))</f>
        <v/>
      </c>
      <c r="K1048" s="54">
        <f>IF(_imp!$C$1050="","",INDEX(_imp!$K$4:$K$4503,_imp!$C$1050))</f>
        <v/>
      </c>
    </row>
    <row r="1049">
      <c r="A1049" s="54">
        <f>IF(_imp!$C$1051="","",INDEX(_imp!$D$4:$D$4503,_imp!$C$1051))</f>
        <v/>
      </c>
      <c r="B1049" s="54">
        <f>IF(_imp!$C$1051="","",INDEX(_imp!$E$4:$E$4503,_imp!$C$1051))</f>
        <v/>
      </c>
      <c r="C1049" s="54">
        <f>IF(_imp!$C$1051="","",INDEX(_imp!$F$4:$F$4503,_imp!$C$1051))</f>
        <v/>
      </c>
      <c r="D1049" s="54">
        <f>IF(_imp!$C$1051="","",INDEX(_imp!$G$4:$G$4503,_imp!$C$1051))</f>
        <v/>
      </c>
      <c r="E1049" s="54">
        <f>IF(_imp!$C$1051="","",INDEX(_imp!$H$4:$H$4503,_imp!$C$1051))</f>
        <v/>
      </c>
      <c r="F1049" s="54">
        <f>IF(_imp!$C$1051="","",INDEX(_imp!$I$4:$I$4503,_imp!$C$1051))</f>
        <v/>
      </c>
      <c r="G1049" s="54">
        <f>IF(_imp!$C$1051="","",INDEX(_imp!$J$4:$J$4503,_imp!$C$1051))</f>
        <v/>
      </c>
      <c r="K1049" s="54">
        <f>IF(_imp!$C$1051="","",INDEX(_imp!$K$4:$K$4503,_imp!$C$1051))</f>
        <v/>
      </c>
    </row>
    <row r="1050">
      <c r="A1050" s="54">
        <f>IF(_imp!$C$1052="","",INDEX(_imp!$D$4:$D$4503,_imp!$C$1052))</f>
        <v/>
      </c>
      <c r="B1050" s="54">
        <f>IF(_imp!$C$1052="","",INDEX(_imp!$E$4:$E$4503,_imp!$C$1052))</f>
        <v/>
      </c>
      <c r="C1050" s="54">
        <f>IF(_imp!$C$1052="","",INDEX(_imp!$F$4:$F$4503,_imp!$C$1052))</f>
        <v/>
      </c>
      <c r="D1050" s="54">
        <f>IF(_imp!$C$1052="","",INDEX(_imp!$G$4:$G$4503,_imp!$C$1052))</f>
        <v/>
      </c>
      <c r="E1050" s="54">
        <f>IF(_imp!$C$1052="","",INDEX(_imp!$H$4:$H$4503,_imp!$C$1052))</f>
        <v/>
      </c>
      <c r="F1050" s="54">
        <f>IF(_imp!$C$1052="","",INDEX(_imp!$I$4:$I$4503,_imp!$C$1052))</f>
        <v/>
      </c>
      <c r="G1050" s="54">
        <f>IF(_imp!$C$1052="","",INDEX(_imp!$J$4:$J$4503,_imp!$C$1052))</f>
        <v/>
      </c>
      <c r="K1050" s="54">
        <f>IF(_imp!$C$1052="","",INDEX(_imp!$K$4:$K$4503,_imp!$C$1052))</f>
        <v/>
      </c>
    </row>
    <row r="1051">
      <c r="A1051" s="54">
        <f>IF(_imp!$C$1053="","",INDEX(_imp!$D$4:$D$4503,_imp!$C$1053))</f>
        <v/>
      </c>
      <c r="B1051" s="54">
        <f>IF(_imp!$C$1053="","",INDEX(_imp!$E$4:$E$4503,_imp!$C$1053))</f>
        <v/>
      </c>
      <c r="C1051" s="54">
        <f>IF(_imp!$C$1053="","",INDEX(_imp!$F$4:$F$4503,_imp!$C$1053))</f>
        <v/>
      </c>
      <c r="D1051" s="54">
        <f>IF(_imp!$C$1053="","",INDEX(_imp!$G$4:$G$4503,_imp!$C$1053))</f>
        <v/>
      </c>
      <c r="E1051" s="54">
        <f>IF(_imp!$C$1053="","",INDEX(_imp!$H$4:$H$4503,_imp!$C$1053))</f>
        <v/>
      </c>
      <c r="F1051" s="54">
        <f>IF(_imp!$C$1053="","",INDEX(_imp!$I$4:$I$4503,_imp!$C$1053))</f>
        <v/>
      </c>
      <c r="G1051" s="54">
        <f>IF(_imp!$C$1053="","",INDEX(_imp!$J$4:$J$4503,_imp!$C$1053))</f>
        <v/>
      </c>
      <c r="K1051" s="54">
        <f>IF(_imp!$C$1053="","",INDEX(_imp!$K$4:$K$4503,_imp!$C$1053))</f>
        <v/>
      </c>
    </row>
    <row r="1052">
      <c r="A1052" s="54">
        <f>IF(_imp!$C$1054="","",INDEX(_imp!$D$4:$D$4503,_imp!$C$1054))</f>
        <v/>
      </c>
      <c r="B1052" s="54">
        <f>IF(_imp!$C$1054="","",INDEX(_imp!$E$4:$E$4503,_imp!$C$1054))</f>
        <v/>
      </c>
      <c r="C1052" s="54">
        <f>IF(_imp!$C$1054="","",INDEX(_imp!$F$4:$F$4503,_imp!$C$1054))</f>
        <v/>
      </c>
      <c r="D1052" s="54">
        <f>IF(_imp!$C$1054="","",INDEX(_imp!$G$4:$G$4503,_imp!$C$1054))</f>
        <v/>
      </c>
      <c r="E1052" s="54">
        <f>IF(_imp!$C$1054="","",INDEX(_imp!$H$4:$H$4503,_imp!$C$1054))</f>
        <v/>
      </c>
      <c r="F1052" s="54">
        <f>IF(_imp!$C$1054="","",INDEX(_imp!$I$4:$I$4503,_imp!$C$1054))</f>
        <v/>
      </c>
      <c r="G1052" s="54">
        <f>IF(_imp!$C$1054="","",INDEX(_imp!$J$4:$J$4503,_imp!$C$1054))</f>
        <v/>
      </c>
      <c r="K1052" s="54">
        <f>IF(_imp!$C$1054="","",INDEX(_imp!$K$4:$K$4503,_imp!$C$1054))</f>
        <v/>
      </c>
    </row>
    <row r="1053">
      <c r="A1053" s="54">
        <f>IF(_imp!$C$1055="","",INDEX(_imp!$D$4:$D$4503,_imp!$C$1055))</f>
        <v/>
      </c>
      <c r="B1053" s="54">
        <f>IF(_imp!$C$1055="","",INDEX(_imp!$E$4:$E$4503,_imp!$C$1055))</f>
        <v/>
      </c>
      <c r="C1053" s="54">
        <f>IF(_imp!$C$1055="","",INDEX(_imp!$F$4:$F$4503,_imp!$C$1055))</f>
        <v/>
      </c>
      <c r="D1053" s="54">
        <f>IF(_imp!$C$1055="","",INDEX(_imp!$G$4:$G$4503,_imp!$C$1055))</f>
        <v/>
      </c>
      <c r="E1053" s="54">
        <f>IF(_imp!$C$1055="","",INDEX(_imp!$H$4:$H$4503,_imp!$C$1055))</f>
        <v/>
      </c>
      <c r="F1053" s="54">
        <f>IF(_imp!$C$1055="","",INDEX(_imp!$I$4:$I$4503,_imp!$C$1055))</f>
        <v/>
      </c>
      <c r="G1053" s="54">
        <f>IF(_imp!$C$1055="","",INDEX(_imp!$J$4:$J$4503,_imp!$C$1055))</f>
        <v/>
      </c>
      <c r="K1053" s="54">
        <f>IF(_imp!$C$1055="","",INDEX(_imp!$K$4:$K$4503,_imp!$C$1055))</f>
        <v/>
      </c>
    </row>
    <row r="1054">
      <c r="A1054" s="54">
        <f>IF(_imp!$C$1056="","",INDEX(_imp!$D$4:$D$4503,_imp!$C$1056))</f>
        <v/>
      </c>
      <c r="B1054" s="54">
        <f>IF(_imp!$C$1056="","",INDEX(_imp!$E$4:$E$4503,_imp!$C$1056))</f>
        <v/>
      </c>
      <c r="C1054" s="54">
        <f>IF(_imp!$C$1056="","",INDEX(_imp!$F$4:$F$4503,_imp!$C$1056))</f>
        <v/>
      </c>
      <c r="D1054" s="54">
        <f>IF(_imp!$C$1056="","",INDEX(_imp!$G$4:$G$4503,_imp!$C$1056))</f>
        <v/>
      </c>
      <c r="E1054" s="54">
        <f>IF(_imp!$C$1056="","",INDEX(_imp!$H$4:$H$4503,_imp!$C$1056))</f>
        <v/>
      </c>
      <c r="F1054" s="54">
        <f>IF(_imp!$C$1056="","",INDEX(_imp!$I$4:$I$4503,_imp!$C$1056))</f>
        <v/>
      </c>
      <c r="G1054" s="54">
        <f>IF(_imp!$C$1056="","",INDEX(_imp!$J$4:$J$4503,_imp!$C$1056))</f>
        <v/>
      </c>
      <c r="K1054" s="54">
        <f>IF(_imp!$C$1056="","",INDEX(_imp!$K$4:$K$4503,_imp!$C$1056))</f>
        <v/>
      </c>
    </row>
    <row r="1055">
      <c r="A1055" s="54">
        <f>IF(_imp!$C$1057="","",INDEX(_imp!$D$4:$D$4503,_imp!$C$1057))</f>
        <v/>
      </c>
      <c r="B1055" s="54">
        <f>IF(_imp!$C$1057="","",INDEX(_imp!$E$4:$E$4503,_imp!$C$1057))</f>
        <v/>
      </c>
      <c r="C1055" s="54">
        <f>IF(_imp!$C$1057="","",INDEX(_imp!$F$4:$F$4503,_imp!$C$1057))</f>
        <v/>
      </c>
      <c r="D1055" s="54">
        <f>IF(_imp!$C$1057="","",INDEX(_imp!$G$4:$G$4503,_imp!$C$1057))</f>
        <v/>
      </c>
      <c r="E1055" s="54">
        <f>IF(_imp!$C$1057="","",INDEX(_imp!$H$4:$H$4503,_imp!$C$1057))</f>
        <v/>
      </c>
      <c r="F1055" s="54">
        <f>IF(_imp!$C$1057="","",INDEX(_imp!$I$4:$I$4503,_imp!$C$1057))</f>
        <v/>
      </c>
      <c r="G1055" s="54">
        <f>IF(_imp!$C$1057="","",INDEX(_imp!$J$4:$J$4503,_imp!$C$1057))</f>
        <v/>
      </c>
      <c r="K1055" s="54">
        <f>IF(_imp!$C$1057="","",INDEX(_imp!$K$4:$K$4503,_imp!$C$1057))</f>
        <v/>
      </c>
    </row>
    <row r="1056">
      <c r="A1056" s="54">
        <f>IF(_imp!$C$1058="","",INDEX(_imp!$D$4:$D$4503,_imp!$C$1058))</f>
        <v/>
      </c>
      <c r="B1056" s="54">
        <f>IF(_imp!$C$1058="","",INDEX(_imp!$E$4:$E$4503,_imp!$C$1058))</f>
        <v/>
      </c>
      <c r="C1056" s="54">
        <f>IF(_imp!$C$1058="","",INDEX(_imp!$F$4:$F$4503,_imp!$C$1058))</f>
        <v/>
      </c>
      <c r="D1056" s="54">
        <f>IF(_imp!$C$1058="","",INDEX(_imp!$G$4:$G$4503,_imp!$C$1058))</f>
        <v/>
      </c>
      <c r="E1056" s="54">
        <f>IF(_imp!$C$1058="","",INDEX(_imp!$H$4:$H$4503,_imp!$C$1058))</f>
        <v/>
      </c>
      <c r="F1056" s="54">
        <f>IF(_imp!$C$1058="","",INDEX(_imp!$I$4:$I$4503,_imp!$C$1058))</f>
        <v/>
      </c>
      <c r="G1056" s="54">
        <f>IF(_imp!$C$1058="","",INDEX(_imp!$J$4:$J$4503,_imp!$C$1058))</f>
        <v/>
      </c>
      <c r="K1056" s="54">
        <f>IF(_imp!$C$1058="","",INDEX(_imp!$K$4:$K$4503,_imp!$C$1058))</f>
        <v/>
      </c>
    </row>
    <row r="1057">
      <c r="A1057" s="54">
        <f>IF(_imp!$C$1059="","",INDEX(_imp!$D$4:$D$4503,_imp!$C$1059))</f>
        <v/>
      </c>
      <c r="B1057" s="54">
        <f>IF(_imp!$C$1059="","",INDEX(_imp!$E$4:$E$4503,_imp!$C$1059))</f>
        <v/>
      </c>
      <c r="C1057" s="54">
        <f>IF(_imp!$C$1059="","",INDEX(_imp!$F$4:$F$4503,_imp!$C$1059))</f>
        <v/>
      </c>
      <c r="D1057" s="54">
        <f>IF(_imp!$C$1059="","",INDEX(_imp!$G$4:$G$4503,_imp!$C$1059))</f>
        <v/>
      </c>
      <c r="E1057" s="54">
        <f>IF(_imp!$C$1059="","",INDEX(_imp!$H$4:$H$4503,_imp!$C$1059))</f>
        <v/>
      </c>
      <c r="F1057" s="54">
        <f>IF(_imp!$C$1059="","",INDEX(_imp!$I$4:$I$4503,_imp!$C$1059))</f>
        <v/>
      </c>
      <c r="G1057" s="54">
        <f>IF(_imp!$C$1059="","",INDEX(_imp!$J$4:$J$4503,_imp!$C$1059))</f>
        <v/>
      </c>
      <c r="K1057" s="54">
        <f>IF(_imp!$C$1059="","",INDEX(_imp!$K$4:$K$4503,_imp!$C$1059))</f>
        <v/>
      </c>
    </row>
    <row r="1058">
      <c r="A1058" s="54">
        <f>IF(_imp!$C$1060="","",INDEX(_imp!$D$4:$D$4503,_imp!$C$1060))</f>
        <v/>
      </c>
      <c r="B1058" s="54">
        <f>IF(_imp!$C$1060="","",INDEX(_imp!$E$4:$E$4503,_imp!$C$1060))</f>
        <v/>
      </c>
      <c r="C1058" s="54">
        <f>IF(_imp!$C$1060="","",INDEX(_imp!$F$4:$F$4503,_imp!$C$1060))</f>
        <v/>
      </c>
      <c r="D1058" s="54">
        <f>IF(_imp!$C$1060="","",INDEX(_imp!$G$4:$G$4503,_imp!$C$1060))</f>
        <v/>
      </c>
      <c r="E1058" s="54">
        <f>IF(_imp!$C$1060="","",INDEX(_imp!$H$4:$H$4503,_imp!$C$1060))</f>
        <v/>
      </c>
      <c r="F1058" s="54">
        <f>IF(_imp!$C$1060="","",INDEX(_imp!$I$4:$I$4503,_imp!$C$1060))</f>
        <v/>
      </c>
      <c r="G1058" s="54">
        <f>IF(_imp!$C$1060="","",INDEX(_imp!$J$4:$J$4503,_imp!$C$1060))</f>
        <v/>
      </c>
      <c r="K1058" s="54">
        <f>IF(_imp!$C$1060="","",INDEX(_imp!$K$4:$K$4503,_imp!$C$1060))</f>
        <v/>
      </c>
    </row>
    <row r="1059">
      <c r="A1059" s="54">
        <f>IF(_imp!$C$1061="","",INDEX(_imp!$D$4:$D$4503,_imp!$C$1061))</f>
        <v/>
      </c>
      <c r="B1059" s="54">
        <f>IF(_imp!$C$1061="","",INDEX(_imp!$E$4:$E$4503,_imp!$C$1061))</f>
        <v/>
      </c>
      <c r="C1059" s="54">
        <f>IF(_imp!$C$1061="","",INDEX(_imp!$F$4:$F$4503,_imp!$C$1061))</f>
        <v/>
      </c>
      <c r="D1059" s="54">
        <f>IF(_imp!$C$1061="","",INDEX(_imp!$G$4:$G$4503,_imp!$C$1061))</f>
        <v/>
      </c>
      <c r="E1059" s="54">
        <f>IF(_imp!$C$1061="","",INDEX(_imp!$H$4:$H$4503,_imp!$C$1061))</f>
        <v/>
      </c>
      <c r="F1059" s="54">
        <f>IF(_imp!$C$1061="","",INDEX(_imp!$I$4:$I$4503,_imp!$C$1061))</f>
        <v/>
      </c>
      <c r="G1059" s="54">
        <f>IF(_imp!$C$1061="","",INDEX(_imp!$J$4:$J$4503,_imp!$C$1061))</f>
        <v/>
      </c>
      <c r="K1059" s="54">
        <f>IF(_imp!$C$1061="","",INDEX(_imp!$K$4:$K$4503,_imp!$C$1061))</f>
        <v/>
      </c>
    </row>
    <row r="1060">
      <c r="A1060" s="54">
        <f>IF(_imp!$C$1062="","",INDEX(_imp!$D$4:$D$4503,_imp!$C$1062))</f>
        <v/>
      </c>
      <c r="B1060" s="54">
        <f>IF(_imp!$C$1062="","",INDEX(_imp!$E$4:$E$4503,_imp!$C$1062))</f>
        <v/>
      </c>
      <c r="C1060" s="54">
        <f>IF(_imp!$C$1062="","",INDEX(_imp!$F$4:$F$4503,_imp!$C$1062))</f>
        <v/>
      </c>
      <c r="D1060" s="54">
        <f>IF(_imp!$C$1062="","",INDEX(_imp!$G$4:$G$4503,_imp!$C$1062))</f>
        <v/>
      </c>
      <c r="E1060" s="54">
        <f>IF(_imp!$C$1062="","",INDEX(_imp!$H$4:$H$4503,_imp!$C$1062))</f>
        <v/>
      </c>
      <c r="F1060" s="54">
        <f>IF(_imp!$C$1062="","",INDEX(_imp!$I$4:$I$4503,_imp!$C$1062))</f>
        <v/>
      </c>
      <c r="G1060" s="54">
        <f>IF(_imp!$C$1062="","",INDEX(_imp!$J$4:$J$4503,_imp!$C$1062))</f>
        <v/>
      </c>
      <c r="K1060" s="54">
        <f>IF(_imp!$C$1062="","",INDEX(_imp!$K$4:$K$4503,_imp!$C$1062))</f>
        <v/>
      </c>
    </row>
    <row r="1061">
      <c r="A1061" s="54">
        <f>IF(_imp!$C$1063="","",INDEX(_imp!$D$4:$D$4503,_imp!$C$1063))</f>
        <v/>
      </c>
      <c r="B1061" s="54">
        <f>IF(_imp!$C$1063="","",INDEX(_imp!$E$4:$E$4503,_imp!$C$1063))</f>
        <v/>
      </c>
      <c r="C1061" s="54">
        <f>IF(_imp!$C$1063="","",INDEX(_imp!$F$4:$F$4503,_imp!$C$1063))</f>
        <v/>
      </c>
      <c r="D1061" s="54">
        <f>IF(_imp!$C$1063="","",INDEX(_imp!$G$4:$G$4503,_imp!$C$1063))</f>
        <v/>
      </c>
      <c r="E1061" s="54">
        <f>IF(_imp!$C$1063="","",INDEX(_imp!$H$4:$H$4503,_imp!$C$1063))</f>
        <v/>
      </c>
      <c r="F1061" s="54">
        <f>IF(_imp!$C$1063="","",INDEX(_imp!$I$4:$I$4503,_imp!$C$1063))</f>
        <v/>
      </c>
      <c r="G1061" s="54">
        <f>IF(_imp!$C$1063="","",INDEX(_imp!$J$4:$J$4503,_imp!$C$1063))</f>
        <v/>
      </c>
      <c r="K1061" s="54">
        <f>IF(_imp!$C$1063="","",INDEX(_imp!$K$4:$K$4503,_imp!$C$1063))</f>
        <v/>
      </c>
    </row>
    <row r="1062">
      <c r="A1062" s="54">
        <f>IF(_imp!$C$1064="","",INDEX(_imp!$D$4:$D$4503,_imp!$C$1064))</f>
        <v/>
      </c>
      <c r="B1062" s="54">
        <f>IF(_imp!$C$1064="","",INDEX(_imp!$E$4:$E$4503,_imp!$C$1064))</f>
        <v/>
      </c>
      <c r="C1062" s="54">
        <f>IF(_imp!$C$1064="","",INDEX(_imp!$F$4:$F$4503,_imp!$C$1064))</f>
        <v/>
      </c>
      <c r="D1062" s="54">
        <f>IF(_imp!$C$1064="","",INDEX(_imp!$G$4:$G$4503,_imp!$C$1064))</f>
        <v/>
      </c>
      <c r="E1062" s="54">
        <f>IF(_imp!$C$1064="","",INDEX(_imp!$H$4:$H$4503,_imp!$C$1064))</f>
        <v/>
      </c>
      <c r="F1062" s="54">
        <f>IF(_imp!$C$1064="","",INDEX(_imp!$I$4:$I$4503,_imp!$C$1064))</f>
        <v/>
      </c>
      <c r="G1062" s="54">
        <f>IF(_imp!$C$1064="","",INDEX(_imp!$J$4:$J$4503,_imp!$C$1064))</f>
        <v/>
      </c>
      <c r="K1062" s="54">
        <f>IF(_imp!$C$1064="","",INDEX(_imp!$K$4:$K$4503,_imp!$C$1064))</f>
        <v/>
      </c>
    </row>
    <row r="1063">
      <c r="A1063" s="54">
        <f>IF(_imp!$C$1065="","",INDEX(_imp!$D$4:$D$4503,_imp!$C$1065))</f>
        <v/>
      </c>
      <c r="B1063" s="54">
        <f>IF(_imp!$C$1065="","",INDEX(_imp!$E$4:$E$4503,_imp!$C$1065))</f>
        <v/>
      </c>
      <c r="C1063" s="54">
        <f>IF(_imp!$C$1065="","",INDEX(_imp!$F$4:$F$4503,_imp!$C$1065))</f>
        <v/>
      </c>
      <c r="D1063" s="54">
        <f>IF(_imp!$C$1065="","",INDEX(_imp!$G$4:$G$4503,_imp!$C$1065))</f>
        <v/>
      </c>
      <c r="E1063" s="54">
        <f>IF(_imp!$C$1065="","",INDEX(_imp!$H$4:$H$4503,_imp!$C$1065))</f>
        <v/>
      </c>
      <c r="F1063" s="54">
        <f>IF(_imp!$C$1065="","",INDEX(_imp!$I$4:$I$4503,_imp!$C$1065))</f>
        <v/>
      </c>
      <c r="G1063" s="54">
        <f>IF(_imp!$C$1065="","",INDEX(_imp!$J$4:$J$4503,_imp!$C$1065))</f>
        <v/>
      </c>
      <c r="K1063" s="54">
        <f>IF(_imp!$C$1065="","",INDEX(_imp!$K$4:$K$4503,_imp!$C$1065))</f>
        <v/>
      </c>
    </row>
    <row r="1064">
      <c r="A1064" s="54">
        <f>IF(_imp!$C$1066="","",INDEX(_imp!$D$4:$D$4503,_imp!$C$1066))</f>
        <v/>
      </c>
      <c r="B1064" s="54">
        <f>IF(_imp!$C$1066="","",INDEX(_imp!$E$4:$E$4503,_imp!$C$1066))</f>
        <v/>
      </c>
      <c r="C1064" s="54">
        <f>IF(_imp!$C$1066="","",INDEX(_imp!$F$4:$F$4503,_imp!$C$1066))</f>
        <v/>
      </c>
      <c r="D1064" s="54">
        <f>IF(_imp!$C$1066="","",INDEX(_imp!$G$4:$G$4503,_imp!$C$1066))</f>
        <v/>
      </c>
      <c r="E1064" s="54">
        <f>IF(_imp!$C$1066="","",INDEX(_imp!$H$4:$H$4503,_imp!$C$1066))</f>
        <v/>
      </c>
      <c r="F1064" s="54">
        <f>IF(_imp!$C$1066="","",INDEX(_imp!$I$4:$I$4503,_imp!$C$1066))</f>
        <v/>
      </c>
      <c r="G1064" s="54">
        <f>IF(_imp!$C$1066="","",INDEX(_imp!$J$4:$J$4503,_imp!$C$1066))</f>
        <v/>
      </c>
      <c r="K1064" s="54">
        <f>IF(_imp!$C$1066="","",INDEX(_imp!$K$4:$K$4503,_imp!$C$1066))</f>
        <v/>
      </c>
    </row>
    <row r="1065">
      <c r="A1065" s="54">
        <f>IF(_imp!$C$1067="","",INDEX(_imp!$D$4:$D$4503,_imp!$C$1067))</f>
        <v/>
      </c>
      <c r="B1065" s="54">
        <f>IF(_imp!$C$1067="","",INDEX(_imp!$E$4:$E$4503,_imp!$C$1067))</f>
        <v/>
      </c>
      <c r="C1065" s="54">
        <f>IF(_imp!$C$1067="","",INDEX(_imp!$F$4:$F$4503,_imp!$C$1067))</f>
        <v/>
      </c>
      <c r="D1065" s="54">
        <f>IF(_imp!$C$1067="","",INDEX(_imp!$G$4:$G$4503,_imp!$C$1067))</f>
        <v/>
      </c>
      <c r="E1065" s="54">
        <f>IF(_imp!$C$1067="","",INDEX(_imp!$H$4:$H$4503,_imp!$C$1067))</f>
        <v/>
      </c>
      <c r="F1065" s="54">
        <f>IF(_imp!$C$1067="","",INDEX(_imp!$I$4:$I$4503,_imp!$C$1067))</f>
        <v/>
      </c>
      <c r="G1065" s="54">
        <f>IF(_imp!$C$1067="","",INDEX(_imp!$J$4:$J$4503,_imp!$C$1067))</f>
        <v/>
      </c>
      <c r="K1065" s="54">
        <f>IF(_imp!$C$1067="","",INDEX(_imp!$K$4:$K$4503,_imp!$C$1067))</f>
        <v/>
      </c>
    </row>
    <row r="1066">
      <c r="A1066" s="54">
        <f>IF(_imp!$C$1068="","",INDEX(_imp!$D$4:$D$4503,_imp!$C$1068))</f>
        <v/>
      </c>
      <c r="B1066" s="54">
        <f>IF(_imp!$C$1068="","",INDEX(_imp!$E$4:$E$4503,_imp!$C$1068))</f>
        <v/>
      </c>
      <c r="C1066" s="54">
        <f>IF(_imp!$C$1068="","",INDEX(_imp!$F$4:$F$4503,_imp!$C$1068))</f>
        <v/>
      </c>
      <c r="D1066" s="54">
        <f>IF(_imp!$C$1068="","",INDEX(_imp!$G$4:$G$4503,_imp!$C$1068))</f>
        <v/>
      </c>
      <c r="E1066" s="54">
        <f>IF(_imp!$C$1068="","",INDEX(_imp!$H$4:$H$4503,_imp!$C$1068))</f>
        <v/>
      </c>
      <c r="F1066" s="54">
        <f>IF(_imp!$C$1068="","",INDEX(_imp!$I$4:$I$4503,_imp!$C$1068))</f>
        <v/>
      </c>
      <c r="G1066" s="54">
        <f>IF(_imp!$C$1068="","",INDEX(_imp!$J$4:$J$4503,_imp!$C$1068))</f>
        <v/>
      </c>
      <c r="K1066" s="54">
        <f>IF(_imp!$C$1068="","",INDEX(_imp!$K$4:$K$4503,_imp!$C$1068))</f>
        <v/>
      </c>
    </row>
    <row r="1067">
      <c r="A1067" s="54">
        <f>IF(_imp!$C$1069="","",INDEX(_imp!$D$4:$D$4503,_imp!$C$1069))</f>
        <v/>
      </c>
      <c r="B1067" s="54">
        <f>IF(_imp!$C$1069="","",INDEX(_imp!$E$4:$E$4503,_imp!$C$1069))</f>
        <v/>
      </c>
      <c r="C1067" s="54">
        <f>IF(_imp!$C$1069="","",INDEX(_imp!$F$4:$F$4503,_imp!$C$1069))</f>
        <v/>
      </c>
      <c r="D1067" s="54">
        <f>IF(_imp!$C$1069="","",INDEX(_imp!$G$4:$G$4503,_imp!$C$1069))</f>
        <v/>
      </c>
      <c r="E1067" s="54">
        <f>IF(_imp!$C$1069="","",INDEX(_imp!$H$4:$H$4503,_imp!$C$1069))</f>
        <v/>
      </c>
      <c r="F1067" s="54">
        <f>IF(_imp!$C$1069="","",INDEX(_imp!$I$4:$I$4503,_imp!$C$1069))</f>
        <v/>
      </c>
      <c r="G1067" s="54">
        <f>IF(_imp!$C$1069="","",INDEX(_imp!$J$4:$J$4503,_imp!$C$1069))</f>
        <v/>
      </c>
      <c r="K1067" s="54">
        <f>IF(_imp!$C$1069="","",INDEX(_imp!$K$4:$K$4503,_imp!$C$1069))</f>
        <v/>
      </c>
    </row>
    <row r="1068">
      <c r="A1068" s="54">
        <f>IF(_imp!$C$1070="","",INDEX(_imp!$D$4:$D$4503,_imp!$C$1070))</f>
        <v/>
      </c>
      <c r="B1068" s="54">
        <f>IF(_imp!$C$1070="","",INDEX(_imp!$E$4:$E$4503,_imp!$C$1070))</f>
        <v/>
      </c>
      <c r="C1068" s="54">
        <f>IF(_imp!$C$1070="","",INDEX(_imp!$F$4:$F$4503,_imp!$C$1070))</f>
        <v/>
      </c>
      <c r="D1068" s="54">
        <f>IF(_imp!$C$1070="","",INDEX(_imp!$G$4:$G$4503,_imp!$C$1070))</f>
        <v/>
      </c>
      <c r="E1068" s="54">
        <f>IF(_imp!$C$1070="","",INDEX(_imp!$H$4:$H$4503,_imp!$C$1070))</f>
        <v/>
      </c>
      <c r="F1068" s="54">
        <f>IF(_imp!$C$1070="","",INDEX(_imp!$I$4:$I$4503,_imp!$C$1070))</f>
        <v/>
      </c>
      <c r="G1068" s="54">
        <f>IF(_imp!$C$1070="","",INDEX(_imp!$J$4:$J$4503,_imp!$C$1070))</f>
        <v/>
      </c>
      <c r="K1068" s="54">
        <f>IF(_imp!$C$1070="","",INDEX(_imp!$K$4:$K$4503,_imp!$C$1070))</f>
        <v/>
      </c>
    </row>
    <row r="1069">
      <c r="A1069" s="54">
        <f>IF(_imp!$C$1071="","",INDEX(_imp!$D$4:$D$4503,_imp!$C$1071))</f>
        <v/>
      </c>
      <c r="B1069" s="54">
        <f>IF(_imp!$C$1071="","",INDEX(_imp!$E$4:$E$4503,_imp!$C$1071))</f>
        <v/>
      </c>
      <c r="C1069" s="54">
        <f>IF(_imp!$C$1071="","",INDEX(_imp!$F$4:$F$4503,_imp!$C$1071))</f>
        <v/>
      </c>
      <c r="D1069" s="54">
        <f>IF(_imp!$C$1071="","",INDEX(_imp!$G$4:$G$4503,_imp!$C$1071))</f>
        <v/>
      </c>
      <c r="E1069" s="54">
        <f>IF(_imp!$C$1071="","",INDEX(_imp!$H$4:$H$4503,_imp!$C$1071))</f>
        <v/>
      </c>
      <c r="F1069" s="54">
        <f>IF(_imp!$C$1071="","",INDEX(_imp!$I$4:$I$4503,_imp!$C$1071))</f>
        <v/>
      </c>
      <c r="G1069" s="54">
        <f>IF(_imp!$C$1071="","",INDEX(_imp!$J$4:$J$4503,_imp!$C$1071))</f>
        <v/>
      </c>
      <c r="K1069" s="54">
        <f>IF(_imp!$C$1071="","",INDEX(_imp!$K$4:$K$4503,_imp!$C$1071))</f>
        <v/>
      </c>
    </row>
    <row r="1070">
      <c r="A1070" s="54">
        <f>IF(_imp!$C$1072="","",INDEX(_imp!$D$4:$D$4503,_imp!$C$1072))</f>
        <v/>
      </c>
      <c r="B1070" s="54">
        <f>IF(_imp!$C$1072="","",INDEX(_imp!$E$4:$E$4503,_imp!$C$1072))</f>
        <v/>
      </c>
      <c r="C1070" s="54">
        <f>IF(_imp!$C$1072="","",INDEX(_imp!$F$4:$F$4503,_imp!$C$1072))</f>
        <v/>
      </c>
      <c r="D1070" s="54">
        <f>IF(_imp!$C$1072="","",INDEX(_imp!$G$4:$G$4503,_imp!$C$1072))</f>
        <v/>
      </c>
      <c r="E1070" s="54">
        <f>IF(_imp!$C$1072="","",INDEX(_imp!$H$4:$H$4503,_imp!$C$1072))</f>
        <v/>
      </c>
      <c r="F1070" s="54">
        <f>IF(_imp!$C$1072="","",INDEX(_imp!$I$4:$I$4503,_imp!$C$1072))</f>
        <v/>
      </c>
      <c r="G1070" s="54">
        <f>IF(_imp!$C$1072="","",INDEX(_imp!$J$4:$J$4503,_imp!$C$1072))</f>
        <v/>
      </c>
      <c r="K1070" s="54">
        <f>IF(_imp!$C$1072="","",INDEX(_imp!$K$4:$K$4503,_imp!$C$1072))</f>
        <v/>
      </c>
    </row>
    <row r="1071">
      <c r="A1071" s="54">
        <f>IF(_imp!$C$1073="","",INDEX(_imp!$D$4:$D$4503,_imp!$C$1073))</f>
        <v/>
      </c>
      <c r="B1071" s="54">
        <f>IF(_imp!$C$1073="","",INDEX(_imp!$E$4:$E$4503,_imp!$C$1073))</f>
        <v/>
      </c>
      <c r="C1071" s="54">
        <f>IF(_imp!$C$1073="","",INDEX(_imp!$F$4:$F$4503,_imp!$C$1073))</f>
        <v/>
      </c>
      <c r="D1071" s="54">
        <f>IF(_imp!$C$1073="","",INDEX(_imp!$G$4:$G$4503,_imp!$C$1073))</f>
        <v/>
      </c>
      <c r="E1071" s="54">
        <f>IF(_imp!$C$1073="","",INDEX(_imp!$H$4:$H$4503,_imp!$C$1073))</f>
        <v/>
      </c>
      <c r="F1071" s="54">
        <f>IF(_imp!$C$1073="","",INDEX(_imp!$I$4:$I$4503,_imp!$C$1073))</f>
        <v/>
      </c>
      <c r="G1071" s="54">
        <f>IF(_imp!$C$1073="","",INDEX(_imp!$J$4:$J$4503,_imp!$C$1073))</f>
        <v/>
      </c>
      <c r="K1071" s="54">
        <f>IF(_imp!$C$1073="","",INDEX(_imp!$K$4:$K$4503,_imp!$C$1073))</f>
        <v/>
      </c>
    </row>
    <row r="1072">
      <c r="A1072" s="54">
        <f>IF(_imp!$C$1074="","",INDEX(_imp!$D$4:$D$4503,_imp!$C$1074))</f>
        <v/>
      </c>
      <c r="B1072" s="54">
        <f>IF(_imp!$C$1074="","",INDEX(_imp!$E$4:$E$4503,_imp!$C$1074))</f>
        <v/>
      </c>
      <c r="C1072" s="54">
        <f>IF(_imp!$C$1074="","",INDEX(_imp!$F$4:$F$4503,_imp!$C$1074))</f>
        <v/>
      </c>
      <c r="D1072" s="54">
        <f>IF(_imp!$C$1074="","",INDEX(_imp!$G$4:$G$4503,_imp!$C$1074))</f>
        <v/>
      </c>
      <c r="E1072" s="54">
        <f>IF(_imp!$C$1074="","",INDEX(_imp!$H$4:$H$4503,_imp!$C$1074))</f>
        <v/>
      </c>
      <c r="F1072" s="54">
        <f>IF(_imp!$C$1074="","",INDEX(_imp!$I$4:$I$4503,_imp!$C$1074))</f>
        <v/>
      </c>
      <c r="G1072" s="54">
        <f>IF(_imp!$C$1074="","",INDEX(_imp!$J$4:$J$4503,_imp!$C$1074))</f>
        <v/>
      </c>
      <c r="K1072" s="54">
        <f>IF(_imp!$C$1074="","",INDEX(_imp!$K$4:$K$4503,_imp!$C$1074))</f>
        <v/>
      </c>
    </row>
    <row r="1073">
      <c r="A1073" s="54">
        <f>IF(_imp!$C$1075="","",INDEX(_imp!$D$4:$D$4503,_imp!$C$1075))</f>
        <v/>
      </c>
      <c r="B1073" s="54">
        <f>IF(_imp!$C$1075="","",INDEX(_imp!$E$4:$E$4503,_imp!$C$1075))</f>
        <v/>
      </c>
      <c r="C1073" s="54">
        <f>IF(_imp!$C$1075="","",INDEX(_imp!$F$4:$F$4503,_imp!$C$1075))</f>
        <v/>
      </c>
      <c r="D1073" s="54">
        <f>IF(_imp!$C$1075="","",INDEX(_imp!$G$4:$G$4503,_imp!$C$1075))</f>
        <v/>
      </c>
      <c r="E1073" s="54">
        <f>IF(_imp!$C$1075="","",INDEX(_imp!$H$4:$H$4503,_imp!$C$1075))</f>
        <v/>
      </c>
      <c r="F1073" s="54">
        <f>IF(_imp!$C$1075="","",INDEX(_imp!$I$4:$I$4503,_imp!$C$1075))</f>
        <v/>
      </c>
      <c r="G1073" s="54">
        <f>IF(_imp!$C$1075="","",INDEX(_imp!$J$4:$J$4503,_imp!$C$1075))</f>
        <v/>
      </c>
      <c r="K1073" s="54">
        <f>IF(_imp!$C$1075="","",INDEX(_imp!$K$4:$K$4503,_imp!$C$1075))</f>
        <v/>
      </c>
    </row>
    <row r="1074">
      <c r="A1074" s="54">
        <f>IF(_imp!$C$1076="","",INDEX(_imp!$D$4:$D$4503,_imp!$C$1076))</f>
        <v/>
      </c>
      <c r="B1074" s="54">
        <f>IF(_imp!$C$1076="","",INDEX(_imp!$E$4:$E$4503,_imp!$C$1076))</f>
        <v/>
      </c>
      <c r="C1074" s="54">
        <f>IF(_imp!$C$1076="","",INDEX(_imp!$F$4:$F$4503,_imp!$C$1076))</f>
        <v/>
      </c>
      <c r="D1074" s="54">
        <f>IF(_imp!$C$1076="","",INDEX(_imp!$G$4:$G$4503,_imp!$C$1076))</f>
        <v/>
      </c>
      <c r="E1074" s="54">
        <f>IF(_imp!$C$1076="","",INDEX(_imp!$H$4:$H$4503,_imp!$C$1076))</f>
        <v/>
      </c>
      <c r="F1074" s="54">
        <f>IF(_imp!$C$1076="","",INDEX(_imp!$I$4:$I$4503,_imp!$C$1076))</f>
        <v/>
      </c>
      <c r="G1074" s="54">
        <f>IF(_imp!$C$1076="","",INDEX(_imp!$J$4:$J$4503,_imp!$C$1076))</f>
        <v/>
      </c>
      <c r="K1074" s="54">
        <f>IF(_imp!$C$1076="","",INDEX(_imp!$K$4:$K$4503,_imp!$C$1076))</f>
        <v/>
      </c>
    </row>
    <row r="1075">
      <c r="A1075" s="54">
        <f>IF(_imp!$C$1077="","",INDEX(_imp!$D$4:$D$4503,_imp!$C$1077))</f>
        <v/>
      </c>
      <c r="B1075" s="54">
        <f>IF(_imp!$C$1077="","",INDEX(_imp!$E$4:$E$4503,_imp!$C$1077))</f>
        <v/>
      </c>
      <c r="C1075" s="54">
        <f>IF(_imp!$C$1077="","",INDEX(_imp!$F$4:$F$4503,_imp!$C$1077))</f>
        <v/>
      </c>
      <c r="D1075" s="54">
        <f>IF(_imp!$C$1077="","",INDEX(_imp!$G$4:$G$4503,_imp!$C$1077))</f>
        <v/>
      </c>
      <c r="E1075" s="54">
        <f>IF(_imp!$C$1077="","",INDEX(_imp!$H$4:$H$4503,_imp!$C$1077))</f>
        <v/>
      </c>
      <c r="F1075" s="54">
        <f>IF(_imp!$C$1077="","",INDEX(_imp!$I$4:$I$4503,_imp!$C$1077))</f>
        <v/>
      </c>
      <c r="G1075" s="54">
        <f>IF(_imp!$C$1077="","",INDEX(_imp!$J$4:$J$4503,_imp!$C$1077))</f>
        <v/>
      </c>
      <c r="K1075" s="54">
        <f>IF(_imp!$C$1077="","",INDEX(_imp!$K$4:$K$4503,_imp!$C$1077))</f>
        <v/>
      </c>
    </row>
    <row r="1076">
      <c r="A1076" s="54">
        <f>IF(_imp!$C$1078="","",INDEX(_imp!$D$4:$D$4503,_imp!$C$1078))</f>
        <v/>
      </c>
      <c r="B1076" s="54">
        <f>IF(_imp!$C$1078="","",INDEX(_imp!$E$4:$E$4503,_imp!$C$1078))</f>
        <v/>
      </c>
      <c r="C1076" s="54">
        <f>IF(_imp!$C$1078="","",INDEX(_imp!$F$4:$F$4503,_imp!$C$1078))</f>
        <v/>
      </c>
      <c r="D1076" s="54">
        <f>IF(_imp!$C$1078="","",INDEX(_imp!$G$4:$G$4503,_imp!$C$1078))</f>
        <v/>
      </c>
      <c r="E1076" s="54">
        <f>IF(_imp!$C$1078="","",INDEX(_imp!$H$4:$H$4503,_imp!$C$1078))</f>
        <v/>
      </c>
      <c r="F1076" s="54">
        <f>IF(_imp!$C$1078="","",INDEX(_imp!$I$4:$I$4503,_imp!$C$1078))</f>
        <v/>
      </c>
      <c r="G1076" s="54">
        <f>IF(_imp!$C$1078="","",INDEX(_imp!$J$4:$J$4503,_imp!$C$1078))</f>
        <v/>
      </c>
      <c r="K1076" s="54">
        <f>IF(_imp!$C$1078="","",INDEX(_imp!$K$4:$K$4503,_imp!$C$1078))</f>
        <v/>
      </c>
    </row>
    <row r="1077">
      <c r="A1077" s="54">
        <f>IF(_imp!$C$1079="","",INDEX(_imp!$D$4:$D$4503,_imp!$C$1079))</f>
        <v/>
      </c>
      <c r="B1077" s="54">
        <f>IF(_imp!$C$1079="","",INDEX(_imp!$E$4:$E$4503,_imp!$C$1079))</f>
        <v/>
      </c>
      <c r="C1077" s="54">
        <f>IF(_imp!$C$1079="","",INDEX(_imp!$F$4:$F$4503,_imp!$C$1079))</f>
        <v/>
      </c>
      <c r="D1077" s="54">
        <f>IF(_imp!$C$1079="","",INDEX(_imp!$G$4:$G$4503,_imp!$C$1079))</f>
        <v/>
      </c>
      <c r="E1077" s="54">
        <f>IF(_imp!$C$1079="","",INDEX(_imp!$H$4:$H$4503,_imp!$C$1079))</f>
        <v/>
      </c>
      <c r="F1077" s="54">
        <f>IF(_imp!$C$1079="","",INDEX(_imp!$I$4:$I$4503,_imp!$C$1079))</f>
        <v/>
      </c>
      <c r="G1077" s="54">
        <f>IF(_imp!$C$1079="","",INDEX(_imp!$J$4:$J$4503,_imp!$C$1079))</f>
        <v/>
      </c>
      <c r="K1077" s="54">
        <f>IF(_imp!$C$1079="","",INDEX(_imp!$K$4:$K$4503,_imp!$C$1079))</f>
        <v/>
      </c>
    </row>
    <row r="1078">
      <c r="A1078" s="54">
        <f>IF(_imp!$C$1080="","",INDEX(_imp!$D$4:$D$4503,_imp!$C$1080))</f>
        <v/>
      </c>
      <c r="B1078" s="54">
        <f>IF(_imp!$C$1080="","",INDEX(_imp!$E$4:$E$4503,_imp!$C$1080))</f>
        <v/>
      </c>
      <c r="C1078" s="54">
        <f>IF(_imp!$C$1080="","",INDEX(_imp!$F$4:$F$4503,_imp!$C$1080))</f>
        <v/>
      </c>
      <c r="D1078" s="54">
        <f>IF(_imp!$C$1080="","",INDEX(_imp!$G$4:$G$4503,_imp!$C$1080))</f>
        <v/>
      </c>
      <c r="E1078" s="54">
        <f>IF(_imp!$C$1080="","",INDEX(_imp!$H$4:$H$4503,_imp!$C$1080))</f>
        <v/>
      </c>
      <c r="F1078" s="54">
        <f>IF(_imp!$C$1080="","",INDEX(_imp!$I$4:$I$4503,_imp!$C$1080))</f>
        <v/>
      </c>
      <c r="G1078" s="54">
        <f>IF(_imp!$C$1080="","",INDEX(_imp!$J$4:$J$4503,_imp!$C$1080))</f>
        <v/>
      </c>
      <c r="K1078" s="54">
        <f>IF(_imp!$C$1080="","",INDEX(_imp!$K$4:$K$4503,_imp!$C$1080))</f>
        <v/>
      </c>
    </row>
    <row r="1079">
      <c r="A1079" s="54">
        <f>IF(_imp!$C$1081="","",INDEX(_imp!$D$4:$D$4503,_imp!$C$1081))</f>
        <v/>
      </c>
      <c r="B1079" s="54">
        <f>IF(_imp!$C$1081="","",INDEX(_imp!$E$4:$E$4503,_imp!$C$1081))</f>
        <v/>
      </c>
      <c r="C1079" s="54">
        <f>IF(_imp!$C$1081="","",INDEX(_imp!$F$4:$F$4503,_imp!$C$1081))</f>
        <v/>
      </c>
      <c r="D1079" s="54">
        <f>IF(_imp!$C$1081="","",INDEX(_imp!$G$4:$G$4503,_imp!$C$1081))</f>
        <v/>
      </c>
      <c r="E1079" s="54">
        <f>IF(_imp!$C$1081="","",INDEX(_imp!$H$4:$H$4503,_imp!$C$1081))</f>
        <v/>
      </c>
      <c r="F1079" s="54">
        <f>IF(_imp!$C$1081="","",INDEX(_imp!$I$4:$I$4503,_imp!$C$1081))</f>
        <v/>
      </c>
      <c r="G1079" s="54">
        <f>IF(_imp!$C$1081="","",INDEX(_imp!$J$4:$J$4503,_imp!$C$1081))</f>
        <v/>
      </c>
      <c r="K1079" s="54">
        <f>IF(_imp!$C$1081="","",INDEX(_imp!$K$4:$K$4503,_imp!$C$1081))</f>
        <v/>
      </c>
    </row>
    <row r="1080">
      <c r="A1080" s="54">
        <f>IF(_imp!$C$1082="","",INDEX(_imp!$D$4:$D$4503,_imp!$C$1082))</f>
        <v/>
      </c>
      <c r="B1080" s="54">
        <f>IF(_imp!$C$1082="","",INDEX(_imp!$E$4:$E$4503,_imp!$C$1082))</f>
        <v/>
      </c>
      <c r="C1080" s="54">
        <f>IF(_imp!$C$1082="","",INDEX(_imp!$F$4:$F$4503,_imp!$C$1082))</f>
        <v/>
      </c>
      <c r="D1080" s="54">
        <f>IF(_imp!$C$1082="","",INDEX(_imp!$G$4:$G$4503,_imp!$C$1082))</f>
        <v/>
      </c>
      <c r="E1080" s="54">
        <f>IF(_imp!$C$1082="","",INDEX(_imp!$H$4:$H$4503,_imp!$C$1082))</f>
        <v/>
      </c>
      <c r="F1080" s="54">
        <f>IF(_imp!$C$1082="","",INDEX(_imp!$I$4:$I$4503,_imp!$C$1082))</f>
        <v/>
      </c>
      <c r="G1080" s="54">
        <f>IF(_imp!$C$1082="","",INDEX(_imp!$J$4:$J$4503,_imp!$C$1082))</f>
        <v/>
      </c>
      <c r="K1080" s="54">
        <f>IF(_imp!$C$1082="","",INDEX(_imp!$K$4:$K$4503,_imp!$C$1082))</f>
        <v/>
      </c>
    </row>
    <row r="1081">
      <c r="A1081" s="54">
        <f>IF(_imp!$C$1083="","",INDEX(_imp!$D$4:$D$4503,_imp!$C$1083))</f>
        <v/>
      </c>
      <c r="B1081" s="54">
        <f>IF(_imp!$C$1083="","",INDEX(_imp!$E$4:$E$4503,_imp!$C$1083))</f>
        <v/>
      </c>
      <c r="C1081" s="54">
        <f>IF(_imp!$C$1083="","",INDEX(_imp!$F$4:$F$4503,_imp!$C$1083))</f>
        <v/>
      </c>
      <c r="D1081" s="54">
        <f>IF(_imp!$C$1083="","",INDEX(_imp!$G$4:$G$4503,_imp!$C$1083))</f>
        <v/>
      </c>
      <c r="E1081" s="54">
        <f>IF(_imp!$C$1083="","",INDEX(_imp!$H$4:$H$4503,_imp!$C$1083))</f>
        <v/>
      </c>
      <c r="F1081" s="54">
        <f>IF(_imp!$C$1083="","",INDEX(_imp!$I$4:$I$4503,_imp!$C$1083))</f>
        <v/>
      </c>
      <c r="G1081" s="54">
        <f>IF(_imp!$C$1083="","",INDEX(_imp!$J$4:$J$4503,_imp!$C$1083))</f>
        <v/>
      </c>
      <c r="K1081" s="54">
        <f>IF(_imp!$C$1083="","",INDEX(_imp!$K$4:$K$4503,_imp!$C$1083))</f>
        <v/>
      </c>
    </row>
    <row r="1082">
      <c r="A1082" s="54">
        <f>IF(_imp!$C$1084="","",INDEX(_imp!$D$4:$D$4503,_imp!$C$1084))</f>
        <v/>
      </c>
      <c r="B1082" s="54">
        <f>IF(_imp!$C$1084="","",INDEX(_imp!$E$4:$E$4503,_imp!$C$1084))</f>
        <v/>
      </c>
      <c r="C1082" s="54">
        <f>IF(_imp!$C$1084="","",INDEX(_imp!$F$4:$F$4503,_imp!$C$1084))</f>
        <v/>
      </c>
      <c r="D1082" s="54">
        <f>IF(_imp!$C$1084="","",INDEX(_imp!$G$4:$G$4503,_imp!$C$1084))</f>
        <v/>
      </c>
      <c r="E1082" s="54">
        <f>IF(_imp!$C$1084="","",INDEX(_imp!$H$4:$H$4503,_imp!$C$1084))</f>
        <v/>
      </c>
      <c r="F1082" s="54">
        <f>IF(_imp!$C$1084="","",INDEX(_imp!$I$4:$I$4503,_imp!$C$1084))</f>
        <v/>
      </c>
      <c r="G1082" s="54">
        <f>IF(_imp!$C$1084="","",INDEX(_imp!$J$4:$J$4503,_imp!$C$1084))</f>
        <v/>
      </c>
      <c r="K1082" s="54">
        <f>IF(_imp!$C$1084="","",INDEX(_imp!$K$4:$K$4503,_imp!$C$1084))</f>
        <v/>
      </c>
    </row>
    <row r="1083">
      <c r="A1083" s="54">
        <f>IF(_imp!$C$1085="","",INDEX(_imp!$D$4:$D$4503,_imp!$C$1085))</f>
        <v/>
      </c>
      <c r="B1083" s="54">
        <f>IF(_imp!$C$1085="","",INDEX(_imp!$E$4:$E$4503,_imp!$C$1085))</f>
        <v/>
      </c>
      <c r="C1083" s="54">
        <f>IF(_imp!$C$1085="","",INDEX(_imp!$F$4:$F$4503,_imp!$C$1085))</f>
        <v/>
      </c>
      <c r="D1083" s="54">
        <f>IF(_imp!$C$1085="","",INDEX(_imp!$G$4:$G$4503,_imp!$C$1085))</f>
        <v/>
      </c>
      <c r="E1083" s="54">
        <f>IF(_imp!$C$1085="","",INDEX(_imp!$H$4:$H$4503,_imp!$C$1085))</f>
        <v/>
      </c>
      <c r="F1083" s="54">
        <f>IF(_imp!$C$1085="","",INDEX(_imp!$I$4:$I$4503,_imp!$C$1085))</f>
        <v/>
      </c>
      <c r="G1083" s="54">
        <f>IF(_imp!$C$1085="","",INDEX(_imp!$J$4:$J$4503,_imp!$C$1085))</f>
        <v/>
      </c>
      <c r="K1083" s="54">
        <f>IF(_imp!$C$1085="","",INDEX(_imp!$K$4:$K$4503,_imp!$C$1085))</f>
        <v/>
      </c>
    </row>
    <row r="1084">
      <c r="A1084" s="54">
        <f>IF(_imp!$C$1086="","",INDEX(_imp!$D$4:$D$4503,_imp!$C$1086))</f>
        <v/>
      </c>
      <c r="B1084" s="54">
        <f>IF(_imp!$C$1086="","",INDEX(_imp!$E$4:$E$4503,_imp!$C$1086))</f>
        <v/>
      </c>
      <c r="C1084" s="54">
        <f>IF(_imp!$C$1086="","",INDEX(_imp!$F$4:$F$4503,_imp!$C$1086))</f>
        <v/>
      </c>
      <c r="D1084" s="54">
        <f>IF(_imp!$C$1086="","",INDEX(_imp!$G$4:$G$4503,_imp!$C$1086))</f>
        <v/>
      </c>
      <c r="E1084" s="54">
        <f>IF(_imp!$C$1086="","",INDEX(_imp!$H$4:$H$4503,_imp!$C$1086))</f>
        <v/>
      </c>
      <c r="F1084" s="54">
        <f>IF(_imp!$C$1086="","",INDEX(_imp!$I$4:$I$4503,_imp!$C$1086))</f>
        <v/>
      </c>
      <c r="G1084" s="54">
        <f>IF(_imp!$C$1086="","",INDEX(_imp!$J$4:$J$4503,_imp!$C$1086))</f>
        <v/>
      </c>
      <c r="K1084" s="54">
        <f>IF(_imp!$C$1086="","",INDEX(_imp!$K$4:$K$4503,_imp!$C$1086))</f>
        <v/>
      </c>
    </row>
    <row r="1085">
      <c r="A1085" s="54">
        <f>IF(_imp!$C$1087="","",INDEX(_imp!$D$4:$D$4503,_imp!$C$1087))</f>
        <v/>
      </c>
      <c r="B1085" s="54">
        <f>IF(_imp!$C$1087="","",INDEX(_imp!$E$4:$E$4503,_imp!$C$1087))</f>
        <v/>
      </c>
      <c r="C1085" s="54">
        <f>IF(_imp!$C$1087="","",INDEX(_imp!$F$4:$F$4503,_imp!$C$1087))</f>
        <v/>
      </c>
      <c r="D1085" s="54">
        <f>IF(_imp!$C$1087="","",INDEX(_imp!$G$4:$G$4503,_imp!$C$1087))</f>
        <v/>
      </c>
      <c r="E1085" s="54">
        <f>IF(_imp!$C$1087="","",INDEX(_imp!$H$4:$H$4503,_imp!$C$1087))</f>
        <v/>
      </c>
      <c r="F1085" s="54">
        <f>IF(_imp!$C$1087="","",INDEX(_imp!$I$4:$I$4503,_imp!$C$1087))</f>
        <v/>
      </c>
      <c r="G1085" s="54">
        <f>IF(_imp!$C$1087="","",INDEX(_imp!$J$4:$J$4503,_imp!$C$1087))</f>
        <v/>
      </c>
      <c r="K1085" s="54">
        <f>IF(_imp!$C$1087="","",INDEX(_imp!$K$4:$K$4503,_imp!$C$1087))</f>
        <v/>
      </c>
    </row>
    <row r="1086">
      <c r="A1086" s="54">
        <f>IF(_imp!$C$1088="","",INDEX(_imp!$D$4:$D$4503,_imp!$C$1088))</f>
        <v/>
      </c>
      <c r="B1086" s="54">
        <f>IF(_imp!$C$1088="","",INDEX(_imp!$E$4:$E$4503,_imp!$C$1088))</f>
        <v/>
      </c>
      <c r="C1086" s="54">
        <f>IF(_imp!$C$1088="","",INDEX(_imp!$F$4:$F$4503,_imp!$C$1088))</f>
        <v/>
      </c>
      <c r="D1086" s="54">
        <f>IF(_imp!$C$1088="","",INDEX(_imp!$G$4:$G$4503,_imp!$C$1088))</f>
        <v/>
      </c>
      <c r="E1086" s="54">
        <f>IF(_imp!$C$1088="","",INDEX(_imp!$H$4:$H$4503,_imp!$C$1088))</f>
        <v/>
      </c>
      <c r="F1086" s="54">
        <f>IF(_imp!$C$1088="","",INDEX(_imp!$I$4:$I$4503,_imp!$C$1088))</f>
        <v/>
      </c>
      <c r="G1086" s="54">
        <f>IF(_imp!$C$1088="","",INDEX(_imp!$J$4:$J$4503,_imp!$C$1088))</f>
        <v/>
      </c>
      <c r="K1086" s="54">
        <f>IF(_imp!$C$1088="","",INDEX(_imp!$K$4:$K$4503,_imp!$C$1088))</f>
        <v/>
      </c>
    </row>
    <row r="1087">
      <c r="A1087" s="54">
        <f>IF(_imp!$C$1089="","",INDEX(_imp!$D$4:$D$4503,_imp!$C$1089))</f>
        <v/>
      </c>
      <c r="B1087" s="54">
        <f>IF(_imp!$C$1089="","",INDEX(_imp!$E$4:$E$4503,_imp!$C$1089))</f>
        <v/>
      </c>
      <c r="C1087" s="54">
        <f>IF(_imp!$C$1089="","",INDEX(_imp!$F$4:$F$4503,_imp!$C$1089))</f>
        <v/>
      </c>
      <c r="D1087" s="54">
        <f>IF(_imp!$C$1089="","",INDEX(_imp!$G$4:$G$4503,_imp!$C$1089))</f>
        <v/>
      </c>
      <c r="E1087" s="54">
        <f>IF(_imp!$C$1089="","",INDEX(_imp!$H$4:$H$4503,_imp!$C$1089))</f>
        <v/>
      </c>
      <c r="F1087" s="54">
        <f>IF(_imp!$C$1089="","",INDEX(_imp!$I$4:$I$4503,_imp!$C$1089))</f>
        <v/>
      </c>
      <c r="G1087" s="54">
        <f>IF(_imp!$C$1089="","",INDEX(_imp!$J$4:$J$4503,_imp!$C$1089))</f>
        <v/>
      </c>
      <c r="K1087" s="54">
        <f>IF(_imp!$C$1089="","",INDEX(_imp!$K$4:$K$4503,_imp!$C$1089))</f>
        <v/>
      </c>
    </row>
    <row r="1088">
      <c r="A1088" s="54">
        <f>IF(_imp!$C$1090="","",INDEX(_imp!$D$4:$D$4503,_imp!$C$1090))</f>
        <v/>
      </c>
      <c r="B1088" s="54">
        <f>IF(_imp!$C$1090="","",INDEX(_imp!$E$4:$E$4503,_imp!$C$1090))</f>
        <v/>
      </c>
      <c r="C1088" s="54">
        <f>IF(_imp!$C$1090="","",INDEX(_imp!$F$4:$F$4503,_imp!$C$1090))</f>
        <v/>
      </c>
      <c r="D1088" s="54">
        <f>IF(_imp!$C$1090="","",INDEX(_imp!$G$4:$G$4503,_imp!$C$1090))</f>
        <v/>
      </c>
      <c r="E1088" s="54">
        <f>IF(_imp!$C$1090="","",INDEX(_imp!$H$4:$H$4503,_imp!$C$1090))</f>
        <v/>
      </c>
      <c r="F1088" s="54">
        <f>IF(_imp!$C$1090="","",INDEX(_imp!$I$4:$I$4503,_imp!$C$1090))</f>
        <v/>
      </c>
      <c r="G1088" s="54">
        <f>IF(_imp!$C$1090="","",INDEX(_imp!$J$4:$J$4503,_imp!$C$1090))</f>
        <v/>
      </c>
      <c r="K1088" s="54">
        <f>IF(_imp!$C$1090="","",INDEX(_imp!$K$4:$K$4503,_imp!$C$1090))</f>
        <v/>
      </c>
    </row>
    <row r="1089">
      <c r="A1089" s="54">
        <f>IF(_imp!$C$1091="","",INDEX(_imp!$D$4:$D$4503,_imp!$C$1091))</f>
        <v/>
      </c>
      <c r="B1089" s="54">
        <f>IF(_imp!$C$1091="","",INDEX(_imp!$E$4:$E$4503,_imp!$C$1091))</f>
        <v/>
      </c>
      <c r="C1089" s="54">
        <f>IF(_imp!$C$1091="","",INDEX(_imp!$F$4:$F$4503,_imp!$C$1091))</f>
        <v/>
      </c>
      <c r="D1089" s="54">
        <f>IF(_imp!$C$1091="","",INDEX(_imp!$G$4:$G$4503,_imp!$C$1091))</f>
        <v/>
      </c>
      <c r="E1089" s="54">
        <f>IF(_imp!$C$1091="","",INDEX(_imp!$H$4:$H$4503,_imp!$C$1091))</f>
        <v/>
      </c>
      <c r="F1089" s="54">
        <f>IF(_imp!$C$1091="","",INDEX(_imp!$I$4:$I$4503,_imp!$C$1091))</f>
        <v/>
      </c>
      <c r="G1089" s="54">
        <f>IF(_imp!$C$1091="","",INDEX(_imp!$J$4:$J$4503,_imp!$C$1091))</f>
        <v/>
      </c>
      <c r="K1089" s="54">
        <f>IF(_imp!$C$1091="","",INDEX(_imp!$K$4:$K$4503,_imp!$C$1091))</f>
        <v/>
      </c>
    </row>
    <row r="1090">
      <c r="A1090" s="54">
        <f>IF(_imp!$C$1092="","",INDEX(_imp!$D$4:$D$4503,_imp!$C$1092))</f>
        <v/>
      </c>
      <c r="B1090" s="54">
        <f>IF(_imp!$C$1092="","",INDEX(_imp!$E$4:$E$4503,_imp!$C$1092))</f>
        <v/>
      </c>
      <c r="C1090" s="54">
        <f>IF(_imp!$C$1092="","",INDEX(_imp!$F$4:$F$4503,_imp!$C$1092))</f>
        <v/>
      </c>
      <c r="D1090" s="54">
        <f>IF(_imp!$C$1092="","",INDEX(_imp!$G$4:$G$4503,_imp!$C$1092))</f>
        <v/>
      </c>
      <c r="E1090" s="54">
        <f>IF(_imp!$C$1092="","",INDEX(_imp!$H$4:$H$4503,_imp!$C$1092))</f>
        <v/>
      </c>
      <c r="F1090" s="54">
        <f>IF(_imp!$C$1092="","",INDEX(_imp!$I$4:$I$4503,_imp!$C$1092))</f>
        <v/>
      </c>
      <c r="G1090" s="54">
        <f>IF(_imp!$C$1092="","",INDEX(_imp!$J$4:$J$4503,_imp!$C$1092))</f>
        <v/>
      </c>
      <c r="K1090" s="54">
        <f>IF(_imp!$C$1092="","",INDEX(_imp!$K$4:$K$4503,_imp!$C$1092))</f>
        <v/>
      </c>
    </row>
    <row r="1091">
      <c r="A1091" s="54">
        <f>IF(_imp!$C$1093="","",INDEX(_imp!$D$4:$D$4503,_imp!$C$1093))</f>
        <v/>
      </c>
      <c r="B1091" s="54">
        <f>IF(_imp!$C$1093="","",INDEX(_imp!$E$4:$E$4503,_imp!$C$1093))</f>
        <v/>
      </c>
      <c r="C1091" s="54">
        <f>IF(_imp!$C$1093="","",INDEX(_imp!$F$4:$F$4503,_imp!$C$1093))</f>
        <v/>
      </c>
      <c r="D1091" s="54">
        <f>IF(_imp!$C$1093="","",INDEX(_imp!$G$4:$G$4503,_imp!$C$1093))</f>
        <v/>
      </c>
      <c r="E1091" s="54">
        <f>IF(_imp!$C$1093="","",INDEX(_imp!$H$4:$H$4503,_imp!$C$1093))</f>
        <v/>
      </c>
      <c r="F1091" s="54">
        <f>IF(_imp!$C$1093="","",INDEX(_imp!$I$4:$I$4503,_imp!$C$1093))</f>
        <v/>
      </c>
      <c r="G1091" s="54">
        <f>IF(_imp!$C$1093="","",INDEX(_imp!$J$4:$J$4503,_imp!$C$1093))</f>
        <v/>
      </c>
      <c r="K1091" s="54">
        <f>IF(_imp!$C$1093="","",INDEX(_imp!$K$4:$K$4503,_imp!$C$1093))</f>
        <v/>
      </c>
    </row>
    <row r="1092">
      <c r="A1092" s="54">
        <f>IF(_imp!$C$1094="","",INDEX(_imp!$D$4:$D$4503,_imp!$C$1094))</f>
        <v/>
      </c>
      <c r="B1092" s="54">
        <f>IF(_imp!$C$1094="","",INDEX(_imp!$E$4:$E$4503,_imp!$C$1094))</f>
        <v/>
      </c>
      <c r="C1092" s="54">
        <f>IF(_imp!$C$1094="","",INDEX(_imp!$F$4:$F$4503,_imp!$C$1094))</f>
        <v/>
      </c>
      <c r="D1092" s="54">
        <f>IF(_imp!$C$1094="","",INDEX(_imp!$G$4:$G$4503,_imp!$C$1094))</f>
        <v/>
      </c>
      <c r="E1092" s="54">
        <f>IF(_imp!$C$1094="","",INDEX(_imp!$H$4:$H$4503,_imp!$C$1094))</f>
        <v/>
      </c>
      <c r="F1092" s="54">
        <f>IF(_imp!$C$1094="","",INDEX(_imp!$I$4:$I$4503,_imp!$C$1094))</f>
        <v/>
      </c>
      <c r="G1092" s="54">
        <f>IF(_imp!$C$1094="","",INDEX(_imp!$J$4:$J$4503,_imp!$C$1094))</f>
        <v/>
      </c>
      <c r="K1092" s="54">
        <f>IF(_imp!$C$1094="","",INDEX(_imp!$K$4:$K$4503,_imp!$C$1094))</f>
        <v/>
      </c>
    </row>
    <row r="1093">
      <c r="A1093" s="54">
        <f>IF(_imp!$C$1095="","",INDEX(_imp!$D$4:$D$4503,_imp!$C$1095))</f>
        <v/>
      </c>
      <c r="B1093" s="54">
        <f>IF(_imp!$C$1095="","",INDEX(_imp!$E$4:$E$4503,_imp!$C$1095))</f>
        <v/>
      </c>
      <c r="C1093" s="54">
        <f>IF(_imp!$C$1095="","",INDEX(_imp!$F$4:$F$4503,_imp!$C$1095))</f>
        <v/>
      </c>
      <c r="D1093" s="54">
        <f>IF(_imp!$C$1095="","",INDEX(_imp!$G$4:$G$4503,_imp!$C$1095))</f>
        <v/>
      </c>
      <c r="E1093" s="54">
        <f>IF(_imp!$C$1095="","",INDEX(_imp!$H$4:$H$4503,_imp!$C$1095))</f>
        <v/>
      </c>
      <c r="F1093" s="54">
        <f>IF(_imp!$C$1095="","",INDEX(_imp!$I$4:$I$4503,_imp!$C$1095))</f>
        <v/>
      </c>
      <c r="G1093" s="54">
        <f>IF(_imp!$C$1095="","",INDEX(_imp!$J$4:$J$4503,_imp!$C$1095))</f>
        <v/>
      </c>
      <c r="K1093" s="54">
        <f>IF(_imp!$C$1095="","",INDEX(_imp!$K$4:$K$4503,_imp!$C$1095))</f>
        <v/>
      </c>
    </row>
    <row r="1094">
      <c r="A1094" s="54">
        <f>IF(_imp!$C$1096="","",INDEX(_imp!$D$4:$D$4503,_imp!$C$1096))</f>
        <v/>
      </c>
      <c r="B1094" s="54">
        <f>IF(_imp!$C$1096="","",INDEX(_imp!$E$4:$E$4503,_imp!$C$1096))</f>
        <v/>
      </c>
      <c r="C1094" s="54">
        <f>IF(_imp!$C$1096="","",INDEX(_imp!$F$4:$F$4503,_imp!$C$1096))</f>
        <v/>
      </c>
      <c r="D1094" s="54">
        <f>IF(_imp!$C$1096="","",INDEX(_imp!$G$4:$G$4503,_imp!$C$1096))</f>
        <v/>
      </c>
      <c r="E1094" s="54">
        <f>IF(_imp!$C$1096="","",INDEX(_imp!$H$4:$H$4503,_imp!$C$1096))</f>
        <v/>
      </c>
      <c r="F1094" s="54">
        <f>IF(_imp!$C$1096="","",INDEX(_imp!$I$4:$I$4503,_imp!$C$1096))</f>
        <v/>
      </c>
      <c r="G1094" s="54">
        <f>IF(_imp!$C$1096="","",INDEX(_imp!$J$4:$J$4503,_imp!$C$1096))</f>
        <v/>
      </c>
      <c r="K1094" s="54">
        <f>IF(_imp!$C$1096="","",INDEX(_imp!$K$4:$K$4503,_imp!$C$1096))</f>
        <v/>
      </c>
    </row>
    <row r="1095">
      <c r="A1095" s="54">
        <f>IF(_imp!$C$1097="","",INDEX(_imp!$D$4:$D$4503,_imp!$C$1097))</f>
        <v/>
      </c>
      <c r="B1095" s="54">
        <f>IF(_imp!$C$1097="","",INDEX(_imp!$E$4:$E$4503,_imp!$C$1097))</f>
        <v/>
      </c>
      <c r="C1095" s="54">
        <f>IF(_imp!$C$1097="","",INDEX(_imp!$F$4:$F$4503,_imp!$C$1097))</f>
        <v/>
      </c>
      <c r="D1095" s="54">
        <f>IF(_imp!$C$1097="","",INDEX(_imp!$G$4:$G$4503,_imp!$C$1097))</f>
        <v/>
      </c>
      <c r="E1095" s="54">
        <f>IF(_imp!$C$1097="","",INDEX(_imp!$H$4:$H$4503,_imp!$C$1097))</f>
        <v/>
      </c>
      <c r="F1095" s="54">
        <f>IF(_imp!$C$1097="","",INDEX(_imp!$I$4:$I$4503,_imp!$C$1097))</f>
        <v/>
      </c>
      <c r="G1095" s="54">
        <f>IF(_imp!$C$1097="","",INDEX(_imp!$J$4:$J$4503,_imp!$C$1097))</f>
        <v/>
      </c>
      <c r="K1095" s="54">
        <f>IF(_imp!$C$1097="","",INDEX(_imp!$K$4:$K$4503,_imp!$C$1097))</f>
        <v/>
      </c>
    </row>
    <row r="1096">
      <c r="A1096" s="54">
        <f>IF(_imp!$C$1098="","",INDEX(_imp!$D$4:$D$4503,_imp!$C$1098))</f>
        <v/>
      </c>
      <c r="B1096" s="54">
        <f>IF(_imp!$C$1098="","",INDEX(_imp!$E$4:$E$4503,_imp!$C$1098))</f>
        <v/>
      </c>
      <c r="C1096" s="54">
        <f>IF(_imp!$C$1098="","",INDEX(_imp!$F$4:$F$4503,_imp!$C$1098))</f>
        <v/>
      </c>
      <c r="D1096" s="54">
        <f>IF(_imp!$C$1098="","",INDEX(_imp!$G$4:$G$4503,_imp!$C$1098))</f>
        <v/>
      </c>
      <c r="E1096" s="54">
        <f>IF(_imp!$C$1098="","",INDEX(_imp!$H$4:$H$4503,_imp!$C$1098))</f>
        <v/>
      </c>
      <c r="F1096" s="54">
        <f>IF(_imp!$C$1098="","",INDEX(_imp!$I$4:$I$4503,_imp!$C$1098))</f>
        <v/>
      </c>
      <c r="G1096" s="54">
        <f>IF(_imp!$C$1098="","",INDEX(_imp!$J$4:$J$4503,_imp!$C$1098))</f>
        <v/>
      </c>
      <c r="K1096" s="54">
        <f>IF(_imp!$C$1098="","",INDEX(_imp!$K$4:$K$4503,_imp!$C$1098))</f>
        <v/>
      </c>
    </row>
    <row r="1097">
      <c r="A1097" s="54">
        <f>IF(_imp!$C$1099="","",INDEX(_imp!$D$4:$D$4503,_imp!$C$1099))</f>
        <v/>
      </c>
      <c r="B1097" s="54">
        <f>IF(_imp!$C$1099="","",INDEX(_imp!$E$4:$E$4503,_imp!$C$1099))</f>
        <v/>
      </c>
      <c r="C1097" s="54">
        <f>IF(_imp!$C$1099="","",INDEX(_imp!$F$4:$F$4503,_imp!$C$1099))</f>
        <v/>
      </c>
      <c r="D1097" s="54">
        <f>IF(_imp!$C$1099="","",INDEX(_imp!$G$4:$G$4503,_imp!$C$1099))</f>
        <v/>
      </c>
      <c r="E1097" s="54">
        <f>IF(_imp!$C$1099="","",INDEX(_imp!$H$4:$H$4503,_imp!$C$1099))</f>
        <v/>
      </c>
      <c r="F1097" s="54">
        <f>IF(_imp!$C$1099="","",INDEX(_imp!$I$4:$I$4503,_imp!$C$1099))</f>
        <v/>
      </c>
      <c r="G1097" s="54">
        <f>IF(_imp!$C$1099="","",INDEX(_imp!$J$4:$J$4503,_imp!$C$1099))</f>
        <v/>
      </c>
      <c r="K1097" s="54">
        <f>IF(_imp!$C$1099="","",INDEX(_imp!$K$4:$K$4503,_imp!$C$1099))</f>
        <v/>
      </c>
    </row>
    <row r="1098">
      <c r="A1098" s="54">
        <f>IF(_imp!$C$1100="","",INDEX(_imp!$D$4:$D$4503,_imp!$C$1100))</f>
        <v/>
      </c>
      <c r="B1098" s="54">
        <f>IF(_imp!$C$1100="","",INDEX(_imp!$E$4:$E$4503,_imp!$C$1100))</f>
        <v/>
      </c>
      <c r="C1098" s="54">
        <f>IF(_imp!$C$1100="","",INDEX(_imp!$F$4:$F$4503,_imp!$C$1100))</f>
        <v/>
      </c>
      <c r="D1098" s="54">
        <f>IF(_imp!$C$1100="","",INDEX(_imp!$G$4:$G$4503,_imp!$C$1100))</f>
        <v/>
      </c>
      <c r="E1098" s="54">
        <f>IF(_imp!$C$1100="","",INDEX(_imp!$H$4:$H$4503,_imp!$C$1100))</f>
        <v/>
      </c>
      <c r="F1098" s="54">
        <f>IF(_imp!$C$1100="","",INDEX(_imp!$I$4:$I$4503,_imp!$C$1100))</f>
        <v/>
      </c>
      <c r="G1098" s="54">
        <f>IF(_imp!$C$1100="","",INDEX(_imp!$J$4:$J$4503,_imp!$C$1100))</f>
        <v/>
      </c>
      <c r="K1098" s="54">
        <f>IF(_imp!$C$1100="","",INDEX(_imp!$K$4:$K$4503,_imp!$C$1100))</f>
        <v/>
      </c>
    </row>
    <row r="1099">
      <c r="A1099" s="54">
        <f>IF(_imp!$C$1101="","",INDEX(_imp!$D$4:$D$4503,_imp!$C$1101))</f>
        <v/>
      </c>
      <c r="B1099" s="54">
        <f>IF(_imp!$C$1101="","",INDEX(_imp!$E$4:$E$4503,_imp!$C$1101))</f>
        <v/>
      </c>
      <c r="C1099" s="54">
        <f>IF(_imp!$C$1101="","",INDEX(_imp!$F$4:$F$4503,_imp!$C$1101))</f>
        <v/>
      </c>
      <c r="D1099" s="54">
        <f>IF(_imp!$C$1101="","",INDEX(_imp!$G$4:$G$4503,_imp!$C$1101))</f>
        <v/>
      </c>
      <c r="E1099" s="54">
        <f>IF(_imp!$C$1101="","",INDEX(_imp!$H$4:$H$4503,_imp!$C$1101))</f>
        <v/>
      </c>
      <c r="F1099" s="54">
        <f>IF(_imp!$C$1101="","",INDEX(_imp!$I$4:$I$4503,_imp!$C$1101))</f>
        <v/>
      </c>
      <c r="G1099" s="54">
        <f>IF(_imp!$C$1101="","",INDEX(_imp!$J$4:$J$4503,_imp!$C$1101))</f>
        <v/>
      </c>
      <c r="K1099" s="54">
        <f>IF(_imp!$C$1101="","",INDEX(_imp!$K$4:$K$4503,_imp!$C$1101))</f>
        <v/>
      </c>
    </row>
    <row r="1100">
      <c r="A1100" s="54">
        <f>IF(_imp!$C$1102="","",INDEX(_imp!$D$4:$D$4503,_imp!$C$1102))</f>
        <v/>
      </c>
      <c r="B1100" s="54">
        <f>IF(_imp!$C$1102="","",INDEX(_imp!$E$4:$E$4503,_imp!$C$1102))</f>
        <v/>
      </c>
      <c r="C1100" s="54">
        <f>IF(_imp!$C$1102="","",INDEX(_imp!$F$4:$F$4503,_imp!$C$1102))</f>
        <v/>
      </c>
      <c r="D1100" s="54">
        <f>IF(_imp!$C$1102="","",INDEX(_imp!$G$4:$G$4503,_imp!$C$1102))</f>
        <v/>
      </c>
      <c r="E1100" s="54">
        <f>IF(_imp!$C$1102="","",INDEX(_imp!$H$4:$H$4503,_imp!$C$1102))</f>
        <v/>
      </c>
      <c r="F1100" s="54">
        <f>IF(_imp!$C$1102="","",INDEX(_imp!$I$4:$I$4503,_imp!$C$1102))</f>
        <v/>
      </c>
      <c r="G1100" s="54">
        <f>IF(_imp!$C$1102="","",INDEX(_imp!$J$4:$J$4503,_imp!$C$1102))</f>
        <v/>
      </c>
      <c r="K1100" s="54">
        <f>IF(_imp!$C$1102="","",INDEX(_imp!$K$4:$K$4503,_imp!$C$1102))</f>
        <v/>
      </c>
    </row>
    <row r="1101">
      <c r="A1101" s="54">
        <f>IF(_imp!$C$1103="","",INDEX(_imp!$D$4:$D$4503,_imp!$C$1103))</f>
        <v/>
      </c>
      <c r="B1101" s="54">
        <f>IF(_imp!$C$1103="","",INDEX(_imp!$E$4:$E$4503,_imp!$C$1103))</f>
        <v/>
      </c>
      <c r="C1101" s="54">
        <f>IF(_imp!$C$1103="","",INDEX(_imp!$F$4:$F$4503,_imp!$C$1103))</f>
        <v/>
      </c>
      <c r="D1101" s="54">
        <f>IF(_imp!$C$1103="","",INDEX(_imp!$G$4:$G$4503,_imp!$C$1103))</f>
        <v/>
      </c>
      <c r="E1101" s="54">
        <f>IF(_imp!$C$1103="","",INDEX(_imp!$H$4:$H$4503,_imp!$C$1103))</f>
        <v/>
      </c>
      <c r="F1101" s="54">
        <f>IF(_imp!$C$1103="","",INDEX(_imp!$I$4:$I$4503,_imp!$C$1103))</f>
        <v/>
      </c>
      <c r="G1101" s="54">
        <f>IF(_imp!$C$1103="","",INDEX(_imp!$J$4:$J$4503,_imp!$C$1103))</f>
        <v/>
      </c>
      <c r="K1101" s="54">
        <f>IF(_imp!$C$1103="","",INDEX(_imp!$K$4:$K$4503,_imp!$C$1103))</f>
        <v/>
      </c>
    </row>
    <row r="1102">
      <c r="A1102" s="54">
        <f>IF(_imp!$C$1104="","",INDEX(_imp!$D$4:$D$4503,_imp!$C$1104))</f>
        <v/>
      </c>
      <c r="B1102" s="54">
        <f>IF(_imp!$C$1104="","",INDEX(_imp!$E$4:$E$4503,_imp!$C$1104))</f>
        <v/>
      </c>
      <c r="C1102" s="54">
        <f>IF(_imp!$C$1104="","",INDEX(_imp!$F$4:$F$4503,_imp!$C$1104))</f>
        <v/>
      </c>
      <c r="D1102" s="54">
        <f>IF(_imp!$C$1104="","",INDEX(_imp!$G$4:$G$4503,_imp!$C$1104))</f>
        <v/>
      </c>
      <c r="E1102" s="54">
        <f>IF(_imp!$C$1104="","",INDEX(_imp!$H$4:$H$4503,_imp!$C$1104))</f>
        <v/>
      </c>
      <c r="F1102" s="54">
        <f>IF(_imp!$C$1104="","",INDEX(_imp!$I$4:$I$4503,_imp!$C$1104))</f>
        <v/>
      </c>
      <c r="G1102" s="54">
        <f>IF(_imp!$C$1104="","",INDEX(_imp!$J$4:$J$4503,_imp!$C$1104))</f>
        <v/>
      </c>
      <c r="K1102" s="54">
        <f>IF(_imp!$C$1104="","",INDEX(_imp!$K$4:$K$4503,_imp!$C$1104))</f>
        <v/>
      </c>
    </row>
    <row r="1103">
      <c r="A1103" s="54">
        <f>IF(_imp!$C$1105="","",INDEX(_imp!$D$4:$D$4503,_imp!$C$1105))</f>
        <v/>
      </c>
      <c r="B1103" s="54">
        <f>IF(_imp!$C$1105="","",INDEX(_imp!$E$4:$E$4503,_imp!$C$1105))</f>
        <v/>
      </c>
      <c r="C1103" s="54">
        <f>IF(_imp!$C$1105="","",INDEX(_imp!$F$4:$F$4503,_imp!$C$1105))</f>
        <v/>
      </c>
      <c r="D1103" s="54">
        <f>IF(_imp!$C$1105="","",INDEX(_imp!$G$4:$G$4503,_imp!$C$1105))</f>
        <v/>
      </c>
      <c r="E1103" s="54">
        <f>IF(_imp!$C$1105="","",INDEX(_imp!$H$4:$H$4503,_imp!$C$1105))</f>
        <v/>
      </c>
      <c r="F1103" s="54">
        <f>IF(_imp!$C$1105="","",INDEX(_imp!$I$4:$I$4503,_imp!$C$1105))</f>
        <v/>
      </c>
      <c r="G1103" s="54">
        <f>IF(_imp!$C$1105="","",INDEX(_imp!$J$4:$J$4503,_imp!$C$1105))</f>
        <v/>
      </c>
      <c r="K1103" s="54">
        <f>IF(_imp!$C$1105="","",INDEX(_imp!$K$4:$K$4503,_imp!$C$1105))</f>
        <v/>
      </c>
    </row>
    <row r="1104">
      <c r="A1104" s="54">
        <f>IF(_imp!$C$1106="","",INDEX(_imp!$D$4:$D$4503,_imp!$C$1106))</f>
        <v/>
      </c>
      <c r="B1104" s="54">
        <f>IF(_imp!$C$1106="","",INDEX(_imp!$E$4:$E$4503,_imp!$C$1106))</f>
        <v/>
      </c>
      <c r="C1104" s="54">
        <f>IF(_imp!$C$1106="","",INDEX(_imp!$F$4:$F$4503,_imp!$C$1106))</f>
        <v/>
      </c>
      <c r="D1104" s="54">
        <f>IF(_imp!$C$1106="","",INDEX(_imp!$G$4:$G$4503,_imp!$C$1106))</f>
        <v/>
      </c>
      <c r="E1104" s="54">
        <f>IF(_imp!$C$1106="","",INDEX(_imp!$H$4:$H$4503,_imp!$C$1106))</f>
        <v/>
      </c>
      <c r="F1104" s="54">
        <f>IF(_imp!$C$1106="","",INDEX(_imp!$I$4:$I$4503,_imp!$C$1106))</f>
        <v/>
      </c>
      <c r="G1104" s="54">
        <f>IF(_imp!$C$1106="","",INDEX(_imp!$J$4:$J$4503,_imp!$C$1106))</f>
        <v/>
      </c>
      <c r="K1104" s="54">
        <f>IF(_imp!$C$1106="","",INDEX(_imp!$K$4:$K$4503,_imp!$C$1106))</f>
        <v/>
      </c>
    </row>
    <row r="1105">
      <c r="A1105" s="54">
        <f>IF(_imp!$C$1107="","",INDEX(_imp!$D$4:$D$4503,_imp!$C$1107))</f>
        <v/>
      </c>
      <c r="B1105" s="54">
        <f>IF(_imp!$C$1107="","",INDEX(_imp!$E$4:$E$4503,_imp!$C$1107))</f>
        <v/>
      </c>
      <c r="C1105" s="54">
        <f>IF(_imp!$C$1107="","",INDEX(_imp!$F$4:$F$4503,_imp!$C$1107))</f>
        <v/>
      </c>
      <c r="D1105" s="54">
        <f>IF(_imp!$C$1107="","",INDEX(_imp!$G$4:$G$4503,_imp!$C$1107))</f>
        <v/>
      </c>
      <c r="E1105" s="54">
        <f>IF(_imp!$C$1107="","",INDEX(_imp!$H$4:$H$4503,_imp!$C$1107))</f>
        <v/>
      </c>
      <c r="F1105" s="54">
        <f>IF(_imp!$C$1107="","",INDEX(_imp!$I$4:$I$4503,_imp!$C$1107))</f>
        <v/>
      </c>
      <c r="G1105" s="54">
        <f>IF(_imp!$C$1107="","",INDEX(_imp!$J$4:$J$4503,_imp!$C$1107))</f>
        <v/>
      </c>
      <c r="K1105" s="54">
        <f>IF(_imp!$C$1107="","",INDEX(_imp!$K$4:$K$4503,_imp!$C$1107))</f>
        <v/>
      </c>
    </row>
    <row r="1106">
      <c r="A1106" s="54">
        <f>IF(_imp!$C$1108="","",INDEX(_imp!$D$4:$D$4503,_imp!$C$1108))</f>
        <v/>
      </c>
      <c r="B1106" s="54">
        <f>IF(_imp!$C$1108="","",INDEX(_imp!$E$4:$E$4503,_imp!$C$1108))</f>
        <v/>
      </c>
      <c r="C1106" s="54">
        <f>IF(_imp!$C$1108="","",INDEX(_imp!$F$4:$F$4503,_imp!$C$1108))</f>
        <v/>
      </c>
      <c r="D1106" s="54">
        <f>IF(_imp!$C$1108="","",INDEX(_imp!$G$4:$G$4503,_imp!$C$1108))</f>
        <v/>
      </c>
      <c r="E1106" s="54">
        <f>IF(_imp!$C$1108="","",INDEX(_imp!$H$4:$H$4503,_imp!$C$1108))</f>
        <v/>
      </c>
      <c r="F1106" s="54">
        <f>IF(_imp!$C$1108="","",INDEX(_imp!$I$4:$I$4503,_imp!$C$1108))</f>
        <v/>
      </c>
      <c r="G1106" s="54">
        <f>IF(_imp!$C$1108="","",INDEX(_imp!$J$4:$J$4503,_imp!$C$1108))</f>
        <v/>
      </c>
      <c r="K1106" s="54">
        <f>IF(_imp!$C$1108="","",INDEX(_imp!$K$4:$K$4503,_imp!$C$1108))</f>
        <v/>
      </c>
    </row>
    <row r="1107">
      <c r="A1107" s="54">
        <f>IF(_imp!$C$1109="","",INDEX(_imp!$D$4:$D$4503,_imp!$C$1109))</f>
        <v/>
      </c>
      <c r="B1107" s="54">
        <f>IF(_imp!$C$1109="","",INDEX(_imp!$E$4:$E$4503,_imp!$C$1109))</f>
        <v/>
      </c>
      <c r="C1107" s="54">
        <f>IF(_imp!$C$1109="","",INDEX(_imp!$F$4:$F$4503,_imp!$C$1109))</f>
        <v/>
      </c>
      <c r="D1107" s="54">
        <f>IF(_imp!$C$1109="","",INDEX(_imp!$G$4:$G$4503,_imp!$C$1109))</f>
        <v/>
      </c>
      <c r="E1107" s="54">
        <f>IF(_imp!$C$1109="","",INDEX(_imp!$H$4:$H$4503,_imp!$C$1109))</f>
        <v/>
      </c>
      <c r="F1107" s="54">
        <f>IF(_imp!$C$1109="","",INDEX(_imp!$I$4:$I$4503,_imp!$C$1109))</f>
        <v/>
      </c>
      <c r="G1107" s="54">
        <f>IF(_imp!$C$1109="","",INDEX(_imp!$J$4:$J$4503,_imp!$C$1109))</f>
        <v/>
      </c>
      <c r="K1107" s="54">
        <f>IF(_imp!$C$1109="","",INDEX(_imp!$K$4:$K$4503,_imp!$C$1109))</f>
        <v/>
      </c>
    </row>
    <row r="1108">
      <c r="A1108" s="54">
        <f>IF(_imp!$C$1110="","",INDEX(_imp!$D$4:$D$4503,_imp!$C$1110))</f>
        <v/>
      </c>
      <c r="B1108" s="54">
        <f>IF(_imp!$C$1110="","",INDEX(_imp!$E$4:$E$4503,_imp!$C$1110))</f>
        <v/>
      </c>
      <c r="C1108" s="54">
        <f>IF(_imp!$C$1110="","",INDEX(_imp!$F$4:$F$4503,_imp!$C$1110))</f>
        <v/>
      </c>
      <c r="D1108" s="54">
        <f>IF(_imp!$C$1110="","",INDEX(_imp!$G$4:$G$4503,_imp!$C$1110))</f>
        <v/>
      </c>
      <c r="E1108" s="54">
        <f>IF(_imp!$C$1110="","",INDEX(_imp!$H$4:$H$4503,_imp!$C$1110))</f>
        <v/>
      </c>
      <c r="F1108" s="54">
        <f>IF(_imp!$C$1110="","",INDEX(_imp!$I$4:$I$4503,_imp!$C$1110))</f>
        <v/>
      </c>
      <c r="G1108" s="54">
        <f>IF(_imp!$C$1110="","",INDEX(_imp!$J$4:$J$4503,_imp!$C$1110))</f>
        <v/>
      </c>
      <c r="K1108" s="54">
        <f>IF(_imp!$C$1110="","",INDEX(_imp!$K$4:$K$4503,_imp!$C$1110))</f>
        <v/>
      </c>
    </row>
    <row r="1109">
      <c r="A1109" s="54">
        <f>IF(_imp!$C$1111="","",INDEX(_imp!$D$4:$D$4503,_imp!$C$1111))</f>
        <v/>
      </c>
      <c r="B1109" s="54">
        <f>IF(_imp!$C$1111="","",INDEX(_imp!$E$4:$E$4503,_imp!$C$1111))</f>
        <v/>
      </c>
      <c r="C1109" s="54">
        <f>IF(_imp!$C$1111="","",INDEX(_imp!$F$4:$F$4503,_imp!$C$1111))</f>
        <v/>
      </c>
      <c r="D1109" s="54">
        <f>IF(_imp!$C$1111="","",INDEX(_imp!$G$4:$G$4503,_imp!$C$1111))</f>
        <v/>
      </c>
      <c r="E1109" s="54">
        <f>IF(_imp!$C$1111="","",INDEX(_imp!$H$4:$H$4503,_imp!$C$1111))</f>
        <v/>
      </c>
      <c r="F1109" s="54">
        <f>IF(_imp!$C$1111="","",INDEX(_imp!$I$4:$I$4503,_imp!$C$1111))</f>
        <v/>
      </c>
      <c r="G1109" s="54">
        <f>IF(_imp!$C$1111="","",INDEX(_imp!$J$4:$J$4503,_imp!$C$1111))</f>
        <v/>
      </c>
      <c r="K1109" s="54">
        <f>IF(_imp!$C$1111="","",INDEX(_imp!$K$4:$K$4503,_imp!$C$1111))</f>
        <v/>
      </c>
    </row>
    <row r="1110">
      <c r="A1110" s="54">
        <f>IF(_imp!$C$1112="","",INDEX(_imp!$D$4:$D$4503,_imp!$C$1112))</f>
        <v/>
      </c>
      <c r="B1110" s="54">
        <f>IF(_imp!$C$1112="","",INDEX(_imp!$E$4:$E$4503,_imp!$C$1112))</f>
        <v/>
      </c>
      <c r="C1110" s="54">
        <f>IF(_imp!$C$1112="","",INDEX(_imp!$F$4:$F$4503,_imp!$C$1112))</f>
        <v/>
      </c>
      <c r="D1110" s="54">
        <f>IF(_imp!$C$1112="","",INDEX(_imp!$G$4:$G$4503,_imp!$C$1112))</f>
        <v/>
      </c>
      <c r="E1110" s="54">
        <f>IF(_imp!$C$1112="","",INDEX(_imp!$H$4:$H$4503,_imp!$C$1112))</f>
        <v/>
      </c>
      <c r="F1110" s="54">
        <f>IF(_imp!$C$1112="","",INDEX(_imp!$I$4:$I$4503,_imp!$C$1112))</f>
        <v/>
      </c>
      <c r="G1110" s="54">
        <f>IF(_imp!$C$1112="","",INDEX(_imp!$J$4:$J$4503,_imp!$C$1112))</f>
        <v/>
      </c>
      <c r="K1110" s="54">
        <f>IF(_imp!$C$1112="","",INDEX(_imp!$K$4:$K$4503,_imp!$C$1112))</f>
        <v/>
      </c>
    </row>
    <row r="1111">
      <c r="A1111" s="54">
        <f>IF(_imp!$C$1113="","",INDEX(_imp!$D$4:$D$4503,_imp!$C$1113))</f>
        <v/>
      </c>
      <c r="B1111" s="54">
        <f>IF(_imp!$C$1113="","",INDEX(_imp!$E$4:$E$4503,_imp!$C$1113))</f>
        <v/>
      </c>
      <c r="C1111" s="54">
        <f>IF(_imp!$C$1113="","",INDEX(_imp!$F$4:$F$4503,_imp!$C$1113))</f>
        <v/>
      </c>
      <c r="D1111" s="54">
        <f>IF(_imp!$C$1113="","",INDEX(_imp!$G$4:$G$4503,_imp!$C$1113))</f>
        <v/>
      </c>
      <c r="E1111" s="54">
        <f>IF(_imp!$C$1113="","",INDEX(_imp!$H$4:$H$4503,_imp!$C$1113))</f>
        <v/>
      </c>
      <c r="F1111" s="54">
        <f>IF(_imp!$C$1113="","",INDEX(_imp!$I$4:$I$4503,_imp!$C$1113))</f>
        <v/>
      </c>
      <c r="G1111" s="54">
        <f>IF(_imp!$C$1113="","",INDEX(_imp!$J$4:$J$4503,_imp!$C$1113))</f>
        <v/>
      </c>
      <c r="K1111" s="54">
        <f>IF(_imp!$C$1113="","",INDEX(_imp!$K$4:$K$4503,_imp!$C$1113))</f>
        <v/>
      </c>
    </row>
    <row r="1112">
      <c r="A1112" s="54">
        <f>IF(_imp!$C$1114="","",INDEX(_imp!$D$4:$D$4503,_imp!$C$1114))</f>
        <v/>
      </c>
      <c r="B1112" s="54">
        <f>IF(_imp!$C$1114="","",INDEX(_imp!$E$4:$E$4503,_imp!$C$1114))</f>
        <v/>
      </c>
      <c r="C1112" s="54">
        <f>IF(_imp!$C$1114="","",INDEX(_imp!$F$4:$F$4503,_imp!$C$1114))</f>
        <v/>
      </c>
      <c r="D1112" s="54">
        <f>IF(_imp!$C$1114="","",INDEX(_imp!$G$4:$G$4503,_imp!$C$1114))</f>
        <v/>
      </c>
      <c r="E1112" s="54">
        <f>IF(_imp!$C$1114="","",INDEX(_imp!$H$4:$H$4503,_imp!$C$1114))</f>
        <v/>
      </c>
      <c r="F1112" s="54">
        <f>IF(_imp!$C$1114="","",INDEX(_imp!$I$4:$I$4503,_imp!$C$1114))</f>
        <v/>
      </c>
      <c r="G1112" s="54">
        <f>IF(_imp!$C$1114="","",INDEX(_imp!$J$4:$J$4503,_imp!$C$1114))</f>
        <v/>
      </c>
      <c r="K1112" s="54">
        <f>IF(_imp!$C$1114="","",INDEX(_imp!$K$4:$K$4503,_imp!$C$1114))</f>
        <v/>
      </c>
    </row>
    <row r="1113">
      <c r="A1113" s="54">
        <f>IF(_imp!$C$1115="","",INDEX(_imp!$D$4:$D$4503,_imp!$C$1115))</f>
        <v/>
      </c>
      <c r="B1113" s="54">
        <f>IF(_imp!$C$1115="","",INDEX(_imp!$E$4:$E$4503,_imp!$C$1115))</f>
        <v/>
      </c>
      <c r="C1113" s="54">
        <f>IF(_imp!$C$1115="","",INDEX(_imp!$F$4:$F$4503,_imp!$C$1115))</f>
        <v/>
      </c>
      <c r="D1113" s="54">
        <f>IF(_imp!$C$1115="","",INDEX(_imp!$G$4:$G$4503,_imp!$C$1115))</f>
        <v/>
      </c>
      <c r="E1113" s="54">
        <f>IF(_imp!$C$1115="","",INDEX(_imp!$H$4:$H$4503,_imp!$C$1115))</f>
        <v/>
      </c>
      <c r="F1113" s="54">
        <f>IF(_imp!$C$1115="","",INDEX(_imp!$I$4:$I$4503,_imp!$C$1115))</f>
        <v/>
      </c>
      <c r="G1113" s="54">
        <f>IF(_imp!$C$1115="","",INDEX(_imp!$J$4:$J$4503,_imp!$C$1115))</f>
        <v/>
      </c>
      <c r="K1113" s="54">
        <f>IF(_imp!$C$1115="","",INDEX(_imp!$K$4:$K$4503,_imp!$C$1115))</f>
        <v/>
      </c>
    </row>
    <row r="1114">
      <c r="A1114" s="54">
        <f>IF(_imp!$C$1116="","",INDEX(_imp!$D$4:$D$4503,_imp!$C$1116))</f>
        <v/>
      </c>
      <c r="B1114" s="54">
        <f>IF(_imp!$C$1116="","",INDEX(_imp!$E$4:$E$4503,_imp!$C$1116))</f>
        <v/>
      </c>
      <c r="C1114" s="54">
        <f>IF(_imp!$C$1116="","",INDEX(_imp!$F$4:$F$4503,_imp!$C$1116))</f>
        <v/>
      </c>
      <c r="D1114" s="54">
        <f>IF(_imp!$C$1116="","",INDEX(_imp!$G$4:$G$4503,_imp!$C$1116))</f>
        <v/>
      </c>
      <c r="E1114" s="54">
        <f>IF(_imp!$C$1116="","",INDEX(_imp!$H$4:$H$4503,_imp!$C$1116))</f>
        <v/>
      </c>
      <c r="F1114" s="54">
        <f>IF(_imp!$C$1116="","",INDEX(_imp!$I$4:$I$4503,_imp!$C$1116))</f>
        <v/>
      </c>
      <c r="G1114" s="54">
        <f>IF(_imp!$C$1116="","",INDEX(_imp!$J$4:$J$4503,_imp!$C$1116))</f>
        <v/>
      </c>
      <c r="K1114" s="54">
        <f>IF(_imp!$C$1116="","",INDEX(_imp!$K$4:$K$4503,_imp!$C$1116))</f>
        <v/>
      </c>
    </row>
    <row r="1115">
      <c r="A1115" s="54">
        <f>IF(_imp!$C$1117="","",INDEX(_imp!$D$4:$D$4503,_imp!$C$1117))</f>
        <v/>
      </c>
      <c r="B1115" s="54">
        <f>IF(_imp!$C$1117="","",INDEX(_imp!$E$4:$E$4503,_imp!$C$1117))</f>
        <v/>
      </c>
      <c r="C1115" s="54">
        <f>IF(_imp!$C$1117="","",INDEX(_imp!$F$4:$F$4503,_imp!$C$1117))</f>
        <v/>
      </c>
      <c r="D1115" s="54">
        <f>IF(_imp!$C$1117="","",INDEX(_imp!$G$4:$G$4503,_imp!$C$1117))</f>
        <v/>
      </c>
      <c r="E1115" s="54">
        <f>IF(_imp!$C$1117="","",INDEX(_imp!$H$4:$H$4503,_imp!$C$1117))</f>
        <v/>
      </c>
      <c r="F1115" s="54">
        <f>IF(_imp!$C$1117="","",INDEX(_imp!$I$4:$I$4503,_imp!$C$1117))</f>
        <v/>
      </c>
      <c r="G1115" s="54">
        <f>IF(_imp!$C$1117="","",INDEX(_imp!$J$4:$J$4503,_imp!$C$1117))</f>
        <v/>
      </c>
      <c r="K1115" s="54">
        <f>IF(_imp!$C$1117="","",INDEX(_imp!$K$4:$K$4503,_imp!$C$1117))</f>
        <v/>
      </c>
    </row>
    <row r="1116">
      <c r="A1116" s="54">
        <f>IF(_imp!$C$1118="","",INDEX(_imp!$D$4:$D$4503,_imp!$C$1118))</f>
        <v/>
      </c>
      <c r="B1116" s="54">
        <f>IF(_imp!$C$1118="","",INDEX(_imp!$E$4:$E$4503,_imp!$C$1118))</f>
        <v/>
      </c>
      <c r="C1116" s="54">
        <f>IF(_imp!$C$1118="","",INDEX(_imp!$F$4:$F$4503,_imp!$C$1118))</f>
        <v/>
      </c>
      <c r="D1116" s="54">
        <f>IF(_imp!$C$1118="","",INDEX(_imp!$G$4:$G$4503,_imp!$C$1118))</f>
        <v/>
      </c>
      <c r="E1116" s="54">
        <f>IF(_imp!$C$1118="","",INDEX(_imp!$H$4:$H$4503,_imp!$C$1118))</f>
        <v/>
      </c>
      <c r="F1116" s="54">
        <f>IF(_imp!$C$1118="","",INDEX(_imp!$I$4:$I$4503,_imp!$C$1118))</f>
        <v/>
      </c>
      <c r="G1116" s="54">
        <f>IF(_imp!$C$1118="","",INDEX(_imp!$J$4:$J$4503,_imp!$C$1118))</f>
        <v/>
      </c>
      <c r="K1116" s="54">
        <f>IF(_imp!$C$1118="","",INDEX(_imp!$K$4:$K$4503,_imp!$C$1118))</f>
        <v/>
      </c>
    </row>
    <row r="1117">
      <c r="A1117" s="54">
        <f>IF(_imp!$C$1119="","",INDEX(_imp!$D$4:$D$4503,_imp!$C$1119))</f>
        <v/>
      </c>
      <c r="B1117" s="54">
        <f>IF(_imp!$C$1119="","",INDEX(_imp!$E$4:$E$4503,_imp!$C$1119))</f>
        <v/>
      </c>
      <c r="C1117" s="54">
        <f>IF(_imp!$C$1119="","",INDEX(_imp!$F$4:$F$4503,_imp!$C$1119))</f>
        <v/>
      </c>
      <c r="D1117" s="54">
        <f>IF(_imp!$C$1119="","",INDEX(_imp!$G$4:$G$4503,_imp!$C$1119))</f>
        <v/>
      </c>
      <c r="E1117" s="54">
        <f>IF(_imp!$C$1119="","",INDEX(_imp!$H$4:$H$4503,_imp!$C$1119))</f>
        <v/>
      </c>
      <c r="F1117" s="54">
        <f>IF(_imp!$C$1119="","",INDEX(_imp!$I$4:$I$4503,_imp!$C$1119))</f>
        <v/>
      </c>
      <c r="G1117" s="54">
        <f>IF(_imp!$C$1119="","",INDEX(_imp!$J$4:$J$4503,_imp!$C$1119))</f>
        <v/>
      </c>
      <c r="K1117" s="54">
        <f>IF(_imp!$C$1119="","",INDEX(_imp!$K$4:$K$4503,_imp!$C$1119))</f>
        <v/>
      </c>
    </row>
    <row r="1118">
      <c r="A1118" s="54">
        <f>IF(_imp!$C$1120="","",INDEX(_imp!$D$4:$D$4503,_imp!$C$1120))</f>
        <v/>
      </c>
      <c r="B1118" s="54">
        <f>IF(_imp!$C$1120="","",INDEX(_imp!$E$4:$E$4503,_imp!$C$1120))</f>
        <v/>
      </c>
      <c r="C1118" s="54">
        <f>IF(_imp!$C$1120="","",INDEX(_imp!$F$4:$F$4503,_imp!$C$1120))</f>
        <v/>
      </c>
      <c r="D1118" s="54">
        <f>IF(_imp!$C$1120="","",INDEX(_imp!$G$4:$G$4503,_imp!$C$1120))</f>
        <v/>
      </c>
      <c r="E1118" s="54">
        <f>IF(_imp!$C$1120="","",INDEX(_imp!$H$4:$H$4503,_imp!$C$1120))</f>
        <v/>
      </c>
      <c r="F1118" s="54">
        <f>IF(_imp!$C$1120="","",INDEX(_imp!$I$4:$I$4503,_imp!$C$1120))</f>
        <v/>
      </c>
      <c r="G1118" s="54">
        <f>IF(_imp!$C$1120="","",INDEX(_imp!$J$4:$J$4503,_imp!$C$1120))</f>
        <v/>
      </c>
      <c r="K1118" s="54">
        <f>IF(_imp!$C$1120="","",INDEX(_imp!$K$4:$K$4503,_imp!$C$1120))</f>
        <v/>
      </c>
    </row>
    <row r="1119">
      <c r="A1119" s="54">
        <f>IF(_imp!$C$1121="","",INDEX(_imp!$D$4:$D$4503,_imp!$C$1121))</f>
        <v/>
      </c>
      <c r="B1119" s="54">
        <f>IF(_imp!$C$1121="","",INDEX(_imp!$E$4:$E$4503,_imp!$C$1121))</f>
        <v/>
      </c>
      <c r="C1119" s="54">
        <f>IF(_imp!$C$1121="","",INDEX(_imp!$F$4:$F$4503,_imp!$C$1121))</f>
        <v/>
      </c>
      <c r="D1119" s="54">
        <f>IF(_imp!$C$1121="","",INDEX(_imp!$G$4:$G$4503,_imp!$C$1121))</f>
        <v/>
      </c>
      <c r="E1119" s="54">
        <f>IF(_imp!$C$1121="","",INDEX(_imp!$H$4:$H$4503,_imp!$C$1121))</f>
        <v/>
      </c>
      <c r="F1119" s="54">
        <f>IF(_imp!$C$1121="","",INDEX(_imp!$I$4:$I$4503,_imp!$C$1121))</f>
        <v/>
      </c>
      <c r="G1119" s="54">
        <f>IF(_imp!$C$1121="","",INDEX(_imp!$J$4:$J$4503,_imp!$C$1121))</f>
        <v/>
      </c>
      <c r="K1119" s="54">
        <f>IF(_imp!$C$1121="","",INDEX(_imp!$K$4:$K$4503,_imp!$C$1121))</f>
        <v/>
      </c>
    </row>
    <row r="1120">
      <c r="A1120" s="54">
        <f>IF(_imp!$C$1122="","",INDEX(_imp!$D$4:$D$4503,_imp!$C$1122))</f>
        <v/>
      </c>
      <c r="B1120" s="54">
        <f>IF(_imp!$C$1122="","",INDEX(_imp!$E$4:$E$4503,_imp!$C$1122))</f>
        <v/>
      </c>
      <c r="C1120" s="54">
        <f>IF(_imp!$C$1122="","",INDEX(_imp!$F$4:$F$4503,_imp!$C$1122))</f>
        <v/>
      </c>
      <c r="D1120" s="54">
        <f>IF(_imp!$C$1122="","",INDEX(_imp!$G$4:$G$4503,_imp!$C$1122))</f>
        <v/>
      </c>
      <c r="E1120" s="54">
        <f>IF(_imp!$C$1122="","",INDEX(_imp!$H$4:$H$4503,_imp!$C$1122))</f>
        <v/>
      </c>
      <c r="F1120" s="54">
        <f>IF(_imp!$C$1122="","",INDEX(_imp!$I$4:$I$4503,_imp!$C$1122))</f>
        <v/>
      </c>
      <c r="G1120" s="54">
        <f>IF(_imp!$C$1122="","",INDEX(_imp!$J$4:$J$4503,_imp!$C$1122))</f>
        <v/>
      </c>
      <c r="K1120" s="54">
        <f>IF(_imp!$C$1122="","",INDEX(_imp!$K$4:$K$4503,_imp!$C$1122))</f>
        <v/>
      </c>
    </row>
    <row r="1121">
      <c r="A1121" s="54">
        <f>IF(_imp!$C$1123="","",INDEX(_imp!$D$4:$D$4503,_imp!$C$1123))</f>
        <v/>
      </c>
      <c r="B1121" s="54">
        <f>IF(_imp!$C$1123="","",INDEX(_imp!$E$4:$E$4503,_imp!$C$1123))</f>
        <v/>
      </c>
      <c r="C1121" s="54">
        <f>IF(_imp!$C$1123="","",INDEX(_imp!$F$4:$F$4503,_imp!$C$1123))</f>
        <v/>
      </c>
      <c r="D1121" s="54">
        <f>IF(_imp!$C$1123="","",INDEX(_imp!$G$4:$G$4503,_imp!$C$1123))</f>
        <v/>
      </c>
      <c r="E1121" s="54">
        <f>IF(_imp!$C$1123="","",INDEX(_imp!$H$4:$H$4503,_imp!$C$1123))</f>
        <v/>
      </c>
      <c r="F1121" s="54">
        <f>IF(_imp!$C$1123="","",INDEX(_imp!$I$4:$I$4503,_imp!$C$1123))</f>
        <v/>
      </c>
      <c r="G1121" s="54">
        <f>IF(_imp!$C$1123="","",INDEX(_imp!$J$4:$J$4503,_imp!$C$1123))</f>
        <v/>
      </c>
      <c r="K1121" s="54">
        <f>IF(_imp!$C$1123="","",INDEX(_imp!$K$4:$K$4503,_imp!$C$1123))</f>
        <v/>
      </c>
    </row>
    <row r="1122">
      <c r="A1122" s="54">
        <f>IF(_imp!$C$1124="","",INDEX(_imp!$D$4:$D$4503,_imp!$C$1124))</f>
        <v/>
      </c>
      <c r="B1122" s="54">
        <f>IF(_imp!$C$1124="","",INDEX(_imp!$E$4:$E$4503,_imp!$C$1124))</f>
        <v/>
      </c>
      <c r="C1122" s="54">
        <f>IF(_imp!$C$1124="","",INDEX(_imp!$F$4:$F$4503,_imp!$C$1124))</f>
        <v/>
      </c>
      <c r="D1122" s="54">
        <f>IF(_imp!$C$1124="","",INDEX(_imp!$G$4:$G$4503,_imp!$C$1124))</f>
        <v/>
      </c>
      <c r="E1122" s="54">
        <f>IF(_imp!$C$1124="","",INDEX(_imp!$H$4:$H$4503,_imp!$C$1124))</f>
        <v/>
      </c>
      <c r="F1122" s="54">
        <f>IF(_imp!$C$1124="","",INDEX(_imp!$I$4:$I$4503,_imp!$C$1124))</f>
        <v/>
      </c>
      <c r="G1122" s="54">
        <f>IF(_imp!$C$1124="","",INDEX(_imp!$J$4:$J$4503,_imp!$C$1124))</f>
        <v/>
      </c>
      <c r="K1122" s="54">
        <f>IF(_imp!$C$1124="","",INDEX(_imp!$K$4:$K$4503,_imp!$C$1124))</f>
        <v/>
      </c>
    </row>
    <row r="1123">
      <c r="A1123" s="54">
        <f>IF(_imp!$C$1125="","",INDEX(_imp!$D$4:$D$4503,_imp!$C$1125))</f>
        <v/>
      </c>
      <c r="B1123" s="54">
        <f>IF(_imp!$C$1125="","",INDEX(_imp!$E$4:$E$4503,_imp!$C$1125))</f>
        <v/>
      </c>
      <c r="C1123" s="54">
        <f>IF(_imp!$C$1125="","",INDEX(_imp!$F$4:$F$4503,_imp!$C$1125))</f>
        <v/>
      </c>
      <c r="D1123" s="54">
        <f>IF(_imp!$C$1125="","",INDEX(_imp!$G$4:$G$4503,_imp!$C$1125))</f>
        <v/>
      </c>
      <c r="E1123" s="54">
        <f>IF(_imp!$C$1125="","",INDEX(_imp!$H$4:$H$4503,_imp!$C$1125))</f>
        <v/>
      </c>
      <c r="F1123" s="54">
        <f>IF(_imp!$C$1125="","",INDEX(_imp!$I$4:$I$4503,_imp!$C$1125))</f>
        <v/>
      </c>
      <c r="G1123" s="54">
        <f>IF(_imp!$C$1125="","",INDEX(_imp!$J$4:$J$4503,_imp!$C$1125))</f>
        <v/>
      </c>
      <c r="K1123" s="54">
        <f>IF(_imp!$C$1125="","",INDEX(_imp!$K$4:$K$4503,_imp!$C$1125))</f>
        <v/>
      </c>
    </row>
    <row r="1124">
      <c r="A1124" s="54">
        <f>IF(_imp!$C$1126="","",INDEX(_imp!$D$4:$D$4503,_imp!$C$1126))</f>
        <v/>
      </c>
      <c r="B1124" s="54">
        <f>IF(_imp!$C$1126="","",INDEX(_imp!$E$4:$E$4503,_imp!$C$1126))</f>
        <v/>
      </c>
      <c r="C1124" s="54">
        <f>IF(_imp!$C$1126="","",INDEX(_imp!$F$4:$F$4503,_imp!$C$1126))</f>
        <v/>
      </c>
      <c r="D1124" s="54">
        <f>IF(_imp!$C$1126="","",INDEX(_imp!$G$4:$G$4503,_imp!$C$1126))</f>
        <v/>
      </c>
      <c r="E1124" s="54">
        <f>IF(_imp!$C$1126="","",INDEX(_imp!$H$4:$H$4503,_imp!$C$1126))</f>
        <v/>
      </c>
      <c r="F1124" s="54">
        <f>IF(_imp!$C$1126="","",INDEX(_imp!$I$4:$I$4503,_imp!$C$1126))</f>
        <v/>
      </c>
      <c r="G1124" s="54">
        <f>IF(_imp!$C$1126="","",INDEX(_imp!$J$4:$J$4503,_imp!$C$1126))</f>
        <v/>
      </c>
      <c r="K1124" s="54">
        <f>IF(_imp!$C$1126="","",INDEX(_imp!$K$4:$K$4503,_imp!$C$1126))</f>
        <v/>
      </c>
    </row>
    <row r="1125">
      <c r="A1125" s="54">
        <f>IF(_imp!$C$1127="","",INDEX(_imp!$D$4:$D$4503,_imp!$C$1127))</f>
        <v/>
      </c>
      <c r="B1125" s="54">
        <f>IF(_imp!$C$1127="","",INDEX(_imp!$E$4:$E$4503,_imp!$C$1127))</f>
        <v/>
      </c>
      <c r="C1125" s="54">
        <f>IF(_imp!$C$1127="","",INDEX(_imp!$F$4:$F$4503,_imp!$C$1127))</f>
        <v/>
      </c>
      <c r="D1125" s="54">
        <f>IF(_imp!$C$1127="","",INDEX(_imp!$G$4:$G$4503,_imp!$C$1127))</f>
        <v/>
      </c>
      <c r="E1125" s="54">
        <f>IF(_imp!$C$1127="","",INDEX(_imp!$H$4:$H$4503,_imp!$C$1127))</f>
        <v/>
      </c>
      <c r="F1125" s="54">
        <f>IF(_imp!$C$1127="","",INDEX(_imp!$I$4:$I$4503,_imp!$C$1127))</f>
        <v/>
      </c>
      <c r="G1125" s="54">
        <f>IF(_imp!$C$1127="","",INDEX(_imp!$J$4:$J$4503,_imp!$C$1127))</f>
        <v/>
      </c>
      <c r="K1125" s="54">
        <f>IF(_imp!$C$1127="","",INDEX(_imp!$K$4:$K$4503,_imp!$C$1127))</f>
        <v/>
      </c>
    </row>
    <row r="1126">
      <c r="A1126" s="54">
        <f>IF(_imp!$C$1128="","",INDEX(_imp!$D$4:$D$4503,_imp!$C$1128))</f>
        <v/>
      </c>
      <c r="B1126" s="54">
        <f>IF(_imp!$C$1128="","",INDEX(_imp!$E$4:$E$4503,_imp!$C$1128))</f>
        <v/>
      </c>
      <c r="C1126" s="54">
        <f>IF(_imp!$C$1128="","",INDEX(_imp!$F$4:$F$4503,_imp!$C$1128))</f>
        <v/>
      </c>
      <c r="D1126" s="54">
        <f>IF(_imp!$C$1128="","",INDEX(_imp!$G$4:$G$4503,_imp!$C$1128))</f>
        <v/>
      </c>
      <c r="E1126" s="54">
        <f>IF(_imp!$C$1128="","",INDEX(_imp!$H$4:$H$4503,_imp!$C$1128))</f>
        <v/>
      </c>
      <c r="F1126" s="54">
        <f>IF(_imp!$C$1128="","",INDEX(_imp!$I$4:$I$4503,_imp!$C$1128))</f>
        <v/>
      </c>
      <c r="G1126" s="54">
        <f>IF(_imp!$C$1128="","",INDEX(_imp!$J$4:$J$4503,_imp!$C$1128))</f>
        <v/>
      </c>
      <c r="K1126" s="54">
        <f>IF(_imp!$C$1128="","",INDEX(_imp!$K$4:$K$4503,_imp!$C$1128))</f>
        <v/>
      </c>
    </row>
    <row r="1127">
      <c r="A1127" s="54">
        <f>IF(_imp!$C$1129="","",INDEX(_imp!$D$4:$D$4503,_imp!$C$1129))</f>
        <v/>
      </c>
      <c r="B1127" s="54">
        <f>IF(_imp!$C$1129="","",INDEX(_imp!$E$4:$E$4503,_imp!$C$1129))</f>
        <v/>
      </c>
      <c r="C1127" s="54">
        <f>IF(_imp!$C$1129="","",INDEX(_imp!$F$4:$F$4503,_imp!$C$1129))</f>
        <v/>
      </c>
      <c r="D1127" s="54">
        <f>IF(_imp!$C$1129="","",INDEX(_imp!$G$4:$G$4503,_imp!$C$1129))</f>
        <v/>
      </c>
      <c r="E1127" s="54">
        <f>IF(_imp!$C$1129="","",INDEX(_imp!$H$4:$H$4503,_imp!$C$1129))</f>
        <v/>
      </c>
      <c r="F1127" s="54">
        <f>IF(_imp!$C$1129="","",INDEX(_imp!$I$4:$I$4503,_imp!$C$1129))</f>
        <v/>
      </c>
      <c r="G1127" s="54">
        <f>IF(_imp!$C$1129="","",INDEX(_imp!$J$4:$J$4503,_imp!$C$1129))</f>
        <v/>
      </c>
      <c r="K1127" s="54">
        <f>IF(_imp!$C$1129="","",INDEX(_imp!$K$4:$K$4503,_imp!$C$1129))</f>
        <v/>
      </c>
    </row>
    <row r="1128">
      <c r="A1128" s="54">
        <f>IF(_imp!$C$1130="","",INDEX(_imp!$D$4:$D$4503,_imp!$C$1130))</f>
        <v/>
      </c>
      <c r="B1128" s="54">
        <f>IF(_imp!$C$1130="","",INDEX(_imp!$E$4:$E$4503,_imp!$C$1130))</f>
        <v/>
      </c>
      <c r="C1128" s="54">
        <f>IF(_imp!$C$1130="","",INDEX(_imp!$F$4:$F$4503,_imp!$C$1130))</f>
        <v/>
      </c>
      <c r="D1128" s="54">
        <f>IF(_imp!$C$1130="","",INDEX(_imp!$G$4:$G$4503,_imp!$C$1130))</f>
        <v/>
      </c>
      <c r="E1128" s="54">
        <f>IF(_imp!$C$1130="","",INDEX(_imp!$H$4:$H$4503,_imp!$C$1130))</f>
        <v/>
      </c>
      <c r="F1128" s="54">
        <f>IF(_imp!$C$1130="","",INDEX(_imp!$I$4:$I$4503,_imp!$C$1130))</f>
        <v/>
      </c>
      <c r="G1128" s="54">
        <f>IF(_imp!$C$1130="","",INDEX(_imp!$J$4:$J$4503,_imp!$C$1130))</f>
        <v/>
      </c>
      <c r="K1128" s="54">
        <f>IF(_imp!$C$1130="","",INDEX(_imp!$K$4:$K$4503,_imp!$C$1130))</f>
        <v/>
      </c>
    </row>
    <row r="1129">
      <c r="A1129" s="54">
        <f>IF(_imp!$C$1131="","",INDEX(_imp!$D$4:$D$4503,_imp!$C$1131))</f>
        <v/>
      </c>
      <c r="B1129" s="54">
        <f>IF(_imp!$C$1131="","",INDEX(_imp!$E$4:$E$4503,_imp!$C$1131))</f>
        <v/>
      </c>
      <c r="C1129" s="54">
        <f>IF(_imp!$C$1131="","",INDEX(_imp!$F$4:$F$4503,_imp!$C$1131))</f>
        <v/>
      </c>
      <c r="D1129" s="54">
        <f>IF(_imp!$C$1131="","",INDEX(_imp!$G$4:$G$4503,_imp!$C$1131))</f>
        <v/>
      </c>
      <c r="E1129" s="54">
        <f>IF(_imp!$C$1131="","",INDEX(_imp!$H$4:$H$4503,_imp!$C$1131))</f>
        <v/>
      </c>
      <c r="F1129" s="54">
        <f>IF(_imp!$C$1131="","",INDEX(_imp!$I$4:$I$4503,_imp!$C$1131))</f>
        <v/>
      </c>
      <c r="G1129" s="54">
        <f>IF(_imp!$C$1131="","",INDEX(_imp!$J$4:$J$4503,_imp!$C$1131))</f>
        <v/>
      </c>
      <c r="K1129" s="54">
        <f>IF(_imp!$C$1131="","",INDEX(_imp!$K$4:$K$4503,_imp!$C$1131))</f>
        <v/>
      </c>
    </row>
    <row r="1130">
      <c r="A1130" s="54">
        <f>IF(_imp!$C$1132="","",INDEX(_imp!$D$4:$D$4503,_imp!$C$1132))</f>
        <v/>
      </c>
      <c r="B1130" s="54">
        <f>IF(_imp!$C$1132="","",INDEX(_imp!$E$4:$E$4503,_imp!$C$1132))</f>
        <v/>
      </c>
      <c r="C1130" s="54">
        <f>IF(_imp!$C$1132="","",INDEX(_imp!$F$4:$F$4503,_imp!$C$1132))</f>
        <v/>
      </c>
      <c r="D1130" s="54">
        <f>IF(_imp!$C$1132="","",INDEX(_imp!$G$4:$G$4503,_imp!$C$1132))</f>
        <v/>
      </c>
      <c r="E1130" s="54">
        <f>IF(_imp!$C$1132="","",INDEX(_imp!$H$4:$H$4503,_imp!$C$1132))</f>
        <v/>
      </c>
      <c r="F1130" s="54">
        <f>IF(_imp!$C$1132="","",INDEX(_imp!$I$4:$I$4503,_imp!$C$1132))</f>
        <v/>
      </c>
      <c r="G1130" s="54">
        <f>IF(_imp!$C$1132="","",INDEX(_imp!$J$4:$J$4503,_imp!$C$1132))</f>
        <v/>
      </c>
      <c r="K1130" s="54">
        <f>IF(_imp!$C$1132="","",INDEX(_imp!$K$4:$K$4503,_imp!$C$1132))</f>
        <v/>
      </c>
    </row>
    <row r="1131">
      <c r="A1131" s="54">
        <f>IF(_imp!$C$1133="","",INDEX(_imp!$D$4:$D$4503,_imp!$C$1133))</f>
        <v/>
      </c>
      <c r="B1131" s="54">
        <f>IF(_imp!$C$1133="","",INDEX(_imp!$E$4:$E$4503,_imp!$C$1133))</f>
        <v/>
      </c>
      <c r="C1131" s="54">
        <f>IF(_imp!$C$1133="","",INDEX(_imp!$F$4:$F$4503,_imp!$C$1133))</f>
        <v/>
      </c>
      <c r="D1131" s="54">
        <f>IF(_imp!$C$1133="","",INDEX(_imp!$G$4:$G$4503,_imp!$C$1133))</f>
        <v/>
      </c>
      <c r="E1131" s="54">
        <f>IF(_imp!$C$1133="","",INDEX(_imp!$H$4:$H$4503,_imp!$C$1133))</f>
        <v/>
      </c>
      <c r="F1131" s="54">
        <f>IF(_imp!$C$1133="","",INDEX(_imp!$I$4:$I$4503,_imp!$C$1133))</f>
        <v/>
      </c>
      <c r="G1131" s="54">
        <f>IF(_imp!$C$1133="","",INDEX(_imp!$J$4:$J$4503,_imp!$C$1133))</f>
        <v/>
      </c>
      <c r="K1131" s="54">
        <f>IF(_imp!$C$1133="","",INDEX(_imp!$K$4:$K$4503,_imp!$C$1133))</f>
        <v/>
      </c>
    </row>
    <row r="1132">
      <c r="A1132" s="54">
        <f>IF(_imp!$C$1134="","",INDEX(_imp!$D$4:$D$4503,_imp!$C$1134))</f>
        <v/>
      </c>
      <c r="B1132" s="54">
        <f>IF(_imp!$C$1134="","",INDEX(_imp!$E$4:$E$4503,_imp!$C$1134))</f>
        <v/>
      </c>
      <c r="C1132" s="54">
        <f>IF(_imp!$C$1134="","",INDEX(_imp!$F$4:$F$4503,_imp!$C$1134))</f>
        <v/>
      </c>
      <c r="D1132" s="54">
        <f>IF(_imp!$C$1134="","",INDEX(_imp!$G$4:$G$4503,_imp!$C$1134))</f>
        <v/>
      </c>
      <c r="E1132" s="54">
        <f>IF(_imp!$C$1134="","",INDEX(_imp!$H$4:$H$4503,_imp!$C$1134))</f>
        <v/>
      </c>
      <c r="F1132" s="54">
        <f>IF(_imp!$C$1134="","",INDEX(_imp!$I$4:$I$4503,_imp!$C$1134))</f>
        <v/>
      </c>
      <c r="G1132" s="54">
        <f>IF(_imp!$C$1134="","",INDEX(_imp!$J$4:$J$4503,_imp!$C$1134))</f>
        <v/>
      </c>
      <c r="K1132" s="54">
        <f>IF(_imp!$C$1134="","",INDEX(_imp!$K$4:$K$4503,_imp!$C$1134))</f>
        <v/>
      </c>
    </row>
    <row r="1133">
      <c r="A1133" s="54">
        <f>IF(_imp!$C$1135="","",INDEX(_imp!$D$4:$D$4503,_imp!$C$1135))</f>
        <v/>
      </c>
      <c r="B1133" s="54">
        <f>IF(_imp!$C$1135="","",INDEX(_imp!$E$4:$E$4503,_imp!$C$1135))</f>
        <v/>
      </c>
      <c r="C1133" s="54">
        <f>IF(_imp!$C$1135="","",INDEX(_imp!$F$4:$F$4503,_imp!$C$1135))</f>
        <v/>
      </c>
      <c r="D1133" s="54">
        <f>IF(_imp!$C$1135="","",INDEX(_imp!$G$4:$G$4503,_imp!$C$1135))</f>
        <v/>
      </c>
      <c r="E1133" s="54">
        <f>IF(_imp!$C$1135="","",INDEX(_imp!$H$4:$H$4503,_imp!$C$1135))</f>
        <v/>
      </c>
      <c r="F1133" s="54">
        <f>IF(_imp!$C$1135="","",INDEX(_imp!$I$4:$I$4503,_imp!$C$1135))</f>
        <v/>
      </c>
      <c r="G1133" s="54">
        <f>IF(_imp!$C$1135="","",INDEX(_imp!$J$4:$J$4503,_imp!$C$1135))</f>
        <v/>
      </c>
      <c r="K1133" s="54">
        <f>IF(_imp!$C$1135="","",INDEX(_imp!$K$4:$K$4503,_imp!$C$1135))</f>
        <v/>
      </c>
    </row>
    <row r="1134">
      <c r="A1134" s="54">
        <f>IF(_imp!$C$1136="","",INDEX(_imp!$D$4:$D$4503,_imp!$C$1136))</f>
        <v/>
      </c>
      <c r="B1134" s="54">
        <f>IF(_imp!$C$1136="","",INDEX(_imp!$E$4:$E$4503,_imp!$C$1136))</f>
        <v/>
      </c>
      <c r="C1134" s="54">
        <f>IF(_imp!$C$1136="","",INDEX(_imp!$F$4:$F$4503,_imp!$C$1136))</f>
        <v/>
      </c>
      <c r="D1134" s="54">
        <f>IF(_imp!$C$1136="","",INDEX(_imp!$G$4:$G$4503,_imp!$C$1136))</f>
        <v/>
      </c>
      <c r="E1134" s="54">
        <f>IF(_imp!$C$1136="","",INDEX(_imp!$H$4:$H$4503,_imp!$C$1136))</f>
        <v/>
      </c>
      <c r="F1134" s="54">
        <f>IF(_imp!$C$1136="","",INDEX(_imp!$I$4:$I$4503,_imp!$C$1136))</f>
        <v/>
      </c>
      <c r="G1134" s="54">
        <f>IF(_imp!$C$1136="","",INDEX(_imp!$J$4:$J$4503,_imp!$C$1136))</f>
        <v/>
      </c>
      <c r="K1134" s="54">
        <f>IF(_imp!$C$1136="","",INDEX(_imp!$K$4:$K$4503,_imp!$C$1136))</f>
        <v/>
      </c>
    </row>
    <row r="1135">
      <c r="A1135" s="54">
        <f>IF(_imp!$C$1137="","",INDEX(_imp!$D$4:$D$4503,_imp!$C$1137))</f>
        <v/>
      </c>
      <c r="B1135" s="54">
        <f>IF(_imp!$C$1137="","",INDEX(_imp!$E$4:$E$4503,_imp!$C$1137))</f>
        <v/>
      </c>
      <c r="C1135" s="54">
        <f>IF(_imp!$C$1137="","",INDEX(_imp!$F$4:$F$4503,_imp!$C$1137))</f>
        <v/>
      </c>
      <c r="D1135" s="54">
        <f>IF(_imp!$C$1137="","",INDEX(_imp!$G$4:$G$4503,_imp!$C$1137))</f>
        <v/>
      </c>
      <c r="E1135" s="54">
        <f>IF(_imp!$C$1137="","",INDEX(_imp!$H$4:$H$4503,_imp!$C$1137))</f>
        <v/>
      </c>
      <c r="F1135" s="54">
        <f>IF(_imp!$C$1137="","",INDEX(_imp!$I$4:$I$4503,_imp!$C$1137))</f>
        <v/>
      </c>
      <c r="G1135" s="54">
        <f>IF(_imp!$C$1137="","",INDEX(_imp!$J$4:$J$4503,_imp!$C$1137))</f>
        <v/>
      </c>
      <c r="K1135" s="54">
        <f>IF(_imp!$C$1137="","",INDEX(_imp!$K$4:$K$4503,_imp!$C$1137))</f>
        <v/>
      </c>
    </row>
    <row r="1136">
      <c r="A1136" s="54">
        <f>IF(_imp!$C$1138="","",INDEX(_imp!$D$4:$D$4503,_imp!$C$1138))</f>
        <v/>
      </c>
      <c r="B1136" s="54">
        <f>IF(_imp!$C$1138="","",INDEX(_imp!$E$4:$E$4503,_imp!$C$1138))</f>
        <v/>
      </c>
      <c r="C1136" s="54">
        <f>IF(_imp!$C$1138="","",INDEX(_imp!$F$4:$F$4503,_imp!$C$1138))</f>
        <v/>
      </c>
      <c r="D1136" s="54">
        <f>IF(_imp!$C$1138="","",INDEX(_imp!$G$4:$G$4503,_imp!$C$1138))</f>
        <v/>
      </c>
      <c r="E1136" s="54">
        <f>IF(_imp!$C$1138="","",INDEX(_imp!$H$4:$H$4503,_imp!$C$1138))</f>
        <v/>
      </c>
      <c r="F1136" s="54">
        <f>IF(_imp!$C$1138="","",INDEX(_imp!$I$4:$I$4503,_imp!$C$1138))</f>
        <v/>
      </c>
      <c r="G1136" s="54">
        <f>IF(_imp!$C$1138="","",INDEX(_imp!$J$4:$J$4503,_imp!$C$1138))</f>
        <v/>
      </c>
      <c r="K1136" s="54">
        <f>IF(_imp!$C$1138="","",INDEX(_imp!$K$4:$K$4503,_imp!$C$1138))</f>
        <v/>
      </c>
    </row>
    <row r="1137">
      <c r="A1137" s="54">
        <f>IF(_imp!$C$1139="","",INDEX(_imp!$D$4:$D$4503,_imp!$C$1139))</f>
        <v/>
      </c>
      <c r="B1137" s="54">
        <f>IF(_imp!$C$1139="","",INDEX(_imp!$E$4:$E$4503,_imp!$C$1139))</f>
        <v/>
      </c>
      <c r="C1137" s="54">
        <f>IF(_imp!$C$1139="","",INDEX(_imp!$F$4:$F$4503,_imp!$C$1139))</f>
        <v/>
      </c>
      <c r="D1137" s="54">
        <f>IF(_imp!$C$1139="","",INDEX(_imp!$G$4:$G$4503,_imp!$C$1139))</f>
        <v/>
      </c>
      <c r="E1137" s="54">
        <f>IF(_imp!$C$1139="","",INDEX(_imp!$H$4:$H$4503,_imp!$C$1139))</f>
        <v/>
      </c>
      <c r="F1137" s="54">
        <f>IF(_imp!$C$1139="","",INDEX(_imp!$I$4:$I$4503,_imp!$C$1139))</f>
        <v/>
      </c>
      <c r="G1137" s="54">
        <f>IF(_imp!$C$1139="","",INDEX(_imp!$J$4:$J$4503,_imp!$C$1139))</f>
        <v/>
      </c>
      <c r="K1137" s="54">
        <f>IF(_imp!$C$1139="","",INDEX(_imp!$K$4:$K$4503,_imp!$C$1139))</f>
        <v/>
      </c>
    </row>
    <row r="1138">
      <c r="A1138" s="54">
        <f>IF(_imp!$C$1140="","",INDEX(_imp!$D$4:$D$4503,_imp!$C$1140))</f>
        <v/>
      </c>
      <c r="B1138" s="54">
        <f>IF(_imp!$C$1140="","",INDEX(_imp!$E$4:$E$4503,_imp!$C$1140))</f>
        <v/>
      </c>
      <c r="C1138" s="54">
        <f>IF(_imp!$C$1140="","",INDEX(_imp!$F$4:$F$4503,_imp!$C$1140))</f>
        <v/>
      </c>
      <c r="D1138" s="54">
        <f>IF(_imp!$C$1140="","",INDEX(_imp!$G$4:$G$4503,_imp!$C$1140))</f>
        <v/>
      </c>
      <c r="E1138" s="54">
        <f>IF(_imp!$C$1140="","",INDEX(_imp!$H$4:$H$4503,_imp!$C$1140))</f>
        <v/>
      </c>
      <c r="F1138" s="54">
        <f>IF(_imp!$C$1140="","",INDEX(_imp!$I$4:$I$4503,_imp!$C$1140))</f>
        <v/>
      </c>
      <c r="G1138" s="54">
        <f>IF(_imp!$C$1140="","",INDEX(_imp!$J$4:$J$4503,_imp!$C$1140))</f>
        <v/>
      </c>
      <c r="K1138" s="54">
        <f>IF(_imp!$C$1140="","",INDEX(_imp!$K$4:$K$4503,_imp!$C$1140))</f>
        <v/>
      </c>
    </row>
    <row r="1139">
      <c r="A1139" s="54">
        <f>IF(_imp!$C$1141="","",INDEX(_imp!$D$4:$D$4503,_imp!$C$1141))</f>
        <v/>
      </c>
      <c r="B1139" s="54">
        <f>IF(_imp!$C$1141="","",INDEX(_imp!$E$4:$E$4503,_imp!$C$1141))</f>
        <v/>
      </c>
      <c r="C1139" s="54">
        <f>IF(_imp!$C$1141="","",INDEX(_imp!$F$4:$F$4503,_imp!$C$1141))</f>
        <v/>
      </c>
      <c r="D1139" s="54">
        <f>IF(_imp!$C$1141="","",INDEX(_imp!$G$4:$G$4503,_imp!$C$1141))</f>
        <v/>
      </c>
      <c r="E1139" s="54">
        <f>IF(_imp!$C$1141="","",INDEX(_imp!$H$4:$H$4503,_imp!$C$1141))</f>
        <v/>
      </c>
      <c r="F1139" s="54">
        <f>IF(_imp!$C$1141="","",INDEX(_imp!$I$4:$I$4503,_imp!$C$1141))</f>
        <v/>
      </c>
      <c r="G1139" s="54">
        <f>IF(_imp!$C$1141="","",INDEX(_imp!$J$4:$J$4503,_imp!$C$1141))</f>
        <v/>
      </c>
      <c r="K1139" s="54">
        <f>IF(_imp!$C$1141="","",INDEX(_imp!$K$4:$K$4503,_imp!$C$1141))</f>
        <v/>
      </c>
    </row>
    <row r="1140">
      <c r="A1140" s="54">
        <f>IF(_imp!$C$1142="","",INDEX(_imp!$D$4:$D$4503,_imp!$C$1142))</f>
        <v/>
      </c>
      <c r="B1140" s="54">
        <f>IF(_imp!$C$1142="","",INDEX(_imp!$E$4:$E$4503,_imp!$C$1142))</f>
        <v/>
      </c>
      <c r="C1140" s="54">
        <f>IF(_imp!$C$1142="","",INDEX(_imp!$F$4:$F$4503,_imp!$C$1142))</f>
        <v/>
      </c>
      <c r="D1140" s="54">
        <f>IF(_imp!$C$1142="","",INDEX(_imp!$G$4:$G$4503,_imp!$C$1142))</f>
        <v/>
      </c>
      <c r="E1140" s="54">
        <f>IF(_imp!$C$1142="","",INDEX(_imp!$H$4:$H$4503,_imp!$C$1142))</f>
        <v/>
      </c>
      <c r="F1140" s="54">
        <f>IF(_imp!$C$1142="","",INDEX(_imp!$I$4:$I$4503,_imp!$C$1142))</f>
        <v/>
      </c>
      <c r="G1140" s="54">
        <f>IF(_imp!$C$1142="","",INDEX(_imp!$J$4:$J$4503,_imp!$C$1142))</f>
        <v/>
      </c>
      <c r="K1140" s="54">
        <f>IF(_imp!$C$1142="","",INDEX(_imp!$K$4:$K$4503,_imp!$C$1142))</f>
        <v/>
      </c>
    </row>
    <row r="1141">
      <c r="A1141" s="54">
        <f>IF(_imp!$C$1143="","",INDEX(_imp!$D$4:$D$4503,_imp!$C$1143))</f>
        <v/>
      </c>
      <c r="B1141" s="54">
        <f>IF(_imp!$C$1143="","",INDEX(_imp!$E$4:$E$4503,_imp!$C$1143))</f>
        <v/>
      </c>
      <c r="C1141" s="54">
        <f>IF(_imp!$C$1143="","",INDEX(_imp!$F$4:$F$4503,_imp!$C$1143))</f>
        <v/>
      </c>
      <c r="D1141" s="54">
        <f>IF(_imp!$C$1143="","",INDEX(_imp!$G$4:$G$4503,_imp!$C$1143))</f>
        <v/>
      </c>
      <c r="E1141" s="54">
        <f>IF(_imp!$C$1143="","",INDEX(_imp!$H$4:$H$4503,_imp!$C$1143))</f>
        <v/>
      </c>
      <c r="F1141" s="54">
        <f>IF(_imp!$C$1143="","",INDEX(_imp!$I$4:$I$4503,_imp!$C$1143))</f>
        <v/>
      </c>
      <c r="G1141" s="54">
        <f>IF(_imp!$C$1143="","",INDEX(_imp!$J$4:$J$4503,_imp!$C$1143))</f>
        <v/>
      </c>
      <c r="K1141" s="54">
        <f>IF(_imp!$C$1143="","",INDEX(_imp!$K$4:$K$4503,_imp!$C$1143))</f>
        <v/>
      </c>
    </row>
    <row r="1142">
      <c r="A1142" s="54">
        <f>IF(_imp!$C$1144="","",INDEX(_imp!$D$4:$D$4503,_imp!$C$1144))</f>
        <v/>
      </c>
      <c r="B1142" s="54">
        <f>IF(_imp!$C$1144="","",INDEX(_imp!$E$4:$E$4503,_imp!$C$1144))</f>
        <v/>
      </c>
      <c r="C1142" s="54">
        <f>IF(_imp!$C$1144="","",INDEX(_imp!$F$4:$F$4503,_imp!$C$1144))</f>
        <v/>
      </c>
      <c r="D1142" s="54">
        <f>IF(_imp!$C$1144="","",INDEX(_imp!$G$4:$G$4503,_imp!$C$1144))</f>
        <v/>
      </c>
      <c r="E1142" s="54">
        <f>IF(_imp!$C$1144="","",INDEX(_imp!$H$4:$H$4503,_imp!$C$1144))</f>
        <v/>
      </c>
      <c r="F1142" s="54">
        <f>IF(_imp!$C$1144="","",INDEX(_imp!$I$4:$I$4503,_imp!$C$1144))</f>
        <v/>
      </c>
      <c r="G1142" s="54">
        <f>IF(_imp!$C$1144="","",INDEX(_imp!$J$4:$J$4503,_imp!$C$1144))</f>
        <v/>
      </c>
      <c r="K1142" s="54">
        <f>IF(_imp!$C$1144="","",INDEX(_imp!$K$4:$K$4503,_imp!$C$1144))</f>
        <v/>
      </c>
    </row>
    <row r="1143">
      <c r="A1143" s="54">
        <f>IF(_imp!$C$1145="","",INDEX(_imp!$D$4:$D$4503,_imp!$C$1145))</f>
        <v/>
      </c>
      <c r="B1143" s="54">
        <f>IF(_imp!$C$1145="","",INDEX(_imp!$E$4:$E$4503,_imp!$C$1145))</f>
        <v/>
      </c>
      <c r="C1143" s="54">
        <f>IF(_imp!$C$1145="","",INDEX(_imp!$F$4:$F$4503,_imp!$C$1145))</f>
        <v/>
      </c>
      <c r="D1143" s="54">
        <f>IF(_imp!$C$1145="","",INDEX(_imp!$G$4:$G$4503,_imp!$C$1145))</f>
        <v/>
      </c>
      <c r="E1143" s="54">
        <f>IF(_imp!$C$1145="","",INDEX(_imp!$H$4:$H$4503,_imp!$C$1145))</f>
        <v/>
      </c>
      <c r="F1143" s="54">
        <f>IF(_imp!$C$1145="","",INDEX(_imp!$I$4:$I$4503,_imp!$C$1145))</f>
        <v/>
      </c>
      <c r="G1143" s="54">
        <f>IF(_imp!$C$1145="","",INDEX(_imp!$J$4:$J$4503,_imp!$C$1145))</f>
        <v/>
      </c>
      <c r="K1143" s="54">
        <f>IF(_imp!$C$1145="","",INDEX(_imp!$K$4:$K$4503,_imp!$C$1145))</f>
        <v/>
      </c>
    </row>
    <row r="1144">
      <c r="A1144" s="54">
        <f>IF(_imp!$C$1146="","",INDEX(_imp!$D$4:$D$4503,_imp!$C$1146))</f>
        <v/>
      </c>
      <c r="B1144" s="54">
        <f>IF(_imp!$C$1146="","",INDEX(_imp!$E$4:$E$4503,_imp!$C$1146))</f>
        <v/>
      </c>
      <c r="C1144" s="54">
        <f>IF(_imp!$C$1146="","",INDEX(_imp!$F$4:$F$4503,_imp!$C$1146))</f>
        <v/>
      </c>
      <c r="D1144" s="54">
        <f>IF(_imp!$C$1146="","",INDEX(_imp!$G$4:$G$4503,_imp!$C$1146))</f>
        <v/>
      </c>
      <c r="E1144" s="54">
        <f>IF(_imp!$C$1146="","",INDEX(_imp!$H$4:$H$4503,_imp!$C$1146))</f>
        <v/>
      </c>
      <c r="F1144" s="54">
        <f>IF(_imp!$C$1146="","",INDEX(_imp!$I$4:$I$4503,_imp!$C$1146))</f>
        <v/>
      </c>
      <c r="G1144" s="54">
        <f>IF(_imp!$C$1146="","",INDEX(_imp!$J$4:$J$4503,_imp!$C$1146))</f>
        <v/>
      </c>
      <c r="K1144" s="54">
        <f>IF(_imp!$C$1146="","",INDEX(_imp!$K$4:$K$4503,_imp!$C$1146))</f>
        <v/>
      </c>
    </row>
    <row r="1145">
      <c r="A1145" s="54">
        <f>IF(_imp!$C$1147="","",INDEX(_imp!$D$4:$D$4503,_imp!$C$1147))</f>
        <v/>
      </c>
      <c r="B1145" s="54">
        <f>IF(_imp!$C$1147="","",INDEX(_imp!$E$4:$E$4503,_imp!$C$1147))</f>
        <v/>
      </c>
      <c r="C1145" s="54">
        <f>IF(_imp!$C$1147="","",INDEX(_imp!$F$4:$F$4503,_imp!$C$1147))</f>
        <v/>
      </c>
      <c r="D1145" s="54">
        <f>IF(_imp!$C$1147="","",INDEX(_imp!$G$4:$G$4503,_imp!$C$1147))</f>
        <v/>
      </c>
      <c r="E1145" s="54">
        <f>IF(_imp!$C$1147="","",INDEX(_imp!$H$4:$H$4503,_imp!$C$1147))</f>
        <v/>
      </c>
      <c r="F1145" s="54">
        <f>IF(_imp!$C$1147="","",INDEX(_imp!$I$4:$I$4503,_imp!$C$1147))</f>
        <v/>
      </c>
      <c r="G1145" s="54">
        <f>IF(_imp!$C$1147="","",INDEX(_imp!$J$4:$J$4503,_imp!$C$1147))</f>
        <v/>
      </c>
      <c r="K1145" s="54">
        <f>IF(_imp!$C$1147="","",INDEX(_imp!$K$4:$K$4503,_imp!$C$1147))</f>
        <v/>
      </c>
    </row>
    <row r="1146">
      <c r="A1146" s="54">
        <f>IF(_imp!$C$1148="","",INDEX(_imp!$D$4:$D$4503,_imp!$C$1148))</f>
        <v/>
      </c>
      <c r="B1146" s="54">
        <f>IF(_imp!$C$1148="","",INDEX(_imp!$E$4:$E$4503,_imp!$C$1148))</f>
        <v/>
      </c>
      <c r="C1146" s="54">
        <f>IF(_imp!$C$1148="","",INDEX(_imp!$F$4:$F$4503,_imp!$C$1148))</f>
        <v/>
      </c>
      <c r="D1146" s="54">
        <f>IF(_imp!$C$1148="","",INDEX(_imp!$G$4:$G$4503,_imp!$C$1148))</f>
        <v/>
      </c>
      <c r="E1146" s="54">
        <f>IF(_imp!$C$1148="","",INDEX(_imp!$H$4:$H$4503,_imp!$C$1148))</f>
        <v/>
      </c>
      <c r="F1146" s="54">
        <f>IF(_imp!$C$1148="","",INDEX(_imp!$I$4:$I$4503,_imp!$C$1148))</f>
        <v/>
      </c>
      <c r="G1146" s="54">
        <f>IF(_imp!$C$1148="","",INDEX(_imp!$J$4:$J$4503,_imp!$C$1148))</f>
        <v/>
      </c>
      <c r="K1146" s="54">
        <f>IF(_imp!$C$1148="","",INDEX(_imp!$K$4:$K$4503,_imp!$C$1148))</f>
        <v/>
      </c>
    </row>
    <row r="1147">
      <c r="A1147" s="54">
        <f>IF(_imp!$C$1149="","",INDEX(_imp!$D$4:$D$4503,_imp!$C$1149))</f>
        <v/>
      </c>
      <c r="B1147" s="54">
        <f>IF(_imp!$C$1149="","",INDEX(_imp!$E$4:$E$4503,_imp!$C$1149))</f>
        <v/>
      </c>
      <c r="C1147" s="54">
        <f>IF(_imp!$C$1149="","",INDEX(_imp!$F$4:$F$4503,_imp!$C$1149))</f>
        <v/>
      </c>
      <c r="D1147" s="54">
        <f>IF(_imp!$C$1149="","",INDEX(_imp!$G$4:$G$4503,_imp!$C$1149))</f>
        <v/>
      </c>
      <c r="E1147" s="54">
        <f>IF(_imp!$C$1149="","",INDEX(_imp!$H$4:$H$4503,_imp!$C$1149))</f>
        <v/>
      </c>
      <c r="F1147" s="54">
        <f>IF(_imp!$C$1149="","",INDEX(_imp!$I$4:$I$4503,_imp!$C$1149))</f>
        <v/>
      </c>
      <c r="G1147" s="54">
        <f>IF(_imp!$C$1149="","",INDEX(_imp!$J$4:$J$4503,_imp!$C$1149))</f>
        <v/>
      </c>
      <c r="K1147" s="54">
        <f>IF(_imp!$C$1149="","",INDEX(_imp!$K$4:$K$4503,_imp!$C$1149))</f>
        <v/>
      </c>
    </row>
    <row r="1148">
      <c r="A1148" s="54">
        <f>IF(_imp!$C$1150="","",INDEX(_imp!$D$4:$D$4503,_imp!$C$1150))</f>
        <v/>
      </c>
      <c r="B1148" s="54">
        <f>IF(_imp!$C$1150="","",INDEX(_imp!$E$4:$E$4503,_imp!$C$1150))</f>
        <v/>
      </c>
      <c r="C1148" s="54">
        <f>IF(_imp!$C$1150="","",INDEX(_imp!$F$4:$F$4503,_imp!$C$1150))</f>
        <v/>
      </c>
      <c r="D1148" s="54">
        <f>IF(_imp!$C$1150="","",INDEX(_imp!$G$4:$G$4503,_imp!$C$1150))</f>
        <v/>
      </c>
      <c r="E1148" s="54">
        <f>IF(_imp!$C$1150="","",INDEX(_imp!$H$4:$H$4503,_imp!$C$1150))</f>
        <v/>
      </c>
      <c r="F1148" s="54">
        <f>IF(_imp!$C$1150="","",INDEX(_imp!$I$4:$I$4503,_imp!$C$1150))</f>
        <v/>
      </c>
      <c r="G1148" s="54">
        <f>IF(_imp!$C$1150="","",INDEX(_imp!$J$4:$J$4503,_imp!$C$1150))</f>
        <v/>
      </c>
      <c r="K1148" s="54">
        <f>IF(_imp!$C$1150="","",INDEX(_imp!$K$4:$K$4503,_imp!$C$1150))</f>
        <v/>
      </c>
    </row>
    <row r="1149">
      <c r="A1149" s="54">
        <f>IF(_imp!$C$1151="","",INDEX(_imp!$D$4:$D$4503,_imp!$C$1151))</f>
        <v/>
      </c>
      <c r="B1149" s="54">
        <f>IF(_imp!$C$1151="","",INDEX(_imp!$E$4:$E$4503,_imp!$C$1151))</f>
        <v/>
      </c>
      <c r="C1149" s="54">
        <f>IF(_imp!$C$1151="","",INDEX(_imp!$F$4:$F$4503,_imp!$C$1151))</f>
        <v/>
      </c>
      <c r="D1149" s="54">
        <f>IF(_imp!$C$1151="","",INDEX(_imp!$G$4:$G$4503,_imp!$C$1151))</f>
        <v/>
      </c>
      <c r="E1149" s="54">
        <f>IF(_imp!$C$1151="","",INDEX(_imp!$H$4:$H$4503,_imp!$C$1151))</f>
        <v/>
      </c>
      <c r="F1149" s="54">
        <f>IF(_imp!$C$1151="","",INDEX(_imp!$I$4:$I$4503,_imp!$C$1151))</f>
        <v/>
      </c>
      <c r="G1149" s="54">
        <f>IF(_imp!$C$1151="","",INDEX(_imp!$J$4:$J$4503,_imp!$C$1151))</f>
        <v/>
      </c>
      <c r="K1149" s="54">
        <f>IF(_imp!$C$1151="","",INDEX(_imp!$K$4:$K$4503,_imp!$C$1151))</f>
        <v/>
      </c>
    </row>
    <row r="1150">
      <c r="A1150" s="54">
        <f>IF(_imp!$C$1152="","",INDEX(_imp!$D$4:$D$4503,_imp!$C$1152))</f>
        <v/>
      </c>
      <c r="B1150" s="54">
        <f>IF(_imp!$C$1152="","",INDEX(_imp!$E$4:$E$4503,_imp!$C$1152))</f>
        <v/>
      </c>
      <c r="C1150" s="54">
        <f>IF(_imp!$C$1152="","",INDEX(_imp!$F$4:$F$4503,_imp!$C$1152))</f>
        <v/>
      </c>
      <c r="D1150" s="54">
        <f>IF(_imp!$C$1152="","",INDEX(_imp!$G$4:$G$4503,_imp!$C$1152))</f>
        <v/>
      </c>
      <c r="E1150" s="54">
        <f>IF(_imp!$C$1152="","",INDEX(_imp!$H$4:$H$4503,_imp!$C$1152))</f>
        <v/>
      </c>
      <c r="F1150" s="54">
        <f>IF(_imp!$C$1152="","",INDEX(_imp!$I$4:$I$4503,_imp!$C$1152))</f>
        <v/>
      </c>
      <c r="G1150" s="54">
        <f>IF(_imp!$C$1152="","",INDEX(_imp!$J$4:$J$4503,_imp!$C$1152))</f>
        <v/>
      </c>
      <c r="K1150" s="54">
        <f>IF(_imp!$C$1152="","",INDEX(_imp!$K$4:$K$4503,_imp!$C$1152))</f>
        <v/>
      </c>
    </row>
    <row r="1151">
      <c r="A1151" s="54">
        <f>IF(_imp!$C$1153="","",INDEX(_imp!$D$4:$D$4503,_imp!$C$1153))</f>
        <v/>
      </c>
      <c r="B1151" s="54">
        <f>IF(_imp!$C$1153="","",INDEX(_imp!$E$4:$E$4503,_imp!$C$1153))</f>
        <v/>
      </c>
      <c r="C1151" s="54">
        <f>IF(_imp!$C$1153="","",INDEX(_imp!$F$4:$F$4503,_imp!$C$1153))</f>
        <v/>
      </c>
      <c r="D1151" s="54">
        <f>IF(_imp!$C$1153="","",INDEX(_imp!$G$4:$G$4503,_imp!$C$1153))</f>
        <v/>
      </c>
      <c r="E1151" s="54">
        <f>IF(_imp!$C$1153="","",INDEX(_imp!$H$4:$H$4503,_imp!$C$1153))</f>
        <v/>
      </c>
      <c r="F1151" s="54">
        <f>IF(_imp!$C$1153="","",INDEX(_imp!$I$4:$I$4503,_imp!$C$1153))</f>
        <v/>
      </c>
      <c r="G1151" s="54">
        <f>IF(_imp!$C$1153="","",INDEX(_imp!$J$4:$J$4503,_imp!$C$1153))</f>
        <v/>
      </c>
      <c r="K1151" s="54">
        <f>IF(_imp!$C$1153="","",INDEX(_imp!$K$4:$K$4503,_imp!$C$1153))</f>
        <v/>
      </c>
    </row>
    <row r="1152">
      <c r="A1152" s="54">
        <f>IF(_imp!$C$1154="","",INDEX(_imp!$D$4:$D$4503,_imp!$C$1154))</f>
        <v/>
      </c>
      <c r="B1152" s="54">
        <f>IF(_imp!$C$1154="","",INDEX(_imp!$E$4:$E$4503,_imp!$C$1154))</f>
        <v/>
      </c>
      <c r="C1152" s="54">
        <f>IF(_imp!$C$1154="","",INDEX(_imp!$F$4:$F$4503,_imp!$C$1154))</f>
        <v/>
      </c>
      <c r="D1152" s="54">
        <f>IF(_imp!$C$1154="","",INDEX(_imp!$G$4:$G$4503,_imp!$C$1154))</f>
        <v/>
      </c>
      <c r="E1152" s="54">
        <f>IF(_imp!$C$1154="","",INDEX(_imp!$H$4:$H$4503,_imp!$C$1154))</f>
        <v/>
      </c>
      <c r="F1152" s="54">
        <f>IF(_imp!$C$1154="","",INDEX(_imp!$I$4:$I$4503,_imp!$C$1154))</f>
        <v/>
      </c>
      <c r="G1152" s="54">
        <f>IF(_imp!$C$1154="","",INDEX(_imp!$J$4:$J$4503,_imp!$C$1154))</f>
        <v/>
      </c>
      <c r="K1152" s="54">
        <f>IF(_imp!$C$1154="","",INDEX(_imp!$K$4:$K$4503,_imp!$C$1154))</f>
        <v/>
      </c>
    </row>
    <row r="1153">
      <c r="A1153" s="54">
        <f>IF(_imp!$C$1155="","",INDEX(_imp!$D$4:$D$4503,_imp!$C$1155))</f>
        <v/>
      </c>
      <c r="B1153" s="54">
        <f>IF(_imp!$C$1155="","",INDEX(_imp!$E$4:$E$4503,_imp!$C$1155))</f>
        <v/>
      </c>
      <c r="C1153" s="54">
        <f>IF(_imp!$C$1155="","",INDEX(_imp!$F$4:$F$4503,_imp!$C$1155))</f>
        <v/>
      </c>
      <c r="D1153" s="54">
        <f>IF(_imp!$C$1155="","",INDEX(_imp!$G$4:$G$4503,_imp!$C$1155))</f>
        <v/>
      </c>
      <c r="E1153" s="54">
        <f>IF(_imp!$C$1155="","",INDEX(_imp!$H$4:$H$4503,_imp!$C$1155))</f>
        <v/>
      </c>
      <c r="F1153" s="54">
        <f>IF(_imp!$C$1155="","",INDEX(_imp!$I$4:$I$4503,_imp!$C$1155))</f>
        <v/>
      </c>
      <c r="G1153" s="54">
        <f>IF(_imp!$C$1155="","",INDEX(_imp!$J$4:$J$4503,_imp!$C$1155))</f>
        <v/>
      </c>
      <c r="K1153" s="54">
        <f>IF(_imp!$C$1155="","",INDEX(_imp!$K$4:$K$4503,_imp!$C$1155))</f>
        <v/>
      </c>
    </row>
    <row r="1154">
      <c r="A1154" s="54">
        <f>IF(_imp!$C$1156="","",INDEX(_imp!$D$4:$D$4503,_imp!$C$1156))</f>
        <v/>
      </c>
      <c r="B1154" s="54">
        <f>IF(_imp!$C$1156="","",INDEX(_imp!$E$4:$E$4503,_imp!$C$1156))</f>
        <v/>
      </c>
      <c r="C1154" s="54">
        <f>IF(_imp!$C$1156="","",INDEX(_imp!$F$4:$F$4503,_imp!$C$1156))</f>
        <v/>
      </c>
      <c r="D1154" s="54">
        <f>IF(_imp!$C$1156="","",INDEX(_imp!$G$4:$G$4503,_imp!$C$1156))</f>
        <v/>
      </c>
      <c r="E1154" s="54">
        <f>IF(_imp!$C$1156="","",INDEX(_imp!$H$4:$H$4503,_imp!$C$1156))</f>
        <v/>
      </c>
      <c r="F1154" s="54">
        <f>IF(_imp!$C$1156="","",INDEX(_imp!$I$4:$I$4503,_imp!$C$1156))</f>
        <v/>
      </c>
      <c r="G1154" s="54">
        <f>IF(_imp!$C$1156="","",INDEX(_imp!$J$4:$J$4503,_imp!$C$1156))</f>
        <v/>
      </c>
      <c r="K1154" s="54">
        <f>IF(_imp!$C$1156="","",INDEX(_imp!$K$4:$K$4503,_imp!$C$1156))</f>
        <v/>
      </c>
    </row>
    <row r="1155">
      <c r="A1155" s="54">
        <f>IF(_imp!$C$1157="","",INDEX(_imp!$D$4:$D$4503,_imp!$C$1157))</f>
        <v/>
      </c>
      <c r="B1155" s="54">
        <f>IF(_imp!$C$1157="","",INDEX(_imp!$E$4:$E$4503,_imp!$C$1157))</f>
        <v/>
      </c>
      <c r="C1155" s="54">
        <f>IF(_imp!$C$1157="","",INDEX(_imp!$F$4:$F$4503,_imp!$C$1157))</f>
        <v/>
      </c>
      <c r="D1155" s="54">
        <f>IF(_imp!$C$1157="","",INDEX(_imp!$G$4:$G$4503,_imp!$C$1157))</f>
        <v/>
      </c>
      <c r="E1155" s="54">
        <f>IF(_imp!$C$1157="","",INDEX(_imp!$H$4:$H$4503,_imp!$C$1157))</f>
        <v/>
      </c>
      <c r="F1155" s="54">
        <f>IF(_imp!$C$1157="","",INDEX(_imp!$I$4:$I$4503,_imp!$C$1157))</f>
        <v/>
      </c>
      <c r="G1155" s="54">
        <f>IF(_imp!$C$1157="","",INDEX(_imp!$J$4:$J$4503,_imp!$C$1157))</f>
        <v/>
      </c>
      <c r="K1155" s="54">
        <f>IF(_imp!$C$1157="","",INDEX(_imp!$K$4:$K$4503,_imp!$C$1157))</f>
        <v/>
      </c>
    </row>
    <row r="1156">
      <c r="A1156" s="54">
        <f>IF(_imp!$C$1158="","",INDEX(_imp!$D$4:$D$4503,_imp!$C$1158))</f>
        <v/>
      </c>
      <c r="B1156" s="54">
        <f>IF(_imp!$C$1158="","",INDEX(_imp!$E$4:$E$4503,_imp!$C$1158))</f>
        <v/>
      </c>
      <c r="C1156" s="54">
        <f>IF(_imp!$C$1158="","",INDEX(_imp!$F$4:$F$4503,_imp!$C$1158))</f>
        <v/>
      </c>
      <c r="D1156" s="54">
        <f>IF(_imp!$C$1158="","",INDEX(_imp!$G$4:$G$4503,_imp!$C$1158))</f>
        <v/>
      </c>
      <c r="E1156" s="54">
        <f>IF(_imp!$C$1158="","",INDEX(_imp!$H$4:$H$4503,_imp!$C$1158))</f>
        <v/>
      </c>
      <c r="F1156" s="54">
        <f>IF(_imp!$C$1158="","",INDEX(_imp!$I$4:$I$4503,_imp!$C$1158))</f>
        <v/>
      </c>
      <c r="G1156" s="54">
        <f>IF(_imp!$C$1158="","",INDEX(_imp!$J$4:$J$4503,_imp!$C$1158))</f>
        <v/>
      </c>
      <c r="K1156" s="54">
        <f>IF(_imp!$C$1158="","",INDEX(_imp!$K$4:$K$4503,_imp!$C$1158))</f>
        <v/>
      </c>
    </row>
    <row r="1157">
      <c r="A1157" s="54">
        <f>IF(_imp!$C$1159="","",INDEX(_imp!$D$4:$D$4503,_imp!$C$1159))</f>
        <v/>
      </c>
      <c r="B1157" s="54">
        <f>IF(_imp!$C$1159="","",INDEX(_imp!$E$4:$E$4503,_imp!$C$1159))</f>
        <v/>
      </c>
      <c r="C1157" s="54">
        <f>IF(_imp!$C$1159="","",INDEX(_imp!$F$4:$F$4503,_imp!$C$1159))</f>
        <v/>
      </c>
      <c r="D1157" s="54">
        <f>IF(_imp!$C$1159="","",INDEX(_imp!$G$4:$G$4503,_imp!$C$1159))</f>
        <v/>
      </c>
      <c r="E1157" s="54">
        <f>IF(_imp!$C$1159="","",INDEX(_imp!$H$4:$H$4503,_imp!$C$1159))</f>
        <v/>
      </c>
      <c r="F1157" s="54">
        <f>IF(_imp!$C$1159="","",INDEX(_imp!$I$4:$I$4503,_imp!$C$1159))</f>
        <v/>
      </c>
      <c r="G1157" s="54">
        <f>IF(_imp!$C$1159="","",INDEX(_imp!$J$4:$J$4503,_imp!$C$1159))</f>
        <v/>
      </c>
      <c r="K1157" s="54">
        <f>IF(_imp!$C$1159="","",INDEX(_imp!$K$4:$K$4503,_imp!$C$1159))</f>
        <v/>
      </c>
    </row>
    <row r="1158">
      <c r="A1158" s="54">
        <f>IF(_imp!$C$1160="","",INDEX(_imp!$D$4:$D$4503,_imp!$C$1160))</f>
        <v/>
      </c>
      <c r="B1158" s="54">
        <f>IF(_imp!$C$1160="","",INDEX(_imp!$E$4:$E$4503,_imp!$C$1160))</f>
        <v/>
      </c>
      <c r="C1158" s="54">
        <f>IF(_imp!$C$1160="","",INDEX(_imp!$F$4:$F$4503,_imp!$C$1160))</f>
        <v/>
      </c>
      <c r="D1158" s="54">
        <f>IF(_imp!$C$1160="","",INDEX(_imp!$G$4:$G$4503,_imp!$C$1160))</f>
        <v/>
      </c>
      <c r="E1158" s="54">
        <f>IF(_imp!$C$1160="","",INDEX(_imp!$H$4:$H$4503,_imp!$C$1160))</f>
        <v/>
      </c>
      <c r="F1158" s="54">
        <f>IF(_imp!$C$1160="","",INDEX(_imp!$I$4:$I$4503,_imp!$C$1160))</f>
        <v/>
      </c>
      <c r="G1158" s="54">
        <f>IF(_imp!$C$1160="","",INDEX(_imp!$J$4:$J$4503,_imp!$C$1160))</f>
        <v/>
      </c>
      <c r="K1158" s="54">
        <f>IF(_imp!$C$1160="","",INDEX(_imp!$K$4:$K$4503,_imp!$C$1160))</f>
        <v/>
      </c>
    </row>
    <row r="1159">
      <c r="A1159" s="54">
        <f>IF(_imp!$C$1161="","",INDEX(_imp!$D$4:$D$4503,_imp!$C$1161))</f>
        <v/>
      </c>
      <c r="B1159" s="54">
        <f>IF(_imp!$C$1161="","",INDEX(_imp!$E$4:$E$4503,_imp!$C$1161))</f>
        <v/>
      </c>
      <c r="C1159" s="54">
        <f>IF(_imp!$C$1161="","",INDEX(_imp!$F$4:$F$4503,_imp!$C$1161))</f>
        <v/>
      </c>
      <c r="D1159" s="54">
        <f>IF(_imp!$C$1161="","",INDEX(_imp!$G$4:$G$4503,_imp!$C$1161))</f>
        <v/>
      </c>
      <c r="E1159" s="54">
        <f>IF(_imp!$C$1161="","",INDEX(_imp!$H$4:$H$4503,_imp!$C$1161))</f>
        <v/>
      </c>
      <c r="F1159" s="54">
        <f>IF(_imp!$C$1161="","",INDEX(_imp!$I$4:$I$4503,_imp!$C$1161))</f>
        <v/>
      </c>
      <c r="G1159" s="54">
        <f>IF(_imp!$C$1161="","",INDEX(_imp!$J$4:$J$4503,_imp!$C$1161))</f>
        <v/>
      </c>
      <c r="K1159" s="54">
        <f>IF(_imp!$C$1161="","",INDEX(_imp!$K$4:$K$4503,_imp!$C$1161))</f>
        <v/>
      </c>
    </row>
    <row r="1160">
      <c r="A1160" s="54">
        <f>IF(_imp!$C$1162="","",INDEX(_imp!$D$4:$D$4503,_imp!$C$1162))</f>
        <v/>
      </c>
      <c r="B1160" s="54">
        <f>IF(_imp!$C$1162="","",INDEX(_imp!$E$4:$E$4503,_imp!$C$1162))</f>
        <v/>
      </c>
      <c r="C1160" s="54">
        <f>IF(_imp!$C$1162="","",INDEX(_imp!$F$4:$F$4503,_imp!$C$1162))</f>
        <v/>
      </c>
      <c r="D1160" s="54">
        <f>IF(_imp!$C$1162="","",INDEX(_imp!$G$4:$G$4503,_imp!$C$1162))</f>
        <v/>
      </c>
      <c r="E1160" s="54">
        <f>IF(_imp!$C$1162="","",INDEX(_imp!$H$4:$H$4503,_imp!$C$1162))</f>
        <v/>
      </c>
      <c r="F1160" s="54">
        <f>IF(_imp!$C$1162="","",INDEX(_imp!$I$4:$I$4503,_imp!$C$1162))</f>
        <v/>
      </c>
      <c r="G1160" s="54">
        <f>IF(_imp!$C$1162="","",INDEX(_imp!$J$4:$J$4503,_imp!$C$1162))</f>
        <v/>
      </c>
      <c r="K1160" s="54">
        <f>IF(_imp!$C$1162="","",INDEX(_imp!$K$4:$K$4503,_imp!$C$1162))</f>
        <v/>
      </c>
    </row>
    <row r="1161">
      <c r="A1161" s="54">
        <f>IF(_imp!$C$1163="","",INDEX(_imp!$D$4:$D$4503,_imp!$C$1163))</f>
        <v/>
      </c>
      <c r="B1161" s="54">
        <f>IF(_imp!$C$1163="","",INDEX(_imp!$E$4:$E$4503,_imp!$C$1163))</f>
        <v/>
      </c>
      <c r="C1161" s="54">
        <f>IF(_imp!$C$1163="","",INDEX(_imp!$F$4:$F$4503,_imp!$C$1163))</f>
        <v/>
      </c>
      <c r="D1161" s="54">
        <f>IF(_imp!$C$1163="","",INDEX(_imp!$G$4:$G$4503,_imp!$C$1163))</f>
        <v/>
      </c>
      <c r="E1161" s="54">
        <f>IF(_imp!$C$1163="","",INDEX(_imp!$H$4:$H$4503,_imp!$C$1163))</f>
        <v/>
      </c>
      <c r="F1161" s="54">
        <f>IF(_imp!$C$1163="","",INDEX(_imp!$I$4:$I$4503,_imp!$C$1163))</f>
        <v/>
      </c>
      <c r="G1161" s="54">
        <f>IF(_imp!$C$1163="","",INDEX(_imp!$J$4:$J$4503,_imp!$C$1163))</f>
        <v/>
      </c>
      <c r="K1161" s="54">
        <f>IF(_imp!$C$1163="","",INDEX(_imp!$K$4:$K$4503,_imp!$C$1163))</f>
        <v/>
      </c>
    </row>
    <row r="1162">
      <c r="A1162" s="54">
        <f>IF(_imp!$C$1164="","",INDEX(_imp!$D$4:$D$4503,_imp!$C$1164))</f>
        <v/>
      </c>
      <c r="B1162" s="54">
        <f>IF(_imp!$C$1164="","",INDEX(_imp!$E$4:$E$4503,_imp!$C$1164))</f>
        <v/>
      </c>
      <c r="C1162" s="54">
        <f>IF(_imp!$C$1164="","",INDEX(_imp!$F$4:$F$4503,_imp!$C$1164))</f>
        <v/>
      </c>
      <c r="D1162" s="54">
        <f>IF(_imp!$C$1164="","",INDEX(_imp!$G$4:$G$4503,_imp!$C$1164))</f>
        <v/>
      </c>
      <c r="E1162" s="54">
        <f>IF(_imp!$C$1164="","",INDEX(_imp!$H$4:$H$4503,_imp!$C$1164))</f>
        <v/>
      </c>
      <c r="F1162" s="54">
        <f>IF(_imp!$C$1164="","",INDEX(_imp!$I$4:$I$4503,_imp!$C$1164))</f>
        <v/>
      </c>
      <c r="G1162" s="54">
        <f>IF(_imp!$C$1164="","",INDEX(_imp!$J$4:$J$4503,_imp!$C$1164))</f>
        <v/>
      </c>
      <c r="K1162" s="54">
        <f>IF(_imp!$C$1164="","",INDEX(_imp!$K$4:$K$4503,_imp!$C$1164))</f>
        <v/>
      </c>
    </row>
    <row r="1163">
      <c r="A1163" s="54">
        <f>IF(_imp!$C$1165="","",INDEX(_imp!$D$4:$D$4503,_imp!$C$1165))</f>
        <v/>
      </c>
      <c r="B1163" s="54">
        <f>IF(_imp!$C$1165="","",INDEX(_imp!$E$4:$E$4503,_imp!$C$1165))</f>
        <v/>
      </c>
      <c r="C1163" s="54">
        <f>IF(_imp!$C$1165="","",INDEX(_imp!$F$4:$F$4503,_imp!$C$1165))</f>
        <v/>
      </c>
      <c r="D1163" s="54">
        <f>IF(_imp!$C$1165="","",INDEX(_imp!$G$4:$G$4503,_imp!$C$1165))</f>
        <v/>
      </c>
      <c r="E1163" s="54">
        <f>IF(_imp!$C$1165="","",INDEX(_imp!$H$4:$H$4503,_imp!$C$1165))</f>
        <v/>
      </c>
      <c r="F1163" s="54">
        <f>IF(_imp!$C$1165="","",INDEX(_imp!$I$4:$I$4503,_imp!$C$1165))</f>
        <v/>
      </c>
      <c r="G1163" s="54">
        <f>IF(_imp!$C$1165="","",INDEX(_imp!$J$4:$J$4503,_imp!$C$1165))</f>
        <v/>
      </c>
      <c r="K1163" s="54">
        <f>IF(_imp!$C$1165="","",INDEX(_imp!$K$4:$K$4503,_imp!$C$1165))</f>
        <v/>
      </c>
    </row>
    <row r="1164">
      <c r="A1164" s="54">
        <f>IF(_imp!$C$1166="","",INDEX(_imp!$D$4:$D$4503,_imp!$C$1166))</f>
        <v/>
      </c>
      <c r="B1164" s="54">
        <f>IF(_imp!$C$1166="","",INDEX(_imp!$E$4:$E$4503,_imp!$C$1166))</f>
        <v/>
      </c>
      <c r="C1164" s="54">
        <f>IF(_imp!$C$1166="","",INDEX(_imp!$F$4:$F$4503,_imp!$C$1166))</f>
        <v/>
      </c>
      <c r="D1164" s="54">
        <f>IF(_imp!$C$1166="","",INDEX(_imp!$G$4:$G$4503,_imp!$C$1166))</f>
        <v/>
      </c>
      <c r="E1164" s="54">
        <f>IF(_imp!$C$1166="","",INDEX(_imp!$H$4:$H$4503,_imp!$C$1166))</f>
        <v/>
      </c>
      <c r="F1164" s="54">
        <f>IF(_imp!$C$1166="","",INDEX(_imp!$I$4:$I$4503,_imp!$C$1166))</f>
        <v/>
      </c>
      <c r="G1164" s="54">
        <f>IF(_imp!$C$1166="","",INDEX(_imp!$J$4:$J$4503,_imp!$C$1166))</f>
        <v/>
      </c>
      <c r="K1164" s="54">
        <f>IF(_imp!$C$1166="","",INDEX(_imp!$K$4:$K$4503,_imp!$C$1166))</f>
        <v/>
      </c>
    </row>
    <row r="1165">
      <c r="A1165" s="54">
        <f>IF(_imp!$C$1167="","",INDEX(_imp!$D$4:$D$4503,_imp!$C$1167))</f>
        <v/>
      </c>
      <c r="B1165" s="54">
        <f>IF(_imp!$C$1167="","",INDEX(_imp!$E$4:$E$4503,_imp!$C$1167))</f>
        <v/>
      </c>
      <c r="C1165" s="54">
        <f>IF(_imp!$C$1167="","",INDEX(_imp!$F$4:$F$4503,_imp!$C$1167))</f>
        <v/>
      </c>
      <c r="D1165" s="54">
        <f>IF(_imp!$C$1167="","",INDEX(_imp!$G$4:$G$4503,_imp!$C$1167))</f>
        <v/>
      </c>
      <c r="E1165" s="54">
        <f>IF(_imp!$C$1167="","",INDEX(_imp!$H$4:$H$4503,_imp!$C$1167))</f>
        <v/>
      </c>
      <c r="F1165" s="54">
        <f>IF(_imp!$C$1167="","",INDEX(_imp!$I$4:$I$4503,_imp!$C$1167))</f>
        <v/>
      </c>
      <c r="G1165" s="54">
        <f>IF(_imp!$C$1167="","",INDEX(_imp!$J$4:$J$4503,_imp!$C$1167))</f>
        <v/>
      </c>
      <c r="K1165" s="54">
        <f>IF(_imp!$C$1167="","",INDEX(_imp!$K$4:$K$4503,_imp!$C$1167))</f>
        <v/>
      </c>
    </row>
    <row r="1166">
      <c r="A1166" s="54">
        <f>IF(_imp!$C$1168="","",INDEX(_imp!$D$4:$D$4503,_imp!$C$1168))</f>
        <v/>
      </c>
      <c r="B1166" s="54">
        <f>IF(_imp!$C$1168="","",INDEX(_imp!$E$4:$E$4503,_imp!$C$1168))</f>
        <v/>
      </c>
      <c r="C1166" s="54">
        <f>IF(_imp!$C$1168="","",INDEX(_imp!$F$4:$F$4503,_imp!$C$1168))</f>
        <v/>
      </c>
      <c r="D1166" s="54">
        <f>IF(_imp!$C$1168="","",INDEX(_imp!$G$4:$G$4503,_imp!$C$1168))</f>
        <v/>
      </c>
      <c r="E1166" s="54">
        <f>IF(_imp!$C$1168="","",INDEX(_imp!$H$4:$H$4503,_imp!$C$1168))</f>
        <v/>
      </c>
      <c r="F1166" s="54">
        <f>IF(_imp!$C$1168="","",INDEX(_imp!$I$4:$I$4503,_imp!$C$1168))</f>
        <v/>
      </c>
      <c r="G1166" s="54">
        <f>IF(_imp!$C$1168="","",INDEX(_imp!$J$4:$J$4503,_imp!$C$1168))</f>
        <v/>
      </c>
      <c r="K1166" s="54">
        <f>IF(_imp!$C$1168="","",INDEX(_imp!$K$4:$K$4503,_imp!$C$1168))</f>
        <v/>
      </c>
    </row>
    <row r="1167">
      <c r="A1167" s="54">
        <f>IF(_imp!$C$1169="","",INDEX(_imp!$D$4:$D$4503,_imp!$C$1169))</f>
        <v/>
      </c>
      <c r="B1167" s="54">
        <f>IF(_imp!$C$1169="","",INDEX(_imp!$E$4:$E$4503,_imp!$C$1169))</f>
        <v/>
      </c>
      <c r="C1167" s="54">
        <f>IF(_imp!$C$1169="","",INDEX(_imp!$F$4:$F$4503,_imp!$C$1169))</f>
        <v/>
      </c>
      <c r="D1167" s="54">
        <f>IF(_imp!$C$1169="","",INDEX(_imp!$G$4:$G$4503,_imp!$C$1169))</f>
        <v/>
      </c>
      <c r="E1167" s="54">
        <f>IF(_imp!$C$1169="","",INDEX(_imp!$H$4:$H$4503,_imp!$C$1169))</f>
        <v/>
      </c>
      <c r="F1167" s="54">
        <f>IF(_imp!$C$1169="","",INDEX(_imp!$I$4:$I$4503,_imp!$C$1169))</f>
        <v/>
      </c>
      <c r="G1167" s="54">
        <f>IF(_imp!$C$1169="","",INDEX(_imp!$J$4:$J$4503,_imp!$C$1169))</f>
        <v/>
      </c>
      <c r="K1167" s="54">
        <f>IF(_imp!$C$1169="","",INDEX(_imp!$K$4:$K$4503,_imp!$C$1169))</f>
        <v/>
      </c>
    </row>
    <row r="1168">
      <c r="A1168" s="54">
        <f>IF(_imp!$C$1170="","",INDEX(_imp!$D$4:$D$4503,_imp!$C$1170))</f>
        <v/>
      </c>
      <c r="B1168" s="54">
        <f>IF(_imp!$C$1170="","",INDEX(_imp!$E$4:$E$4503,_imp!$C$1170))</f>
        <v/>
      </c>
      <c r="C1168" s="54">
        <f>IF(_imp!$C$1170="","",INDEX(_imp!$F$4:$F$4503,_imp!$C$1170))</f>
        <v/>
      </c>
      <c r="D1168" s="54">
        <f>IF(_imp!$C$1170="","",INDEX(_imp!$G$4:$G$4503,_imp!$C$1170))</f>
        <v/>
      </c>
      <c r="E1168" s="54">
        <f>IF(_imp!$C$1170="","",INDEX(_imp!$H$4:$H$4503,_imp!$C$1170))</f>
        <v/>
      </c>
      <c r="F1168" s="54">
        <f>IF(_imp!$C$1170="","",INDEX(_imp!$I$4:$I$4503,_imp!$C$1170))</f>
        <v/>
      </c>
      <c r="G1168" s="54">
        <f>IF(_imp!$C$1170="","",INDEX(_imp!$J$4:$J$4503,_imp!$C$1170))</f>
        <v/>
      </c>
      <c r="K1168" s="54">
        <f>IF(_imp!$C$1170="","",INDEX(_imp!$K$4:$K$4503,_imp!$C$1170))</f>
        <v/>
      </c>
    </row>
    <row r="1169">
      <c r="A1169" s="54">
        <f>IF(_imp!$C$1171="","",INDEX(_imp!$D$4:$D$4503,_imp!$C$1171))</f>
        <v/>
      </c>
      <c r="B1169" s="54">
        <f>IF(_imp!$C$1171="","",INDEX(_imp!$E$4:$E$4503,_imp!$C$1171))</f>
        <v/>
      </c>
      <c r="C1169" s="54">
        <f>IF(_imp!$C$1171="","",INDEX(_imp!$F$4:$F$4503,_imp!$C$1171))</f>
        <v/>
      </c>
      <c r="D1169" s="54">
        <f>IF(_imp!$C$1171="","",INDEX(_imp!$G$4:$G$4503,_imp!$C$1171))</f>
        <v/>
      </c>
      <c r="E1169" s="54">
        <f>IF(_imp!$C$1171="","",INDEX(_imp!$H$4:$H$4503,_imp!$C$1171))</f>
        <v/>
      </c>
      <c r="F1169" s="54">
        <f>IF(_imp!$C$1171="","",INDEX(_imp!$I$4:$I$4503,_imp!$C$1171))</f>
        <v/>
      </c>
      <c r="G1169" s="54">
        <f>IF(_imp!$C$1171="","",INDEX(_imp!$J$4:$J$4503,_imp!$C$1171))</f>
        <v/>
      </c>
      <c r="K1169" s="54">
        <f>IF(_imp!$C$1171="","",INDEX(_imp!$K$4:$K$4503,_imp!$C$1171))</f>
        <v/>
      </c>
    </row>
    <row r="1170">
      <c r="A1170" s="54">
        <f>IF(_imp!$C$1172="","",INDEX(_imp!$D$4:$D$4503,_imp!$C$1172))</f>
        <v/>
      </c>
      <c r="B1170" s="54">
        <f>IF(_imp!$C$1172="","",INDEX(_imp!$E$4:$E$4503,_imp!$C$1172))</f>
        <v/>
      </c>
      <c r="C1170" s="54">
        <f>IF(_imp!$C$1172="","",INDEX(_imp!$F$4:$F$4503,_imp!$C$1172))</f>
        <v/>
      </c>
      <c r="D1170" s="54">
        <f>IF(_imp!$C$1172="","",INDEX(_imp!$G$4:$G$4503,_imp!$C$1172))</f>
        <v/>
      </c>
      <c r="E1170" s="54">
        <f>IF(_imp!$C$1172="","",INDEX(_imp!$H$4:$H$4503,_imp!$C$1172))</f>
        <v/>
      </c>
      <c r="F1170" s="54">
        <f>IF(_imp!$C$1172="","",INDEX(_imp!$I$4:$I$4503,_imp!$C$1172))</f>
        <v/>
      </c>
      <c r="G1170" s="54">
        <f>IF(_imp!$C$1172="","",INDEX(_imp!$J$4:$J$4503,_imp!$C$1172))</f>
        <v/>
      </c>
      <c r="K1170" s="54">
        <f>IF(_imp!$C$1172="","",INDEX(_imp!$K$4:$K$4503,_imp!$C$1172))</f>
        <v/>
      </c>
    </row>
    <row r="1171">
      <c r="A1171" s="54">
        <f>IF(_imp!$C$1173="","",INDEX(_imp!$D$4:$D$4503,_imp!$C$1173))</f>
        <v/>
      </c>
      <c r="B1171" s="54">
        <f>IF(_imp!$C$1173="","",INDEX(_imp!$E$4:$E$4503,_imp!$C$1173))</f>
        <v/>
      </c>
      <c r="C1171" s="54">
        <f>IF(_imp!$C$1173="","",INDEX(_imp!$F$4:$F$4503,_imp!$C$1173))</f>
        <v/>
      </c>
      <c r="D1171" s="54">
        <f>IF(_imp!$C$1173="","",INDEX(_imp!$G$4:$G$4503,_imp!$C$1173))</f>
        <v/>
      </c>
      <c r="E1171" s="54">
        <f>IF(_imp!$C$1173="","",INDEX(_imp!$H$4:$H$4503,_imp!$C$1173))</f>
        <v/>
      </c>
      <c r="F1171" s="54">
        <f>IF(_imp!$C$1173="","",INDEX(_imp!$I$4:$I$4503,_imp!$C$1173))</f>
        <v/>
      </c>
      <c r="G1171" s="54">
        <f>IF(_imp!$C$1173="","",INDEX(_imp!$J$4:$J$4503,_imp!$C$1173))</f>
        <v/>
      </c>
      <c r="K1171" s="54">
        <f>IF(_imp!$C$1173="","",INDEX(_imp!$K$4:$K$4503,_imp!$C$1173))</f>
        <v/>
      </c>
    </row>
    <row r="1172">
      <c r="A1172" s="54">
        <f>IF(_imp!$C$1174="","",INDEX(_imp!$D$4:$D$4503,_imp!$C$1174))</f>
        <v/>
      </c>
      <c r="B1172" s="54">
        <f>IF(_imp!$C$1174="","",INDEX(_imp!$E$4:$E$4503,_imp!$C$1174))</f>
        <v/>
      </c>
      <c r="C1172" s="54">
        <f>IF(_imp!$C$1174="","",INDEX(_imp!$F$4:$F$4503,_imp!$C$1174))</f>
        <v/>
      </c>
      <c r="D1172" s="54">
        <f>IF(_imp!$C$1174="","",INDEX(_imp!$G$4:$G$4503,_imp!$C$1174))</f>
        <v/>
      </c>
      <c r="E1172" s="54">
        <f>IF(_imp!$C$1174="","",INDEX(_imp!$H$4:$H$4503,_imp!$C$1174))</f>
        <v/>
      </c>
      <c r="F1172" s="54">
        <f>IF(_imp!$C$1174="","",INDEX(_imp!$I$4:$I$4503,_imp!$C$1174))</f>
        <v/>
      </c>
      <c r="G1172" s="54">
        <f>IF(_imp!$C$1174="","",INDEX(_imp!$J$4:$J$4503,_imp!$C$1174))</f>
        <v/>
      </c>
      <c r="K1172" s="54">
        <f>IF(_imp!$C$1174="","",INDEX(_imp!$K$4:$K$4503,_imp!$C$1174))</f>
        <v/>
      </c>
    </row>
    <row r="1173">
      <c r="A1173" s="54">
        <f>IF(_imp!$C$1175="","",INDEX(_imp!$D$4:$D$4503,_imp!$C$1175))</f>
        <v/>
      </c>
      <c r="B1173" s="54">
        <f>IF(_imp!$C$1175="","",INDEX(_imp!$E$4:$E$4503,_imp!$C$1175))</f>
        <v/>
      </c>
      <c r="C1173" s="54">
        <f>IF(_imp!$C$1175="","",INDEX(_imp!$F$4:$F$4503,_imp!$C$1175))</f>
        <v/>
      </c>
      <c r="D1173" s="54">
        <f>IF(_imp!$C$1175="","",INDEX(_imp!$G$4:$G$4503,_imp!$C$1175))</f>
        <v/>
      </c>
      <c r="E1173" s="54">
        <f>IF(_imp!$C$1175="","",INDEX(_imp!$H$4:$H$4503,_imp!$C$1175))</f>
        <v/>
      </c>
      <c r="F1173" s="54">
        <f>IF(_imp!$C$1175="","",INDEX(_imp!$I$4:$I$4503,_imp!$C$1175))</f>
        <v/>
      </c>
      <c r="G1173" s="54">
        <f>IF(_imp!$C$1175="","",INDEX(_imp!$J$4:$J$4503,_imp!$C$1175))</f>
        <v/>
      </c>
      <c r="K1173" s="54">
        <f>IF(_imp!$C$1175="","",INDEX(_imp!$K$4:$K$4503,_imp!$C$1175))</f>
        <v/>
      </c>
    </row>
    <row r="1174">
      <c r="A1174" s="54">
        <f>IF(_imp!$C$1176="","",INDEX(_imp!$D$4:$D$4503,_imp!$C$1176))</f>
        <v/>
      </c>
      <c r="B1174" s="54">
        <f>IF(_imp!$C$1176="","",INDEX(_imp!$E$4:$E$4503,_imp!$C$1176))</f>
        <v/>
      </c>
      <c r="C1174" s="54">
        <f>IF(_imp!$C$1176="","",INDEX(_imp!$F$4:$F$4503,_imp!$C$1176))</f>
        <v/>
      </c>
      <c r="D1174" s="54">
        <f>IF(_imp!$C$1176="","",INDEX(_imp!$G$4:$G$4503,_imp!$C$1176))</f>
        <v/>
      </c>
      <c r="E1174" s="54">
        <f>IF(_imp!$C$1176="","",INDEX(_imp!$H$4:$H$4503,_imp!$C$1176))</f>
        <v/>
      </c>
      <c r="F1174" s="54">
        <f>IF(_imp!$C$1176="","",INDEX(_imp!$I$4:$I$4503,_imp!$C$1176))</f>
        <v/>
      </c>
      <c r="G1174" s="54">
        <f>IF(_imp!$C$1176="","",INDEX(_imp!$J$4:$J$4503,_imp!$C$1176))</f>
        <v/>
      </c>
      <c r="K1174" s="54">
        <f>IF(_imp!$C$1176="","",INDEX(_imp!$K$4:$K$4503,_imp!$C$1176))</f>
        <v/>
      </c>
    </row>
    <row r="1175">
      <c r="A1175" s="54">
        <f>IF(_imp!$C$1177="","",INDEX(_imp!$D$4:$D$4503,_imp!$C$1177))</f>
        <v/>
      </c>
      <c r="B1175" s="54">
        <f>IF(_imp!$C$1177="","",INDEX(_imp!$E$4:$E$4503,_imp!$C$1177))</f>
        <v/>
      </c>
      <c r="C1175" s="54">
        <f>IF(_imp!$C$1177="","",INDEX(_imp!$F$4:$F$4503,_imp!$C$1177))</f>
        <v/>
      </c>
      <c r="D1175" s="54">
        <f>IF(_imp!$C$1177="","",INDEX(_imp!$G$4:$G$4503,_imp!$C$1177))</f>
        <v/>
      </c>
      <c r="E1175" s="54">
        <f>IF(_imp!$C$1177="","",INDEX(_imp!$H$4:$H$4503,_imp!$C$1177))</f>
        <v/>
      </c>
      <c r="F1175" s="54">
        <f>IF(_imp!$C$1177="","",INDEX(_imp!$I$4:$I$4503,_imp!$C$1177))</f>
        <v/>
      </c>
      <c r="G1175" s="54">
        <f>IF(_imp!$C$1177="","",INDEX(_imp!$J$4:$J$4503,_imp!$C$1177))</f>
        <v/>
      </c>
      <c r="K1175" s="54">
        <f>IF(_imp!$C$1177="","",INDEX(_imp!$K$4:$K$4503,_imp!$C$1177))</f>
        <v/>
      </c>
    </row>
    <row r="1176">
      <c r="A1176" s="54">
        <f>IF(_imp!$C$1178="","",INDEX(_imp!$D$4:$D$4503,_imp!$C$1178))</f>
        <v/>
      </c>
      <c r="B1176" s="54">
        <f>IF(_imp!$C$1178="","",INDEX(_imp!$E$4:$E$4503,_imp!$C$1178))</f>
        <v/>
      </c>
      <c r="C1176" s="54">
        <f>IF(_imp!$C$1178="","",INDEX(_imp!$F$4:$F$4503,_imp!$C$1178))</f>
        <v/>
      </c>
      <c r="D1176" s="54">
        <f>IF(_imp!$C$1178="","",INDEX(_imp!$G$4:$G$4503,_imp!$C$1178))</f>
        <v/>
      </c>
      <c r="E1176" s="54">
        <f>IF(_imp!$C$1178="","",INDEX(_imp!$H$4:$H$4503,_imp!$C$1178))</f>
        <v/>
      </c>
      <c r="F1176" s="54">
        <f>IF(_imp!$C$1178="","",INDEX(_imp!$I$4:$I$4503,_imp!$C$1178))</f>
        <v/>
      </c>
      <c r="G1176" s="54">
        <f>IF(_imp!$C$1178="","",INDEX(_imp!$J$4:$J$4503,_imp!$C$1178))</f>
        <v/>
      </c>
      <c r="K1176" s="54">
        <f>IF(_imp!$C$1178="","",INDEX(_imp!$K$4:$K$4503,_imp!$C$1178))</f>
        <v/>
      </c>
    </row>
    <row r="1177">
      <c r="A1177" s="54">
        <f>IF(_imp!$C$1179="","",INDEX(_imp!$D$4:$D$4503,_imp!$C$1179))</f>
        <v/>
      </c>
      <c r="B1177" s="54">
        <f>IF(_imp!$C$1179="","",INDEX(_imp!$E$4:$E$4503,_imp!$C$1179))</f>
        <v/>
      </c>
      <c r="C1177" s="54">
        <f>IF(_imp!$C$1179="","",INDEX(_imp!$F$4:$F$4503,_imp!$C$1179))</f>
        <v/>
      </c>
      <c r="D1177" s="54">
        <f>IF(_imp!$C$1179="","",INDEX(_imp!$G$4:$G$4503,_imp!$C$1179))</f>
        <v/>
      </c>
      <c r="E1177" s="54">
        <f>IF(_imp!$C$1179="","",INDEX(_imp!$H$4:$H$4503,_imp!$C$1179))</f>
        <v/>
      </c>
      <c r="F1177" s="54">
        <f>IF(_imp!$C$1179="","",INDEX(_imp!$I$4:$I$4503,_imp!$C$1179))</f>
        <v/>
      </c>
      <c r="G1177" s="54">
        <f>IF(_imp!$C$1179="","",INDEX(_imp!$J$4:$J$4503,_imp!$C$1179))</f>
        <v/>
      </c>
      <c r="K1177" s="54">
        <f>IF(_imp!$C$1179="","",INDEX(_imp!$K$4:$K$4503,_imp!$C$1179))</f>
        <v/>
      </c>
    </row>
    <row r="1178">
      <c r="A1178" s="54">
        <f>IF(_imp!$C$1180="","",INDEX(_imp!$D$4:$D$4503,_imp!$C$1180))</f>
        <v/>
      </c>
      <c r="B1178" s="54">
        <f>IF(_imp!$C$1180="","",INDEX(_imp!$E$4:$E$4503,_imp!$C$1180))</f>
        <v/>
      </c>
      <c r="C1178" s="54">
        <f>IF(_imp!$C$1180="","",INDEX(_imp!$F$4:$F$4503,_imp!$C$1180))</f>
        <v/>
      </c>
      <c r="D1178" s="54">
        <f>IF(_imp!$C$1180="","",INDEX(_imp!$G$4:$G$4503,_imp!$C$1180))</f>
        <v/>
      </c>
      <c r="E1178" s="54">
        <f>IF(_imp!$C$1180="","",INDEX(_imp!$H$4:$H$4503,_imp!$C$1180))</f>
        <v/>
      </c>
      <c r="F1178" s="54">
        <f>IF(_imp!$C$1180="","",INDEX(_imp!$I$4:$I$4503,_imp!$C$1180))</f>
        <v/>
      </c>
      <c r="G1178" s="54">
        <f>IF(_imp!$C$1180="","",INDEX(_imp!$J$4:$J$4503,_imp!$C$1180))</f>
        <v/>
      </c>
      <c r="K1178" s="54">
        <f>IF(_imp!$C$1180="","",INDEX(_imp!$K$4:$K$4503,_imp!$C$1180))</f>
        <v/>
      </c>
    </row>
    <row r="1179">
      <c r="A1179" s="54">
        <f>IF(_imp!$C$1181="","",INDEX(_imp!$D$4:$D$4503,_imp!$C$1181))</f>
        <v/>
      </c>
      <c r="B1179" s="54">
        <f>IF(_imp!$C$1181="","",INDEX(_imp!$E$4:$E$4503,_imp!$C$1181))</f>
        <v/>
      </c>
      <c r="C1179" s="54">
        <f>IF(_imp!$C$1181="","",INDEX(_imp!$F$4:$F$4503,_imp!$C$1181))</f>
        <v/>
      </c>
      <c r="D1179" s="54">
        <f>IF(_imp!$C$1181="","",INDEX(_imp!$G$4:$G$4503,_imp!$C$1181))</f>
        <v/>
      </c>
      <c r="E1179" s="54">
        <f>IF(_imp!$C$1181="","",INDEX(_imp!$H$4:$H$4503,_imp!$C$1181))</f>
        <v/>
      </c>
      <c r="F1179" s="54">
        <f>IF(_imp!$C$1181="","",INDEX(_imp!$I$4:$I$4503,_imp!$C$1181))</f>
        <v/>
      </c>
      <c r="G1179" s="54">
        <f>IF(_imp!$C$1181="","",INDEX(_imp!$J$4:$J$4503,_imp!$C$1181))</f>
        <v/>
      </c>
      <c r="K1179" s="54">
        <f>IF(_imp!$C$1181="","",INDEX(_imp!$K$4:$K$4503,_imp!$C$1181))</f>
        <v/>
      </c>
    </row>
    <row r="1180">
      <c r="A1180" s="54">
        <f>IF(_imp!$C$1182="","",INDEX(_imp!$D$4:$D$4503,_imp!$C$1182))</f>
        <v/>
      </c>
      <c r="B1180" s="54">
        <f>IF(_imp!$C$1182="","",INDEX(_imp!$E$4:$E$4503,_imp!$C$1182))</f>
        <v/>
      </c>
      <c r="C1180" s="54">
        <f>IF(_imp!$C$1182="","",INDEX(_imp!$F$4:$F$4503,_imp!$C$1182))</f>
        <v/>
      </c>
      <c r="D1180" s="54">
        <f>IF(_imp!$C$1182="","",INDEX(_imp!$G$4:$G$4503,_imp!$C$1182))</f>
        <v/>
      </c>
      <c r="E1180" s="54">
        <f>IF(_imp!$C$1182="","",INDEX(_imp!$H$4:$H$4503,_imp!$C$1182))</f>
        <v/>
      </c>
      <c r="F1180" s="54">
        <f>IF(_imp!$C$1182="","",INDEX(_imp!$I$4:$I$4503,_imp!$C$1182))</f>
        <v/>
      </c>
      <c r="G1180" s="54">
        <f>IF(_imp!$C$1182="","",INDEX(_imp!$J$4:$J$4503,_imp!$C$1182))</f>
        <v/>
      </c>
      <c r="K1180" s="54">
        <f>IF(_imp!$C$1182="","",INDEX(_imp!$K$4:$K$4503,_imp!$C$1182))</f>
        <v/>
      </c>
    </row>
    <row r="1181">
      <c r="A1181" s="54">
        <f>IF(_imp!$C$1183="","",INDEX(_imp!$D$4:$D$4503,_imp!$C$1183))</f>
        <v/>
      </c>
      <c r="B1181" s="54">
        <f>IF(_imp!$C$1183="","",INDEX(_imp!$E$4:$E$4503,_imp!$C$1183))</f>
        <v/>
      </c>
      <c r="C1181" s="54">
        <f>IF(_imp!$C$1183="","",INDEX(_imp!$F$4:$F$4503,_imp!$C$1183))</f>
        <v/>
      </c>
      <c r="D1181" s="54">
        <f>IF(_imp!$C$1183="","",INDEX(_imp!$G$4:$G$4503,_imp!$C$1183))</f>
        <v/>
      </c>
      <c r="E1181" s="54">
        <f>IF(_imp!$C$1183="","",INDEX(_imp!$H$4:$H$4503,_imp!$C$1183))</f>
        <v/>
      </c>
      <c r="F1181" s="54">
        <f>IF(_imp!$C$1183="","",INDEX(_imp!$I$4:$I$4503,_imp!$C$1183))</f>
        <v/>
      </c>
      <c r="G1181" s="54">
        <f>IF(_imp!$C$1183="","",INDEX(_imp!$J$4:$J$4503,_imp!$C$1183))</f>
        <v/>
      </c>
      <c r="K1181" s="54">
        <f>IF(_imp!$C$1183="","",INDEX(_imp!$K$4:$K$4503,_imp!$C$1183))</f>
        <v/>
      </c>
    </row>
    <row r="1182">
      <c r="A1182" s="54">
        <f>IF(_imp!$C$1184="","",INDEX(_imp!$D$4:$D$4503,_imp!$C$1184))</f>
        <v/>
      </c>
      <c r="B1182" s="54">
        <f>IF(_imp!$C$1184="","",INDEX(_imp!$E$4:$E$4503,_imp!$C$1184))</f>
        <v/>
      </c>
      <c r="C1182" s="54">
        <f>IF(_imp!$C$1184="","",INDEX(_imp!$F$4:$F$4503,_imp!$C$1184))</f>
        <v/>
      </c>
      <c r="D1182" s="54">
        <f>IF(_imp!$C$1184="","",INDEX(_imp!$G$4:$G$4503,_imp!$C$1184))</f>
        <v/>
      </c>
      <c r="E1182" s="54">
        <f>IF(_imp!$C$1184="","",INDEX(_imp!$H$4:$H$4503,_imp!$C$1184))</f>
        <v/>
      </c>
      <c r="F1182" s="54">
        <f>IF(_imp!$C$1184="","",INDEX(_imp!$I$4:$I$4503,_imp!$C$1184))</f>
        <v/>
      </c>
      <c r="G1182" s="54">
        <f>IF(_imp!$C$1184="","",INDEX(_imp!$J$4:$J$4503,_imp!$C$1184))</f>
        <v/>
      </c>
      <c r="K1182" s="54">
        <f>IF(_imp!$C$1184="","",INDEX(_imp!$K$4:$K$4503,_imp!$C$1184))</f>
        <v/>
      </c>
    </row>
    <row r="1183">
      <c r="A1183" s="54">
        <f>IF(_imp!$C$1185="","",INDEX(_imp!$D$4:$D$4503,_imp!$C$1185))</f>
        <v/>
      </c>
      <c r="B1183" s="54">
        <f>IF(_imp!$C$1185="","",INDEX(_imp!$E$4:$E$4503,_imp!$C$1185))</f>
        <v/>
      </c>
      <c r="C1183" s="54">
        <f>IF(_imp!$C$1185="","",INDEX(_imp!$F$4:$F$4503,_imp!$C$1185))</f>
        <v/>
      </c>
      <c r="D1183" s="54">
        <f>IF(_imp!$C$1185="","",INDEX(_imp!$G$4:$G$4503,_imp!$C$1185))</f>
        <v/>
      </c>
      <c r="E1183" s="54">
        <f>IF(_imp!$C$1185="","",INDEX(_imp!$H$4:$H$4503,_imp!$C$1185))</f>
        <v/>
      </c>
      <c r="F1183" s="54">
        <f>IF(_imp!$C$1185="","",INDEX(_imp!$I$4:$I$4503,_imp!$C$1185))</f>
        <v/>
      </c>
      <c r="G1183" s="54">
        <f>IF(_imp!$C$1185="","",INDEX(_imp!$J$4:$J$4503,_imp!$C$1185))</f>
        <v/>
      </c>
      <c r="K1183" s="54">
        <f>IF(_imp!$C$1185="","",INDEX(_imp!$K$4:$K$4503,_imp!$C$1185))</f>
        <v/>
      </c>
    </row>
    <row r="1184">
      <c r="A1184" s="54">
        <f>IF(_imp!$C$1186="","",INDEX(_imp!$D$4:$D$4503,_imp!$C$1186))</f>
        <v/>
      </c>
      <c r="B1184" s="54">
        <f>IF(_imp!$C$1186="","",INDEX(_imp!$E$4:$E$4503,_imp!$C$1186))</f>
        <v/>
      </c>
      <c r="C1184" s="54">
        <f>IF(_imp!$C$1186="","",INDEX(_imp!$F$4:$F$4503,_imp!$C$1186))</f>
        <v/>
      </c>
      <c r="D1184" s="54">
        <f>IF(_imp!$C$1186="","",INDEX(_imp!$G$4:$G$4503,_imp!$C$1186))</f>
        <v/>
      </c>
      <c r="E1184" s="54">
        <f>IF(_imp!$C$1186="","",INDEX(_imp!$H$4:$H$4503,_imp!$C$1186))</f>
        <v/>
      </c>
      <c r="F1184" s="54">
        <f>IF(_imp!$C$1186="","",INDEX(_imp!$I$4:$I$4503,_imp!$C$1186))</f>
        <v/>
      </c>
      <c r="G1184" s="54">
        <f>IF(_imp!$C$1186="","",INDEX(_imp!$J$4:$J$4503,_imp!$C$1186))</f>
        <v/>
      </c>
      <c r="K1184" s="54">
        <f>IF(_imp!$C$1186="","",INDEX(_imp!$K$4:$K$4503,_imp!$C$1186))</f>
        <v/>
      </c>
    </row>
    <row r="1185">
      <c r="A1185" s="54">
        <f>IF(_imp!$C$1187="","",INDEX(_imp!$D$4:$D$4503,_imp!$C$1187))</f>
        <v/>
      </c>
      <c r="B1185" s="54">
        <f>IF(_imp!$C$1187="","",INDEX(_imp!$E$4:$E$4503,_imp!$C$1187))</f>
        <v/>
      </c>
      <c r="C1185" s="54">
        <f>IF(_imp!$C$1187="","",INDEX(_imp!$F$4:$F$4503,_imp!$C$1187))</f>
        <v/>
      </c>
      <c r="D1185" s="54">
        <f>IF(_imp!$C$1187="","",INDEX(_imp!$G$4:$G$4503,_imp!$C$1187))</f>
        <v/>
      </c>
      <c r="E1185" s="54">
        <f>IF(_imp!$C$1187="","",INDEX(_imp!$H$4:$H$4503,_imp!$C$1187))</f>
        <v/>
      </c>
      <c r="F1185" s="54">
        <f>IF(_imp!$C$1187="","",INDEX(_imp!$I$4:$I$4503,_imp!$C$1187))</f>
        <v/>
      </c>
      <c r="G1185" s="54">
        <f>IF(_imp!$C$1187="","",INDEX(_imp!$J$4:$J$4503,_imp!$C$1187))</f>
        <v/>
      </c>
      <c r="K1185" s="54">
        <f>IF(_imp!$C$1187="","",INDEX(_imp!$K$4:$K$4503,_imp!$C$1187))</f>
        <v/>
      </c>
    </row>
    <row r="1186">
      <c r="A1186" s="54">
        <f>IF(_imp!$C$1188="","",INDEX(_imp!$D$4:$D$4503,_imp!$C$1188))</f>
        <v/>
      </c>
      <c r="B1186" s="54">
        <f>IF(_imp!$C$1188="","",INDEX(_imp!$E$4:$E$4503,_imp!$C$1188))</f>
        <v/>
      </c>
      <c r="C1186" s="54">
        <f>IF(_imp!$C$1188="","",INDEX(_imp!$F$4:$F$4503,_imp!$C$1188))</f>
        <v/>
      </c>
      <c r="D1186" s="54">
        <f>IF(_imp!$C$1188="","",INDEX(_imp!$G$4:$G$4503,_imp!$C$1188))</f>
        <v/>
      </c>
      <c r="E1186" s="54">
        <f>IF(_imp!$C$1188="","",INDEX(_imp!$H$4:$H$4503,_imp!$C$1188))</f>
        <v/>
      </c>
      <c r="F1186" s="54">
        <f>IF(_imp!$C$1188="","",INDEX(_imp!$I$4:$I$4503,_imp!$C$1188))</f>
        <v/>
      </c>
      <c r="G1186" s="54">
        <f>IF(_imp!$C$1188="","",INDEX(_imp!$J$4:$J$4503,_imp!$C$1188))</f>
        <v/>
      </c>
      <c r="K1186" s="54">
        <f>IF(_imp!$C$1188="","",INDEX(_imp!$K$4:$K$4503,_imp!$C$1188))</f>
        <v/>
      </c>
    </row>
    <row r="1187">
      <c r="A1187" s="54">
        <f>IF(_imp!$C$1189="","",INDEX(_imp!$D$4:$D$4503,_imp!$C$1189))</f>
        <v/>
      </c>
      <c r="B1187" s="54">
        <f>IF(_imp!$C$1189="","",INDEX(_imp!$E$4:$E$4503,_imp!$C$1189))</f>
        <v/>
      </c>
      <c r="C1187" s="54">
        <f>IF(_imp!$C$1189="","",INDEX(_imp!$F$4:$F$4503,_imp!$C$1189))</f>
        <v/>
      </c>
      <c r="D1187" s="54">
        <f>IF(_imp!$C$1189="","",INDEX(_imp!$G$4:$G$4503,_imp!$C$1189))</f>
        <v/>
      </c>
      <c r="E1187" s="54">
        <f>IF(_imp!$C$1189="","",INDEX(_imp!$H$4:$H$4503,_imp!$C$1189))</f>
        <v/>
      </c>
      <c r="F1187" s="54">
        <f>IF(_imp!$C$1189="","",INDEX(_imp!$I$4:$I$4503,_imp!$C$1189))</f>
        <v/>
      </c>
      <c r="G1187" s="54">
        <f>IF(_imp!$C$1189="","",INDEX(_imp!$J$4:$J$4503,_imp!$C$1189))</f>
        <v/>
      </c>
      <c r="K1187" s="54">
        <f>IF(_imp!$C$1189="","",INDEX(_imp!$K$4:$K$4503,_imp!$C$1189))</f>
        <v/>
      </c>
    </row>
    <row r="1188">
      <c r="A1188" s="54">
        <f>IF(_imp!$C$1190="","",INDEX(_imp!$D$4:$D$4503,_imp!$C$1190))</f>
        <v/>
      </c>
      <c r="B1188" s="54">
        <f>IF(_imp!$C$1190="","",INDEX(_imp!$E$4:$E$4503,_imp!$C$1190))</f>
        <v/>
      </c>
      <c r="C1188" s="54">
        <f>IF(_imp!$C$1190="","",INDEX(_imp!$F$4:$F$4503,_imp!$C$1190))</f>
        <v/>
      </c>
      <c r="D1188" s="54">
        <f>IF(_imp!$C$1190="","",INDEX(_imp!$G$4:$G$4503,_imp!$C$1190))</f>
        <v/>
      </c>
      <c r="E1188" s="54">
        <f>IF(_imp!$C$1190="","",INDEX(_imp!$H$4:$H$4503,_imp!$C$1190))</f>
        <v/>
      </c>
      <c r="F1188" s="54">
        <f>IF(_imp!$C$1190="","",INDEX(_imp!$I$4:$I$4503,_imp!$C$1190))</f>
        <v/>
      </c>
      <c r="G1188" s="54">
        <f>IF(_imp!$C$1190="","",INDEX(_imp!$J$4:$J$4503,_imp!$C$1190))</f>
        <v/>
      </c>
      <c r="K1188" s="54">
        <f>IF(_imp!$C$1190="","",INDEX(_imp!$K$4:$K$4503,_imp!$C$1190))</f>
        <v/>
      </c>
    </row>
    <row r="1189">
      <c r="A1189" s="54">
        <f>IF(_imp!$C$1191="","",INDEX(_imp!$D$4:$D$4503,_imp!$C$1191))</f>
        <v/>
      </c>
      <c r="B1189" s="54">
        <f>IF(_imp!$C$1191="","",INDEX(_imp!$E$4:$E$4503,_imp!$C$1191))</f>
        <v/>
      </c>
      <c r="C1189" s="54">
        <f>IF(_imp!$C$1191="","",INDEX(_imp!$F$4:$F$4503,_imp!$C$1191))</f>
        <v/>
      </c>
      <c r="D1189" s="54">
        <f>IF(_imp!$C$1191="","",INDEX(_imp!$G$4:$G$4503,_imp!$C$1191))</f>
        <v/>
      </c>
      <c r="E1189" s="54">
        <f>IF(_imp!$C$1191="","",INDEX(_imp!$H$4:$H$4503,_imp!$C$1191))</f>
        <v/>
      </c>
      <c r="F1189" s="54">
        <f>IF(_imp!$C$1191="","",INDEX(_imp!$I$4:$I$4503,_imp!$C$1191))</f>
        <v/>
      </c>
      <c r="G1189" s="54">
        <f>IF(_imp!$C$1191="","",INDEX(_imp!$J$4:$J$4503,_imp!$C$1191))</f>
        <v/>
      </c>
      <c r="K1189" s="54">
        <f>IF(_imp!$C$1191="","",INDEX(_imp!$K$4:$K$4503,_imp!$C$1191))</f>
        <v/>
      </c>
    </row>
    <row r="1190">
      <c r="A1190" s="54">
        <f>IF(_imp!$C$1192="","",INDEX(_imp!$D$4:$D$4503,_imp!$C$1192))</f>
        <v/>
      </c>
      <c r="B1190" s="54">
        <f>IF(_imp!$C$1192="","",INDEX(_imp!$E$4:$E$4503,_imp!$C$1192))</f>
        <v/>
      </c>
      <c r="C1190" s="54">
        <f>IF(_imp!$C$1192="","",INDEX(_imp!$F$4:$F$4503,_imp!$C$1192))</f>
        <v/>
      </c>
      <c r="D1190" s="54">
        <f>IF(_imp!$C$1192="","",INDEX(_imp!$G$4:$G$4503,_imp!$C$1192))</f>
        <v/>
      </c>
      <c r="E1190" s="54">
        <f>IF(_imp!$C$1192="","",INDEX(_imp!$H$4:$H$4503,_imp!$C$1192))</f>
        <v/>
      </c>
      <c r="F1190" s="54">
        <f>IF(_imp!$C$1192="","",INDEX(_imp!$I$4:$I$4503,_imp!$C$1192))</f>
        <v/>
      </c>
      <c r="G1190" s="54">
        <f>IF(_imp!$C$1192="","",INDEX(_imp!$J$4:$J$4503,_imp!$C$1192))</f>
        <v/>
      </c>
      <c r="K1190" s="54">
        <f>IF(_imp!$C$1192="","",INDEX(_imp!$K$4:$K$4503,_imp!$C$1192))</f>
        <v/>
      </c>
    </row>
    <row r="1191">
      <c r="A1191" s="54">
        <f>IF(_imp!$C$1193="","",INDEX(_imp!$D$4:$D$4503,_imp!$C$1193))</f>
        <v/>
      </c>
      <c r="B1191" s="54">
        <f>IF(_imp!$C$1193="","",INDEX(_imp!$E$4:$E$4503,_imp!$C$1193))</f>
        <v/>
      </c>
      <c r="C1191" s="54">
        <f>IF(_imp!$C$1193="","",INDEX(_imp!$F$4:$F$4503,_imp!$C$1193))</f>
        <v/>
      </c>
      <c r="D1191" s="54">
        <f>IF(_imp!$C$1193="","",INDEX(_imp!$G$4:$G$4503,_imp!$C$1193))</f>
        <v/>
      </c>
      <c r="E1191" s="54">
        <f>IF(_imp!$C$1193="","",INDEX(_imp!$H$4:$H$4503,_imp!$C$1193))</f>
        <v/>
      </c>
      <c r="F1191" s="54">
        <f>IF(_imp!$C$1193="","",INDEX(_imp!$I$4:$I$4503,_imp!$C$1193))</f>
        <v/>
      </c>
      <c r="G1191" s="54">
        <f>IF(_imp!$C$1193="","",INDEX(_imp!$J$4:$J$4503,_imp!$C$1193))</f>
        <v/>
      </c>
      <c r="K1191" s="54">
        <f>IF(_imp!$C$1193="","",INDEX(_imp!$K$4:$K$4503,_imp!$C$1193))</f>
        <v/>
      </c>
    </row>
    <row r="1192">
      <c r="A1192" s="54">
        <f>IF(_imp!$C$1194="","",INDEX(_imp!$D$4:$D$4503,_imp!$C$1194))</f>
        <v/>
      </c>
      <c r="B1192" s="54">
        <f>IF(_imp!$C$1194="","",INDEX(_imp!$E$4:$E$4503,_imp!$C$1194))</f>
        <v/>
      </c>
      <c r="C1192" s="54">
        <f>IF(_imp!$C$1194="","",INDEX(_imp!$F$4:$F$4503,_imp!$C$1194))</f>
        <v/>
      </c>
      <c r="D1192" s="54">
        <f>IF(_imp!$C$1194="","",INDEX(_imp!$G$4:$G$4503,_imp!$C$1194))</f>
        <v/>
      </c>
      <c r="E1192" s="54">
        <f>IF(_imp!$C$1194="","",INDEX(_imp!$H$4:$H$4503,_imp!$C$1194))</f>
        <v/>
      </c>
      <c r="F1192" s="54">
        <f>IF(_imp!$C$1194="","",INDEX(_imp!$I$4:$I$4503,_imp!$C$1194))</f>
        <v/>
      </c>
      <c r="G1192" s="54">
        <f>IF(_imp!$C$1194="","",INDEX(_imp!$J$4:$J$4503,_imp!$C$1194))</f>
        <v/>
      </c>
      <c r="K1192" s="54">
        <f>IF(_imp!$C$1194="","",INDEX(_imp!$K$4:$K$4503,_imp!$C$1194))</f>
        <v/>
      </c>
    </row>
    <row r="1193">
      <c r="A1193" s="54">
        <f>IF(_imp!$C$1195="","",INDEX(_imp!$D$4:$D$4503,_imp!$C$1195))</f>
        <v/>
      </c>
      <c r="B1193" s="54">
        <f>IF(_imp!$C$1195="","",INDEX(_imp!$E$4:$E$4503,_imp!$C$1195))</f>
        <v/>
      </c>
      <c r="C1193" s="54">
        <f>IF(_imp!$C$1195="","",INDEX(_imp!$F$4:$F$4503,_imp!$C$1195))</f>
        <v/>
      </c>
      <c r="D1193" s="54">
        <f>IF(_imp!$C$1195="","",INDEX(_imp!$G$4:$G$4503,_imp!$C$1195))</f>
        <v/>
      </c>
      <c r="E1193" s="54">
        <f>IF(_imp!$C$1195="","",INDEX(_imp!$H$4:$H$4503,_imp!$C$1195))</f>
        <v/>
      </c>
      <c r="F1193" s="54">
        <f>IF(_imp!$C$1195="","",INDEX(_imp!$I$4:$I$4503,_imp!$C$1195))</f>
        <v/>
      </c>
      <c r="G1193" s="54">
        <f>IF(_imp!$C$1195="","",INDEX(_imp!$J$4:$J$4503,_imp!$C$1195))</f>
        <v/>
      </c>
      <c r="K1193" s="54">
        <f>IF(_imp!$C$1195="","",INDEX(_imp!$K$4:$K$4503,_imp!$C$1195))</f>
        <v/>
      </c>
    </row>
    <row r="1194">
      <c r="A1194" s="54">
        <f>IF(_imp!$C$1196="","",INDEX(_imp!$D$4:$D$4503,_imp!$C$1196))</f>
        <v/>
      </c>
      <c r="B1194" s="54">
        <f>IF(_imp!$C$1196="","",INDEX(_imp!$E$4:$E$4503,_imp!$C$1196))</f>
        <v/>
      </c>
      <c r="C1194" s="54">
        <f>IF(_imp!$C$1196="","",INDEX(_imp!$F$4:$F$4503,_imp!$C$1196))</f>
        <v/>
      </c>
      <c r="D1194" s="54">
        <f>IF(_imp!$C$1196="","",INDEX(_imp!$G$4:$G$4503,_imp!$C$1196))</f>
        <v/>
      </c>
      <c r="E1194" s="54">
        <f>IF(_imp!$C$1196="","",INDEX(_imp!$H$4:$H$4503,_imp!$C$1196))</f>
        <v/>
      </c>
      <c r="F1194" s="54">
        <f>IF(_imp!$C$1196="","",INDEX(_imp!$I$4:$I$4503,_imp!$C$1196))</f>
        <v/>
      </c>
      <c r="G1194" s="54">
        <f>IF(_imp!$C$1196="","",INDEX(_imp!$J$4:$J$4503,_imp!$C$1196))</f>
        <v/>
      </c>
      <c r="K1194" s="54">
        <f>IF(_imp!$C$1196="","",INDEX(_imp!$K$4:$K$4503,_imp!$C$1196))</f>
        <v/>
      </c>
    </row>
    <row r="1195">
      <c r="A1195" s="54">
        <f>IF(_imp!$C$1197="","",INDEX(_imp!$D$4:$D$4503,_imp!$C$1197))</f>
        <v/>
      </c>
      <c r="B1195" s="54">
        <f>IF(_imp!$C$1197="","",INDEX(_imp!$E$4:$E$4503,_imp!$C$1197))</f>
        <v/>
      </c>
      <c r="C1195" s="54">
        <f>IF(_imp!$C$1197="","",INDEX(_imp!$F$4:$F$4503,_imp!$C$1197))</f>
        <v/>
      </c>
      <c r="D1195" s="54">
        <f>IF(_imp!$C$1197="","",INDEX(_imp!$G$4:$G$4503,_imp!$C$1197))</f>
        <v/>
      </c>
      <c r="E1195" s="54">
        <f>IF(_imp!$C$1197="","",INDEX(_imp!$H$4:$H$4503,_imp!$C$1197))</f>
        <v/>
      </c>
      <c r="F1195" s="54">
        <f>IF(_imp!$C$1197="","",INDEX(_imp!$I$4:$I$4503,_imp!$C$1197))</f>
        <v/>
      </c>
      <c r="G1195" s="54">
        <f>IF(_imp!$C$1197="","",INDEX(_imp!$J$4:$J$4503,_imp!$C$1197))</f>
        <v/>
      </c>
      <c r="K1195" s="54">
        <f>IF(_imp!$C$1197="","",INDEX(_imp!$K$4:$K$4503,_imp!$C$1197))</f>
        <v/>
      </c>
    </row>
    <row r="1196">
      <c r="A1196" s="54">
        <f>IF(_imp!$C$1198="","",INDEX(_imp!$D$4:$D$4503,_imp!$C$1198))</f>
        <v/>
      </c>
      <c r="B1196" s="54">
        <f>IF(_imp!$C$1198="","",INDEX(_imp!$E$4:$E$4503,_imp!$C$1198))</f>
        <v/>
      </c>
      <c r="C1196" s="54">
        <f>IF(_imp!$C$1198="","",INDEX(_imp!$F$4:$F$4503,_imp!$C$1198))</f>
        <v/>
      </c>
      <c r="D1196" s="54">
        <f>IF(_imp!$C$1198="","",INDEX(_imp!$G$4:$G$4503,_imp!$C$1198))</f>
        <v/>
      </c>
      <c r="E1196" s="54">
        <f>IF(_imp!$C$1198="","",INDEX(_imp!$H$4:$H$4503,_imp!$C$1198))</f>
        <v/>
      </c>
      <c r="F1196" s="54">
        <f>IF(_imp!$C$1198="","",INDEX(_imp!$I$4:$I$4503,_imp!$C$1198))</f>
        <v/>
      </c>
      <c r="G1196" s="54">
        <f>IF(_imp!$C$1198="","",INDEX(_imp!$J$4:$J$4503,_imp!$C$1198))</f>
        <v/>
      </c>
      <c r="K1196" s="54">
        <f>IF(_imp!$C$1198="","",INDEX(_imp!$K$4:$K$4503,_imp!$C$1198))</f>
        <v/>
      </c>
    </row>
    <row r="1197">
      <c r="A1197" s="54">
        <f>IF(_imp!$C$1199="","",INDEX(_imp!$D$4:$D$4503,_imp!$C$1199))</f>
        <v/>
      </c>
      <c r="B1197" s="54">
        <f>IF(_imp!$C$1199="","",INDEX(_imp!$E$4:$E$4503,_imp!$C$1199))</f>
        <v/>
      </c>
      <c r="C1197" s="54">
        <f>IF(_imp!$C$1199="","",INDEX(_imp!$F$4:$F$4503,_imp!$C$1199))</f>
        <v/>
      </c>
      <c r="D1197" s="54">
        <f>IF(_imp!$C$1199="","",INDEX(_imp!$G$4:$G$4503,_imp!$C$1199))</f>
        <v/>
      </c>
      <c r="E1197" s="54">
        <f>IF(_imp!$C$1199="","",INDEX(_imp!$H$4:$H$4503,_imp!$C$1199))</f>
        <v/>
      </c>
      <c r="F1197" s="54">
        <f>IF(_imp!$C$1199="","",INDEX(_imp!$I$4:$I$4503,_imp!$C$1199))</f>
        <v/>
      </c>
      <c r="G1197" s="54">
        <f>IF(_imp!$C$1199="","",INDEX(_imp!$J$4:$J$4503,_imp!$C$1199))</f>
        <v/>
      </c>
      <c r="K1197" s="54">
        <f>IF(_imp!$C$1199="","",INDEX(_imp!$K$4:$K$4503,_imp!$C$1199))</f>
        <v/>
      </c>
    </row>
    <row r="1198">
      <c r="A1198" s="54">
        <f>IF(_imp!$C$1200="","",INDEX(_imp!$D$4:$D$4503,_imp!$C$1200))</f>
        <v/>
      </c>
      <c r="B1198" s="54">
        <f>IF(_imp!$C$1200="","",INDEX(_imp!$E$4:$E$4503,_imp!$C$1200))</f>
        <v/>
      </c>
      <c r="C1198" s="54">
        <f>IF(_imp!$C$1200="","",INDEX(_imp!$F$4:$F$4503,_imp!$C$1200))</f>
        <v/>
      </c>
      <c r="D1198" s="54">
        <f>IF(_imp!$C$1200="","",INDEX(_imp!$G$4:$G$4503,_imp!$C$1200))</f>
        <v/>
      </c>
      <c r="E1198" s="54">
        <f>IF(_imp!$C$1200="","",INDEX(_imp!$H$4:$H$4503,_imp!$C$1200))</f>
        <v/>
      </c>
      <c r="F1198" s="54">
        <f>IF(_imp!$C$1200="","",INDEX(_imp!$I$4:$I$4503,_imp!$C$1200))</f>
        <v/>
      </c>
      <c r="G1198" s="54">
        <f>IF(_imp!$C$1200="","",INDEX(_imp!$J$4:$J$4503,_imp!$C$1200))</f>
        <v/>
      </c>
      <c r="K1198" s="54">
        <f>IF(_imp!$C$1200="","",INDEX(_imp!$K$4:$K$4503,_imp!$C$1200))</f>
        <v/>
      </c>
    </row>
    <row r="1199">
      <c r="A1199" s="54">
        <f>IF(_imp!$C$1201="","",INDEX(_imp!$D$4:$D$4503,_imp!$C$1201))</f>
        <v/>
      </c>
      <c r="B1199" s="54">
        <f>IF(_imp!$C$1201="","",INDEX(_imp!$E$4:$E$4503,_imp!$C$1201))</f>
        <v/>
      </c>
      <c r="C1199" s="54">
        <f>IF(_imp!$C$1201="","",INDEX(_imp!$F$4:$F$4503,_imp!$C$1201))</f>
        <v/>
      </c>
      <c r="D1199" s="54">
        <f>IF(_imp!$C$1201="","",INDEX(_imp!$G$4:$G$4503,_imp!$C$1201))</f>
        <v/>
      </c>
      <c r="E1199" s="54">
        <f>IF(_imp!$C$1201="","",INDEX(_imp!$H$4:$H$4503,_imp!$C$1201))</f>
        <v/>
      </c>
      <c r="F1199" s="54">
        <f>IF(_imp!$C$1201="","",INDEX(_imp!$I$4:$I$4503,_imp!$C$1201))</f>
        <v/>
      </c>
      <c r="G1199" s="54">
        <f>IF(_imp!$C$1201="","",INDEX(_imp!$J$4:$J$4503,_imp!$C$1201))</f>
        <v/>
      </c>
      <c r="K1199" s="54">
        <f>IF(_imp!$C$1201="","",INDEX(_imp!$K$4:$K$4503,_imp!$C$1201))</f>
        <v/>
      </c>
    </row>
    <row r="1200">
      <c r="A1200" s="54">
        <f>IF(_imp!$C$1202="","",INDEX(_imp!$D$4:$D$4503,_imp!$C$1202))</f>
        <v/>
      </c>
      <c r="B1200" s="54">
        <f>IF(_imp!$C$1202="","",INDEX(_imp!$E$4:$E$4503,_imp!$C$1202))</f>
        <v/>
      </c>
      <c r="C1200" s="54">
        <f>IF(_imp!$C$1202="","",INDEX(_imp!$F$4:$F$4503,_imp!$C$1202))</f>
        <v/>
      </c>
      <c r="D1200" s="54">
        <f>IF(_imp!$C$1202="","",INDEX(_imp!$G$4:$G$4503,_imp!$C$1202))</f>
        <v/>
      </c>
      <c r="E1200" s="54">
        <f>IF(_imp!$C$1202="","",INDEX(_imp!$H$4:$H$4503,_imp!$C$1202))</f>
        <v/>
      </c>
      <c r="F1200" s="54">
        <f>IF(_imp!$C$1202="","",INDEX(_imp!$I$4:$I$4503,_imp!$C$1202))</f>
        <v/>
      </c>
      <c r="G1200" s="54">
        <f>IF(_imp!$C$1202="","",INDEX(_imp!$J$4:$J$4503,_imp!$C$1202))</f>
        <v/>
      </c>
      <c r="K1200" s="54">
        <f>IF(_imp!$C$1202="","",INDEX(_imp!$K$4:$K$4503,_imp!$C$1202))</f>
        <v/>
      </c>
    </row>
    <row r="1201">
      <c r="A1201" s="54">
        <f>IF(_imp!$C$1203="","",INDEX(_imp!$D$4:$D$4503,_imp!$C$1203))</f>
        <v/>
      </c>
      <c r="B1201" s="54">
        <f>IF(_imp!$C$1203="","",INDEX(_imp!$E$4:$E$4503,_imp!$C$1203))</f>
        <v/>
      </c>
      <c r="C1201" s="54">
        <f>IF(_imp!$C$1203="","",INDEX(_imp!$F$4:$F$4503,_imp!$C$1203))</f>
        <v/>
      </c>
      <c r="D1201" s="54">
        <f>IF(_imp!$C$1203="","",INDEX(_imp!$G$4:$G$4503,_imp!$C$1203))</f>
        <v/>
      </c>
      <c r="E1201" s="54">
        <f>IF(_imp!$C$1203="","",INDEX(_imp!$H$4:$H$4503,_imp!$C$1203))</f>
        <v/>
      </c>
      <c r="F1201" s="54">
        <f>IF(_imp!$C$1203="","",INDEX(_imp!$I$4:$I$4503,_imp!$C$1203))</f>
        <v/>
      </c>
      <c r="G1201" s="54">
        <f>IF(_imp!$C$1203="","",INDEX(_imp!$J$4:$J$4503,_imp!$C$1203))</f>
        <v/>
      </c>
      <c r="K1201" s="54">
        <f>IF(_imp!$C$1203="","",INDEX(_imp!$K$4:$K$4503,_imp!$C$1203))</f>
        <v/>
      </c>
    </row>
    <row r="1202">
      <c r="A1202" s="54">
        <f>IF(_imp!$C$1204="","",INDEX(_imp!$D$4:$D$4503,_imp!$C$1204))</f>
        <v/>
      </c>
      <c r="B1202" s="54">
        <f>IF(_imp!$C$1204="","",INDEX(_imp!$E$4:$E$4503,_imp!$C$1204))</f>
        <v/>
      </c>
      <c r="C1202" s="54">
        <f>IF(_imp!$C$1204="","",INDEX(_imp!$F$4:$F$4503,_imp!$C$1204))</f>
        <v/>
      </c>
      <c r="D1202" s="54">
        <f>IF(_imp!$C$1204="","",INDEX(_imp!$G$4:$G$4503,_imp!$C$1204))</f>
        <v/>
      </c>
      <c r="E1202" s="54">
        <f>IF(_imp!$C$1204="","",INDEX(_imp!$H$4:$H$4503,_imp!$C$1204))</f>
        <v/>
      </c>
      <c r="F1202" s="54">
        <f>IF(_imp!$C$1204="","",INDEX(_imp!$I$4:$I$4503,_imp!$C$1204))</f>
        <v/>
      </c>
      <c r="G1202" s="54">
        <f>IF(_imp!$C$1204="","",INDEX(_imp!$J$4:$J$4503,_imp!$C$1204))</f>
        <v/>
      </c>
      <c r="K1202" s="54">
        <f>IF(_imp!$C$1204="","",INDEX(_imp!$K$4:$K$4503,_imp!$C$1204))</f>
        <v/>
      </c>
    </row>
    <row r="1203">
      <c r="A1203" s="54">
        <f>IF(_imp!$C$1205="","",INDEX(_imp!$D$4:$D$4503,_imp!$C$1205))</f>
        <v/>
      </c>
      <c r="B1203" s="54">
        <f>IF(_imp!$C$1205="","",INDEX(_imp!$E$4:$E$4503,_imp!$C$1205))</f>
        <v/>
      </c>
      <c r="C1203" s="54">
        <f>IF(_imp!$C$1205="","",INDEX(_imp!$F$4:$F$4503,_imp!$C$1205))</f>
        <v/>
      </c>
      <c r="D1203" s="54">
        <f>IF(_imp!$C$1205="","",INDEX(_imp!$G$4:$G$4503,_imp!$C$1205))</f>
        <v/>
      </c>
      <c r="E1203" s="54">
        <f>IF(_imp!$C$1205="","",INDEX(_imp!$H$4:$H$4503,_imp!$C$1205))</f>
        <v/>
      </c>
      <c r="F1203" s="54">
        <f>IF(_imp!$C$1205="","",INDEX(_imp!$I$4:$I$4503,_imp!$C$1205))</f>
        <v/>
      </c>
      <c r="G1203" s="54">
        <f>IF(_imp!$C$1205="","",INDEX(_imp!$J$4:$J$4503,_imp!$C$1205))</f>
        <v/>
      </c>
      <c r="K1203" s="54">
        <f>IF(_imp!$C$1205="","",INDEX(_imp!$K$4:$K$4503,_imp!$C$1205))</f>
        <v/>
      </c>
    </row>
    <row r="1204">
      <c r="A1204" s="54">
        <f>IF(_imp!$C$1206="","",INDEX(_imp!$D$4:$D$4503,_imp!$C$1206))</f>
        <v/>
      </c>
      <c r="B1204" s="54">
        <f>IF(_imp!$C$1206="","",INDEX(_imp!$E$4:$E$4503,_imp!$C$1206))</f>
        <v/>
      </c>
      <c r="C1204" s="54">
        <f>IF(_imp!$C$1206="","",INDEX(_imp!$F$4:$F$4503,_imp!$C$1206))</f>
        <v/>
      </c>
      <c r="D1204" s="54">
        <f>IF(_imp!$C$1206="","",INDEX(_imp!$G$4:$G$4503,_imp!$C$1206))</f>
        <v/>
      </c>
      <c r="E1204" s="54">
        <f>IF(_imp!$C$1206="","",INDEX(_imp!$H$4:$H$4503,_imp!$C$1206))</f>
        <v/>
      </c>
      <c r="F1204" s="54">
        <f>IF(_imp!$C$1206="","",INDEX(_imp!$I$4:$I$4503,_imp!$C$1206))</f>
        <v/>
      </c>
      <c r="G1204" s="54">
        <f>IF(_imp!$C$1206="","",INDEX(_imp!$J$4:$J$4503,_imp!$C$1206))</f>
        <v/>
      </c>
      <c r="K1204" s="54">
        <f>IF(_imp!$C$1206="","",INDEX(_imp!$K$4:$K$4503,_imp!$C$1206))</f>
        <v/>
      </c>
    </row>
    <row r="1205">
      <c r="A1205" s="54">
        <f>IF(_imp!$C$1207="","",INDEX(_imp!$D$4:$D$4503,_imp!$C$1207))</f>
        <v/>
      </c>
      <c r="B1205" s="54">
        <f>IF(_imp!$C$1207="","",INDEX(_imp!$E$4:$E$4503,_imp!$C$1207))</f>
        <v/>
      </c>
      <c r="C1205" s="54">
        <f>IF(_imp!$C$1207="","",INDEX(_imp!$F$4:$F$4503,_imp!$C$1207))</f>
        <v/>
      </c>
      <c r="D1205" s="54">
        <f>IF(_imp!$C$1207="","",INDEX(_imp!$G$4:$G$4503,_imp!$C$1207))</f>
        <v/>
      </c>
      <c r="E1205" s="54">
        <f>IF(_imp!$C$1207="","",INDEX(_imp!$H$4:$H$4503,_imp!$C$1207))</f>
        <v/>
      </c>
      <c r="F1205" s="54">
        <f>IF(_imp!$C$1207="","",INDEX(_imp!$I$4:$I$4503,_imp!$C$1207))</f>
        <v/>
      </c>
      <c r="G1205" s="54">
        <f>IF(_imp!$C$1207="","",INDEX(_imp!$J$4:$J$4503,_imp!$C$1207))</f>
        <v/>
      </c>
      <c r="K1205" s="54">
        <f>IF(_imp!$C$1207="","",INDEX(_imp!$K$4:$K$4503,_imp!$C$1207))</f>
        <v/>
      </c>
    </row>
    <row r="1206">
      <c r="A1206" s="54">
        <f>IF(_imp!$C$1208="","",INDEX(_imp!$D$4:$D$4503,_imp!$C$1208))</f>
        <v/>
      </c>
      <c r="B1206" s="54">
        <f>IF(_imp!$C$1208="","",INDEX(_imp!$E$4:$E$4503,_imp!$C$1208))</f>
        <v/>
      </c>
      <c r="C1206" s="54">
        <f>IF(_imp!$C$1208="","",INDEX(_imp!$F$4:$F$4503,_imp!$C$1208))</f>
        <v/>
      </c>
      <c r="D1206" s="54">
        <f>IF(_imp!$C$1208="","",INDEX(_imp!$G$4:$G$4503,_imp!$C$1208))</f>
        <v/>
      </c>
      <c r="E1206" s="54">
        <f>IF(_imp!$C$1208="","",INDEX(_imp!$H$4:$H$4503,_imp!$C$1208))</f>
        <v/>
      </c>
      <c r="F1206" s="54">
        <f>IF(_imp!$C$1208="","",INDEX(_imp!$I$4:$I$4503,_imp!$C$1208))</f>
        <v/>
      </c>
      <c r="G1206" s="54">
        <f>IF(_imp!$C$1208="","",INDEX(_imp!$J$4:$J$4503,_imp!$C$1208))</f>
        <v/>
      </c>
      <c r="K1206" s="54">
        <f>IF(_imp!$C$1208="","",INDEX(_imp!$K$4:$K$4503,_imp!$C$1208))</f>
        <v/>
      </c>
    </row>
    <row r="1207">
      <c r="A1207" s="54">
        <f>IF(_imp!$C$1209="","",INDEX(_imp!$D$4:$D$4503,_imp!$C$1209))</f>
        <v/>
      </c>
      <c r="B1207" s="54">
        <f>IF(_imp!$C$1209="","",INDEX(_imp!$E$4:$E$4503,_imp!$C$1209))</f>
        <v/>
      </c>
      <c r="C1207" s="54">
        <f>IF(_imp!$C$1209="","",INDEX(_imp!$F$4:$F$4503,_imp!$C$1209))</f>
        <v/>
      </c>
      <c r="D1207" s="54">
        <f>IF(_imp!$C$1209="","",INDEX(_imp!$G$4:$G$4503,_imp!$C$1209))</f>
        <v/>
      </c>
      <c r="E1207" s="54">
        <f>IF(_imp!$C$1209="","",INDEX(_imp!$H$4:$H$4503,_imp!$C$1209))</f>
        <v/>
      </c>
      <c r="F1207" s="54">
        <f>IF(_imp!$C$1209="","",INDEX(_imp!$I$4:$I$4503,_imp!$C$1209))</f>
        <v/>
      </c>
      <c r="G1207" s="54">
        <f>IF(_imp!$C$1209="","",INDEX(_imp!$J$4:$J$4503,_imp!$C$1209))</f>
        <v/>
      </c>
      <c r="K1207" s="54">
        <f>IF(_imp!$C$1209="","",INDEX(_imp!$K$4:$K$4503,_imp!$C$1209))</f>
        <v/>
      </c>
    </row>
    <row r="1208">
      <c r="A1208" s="54">
        <f>IF(_imp!$C$1210="","",INDEX(_imp!$D$4:$D$4503,_imp!$C$1210))</f>
        <v/>
      </c>
      <c r="B1208" s="54">
        <f>IF(_imp!$C$1210="","",INDEX(_imp!$E$4:$E$4503,_imp!$C$1210))</f>
        <v/>
      </c>
      <c r="C1208" s="54">
        <f>IF(_imp!$C$1210="","",INDEX(_imp!$F$4:$F$4503,_imp!$C$1210))</f>
        <v/>
      </c>
      <c r="D1208" s="54">
        <f>IF(_imp!$C$1210="","",INDEX(_imp!$G$4:$G$4503,_imp!$C$1210))</f>
        <v/>
      </c>
      <c r="E1208" s="54">
        <f>IF(_imp!$C$1210="","",INDEX(_imp!$H$4:$H$4503,_imp!$C$1210))</f>
        <v/>
      </c>
      <c r="F1208" s="54">
        <f>IF(_imp!$C$1210="","",INDEX(_imp!$I$4:$I$4503,_imp!$C$1210))</f>
        <v/>
      </c>
      <c r="G1208" s="54">
        <f>IF(_imp!$C$1210="","",INDEX(_imp!$J$4:$J$4503,_imp!$C$1210))</f>
        <v/>
      </c>
      <c r="K1208" s="54">
        <f>IF(_imp!$C$1210="","",INDEX(_imp!$K$4:$K$4503,_imp!$C$1210))</f>
        <v/>
      </c>
    </row>
    <row r="1209">
      <c r="A1209" s="54">
        <f>IF(_imp!$C$1211="","",INDEX(_imp!$D$4:$D$4503,_imp!$C$1211))</f>
        <v/>
      </c>
      <c r="B1209" s="54">
        <f>IF(_imp!$C$1211="","",INDEX(_imp!$E$4:$E$4503,_imp!$C$1211))</f>
        <v/>
      </c>
      <c r="C1209" s="54">
        <f>IF(_imp!$C$1211="","",INDEX(_imp!$F$4:$F$4503,_imp!$C$1211))</f>
        <v/>
      </c>
      <c r="D1209" s="54">
        <f>IF(_imp!$C$1211="","",INDEX(_imp!$G$4:$G$4503,_imp!$C$1211))</f>
        <v/>
      </c>
      <c r="E1209" s="54">
        <f>IF(_imp!$C$1211="","",INDEX(_imp!$H$4:$H$4503,_imp!$C$1211))</f>
        <v/>
      </c>
      <c r="F1209" s="54">
        <f>IF(_imp!$C$1211="","",INDEX(_imp!$I$4:$I$4503,_imp!$C$1211))</f>
        <v/>
      </c>
      <c r="G1209" s="54">
        <f>IF(_imp!$C$1211="","",INDEX(_imp!$J$4:$J$4503,_imp!$C$1211))</f>
        <v/>
      </c>
      <c r="K1209" s="54">
        <f>IF(_imp!$C$1211="","",INDEX(_imp!$K$4:$K$4503,_imp!$C$1211))</f>
        <v/>
      </c>
    </row>
    <row r="1210">
      <c r="A1210" s="54">
        <f>IF(_imp!$C$1212="","",INDEX(_imp!$D$4:$D$4503,_imp!$C$1212))</f>
        <v/>
      </c>
      <c r="B1210" s="54">
        <f>IF(_imp!$C$1212="","",INDEX(_imp!$E$4:$E$4503,_imp!$C$1212))</f>
        <v/>
      </c>
      <c r="C1210" s="54">
        <f>IF(_imp!$C$1212="","",INDEX(_imp!$F$4:$F$4503,_imp!$C$1212))</f>
        <v/>
      </c>
      <c r="D1210" s="54">
        <f>IF(_imp!$C$1212="","",INDEX(_imp!$G$4:$G$4503,_imp!$C$1212))</f>
        <v/>
      </c>
      <c r="E1210" s="54">
        <f>IF(_imp!$C$1212="","",INDEX(_imp!$H$4:$H$4503,_imp!$C$1212))</f>
        <v/>
      </c>
      <c r="F1210" s="54">
        <f>IF(_imp!$C$1212="","",INDEX(_imp!$I$4:$I$4503,_imp!$C$1212))</f>
        <v/>
      </c>
      <c r="G1210" s="54">
        <f>IF(_imp!$C$1212="","",INDEX(_imp!$J$4:$J$4503,_imp!$C$1212))</f>
        <v/>
      </c>
      <c r="K1210" s="54">
        <f>IF(_imp!$C$1212="","",INDEX(_imp!$K$4:$K$4503,_imp!$C$1212))</f>
        <v/>
      </c>
    </row>
    <row r="1211">
      <c r="A1211" s="54">
        <f>IF(_imp!$C$1213="","",INDEX(_imp!$D$4:$D$4503,_imp!$C$1213))</f>
        <v/>
      </c>
      <c r="B1211" s="54">
        <f>IF(_imp!$C$1213="","",INDEX(_imp!$E$4:$E$4503,_imp!$C$1213))</f>
        <v/>
      </c>
      <c r="C1211" s="54">
        <f>IF(_imp!$C$1213="","",INDEX(_imp!$F$4:$F$4503,_imp!$C$1213))</f>
        <v/>
      </c>
      <c r="D1211" s="54">
        <f>IF(_imp!$C$1213="","",INDEX(_imp!$G$4:$G$4503,_imp!$C$1213))</f>
        <v/>
      </c>
      <c r="E1211" s="54">
        <f>IF(_imp!$C$1213="","",INDEX(_imp!$H$4:$H$4503,_imp!$C$1213))</f>
        <v/>
      </c>
      <c r="F1211" s="54">
        <f>IF(_imp!$C$1213="","",INDEX(_imp!$I$4:$I$4503,_imp!$C$1213))</f>
        <v/>
      </c>
      <c r="G1211" s="54">
        <f>IF(_imp!$C$1213="","",INDEX(_imp!$J$4:$J$4503,_imp!$C$1213))</f>
        <v/>
      </c>
      <c r="K1211" s="54">
        <f>IF(_imp!$C$1213="","",INDEX(_imp!$K$4:$K$4503,_imp!$C$1213))</f>
        <v/>
      </c>
    </row>
    <row r="1212">
      <c r="A1212" s="54">
        <f>IF(_imp!$C$1214="","",INDEX(_imp!$D$4:$D$4503,_imp!$C$1214))</f>
        <v/>
      </c>
      <c r="B1212" s="54">
        <f>IF(_imp!$C$1214="","",INDEX(_imp!$E$4:$E$4503,_imp!$C$1214))</f>
        <v/>
      </c>
      <c r="C1212" s="54">
        <f>IF(_imp!$C$1214="","",INDEX(_imp!$F$4:$F$4503,_imp!$C$1214))</f>
        <v/>
      </c>
      <c r="D1212" s="54">
        <f>IF(_imp!$C$1214="","",INDEX(_imp!$G$4:$G$4503,_imp!$C$1214))</f>
        <v/>
      </c>
      <c r="E1212" s="54">
        <f>IF(_imp!$C$1214="","",INDEX(_imp!$H$4:$H$4503,_imp!$C$1214))</f>
        <v/>
      </c>
      <c r="F1212" s="54">
        <f>IF(_imp!$C$1214="","",INDEX(_imp!$I$4:$I$4503,_imp!$C$1214))</f>
        <v/>
      </c>
      <c r="G1212" s="54">
        <f>IF(_imp!$C$1214="","",INDEX(_imp!$J$4:$J$4503,_imp!$C$1214))</f>
        <v/>
      </c>
      <c r="K1212" s="54">
        <f>IF(_imp!$C$1214="","",INDEX(_imp!$K$4:$K$4503,_imp!$C$1214))</f>
        <v/>
      </c>
    </row>
    <row r="1213">
      <c r="A1213" s="54">
        <f>IF(_imp!$C$1215="","",INDEX(_imp!$D$4:$D$4503,_imp!$C$1215))</f>
        <v/>
      </c>
      <c r="B1213" s="54">
        <f>IF(_imp!$C$1215="","",INDEX(_imp!$E$4:$E$4503,_imp!$C$1215))</f>
        <v/>
      </c>
      <c r="C1213" s="54">
        <f>IF(_imp!$C$1215="","",INDEX(_imp!$F$4:$F$4503,_imp!$C$1215))</f>
        <v/>
      </c>
      <c r="D1213" s="54">
        <f>IF(_imp!$C$1215="","",INDEX(_imp!$G$4:$G$4503,_imp!$C$1215))</f>
        <v/>
      </c>
      <c r="E1213" s="54">
        <f>IF(_imp!$C$1215="","",INDEX(_imp!$H$4:$H$4503,_imp!$C$1215))</f>
        <v/>
      </c>
      <c r="F1213" s="54">
        <f>IF(_imp!$C$1215="","",INDEX(_imp!$I$4:$I$4503,_imp!$C$1215))</f>
        <v/>
      </c>
      <c r="G1213" s="54">
        <f>IF(_imp!$C$1215="","",INDEX(_imp!$J$4:$J$4503,_imp!$C$1215))</f>
        <v/>
      </c>
      <c r="K1213" s="54">
        <f>IF(_imp!$C$1215="","",INDEX(_imp!$K$4:$K$4503,_imp!$C$1215))</f>
        <v/>
      </c>
    </row>
    <row r="1214">
      <c r="A1214" s="54">
        <f>IF(_imp!$C$1216="","",INDEX(_imp!$D$4:$D$4503,_imp!$C$1216))</f>
        <v/>
      </c>
      <c r="B1214" s="54">
        <f>IF(_imp!$C$1216="","",INDEX(_imp!$E$4:$E$4503,_imp!$C$1216))</f>
        <v/>
      </c>
      <c r="C1214" s="54">
        <f>IF(_imp!$C$1216="","",INDEX(_imp!$F$4:$F$4503,_imp!$C$1216))</f>
        <v/>
      </c>
      <c r="D1214" s="54">
        <f>IF(_imp!$C$1216="","",INDEX(_imp!$G$4:$G$4503,_imp!$C$1216))</f>
        <v/>
      </c>
      <c r="E1214" s="54">
        <f>IF(_imp!$C$1216="","",INDEX(_imp!$H$4:$H$4503,_imp!$C$1216))</f>
        <v/>
      </c>
      <c r="F1214" s="54">
        <f>IF(_imp!$C$1216="","",INDEX(_imp!$I$4:$I$4503,_imp!$C$1216))</f>
        <v/>
      </c>
      <c r="G1214" s="54">
        <f>IF(_imp!$C$1216="","",INDEX(_imp!$J$4:$J$4503,_imp!$C$1216))</f>
        <v/>
      </c>
      <c r="K1214" s="54">
        <f>IF(_imp!$C$1216="","",INDEX(_imp!$K$4:$K$4503,_imp!$C$1216))</f>
        <v/>
      </c>
    </row>
    <row r="1215">
      <c r="A1215" s="54">
        <f>IF(_imp!$C$1217="","",INDEX(_imp!$D$4:$D$4503,_imp!$C$1217))</f>
        <v/>
      </c>
      <c r="B1215" s="54">
        <f>IF(_imp!$C$1217="","",INDEX(_imp!$E$4:$E$4503,_imp!$C$1217))</f>
        <v/>
      </c>
      <c r="C1215" s="54">
        <f>IF(_imp!$C$1217="","",INDEX(_imp!$F$4:$F$4503,_imp!$C$1217))</f>
        <v/>
      </c>
      <c r="D1215" s="54">
        <f>IF(_imp!$C$1217="","",INDEX(_imp!$G$4:$G$4503,_imp!$C$1217))</f>
        <v/>
      </c>
      <c r="E1215" s="54">
        <f>IF(_imp!$C$1217="","",INDEX(_imp!$H$4:$H$4503,_imp!$C$1217))</f>
        <v/>
      </c>
      <c r="F1215" s="54">
        <f>IF(_imp!$C$1217="","",INDEX(_imp!$I$4:$I$4503,_imp!$C$1217))</f>
        <v/>
      </c>
      <c r="G1215" s="54">
        <f>IF(_imp!$C$1217="","",INDEX(_imp!$J$4:$J$4503,_imp!$C$1217))</f>
        <v/>
      </c>
      <c r="K1215" s="54">
        <f>IF(_imp!$C$1217="","",INDEX(_imp!$K$4:$K$4503,_imp!$C$1217))</f>
        <v/>
      </c>
    </row>
    <row r="1216">
      <c r="A1216" s="54">
        <f>IF(_imp!$C$1218="","",INDEX(_imp!$D$4:$D$4503,_imp!$C$1218))</f>
        <v/>
      </c>
      <c r="B1216" s="54">
        <f>IF(_imp!$C$1218="","",INDEX(_imp!$E$4:$E$4503,_imp!$C$1218))</f>
        <v/>
      </c>
      <c r="C1216" s="54">
        <f>IF(_imp!$C$1218="","",INDEX(_imp!$F$4:$F$4503,_imp!$C$1218))</f>
        <v/>
      </c>
      <c r="D1216" s="54">
        <f>IF(_imp!$C$1218="","",INDEX(_imp!$G$4:$G$4503,_imp!$C$1218))</f>
        <v/>
      </c>
      <c r="E1216" s="54">
        <f>IF(_imp!$C$1218="","",INDEX(_imp!$H$4:$H$4503,_imp!$C$1218))</f>
        <v/>
      </c>
      <c r="F1216" s="54">
        <f>IF(_imp!$C$1218="","",INDEX(_imp!$I$4:$I$4503,_imp!$C$1218))</f>
        <v/>
      </c>
      <c r="G1216" s="54">
        <f>IF(_imp!$C$1218="","",INDEX(_imp!$J$4:$J$4503,_imp!$C$1218))</f>
        <v/>
      </c>
      <c r="K1216" s="54">
        <f>IF(_imp!$C$1218="","",INDEX(_imp!$K$4:$K$4503,_imp!$C$1218))</f>
        <v/>
      </c>
    </row>
    <row r="1217">
      <c r="A1217" s="54">
        <f>IF(_imp!$C$1219="","",INDEX(_imp!$D$4:$D$4503,_imp!$C$1219))</f>
        <v/>
      </c>
      <c r="B1217" s="54">
        <f>IF(_imp!$C$1219="","",INDEX(_imp!$E$4:$E$4503,_imp!$C$1219))</f>
        <v/>
      </c>
      <c r="C1217" s="54">
        <f>IF(_imp!$C$1219="","",INDEX(_imp!$F$4:$F$4503,_imp!$C$1219))</f>
        <v/>
      </c>
      <c r="D1217" s="54">
        <f>IF(_imp!$C$1219="","",INDEX(_imp!$G$4:$G$4503,_imp!$C$1219))</f>
        <v/>
      </c>
      <c r="E1217" s="54">
        <f>IF(_imp!$C$1219="","",INDEX(_imp!$H$4:$H$4503,_imp!$C$1219))</f>
        <v/>
      </c>
      <c r="F1217" s="54">
        <f>IF(_imp!$C$1219="","",INDEX(_imp!$I$4:$I$4503,_imp!$C$1219))</f>
        <v/>
      </c>
      <c r="G1217" s="54">
        <f>IF(_imp!$C$1219="","",INDEX(_imp!$J$4:$J$4503,_imp!$C$1219))</f>
        <v/>
      </c>
      <c r="K1217" s="54">
        <f>IF(_imp!$C$1219="","",INDEX(_imp!$K$4:$K$4503,_imp!$C$1219))</f>
        <v/>
      </c>
    </row>
    <row r="1218">
      <c r="A1218" s="54">
        <f>IF(_imp!$C$1220="","",INDEX(_imp!$D$4:$D$4503,_imp!$C$1220))</f>
        <v/>
      </c>
      <c r="B1218" s="54">
        <f>IF(_imp!$C$1220="","",INDEX(_imp!$E$4:$E$4503,_imp!$C$1220))</f>
        <v/>
      </c>
      <c r="C1218" s="54">
        <f>IF(_imp!$C$1220="","",INDEX(_imp!$F$4:$F$4503,_imp!$C$1220))</f>
        <v/>
      </c>
      <c r="D1218" s="54">
        <f>IF(_imp!$C$1220="","",INDEX(_imp!$G$4:$G$4503,_imp!$C$1220))</f>
        <v/>
      </c>
      <c r="E1218" s="54">
        <f>IF(_imp!$C$1220="","",INDEX(_imp!$H$4:$H$4503,_imp!$C$1220))</f>
        <v/>
      </c>
      <c r="F1218" s="54">
        <f>IF(_imp!$C$1220="","",INDEX(_imp!$I$4:$I$4503,_imp!$C$1220))</f>
        <v/>
      </c>
      <c r="G1218" s="54">
        <f>IF(_imp!$C$1220="","",INDEX(_imp!$J$4:$J$4503,_imp!$C$1220))</f>
        <v/>
      </c>
      <c r="K1218" s="54">
        <f>IF(_imp!$C$1220="","",INDEX(_imp!$K$4:$K$4503,_imp!$C$1220))</f>
        <v/>
      </c>
    </row>
    <row r="1219">
      <c r="A1219" s="54">
        <f>IF(_imp!$C$1221="","",INDEX(_imp!$D$4:$D$4503,_imp!$C$1221))</f>
        <v/>
      </c>
      <c r="B1219" s="54">
        <f>IF(_imp!$C$1221="","",INDEX(_imp!$E$4:$E$4503,_imp!$C$1221))</f>
        <v/>
      </c>
      <c r="C1219" s="54">
        <f>IF(_imp!$C$1221="","",INDEX(_imp!$F$4:$F$4503,_imp!$C$1221))</f>
        <v/>
      </c>
      <c r="D1219" s="54">
        <f>IF(_imp!$C$1221="","",INDEX(_imp!$G$4:$G$4503,_imp!$C$1221))</f>
        <v/>
      </c>
      <c r="E1219" s="54">
        <f>IF(_imp!$C$1221="","",INDEX(_imp!$H$4:$H$4503,_imp!$C$1221))</f>
        <v/>
      </c>
      <c r="F1219" s="54">
        <f>IF(_imp!$C$1221="","",INDEX(_imp!$I$4:$I$4503,_imp!$C$1221))</f>
        <v/>
      </c>
      <c r="G1219" s="54">
        <f>IF(_imp!$C$1221="","",INDEX(_imp!$J$4:$J$4503,_imp!$C$1221))</f>
        <v/>
      </c>
      <c r="K1219" s="54">
        <f>IF(_imp!$C$1221="","",INDEX(_imp!$K$4:$K$4503,_imp!$C$1221))</f>
        <v/>
      </c>
    </row>
    <row r="1220">
      <c r="A1220" s="54">
        <f>IF(_imp!$C$1222="","",INDEX(_imp!$D$4:$D$4503,_imp!$C$1222))</f>
        <v/>
      </c>
      <c r="B1220" s="54">
        <f>IF(_imp!$C$1222="","",INDEX(_imp!$E$4:$E$4503,_imp!$C$1222))</f>
        <v/>
      </c>
      <c r="C1220" s="54">
        <f>IF(_imp!$C$1222="","",INDEX(_imp!$F$4:$F$4503,_imp!$C$1222))</f>
        <v/>
      </c>
      <c r="D1220" s="54">
        <f>IF(_imp!$C$1222="","",INDEX(_imp!$G$4:$G$4503,_imp!$C$1222))</f>
        <v/>
      </c>
      <c r="E1220" s="54">
        <f>IF(_imp!$C$1222="","",INDEX(_imp!$H$4:$H$4503,_imp!$C$1222))</f>
        <v/>
      </c>
      <c r="F1220" s="54">
        <f>IF(_imp!$C$1222="","",INDEX(_imp!$I$4:$I$4503,_imp!$C$1222))</f>
        <v/>
      </c>
      <c r="G1220" s="54">
        <f>IF(_imp!$C$1222="","",INDEX(_imp!$J$4:$J$4503,_imp!$C$1222))</f>
        <v/>
      </c>
      <c r="K1220" s="54">
        <f>IF(_imp!$C$1222="","",INDEX(_imp!$K$4:$K$4503,_imp!$C$1222))</f>
        <v/>
      </c>
    </row>
    <row r="1221">
      <c r="A1221" s="54">
        <f>IF(_imp!$C$1223="","",INDEX(_imp!$D$4:$D$4503,_imp!$C$1223))</f>
        <v/>
      </c>
      <c r="B1221" s="54">
        <f>IF(_imp!$C$1223="","",INDEX(_imp!$E$4:$E$4503,_imp!$C$1223))</f>
        <v/>
      </c>
      <c r="C1221" s="54">
        <f>IF(_imp!$C$1223="","",INDEX(_imp!$F$4:$F$4503,_imp!$C$1223))</f>
        <v/>
      </c>
      <c r="D1221" s="54">
        <f>IF(_imp!$C$1223="","",INDEX(_imp!$G$4:$G$4503,_imp!$C$1223))</f>
        <v/>
      </c>
      <c r="E1221" s="54">
        <f>IF(_imp!$C$1223="","",INDEX(_imp!$H$4:$H$4503,_imp!$C$1223))</f>
        <v/>
      </c>
      <c r="F1221" s="54">
        <f>IF(_imp!$C$1223="","",INDEX(_imp!$I$4:$I$4503,_imp!$C$1223))</f>
        <v/>
      </c>
      <c r="G1221" s="54">
        <f>IF(_imp!$C$1223="","",INDEX(_imp!$J$4:$J$4503,_imp!$C$1223))</f>
        <v/>
      </c>
      <c r="K1221" s="54">
        <f>IF(_imp!$C$1223="","",INDEX(_imp!$K$4:$K$4503,_imp!$C$1223))</f>
        <v/>
      </c>
    </row>
    <row r="1222">
      <c r="A1222" s="54">
        <f>IF(_imp!$C$1224="","",INDEX(_imp!$D$4:$D$4503,_imp!$C$1224))</f>
        <v/>
      </c>
      <c r="B1222" s="54">
        <f>IF(_imp!$C$1224="","",INDEX(_imp!$E$4:$E$4503,_imp!$C$1224))</f>
        <v/>
      </c>
      <c r="C1222" s="54">
        <f>IF(_imp!$C$1224="","",INDEX(_imp!$F$4:$F$4503,_imp!$C$1224))</f>
        <v/>
      </c>
      <c r="D1222" s="54">
        <f>IF(_imp!$C$1224="","",INDEX(_imp!$G$4:$G$4503,_imp!$C$1224))</f>
        <v/>
      </c>
      <c r="E1222" s="54">
        <f>IF(_imp!$C$1224="","",INDEX(_imp!$H$4:$H$4503,_imp!$C$1224))</f>
        <v/>
      </c>
      <c r="F1222" s="54">
        <f>IF(_imp!$C$1224="","",INDEX(_imp!$I$4:$I$4503,_imp!$C$1224))</f>
        <v/>
      </c>
      <c r="G1222" s="54">
        <f>IF(_imp!$C$1224="","",INDEX(_imp!$J$4:$J$4503,_imp!$C$1224))</f>
        <v/>
      </c>
      <c r="K1222" s="54">
        <f>IF(_imp!$C$1224="","",INDEX(_imp!$K$4:$K$4503,_imp!$C$1224))</f>
        <v/>
      </c>
    </row>
    <row r="1223">
      <c r="A1223" s="54">
        <f>IF(_imp!$C$1225="","",INDEX(_imp!$D$4:$D$4503,_imp!$C$1225))</f>
        <v/>
      </c>
      <c r="B1223" s="54">
        <f>IF(_imp!$C$1225="","",INDEX(_imp!$E$4:$E$4503,_imp!$C$1225))</f>
        <v/>
      </c>
      <c r="C1223" s="54">
        <f>IF(_imp!$C$1225="","",INDEX(_imp!$F$4:$F$4503,_imp!$C$1225))</f>
        <v/>
      </c>
      <c r="D1223" s="54">
        <f>IF(_imp!$C$1225="","",INDEX(_imp!$G$4:$G$4503,_imp!$C$1225))</f>
        <v/>
      </c>
      <c r="E1223" s="54">
        <f>IF(_imp!$C$1225="","",INDEX(_imp!$H$4:$H$4503,_imp!$C$1225))</f>
        <v/>
      </c>
      <c r="F1223" s="54">
        <f>IF(_imp!$C$1225="","",INDEX(_imp!$I$4:$I$4503,_imp!$C$1225))</f>
        <v/>
      </c>
      <c r="G1223" s="54">
        <f>IF(_imp!$C$1225="","",INDEX(_imp!$J$4:$J$4503,_imp!$C$1225))</f>
        <v/>
      </c>
      <c r="K1223" s="54">
        <f>IF(_imp!$C$1225="","",INDEX(_imp!$K$4:$K$4503,_imp!$C$1225))</f>
        <v/>
      </c>
    </row>
    <row r="1224">
      <c r="A1224" s="54">
        <f>IF(_imp!$C$1226="","",INDEX(_imp!$D$4:$D$4503,_imp!$C$1226))</f>
        <v/>
      </c>
      <c r="B1224" s="54">
        <f>IF(_imp!$C$1226="","",INDEX(_imp!$E$4:$E$4503,_imp!$C$1226))</f>
        <v/>
      </c>
      <c r="C1224" s="54">
        <f>IF(_imp!$C$1226="","",INDEX(_imp!$F$4:$F$4503,_imp!$C$1226))</f>
        <v/>
      </c>
      <c r="D1224" s="54">
        <f>IF(_imp!$C$1226="","",INDEX(_imp!$G$4:$G$4503,_imp!$C$1226))</f>
        <v/>
      </c>
      <c r="E1224" s="54">
        <f>IF(_imp!$C$1226="","",INDEX(_imp!$H$4:$H$4503,_imp!$C$1226))</f>
        <v/>
      </c>
      <c r="F1224" s="54">
        <f>IF(_imp!$C$1226="","",INDEX(_imp!$I$4:$I$4503,_imp!$C$1226))</f>
        <v/>
      </c>
      <c r="G1224" s="54">
        <f>IF(_imp!$C$1226="","",INDEX(_imp!$J$4:$J$4503,_imp!$C$1226))</f>
        <v/>
      </c>
      <c r="K1224" s="54">
        <f>IF(_imp!$C$1226="","",INDEX(_imp!$K$4:$K$4503,_imp!$C$1226))</f>
        <v/>
      </c>
    </row>
    <row r="1225">
      <c r="A1225" s="54">
        <f>IF(_imp!$C$1227="","",INDEX(_imp!$D$4:$D$4503,_imp!$C$1227))</f>
        <v/>
      </c>
      <c r="B1225" s="54">
        <f>IF(_imp!$C$1227="","",INDEX(_imp!$E$4:$E$4503,_imp!$C$1227))</f>
        <v/>
      </c>
      <c r="C1225" s="54">
        <f>IF(_imp!$C$1227="","",INDEX(_imp!$F$4:$F$4503,_imp!$C$1227))</f>
        <v/>
      </c>
      <c r="D1225" s="54">
        <f>IF(_imp!$C$1227="","",INDEX(_imp!$G$4:$G$4503,_imp!$C$1227))</f>
        <v/>
      </c>
      <c r="E1225" s="54">
        <f>IF(_imp!$C$1227="","",INDEX(_imp!$H$4:$H$4503,_imp!$C$1227))</f>
        <v/>
      </c>
      <c r="F1225" s="54">
        <f>IF(_imp!$C$1227="","",INDEX(_imp!$I$4:$I$4503,_imp!$C$1227))</f>
        <v/>
      </c>
      <c r="G1225" s="54">
        <f>IF(_imp!$C$1227="","",INDEX(_imp!$J$4:$J$4503,_imp!$C$1227))</f>
        <v/>
      </c>
      <c r="K1225" s="54">
        <f>IF(_imp!$C$1227="","",INDEX(_imp!$K$4:$K$4503,_imp!$C$1227))</f>
        <v/>
      </c>
    </row>
    <row r="1226">
      <c r="A1226" s="54">
        <f>IF(_imp!$C$1228="","",INDEX(_imp!$D$4:$D$4503,_imp!$C$1228))</f>
        <v/>
      </c>
      <c r="B1226" s="54">
        <f>IF(_imp!$C$1228="","",INDEX(_imp!$E$4:$E$4503,_imp!$C$1228))</f>
        <v/>
      </c>
      <c r="C1226" s="54">
        <f>IF(_imp!$C$1228="","",INDEX(_imp!$F$4:$F$4503,_imp!$C$1228))</f>
        <v/>
      </c>
      <c r="D1226" s="54">
        <f>IF(_imp!$C$1228="","",INDEX(_imp!$G$4:$G$4503,_imp!$C$1228))</f>
        <v/>
      </c>
      <c r="E1226" s="54">
        <f>IF(_imp!$C$1228="","",INDEX(_imp!$H$4:$H$4503,_imp!$C$1228))</f>
        <v/>
      </c>
      <c r="F1226" s="54">
        <f>IF(_imp!$C$1228="","",INDEX(_imp!$I$4:$I$4503,_imp!$C$1228))</f>
        <v/>
      </c>
      <c r="G1226" s="54">
        <f>IF(_imp!$C$1228="","",INDEX(_imp!$J$4:$J$4503,_imp!$C$1228))</f>
        <v/>
      </c>
      <c r="K1226" s="54">
        <f>IF(_imp!$C$1228="","",INDEX(_imp!$K$4:$K$4503,_imp!$C$1228))</f>
        <v/>
      </c>
    </row>
    <row r="1227">
      <c r="A1227" s="54">
        <f>IF(_imp!$C$1229="","",INDEX(_imp!$D$4:$D$4503,_imp!$C$1229))</f>
        <v/>
      </c>
      <c r="B1227" s="54">
        <f>IF(_imp!$C$1229="","",INDEX(_imp!$E$4:$E$4503,_imp!$C$1229))</f>
        <v/>
      </c>
      <c r="C1227" s="54">
        <f>IF(_imp!$C$1229="","",INDEX(_imp!$F$4:$F$4503,_imp!$C$1229))</f>
        <v/>
      </c>
      <c r="D1227" s="54">
        <f>IF(_imp!$C$1229="","",INDEX(_imp!$G$4:$G$4503,_imp!$C$1229))</f>
        <v/>
      </c>
      <c r="E1227" s="54">
        <f>IF(_imp!$C$1229="","",INDEX(_imp!$H$4:$H$4503,_imp!$C$1229))</f>
        <v/>
      </c>
      <c r="F1227" s="54">
        <f>IF(_imp!$C$1229="","",INDEX(_imp!$I$4:$I$4503,_imp!$C$1229))</f>
        <v/>
      </c>
      <c r="G1227" s="54">
        <f>IF(_imp!$C$1229="","",INDEX(_imp!$J$4:$J$4503,_imp!$C$1229))</f>
        <v/>
      </c>
      <c r="K1227" s="54">
        <f>IF(_imp!$C$1229="","",INDEX(_imp!$K$4:$K$4503,_imp!$C$1229))</f>
        <v/>
      </c>
    </row>
    <row r="1228">
      <c r="A1228" s="54">
        <f>IF(_imp!$C$1230="","",INDEX(_imp!$D$4:$D$4503,_imp!$C$1230))</f>
        <v/>
      </c>
      <c r="B1228" s="54">
        <f>IF(_imp!$C$1230="","",INDEX(_imp!$E$4:$E$4503,_imp!$C$1230))</f>
        <v/>
      </c>
      <c r="C1228" s="54">
        <f>IF(_imp!$C$1230="","",INDEX(_imp!$F$4:$F$4503,_imp!$C$1230))</f>
        <v/>
      </c>
      <c r="D1228" s="54">
        <f>IF(_imp!$C$1230="","",INDEX(_imp!$G$4:$G$4503,_imp!$C$1230))</f>
        <v/>
      </c>
      <c r="E1228" s="54">
        <f>IF(_imp!$C$1230="","",INDEX(_imp!$H$4:$H$4503,_imp!$C$1230))</f>
        <v/>
      </c>
      <c r="F1228" s="54">
        <f>IF(_imp!$C$1230="","",INDEX(_imp!$I$4:$I$4503,_imp!$C$1230))</f>
        <v/>
      </c>
      <c r="G1228" s="54">
        <f>IF(_imp!$C$1230="","",INDEX(_imp!$J$4:$J$4503,_imp!$C$1230))</f>
        <v/>
      </c>
      <c r="K1228" s="54">
        <f>IF(_imp!$C$1230="","",INDEX(_imp!$K$4:$K$4503,_imp!$C$1230))</f>
        <v/>
      </c>
    </row>
    <row r="1229">
      <c r="A1229" s="54">
        <f>IF(_imp!$C$1231="","",INDEX(_imp!$D$4:$D$4503,_imp!$C$1231))</f>
        <v/>
      </c>
      <c r="B1229" s="54">
        <f>IF(_imp!$C$1231="","",INDEX(_imp!$E$4:$E$4503,_imp!$C$1231))</f>
        <v/>
      </c>
      <c r="C1229" s="54">
        <f>IF(_imp!$C$1231="","",INDEX(_imp!$F$4:$F$4503,_imp!$C$1231))</f>
        <v/>
      </c>
      <c r="D1229" s="54">
        <f>IF(_imp!$C$1231="","",INDEX(_imp!$G$4:$G$4503,_imp!$C$1231))</f>
        <v/>
      </c>
      <c r="E1229" s="54">
        <f>IF(_imp!$C$1231="","",INDEX(_imp!$H$4:$H$4503,_imp!$C$1231))</f>
        <v/>
      </c>
      <c r="F1229" s="54">
        <f>IF(_imp!$C$1231="","",INDEX(_imp!$I$4:$I$4503,_imp!$C$1231))</f>
        <v/>
      </c>
      <c r="G1229" s="54">
        <f>IF(_imp!$C$1231="","",INDEX(_imp!$J$4:$J$4503,_imp!$C$1231))</f>
        <v/>
      </c>
      <c r="K1229" s="54">
        <f>IF(_imp!$C$1231="","",INDEX(_imp!$K$4:$K$4503,_imp!$C$1231))</f>
        <v/>
      </c>
    </row>
    <row r="1230">
      <c r="A1230" s="54">
        <f>IF(_imp!$C$1232="","",INDEX(_imp!$D$4:$D$4503,_imp!$C$1232))</f>
        <v/>
      </c>
      <c r="B1230" s="54">
        <f>IF(_imp!$C$1232="","",INDEX(_imp!$E$4:$E$4503,_imp!$C$1232))</f>
        <v/>
      </c>
      <c r="C1230" s="54">
        <f>IF(_imp!$C$1232="","",INDEX(_imp!$F$4:$F$4503,_imp!$C$1232))</f>
        <v/>
      </c>
      <c r="D1230" s="54">
        <f>IF(_imp!$C$1232="","",INDEX(_imp!$G$4:$G$4503,_imp!$C$1232))</f>
        <v/>
      </c>
      <c r="E1230" s="54">
        <f>IF(_imp!$C$1232="","",INDEX(_imp!$H$4:$H$4503,_imp!$C$1232))</f>
        <v/>
      </c>
      <c r="F1230" s="54">
        <f>IF(_imp!$C$1232="","",INDEX(_imp!$I$4:$I$4503,_imp!$C$1232))</f>
        <v/>
      </c>
      <c r="G1230" s="54">
        <f>IF(_imp!$C$1232="","",INDEX(_imp!$J$4:$J$4503,_imp!$C$1232))</f>
        <v/>
      </c>
      <c r="K1230" s="54">
        <f>IF(_imp!$C$1232="","",INDEX(_imp!$K$4:$K$4503,_imp!$C$1232))</f>
        <v/>
      </c>
    </row>
    <row r="1231">
      <c r="A1231" s="54">
        <f>IF(_imp!$C$1233="","",INDEX(_imp!$D$4:$D$4503,_imp!$C$1233))</f>
        <v/>
      </c>
      <c r="B1231" s="54">
        <f>IF(_imp!$C$1233="","",INDEX(_imp!$E$4:$E$4503,_imp!$C$1233))</f>
        <v/>
      </c>
      <c r="C1231" s="54">
        <f>IF(_imp!$C$1233="","",INDEX(_imp!$F$4:$F$4503,_imp!$C$1233))</f>
        <v/>
      </c>
      <c r="D1231" s="54">
        <f>IF(_imp!$C$1233="","",INDEX(_imp!$G$4:$G$4503,_imp!$C$1233))</f>
        <v/>
      </c>
      <c r="E1231" s="54">
        <f>IF(_imp!$C$1233="","",INDEX(_imp!$H$4:$H$4503,_imp!$C$1233))</f>
        <v/>
      </c>
      <c r="F1231" s="54">
        <f>IF(_imp!$C$1233="","",INDEX(_imp!$I$4:$I$4503,_imp!$C$1233))</f>
        <v/>
      </c>
      <c r="G1231" s="54">
        <f>IF(_imp!$C$1233="","",INDEX(_imp!$J$4:$J$4503,_imp!$C$1233))</f>
        <v/>
      </c>
      <c r="K1231" s="54">
        <f>IF(_imp!$C$1233="","",INDEX(_imp!$K$4:$K$4503,_imp!$C$1233))</f>
        <v/>
      </c>
    </row>
    <row r="1232">
      <c r="A1232" s="54">
        <f>IF(_imp!$C$1234="","",INDEX(_imp!$D$4:$D$4503,_imp!$C$1234))</f>
        <v/>
      </c>
      <c r="B1232" s="54">
        <f>IF(_imp!$C$1234="","",INDEX(_imp!$E$4:$E$4503,_imp!$C$1234))</f>
        <v/>
      </c>
      <c r="C1232" s="54">
        <f>IF(_imp!$C$1234="","",INDEX(_imp!$F$4:$F$4503,_imp!$C$1234))</f>
        <v/>
      </c>
      <c r="D1232" s="54">
        <f>IF(_imp!$C$1234="","",INDEX(_imp!$G$4:$G$4503,_imp!$C$1234))</f>
        <v/>
      </c>
      <c r="E1232" s="54">
        <f>IF(_imp!$C$1234="","",INDEX(_imp!$H$4:$H$4503,_imp!$C$1234))</f>
        <v/>
      </c>
      <c r="F1232" s="54">
        <f>IF(_imp!$C$1234="","",INDEX(_imp!$I$4:$I$4503,_imp!$C$1234))</f>
        <v/>
      </c>
      <c r="G1232" s="54">
        <f>IF(_imp!$C$1234="","",INDEX(_imp!$J$4:$J$4503,_imp!$C$1234))</f>
        <v/>
      </c>
      <c r="K1232" s="54">
        <f>IF(_imp!$C$1234="","",INDEX(_imp!$K$4:$K$4503,_imp!$C$1234))</f>
        <v/>
      </c>
    </row>
    <row r="1233">
      <c r="A1233" s="54">
        <f>IF(_imp!$C$1235="","",INDEX(_imp!$D$4:$D$4503,_imp!$C$1235))</f>
        <v/>
      </c>
      <c r="B1233" s="54">
        <f>IF(_imp!$C$1235="","",INDEX(_imp!$E$4:$E$4503,_imp!$C$1235))</f>
        <v/>
      </c>
      <c r="C1233" s="54">
        <f>IF(_imp!$C$1235="","",INDEX(_imp!$F$4:$F$4503,_imp!$C$1235))</f>
        <v/>
      </c>
      <c r="D1233" s="54">
        <f>IF(_imp!$C$1235="","",INDEX(_imp!$G$4:$G$4503,_imp!$C$1235))</f>
        <v/>
      </c>
      <c r="E1233" s="54">
        <f>IF(_imp!$C$1235="","",INDEX(_imp!$H$4:$H$4503,_imp!$C$1235))</f>
        <v/>
      </c>
      <c r="F1233" s="54">
        <f>IF(_imp!$C$1235="","",INDEX(_imp!$I$4:$I$4503,_imp!$C$1235))</f>
        <v/>
      </c>
      <c r="G1233" s="54">
        <f>IF(_imp!$C$1235="","",INDEX(_imp!$J$4:$J$4503,_imp!$C$1235))</f>
        <v/>
      </c>
      <c r="K1233" s="54">
        <f>IF(_imp!$C$1235="","",INDEX(_imp!$K$4:$K$4503,_imp!$C$1235))</f>
        <v/>
      </c>
    </row>
    <row r="1234">
      <c r="A1234" s="54">
        <f>IF(_imp!$C$1236="","",INDEX(_imp!$D$4:$D$4503,_imp!$C$1236))</f>
        <v/>
      </c>
      <c r="B1234" s="54">
        <f>IF(_imp!$C$1236="","",INDEX(_imp!$E$4:$E$4503,_imp!$C$1236))</f>
        <v/>
      </c>
      <c r="C1234" s="54">
        <f>IF(_imp!$C$1236="","",INDEX(_imp!$F$4:$F$4503,_imp!$C$1236))</f>
        <v/>
      </c>
      <c r="D1234" s="54">
        <f>IF(_imp!$C$1236="","",INDEX(_imp!$G$4:$G$4503,_imp!$C$1236))</f>
        <v/>
      </c>
      <c r="E1234" s="54">
        <f>IF(_imp!$C$1236="","",INDEX(_imp!$H$4:$H$4503,_imp!$C$1236))</f>
        <v/>
      </c>
      <c r="F1234" s="54">
        <f>IF(_imp!$C$1236="","",INDEX(_imp!$I$4:$I$4503,_imp!$C$1236))</f>
        <v/>
      </c>
      <c r="G1234" s="54">
        <f>IF(_imp!$C$1236="","",INDEX(_imp!$J$4:$J$4503,_imp!$C$1236))</f>
        <v/>
      </c>
      <c r="K1234" s="54">
        <f>IF(_imp!$C$1236="","",INDEX(_imp!$K$4:$K$4503,_imp!$C$1236))</f>
        <v/>
      </c>
    </row>
    <row r="1235">
      <c r="A1235" s="54">
        <f>IF(_imp!$C$1237="","",INDEX(_imp!$D$4:$D$4503,_imp!$C$1237))</f>
        <v/>
      </c>
      <c r="B1235" s="54">
        <f>IF(_imp!$C$1237="","",INDEX(_imp!$E$4:$E$4503,_imp!$C$1237))</f>
        <v/>
      </c>
      <c r="C1235" s="54">
        <f>IF(_imp!$C$1237="","",INDEX(_imp!$F$4:$F$4503,_imp!$C$1237))</f>
        <v/>
      </c>
      <c r="D1235" s="54">
        <f>IF(_imp!$C$1237="","",INDEX(_imp!$G$4:$G$4503,_imp!$C$1237))</f>
        <v/>
      </c>
      <c r="E1235" s="54">
        <f>IF(_imp!$C$1237="","",INDEX(_imp!$H$4:$H$4503,_imp!$C$1237))</f>
        <v/>
      </c>
      <c r="F1235" s="54">
        <f>IF(_imp!$C$1237="","",INDEX(_imp!$I$4:$I$4503,_imp!$C$1237))</f>
        <v/>
      </c>
      <c r="G1235" s="54">
        <f>IF(_imp!$C$1237="","",INDEX(_imp!$J$4:$J$4503,_imp!$C$1237))</f>
        <v/>
      </c>
      <c r="K1235" s="54">
        <f>IF(_imp!$C$1237="","",INDEX(_imp!$K$4:$K$4503,_imp!$C$1237))</f>
        <v/>
      </c>
    </row>
    <row r="1236">
      <c r="A1236" s="54">
        <f>IF(_imp!$C$1238="","",INDEX(_imp!$D$4:$D$4503,_imp!$C$1238))</f>
        <v/>
      </c>
      <c r="B1236" s="54">
        <f>IF(_imp!$C$1238="","",INDEX(_imp!$E$4:$E$4503,_imp!$C$1238))</f>
        <v/>
      </c>
      <c r="C1236" s="54">
        <f>IF(_imp!$C$1238="","",INDEX(_imp!$F$4:$F$4503,_imp!$C$1238))</f>
        <v/>
      </c>
      <c r="D1236" s="54">
        <f>IF(_imp!$C$1238="","",INDEX(_imp!$G$4:$G$4503,_imp!$C$1238))</f>
        <v/>
      </c>
      <c r="E1236" s="54">
        <f>IF(_imp!$C$1238="","",INDEX(_imp!$H$4:$H$4503,_imp!$C$1238))</f>
        <v/>
      </c>
      <c r="F1236" s="54">
        <f>IF(_imp!$C$1238="","",INDEX(_imp!$I$4:$I$4503,_imp!$C$1238))</f>
        <v/>
      </c>
      <c r="G1236" s="54">
        <f>IF(_imp!$C$1238="","",INDEX(_imp!$J$4:$J$4503,_imp!$C$1238))</f>
        <v/>
      </c>
      <c r="K1236" s="54">
        <f>IF(_imp!$C$1238="","",INDEX(_imp!$K$4:$K$4503,_imp!$C$1238))</f>
        <v/>
      </c>
    </row>
    <row r="1237">
      <c r="A1237" s="54">
        <f>IF(_imp!$C$1239="","",INDEX(_imp!$D$4:$D$4503,_imp!$C$1239))</f>
        <v/>
      </c>
      <c r="B1237" s="54">
        <f>IF(_imp!$C$1239="","",INDEX(_imp!$E$4:$E$4503,_imp!$C$1239))</f>
        <v/>
      </c>
      <c r="C1237" s="54">
        <f>IF(_imp!$C$1239="","",INDEX(_imp!$F$4:$F$4503,_imp!$C$1239))</f>
        <v/>
      </c>
      <c r="D1237" s="54">
        <f>IF(_imp!$C$1239="","",INDEX(_imp!$G$4:$G$4503,_imp!$C$1239))</f>
        <v/>
      </c>
      <c r="E1237" s="54">
        <f>IF(_imp!$C$1239="","",INDEX(_imp!$H$4:$H$4503,_imp!$C$1239))</f>
        <v/>
      </c>
      <c r="F1237" s="54">
        <f>IF(_imp!$C$1239="","",INDEX(_imp!$I$4:$I$4503,_imp!$C$1239))</f>
        <v/>
      </c>
      <c r="G1237" s="54">
        <f>IF(_imp!$C$1239="","",INDEX(_imp!$J$4:$J$4503,_imp!$C$1239))</f>
        <v/>
      </c>
      <c r="K1237" s="54">
        <f>IF(_imp!$C$1239="","",INDEX(_imp!$K$4:$K$4503,_imp!$C$1239))</f>
        <v/>
      </c>
    </row>
    <row r="1238">
      <c r="A1238" s="54">
        <f>IF(_imp!$C$1240="","",INDEX(_imp!$D$4:$D$4503,_imp!$C$1240))</f>
        <v/>
      </c>
      <c r="B1238" s="54">
        <f>IF(_imp!$C$1240="","",INDEX(_imp!$E$4:$E$4503,_imp!$C$1240))</f>
        <v/>
      </c>
      <c r="C1238" s="54">
        <f>IF(_imp!$C$1240="","",INDEX(_imp!$F$4:$F$4503,_imp!$C$1240))</f>
        <v/>
      </c>
      <c r="D1238" s="54">
        <f>IF(_imp!$C$1240="","",INDEX(_imp!$G$4:$G$4503,_imp!$C$1240))</f>
        <v/>
      </c>
      <c r="E1238" s="54">
        <f>IF(_imp!$C$1240="","",INDEX(_imp!$H$4:$H$4503,_imp!$C$1240))</f>
        <v/>
      </c>
      <c r="F1238" s="54">
        <f>IF(_imp!$C$1240="","",INDEX(_imp!$I$4:$I$4503,_imp!$C$1240))</f>
        <v/>
      </c>
      <c r="G1238" s="54">
        <f>IF(_imp!$C$1240="","",INDEX(_imp!$J$4:$J$4503,_imp!$C$1240))</f>
        <v/>
      </c>
      <c r="K1238" s="54">
        <f>IF(_imp!$C$1240="","",INDEX(_imp!$K$4:$K$4503,_imp!$C$1240))</f>
        <v/>
      </c>
    </row>
    <row r="1239">
      <c r="A1239" s="54">
        <f>IF(_imp!$C$1241="","",INDEX(_imp!$D$4:$D$4503,_imp!$C$1241))</f>
        <v/>
      </c>
      <c r="B1239" s="54">
        <f>IF(_imp!$C$1241="","",INDEX(_imp!$E$4:$E$4503,_imp!$C$1241))</f>
        <v/>
      </c>
      <c r="C1239" s="54">
        <f>IF(_imp!$C$1241="","",INDEX(_imp!$F$4:$F$4503,_imp!$C$1241))</f>
        <v/>
      </c>
      <c r="D1239" s="54">
        <f>IF(_imp!$C$1241="","",INDEX(_imp!$G$4:$G$4503,_imp!$C$1241))</f>
        <v/>
      </c>
      <c r="E1239" s="54">
        <f>IF(_imp!$C$1241="","",INDEX(_imp!$H$4:$H$4503,_imp!$C$1241))</f>
        <v/>
      </c>
      <c r="F1239" s="54">
        <f>IF(_imp!$C$1241="","",INDEX(_imp!$I$4:$I$4503,_imp!$C$1241))</f>
        <v/>
      </c>
      <c r="G1239" s="54">
        <f>IF(_imp!$C$1241="","",INDEX(_imp!$J$4:$J$4503,_imp!$C$1241))</f>
        <v/>
      </c>
      <c r="K1239" s="54">
        <f>IF(_imp!$C$1241="","",INDEX(_imp!$K$4:$K$4503,_imp!$C$1241))</f>
        <v/>
      </c>
    </row>
    <row r="1240">
      <c r="A1240" s="54">
        <f>IF(_imp!$C$1242="","",INDEX(_imp!$D$4:$D$4503,_imp!$C$1242))</f>
        <v/>
      </c>
      <c r="B1240" s="54">
        <f>IF(_imp!$C$1242="","",INDEX(_imp!$E$4:$E$4503,_imp!$C$1242))</f>
        <v/>
      </c>
      <c r="C1240" s="54">
        <f>IF(_imp!$C$1242="","",INDEX(_imp!$F$4:$F$4503,_imp!$C$1242))</f>
        <v/>
      </c>
      <c r="D1240" s="54">
        <f>IF(_imp!$C$1242="","",INDEX(_imp!$G$4:$G$4503,_imp!$C$1242))</f>
        <v/>
      </c>
      <c r="E1240" s="54">
        <f>IF(_imp!$C$1242="","",INDEX(_imp!$H$4:$H$4503,_imp!$C$1242))</f>
        <v/>
      </c>
      <c r="F1240" s="54">
        <f>IF(_imp!$C$1242="","",INDEX(_imp!$I$4:$I$4503,_imp!$C$1242))</f>
        <v/>
      </c>
      <c r="G1240" s="54">
        <f>IF(_imp!$C$1242="","",INDEX(_imp!$J$4:$J$4503,_imp!$C$1242))</f>
        <v/>
      </c>
      <c r="K1240" s="54">
        <f>IF(_imp!$C$1242="","",INDEX(_imp!$K$4:$K$4503,_imp!$C$1242))</f>
        <v/>
      </c>
    </row>
    <row r="1241">
      <c r="A1241" s="54">
        <f>IF(_imp!$C$1243="","",INDEX(_imp!$D$4:$D$4503,_imp!$C$1243))</f>
        <v/>
      </c>
      <c r="B1241" s="54">
        <f>IF(_imp!$C$1243="","",INDEX(_imp!$E$4:$E$4503,_imp!$C$1243))</f>
        <v/>
      </c>
      <c r="C1241" s="54">
        <f>IF(_imp!$C$1243="","",INDEX(_imp!$F$4:$F$4503,_imp!$C$1243))</f>
        <v/>
      </c>
      <c r="D1241" s="54">
        <f>IF(_imp!$C$1243="","",INDEX(_imp!$G$4:$G$4503,_imp!$C$1243))</f>
        <v/>
      </c>
      <c r="E1241" s="54">
        <f>IF(_imp!$C$1243="","",INDEX(_imp!$H$4:$H$4503,_imp!$C$1243))</f>
        <v/>
      </c>
      <c r="F1241" s="54">
        <f>IF(_imp!$C$1243="","",INDEX(_imp!$I$4:$I$4503,_imp!$C$1243))</f>
        <v/>
      </c>
      <c r="G1241" s="54">
        <f>IF(_imp!$C$1243="","",INDEX(_imp!$J$4:$J$4503,_imp!$C$1243))</f>
        <v/>
      </c>
      <c r="K1241" s="54">
        <f>IF(_imp!$C$1243="","",INDEX(_imp!$K$4:$K$4503,_imp!$C$1243))</f>
        <v/>
      </c>
    </row>
    <row r="1242">
      <c r="A1242" s="54">
        <f>IF(_imp!$C$1244="","",INDEX(_imp!$D$4:$D$4503,_imp!$C$1244))</f>
        <v/>
      </c>
      <c r="B1242" s="54">
        <f>IF(_imp!$C$1244="","",INDEX(_imp!$E$4:$E$4503,_imp!$C$1244))</f>
        <v/>
      </c>
      <c r="C1242" s="54">
        <f>IF(_imp!$C$1244="","",INDEX(_imp!$F$4:$F$4503,_imp!$C$1244))</f>
        <v/>
      </c>
      <c r="D1242" s="54">
        <f>IF(_imp!$C$1244="","",INDEX(_imp!$G$4:$G$4503,_imp!$C$1244))</f>
        <v/>
      </c>
      <c r="E1242" s="54">
        <f>IF(_imp!$C$1244="","",INDEX(_imp!$H$4:$H$4503,_imp!$C$1244))</f>
        <v/>
      </c>
      <c r="F1242" s="54">
        <f>IF(_imp!$C$1244="","",INDEX(_imp!$I$4:$I$4503,_imp!$C$1244))</f>
        <v/>
      </c>
      <c r="G1242" s="54">
        <f>IF(_imp!$C$1244="","",INDEX(_imp!$J$4:$J$4503,_imp!$C$1244))</f>
        <v/>
      </c>
      <c r="K1242" s="54">
        <f>IF(_imp!$C$1244="","",INDEX(_imp!$K$4:$K$4503,_imp!$C$1244))</f>
        <v/>
      </c>
    </row>
    <row r="1243">
      <c r="A1243" s="54">
        <f>IF(_imp!$C$1245="","",INDEX(_imp!$D$4:$D$4503,_imp!$C$1245))</f>
        <v/>
      </c>
      <c r="B1243" s="54">
        <f>IF(_imp!$C$1245="","",INDEX(_imp!$E$4:$E$4503,_imp!$C$1245))</f>
        <v/>
      </c>
      <c r="C1243" s="54">
        <f>IF(_imp!$C$1245="","",INDEX(_imp!$F$4:$F$4503,_imp!$C$1245))</f>
        <v/>
      </c>
      <c r="D1243" s="54">
        <f>IF(_imp!$C$1245="","",INDEX(_imp!$G$4:$G$4503,_imp!$C$1245))</f>
        <v/>
      </c>
      <c r="E1243" s="54">
        <f>IF(_imp!$C$1245="","",INDEX(_imp!$H$4:$H$4503,_imp!$C$1245))</f>
        <v/>
      </c>
      <c r="F1243" s="54">
        <f>IF(_imp!$C$1245="","",INDEX(_imp!$I$4:$I$4503,_imp!$C$1245))</f>
        <v/>
      </c>
      <c r="G1243" s="54">
        <f>IF(_imp!$C$1245="","",INDEX(_imp!$J$4:$J$4503,_imp!$C$1245))</f>
        <v/>
      </c>
      <c r="K1243" s="54">
        <f>IF(_imp!$C$1245="","",INDEX(_imp!$K$4:$K$4503,_imp!$C$1245))</f>
        <v/>
      </c>
    </row>
    <row r="1244">
      <c r="A1244" s="54">
        <f>IF(_imp!$C$1246="","",INDEX(_imp!$D$4:$D$4503,_imp!$C$1246))</f>
        <v/>
      </c>
      <c r="B1244" s="54">
        <f>IF(_imp!$C$1246="","",INDEX(_imp!$E$4:$E$4503,_imp!$C$1246))</f>
        <v/>
      </c>
      <c r="C1244" s="54">
        <f>IF(_imp!$C$1246="","",INDEX(_imp!$F$4:$F$4503,_imp!$C$1246))</f>
        <v/>
      </c>
      <c r="D1244" s="54">
        <f>IF(_imp!$C$1246="","",INDEX(_imp!$G$4:$G$4503,_imp!$C$1246))</f>
        <v/>
      </c>
      <c r="E1244" s="54">
        <f>IF(_imp!$C$1246="","",INDEX(_imp!$H$4:$H$4503,_imp!$C$1246))</f>
        <v/>
      </c>
      <c r="F1244" s="54">
        <f>IF(_imp!$C$1246="","",INDEX(_imp!$I$4:$I$4503,_imp!$C$1246))</f>
        <v/>
      </c>
      <c r="G1244" s="54">
        <f>IF(_imp!$C$1246="","",INDEX(_imp!$J$4:$J$4503,_imp!$C$1246))</f>
        <v/>
      </c>
      <c r="K1244" s="54">
        <f>IF(_imp!$C$1246="","",INDEX(_imp!$K$4:$K$4503,_imp!$C$1246))</f>
        <v/>
      </c>
    </row>
    <row r="1245">
      <c r="A1245" s="54">
        <f>IF(_imp!$C$1247="","",INDEX(_imp!$D$4:$D$4503,_imp!$C$1247))</f>
        <v/>
      </c>
      <c r="B1245" s="54">
        <f>IF(_imp!$C$1247="","",INDEX(_imp!$E$4:$E$4503,_imp!$C$1247))</f>
        <v/>
      </c>
      <c r="C1245" s="54">
        <f>IF(_imp!$C$1247="","",INDEX(_imp!$F$4:$F$4503,_imp!$C$1247))</f>
        <v/>
      </c>
      <c r="D1245" s="54">
        <f>IF(_imp!$C$1247="","",INDEX(_imp!$G$4:$G$4503,_imp!$C$1247))</f>
        <v/>
      </c>
      <c r="E1245" s="54">
        <f>IF(_imp!$C$1247="","",INDEX(_imp!$H$4:$H$4503,_imp!$C$1247))</f>
        <v/>
      </c>
      <c r="F1245" s="54">
        <f>IF(_imp!$C$1247="","",INDEX(_imp!$I$4:$I$4503,_imp!$C$1247))</f>
        <v/>
      </c>
      <c r="G1245" s="54">
        <f>IF(_imp!$C$1247="","",INDEX(_imp!$J$4:$J$4503,_imp!$C$1247))</f>
        <v/>
      </c>
      <c r="K1245" s="54">
        <f>IF(_imp!$C$1247="","",INDEX(_imp!$K$4:$K$4503,_imp!$C$1247))</f>
        <v/>
      </c>
    </row>
    <row r="1246">
      <c r="A1246" s="54">
        <f>IF(_imp!$C$1248="","",INDEX(_imp!$D$4:$D$4503,_imp!$C$1248))</f>
        <v/>
      </c>
      <c r="B1246" s="54">
        <f>IF(_imp!$C$1248="","",INDEX(_imp!$E$4:$E$4503,_imp!$C$1248))</f>
        <v/>
      </c>
      <c r="C1246" s="54">
        <f>IF(_imp!$C$1248="","",INDEX(_imp!$F$4:$F$4503,_imp!$C$1248))</f>
        <v/>
      </c>
      <c r="D1246" s="54">
        <f>IF(_imp!$C$1248="","",INDEX(_imp!$G$4:$G$4503,_imp!$C$1248))</f>
        <v/>
      </c>
      <c r="E1246" s="54">
        <f>IF(_imp!$C$1248="","",INDEX(_imp!$H$4:$H$4503,_imp!$C$1248))</f>
        <v/>
      </c>
      <c r="F1246" s="54">
        <f>IF(_imp!$C$1248="","",INDEX(_imp!$I$4:$I$4503,_imp!$C$1248))</f>
        <v/>
      </c>
      <c r="G1246" s="54">
        <f>IF(_imp!$C$1248="","",INDEX(_imp!$J$4:$J$4503,_imp!$C$1248))</f>
        <v/>
      </c>
      <c r="K1246" s="54">
        <f>IF(_imp!$C$1248="","",INDEX(_imp!$K$4:$K$4503,_imp!$C$1248))</f>
        <v/>
      </c>
    </row>
    <row r="1247">
      <c r="A1247" s="54">
        <f>IF(_imp!$C$1249="","",INDEX(_imp!$D$4:$D$4503,_imp!$C$1249))</f>
        <v/>
      </c>
      <c r="B1247" s="54">
        <f>IF(_imp!$C$1249="","",INDEX(_imp!$E$4:$E$4503,_imp!$C$1249))</f>
        <v/>
      </c>
      <c r="C1247" s="54">
        <f>IF(_imp!$C$1249="","",INDEX(_imp!$F$4:$F$4503,_imp!$C$1249))</f>
        <v/>
      </c>
      <c r="D1247" s="54">
        <f>IF(_imp!$C$1249="","",INDEX(_imp!$G$4:$G$4503,_imp!$C$1249))</f>
        <v/>
      </c>
      <c r="E1247" s="54">
        <f>IF(_imp!$C$1249="","",INDEX(_imp!$H$4:$H$4503,_imp!$C$1249))</f>
        <v/>
      </c>
      <c r="F1247" s="54">
        <f>IF(_imp!$C$1249="","",INDEX(_imp!$I$4:$I$4503,_imp!$C$1249))</f>
        <v/>
      </c>
      <c r="G1247" s="54">
        <f>IF(_imp!$C$1249="","",INDEX(_imp!$J$4:$J$4503,_imp!$C$1249))</f>
        <v/>
      </c>
      <c r="K1247" s="54">
        <f>IF(_imp!$C$1249="","",INDEX(_imp!$K$4:$K$4503,_imp!$C$1249))</f>
        <v/>
      </c>
    </row>
    <row r="1248">
      <c r="A1248" s="54">
        <f>IF(_imp!$C$1250="","",INDEX(_imp!$D$4:$D$4503,_imp!$C$1250))</f>
        <v/>
      </c>
      <c r="B1248" s="54">
        <f>IF(_imp!$C$1250="","",INDEX(_imp!$E$4:$E$4503,_imp!$C$1250))</f>
        <v/>
      </c>
      <c r="C1248" s="54">
        <f>IF(_imp!$C$1250="","",INDEX(_imp!$F$4:$F$4503,_imp!$C$1250))</f>
        <v/>
      </c>
      <c r="D1248" s="54">
        <f>IF(_imp!$C$1250="","",INDEX(_imp!$G$4:$G$4503,_imp!$C$1250))</f>
        <v/>
      </c>
      <c r="E1248" s="54">
        <f>IF(_imp!$C$1250="","",INDEX(_imp!$H$4:$H$4503,_imp!$C$1250))</f>
        <v/>
      </c>
      <c r="F1248" s="54">
        <f>IF(_imp!$C$1250="","",INDEX(_imp!$I$4:$I$4503,_imp!$C$1250))</f>
        <v/>
      </c>
      <c r="G1248" s="54">
        <f>IF(_imp!$C$1250="","",INDEX(_imp!$J$4:$J$4503,_imp!$C$1250))</f>
        <v/>
      </c>
      <c r="K1248" s="54">
        <f>IF(_imp!$C$1250="","",INDEX(_imp!$K$4:$K$4503,_imp!$C$1250))</f>
        <v/>
      </c>
    </row>
    <row r="1249">
      <c r="A1249" s="54">
        <f>IF(_imp!$C$1251="","",INDEX(_imp!$D$4:$D$4503,_imp!$C$1251))</f>
        <v/>
      </c>
      <c r="B1249" s="54">
        <f>IF(_imp!$C$1251="","",INDEX(_imp!$E$4:$E$4503,_imp!$C$1251))</f>
        <v/>
      </c>
      <c r="C1249" s="54">
        <f>IF(_imp!$C$1251="","",INDEX(_imp!$F$4:$F$4503,_imp!$C$1251))</f>
        <v/>
      </c>
      <c r="D1249" s="54">
        <f>IF(_imp!$C$1251="","",INDEX(_imp!$G$4:$G$4503,_imp!$C$1251))</f>
        <v/>
      </c>
      <c r="E1249" s="54">
        <f>IF(_imp!$C$1251="","",INDEX(_imp!$H$4:$H$4503,_imp!$C$1251))</f>
        <v/>
      </c>
      <c r="F1249" s="54">
        <f>IF(_imp!$C$1251="","",INDEX(_imp!$I$4:$I$4503,_imp!$C$1251))</f>
        <v/>
      </c>
      <c r="G1249" s="54">
        <f>IF(_imp!$C$1251="","",INDEX(_imp!$J$4:$J$4503,_imp!$C$1251))</f>
        <v/>
      </c>
      <c r="K1249" s="54">
        <f>IF(_imp!$C$1251="","",INDEX(_imp!$K$4:$K$4503,_imp!$C$1251))</f>
        <v/>
      </c>
    </row>
    <row r="1250">
      <c r="A1250" s="54">
        <f>IF(_imp!$C$1252="","",INDEX(_imp!$D$4:$D$4503,_imp!$C$1252))</f>
        <v/>
      </c>
      <c r="B1250" s="54">
        <f>IF(_imp!$C$1252="","",INDEX(_imp!$E$4:$E$4503,_imp!$C$1252))</f>
        <v/>
      </c>
      <c r="C1250" s="54">
        <f>IF(_imp!$C$1252="","",INDEX(_imp!$F$4:$F$4503,_imp!$C$1252))</f>
        <v/>
      </c>
      <c r="D1250" s="54">
        <f>IF(_imp!$C$1252="","",INDEX(_imp!$G$4:$G$4503,_imp!$C$1252))</f>
        <v/>
      </c>
      <c r="E1250" s="54">
        <f>IF(_imp!$C$1252="","",INDEX(_imp!$H$4:$H$4503,_imp!$C$1252))</f>
        <v/>
      </c>
      <c r="F1250" s="54">
        <f>IF(_imp!$C$1252="","",INDEX(_imp!$I$4:$I$4503,_imp!$C$1252))</f>
        <v/>
      </c>
      <c r="G1250" s="54">
        <f>IF(_imp!$C$1252="","",INDEX(_imp!$J$4:$J$4503,_imp!$C$1252))</f>
        <v/>
      </c>
      <c r="K1250" s="54">
        <f>IF(_imp!$C$1252="","",INDEX(_imp!$K$4:$K$4503,_imp!$C$1252))</f>
        <v/>
      </c>
    </row>
    <row r="1251">
      <c r="A1251" s="54">
        <f>IF(_imp!$C$1253="","",INDEX(_imp!$D$4:$D$4503,_imp!$C$1253))</f>
        <v/>
      </c>
      <c r="B1251" s="54">
        <f>IF(_imp!$C$1253="","",INDEX(_imp!$E$4:$E$4503,_imp!$C$1253))</f>
        <v/>
      </c>
      <c r="C1251" s="54">
        <f>IF(_imp!$C$1253="","",INDEX(_imp!$F$4:$F$4503,_imp!$C$1253))</f>
        <v/>
      </c>
      <c r="D1251" s="54">
        <f>IF(_imp!$C$1253="","",INDEX(_imp!$G$4:$G$4503,_imp!$C$1253))</f>
        <v/>
      </c>
      <c r="E1251" s="54">
        <f>IF(_imp!$C$1253="","",INDEX(_imp!$H$4:$H$4503,_imp!$C$1253))</f>
        <v/>
      </c>
      <c r="F1251" s="54">
        <f>IF(_imp!$C$1253="","",INDEX(_imp!$I$4:$I$4503,_imp!$C$1253))</f>
        <v/>
      </c>
      <c r="G1251" s="54">
        <f>IF(_imp!$C$1253="","",INDEX(_imp!$J$4:$J$4503,_imp!$C$1253))</f>
        <v/>
      </c>
      <c r="K1251" s="54">
        <f>IF(_imp!$C$1253="","",INDEX(_imp!$K$4:$K$4503,_imp!$C$1253))</f>
        <v/>
      </c>
    </row>
    <row r="1252">
      <c r="A1252" s="54">
        <f>IF(_imp!$C$1254="","",INDEX(_imp!$D$4:$D$4503,_imp!$C$1254))</f>
        <v/>
      </c>
      <c r="B1252" s="54">
        <f>IF(_imp!$C$1254="","",INDEX(_imp!$E$4:$E$4503,_imp!$C$1254))</f>
        <v/>
      </c>
      <c r="C1252" s="54">
        <f>IF(_imp!$C$1254="","",INDEX(_imp!$F$4:$F$4503,_imp!$C$1254))</f>
        <v/>
      </c>
      <c r="D1252" s="54">
        <f>IF(_imp!$C$1254="","",INDEX(_imp!$G$4:$G$4503,_imp!$C$1254))</f>
        <v/>
      </c>
      <c r="E1252" s="54">
        <f>IF(_imp!$C$1254="","",INDEX(_imp!$H$4:$H$4503,_imp!$C$1254))</f>
        <v/>
      </c>
      <c r="F1252" s="54">
        <f>IF(_imp!$C$1254="","",INDEX(_imp!$I$4:$I$4503,_imp!$C$1254))</f>
        <v/>
      </c>
      <c r="G1252" s="54">
        <f>IF(_imp!$C$1254="","",INDEX(_imp!$J$4:$J$4503,_imp!$C$1254))</f>
        <v/>
      </c>
      <c r="K1252" s="54">
        <f>IF(_imp!$C$1254="","",INDEX(_imp!$K$4:$K$4503,_imp!$C$1254))</f>
        <v/>
      </c>
    </row>
    <row r="1253">
      <c r="A1253" s="54">
        <f>IF(_imp!$C$1255="","",INDEX(_imp!$D$4:$D$4503,_imp!$C$1255))</f>
        <v/>
      </c>
      <c r="B1253" s="54">
        <f>IF(_imp!$C$1255="","",INDEX(_imp!$E$4:$E$4503,_imp!$C$1255))</f>
        <v/>
      </c>
      <c r="C1253" s="54">
        <f>IF(_imp!$C$1255="","",INDEX(_imp!$F$4:$F$4503,_imp!$C$1255))</f>
        <v/>
      </c>
      <c r="D1253" s="54">
        <f>IF(_imp!$C$1255="","",INDEX(_imp!$G$4:$G$4503,_imp!$C$1255))</f>
        <v/>
      </c>
      <c r="E1253" s="54">
        <f>IF(_imp!$C$1255="","",INDEX(_imp!$H$4:$H$4503,_imp!$C$1255))</f>
        <v/>
      </c>
      <c r="F1253" s="54">
        <f>IF(_imp!$C$1255="","",INDEX(_imp!$I$4:$I$4503,_imp!$C$1255))</f>
        <v/>
      </c>
      <c r="G1253" s="54">
        <f>IF(_imp!$C$1255="","",INDEX(_imp!$J$4:$J$4503,_imp!$C$1255))</f>
        <v/>
      </c>
      <c r="K1253" s="54">
        <f>IF(_imp!$C$1255="","",INDEX(_imp!$K$4:$K$4503,_imp!$C$1255))</f>
        <v/>
      </c>
    </row>
    <row r="1254">
      <c r="A1254" s="54">
        <f>IF(_imp!$C$1256="","",INDEX(_imp!$D$4:$D$4503,_imp!$C$1256))</f>
        <v/>
      </c>
      <c r="B1254" s="54">
        <f>IF(_imp!$C$1256="","",INDEX(_imp!$E$4:$E$4503,_imp!$C$1256))</f>
        <v/>
      </c>
      <c r="C1254" s="54">
        <f>IF(_imp!$C$1256="","",INDEX(_imp!$F$4:$F$4503,_imp!$C$1256))</f>
        <v/>
      </c>
      <c r="D1254" s="54">
        <f>IF(_imp!$C$1256="","",INDEX(_imp!$G$4:$G$4503,_imp!$C$1256))</f>
        <v/>
      </c>
      <c r="E1254" s="54">
        <f>IF(_imp!$C$1256="","",INDEX(_imp!$H$4:$H$4503,_imp!$C$1256))</f>
        <v/>
      </c>
      <c r="F1254" s="54">
        <f>IF(_imp!$C$1256="","",INDEX(_imp!$I$4:$I$4503,_imp!$C$1256))</f>
        <v/>
      </c>
      <c r="G1254" s="54">
        <f>IF(_imp!$C$1256="","",INDEX(_imp!$J$4:$J$4503,_imp!$C$1256))</f>
        <v/>
      </c>
      <c r="K1254" s="54">
        <f>IF(_imp!$C$1256="","",INDEX(_imp!$K$4:$K$4503,_imp!$C$1256))</f>
        <v/>
      </c>
    </row>
    <row r="1255">
      <c r="A1255" s="54">
        <f>IF(_imp!$C$1257="","",INDEX(_imp!$D$4:$D$4503,_imp!$C$1257))</f>
        <v/>
      </c>
      <c r="B1255" s="54">
        <f>IF(_imp!$C$1257="","",INDEX(_imp!$E$4:$E$4503,_imp!$C$1257))</f>
        <v/>
      </c>
      <c r="C1255" s="54">
        <f>IF(_imp!$C$1257="","",INDEX(_imp!$F$4:$F$4503,_imp!$C$1257))</f>
        <v/>
      </c>
      <c r="D1255" s="54">
        <f>IF(_imp!$C$1257="","",INDEX(_imp!$G$4:$G$4503,_imp!$C$1257))</f>
        <v/>
      </c>
      <c r="E1255" s="54">
        <f>IF(_imp!$C$1257="","",INDEX(_imp!$H$4:$H$4503,_imp!$C$1257))</f>
        <v/>
      </c>
      <c r="F1255" s="54">
        <f>IF(_imp!$C$1257="","",INDEX(_imp!$I$4:$I$4503,_imp!$C$1257))</f>
        <v/>
      </c>
      <c r="G1255" s="54">
        <f>IF(_imp!$C$1257="","",INDEX(_imp!$J$4:$J$4503,_imp!$C$1257))</f>
        <v/>
      </c>
      <c r="K1255" s="54">
        <f>IF(_imp!$C$1257="","",INDEX(_imp!$K$4:$K$4503,_imp!$C$1257))</f>
        <v/>
      </c>
    </row>
    <row r="1256">
      <c r="A1256" s="54">
        <f>IF(_imp!$C$1258="","",INDEX(_imp!$D$4:$D$4503,_imp!$C$1258))</f>
        <v/>
      </c>
      <c r="B1256" s="54">
        <f>IF(_imp!$C$1258="","",INDEX(_imp!$E$4:$E$4503,_imp!$C$1258))</f>
        <v/>
      </c>
      <c r="C1256" s="54">
        <f>IF(_imp!$C$1258="","",INDEX(_imp!$F$4:$F$4503,_imp!$C$1258))</f>
        <v/>
      </c>
      <c r="D1256" s="54">
        <f>IF(_imp!$C$1258="","",INDEX(_imp!$G$4:$G$4503,_imp!$C$1258))</f>
        <v/>
      </c>
      <c r="E1256" s="54">
        <f>IF(_imp!$C$1258="","",INDEX(_imp!$H$4:$H$4503,_imp!$C$1258))</f>
        <v/>
      </c>
      <c r="F1256" s="54">
        <f>IF(_imp!$C$1258="","",INDEX(_imp!$I$4:$I$4503,_imp!$C$1258))</f>
        <v/>
      </c>
      <c r="G1256" s="54">
        <f>IF(_imp!$C$1258="","",INDEX(_imp!$J$4:$J$4503,_imp!$C$1258))</f>
        <v/>
      </c>
      <c r="K1256" s="54">
        <f>IF(_imp!$C$1258="","",INDEX(_imp!$K$4:$K$4503,_imp!$C$1258))</f>
        <v/>
      </c>
    </row>
    <row r="1257">
      <c r="A1257" s="54">
        <f>IF(_imp!$C$1259="","",INDEX(_imp!$D$4:$D$4503,_imp!$C$1259))</f>
        <v/>
      </c>
      <c r="B1257" s="54">
        <f>IF(_imp!$C$1259="","",INDEX(_imp!$E$4:$E$4503,_imp!$C$1259))</f>
        <v/>
      </c>
      <c r="C1257" s="54">
        <f>IF(_imp!$C$1259="","",INDEX(_imp!$F$4:$F$4503,_imp!$C$1259))</f>
        <v/>
      </c>
      <c r="D1257" s="54">
        <f>IF(_imp!$C$1259="","",INDEX(_imp!$G$4:$G$4503,_imp!$C$1259))</f>
        <v/>
      </c>
      <c r="E1257" s="54">
        <f>IF(_imp!$C$1259="","",INDEX(_imp!$H$4:$H$4503,_imp!$C$1259))</f>
        <v/>
      </c>
      <c r="F1257" s="54">
        <f>IF(_imp!$C$1259="","",INDEX(_imp!$I$4:$I$4503,_imp!$C$1259))</f>
        <v/>
      </c>
      <c r="G1257" s="54">
        <f>IF(_imp!$C$1259="","",INDEX(_imp!$J$4:$J$4503,_imp!$C$1259))</f>
        <v/>
      </c>
      <c r="K1257" s="54">
        <f>IF(_imp!$C$1259="","",INDEX(_imp!$K$4:$K$4503,_imp!$C$1259))</f>
        <v/>
      </c>
    </row>
    <row r="1258">
      <c r="A1258" s="54">
        <f>IF(_imp!$C$1260="","",INDEX(_imp!$D$4:$D$4503,_imp!$C$1260))</f>
        <v/>
      </c>
      <c r="B1258" s="54">
        <f>IF(_imp!$C$1260="","",INDEX(_imp!$E$4:$E$4503,_imp!$C$1260))</f>
        <v/>
      </c>
      <c r="C1258" s="54">
        <f>IF(_imp!$C$1260="","",INDEX(_imp!$F$4:$F$4503,_imp!$C$1260))</f>
        <v/>
      </c>
      <c r="D1258" s="54">
        <f>IF(_imp!$C$1260="","",INDEX(_imp!$G$4:$G$4503,_imp!$C$1260))</f>
        <v/>
      </c>
      <c r="E1258" s="54">
        <f>IF(_imp!$C$1260="","",INDEX(_imp!$H$4:$H$4503,_imp!$C$1260))</f>
        <v/>
      </c>
      <c r="F1258" s="54">
        <f>IF(_imp!$C$1260="","",INDEX(_imp!$I$4:$I$4503,_imp!$C$1260))</f>
        <v/>
      </c>
      <c r="G1258" s="54">
        <f>IF(_imp!$C$1260="","",INDEX(_imp!$J$4:$J$4503,_imp!$C$1260))</f>
        <v/>
      </c>
      <c r="K1258" s="54">
        <f>IF(_imp!$C$1260="","",INDEX(_imp!$K$4:$K$4503,_imp!$C$1260))</f>
        <v/>
      </c>
    </row>
    <row r="1259">
      <c r="A1259" s="54">
        <f>IF(_imp!$C$1261="","",INDEX(_imp!$D$4:$D$4503,_imp!$C$1261))</f>
        <v/>
      </c>
      <c r="B1259" s="54">
        <f>IF(_imp!$C$1261="","",INDEX(_imp!$E$4:$E$4503,_imp!$C$1261))</f>
        <v/>
      </c>
      <c r="C1259" s="54">
        <f>IF(_imp!$C$1261="","",INDEX(_imp!$F$4:$F$4503,_imp!$C$1261))</f>
        <v/>
      </c>
      <c r="D1259" s="54">
        <f>IF(_imp!$C$1261="","",INDEX(_imp!$G$4:$G$4503,_imp!$C$1261))</f>
        <v/>
      </c>
      <c r="E1259" s="54">
        <f>IF(_imp!$C$1261="","",INDEX(_imp!$H$4:$H$4503,_imp!$C$1261))</f>
        <v/>
      </c>
      <c r="F1259" s="54">
        <f>IF(_imp!$C$1261="","",INDEX(_imp!$I$4:$I$4503,_imp!$C$1261))</f>
        <v/>
      </c>
      <c r="G1259" s="54">
        <f>IF(_imp!$C$1261="","",INDEX(_imp!$J$4:$J$4503,_imp!$C$1261))</f>
        <v/>
      </c>
      <c r="K1259" s="54">
        <f>IF(_imp!$C$1261="","",INDEX(_imp!$K$4:$K$4503,_imp!$C$1261))</f>
        <v/>
      </c>
    </row>
    <row r="1260">
      <c r="A1260" s="54">
        <f>IF(_imp!$C$1262="","",INDEX(_imp!$D$4:$D$4503,_imp!$C$1262))</f>
        <v/>
      </c>
      <c r="B1260" s="54">
        <f>IF(_imp!$C$1262="","",INDEX(_imp!$E$4:$E$4503,_imp!$C$1262))</f>
        <v/>
      </c>
      <c r="C1260" s="54">
        <f>IF(_imp!$C$1262="","",INDEX(_imp!$F$4:$F$4503,_imp!$C$1262))</f>
        <v/>
      </c>
      <c r="D1260" s="54">
        <f>IF(_imp!$C$1262="","",INDEX(_imp!$G$4:$G$4503,_imp!$C$1262))</f>
        <v/>
      </c>
      <c r="E1260" s="54">
        <f>IF(_imp!$C$1262="","",INDEX(_imp!$H$4:$H$4503,_imp!$C$1262))</f>
        <v/>
      </c>
      <c r="F1260" s="54">
        <f>IF(_imp!$C$1262="","",INDEX(_imp!$I$4:$I$4503,_imp!$C$1262))</f>
        <v/>
      </c>
      <c r="G1260" s="54">
        <f>IF(_imp!$C$1262="","",INDEX(_imp!$J$4:$J$4503,_imp!$C$1262))</f>
        <v/>
      </c>
      <c r="K1260" s="54">
        <f>IF(_imp!$C$1262="","",INDEX(_imp!$K$4:$K$4503,_imp!$C$1262))</f>
        <v/>
      </c>
    </row>
    <row r="1261">
      <c r="A1261" s="54">
        <f>IF(_imp!$C$1263="","",INDEX(_imp!$D$4:$D$4503,_imp!$C$1263))</f>
        <v/>
      </c>
      <c r="B1261" s="54">
        <f>IF(_imp!$C$1263="","",INDEX(_imp!$E$4:$E$4503,_imp!$C$1263))</f>
        <v/>
      </c>
      <c r="C1261" s="54">
        <f>IF(_imp!$C$1263="","",INDEX(_imp!$F$4:$F$4503,_imp!$C$1263))</f>
        <v/>
      </c>
      <c r="D1261" s="54">
        <f>IF(_imp!$C$1263="","",INDEX(_imp!$G$4:$G$4503,_imp!$C$1263))</f>
        <v/>
      </c>
      <c r="E1261" s="54">
        <f>IF(_imp!$C$1263="","",INDEX(_imp!$H$4:$H$4503,_imp!$C$1263))</f>
        <v/>
      </c>
      <c r="F1261" s="54">
        <f>IF(_imp!$C$1263="","",INDEX(_imp!$I$4:$I$4503,_imp!$C$1263))</f>
        <v/>
      </c>
      <c r="G1261" s="54">
        <f>IF(_imp!$C$1263="","",INDEX(_imp!$J$4:$J$4503,_imp!$C$1263))</f>
        <v/>
      </c>
      <c r="K1261" s="54">
        <f>IF(_imp!$C$1263="","",INDEX(_imp!$K$4:$K$4503,_imp!$C$1263))</f>
        <v/>
      </c>
    </row>
    <row r="1262">
      <c r="A1262" s="54">
        <f>IF(_imp!$C$1264="","",INDEX(_imp!$D$4:$D$4503,_imp!$C$1264))</f>
        <v/>
      </c>
      <c r="B1262" s="54">
        <f>IF(_imp!$C$1264="","",INDEX(_imp!$E$4:$E$4503,_imp!$C$1264))</f>
        <v/>
      </c>
      <c r="C1262" s="54">
        <f>IF(_imp!$C$1264="","",INDEX(_imp!$F$4:$F$4503,_imp!$C$1264))</f>
        <v/>
      </c>
      <c r="D1262" s="54">
        <f>IF(_imp!$C$1264="","",INDEX(_imp!$G$4:$G$4503,_imp!$C$1264))</f>
        <v/>
      </c>
      <c r="E1262" s="54">
        <f>IF(_imp!$C$1264="","",INDEX(_imp!$H$4:$H$4503,_imp!$C$1264))</f>
        <v/>
      </c>
      <c r="F1262" s="54">
        <f>IF(_imp!$C$1264="","",INDEX(_imp!$I$4:$I$4503,_imp!$C$1264))</f>
        <v/>
      </c>
      <c r="G1262" s="54">
        <f>IF(_imp!$C$1264="","",INDEX(_imp!$J$4:$J$4503,_imp!$C$1264))</f>
        <v/>
      </c>
      <c r="K1262" s="54">
        <f>IF(_imp!$C$1264="","",INDEX(_imp!$K$4:$K$4503,_imp!$C$1264))</f>
        <v/>
      </c>
    </row>
    <row r="1263">
      <c r="A1263" s="54">
        <f>IF(_imp!$C$1265="","",INDEX(_imp!$D$4:$D$4503,_imp!$C$1265))</f>
        <v/>
      </c>
      <c r="B1263" s="54">
        <f>IF(_imp!$C$1265="","",INDEX(_imp!$E$4:$E$4503,_imp!$C$1265))</f>
        <v/>
      </c>
      <c r="C1263" s="54">
        <f>IF(_imp!$C$1265="","",INDEX(_imp!$F$4:$F$4503,_imp!$C$1265))</f>
        <v/>
      </c>
      <c r="D1263" s="54">
        <f>IF(_imp!$C$1265="","",INDEX(_imp!$G$4:$G$4503,_imp!$C$1265))</f>
        <v/>
      </c>
      <c r="E1263" s="54">
        <f>IF(_imp!$C$1265="","",INDEX(_imp!$H$4:$H$4503,_imp!$C$1265))</f>
        <v/>
      </c>
      <c r="F1263" s="54">
        <f>IF(_imp!$C$1265="","",INDEX(_imp!$I$4:$I$4503,_imp!$C$1265))</f>
        <v/>
      </c>
      <c r="G1263" s="54">
        <f>IF(_imp!$C$1265="","",INDEX(_imp!$J$4:$J$4503,_imp!$C$1265))</f>
        <v/>
      </c>
      <c r="K1263" s="54">
        <f>IF(_imp!$C$1265="","",INDEX(_imp!$K$4:$K$4503,_imp!$C$1265))</f>
        <v/>
      </c>
    </row>
    <row r="1264">
      <c r="A1264" s="54">
        <f>IF(_imp!$C$1266="","",INDEX(_imp!$D$4:$D$4503,_imp!$C$1266))</f>
        <v/>
      </c>
      <c r="B1264" s="54">
        <f>IF(_imp!$C$1266="","",INDEX(_imp!$E$4:$E$4503,_imp!$C$1266))</f>
        <v/>
      </c>
      <c r="C1264" s="54">
        <f>IF(_imp!$C$1266="","",INDEX(_imp!$F$4:$F$4503,_imp!$C$1266))</f>
        <v/>
      </c>
      <c r="D1264" s="54">
        <f>IF(_imp!$C$1266="","",INDEX(_imp!$G$4:$G$4503,_imp!$C$1266))</f>
        <v/>
      </c>
      <c r="E1264" s="54">
        <f>IF(_imp!$C$1266="","",INDEX(_imp!$H$4:$H$4503,_imp!$C$1266))</f>
        <v/>
      </c>
      <c r="F1264" s="54">
        <f>IF(_imp!$C$1266="","",INDEX(_imp!$I$4:$I$4503,_imp!$C$1266))</f>
        <v/>
      </c>
      <c r="G1264" s="54">
        <f>IF(_imp!$C$1266="","",INDEX(_imp!$J$4:$J$4503,_imp!$C$1266))</f>
        <v/>
      </c>
      <c r="K1264" s="54">
        <f>IF(_imp!$C$1266="","",INDEX(_imp!$K$4:$K$4503,_imp!$C$1266))</f>
        <v/>
      </c>
    </row>
    <row r="1265">
      <c r="A1265" s="54">
        <f>IF(_imp!$C$1267="","",INDEX(_imp!$D$4:$D$4503,_imp!$C$1267))</f>
        <v/>
      </c>
      <c r="B1265" s="54">
        <f>IF(_imp!$C$1267="","",INDEX(_imp!$E$4:$E$4503,_imp!$C$1267))</f>
        <v/>
      </c>
      <c r="C1265" s="54">
        <f>IF(_imp!$C$1267="","",INDEX(_imp!$F$4:$F$4503,_imp!$C$1267))</f>
        <v/>
      </c>
      <c r="D1265" s="54">
        <f>IF(_imp!$C$1267="","",INDEX(_imp!$G$4:$G$4503,_imp!$C$1267))</f>
        <v/>
      </c>
      <c r="E1265" s="54">
        <f>IF(_imp!$C$1267="","",INDEX(_imp!$H$4:$H$4503,_imp!$C$1267))</f>
        <v/>
      </c>
      <c r="F1265" s="54">
        <f>IF(_imp!$C$1267="","",INDEX(_imp!$I$4:$I$4503,_imp!$C$1267))</f>
        <v/>
      </c>
      <c r="G1265" s="54">
        <f>IF(_imp!$C$1267="","",INDEX(_imp!$J$4:$J$4503,_imp!$C$1267))</f>
        <v/>
      </c>
      <c r="K1265" s="54">
        <f>IF(_imp!$C$1267="","",INDEX(_imp!$K$4:$K$4503,_imp!$C$1267))</f>
        <v/>
      </c>
    </row>
    <row r="1266">
      <c r="A1266" s="54">
        <f>IF(_imp!$C$1268="","",INDEX(_imp!$D$4:$D$4503,_imp!$C$1268))</f>
        <v/>
      </c>
      <c r="B1266" s="54">
        <f>IF(_imp!$C$1268="","",INDEX(_imp!$E$4:$E$4503,_imp!$C$1268))</f>
        <v/>
      </c>
      <c r="C1266" s="54">
        <f>IF(_imp!$C$1268="","",INDEX(_imp!$F$4:$F$4503,_imp!$C$1268))</f>
        <v/>
      </c>
      <c r="D1266" s="54">
        <f>IF(_imp!$C$1268="","",INDEX(_imp!$G$4:$G$4503,_imp!$C$1268))</f>
        <v/>
      </c>
      <c r="E1266" s="54">
        <f>IF(_imp!$C$1268="","",INDEX(_imp!$H$4:$H$4503,_imp!$C$1268))</f>
        <v/>
      </c>
      <c r="F1266" s="54">
        <f>IF(_imp!$C$1268="","",INDEX(_imp!$I$4:$I$4503,_imp!$C$1268))</f>
        <v/>
      </c>
      <c r="G1266" s="54">
        <f>IF(_imp!$C$1268="","",INDEX(_imp!$J$4:$J$4503,_imp!$C$1268))</f>
        <v/>
      </c>
      <c r="K1266" s="54">
        <f>IF(_imp!$C$1268="","",INDEX(_imp!$K$4:$K$4503,_imp!$C$1268))</f>
        <v/>
      </c>
    </row>
    <row r="1267">
      <c r="A1267" s="54">
        <f>IF(_imp!$C$1269="","",INDEX(_imp!$D$4:$D$4503,_imp!$C$1269))</f>
        <v/>
      </c>
      <c r="B1267" s="54">
        <f>IF(_imp!$C$1269="","",INDEX(_imp!$E$4:$E$4503,_imp!$C$1269))</f>
        <v/>
      </c>
      <c r="C1267" s="54">
        <f>IF(_imp!$C$1269="","",INDEX(_imp!$F$4:$F$4503,_imp!$C$1269))</f>
        <v/>
      </c>
      <c r="D1267" s="54">
        <f>IF(_imp!$C$1269="","",INDEX(_imp!$G$4:$G$4503,_imp!$C$1269))</f>
        <v/>
      </c>
      <c r="E1267" s="54">
        <f>IF(_imp!$C$1269="","",INDEX(_imp!$H$4:$H$4503,_imp!$C$1269))</f>
        <v/>
      </c>
      <c r="F1267" s="54">
        <f>IF(_imp!$C$1269="","",INDEX(_imp!$I$4:$I$4503,_imp!$C$1269))</f>
        <v/>
      </c>
      <c r="G1267" s="54">
        <f>IF(_imp!$C$1269="","",INDEX(_imp!$J$4:$J$4503,_imp!$C$1269))</f>
        <v/>
      </c>
      <c r="K1267" s="54">
        <f>IF(_imp!$C$1269="","",INDEX(_imp!$K$4:$K$4503,_imp!$C$1269))</f>
        <v/>
      </c>
    </row>
    <row r="1268">
      <c r="A1268" s="54">
        <f>IF(_imp!$C$1270="","",INDEX(_imp!$D$4:$D$4503,_imp!$C$1270))</f>
        <v/>
      </c>
      <c r="B1268" s="54">
        <f>IF(_imp!$C$1270="","",INDEX(_imp!$E$4:$E$4503,_imp!$C$1270))</f>
        <v/>
      </c>
      <c r="C1268" s="54">
        <f>IF(_imp!$C$1270="","",INDEX(_imp!$F$4:$F$4503,_imp!$C$1270))</f>
        <v/>
      </c>
      <c r="D1268" s="54">
        <f>IF(_imp!$C$1270="","",INDEX(_imp!$G$4:$G$4503,_imp!$C$1270))</f>
        <v/>
      </c>
      <c r="E1268" s="54">
        <f>IF(_imp!$C$1270="","",INDEX(_imp!$H$4:$H$4503,_imp!$C$1270))</f>
        <v/>
      </c>
      <c r="F1268" s="54">
        <f>IF(_imp!$C$1270="","",INDEX(_imp!$I$4:$I$4503,_imp!$C$1270))</f>
        <v/>
      </c>
      <c r="G1268" s="54">
        <f>IF(_imp!$C$1270="","",INDEX(_imp!$J$4:$J$4503,_imp!$C$1270))</f>
        <v/>
      </c>
      <c r="K1268" s="54">
        <f>IF(_imp!$C$1270="","",INDEX(_imp!$K$4:$K$4503,_imp!$C$1270))</f>
        <v/>
      </c>
    </row>
    <row r="1269">
      <c r="A1269" s="54">
        <f>IF(_imp!$C$1271="","",INDEX(_imp!$D$4:$D$4503,_imp!$C$1271))</f>
        <v/>
      </c>
      <c r="B1269" s="54">
        <f>IF(_imp!$C$1271="","",INDEX(_imp!$E$4:$E$4503,_imp!$C$1271))</f>
        <v/>
      </c>
      <c r="C1269" s="54">
        <f>IF(_imp!$C$1271="","",INDEX(_imp!$F$4:$F$4503,_imp!$C$1271))</f>
        <v/>
      </c>
      <c r="D1269" s="54">
        <f>IF(_imp!$C$1271="","",INDEX(_imp!$G$4:$G$4503,_imp!$C$1271))</f>
        <v/>
      </c>
      <c r="E1269" s="54">
        <f>IF(_imp!$C$1271="","",INDEX(_imp!$H$4:$H$4503,_imp!$C$1271))</f>
        <v/>
      </c>
      <c r="F1269" s="54">
        <f>IF(_imp!$C$1271="","",INDEX(_imp!$I$4:$I$4503,_imp!$C$1271))</f>
        <v/>
      </c>
      <c r="G1269" s="54">
        <f>IF(_imp!$C$1271="","",INDEX(_imp!$J$4:$J$4503,_imp!$C$1271))</f>
        <v/>
      </c>
      <c r="K1269" s="54">
        <f>IF(_imp!$C$1271="","",INDEX(_imp!$K$4:$K$4503,_imp!$C$1271))</f>
        <v/>
      </c>
    </row>
    <row r="1270">
      <c r="A1270" s="54">
        <f>IF(_imp!$C$1272="","",INDEX(_imp!$D$4:$D$4503,_imp!$C$1272))</f>
        <v/>
      </c>
      <c r="B1270" s="54">
        <f>IF(_imp!$C$1272="","",INDEX(_imp!$E$4:$E$4503,_imp!$C$1272))</f>
        <v/>
      </c>
      <c r="C1270" s="54">
        <f>IF(_imp!$C$1272="","",INDEX(_imp!$F$4:$F$4503,_imp!$C$1272))</f>
        <v/>
      </c>
      <c r="D1270" s="54">
        <f>IF(_imp!$C$1272="","",INDEX(_imp!$G$4:$G$4503,_imp!$C$1272))</f>
        <v/>
      </c>
      <c r="E1270" s="54">
        <f>IF(_imp!$C$1272="","",INDEX(_imp!$H$4:$H$4503,_imp!$C$1272))</f>
        <v/>
      </c>
      <c r="F1270" s="54">
        <f>IF(_imp!$C$1272="","",INDEX(_imp!$I$4:$I$4503,_imp!$C$1272))</f>
        <v/>
      </c>
      <c r="G1270" s="54">
        <f>IF(_imp!$C$1272="","",INDEX(_imp!$J$4:$J$4503,_imp!$C$1272))</f>
        <v/>
      </c>
      <c r="K1270" s="54">
        <f>IF(_imp!$C$1272="","",INDEX(_imp!$K$4:$K$4503,_imp!$C$1272))</f>
        <v/>
      </c>
    </row>
    <row r="1271">
      <c r="A1271" s="54">
        <f>IF(_imp!$C$1273="","",INDEX(_imp!$D$4:$D$4503,_imp!$C$1273))</f>
        <v/>
      </c>
      <c r="B1271" s="54">
        <f>IF(_imp!$C$1273="","",INDEX(_imp!$E$4:$E$4503,_imp!$C$1273))</f>
        <v/>
      </c>
      <c r="C1271" s="54">
        <f>IF(_imp!$C$1273="","",INDEX(_imp!$F$4:$F$4503,_imp!$C$1273))</f>
        <v/>
      </c>
      <c r="D1271" s="54">
        <f>IF(_imp!$C$1273="","",INDEX(_imp!$G$4:$G$4503,_imp!$C$1273))</f>
        <v/>
      </c>
      <c r="E1271" s="54">
        <f>IF(_imp!$C$1273="","",INDEX(_imp!$H$4:$H$4503,_imp!$C$1273))</f>
        <v/>
      </c>
      <c r="F1271" s="54">
        <f>IF(_imp!$C$1273="","",INDEX(_imp!$I$4:$I$4503,_imp!$C$1273))</f>
        <v/>
      </c>
      <c r="G1271" s="54">
        <f>IF(_imp!$C$1273="","",INDEX(_imp!$J$4:$J$4503,_imp!$C$1273))</f>
        <v/>
      </c>
      <c r="K1271" s="54">
        <f>IF(_imp!$C$1273="","",INDEX(_imp!$K$4:$K$4503,_imp!$C$1273))</f>
        <v/>
      </c>
    </row>
    <row r="1272">
      <c r="A1272" s="54">
        <f>IF(_imp!$C$1274="","",INDEX(_imp!$D$4:$D$4503,_imp!$C$1274))</f>
        <v/>
      </c>
      <c r="B1272" s="54">
        <f>IF(_imp!$C$1274="","",INDEX(_imp!$E$4:$E$4503,_imp!$C$1274))</f>
        <v/>
      </c>
      <c r="C1272" s="54">
        <f>IF(_imp!$C$1274="","",INDEX(_imp!$F$4:$F$4503,_imp!$C$1274))</f>
        <v/>
      </c>
      <c r="D1272" s="54">
        <f>IF(_imp!$C$1274="","",INDEX(_imp!$G$4:$G$4503,_imp!$C$1274))</f>
        <v/>
      </c>
      <c r="E1272" s="54">
        <f>IF(_imp!$C$1274="","",INDEX(_imp!$H$4:$H$4503,_imp!$C$1274))</f>
        <v/>
      </c>
      <c r="F1272" s="54">
        <f>IF(_imp!$C$1274="","",INDEX(_imp!$I$4:$I$4503,_imp!$C$1274))</f>
        <v/>
      </c>
      <c r="G1272" s="54">
        <f>IF(_imp!$C$1274="","",INDEX(_imp!$J$4:$J$4503,_imp!$C$1274))</f>
        <v/>
      </c>
      <c r="K1272" s="54">
        <f>IF(_imp!$C$1274="","",INDEX(_imp!$K$4:$K$4503,_imp!$C$1274))</f>
        <v/>
      </c>
    </row>
    <row r="1273">
      <c r="A1273" s="54">
        <f>IF(_imp!$C$1275="","",INDEX(_imp!$D$4:$D$4503,_imp!$C$1275))</f>
        <v/>
      </c>
      <c r="B1273" s="54">
        <f>IF(_imp!$C$1275="","",INDEX(_imp!$E$4:$E$4503,_imp!$C$1275))</f>
        <v/>
      </c>
      <c r="C1273" s="54">
        <f>IF(_imp!$C$1275="","",INDEX(_imp!$F$4:$F$4503,_imp!$C$1275))</f>
        <v/>
      </c>
      <c r="D1273" s="54">
        <f>IF(_imp!$C$1275="","",INDEX(_imp!$G$4:$G$4503,_imp!$C$1275))</f>
        <v/>
      </c>
      <c r="E1273" s="54">
        <f>IF(_imp!$C$1275="","",INDEX(_imp!$H$4:$H$4503,_imp!$C$1275))</f>
        <v/>
      </c>
      <c r="F1273" s="54">
        <f>IF(_imp!$C$1275="","",INDEX(_imp!$I$4:$I$4503,_imp!$C$1275))</f>
        <v/>
      </c>
      <c r="G1273" s="54">
        <f>IF(_imp!$C$1275="","",INDEX(_imp!$J$4:$J$4503,_imp!$C$1275))</f>
        <v/>
      </c>
      <c r="K1273" s="54">
        <f>IF(_imp!$C$1275="","",INDEX(_imp!$K$4:$K$4503,_imp!$C$1275))</f>
        <v/>
      </c>
    </row>
    <row r="1274">
      <c r="A1274" s="54">
        <f>IF(_imp!$C$1276="","",INDEX(_imp!$D$4:$D$4503,_imp!$C$1276))</f>
        <v/>
      </c>
      <c r="B1274" s="54">
        <f>IF(_imp!$C$1276="","",INDEX(_imp!$E$4:$E$4503,_imp!$C$1276))</f>
        <v/>
      </c>
      <c r="C1274" s="54">
        <f>IF(_imp!$C$1276="","",INDEX(_imp!$F$4:$F$4503,_imp!$C$1276))</f>
        <v/>
      </c>
      <c r="D1274" s="54">
        <f>IF(_imp!$C$1276="","",INDEX(_imp!$G$4:$G$4503,_imp!$C$1276))</f>
        <v/>
      </c>
      <c r="E1274" s="54">
        <f>IF(_imp!$C$1276="","",INDEX(_imp!$H$4:$H$4503,_imp!$C$1276))</f>
        <v/>
      </c>
      <c r="F1274" s="54">
        <f>IF(_imp!$C$1276="","",INDEX(_imp!$I$4:$I$4503,_imp!$C$1276))</f>
        <v/>
      </c>
      <c r="G1274" s="54">
        <f>IF(_imp!$C$1276="","",INDEX(_imp!$J$4:$J$4503,_imp!$C$1276))</f>
        <v/>
      </c>
      <c r="K1274" s="54">
        <f>IF(_imp!$C$1276="","",INDEX(_imp!$K$4:$K$4503,_imp!$C$1276))</f>
        <v/>
      </c>
    </row>
    <row r="1275">
      <c r="A1275" s="54">
        <f>IF(_imp!$C$1277="","",INDEX(_imp!$D$4:$D$4503,_imp!$C$1277))</f>
        <v/>
      </c>
      <c r="B1275" s="54">
        <f>IF(_imp!$C$1277="","",INDEX(_imp!$E$4:$E$4503,_imp!$C$1277))</f>
        <v/>
      </c>
      <c r="C1275" s="54">
        <f>IF(_imp!$C$1277="","",INDEX(_imp!$F$4:$F$4503,_imp!$C$1277))</f>
        <v/>
      </c>
      <c r="D1275" s="54">
        <f>IF(_imp!$C$1277="","",INDEX(_imp!$G$4:$G$4503,_imp!$C$1277))</f>
        <v/>
      </c>
      <c r="E1275" s="54">
        <f>IF(_imp!$C$1277="","",INDEX(_imp!$H$4:$H$4503,_imp!$C$1277))</f>
        <v/>
      </c>
      <c r="F1275" s="54">
        <f>IF(_imp!$C$1277="","",INDEX(_imp!$I$4:$I$4503,_imp!$C$1277))</f>
        <v/>
      </c>
      <c r="G1275" s="54">
        <f>IF(_imp!$C$1277="","",INDEX(_imp!$J$4:$J$4503,_imp!$C$1277))</f>
        <v/>
      </c>
      <c r="K1275" s="54">
        <f>IF(_imp!$C$1277="","",INDEX(_imp!$K$4:$K$4503,_imp!$C$1277))</f>
        <v/>
      </c>
    </row>
    <row r="1276">
      <c r="A1276" s="54">
        <f>IF(_imp!$C$1278="","",INDEX(_imp!$D$4:$D$4503,_imp!$C$1278))</f>
        <v/>
      </c>
      <c r="B1276" s="54">
        <f>IF(_imp!$C$1278="","",INDEX(_imp!$E$4:$E$4503,_imp!$C$1278))</f>
        <v/>
      </c>
      <c r="C1276" s="54">
        <f>IF(_imp!$C$1278="","",INDEX(_imp!$F$4:$F$4503,_imp!$C$1278))</f>
        <v/>
      </c>
      <c r="D1276" s="54">
        <f>IF(_imp!$C$1278="","",INDEX(_imp!$G$4:$G$4503,_imp!$C$1278))</f>
        <v/>
      </c>
      <c r="E1276" s="54">
        <f>IF(_imp!$C$1278="","",INDEX(_imp!$H$4:$H$4503,_imp!$C$1278))</f>
        <v/>
      </c>
      <c r="F1276" s="54">
        <f>IF(_imp!$C$1278="","",INDEX(_imp!$I$4:$I$4503,_imp!$C$1278))</f>
        <v/>
      </c>
      <c r="G1276" s="54">
        <f>IF(_imp!$C$1278="","",INDEX(_imp!$J$4:$J$4503,_imp!$C$1278))</f>
        <v/>
      </c>
      <c r="K1276" s="54">
        <f>IF(_imp!$C$1278="","",INDEX(_imp!$K$4:$K$4503,_imp!$C$1278))</f>
        <v/>
      </c>
    </row>
    <row r="1277">
      <c r="A1277" s="54">
        <f>IF(_imp!$C$1279="","",INDEX(_imp!$D$4:$D$4503,_imp!$C$1279))</f>
        <v/>
      </c>
      <c r="B1277" s="54">
        <f>IF(_imp!$C$1279="","",INDEX(_imp!$E$4:$E$4503,_imp!$C$1279))</f>
        <v/>
      </c>
      <c r="C1277" s="54">
        <f>IF(_imp!$C$1279="","",INDEX(_imp!$F$4:$F$4503,_imp!$C$1279))</f>
        <v/>
      </c>
      <c r="D1277" s="54">
        <f>IF(_imp!$C$1279="","",INDEX(_imp!$G$4:$G$4503,_imp!$C$1279))</f>
        <v/>
      </c>
      <c r="E1277" s="54">
        <f>IF(_imp!$C$1279="","",INDEX(_imp!$H$4:$H$4503,_imp!$C$1279))</f>
        <v/>
      </c>
      <c r="F1277" s="54">
        <f>IF(_imp!$C$1279="","",INDEX(_imp!$I$4:$I$4503,_imp!$C$1279))</f>
        <v/>
      </c>
      <c r="G1277" s="54">
        <f>IF(_imp!$C$1279="","",INDEX(_imp!$J$4:$J$4503,_imp!$C$1279))</f>
        <v/>
      </c>
      <c r="K1277" s="54">
        <f>IF(_imp!$C$1279="","",INDEX(_imp!$K$4:$K$4503,_imp!$C$1279))</f>
        <v/>
      </c>
    </row>
    <row r="1278">
      <c r="A1278" s="54">
        <f>IF(_imp!$C$1280="","",INDEX(_imp!$D$4:$D$4503,_imp!$C$1280))</f>
        <v/>
      </c>
      <c r="B1278" s="54">
        <f>IF(_imp!$C$1280="","",INDEX(_imp!$E$4:$E$4503,_imp!$C$1280))</f>
        <v/>
      </c>
      <c r="C1278" s="54">
        <f>IF(_imp!$C$1280="","",INDEX(_imp!$F$4:$F$4503,_imp!$C$1280))</f>
        <v/>
      </c>
      <c r="D1278" s="54">
        <f>IF(_imp!$C$1280="","",INDEX(_imp!$G$4:$G$4503,_imp!$C$1280))</f>
        <v/>
      </c>
      <c r="E1278" s="54">
        <f>IF(_imp!$C$1280="","",INDEX(_imp!$H$4:$H$4503,_imp!$C$1280))</f>
        <v/>
      </c>
      <c r="F1278" s="54">
        <f>IF(_imp!$C$1280="","",INDEX(_imp!$I$4:$I$4503,_imp!$C$1280))</f>
        <v/>
      </c>
      <c r="G1278" s="54">
        <f>IF(_imp!$C$1280="","",INDEX(_imp!$J$4:$J$4503,_imp!$C$1280))</f>
        <v/>
      </c>
      <c r="K1278" s="54">
        <f>IF(_imp!$C$1280="","",INDEX(_imp!$K$4:$K$4503,_imp!$C$1280))</f>
        <v/>
      </c>
    </row>
    <row r="1279">
      <c r="A1279" s="54">
        <f>IF(_imp!$C$1281="","",INDEX(_imp!$D$4:$D$4503,_imp!$C$1281))</f>
        <v/>
      </c>
      <c r="B1279" s="54">
        <f>IF(_imp!$C$1281="","",INDEX(_imp!$E$4:$E$4503,_imp!$C$1281))</f>
        <v/>
      </c>
      <c r="C1279" s="54">
        <f>IF(_imp!$C$1281="","",INDEX(_imp!$F$4:$F$4503,_imp!$C$1281))</f>
        <v/>
      </c>
      <c r="D1279" s="54">
        <f>IF(_imp!$C$1281="","",INDEX(_imp!$G$4:$G$4503,_imp!$C$1281))</f>
        <v/>
      </c>
      <c r="E1279" s="54">
        <f>IF(_imp!$C$1281="","",INDEX(_imp!$H$4:$H$4503,_imp!$C$1281))</f>
        <v/>
      </c>
      <c r="F1279" s="54">
        <f>IF(_imp!$C$1281="","",INDEX(_imp!$I$4:$I$4503,_imp!$C$1281))</f>
        <v/>
      </c>
      <c r="G1279" s="54">
        <f>IF(_imp!$C$1281="","",INDEX(_imp!$J$4:$J$4503,_imp!$C$1281))</f>
        <v/>
      </c>
      <c r="K1279" s="54">
        <f>IF(_imp!$C$1281="","",INDEX(_imp!$K$4:$K$4503,_imp!$C$1281))</f>
        <v/>
      </c>
    </row>
    <row r="1280">
      <c r="A1280" s="54">
        <f>IF(_imp!$C$1282="","",INDEX(_imp!$D$4:$D$4503,_imp!$C$1282))</f>
        <v/>
      </c>
      <c r="B1280" s="54">
        <f>IF(_imp!$C$1282="","",INDEX(_imp!$E$4:$E$4503,_imp!$C$1282))</f>
        <v/>
      </c>
      <c r="C1280" s="54">
        <f>IF(_imp!$C$1282="","",INDEX(_imp!$F$4:$F$4503,_imp!$C$1282))</f>
        <v/>
      </c>
      <c r="D1280" s="54">
        <f>IF(_imp!$C$1282="","",INDEX(_imp!$G$4:$G$4503,_imp!$C$1282))</f>
        <v/>
      </c>
      <c r="E1280" s="54">
        <f>IF(_imp!$C$1282="","",INDEX(_imp!$H$4:$H$4503,_imp!$C$1282))</f>
        <v/>
      </c>
      <c r="F1280" s="54">
        <f>IF(_imp!$C$1282="","",INDEX(_imp!$I$4:$I$4503,_imp!$C$1282))</f>
        <v/>
      </c>
      <c r="G1280" s="54">
        <f>IF(_imp!$C$1282="","",INDEX(_imp!$J$4:$J$4503,_imp!$C$1282))</f>
        <v/>
      </c>
      <c r="K1280" s="54">
        <f>IF(_imp!$C$1282="","",INDEX(_imp!$K$4:$K$4503,_imp!$C$1282))</f>
        <v/>
      </c>
    </row>
    <row r="1281">
      <c r="A1281" s="54">
        <f>IF(_imp!$C$1283="","",INDEX(_imp!$D$4:$D$4503,_imp!$C$1283))</f>
        <v/>
      </c>
      <c r="B1281" s="54">
        <f>IF(_imp!$C$1283="","",INDEX(_imp!$E$4:$E$4503,_imp!$C$1283))</f>
        <v/>
      </c>
      <c r="C1281" s="54">
        <f>IF(_imp!$C$1283="","",INDEX(_imp!$F$4:$F$4503,_imp!$C$1283))</f>
        <v/>
      </c>
      <c r="D1281" s="54">
        <f>IF(_imp!$C$1283="","",INDEX(_imp!$G$4:$G$4503,_imp!$C$1283))</f>
        <v/>
      </c>
      <c r="E1281" s="54">
        <f>IF(_imp!$C$1283="","",INDEX(_imp!$H$4:$H$4503,_imp!$C$1283))</f>
        <v/>
      </c>
      <c r="F1281" s="54">
        <f>IF(_imp!$C$1283="","",INDEX(_imp!$I$4:$I$4503,_imp!$C$1283))</f>
        <v/>
      </c>
      <c r="G1281" s="54">
        <f>IF(_imp!$C$1283="","",INDEX(_imp!$J$4:$J$4503,_imp!$C$1283))</f>
        <v/>
      </c>
      <c r="K1281" s="54">
        <f>IF(_imp!$C$1283="","",INDEX(_imp!$K$4:$K$4503,_imp!$C$1283))</f>
        <v/>
      </c>
    </row>
    <row r="1282">
      <c r="A1282" s="54">
        <f>IF(_imp!$C$1284="","",INDEX(_imp!$D$4:$D$4503,_imp!$C$1284))</f>
        <v/>
      </c>
      <c r="B1282" s="54">
        <f>IF(_imp!$C$1284="","",INDEX(_imp!$E$4:$E$4503,_imp!$C$1284))</f>
        <v/>
      </c>
      <c r="C1282" s="54">
        <f>IF(_imp!$C$1284="","",INDEX(_imp!$F$4:$F$4503,_imp!$C$1284))</f>
        <v/>
      </c>
      <c r="D1282" s="54">
        <f>IF(_imp!$C$1284="","",INDEX(_imp!$G$4:$G$4503,_imp!$C$1284))</f>
        <v/>
      </c>
      <c r="E1282" s="54">
        <f>IF(_imp!$C$1284="","",INDEX(_imp!$H$4:$H$4503,_imp!$C$1284))</f>
        <v/>
      </c>
      <c r="F1282" s="54">
        <f>IF(_imp!$C$1284="","",INDEX(_imp!$I$4:$I$4503,_imp!$C$1284))</f>
        <v/>
      </c>
      <c r="G1282" s="54">
        <f>IF(_imp!$C$1284="","",INDEX(_imp!$J$4:$J$4503,_imp!$C$1284))</f>
        <v/>
      </c>
      <c r="K1282" s="54">
        <f>IF(_imp!$C$1284="","",INDEX(_imp!$K$4:$K$4503,_imp!$C$1284))</f>
        <v/>
      </c>
    </row>
    <row r="1283">
      <c r="A1283" s="54">
        <f>IF(_imp!$C$1285="","",INDEX(_imp!$D$4:$D$4503,_imp!$C$1285))</f>
        <v/>
      </c>
      <c r="B1283" s="54">
        <f>IF(_imp!$C$1285="","",INDEX(_imp!$E$4:$E$4503,_imp!$C$1285))</f>
        <v/>
      </c>
      <c r="C1283" s="54">
        <f>IF(_imp!$C$1285="","",INDEX(_imp!$F$4:$F$4503,_imp!$C$1285))</f>
        <v/>
      </c>
      <c r="D1283" s="54">
        <f>IF(_imp!$C$1285="","",INDEX(_imp!$G$4:$G$4503,_imp!$C$1285))</f>
        <v/>
      </c>
      <c r="E1283" s="54">
        <f>IF(_imp!$C$1285="","",INDEX(_imp!$H$4:$H$4503,_imp!$C$1285))</f>
        <v/>
      </c>
      <c r="F1283" s="54">
        <f>IF(_imp!$C$1285="","",INDEX(_imp!$I$4:$I$4503,_imp!$C$1285))</f>
        <v/>
      </c>
      <c r="G1283" s="54">
        <f>IF(_imp!$C$1285="","",INDEX(_imp!$J$4:$J$4503,_imp!$C$1285))</f>
        <v/>
      </c>
      <c r="K1283" s="54">
        <f>IF(_imp!$C$1285="","",INDEX(_imp!$K$4:$K$4503,_imp!$C$1285))</f>
        <v/>
      </c>
    </row>
    <row r="1284">
      <c r="A1284" s="54">
        <f>IF(_imp!$C$1286="","",INDEX(_imp!$D$4:$D$4503,_imp!$C$1286))</f>
        <v/>
      </c>
      <c r="B1284" s="54">
        <f>IF(_imp!$C$1286="","",INDEX(_imp!$E$4:$E$4503,_imp!$C$1286))</f>
        <v/>
      </c>
      <c r="C1284" s="54">
        <f>IF(_imp!$C$1286="","",INDEX(_imp!$F$4:$F$4503,_imp!$C$1286))</f>
        <v/>
      </c>
      <c r="D1284" s="54">
        <f>IF(_imp!$C$1286="","",INDEX(_imp!$G$4:$G$4503,_imp!$C$1286))</f>
        <v/>
      </c>
      <c r="E1284" s="54">
        <f>IF(_imp!$C$1286="","",INDEX(_imp!$H$4:$H$4503,_imp!$C$1286))</f>
        <v/>
      </c>
      <c r="F1284" s="54">
        <f>IF(_imp!$C$1286="","",INDEX(_imp!$I$4:$I$4503,_imp!$C$1286))</f>
        <v/>
      </c>
      <c r="G1284" s="54">
        <f>IF(_imp!$C$1286="","",INDEX(_imp!$J$4:$J$4503,_imp!$C$1286))</f>
        <v/>
      </c>
      <c r="K1284" s="54">
        <f>IF(_imp!$C$1286="","",INDEX(_imp!$K$4:$K$4503,_imp!$C$1286))</f>
        <v/>
      </c>
    </row>
    <row r="1285">
      <c r="A1285" s="54">
        <f>IF(_imp!$C$1287="","",INDEX(_imp!$D$4:$D$4503,_imp!$C$1287))</f>
        <v/>
      </c>
      <c r="B1285" s="54">
        <f>IF(_imp!$C$1287="","",INDEX(_imp!$E$4:$E$4503,_imp!$C$1287))</f>
        <v/>
      </c>
      <c r="C1285" s="54">
        <f>IF(_imp!$C$1287="","",INDEX(_imp!$F$4:$F$4503,_imp!$C$1287))</f>
        <v/>
      </c>
      <c r="D1285" s="54">
        <f>IF(_imp!$C$1287="","",INDEX(_imp!$G$4:$G$4503,_imp!$C$1287))</f>
        <v/>
      </c>
      <c r="E1285" s="54">
        <f>IF(_imp!$C$1287="","",INDEX(_imp!$H$4:$H$4503,_imp!$C$1287))</f>
        <v/>
      </c>
      <c r="F1285" s="54">
        <f>IF(_imp!$C$1287="","",INDEX(_imp!$I$4:$I$4503,_imp!$C$1287))</f>
        <v/>
      </c>
      <c r="G1285" s="54">
        <f>IF(_imp!$C$1287="","",INDEX(_imp!$J$4:$J$4503,_imp!$C$1287))</f>
        <v/>
      </c>
      <c r="K1285" s="54">
        <f>IF(_imp!$C$1287="","",INDEX(_imp!$K$4:$K$4503,_imp!$C$1287))</f>
        <v/>
      </c>
    </row>
    <row r="1286">
      <c r="A1286" s="54">
        <f>IF(_imp!$C$1288="","",INDEX(_imp!$D$4:$D$4503,_imp!$C$1288))</f>
        <v/>
      </c>
      <c r="B1286" s="54">
        <f>IF(_imp!$C$1288="","",INDEX(_imp!$E$4:$E$4503,_imp!$C$1288))</f>
        <v/>
      </c>
      <c r="C1286" s="54">
        <f>IF(_imp!$C$1288="","",INDEX(_imp!$F$4:$F$4503,_imp!$C$1288))</f>
        <v/>
      </c>
      <c r="D1286" s="54">
        <f>IF(_imp!$C$1288="","",INDEX(_imp!$G$4:$G$4503,_imp!$C$1288))</f>
        <v/>
      </c>
      <c r="E1286" s="54">
        <f>IF(_imp!$C$1288="","",INDEX(_imp!$H$4:$H$4503,_imp!$C$1288))</f>
        <v/>
      </c>
      <c r="F1286" s="54">
        <f>IF(_imp!$C$1288="","",INDEX(_imp!$I$4:$I$4503,_imp!$C$1288))</f>
        <v/>
      </c>
      <c r="G1286" s="54">
        <f>IF(_imp!$C$1288="","",INDEX(_imp!$J$4:$J$4503,_imp!$C$1288))</f>
        <v/>
      </c>
      <c r="K1286" s="54">
        <f>IF(_imp!$C$1288="","",INDEX(_imp!$K$4:$K$4503,_imp!$C$1288))</f>
        <v/>
      </c>
    </row>
    <row r="1287">
      <c r="A1287" s="54">
        <f>IF(_imp!$C$1289="","",INDEX(_imp!$D$4:$D$4503,_imp!$C$1289))</f>
        <v/>
      </c>
      <c r="B1287" s="54">
        <f>IF(_imp!$C$1289="","",INDEX(_imp!$E$4:$E$4503,_imp!$C$1289))</f>
        <v/>
      </c>
      <c r="C1287" s="54">
        <f>IF(_imp!$C$1289="","",INDEX(_imp!$F$4:$F$4503,_imp!$C$1289))</f>
        <v/>
      </c>
      <c r="D1287" s="54">
        <f>IF(_imp!$C$1289="","",INDEX(_imp!$G$4:$G$4503,_imp!$C$1289))</f>
        <v/>
      </c>
      <c r="E1287" s="54">
        <f>IF(_imp!$C$1289="","",INDEX(_imp!$H$4:$H$4503,_imp!$C$1289))</f>
        <v/>
      </c>
      <c r="F1287" s="54">
        <f>IF(_imp!$C$1289="","",INDEX(_imp!$I$4:$I$4503,_imp!$C$1289))</f>
        <v/>
      </c>
      <c r="G1287" s="54">
        <f>IF(_imp!$C$1289="","",INDEX(_imp!$J$4:$J$4503,_imp!$C$1289))</f>
        <v/>
      </c>
      <c r="K1287" s="54">
        <f>IF(_imp!$C$1289="","",INDEX(_imp!$K$4:$K$4503,_imp!$C$1289))</f>
        <v/>
      </c>
    </row>
    <row r="1288">
      <c r="A1288" s="54">
        <f>IF(_imp!$C$1290="","",INDEX(_imp!$D$4:$D$4503,_imp!$C$1290))</f>
        <v/>
      </c>
      <c r="B1288" s="54">
        <f>IF(_imp!$C$1290="","",INDEX(_imp!$E$4:$E$4503,_imp!$C$1290))</f>
        <v/>
      </c>
      <c r="C1288" s="54">
        <f>IF(_imp!$C$1290="","",INDEX(_imp!$F$4:$F$4503,_imp!$C$1290))</f>
        <v/>
      </c>
      <c r="D1288" s="54">
        <f>IF(_imp!$C$1290="","",INDEX(_imp!$G$4:$G$4503,_imp!$C$1290))</f>
        <v/>
      </c>
      <c r="E1288" s="54">
        <f>IF(_imp!$C$1290="","",INDEX(_imp!$H$4:$H$4503,_imp!$C$1290))</f>
        <v/>
      </c>
      <c r="F1288" s="54">
        <f>IF(_imp!$C$1290="","",INDEX(_imp!$I$4:$I$4503,_imp!$C$1290))</f>
        <v/>
      </c>
      <c r="G1288" s="54">
        <f>IF(_imp!$C$1290="","",INDEX(_imp!$J$4:$J$4503,_imp!$C$1290))</f>
        <v/>
      </c>
      <c r="K1288" s="54">
        <f>IF(_imp!$C$1290="","",INDEX(_imp!$K$4:$K$4503,_imp!$C$1290))</f>
        <v/>
      </c>
    </row>
    <row r="1289">
      <c r="A1289" s="54">
        <f>IF(_imp!$C$1291="","",INDEX(_imp!$D$4:$D$4503,_imp!$C$1291))</f>
        <v/>
      </c>
      <c r="B1289" s="54">
        <f>IF(_imp!$C$1291="","",INDEX(_imp!$E$4:$E$4503,_imp!$C$1291))</f>
        <v/>
      </c>
      <c r="C1289" s="54">
        <f>IF(_imp!$C$1291="","",INDEX(_imp!$F$4:$F$4503,_imp!$C$1291))</f>
        <v/>
      </c>
      <c r="D1289" s="54">
        <f>IF(_imp!$C$1291="","",INDEX(_imp!$G$4:$G$4503,_imp!$C$1291))</f>
        <v/>
      </c>
      <c r="E1289" s="54">
        <f>IF(_imp!$C$1291="","",INDEX(_imp!$H$4:$H$4503,_imp!$C$1291))</f>
        <v/>
      </c>
      <c r="F1289" s="54">
        <f>IF(_imp!$C$1291="","",INDEX(_imp!$I$4:$I$4503,_imp!$C$1291))</f>
        <v/>
      </c>
      <c r="G1289" s="54">
        <f>IF(_imp!$C$1291="","",INDEX(_imp!$J$4:$J$4503,_imp!$C$1291))</f>
        <v/>
      </c>
      <c r="K1289" s="54">
        <f>IF(_imp!$C$1291="","",INDEX(_imp!$K$4:$K$4503,_imp!$C$1291))</f>
        <v/>
      </c>
    </row>
    <row r="1290">
      <c r="A1290" s="54">
        <f>IF(_imp!$C$1292="","",INDEX(_imp!$D$4:$D$4503,_imp!$C$1292))</f>
        <v/>
      </c>
      <c r="B1290" s="54">
        <f>IF(_imp!$C$1292="","",INDEX(_imp!$E$4:$E$4503,_imp!$C$1292))</f>
        <v/>
      </c>
      <c r="C1290" s="54">
        <f>IF(_imp!$C$1292="","",INDEX(_imp!$F$4:$F$4503,_imp!$C$1292))</f>
        <v/>
      </c>
      <c r="D1290" s="54">
        <f>IF(_imp!$C$1292="","",INDEX(_imp!$G$4:$G$4503,_imp!$C$1292))</f>
        <v/>
      </c>
      <c r="E1290" s="54">
        <f>IF(_imp!$C$1292="","",INDEX(_imp!$H$4:$H$4503,_imp!$C$1292))</f>
        <v/>
      </c>
      <c r="F1290" s="54">
        <f>IF(_imp!$C$1292="","",INDEX(_imp!$I$4:$I$4503,_imp!$C$1292))</f>
        <v/>
      </c>
      <c r="G1290" s="54">
        <f>IF(_imp!$C$1292="","",INDEX(_imp!$J$4:$J$4503,_imp!$C$1292))</f>
        <v/>
      </c>
      <c r="K1290" s="54">
        <f>IF(_imp!$C$1292="","",INDEX(_imp!$K$4:$K$4503,_imp!$C$1292))</f>
        <v/>
      </c>
    </row>
    <row r="1291">
      <c r="A1291" s="54">
        <f>IF(_imp!$C$1293="","",INDEX(_imp!$D$4:$D$4503,_imp!$C$1293))</f>
        <v/>
      </c>
      <c r="B1291" s="54">
        <f>IF(_imp!$C$1293="","",INDEX(_imp!$E$4:$E$4503,_imp!$C$1293))</f>
        <v/>
      </c>
      <c r="C1291" s="54">
        <f>IF(_imp!$C$1293="","",INDEX(_imp!$F$4:$F$4503,_imp!$C$1293))</f>
        <v/>
      </c>
      <c r="D1291" s="54">
        <f>IF(_imp!$C$1293="","",INDEX(_imp!$G$4:$G$4503,_imp!$C$1293))</f>
        <v/>
      </c>
      <c r="E1291" s="54">
        <f>IF(_imp!$C$1293="","",INDEX(_imp!$H$4:$H$4503,_imp!$C$1293))</f>
        <v/>
      </c>
      <c r="F1291" s="54">
        <f>IF(_imp!$C$1293="","",INDEX(_imp!$I$4:$I$4503,_imp!$C$1293))</f>
        <v/>
      </c>
      <c r="G1291" s="54">
        <f>IF(_imp!$C$1293="","",INDEX(_imp!$J$4:$J$4503,_imp!$C$1293))</f>
        <v/>
      </c>
      <c r="K1291" s="54">
        <f>IF(_imp!$C$1293="","",INDEX(_imp!$K$4:$K$4503,_imp!$C$1293))</f>
        <v/>
      </c>
    </row>
    <row r="1292">
      <c r="A1292" s="54">
        <f>IF(_imp!$C$1294="","",INDEX(_imp!$D$4:$D$4503,_imp!$C$1294))</f>
        <v/>
      </c>
      <c r="B1292" s="54">
        <f>IF(_imp!$C$1294="","",INDEX(_imp!$E$4:$E$4503,_imp!$C$1294))</f>
        <v/>
      </c>
      <c r="C1292" s="54">
        <f>IF(_imp!$C$1294="","",INDEX(_imp!$F$4:$F$4503,_imp!$C$1294))</f>
        <v/>
      </c>
      <c r="D1292" s="54">
        <f>IF(_imp!$C$1294="","",INDEX(_imp!$G$4:$G$4503,_imp!$C$1294))</f>
        <v/>
      </c>
      <c r="E1292" s="54">
        <f>IF(_imp!$C$1294="","",INDEX(_imp!$H$4:$H$4503,_imp!$C$1294))</f>
        <v/>
      </c>
      <c r="F1292" s="54">
        <f>IF(_imp!$C$1294="","",INDEX(_imp!$I$4:$I$4503,_imp!$C$1294))</f>
        <v/>
      </c>
      <c r="G1292" s="54">
        <f>IF(_imp!$C$1294="","",INDEX(_imp!$J$4:$J$4503,_imp!$C$1294))</f>
        <v/>
      </c>
      <c r="K1292" s="54">
        <f>IF(_imp!$C$1294="","",INDEX(_imp!$K$4:$K$4503,_imp!$C$1294))</f>
        <v/>
      </c>
    </row>
    <row r="1293">
      <c r="A1293" s="54">
        <f>IF(_imp!$C$1295="","",INDEX(_imp!$D$4:$D$4503,_imp!$C$1295))</f>
        <v/>
      </c>
      <c r="B1293" s="54">
        <f>IF(_imp!$C$1295="","",INDEX(_imp!$E$4:$E$4503,_imp!$C$1295))</f>
        <v/>
      </c>
      <c r="C1293" s="54">
        <f>IF(_imp!$C$1295="","",INDEX(_imp!$F$4:$F$4503,_imp!$C$1295))</f>
        <v/>
      </c>
      <c r="D1293" s="54">
        <f>IF(_imp!$C$1295="","",INDEX(_imp!$G$4:$G$4503,_imp!$C$1295))</f>
        <v/>
      </c>
      <c r="E1293" s="54">
        <f>IF(_imp!$C$1295="","",INDEX(_imp!$H$4:$H$4503,_imp!$C$1295))</f>
        <v/>
      </c>
      <c r="F1293" s="54">
        <f>IF(_imp!$C$1295="","",INDEX(_imp!$I$4:$I$4503,_imp!$C$1295))</f>
        <v/>
      </c>
      <c r="G1293" s="54">
        <f>IF(_imp!$C$1295="","",INDEX(_imp!$J$4:$J$4503,_imp!$C$1295))</f>
        <v/>
      </c>
      <c r="K1293" s="54">
        <f>IF(_imp!$C$1295="","",INDEX(_imp!$K$4:$K$4503,_imp!$C$1295))</f>
        <v/>
      </c>
    </row>
    <row r="1294">
      <c r="A1294" s="54">
        <f>IF(_imp!$C$1296="","",INDEX(_imp!$D$4:$D$4503,_imp!$C$1296))</f>
        <v/>
      </c>
      <c r="B1294" s="54">
        <f>IF(_imp!$C$1296="","",INDEX(_imp!$E$4:$E$4503,_imp!$C$1296))</f>
        <v/>
      </c>
      <c r="C1294" s="54">
        <f>IF(_imp!$C$1296="","",INDEX(_imp!$F$4:$F$4503,_imp!$C$1296))</f>
        <v/>
      </c>
      <c r="D1294" s="54">
        <f>IF(_imp!$C$1296="","",INDEX(_imp!$G$4:$G$4503,_imp!$C$1296))</f>
        <v/>
      </c>
      <c r="E1294" s="54">
        <f>IF(_imp!$C$1296="","",INDEX(_imp!$H$4:$H$4503,_imp!$C$1296))</f>
        <v/>
      </c>
      <c r="F1294" s="54">
        <f>IF(_imp!$C$1296="","",INDEX(_imp!$I$4:$I$4503,_imp!$C$1296))</f>
        <v/>
      </c>
      <c r="G1294" s="54">
        <f>IF(_imp!$C$1296="","",INDEX(_imp!$J$4:$J$4503,_imp!$C$1296))</f>
        <v/>
      </c>
      <c r="K1294" s="54">
        <f>IF(_imp!$C$1296="","",INDEX(_imp!$K$4:$K$4503,_imp!$C$1296))</f>
        <v/>
      </c>
    </row>
    <row r="1295">
      <c r="A1295" s="54">
        <f>IF(_imp!$C$1297="","",INDEX(_imp!$D$4:$D$4503,_imp!$C$1297))</f>
        <v/>
      </c>
      <c r="B1295" s="54">
        <f>IF(_imp!$C$1297="","",INDEX(_imp!$E$4:$E$4503,_imp!$C$1297))</f>
        <v/>
      </c>
      <c r="C1295" s="54">
        <f>IF(_imp!$C$1297="","",INDEX(_imp!$F$4:$F$4503,_imp!$C$1297))</f>
        <v/>
      </c>
      <c r="D1295" s="54">
        <f>IF(_imp!$C$1297="","",INDEX(_imp!$G$4:$G$4503,_imp!$C$1297))</f>
        <v/>
      </c>
      <c r="E1295" s="54">
        <f>IF(_imp!$C$1297="","",INDEX(_imp!$H$4:$H$4503,_imp!$C$1297))</f>
        <v/>
      </c>
      <c r="F1295" s="54">
        <f>IF(_imp!$C$1297="","",INDEX(_imp!$I$4:$I$4503,_imp!$C$1297))</f>
        <v/>
      </c>
      <c r="G1295" s="54">
        <f>IF(_imp!$C$1297="","",INDEX(_imp!$J$4:$J$4503,_imp!$C$1297))</f>
        <v/>
      </c>
      <c r="K1295" s="54">
        <f>IF(_imp!$C$1297="","",INDEX(_imp!$K$4:$K$4503,_imp!$C$1297))</f>
        <v/>
      </c>
    </row>
    <row r="1296">
      <c r="A1296" s="54">
        <f>IF(_imp!$C$1298="","",INDEX(_imp!$D$4:$D$4503,_imp!$C$1298))</f>
        <v/>
      </c>
      <c r="B1296" s="54">
        <f>IF(_imp!$C$1298="","",INDEX(_imp!$E$4:$E$4503,_imp!$C$1298))</f>
        <v/>
      </c>
      <c r="C1296" s="54">
        <f>IF(_imp!$C$1298="","",INDEX(_imp!$F$4:$F$4503,_imp!$C$1298))</f>
        <v/>
      </c>
      <c r="D1296" s="54">
        <f>IF(_imp!$C$1298="","",INDEX(_imp!$G$4:$G$4503,_imp!$C$1298))</f>
        <v/>
      </c>
      <c r="E1296" s="54">
        <f>IF(_imp!$C$1298="","",INDEX(_imp!$H$4:$H$4503,_imp!$C$1298))</f>
        <v/>
      </c>
      <c r="F1296" s="54">
        <f>IF(_imp!$C$1298="","",INDEX(_imp!$I$4:$I$4503,_imp!$C$1298))</f>
        <v/>
      </c>
      <c r="G1296" s="54">
        <f>IF(_imp!$C$1298="","",INDEX(_imp!$J$4:$J$4503,_imp!$C$1298))</f>
        <v/>
      </c>
      <c r="K1296" s="54">
        <f>IF(_imp!$C$1298="","",INDEX(_imp!$K$4:$K$4503,_imp!$C$1298))</f>
        <v/>
      </c>
    </row>
    <row r="1297">
      <c r="A1297" s="54">
        <f>IF(_imp!$C$1299="","",INDEX(_imp!$D$4:$D$4503,_imp!$C$1299))</f>
        <v/>
      </c>
      <c r="B1297" s="54">
        <f>IF(_imp!$C$1299="","",INDEX(_imp!$E$4:$E$4503,_imp!$C$1299))</f>
        <v/>
      </c>
      <c r="C1297" s="54">
        <f>IF(_imp!$C$1299="","",INDEX(_imp!$F$4:$F$4503,_imp!$C$1299))</f>
        <v/>
      </c>
      <c r="D1297" s="54">
        <f>IF(_imp!$C$1299="","",INDEX(_imp!$G$4:$G$4503,_imp!$C$1299))</f>
        <v/>
      </c>
      <c r="E1297" s="54">
        <f>IF(_imp!$C$1299="","",INDEX(_imp!$H$4:$H$4503,_imp!$C$1299))</f>
        <v/>
      </c>
      <c r="F1297" s="54">
        <f>IF(_imp!$C$1299="","",INDEX(_imp!$I$4:$I$4503,_imp!$C$1299))</f>
        <v/>
      </c>
      <c r="G1297" s="54">
        <f>IF(_imp!$C$1299="","",INDEX(_imp!$J$4:$J$4503,_imp!$C$1299))</f>
        <v/>
      </c>
      <c r="K1297" s="54">
        <f>IF(_imp!$C$1299="","",INDEX(_imp!$K$4:$K$4503,_imp!$C$1299))</f>
        <v/>
      </c>
    </row>
    <row r="1298">
      <c r="A1298" s="54">
        <f>IF(_imp!$C$1300="","",INDEX(_imp!$D$4:$D$4503,_imp!$C$1300))</f>
        <v/>
      </c>
      <c r="B1298" s="54">
        <f>IF(_imp!$C$1300="","",INDEX(_imp!$E$4:$E$4503,_imp!$C$1300))</f>
        <v/>
      </c>
      <c r="C1298" s="54">
        <f>IF(_imp!$C$1300="","",INDEX(_imp!$F$4:$F$4503,_imp!$C$1300))</f>
        <v/>
      </c>
      <c r="D1298" s="54">
        <f>IF(_imp!$C$1300="","",INDEX(_imp!$G$4:$G$4503,_imp!$C$1300))</f>
        <v/>
      </c>
      <c r="E1298" s="54">
        <f>IF(_imp!$C$1300="","",INDEX(_imp!$H$4:$H$4503,_imp!$C$1300))</f>
        <v/>
      </c>
      <c r="F1298" s="54">
        <f>IF(_imp!$C$1300="","",INDEX(_imp!$I$4:$I$4503,_imp!$C$1300))</f>
        <v/>
      </c>
      <c r="G1298" s="54">
        <f>IF(_imp!$C$1300="","",INDEX(_imp!$J$4:$J$4503,_imp!$C$1300))</f>
        <v/>
      </c>
      <c r="K1298" s="54">
        <f>IF(_imp!$C$1300="","",INDEX(_imp!$K$4:$K$4503,_imp!$C$1300))</f>
        <v/>
      </c>
    </row>
    <row r="1299">
      <c r="A1299" s="54">
        <f>IF(_imp!$C$1301="","",INDEX(_imp!$D$4:$D$4503,_imp!$C$1301))</f>
        <v/>
      </c>
      <c r="B1299" s="54">
        <f>IF(_imp!$C$1301="","",INDEX(_imp!$E$4:$E$4503,_imp!$C$1301))</f>
        <v/>
      </c>
      <c r="C1299" s="54">
        <f>IF(_imp!$C$1301="","",INDEX(_imp!$F$4:$F$4503,_imp!$C$1301))</f>
        <v/>
      </c>
      <c r="D1299" s="54">
        <f>IF(_imp!$C$1301="","",INDEX(_imp!$G$4:$G$4503,_imp!$C$1301))</f>
        <v/>
      </c>
      <c r="E1299" s="54">
        <f>IF(_imp!$C$1301="","",INDEX(_imp!$H$4:$H$4503,_imp!$C$1301))</f>
        <v/>
      </c>
      <c r="F1299" s="54">
        <f>IF(_imp!$C$1301="","",INDEX(_imp!$I$4:$I$4503,_imp!$C$1301))</f>
        <v/>
      </c>
      <c r="G1299" s="54">
        <f>IF(_imp!$C$1301="","",INDEX(_imp!$J$4:$J$4503,_imp!$C$1301))</f>
        <v/>
      </c>
      <c r="K1299" s="54">
        <f>IF(_imp!$C$1301="","",INDEX(_imp!$K$4:$K$4503,_imp!$C$1301))</f>
        <v/>
      </c>
    </row>
    <row r="1300">
      <c r="A1300" s="54">
        <f>IF(_imp!$C$1302="","",INDEX(_imp!$D$4:$D$4503,_imp!$C$1302))</f>
        <v/>
      </c>
      <c r="B1300" s="54">
        <f>IF(_imp!$C$1302="","",INDEX(_imp!$E$4:$E$4503,_imp!$C$1302))</f>
        <v/>
      </c>
      <c r="C1300" s="54">
        <f>IF(_imp!$C$1302="","",INDEX(_imp!$F$4:$F$4503,_imp!$C$1302))</f>
        <v/>
      </c>
      <c r="D1300" s="54">
        <f>IF(_imp!$C$1302="","",INDEX(_imp!$G$4:$G$4503,_imp!$C$1302))</f>
        <v/>
      </c>
      <c r="E1300" s="54">
        <f>IF(_imp!$C$1302="","",INDEX(_imp!$H$4:$H$4503,_imp!$C$1302))</f>
        <v/>
      </c>
      <c r="F1300" s="54">
        <f>IF(_imp!$C$1302="","",INDEX(_imp!$I$4:$I$4503,_imp!$C$1302))</f>
        <v/>
      </c>
      <c r="G1300" s="54">
        <f>IF(_imp!$C$1302="","",INDEX(_imp!$J$4:$J$4503,_imp!$C$1302))</f>
        <v/>
      </c>
      <c r="K1300" s="54">
        <f>IF(_imp!$C$1302="","",INDEX(_imp!$K$4:$K$4503,_imp!$C$1302))</f>
        <v/>
      </c>
    </row>
    <row r="1301">
      <c r="A1301" s="54">
        <f>IF(_imp!$C$1303="","",INDEX(_imp!$D$4:$D$4503,_imp!$C$1303))</f>
        <v/>
      </c>
      <c r="B1301" s="54">
        <f>IF(_imp!$C$1303="","",INDEX(_imp!$E$4:$E$4503,_imp!$C$1303))</f>
        <v/>
      </c>
      <c r="C1301" s="54">
        <f>IF(_imp!$C$1303="","",INDEX(_imp!$F$4:$F$4503,_imp!$C$1303))</f>
        <v/>
      </c>
      <c r="D1301" s="54">
        <f>IF(_imp!$C$1303="","",INDEX(_imp!$G$4:$G$4503,_imp!$C$1303))</f>
        <v/>
      </c>
      <c r="E1301" s="54">
        <f>IF(_imp!$C$1303="","",INDEX(_imp!$H$4:$H$4503,_imp!$C$1303))</f>
        <v/>
      </c>
      <c r="F1301" s="54">
        <f>IF(_imp!$C$1303="","",INDEX(_imp!$I$4:$I$4503,_imp!$C$1303))</f>
        <v/>
      </c>
      <c r="G1301" s="54">
        <f>IF(_imp!$C$1303="","",INDEX(_imp!$J$4:$J$4503,_imp!$C$1303))</f>
        <v/>
      </c>
      <c r="K1301" s="54">
        <f>IF(_imp!$C$1303="","",INDEX(_imp!$K$4:$K$4503,_imp!$C$1303))</f>
        <v/>
      </c>
    </row>
    <row r="1302">
      <c r="A1302" s="54">
        <f>IF(_imp!$C$1304="","",INDEX(_imp!$D$4:$D$4503,_imp!$C$1304))</f>
        <v/>
      </c>
      <c r="B1302" s="54">
        <f>IF(_imp!$C$1304="","",INDEX(_imp!$E$4:$E$4503,_imp!$C$1304))</f>
        <v/>
      </c>
      <c r="C1302" s="54">
        <f>IF(_imp!$C$1304="","",INDEX(_imp!$F$4:$F$4503,_imp!$C$1304))</f>
        <v/>
      </c>
      <c r="D1302" s="54">
        <f>IF(_imp!$C$1304="","",INDEX(_imp!$G$4:$G$4503,_imp!$C$1304))</f>
        <v/>
      </c>
      <c r="E1302" s="54">
        <f>IF(_imp!$C$1304="","",INDEX(_imp!$H$4:$H$4503,_imp!$C$1304))</f>
        <v/>
      </c>
      <c r="F1302" s="54">
        <f>IF(_imp!$C$1304="","",INDEX(_imp!$I$4:$I$4503,_imp!$C$1304))</f>
        <v/>
      </c>
      <c r="G1302" s="54">
        <f>IF(_imp!$C$1304="","",INDEX(_imp!$J$4:$J$4503,_imp!$C$1304))</f>
        <v/>
      </c>
      <c r="K1302" s="54">
        <f>IF(_imp!$C$1304="","",INDEX(_imp!$K$4:$K$4503,_imp!$C$1304))</f>
        <v/>
      </c>
    </row>
    <row r="1303">
      <c r="A1303" s="54">
        <f>IF(_imp!$C$1305="","",INDEX(_imp!$D$4:$D$4503,_imp!$C$1305))</f>
        <v/>
      </c>
      <c r="B1303" s="54">
        <f>IF(_imp!$C$1305="","",INDEX(_imp!$E$4:$E$4503,_imp!$C$1305))</f>
        <v/>
      </c>
      <c r="C1303" s="54">
        <f>IF(_imp!$C$1305="","",INDEX(_imp!$F$4:$F$4503,_imp!$C$1305))</f>
        <v/>
      </c>
      <c r="D1303" s="54">
        <f>IF(_imp!$C$1305="","",INDEX(_imp!$G$4:$G$4503,_imp!$C$1305))</f>
        <v/>
      </c>
      <c r="E1303" s="54">
        <f>IF(_imp!$C$1305="","",INDEX(_imp!$H$4:$H$4503,_imp!$C$1305))</f>
        <v/>
      </c>
      <c r="F1303" s="54">
        <f>IF(_imp!$C$1305="","",INDEX(_imp!$I$4:$I$4503,_imp!$C$1305))</f>
        <v/>
      </c>
      <c r="G1303" s="54">
        <f>IF(_imp!$C$1305="","",INDEX(_imp!$J$4:$J$4503,_imp!$C$1305))</f>
        <v/>
      </c>
      <c r="K1303" s="54">
        <f>IF(_imp!$C$1305="","",INDEX(_imp!$K$4:$K$4503,_imp!$C$1305))</f>
        <v/>
      </c>
    </row>
    <row r="1304">
      <c r="A1304" s="54">
        <f>IF(_imp!$C$1306="","",INDEX(_imp!$D$4:$D$4503,_imp!$C$1306))</f>
        <v/>
      </c>
      <c r="B1304" s="54">
        <f>IF(_imp!$C$1306="","",INDEX(_imp!$E$4:$E$4503,_imp!$C$1306))</f>
        <v/>
      </c>
      <c r="C1304" s="54">
        <f>IF(_imp!$C$1306="","",INDEX(_imp!$F$4:$F$4503,_imp!$C$1306))</f>
        <v/>
      </c>
      <c r="D1304" s="54">
        <f>IF(_imp!$C$1306="","",INDEX(_imp!$G$4:$G$4503,_imp!$C$1306))</f>
        <v/>
      </c>
      <c r="E1304" s="54">
        <f>IF(_imp!$C$1306="","",INDEX(_imp!$H$4:$H$4503,_imp!$C$1306))</f>
        <v/>
      </c>
      <c r="F1304" s="54">
        <f>IF(_imp!$C$1306="","",INDEX(_imp!$I$4:$I$4503,_imp!$C$1306))</f>
        <v/>
      </c>
      <c r="G1304" s="54">
        <f>IF(_imp!$C$1306="","",INDEX(_imp!$J$4:$J$4503,_imp!$C$1306))</f>
        <v/>
      </c>
      <c r="K1304" s="54">
        <f>IF(_imp!$C$1306="","",INDEX(_imp!$K$4:$K$4503,_imp!$C$1306))</f>
        <v/>
      </c>
    </row>
    <row r="1305">
      <c r="A1305" s="54">
        <f>IF(_imp!$C$1307="","",INDEX(_imp!$D$4:$D$4503,_imp!$C$1307))</f>
        <v/>
      </c>
      <c r="B1305" s="54">
        <f>IF(_imp!$C$1307="","",INDEX(_imp!$E$4:$E$4503,_imp!$C$1307))</f>
        <v/>
      </c>
      <c r="C1305" s="54">
        <f>IF(_imp!$C$1307="","",INDEX(_imp!$F$4:$F$4503,_imp!$C$1307))</f>
        <v/>
      </c>
      <c r="D1305" s="54">
        <f>IF(_imp!$C$1307="","",INDEX(_imp!$G$4:$G$4503,_imp!$C$1307))</f>
        <v/>
      </c>
      <c r="E1305" s="54">
        <f>IF(_imp!$C$1307="","",INDEX(_imp!$H$4:$H$4503,_imp!$C$1307))</f>
        <v/>
      </c>
      <c r="F1305" s="54">
        <f>IF(_imp!$C$1307="","",INDEX(_imp!$I$4:$I$4503,_imp!$C$1307))</f>
        <v/>
      </c>
      <c r="G1305" s="54">
        <f>IF(_imp!$C$1307="","",INDEX(_imp!$J$4:$J$4503,_imp!$C$1307))</f>
        <v/>
      </c>
      <c r="K1305" s="54">
        <f>IF(_imp!$C$1307="","",INDEX(_imp!$K$4:$K$4503,_imp!$C$1307))</f>
        <v/>
      </c>
    </row>
    <row r="1306">
      <c r="A1306" s="54">
        <f>IF(_imp!$C$1308="","",INDEX(_imp!$D$4:$D$4503,_imp!$C$1308))</f>
        <v/>
      </c>
      <c r="B1306" s="54">
        <f>IF(_imp!$C$1308="","",INDEX(_imp!$E$4:$E$4503,_imp!$C$1308))</f>
        <v/>
      </c>
      <c r="C1306" s="54">
        <f>IF(_imp!$C$1308="","",INDEX(_imp!$F$4:$F$4503,_imp!$C$1308))</f>
        <v/>
      </c>
      <c r="D1306" s="54">
        <f>IF(_imp!$C$1308="","",INDEX(_imp!$G$4:$G$4503,_imp!$C$1308))</f>
        <v/>
      </c>
      <c r="E1306" s="54">
        <f>IF(_imp!$C$1308="","",INDEX(_imp!$H$4:$H$4503,_imp!$C$1308))</f>
        <v/>
      </c>
      <c r="F1306" s="54">
        <f>IF(_imp!$C$1308="","",INDEX(_imp!$I$4:$I$4503,_imp!$C$1308))</f>
        <v/>
      </c>
      <c r="G1306" s="54">
        <f>IF(_imp!$C$1308="","",INDEX(_imp!$J$4:$J$4503,_imp!$C$1308))</f>
        <v/>
      </c>
      <c r="K1306" s="54">
        <f>IF(_imp!$C$1308="","",INDEX(_imp!$K$4:$K$4503,_imp!$C$1308))</f>
        <v/>
      </c>
    </row>
    <row r="1307">
      <c r="A1307" s="54">
        <f>IF(_imp!$C$1309="","",INDEX(_imp!$D$4:$D$4503,_imp!$C$1309))</f>
        <v/>
      </c>
      <c r="B1307" s="54">
        <f>IF(_imp!$C$1309="","",INDEX(_imp!$E$4:$E$4503,_imp!$C$1309))</f>
        <v/>
      </c>
      <c r="C1307" s="54">
        <f>IF(_imp!$C$1309="","",INDEX(_imp!$F$4:$F$4503,_imp!$C$1309))</f>
        <v/>
      </c>
      <c r="D1307" s="54">
        <f>IF(_imp!$C$1309="","",INDEX(_imp!$G$4:$G$4503,_imp!$C$1309))</f>
        <v/>
      </c>
      <c r="E1307" s="54">
        <f>IF(_imp!$C$1309="","",INDEX(_imp!$H$4:$H$4503,_imp!$C$1309))</f>
        <v/>
      </c>
      <c r="F1307" s="54">
        <f>IF(_imp!$C$1309="","",INDEX(_imp!$I$4:$I$4503,_imp!$C$1309))</f>
        <v/>
      </c>
      <c r="G1307" s="54">
        <f>IF(_imp!$C$1309="","",INDEX(_imp!$J$4:$J$4503,_imp!$C$1309))</f>
        <v/>
      </c>
      <c r="K1307" s="54">
        <f>IF(_imp!$C$1309="","",INDEX(_imp!$K$4:$K$4503,_imp!$C$1309))</f>
        <v/>
      </c>
    </row>
    <row r="1308">
      <c r="A1308" s="54">
        <f>IF(_imp!$C$1310="","",INDEX(_imp!$D$4:$D$4503,_imp!$C$1310))</f>
        <v/>
      </c>
      <c r="B1308" s="54">
        <f>IF(_imp!$C$1310="","",INDEX(_imp!$E$4:$E$4503,_imp!$C$1310))</f>
        <v/>
      </c>
      <c r="C1308" s="54">
        <f>IF(_imp!$C$1310="","",INDEX(_imp!$F$4:$F$4503,_imp!$C$1310))</f>
        <v/>
      </c>
      <c r="D1308" s="54">
        <f>IF(_imp!$C$1310="","",INDEX(_imp!$G$4:$G$4503,_imp!$C$1310))</f>
        <v/>
      </c>
      <c r="E1308" s="54">
        <f>IF(_imp!$C$1310="","",INDEX(_imp!$H$4:$H$4503,_imp!$C$1310))</f>
        <v/>
      </c>
      <c r="F1308" s="54">
        <f>IF(_imp!$C$1310="","",INDEX(_imp!$I$4:$I$4503,_imp!$C$1310))</f>
        <v/>
      </c>
      <c r="G1308" s="54">
        <f>IF(_imp!$C$1310="","",INDEX(_imp!$J$4:$J$4503,_imp!$C$1310))</f>
        <v/>
      </c>
      <c r="K1308" s="54">
        <f>IF(_imp!$C$1310="","",INDEX(_imp!$K$4:$K$4503,_imp!$C$1310))</f>
        <v/>
      </c>
    </row>
    <row r="1309">
      <c r="A1309" s="54">
        <f>IF(_imp!$C$1311="","",INDEX(_imp!$D$4:$D$4503,_imp!$C$1311))</f>
        <v/>
      </c>
      <c r="B1309" s="54">
        <f>IF(_imp!$C$1311="","",INDEX(_imp!$E$4:$E$4503,_imp!$C$1311))</f>
        <v/>
      </c>
      <c r="C1309" s="54">
        <f>IF(_imp!$C$1311="","",INDEX(_imp!$F$4:$F$4503,_imp!$C$1311))</f>
        <v/>
      </c>
      <c r="D1309" s="54">
        <f>IF(_imp!$C$1311="","",INDEX(_imp!$G$4:$G$4503,_imp!$C$1311))</f>
        <v/>
      </c>
      <c r="E1309" s="54">
        <f>IF(_imp!$C$1311="","",INDEX(_imp!$H$4:$H$4503,_imp!$C$1311))</f>
        <v/>
      </c>
      <c r="F1309" s="54">
        <f>IF(_imp!$C$1311="","",INDEX(_imp!$I$4:$I$4503,_imp!$C$1311))</f>
        <v/>
      </c>
      <c r="G1309" s="54">
        <f>IF(_imp!$C$1311="","",INDEX(_imp!$J$4:$J$4503,_imp!$C$1311))</f>
        <v/>
      </c>
      <c r="K1309" s="54">
        <f>IF(_imp!$C$1311="","",INDEX(_imp!$K$4:$K$4503,_imp!$C$1311))</f>
        <v/>
      </c>
    </row>
    <row r="1310">
      <c r="A1310" s="54">
        <f>IF(_imp!$C$1312="","",INDEX(_imp!$D$4:$D$4503,_imp!$C$1312))</f>
        <v/>
      </c>
      <c r="B1310" s="54">
        <f>IF(_imp!$C$1312="","",INDEX(_imp!$E$4:$E$4503,_imp!$C$1312))</f>
        <v/>
      </c>
      <c r="C1310" s="54">
        <f>IF(_imp!$C$1312="","",INDEX(_imp!$F$4:$F$4503,_imp!$C$1312))</f>
        <v/>
      </c>
      <c r="D1310" s="54">
        <f>IF(_imp!$C$1312="","",INDEX(_imp!$G$4:$G$4503,_imp!$C$1312))</f>
        <v/>
      </c>
      <c r="E1310" s="54">
        <f>IF(_imp!$C$1312="","",INDEX(_imp!$H$4:$H$4503,_imp!$C$1312))</f>
        <v/>
      </c>
      <c r="F1310" s="54">
        <f>IF(_imp!$C$1312="","",INDEX(_imp!$I$4:$I$4503,_imp!$C$1312))</f>
        <v/>
      </c>
      <c r="G1310" s="54">
        <f>IF(_imp!$C$1312="","",INDEX(_imp!$J$4:$J$4503,_imp!$C$1312))</f>
        <v/>
      </c>
      <c r="K1310" s="54">
        <f>IF(_imp!$C$1312="","",INDEX(_imp!$K$4:$K$4503,_imp!$C$1312))</f>
        <v/>
      </c>
    </row>
    <row r="1311">
      <c r="A1311" s="54">
        <f>IF(_imp!$C$1313="","",INDEX(_imp!$D$4:$D$4503,_imp!$C$1313))</f>
        <v/>
      </c>
      <c r="B1311" s="54">
        <f>IF(_imp!$C$1313="","",INDEX(_imp!$E$4:$E$4503,_imp!$C$1313))</f>
        <v/>
      </c>
      <c r="C1311" s="54">
        <f>IF(_imp!$C$1313="","",INDEX(_imp!$F$4:$F$4503,_imp!$C$1313))</f>
        <v/>
      </c>
      <c r="D1311" s="54">
        <f>IF(_imp!$C$1313="","",INDEX(_imp!$G$4:$G$4503,_imp!$C$1313))</f>
        <v/>
      </c>
      <c r="E1311" s="54">
        <f>IF(_imp!$C$1313="","",INDEX(_imp!$H$4:$H$4503,_imp!$C$1313))</f>
        <v/>
      </c>
      <c r="F1311" s="54">
        <f>IF(_imp!$C$1313="","",INDEX(_imp!$I$4:$I$4503,_imp!$C$1313))</f>
        <v/>
      </c>
      <c r="G1311" s="54">
        <f>IF(_imp!$C$1313="","",INDEX(_imp!$J$4:$J$4503,_imp!$C$1313))</f>
        <v/>
      </c>
      <c r="K1311" s="54">
        <f>IF(_imp!$C$1313="","",INDEX(_imp!$K$4:$K$4503,_imp!$C$1313))</f>
        <v/>
      </c>
    </row>
    <row r="1312">
      <c r="A1312" s="54">
        <f>IF(_imp!$C$1314="","",INDEX(_imp!$D$4:$D$4503,_imp!$C$1314))</f>
        <v/>
      </c>
      <c r="B1312" s="54">
        <f>IF(_imp!$C$1314="","",INDEX(_imp!$E$4:$E$4503,_imp!$C$1314))</f>
        <v/>
      </c>
      <c r="C1312" s="54">
        <f>IF(_imp!$C$1314="","",INDEX(_imp!$F$4:$F$4503,_imp!$C$1314))</f>
        <v/>
      </c>
      <c r="D1312" s="54">
        <f>IF(_imp!$C$1314="","",INDEX(_imp!$G$4:$G$4503,_imp!$C$1314))</f>
        <v/>
      </c>
      <c r="E1312" s="54">
        <f>IF(_imp!$C$1314="","",INDEX(_imp!$H$4:$H$4503,_imp!$C$1314))</f>
        <v/>
      </c>
      <c r="F1312" s="54">
        <f>IF(_imp!$C$1314="","",INDEX(_imp!$I$4:$I$4503,_imp!$C$1314))</f>
        <v/>
      </c>
      <c r="G1312" s="54">
        <f>IF(_imp!$C$1314="","",INDEX(_imp!$J$4:$J$4503,_imp!$C$1314))</f>
        <v/>
      </c>
      <c r="K1312" s="54">
        <f>IF(_imp!$C$1314="","",INDEX(_imp!$K$4:$K$4503,_imp!$C$1314))</f>
        <v/>
      </c>
    </row>
    <row r="1313">
      <c r="A1313" s="54">
        <f>IF(_imp!$C$1315="","",INDEX(_imp!$D$4:$D$4503,_imp!$C$1315))</f>
        <v/>
      </c>
      <c r="B1313" s="54">
        <f>IF(_imp!$C$1315="","",INDEX(_imp!$E$4:$E$4503,_imp!$C$1315))</f>
        <v/>
      </c>
      <c r="C1313" s="54">
        <f>IF(_imp!$C$1315="","",INDEX(_imp!$F$4:$F$4503,_imp!$C$1315))</f>
        <v/>
      </c>
      <c r="D1313" s="54">
        <f>IF(_imp!$C$1315="","",INDEX(_imp!$G$4:$G$4503,_imp!$C$1315))</f>
        <v/>
      </c>
      <c r="E1313" s="54">
        <f>IF(_imp!$C$1315="","",INDEX(_imp!$H$4:$H$4503,_imp!$C$1315))</f>
        <v/>
      </c>
      <c r="F1313" s="54">
        <f>IF(_imp!$C$1315="","",INDEX(_imp!$I$4:$I$4503,_imp!$C$1315))</f>
        <v/>
      </c>
      <c r="G1313" s="54">
        <f>IF(_imp!$C$1315="","",INDEX(_imp!$J$4:$J$4503,_imp!$C$1315))</f>
        <v/>
      </c>
      <c r="K1313" s="54">
        <f>IF(_imp!$C$1315="","",INDEX(_imp!$K$4:$K$4503,_imp!$C$1315))</f>
        <v/>
      </c>
    </row>
    <row r="1314">
      <c r="A1314" s="54">
        <f>IF(_imp!$C$1316="","",INDEX(_imp!$D$4:$D$4503,_imp!$C$1316))</f>
        <v/>
      </c>
      <c r="B1314" s="54">
        <f>IF(_imp!$C$1316="","",INDEX(_imp!$E$4:$E$4503,_imp!$C$1316))</f>
        <v/>
      </c>
      <c r="C1314" s="54">
        <f>IF(_imp!$C$1316="","",INDEX(_imp!$F$4:$F$4503,_imp!$C$1316))</f>
        <v/>
      </c>
      <c r="D1314" s="54">
        <f>IF(_imp!$C$1316="","",INDEX(_imp!$G$4:$G$4503,_imp!$C$1316))</f>
        <v/>
      </c>
      <c r="E1314" s="54">
        <f>IF(_imp!$C$1316="","",INDEX(_imp!$H$4:$H$4503,_imp!$C$1316))</f>
        <v/>
      </c>
      <c r="F1314" s="54">
        <f>IF(_imp!$C$1316="","",INDEX(_imp!$I$4:$I$4503,_imp!$C$1316))</f>
        <v/>
      </c>
      <c r="G1314" s="54">
        <f>IF(_imp!$C$1316="","",INDEX(_imp!$J$4:$J$4503,_imp!$C$1316))</f>
        <v/>
      </c>
      <c r="K1314" s="54">
        <f>IF(_imp!$C$1316="","",INDEX(_imp!$K$4:$K$4503,_imp!$C$1316))</f>
        <v/>
      </c>
    </row>
    <row r="1315">
      <c r="A1315" s="54">
        <f>IF(_imp!$C$1317="","",INDEX(_imp!$D$4:$D$4503,_imp!$C$1317))</f>
        <v/>
      </c>
      <c r="B1315" s="54">
        <f>IF(_imp!$C$1317="","",INDEX(_imp!$E$4:$E$4503,_imp!$C$1317))</f>
        <v/>
      </c>
      <c r="C1315" s="54">
        <f>IF(_imp!$C$1317="","",INDEX(_imp!$F$4:$F$4503,_imp!$C$1317))</f>
        <v/>
      </c>
      <c r="D1315" s="54">
        <f>IF(_imp!$C$1317="","",INDEX(_imp!$G$4:$G$4503,_imp!$C$1317))</f>
        <v/>
      </c>
      <c r="E1315" s="54">
        <f>IF(_imp!$C$1317="","",INDEX(_imp!$H$4:$H$4503,_imp!$C$1317))</f>
        <v/>
      </c>
      <c r="F1315" s="54">
        <f>IF(_imp!$C$1317="","",INDEX(_imp!$I$4:$I$4503,_imp!$C$1317))</f>
        <v/>
      </c>
      <c r="G1315" s="54">
        <f>IF(_imp!$C$1317="","",INDEX(_imp!$J$4:$J$4503,_imp!$C$1317))</f>
        <v/>
      </c>
      <c r="K1315" s="54">
        <f>IF(_imp!$C$1317="","",INDEX(_imp!$K$4:$K$4503,_imp!$C$1317))</f>
        <v/>
      </c>
    </row>
    <row r="1316">
      <c r="A1316" s="54">
        <f>IF(_imp!$C$1318="","",INDEX(_imp!$D$4:$D$4503,_imp!$C$1318))</f>
        <v/>
      </c>
      <c r="B1316" s="54">
        <f>IF(_imp!$C$1318="","",INDEX(_imp!$E$4:$E$4503,_imp!$C$1318))</f>
        <v/>
      </c>
      <c r="C1316" s="54">
        <f>IF(_imp!$C$1318="","",INDEX(_imp!$F$4:$F$4503,_imp!$C$1318))</f>
        <v/>
      </c>
      <c r="D1316" s="54">
        <f>IF(_imp!$C$1318="","",INDEX(_imp!$G$4:$G$4503,_imp!$C$1318))</f>
        <v/>
      </c>
      <c r="E1316" s="54">
        <f>IF(_imp!$C$1318="","",INDEX(_imp!$H$4:$H$4503,_imp!$C$1318))</f>
        <v/>
      </c>
      <c r="F1316" s="54">
        <f>IF(_imp!$C$1318="","",INDEX(_imp!$I$4:$I$4503,_imp!$C$1318))</f>
        <v/>
      </c>
      <c r="G1316" s="54">
        <f>IF(_imp!$C$1318="","",INDEX(_imp!$J$4:$J$4503,_imp!$C$1318))</f>
        <v/>
      </c>
      <c r="K1316" s="54">
        <f>IF(_imp!$C$1318="","",INDEX(_imp!$K$4:$K$4503,_imp!$C$1318))</f>
        <v/>
      </c>
    </row>
    <row r="1317">
      <c r="A1317" s="54">
        <f>IF(_imp!$C$1319="","",INDEX(_imp!$D$4:$D$4503,_imp!$C$1319))</f>
        <v/>
      </c>
      <c r="B1317" s="54">
        <f>IF(_imp!$C$1319="","",INDEX(_imp!$E$4:$E$4503,_imp!$C$1319))</f>
        <v/>
      </c>
      <c r="C1317" s="54">
        <f>IF(_imp!$C$1319="","",INDEX(_imp!$F$4:$F$4503,_imp!$C$1319))</f>
        <v/>
      </c>
      <c r="D1317" s="54">
        <f>IF(_imp!$C$1319="","",INDEX(_imp!$G$4:$G$4503,_imp!$C$1319))</f>
        <v/>
      </c>
      <c r="E1317" s="54">
        <f>IF(_imp!$C$1319="","",INDEX(_imp!$H$4:$H$4503,_imp!$C$1319))</f>
        <v/>
      </c>
      <c r="F1317" s="54">
        <f>IF(_imp!$C$1319="","",INDEX(_imp!$I$4:$I$4503,_imp!$C$1319))</f>
        <v/>
      </c>
      <c r="G1317" s="54">
        <f>IF(_imp!$C$1319="","",INDEX(_imp!$J$4:$J$4503,_imp!$C$1319))</f>
        <v/>
      </c>
      <c r="K1317" s="54">
        <f>IF(_imp!$C$1319="","",INDEX(_imp!$K$4:$K$4503,_imp!$C$1319))</f>
        <v/>
      </c>
    </row>
    <row r="1318">
      <c r="A1318" s="54">
        <f>IF(_imp!$C$1320="","",INDEX(_imp!$D$4:$D$4503,_imp!$C$1320))</f>
        <v/>
      </c>
      <c r="B1318" s="54">
        <f>IF(_imp!$C$1320="","",INDEX(_imp!$E$4:$E$4503,_imp!$C$1320))</f>
        <v/>
      </c>
      <c r="C1318" s="54">
        <f>IF(_imp!$C$1320="","",INDEX(_imp!$F$4:$F$4503,_imp!$C$1320))</f>
        <v/>
      </c>
      <c r="D1318" s="54">
        <f>IF(_imp!$C$1320="","",INDEX(_imp!$G$4:$G$4503,_imp!$C$1320))</f>
        <v/>
      </c>
      <c r="E1318" s="54">
        <f>IF(_imp!$C$1320="","",INDEX(_imp!$H$4:$H$4503,_imp!$C$1320))</f>
        <v/>
      </c>
      <c r="F1318" s="54">
        <f>IF(_imp!$C$1320="","",INDEX(_imp!$I$4:$I$4503,_imp!$C$1320))</f>
        <v/>
      </c>
      <c r="G1318" s="54">
        <f>IF(_imp!$C$1320="","",INDEX(_imp!$J$4:$J$4503,_imp!$C$1320))</f>
        <v/>
      </c>
      <c r="K1318" s="54">
        <f>IF(_imp!$C$1320="","",INDEX(_imp!$K$4:$K$4503,_imp!$C$1320))</f>
        <v/>
      </c>
    </row>
    <row r="1319">
      <c r="A1319" s="54">
        <f>IF(_imp!$C$1321="","",INDEX(_imp!$D$4:$D$4503,_imp!$C$1321))</f>
        <v/>
      </c>
      <c r="B1319" s="54">
        <f>IF(_imp!$C$1321="","",INDEX(_imp!$E$4:$E$4503,_imp!$C$1321))</f>
        <v/>
      </c>
      <c r="C1319" s="54">
        <f>IF(_imp!$C$1321="","",INDEX(_imp!$F$4:$F$4503,_imp!$C$1321))</f>
        <v/>
      </c>
      <c r="D1319" s="54">
        <f>IF(_imp!$C$1321="","",INDEX(_imp!$G$4:$G$4503,_imp!$C$1321))</f>
        <v/>
      </c>
      <c r="E1319" s="54">
        <f>IF(_imp!$C$1321="","",INDEX(_imp!$H$4:$H$4503,_imp!$C$1321))</f>
        <v/>
      </c>
      <c r="F1319" s="54">
        <f>IF(_imp!$C$1321="","",INDEX(_imp!$I$4:$I$4503,_imp!$C$1321))</f>
        <v/>
      </c>
      <c r="G1319" s="54">
        <f>IF(_imp!$C$1321="","",INDEX(_imp!$J$4:$J$4503,_imp!$C$1321))</f>
        <v/>
      </c>
      <c r="K1319" s="54">
        <f>IF(_imp!$C$1321="","",INDEX(_imp!$K$4:$K$4503,_imp!$C$1321))</f>
        <v/>
      </c>
    </row>
    <row r="1320">
      <c r="A1320" s="54">
        <f>IF(_imp!$C$1322="","",INDEX(_imp!$D$4:$D$4503,_imp!$C$1322))</f>
        <v/>
      </c>
      <c r="B1320" s="54">
        <f>IF(_imp!$C$1322="","",INDEX(_imp!$E$4:$E$4503,_imp!$C$1322))</f>
        <v/>
      </c>
      <c r="C1320" s="54">
        <f>IF(_imp!$C$1322="","",INDEX(_imp!$F$4:$F$4503,_imp!$C$1322))</f>
        <v/>
      </c>
      <c r="D1320" s="54">
        <f>IF(_imp!$C$1322="","",INDEX(_imp!$G$4:$G$4503,_imp!$C$1322))</f>
        <v/>
      </c>
      <c r="E1320" s="54">
        <f>IF(_imp!$C$1322="","",INDEX(_imp!$H$4:$H$4503,_imp!$C$1322))</f>
        <v/>
      </c>
      <c r="F1320" s="54">
        <f>IF(_imp!$C$1322="","",INDEX(_imp!$I$4:$I$4503,_imp!$C$1322))</f>
        <v/>
      </c>
      <c r="G1320" s="54">
        <f>IF(_imp!$C$1322="","",INDEX(_imp!$J$4:$J$4503,_imp!$C$1322))</f>
        <v/>
      </c>
      <c r="K1320" s="54">
        <f>IF(_imp!$C$1322="","",INDEX(_imp!$K$4:$K$4503,_imp!$C$1322))</f>
        <v/>
      </c>
    </row>
    <row r="1321">
      <c r="A1321" s="54">
        <f>IF(_imp!$C$1323="","",INDEX(_imp!$D$4:$D$4503,_imp!$C$1323))</f>
        <v/>
      </c>
      <c r="B1321" s="54">
        <f>IF(_imp!$C$1323="","",INDEX(_imp!$E$4:$E$4503,_imp!$C$1323))</f>
        <v/>
      </c>
      <c r="C1321" s="54">
        <f>IF(_imp!$C$1323="","",INDEX(_imp!$F$4:$F$4503,_imp!$C$1323))</f>
        <v/>
      </c>
      <c r="D1321" s="54">
        <f>IF(_imp!$C$1323="","",INDEX(_imp!$G$4:$G$4503,_imp!$C$1323))</f>
        <v/>
      </c>
      <c r="E1321" s="54">
        <f>IF(_imp!$C$1323="","",INDEX(_imp!$H$4:$H$4503,_imp!$C$1323))</f>
        <v/>
      </c>
      <c r="F1321" s="54">
        <f>IF(_imp!$C$1323="","",INDEX(_imp!$I$4:$I$4503,_imp!$C$1323))</f>
        <v/>
      </c>
      <c r="G1321" s="54">
        <f>IF(_imp!$C$1323="","",INDEX(_imp!$J$4:$J$4503,_imp!$C$1323))</f>
        <v/>
      </c>
      <c r="K1321" s="54">
        <f>IF(_imp!$C$1323="","",INDEX(_imp!$K$4:$K$4503,_imp!$C$1323))</f>
        <v/>
      </c>
    </row>
    <row r="1322">
      <c r="A1322" s="54">
        <f>IF(_imp!$C$1324="","",INDEX(_imp!$D$4:$D$4503,_imp!$C$1324))</f>
        <v/>
      </c>
      <c r="B1322" s="54">
        <f>IF(_imp!$C$1324="","",INDEX(_imp!$E$4:$E$4503,_imp!$C$1324))</f>
        <v/>
      </c>
      <c r="C1322" s="54">
        <f>IF(_imp!$C$1324="","",INDEX(_imp!$F$4:$F$4503,_imp!$C$1324))</f>
        <v/>
      </c>
      <c r="D1322" s="54">
        <f>IF(_imp!$C$1324="","",INDEX(_imp!$G$4:$G$4503,_imp!$C$1324))</f>
        <v/>
      </c>
      <c r="E1322" s="54">
        <f>IF(_imp!$C$1324="","",INDEX(_imp!$H$4:$H$4503,_imp!$C$1324))</f>
        <v/>
      </c>
      <c r="F1322" s="54">
        <f>IF(_imp!$C$1324="","",INDEX(_imp!$I$4:$I$4503,_imp!$C$1324))</f>
        <v/>
      </c>
      <c r="G1322" s="54">
        <f>IF(_imp!$C$1324="","",INDEX(_imp!$J$4:$J$4503,_imp!$C$1324))</f>
        <v/>
      </c>
      <c r="K1322" s="54">
        <f>IF(_imp!$C$1324="","",INDEX(_imp!$K$4:$K$4503,_imp!$C$1324))</f>
        <v/>
      </c>
    </row>
    <row r="1323">
      <c r="A1323" s="54">
        <f>IF(_imp!$C$1325="","",INDEX(_imp!$D$4:$D$4503,_imp!$C$1325))</f>
        <v/>
      </c>
      <c r="B1323" s="54">
        <f>IF(_imp!$C$1325="","",INDEX(_imp!$E$4:$E$4503,_imp!$C$1325))</f>
        <v/>
      </c>
      <c r="C1323" s="54">
        <f>IF(_imp!$C$1325="","",INDEX(_imp!$F$4:$F$4503,_imp!$C$1325))</f>
        <v/>
      </c>
      <c r="D1323" s="54">
        <f>IF(_imp!$C$1325="","",INDEX(_imp!$G$4:$G$4503,_imp!$C$1325))</f>
        <v/>
      </c>
      <c r="E1323" s="54">
        <f>IF(_imp!$C$1325="","",INDEX(_imp!$H$4:$H$4503,_imp!$C$1325))</f>
        <v/>
      </c>
      <c r="F1323" s="54">
        <f>IF(_imp!$C$1325="","",INDEX(_imp!$I$4:$I$4503,_imp!$C$1325))</f>
        <v/>
      </c>
      <c r="G1323" s="54">
        <f>IF(_imp!$C$1325="","",INDEX(_imp!$J$4:$J$4503,_imp!$C$1325))</f>
        <v/>
      </c>
      <c r="K1323" s="54">
        <f>IF(_imp!$C$1325="","",INDEX(_imp!$K$4:$K$4503,_imp!$C$1325))</f>
        <v/>
      </c>
    </row>
    <row r="1324">
      <c r="A1324" s="54">
        <f>IF(_imp!$C$1326="","",INDEX(_imp!$D$4:$D$4503,_imp!$C$1326))</f>
        <v/>
      </c>
      <c r="B1324" s="54">
        <f>IF(_imp!$C$1326="","",INDEX(_imp!$E$4:$E$4503,_imp!$C$1326))</f>
        <v/>
      </c>
      <c r="C1324" s="54">
        <f>IF(_imp!$C$1326="","",INDEX(_imp!$F$4:$F$4503,_imp!$C$1326))</f>
        <v/>
      </c>
      <c r="D1324" s="54">
        <f>IF(_imp!$C$1326="","",INDEX(_imp!$G$4:$G$4503,_imp!$C$1326))</f>
        <v/>
      </c>
      <c r="E1324" s="54">
        <f>IF(_imp!$C$1326="","",INDEX(_imp!$H$4:$H$4503,_imp!$C$1326))</f>
        <v/>
      </c>
      <c r="F1324" s="54">
        <f>IF(_imp!$C$1326="","",INDEX(_imp!$I$4:$I$4503,_imp!$C$1326))</f>
        <v/>
      </c>
      <c r="G1324" s="54">
        <f>IF(_imp!$C$1326="","",INDEX(_imp!$J$4:$J$4503,_imp!$C$1326))</f>
        <v/>
      </c>
      <c r="K1324" s="54">
        <f>IF(_imp!$C$1326="","",INDEX(_imp!$K$4:$K$4503,_imp!$C$1326))</f>
        <v/>
      </c>
    </row>
    <row r="1325">
      <c r="A1325" s="54">
        <f>IF(_imp!$C$1327="","",INDEX(_imp!$D$4:$D$4503,_imp!$C$1327))</f>
        <v/>
      </c>
      <c r="B1325" s="54">
        <f>IF(_imp!$C$1327="","",INDEX(_imp!$E$4:$E$4503,_imp!$C$1327))</f>
        <v/>
      </c>
      <c r="C1325" s="54">
        <f>IF(_imp!$C$1327="","",INDEX(_imp!$F$4:$F$4503,_imp!$C$1327))</f>
        <v/>
      </c>
      <c r="D1325" s="54">
        <f>IF(_imp!$C$1327="","",INDEX(_imp!$G$4:$G$4503,_imp!$C$1327))</f>
        <v/>
      </c>
      <c r="E1325" s="54">
        <f>IF(_imp!$C$1327="","",INDEX(_imp!$H$4:$H$4503,_imp!$C$1327))</f>
        <v/>
      </c>
      <c r="F1325" s="54">
        <f>IF(_imp!$C$1327="","",INDEX(_imp!$I$4:$I$4503,_imp!$C$1327))</f>
        <v/>
      </c>
      <c r="G1325" s="54">
        <f>IF(_imp!$C$1327="","",INDEX(_imp!$J$4:$J$4503,_imp!$C$1327))</f>
        <v/>
      </c>
      <c r="K1325" s="54">
        <f>IF(_imp!$C$1327="","",INDEX(_imp!$K$4:$K$4503,_imp!$C$1327))</f>
        <v/>
      </c>
    </row>
    <row r="1326">
      <c r="A1326" s="54">
        <f>IF(_imp!$C$1328="","",INDEX(_imp!$D$4:$D$4503,_imp!$C$1328))</f>
        <v/>
      </c>
      <c r="B1326" s="54">
        <f>IF(_imp!$C$1328="","",INDEX(_imp!$E$4:$E$4503,_imp!$C$1328))</f>
        <v/>
      </c>
      <c r="C1326" s="54">
        <f>IF(_imp!$C$1328="","",INDEX(_imp!$F$4:$F$4503,_imp!$C$1328))</f>
        <v/>
      </c>
      <c r="D1326" s="54">
        <f>IF(_imp!$C$1328="","",INDEX(_imp!$G$4:$G$4503,_imp!$C$1328))</f>
        <v/>
      </c>
      <c r="E1326" s="54">
        <f>IF(_imp!$C$1328="","",INDEX(_imp!$H$4:$H$4503,_imp!$C$1328))</f>
        <v/>
      </c>
      <c r="F1326" s="54">
        <f>IF(_imp!$C$1328="","",INDEX(_imp!$I$4:$I$4503,_imp!$C$1328))</f>
        <v/>
      </c>
      <c r="G1326" s="54">
        <f>IF(_imp!$C$1328="","",INDEX(_imp!$J$4:$J$4503,_imp!$C$1328))</f>
        <v/>
      </c>
      <c r="K1326" s="54">
        <f>IF(_imp!$C$1328="","",INDEX(_imp!$K$4:$K$4503,_imp!$C$1328))</f>
        <v/>
      </c>
    </row>
    <row r="1327">
      <c r="A1327" s="54">
        <f>IF(_imp!$C$1329="","",INDEX(_imp!$D$4:$D$4503,_imp!$C$1329))</f>
        <v/>
      </c>
      <c r="B1327" s="54">
        <f>IF(_imp!$C$1329="","",INDEX(_imp!$E$4:$E$4503,_imp!$C$1329))</f>
        <v/>
      </c>
      <c r="C1327" s="54">
        <f>IF(_imp!$C$1329="","",INDEX(_imp!$F$4:$F$4503,_imp!$C$1329))</f>
        <v/>
      </c>
      <c r="D1327" s="54">
        <f>IF(_imp!$C$1329="","",INDEX(_imp!$G$4:$G$4503,_imp!$C$1329))</f>
        <v/>
      </c>
      <c r="E1327" s="54">
        <f>IF(_imp!$C$1329="","",INDEX(_imp!$H$4:$H$4503,_imp!$C$1329))</f>
        <v/>
      </c>
      <c r="F1327" s="54">
        <f>IF(_imp!$C$1329="","",INDEX(_imp!$I$4:$I$4503,_imp!$C$1329))</f>
        <v/>
      </c>
      <c r="G1327" s="54">
        <f>IF(_imp!$C$1329="","",INDEX(_imp!$J$4:$J$4503,_imp!$C$1329))</f>
        <v/>
      </c>
      <c r="K1327" s="54">
        <f>IF(_imp!$C$1329="","",INDEX(_imp!$K$4:$K$4503,_imp!$C$1329))</f>
        <v/>
      </c>
    </row>
    <row r="1328">
      <c r="A1328" s="54">
        <f>IF(_imp!$C$1330="","",INDEX(_imp!$D$4:$D$4503,_imp!$C$1330))</f>
        <v/>
      </c>
      <c r="B1328" s="54">
        <f>IF(_imp!$C$1330="","",INDEX(_imp!$E$4:$E$4503,_imp!$C$1330))</f>
        <v/>
      </c>
      <c r="C1328" s="54">
        <f>IF(_imp!$C$1330="","",INDEX(_imp!$F$4:$F$4503,_imp!$C$1330))</f>
        <v/>
      </c>
      <c r="D1328" s="54">
        <f>IF(_imp!$C$1330="","",INDEX(_imp!$G$4:$G$4503,_imp!$C$1330))</f>
        <v/>
      </c>
      <c r="E1328" s="54">
        <f>IF(_imp!$C$1330="","",INDEX(_imp!$H$4:$H$4503,_imp!$C$1330))</f>
        <v/>
      </c>
      <c r="F1328" s="54">
        <f>IF(_imp!$C$1330="","",INDEX(_imp!$I$4:$I$4503,_imp!$C$1330))</f>
        <v/>
      </c>
      <c r="G1328" s="54">
        <f>IF(_imp!$C$1330="","",INDEX(_imp!$J$4:$J$4503,_imp!$C$1330))</f>
        <v/>
      </c>
      <c r="K1328" s="54">
        <f>IF(_imp!$C$1330="","",INDEX(_imp!$K$4:$K$4503,_imp!$C$1330))</f>
        <v/>
      </c>
    </row>
    <row r="1329">
      <c r="A1329" s="54">
        <f>IF(_imp!$C$1331="","",INDEX(_imp!$D$4:$D$4503,_imp!$C$1331))</f>
        <v/>
      </c>
      <c r="B1329" s="54">
        <f>IF(_imp!$C$1331="","",INDEX(_imp!$E$4:$E$4503,_imp!$C$1331))</f>
        <v/>
      </c>
      <c r="C1329" s="54">
        <f>IF(_imp!$C$1331="","",INDEX(_imp!$F$4:$F$4503,_imp!$C$1331))</f>
        <v/>
      </c>
      <c r="D1329" s="54">
        <f>IF(_imp!$C$1331="","",INDEX(_imp!$G$4:$G$4503,_imp!$C$1331))</f>
        <v/>
      </c>
      <c r="E1329" s="54">
        <f>IF(_imp!$C$1331="","",INDEX(_imp!$H$4:$H$4503,_imp!$C$1331))</f>
        <v/>
      </c>
      <c r="F1329" s="54">
        <f>IF(_imp!$C$1331="","",INDEX(_imp!$I$4:$I$4503,_imp!$C$1331))</f>
        <v/>
      </c>
      <c r="G1329" s="54">
        <f>IF(_imp!$C$1331="","",INDEX(_imp!$J$4:$J$4503,_imp!$C$1331))</f>
        <v/>
      </c>
      <c r="K1329" s="54">
        <f>IF(_imp!$C$1331="","",INDEX(_imp!$K$4:$K$4503,_imp!$C$1331))</f>
        <v/>
      </c>
    </row>
    <row r="1330">
      <c r="A1330" s="54">
        <f>IF(_imp!$C$1332="","",INDEX(_imp!$D$4:$D$4503,_imp!$C$1332))</f>
        <v/>
      </c>
      <c r="B1330" s="54">
        <f>IF(_imp!$C$1332="","",INDEX(_imp!$E$4:$E$4503,_imp!$C$1332))</f>
        <v/>
      </c>
      <c r="C1330" s="54">
        <f>IF(_imp!$C$1332="","",INDEX(_imp!$F$4:$F$4503,_imp!$C$1332))</f>
        <v/>
      </c>
      <c r="D1330" s="54">
        <f>IF(_imp!$C$1332="","",INDEX(_imp!$G$4:$G$4503,_imp!$C$1332))</f>
        <v/>
      </c>
      <c r="E1330" s="54">
        <f>IF(_imp!$C$1332="","",INDEX(_imp!$H$4:$H$4503,_imp!$C$1332))</f>
        <v/>
      </c>
      <c r="F1330" s="54">
        <f>IF(_imp!$C$1332="","",INDEX(_imp!$I$4:$I$4503,_imp!$C$1332))</f>
        <v/>
      </c>
      <c r="G1330" s="54">
        <f>IF(_imp!$C$1332="","",INDEX(_imp!$J$4:$J$4503,_imp!$C$1332))</f>
        <v/>
      </c>
      <c r="K1330" s="54">
        <f>IF(_imp!$C$1332="","",INDEX(_imp!$K$4:$K$4503,_imp!$C$1332))</f>
        <v/>
      </c>
    </row>
    <row r="1331">
      <c r="A1331" s="54">
        <f>IF(_imp!$C$1333="","",INDEX(_imp!$D$4:$D$4503,_imp!$C$1333))</f>
        <v/>
      </c>
      <c r="B1331" s="54">
        <f>IF(_imp!$C$1333="","",INDEX(_imp!$E$4:$E$4503,_imp!$C$1333))</f>
        <v/>
      </c>
      <c r="C1331" s="54">
        <f>IF(_imp!$C$1333="","",INDEX(_imp!$F$4:$F$4503,_imp!$C$1333))</f>
        <v/>
      </c>
      <c r="D1331" s="54">
        <f>IF(_imp!$C$1333="","",INDEX(_imp!$G$4:$G$4503,_imp!$C$1333))</f>
        <v/>
      </c>
      <c r="E1331" s="54">
        <f>IF(_imp!$C$1333="","",INDEX(_imp!$H$4:$H$4503,_imp!$C$1333))</f>
        <v/>
      </c>
      <c r="F1331" s="54">
        <f>IF(_imp!$C$1333="","",INDEX(_imp!$I$4:$I$4503,_imp!$C$1333))</f>
        <v/>
      </c>
      <c r="G1331" s="54">
        <f>IF(_imp!$C$1333="","",INDEX(_imp!$J$4:$J$4503,_imp!$C$1333))</f>
        <v/>
      </c>
      <c r="K1331" s="54">
        <f>IF(_imp!$C$1333="","",INDEX(_imp!$K$4:$K$4503,_imp!$C$1333))</f>
        <v/>
      </c>
    </row>
    <row r="1332">
      <c r="A1332" s="54">
        <f>IF(_imp!$C$1334="","",INDEX(_imp!$D$4:$D$4503,_imp!$C$1334))</f>
        <v/>
      </c>
      <c r="B1332" s="54">
        <f>IF(_imp!$C$1334="","",INDEX(_imp!$E$4:$E$4503,_imp!$C$1334))</f>
        <v/>
      </c>
      <c r="C1332" s="54">
        <f>IF(_imp!$C$1334="","",INDEX(_imp!$F$4:$F$4503,_imp!$C$1334))</f>
        <v/>
      </c>
      <c r="D1332" s="54">
        <f>IF(_imp!$C$1334="","",INDEX(_imp!$G$4:$G$4503,_imp!$C$1334))</f>
        <v/>
      </c>
      <c r="E1332" s="54">
        <f>IF(_imp!$C$1334="","",INDEX(_imp!$H$4:$H$4503,_imp!$C$1334))</f>
        <v/>
      </c>
      <c r="F1332" s="54">
        <f>IF(_imp!$C$1334="","",INDEX(_imp!$I$4:$I$4503,_imp!$C$1334))</f>
        <v/>
      </c>
      <c r="G1332" s="54">
        <f>IF(_imp!$C$1334="","",INDEX(_imp!$J$4:$J$4503,_imp!$C$1334))</f>
        <v/>
      </c>
      <c r="K1332" s="54">
        <f>IF(_imp!$C$1334="","",INDEX(_imp!$K$4:$K$4503,_imp!$C$1334))</f>
        <v/>
      </c>
    </row>
    <row r="1333">
      <c r="A1333" s="54">
        <f>IF(_imp!$C$1335="","",INDEX(_imp!$D$4:$D$4503,_imp!$C$1335))</f>
        <v/>
      </c>
      <c r="B1333" s="54">
        <f>IF(_imp!$C$1335="","",INDEX(_imp!$E$4:$E$4503,_imp!$C$1335))</f>
        <v/>
      </c>
      <c r="C1333" s="54">
        <f>IF(_imp!$C$1335="","",INDEX(_imp!$F$4:$F$4503,_imp!$C$1335))</f>
        <v/>
      </c>
      <c r="D1333" s="54">
        <f>IF(_imp!$C$1335="","",INDEX(_imp!$G$4:$G$4503,_imp!$C$1335))</f>
        <v/>
      </c>
      <c r="E1333" s="54">
        <f>IF(_imp!$C$1335="","",INDEX(_imp!$H$4:$H$4503,_imp!$C$1335))</f>
        <v/>
      </c>
      <c r="F1333" s="54">
        <f>IF(_imp!$C$1335="","",INDEX(_imp!$I$4:$I$4503,_imp!$C$1335))</f>
        <v/>
      </c>
      <c r="G1333" s="54">
        <f>IF(_imp!$C$1335="","",INDEX(_imp!$J$4:$J$4503,_imp!$C$1335))</f>
        <v/>
      </c>
      <c r="K1333" s="54">
        <f>IF(_imp!$C$1335="","",INDEX(_imp!$K$4:$K$4503,_imp!$C$1335))</f>
        <v/>
      </c>
    </row>
    <row r="1334">
      <c r="A1334" s="54">
        <f>IF(_imp!$C$1336="","",INDEX(_imp!$D$4:$D$4503,_imp!$C$1336))</f>
        <v/>
      </c>
      <c r="B1334" s="54">
        <f>IF(_imp!$C$1336="","",INDEX(_imp!$E$4:$E$4503,_imp!$C$1336))</f>
        <v/>
      </c>
      <c r="C1334" s="54">
        <f>IF(_imp!$C$1336="","",INDEX(_imp!$F$4:$F$4503,_imp!$C$1336))</f>
        <v/>
      </c>
      <c r="D1334" s="54">
        <f>IF(_imp!$C$1336="","",INDEX(_imp!$G$4:$G$4503,_imp!$C$1336))</f>
        <v/>
      </c>
      <c r="E1334" s="54">
        <f>IF(_imp!$C$1336="","",INDEX(_imp!$H$4:$H$4503,_imp!$C$1336))</f>
        <v/>
      </c>
      <c r="F1334" s="54">
        <f>IF(_imp!$C$1336="","",INDEX(_imp!$I$4:$I$4503,_imp!$C$1336))</f>
        <v/>
      </c>
      <c r="G1334" s="54">
        <f>IF(_imp!$C$1336="","",INDEX(_imp!$J$4:$J$4503,_imp!$C$1336))</f>
        <v/>
      </c>
      <c r="K1334" s="54">
        <f>IF(_imp!$C$1336="","",INDEX(_imp!$K$4:$K$4503,_imp!$C$1336))</f>
        <v/>
      </c>
    </row>
    <row r="1335">
      <c r="A1335" s="54">
        <f>IF(_imp!$C$1337="","",INDEX(_imp!$D$4:$D$4503,_imp!$C$1337))</f>
        <v/>
      </c>
      <c r="B1335" s="54">
        <f>IF(_imp!$C$1337="","",INDEX(_imp!$E$4:$E$4503,_imp!$C$1337))</f>
        <v/>
      </c>
      <c r="C1335" s="54">
        <f>IF(_imp!$C$1337="","",INDEX(_imp!$F$4:$F$4503,_imp!$C$1337))</f>
        <v/>
      </c>
      <c r="D1335" s="54">
        <f>IF(_imp!$C$1337="","",INDEX(_imp!$G$4:$G$4503,_imp!$C$1337))</f>
        <v/>
      </c>
      <c r="E1335" s="54">
        <f>IF(_imp!$C$1337="","",INDEX(_imp!$H$4:$H$4503,_imp!$C$1337))</f>
        <v/>
      </c>
      <c r="F1335" s="54">
        <f>IF(_imp!$C$1337="","",INDEX(_imp!$I$4:$I$4503,_imp!$C$1337))</f>
        <v/>
      </c>
      <c r="G1335" s="54">
        <f>IF(_imp!$C$1337="","",INDEX(_imp!$J$4:$J$4503,_imp!$C$1337))</f>
        <v/>
      </c>
      <c r="K1335" s="54">
        <f>IF(_imp!$C$1337="","",INDEX(_imp!$K$4:$K$4503,_imp!$C$1337))</f>
        <v/>
      </c>
    </row>
    <row r="1336">
      <c r="A1336" s="54">
        <f>IF(_imp!$C$1338="","",INDEX(_imp!$D$4:$D$4503,_imp!$C$1338))</f>
        <v/>
      </c>
      <c r="B1336" s="54">
        <f>IF(_imp!$C$1338="","",INDEX(_imp!$E$4:$E$4503,_imp!$C$1338))</f>
        <v/>
      </c>
      <c r="C1336" s="54">
        <f>IF(_imp!$C$1338="","",INDEX(_imp!$F$4:$F$4503,_imp!$C$1338))</f>
        <v/>
      </c>
      <c r="D1336" s="54">
        <f>IF(_imp!$C$1338="","",INDEX(_imp!$G$4:$G$4503,_imp!$C$1338))</f>
        <v/>
      </c>
      <c r="E1336" s="54">
        <f>IF(_imp!$C$1338="","",INDEX(_imp!$H$4:$H$4503,_imp!$C$1338))</f>
        <v/>
      </c>
      <c r="F1336" s="54">
        <f>IF(_imp!$C$1338="","",INDEX(_imp!$I$4:$I$4503,_imp!$C$1338))</f>
        <v/>
      </c>
      <c r="G1336" s="54">
        <f>IF(_imp!$C$1338="","",INDEX(_imp!$J$4:$J$4503,_imp!$C$1338))</f>
        <v/>
      </c>
      <c r="K1336" s="54">
        <f>IF(_imp!$C$1338="","",INDEX(_imp!$K$4:$K$4503,_imp!$C$1338))</f>
        <v/>
      </c>
    </row>
    <row r="1337">
      <c r="A1337" s="54">
        <f>IF(_imp!$C$1339="","",INDEX(_imp!$D$4:$D$4503,_imp!$C$1339))</f>
        <v/>
      </c>
      <c r="B1337" s="54">
        <f>IF(_imp!$C$1339="","",INDEX(_imp!$E$4:$E$4503,_imp!$C$1339))</f>
        <v/>
      </c>
      <c r="C1337" s="54">
        <f>IF(_imp!$C$1339="","",INDEX(_imp!$F$4:$F$4503,_imp!$C$1339))</f>
        <v/>
      </c>
      <c r="D1337" s="54">
        <f>IF(_imp!$C$1339="","",INDEX(_imp!$G$4:$G$4503,_imp!$C$1339))</f>
        <v/>
      </c>
      <c r="E1337" s="54">
        <f>IF(_imp!$C$1339="","",INDEX(_imp!$H$4:$H$4503,_imp!$C$1339))</f>
        <v/>
      </c>
      <c r="F1337" s="54">
        <f>IF(_imp!$C$1339="","",INDEX(_imp!$I$4:$I$4503,_imp!$C$1339))</f>
        <v/>
      </c>
      <c r="G1337" s="54">
        <f>IF(_imp!$C$1339="","",INDEX(_imp!$J$4:$J$4503,_imp!$C$1339))</f>
        <v/>
      </c>
      <c r="K1337" s="54">
        <f>IF(_imp!$C$1339="","",INDEX(_imp!$K$4:$K$4503,_imp!$C$1339))</f>
        <v/>
      </c>
    </row>
    <row r="1338">
      <c r="A1338" s="54">
        <f>IF(_imp!$C$1340="","",INDEX(_imp!$D$4:$D$4503,_imp!$C$1340))</f>
        <v/>
      </c>
      <c r="B1338" s="54">
        <f>IF(_imp!$C$1340="","",INDEX(_imp!$E$4:$E$4503,_imp!$C$1340))</f>
        <v/>
      </c>
      <c r="C1338" s="54">
        <f>IF(_imp!$C$1340="","",INDEX(_imp!$F$4:$F$4503,_imp!$C$1340))</f>
        <v/>
      </c>
      <c r="D1338" s="54">
        <f>IF(_imp!$C$1340="","",INDEX(_imp!$G$4:$G$4503,_imp!$C$1340))</f>
        <v/>
      </c>
      <c r="E1338" s="54">
        <f>IF(_imp!$C$1340="","",INDEX(_imp!$H$4:$H$4503,_imp!$C$1340))</f>
        <v/>
      </c>
      <c r="F1338" s="54">
        <f>IF(_imp!$C$1340="","",INDEX(_imp!$I$4:$I$4503,_imp!$C$1340))</f>
        <v/>
      </c>
      <c r="G1338" s="54">
        <f>IF(_imp!$C$1340="","",INDEX(_imp!$J$4:$J$4503,_imp!$C$1340))</f>
        <v/>
      </c>
      <c r="K1338" s="54">
        <f>IF(_imp!$C$1340="","",INDEX(_imp!$K$4:$K$4503,_imp!$C$1340))</f>
        <v/>
      </c>
    </row>
    <row r="1339">
      <c r="A1339" s="54">
        <f>IF(_imp!$C$1341="","",INDEX(_imp!$D$4:$D$4503,_imp!$C$1341))</f>
        <v/>
      </c>
      <c r="B1339" s="54">
        <f>IF(_imp!$C$1341="","",INDEX(_imp!$E$4:$E$4503,_imp!$C$1341))</f>
        <v/>
      </c>
      <c r="C1339" s="54">
        <f>IF(_imp!$C$1341="","",INDEX(_imp!$F$4:$F$4503,_imp!$C$1341))</f>
        <v/>
      </c>
      <c r="D1339" s="54">
        <f>IF(_imp!$C$1341="","",INDEX(_imp!$G$4:$G$4503,_imp!$C$1341))</f>
        <v/>
      </c>
      <c r="E1339" s="54">
        <f>IF(_imp!$C$1341="","",INDEX(_imp!$H$4:$H$4503,_imp!$C$1341))</f>
        <v/>
      </c>
      <c r="F1339" s="54">
        <f>IF(_imp!$C$1341="","",INDEX(_imp!$I$4:$I$4503,_imp!$C$1341))</f>
        <v/>
      </c>
      <c r="G1339" s="54">
        <f>IF(_imp!$C$1341="","",INDEX(_imp!$J$4:$J$4503,_imp!$C$1341))</f>
        <v/>
      </c>
      <c r="K1339" s="54">
        <f>IF(_imp!$C$1341="","",INDEX(_imp!$K$4:$K$4503,_imp!$C$1341))</f>
        <v/>
      </c>
    </row>
    <row r="1340">
      <c r="A1340" s="54">
        <f>IF(_imp!$C$1342="","",INDEX(_imp!$D$4:$D$4503,_imp!$C$1342))</f>
        <v/>
      </c>
      <c r="B1340" s="54">
        <f>IF(_imp!$C$1342="","",INDEX(_imp!$E$4:$E$4503,_imp!$C$1342))</f>
        <v/>
      </c>
      <c r="C1340" s="54">
        <f>IF(_imp!$C$1342="","",INDEX(_imp!$F$4:$F$4503,_imp!$C$1342))</f>
        <v/>
      </c>
      <c r="D1340" s="54">
        <f>IF(_imp!$C$1342="","",INDEX(_imp!$G$4:$G$4503,_imp!$C$1342))</f>
        <v/>
      </c>
      <c r="E1340" s="54">
        <f>IF(_imp!$C$1342="","",INDEX(_imp!$H$4:$H$4503,_imp!$C$1342))</f>
        <v/>
      </c>
      <c r="F1340" s="54">
        <f>IF(_imp!$C$1342="","",INDEX(_imp!$I$4:$I$4503,_imp!$C$1342))</f>
        <v/>
      </c>
      <c r="G1340" s="54">
        <f>IF(_imp!$C$1342="","",INDEX(_imp!$J$4:$J$4503,_imp!$C$1342))</f>
        <v/>
      </c>
      <c r="K1340" s="54">
        <f>IF(_imp!$C$1342="","",INDEX(_imp!$K$4:$K$4503,_imp!$C$1342))</f>
        <v/>
      </c>
    </row>
    <row r="1341">
      <c r="A1341" s="54">
        <f>IF(_imp!$C$1343="","",INDEX(_imp!$D$4:$D$4503,_imp!$C$1343))</f>
        <v/>
      </c>
      <c r="B1341" s="54">
        <f>IF(_imp!$C$1343="","",INDEX(_imp!$E$4:$E$4503,_imp!$C$1343))</f>
        <v/>
      </c>
      <c r="C1341" s="54">
        <f>IF(_imp!$C$1343="","",INDEX(_imp!$F$4:$F$4503,_imp!$C$1343))</f>
        <v/>
      </c>
      <c r="D1341" s="54">
        <f>IF(_imp!$C$1343="","",INDEX(_imp!$G$4:$G$4503,_imp!$C$1343))</f>
        <v/>
      </c>
      <c r="E1341" s="54">
        <f>IF(_imp!$C$1343="","",INDEX(_imp!$H$4:$H$4503,_imp!$C$1343))</f>
        <v/>
      </c>
      <c r="F1341" s="54">
        <f>IF(_imp!$C$1343="","",INDEX(_imp!$I$4:$I$4503,_imp!$C$1343))</f>
        <v/>
      </c>
      <c r="G1341" s="54">
        <f>IF(_imp!$C$1343="","",INDEX(_imp!$J$4:$J$4503,_imp!$C$1343))</f>
        <v/>
      </c>
      <c r="K1341" s="54">
        <f>IF(_imp!$C$1343="","",INDEX(_imp!$K$4:$K$4503,_imp!$C$1343))</f>
        <v/>
      </c>
    </row>
    <row r="1342">
      <c r="A1342" s="54">
        <f>IF(_imp!$C$1344="","",INDEX(_imp!$D$4:$D$4503,_imp!$C$1344))</f>
        <v/>
      </c>
      <c r="B1342" s="54">
        <f>IF(_imp!$C$1344="","",INDEX(_imp!$E$4:$E$4503,_imp!$C$1344))</f>
        <v/>
      </c>
      <c r="C1342" s="54">
        <f>IF(_imp!$C$1344="","",INDEX(_imp!$F$4:$F$4503,_imp!$C$1344))</f>
        <v/>
      </c>
      <c r="D1342" s="54">
        <f>IF(_imp!$C$1344="","",INDEX(_imp!$G$4:$G$4503,_imp!$C$1344))</f>
        <v/>
      </c>
      <c r="E1342" s="54">
        <f>IF(_imp!$C$1344="","",INDEX(_imp!$H$4:$H$4503,_imp!$C$1344))</f>
        <v/>
      </c>
      <c r="F1342" s="54">
        <f>IF(_imp!$C$1344="","",INDEX(_imp!$I$4:$I$4503,_imp!$C$1344))</f>
        <v/>
      </c>
      <c r="G1342" s="54">
        <f>IF(_imp!$C$1344="","",INDEX(_imp!$J$4:$J$4503,_imp!$C$1344))</f>
        <v/>
      </c>
      <c r="K1342" s="54">
        <f>IF(_imp!$C$1344="","",INDEX(_imp!$K$4:$K$4503,_imp!$C$1344))</f>
        <v/>
      </c>
    </row>
    <row r="1343">
      <c r="A1343" s="54">
        <f>IF(_imp!$C$1345="","",INDEX(_imp!$D$4:$D$4503,_imp!$C$1345))</f>
        <v/>
      </c>
      <c r="B1343" s="54">
        <f>IF(_imp!$C$1345="","",INDEX(_imp!$E$4:$E$4503,_imp!$C$1345))</f>
        <v/>
      </c>
      <c r="C1343" s="54">
        <f>IF(_imp!$C$1345="","",INDEX(_imp!$F$4:$F$4503,_imp!$C$1345))</f>
        <v/>
      </c>
      <c r="D1343" s="54">
        <f>IF(_imp!$C$1345="","",INDEX(_imp!$G$4:$G$4503,_imp!$C$1345))</f>
        <v/>
      </c>
      <c r="E1343" s="54">
        <f>IF(_imp!$C$1345="","",INDEX(_imp!$H$4:$H$4503,_imp!$C$1345))</f>
        <v/>
      </c>
      <c r="F1343" s="54">
        <f>IF(_imp!$C$1345="","",INDEX(_imp!$I$4:$I$4503,_imp!$C$1345))</f>
        <v/>
      </c>
      <c r="G1343" s="54">
        <f>IF(_imp!$C$1345="","",INDEX(_imp!$J$4:$J$4503,_imp!$C$1345))</f>
        <v/>
      </c>
      <c r="K1343" s="54">
        <f>IF(_imp!$C$1345="","",INDEX(_imp!$K$4:$K$4503,_imp!$C$1345))</f>
        <v/>
      </c>
    </row>
    <row r="1344">
      <c r="A1344" s="54">
        <f>IF(_imp!$C$1346="","",INDEX(_imp!$D$4:$D$4503,_imp!$C$1346))</f>
        <v/>
      </c>
      <c r="B1344" s="54">
        <f>IF(_imp!$C$1346="","",INDEX(_imp!$E$4:$E$4503,_imp!$C$1346))</f>
        <v/>
      </c>
      <c r="C1344" s="54">
        <f>IF(_imp!$C$1346="","",INDEX(_imp!$F$4:$F$4503,_imp!$C$1346))</f>
        <v/>
      </c>
      <c r="D1344" s="54">
        <f>IF(_imp!$C$1346="","",INDEX(_imp!$G$4:$G$4503,_imp!$C$1346))</f>
        <v/>
      </c>
      <c r="E1344" s="54">
        <f>IF(_imp!$C$1346="","",INDEX(_imp!$H$4:$H$4503,_imp!$C$1346))</f>
        <v/>
      </c>
      <c r="F1344" s="54">
        <f>IF(_imp!$C$1346="","",INDEX(_imp!$I$4:$I$4503,_imp!$C$1346))</f>
        <v/>
      </c>
      <c r="G1344" s="54">
        <f>IF(_imp!$C$1346="","",INDEX(_imp!$J$4:$J$4503,_imp!$C$1346))</f>
        <v/>
      </c>
      <c r="K1344" s="54">
        <f>IF(_imp!$C$1346="","",INDEX(_imp!$K$4:$K$4503,_imp!$C$1346))</f>
        <v/>
      </c>
    </row>
    <row r="1345">
      <c r="A1345" s="54">
        <f>IF(_imp!$C$1347="","",INDEX(_imp!$D$4:$D$4503,_imp!$C$1347))</f>
        <v/>
      </c>
      <c r="B1345" s="54">
        <f>IF(_imp!$C$1347="","",INDEX(_imp!$E$4:$E$4503,_imp!$C$1347))</f>
        <v/>
      </c>
      <c r="C1345" s="54">
        <f>IF(_imp!$C$1347="","",INDEX(_imp!$F$4:$F$4503,_imp!$C$1347))</f>
        <v/>
      </c>
      <c r="D1345" s="54">
        <f>IF(_imp!$C$1347="","",INDEX(_imp!$G$4:$G$4503,_imp!$C$1347))</f>
        <v/>
      </c>
      <c r="E1345" s="54">
        <f>IF(_imp!$C$1347="","",INDEX(_imp!$H$4:$H$4503,_imp!$C$1347))</f>
        <v/>
      </c>
      <c r="F1345" s="54">
        <f>IF(_imp!$C$1347="","",INDEX(_imp!$I$4:$I$4503,_imp!$C$1347))</f>
        <v/>
      </c>
      <c r="G1345" s="54">
        <f>IF(_imp!$C$1347="","",INDEX(_imp!$J$4:$J$4503,_imp!$C$1347))</f>
        <v/>
      </c>
      <c r="K1345" s="54">
        <f>IF(_imp!$C$1347="","",INDEX(_imp!$K$4:$K$4503,_imp!$C$1347))</f>
        <v/>
      </c>
    </row>
    <row r="1346">
      <c r="A1346" s="54">
        <f>IF(_imp!$C$1348="","",INDEX(_imp!$D$4:$D$4503,_imp!$C$1348))</f>
        <v/>
      </c>
      <c r="B1346" s="54">
        <f>IF(_imp!$C$1348="","",INDEX(_imp!$E$4:$E$4503,_imp!$C$1348))</f>
        <v/>
      </c>
      <c r="C1346" s="54">
        <f>IF(_imp!$C$1348="","",INDEX(_imp!$F$4:$F$4503,_imp!$C$1348))</f>
        <v/>
      </c>
      <c r="D1346" s="54">
        <f>IF(_imp!$C$1348="","",INDEX(_imp!$G$4:$G$4503,_imp!$C$1348))</f>
        <v/>
      </c>
      <c r="E1346" s="54">
        <f>IF(_imp!$C$1348="","",INDEX(_imp!$H$4:$H$4503,_imp!$C$1348))</f>
        <v/>
      </c>
      <c r="F1346" s="54">
        <f>IF(_imp!$C$1348="","",INDEX(_imp!$I$4:$I$4503,_imp!$C$1348))</f>
        <v/>
      </c>
      <c r="G1346" s="54">
        <f>IF(_imp!$C$1348="","",INDEX(_imp!$J$4:$J$4503,_imp!$C$1348))</f>
        <v/>
      </c>
      <c r="K1346" s="54">
        <f>IF(_imp!$C$1348="","",INDEX(_imp!$K$4:$K$4503,_imp!$C$1348))</f>
        <v/>
      </c>
    </row>
    <row r="1347">
      <c r="A1347" s="54">
        <f>IF(_imp!$C$1349="","",INDEX(_imp!$D$4:$D$4503,_imp!$C$1349))</f>
        <v/>
      </c>
      <c r="B1347" s="54">
        <f>IF(_imp!$C$1349="","",INDEX(_imp!$E$4:$E$4503,_imp!$C$1349))</f>
        <v/>
      </c>
      <c r="C1347" s="54">
        <f>IF(_imp!$C$1349="","",INDEX(_imp!$F$4:$F$4503,_imp!$C$1349))</f>
        <v/>
      </c>
      <c r="D1347" s="54">
        <f>IF(_imp!$C$1349="","",INDEX(_imp!$G$4:$G$4503,_imp!$C$1349))</f>
        <v/>
      </c>
      <c r="E1347" s="54">
        <f>IF(_imp!$C$1349="","",INDEX(_imp!$H$4:$H$4503,_imp!$C$1349))</f>
        <v/>
      </c>
      <c r="F1347" s="54">
        <f>IF(_imp!$C$1349="","",INDEX(_imp!$I$4:$I$4503,_imp!$C$1349))</f>
        <v/>
      </c>
      <c r="G1347" s="54">
        <f>IF(_imp!$C$1349="","",INDEX(_imp!$J$4:$J$4503,_imp!$C$1349))</f>
        <v/>
      </c>
      <c r="K1347" s="54">
        <f>IF(_imp!$C$1349="","",INDEX(_imp!$K$4:$K$4503,_imp!$C$1349))</f>
        <v/>
      </c>
    </row>
    <row r="1348">
      <c r="A1348" s="54">
        <f>IF(_imp!$C$1350="","",INDEX(_imp!$D$4:$D$4503,_imp!$C$1350))</f>
        <v/>
      </c>
      <c r="B1348" s="54">
        <f>IF(_imp!$C$1350="","",INDEX(_imp!$E$4:$E$4503,_imp!$C$1350))</f>
        <v/>
      </c>
      <c r="C1348" s="54">
        <f>IF(_imp!$C$1350="","",INDEX(_imp!$F$4:$F$4503,_imp!$C$1350))</f>
        <v/>
      </c>
      <c r="D1348" s="54">
        <f>IF(_imp!$C$1350="","",INDEX(_imp!$G$4:$G$4503,_imp!$C$1350))</f>
        <v/>
      </c>
      <c r="E1348" s="54">
        <f>IF(_imp!$C$1350="","",INDEX(_imp!$H$4:$H$4503,_imp!$C$1350))</f>
        <v/>
      </c>
      <c r="F1348" s="54">
        <f>IF(_imp!$C$1350="","",INDEX(_imp!$I$4:$I$4503,_imp!$C$1350))</f>
        <v/>
      </c>
      <c r="G1348" s="54">
        <f>IF(_imp!$C$1350="","",INDEX(_imp!$J$4:$J$4503,_imp!$C$1350))</f>
        <v/>
      </c>
      <c r="K1348" s="54">
        <f>IF(_imp!$C$1350="","",INDEX(_imp!$K$4:$K$4503,_imp!$C$1350))</f>
        <v/>
      </c>
    </row>
    <row r="1349">
      <c r="A1349" s="54">
        <f>IF(_imp!$C$1351="","",INDEX(_imp!$D$4:$D$4503,_imp!$C$1351))</f>
        <v/>
      </c>
      <c r="B1349" s="54">
        <f>IF(_imp!$C$1351="","",INDEX(_imp!$E$4:$E$4503,_imp!$C$1351))</f>
        <v/>
      </c>
      <c r="C1349" s="54">
        <f>IF(_imp!$C$1351="","",INDEX(_imp!$F$4:$F$4503,_imp!$C$1351))</f>
        <v/>
      </c>
      <c r="D1349" s="54">
        <f>IF(_imp!$C$1351="","",INDEX(_imp!$G$4:$G$4503,_imp!$C$1351))</f>
        <v/>
      </c>
      <c r="E1349" s="54">
        <f>IF(_imp!$C$1351="","",INDEX(_imp!$H$4:$H$4503,_imp!$C$1351))</f>
        <v/>
      </c>
      <c r="F1349" s="54">
        <f>IF(_imp!$C$1351="","",INDEX(_imp!$I$4:$I$4503,_imp!$C$1351))</f>
        <v/>
      </c>
      <c r="G1349" s="54">
        <f>IF(_imp!$C$1351="","",INDEX(_imp!$J$4:$J$4503,_imp!$C$1351))</f>
        <v/>
      </c>
      <c r="K1349" s="54">
        <f>IF(_imp!$C$1351="","",INDEX(_imp!$K$4:$K$4503,_imp!$C$1351))</f>
        <v/>
      </c>
    </row>
    <row r="1350">
      <c r="A1350" s="54">
        <f>IF(_imp!$C$1352="","",INDEX(_imp!$D$4:$D$4503,_imp!$C$1352))</f>
        <v/>
      </c>
      <c r="B1350" s="54">
        <f>IF(_imp!$C$1352="","",INDEX(_imp!$E$4:$E$4503,_imp!$C$1352))</f>
        <v/>
      </c>
      <c r="C1350" s="54">
        <f>IF(_imp!$C$1352="","",INDEX(_imp!$F$4:$F$4503,_imp!$C$1352))</f>
        <v/>
      </c>
      <c r="D1350" s="54">
        <f>IF(_imp!$C$1352="","",INDEX(_imp!$G$4:$G$4503,_imp!$C$1352))</f>
        <v/>
      </c>
      <c r="E1350" s="54">
        <f>IF(_imp!$C$1352="","",INDEX(_imp!$H$4:$H$4503,_imp!$C$1352))</f>
        <v/>
      </c>
      <c r="F1350" s="54">
        <f>IF(_imp!$C$1352="","",INDEX(_imp!$I$4:$I$4503,_imp!$C$1352))</f>
        <v/>
      </c>
      <c r="G1350" s="54">
        <f>IF(_imp!$C$1352="","",INDEX(_imp!$J$4:$J$4503,_imp!$C$1352))</f>
        <v/>
      </c>
      <c r="K1350" s="54">
        <f>IF(_imp!$C$1352="","",INDEX(_imp!$K$4:$K$4503,_imp!$C$1352))</f>
        <v/>
      </c>
    </row>
    <row r="1351">
      <c r="A1351" s="54">
        <f>IF(_imp!$C$1353="","",INDEX(_imp!$D$4:$D$4503,_imp!$C$1353))</f>
        <v/>
      </c>
      <c r="B1351" s="54">
        <f>IF(_imp!$C$1353="","",INDEX(_imp!$E$4:$E$4503,_imp!$C$1353))</f>
        <v/>
      </c>
      <c r="C1351" s="54">
        <f>IF(_imp!$C$1353="","",INDEX(_imp!$F$4:$F$4503,_imp!$C$1353))</f>
        <v/>
      </c>
      <c r="D1351" s="54">
        <f>IF(_imp!$C$1353="","",INDEX(_imp!$G$4:$G$4503,_imp!$C$1353))</f>
        <v/>
      </c>
      <c r="E1351" s="54">
        <f>IF(_imp!$C$1353="","",INDEX(_imp!$H$4:$H$4503,_imp!$C$1353))</f>
        <v/>
      </c>
      <c r="F1351" s="54">
        <f>IF(_imp!$C$1353="","",INDEX(_imp!$I$4:$I$4503,_imp!$C$1353))</f>
        <v/>
      </c>
      <c r="G1351" s="54">
        <f>IF(_imp!$C$1353="","",INDEX(_imp!$J$4:$J$4503,_imp!$C$1353))</f>
        <v/>
      </c>
      <c r="K1351" s="54">
        <f>IF(_imp!$C$1353="","",INDEX(_imp!$K$4:$K$4503,_imp!$C$1353))</f>
        <v/>
      </c>
    </row>
    <row r="1352">
      <c r="A1352" s="54">
        <f>IF(_imp!$C$1354="","",INDEX(_imp!$D$4:$D$4503,_imp!$C$1354))</f>
        <v/>
      </c>
      <c r="B1352" s="54">
        <f>IF(_imp!$C$1354="","",INDEX(_imp!$E$4:$E$4503,_imp!$C$1354))</f>
        <v/>
      </c>
      <c r="C1352" s="54">
        <f>IF(_imp!$C$1354="","",INDEX(_imp!$F$4:$F$4503,_imp!$C$1354))</f>
        <v/>
      </c>
      <c r="D1352" s="54">
        <f>IF(_imp!$C$1354="","",INDEX(_imp!$G$4:$G$4503,_imp!$C$1354))</f>
        <v/>
      </c>
      <c r="E1352" s="54">
        <f>IF(_imp!$C$1354="","",INDEX(_imp!$H$4:$H$4503,_imp!$C$1354))</f>
        <v/>
      </c>
      <c r="F1352" s="54">
        <f>IF(_imp!$C$1354="","",INDEX(_imp!$I$4:$I$4503,_imp!$C$1354))</f>
        <v/>
      </c>
      <c r="G1352" s="54">
        <f>IF(_imp!$C$1354="","",INDEX(_imp!$J$4:$J$4503,_imp!$C$1354))</f>
        <v/>
      </c>
      <c r="K1352" s="54">
        <f>IF(_imp!$C$1354="","",INDEX(_imp!$K$4:$K$4503,_imp!$C$1354))</f>
        <v/>
      </c>
    </row>
    <row r="1353">
      <c r="A1353" s="54">
        <f>IF(_imp!$C$1355="","",INDEX(_imp!$D$4:$D$4503,_imp!$C$1355))</f>
        <v/>
      </c>
      <c r="B1353" s="54">
        <f>IF(_imp!$C$1355="","",INDEX(_imp!$E$4:$E$4503,_imp!$C$1355))</f>
        <v/>
      </c>
      <c r="C1353" s="54">
        <f>IF(_imp!$C$1355="","",INDEX(_imp!$F$4:$F$4503,_imp!$C$1355))</f>
        <v/>
      </c>
      <c r="D1353" s="54">
        <f>IF(_imp!$C$1355="","",INDEX(_imp!$G$4:$G$4503,_imp!$C$1355))</f>
        <v/>
      </c>
      <c r="E1353" s="54">
        <f>IF(_imp!$C$1355="","",INDEX(_imp!$H$4:$H$4503,_imp!$C$1355))</f>
        <v/>
      </c>
      <c r="F1353" s="54">
        <f>IF(_imp!$C$1355="","",INDEX(_imp!$I$4:$I$4503,_imp!$C$1355))</f>
        <v/>
      </c>
      <c r="G1353" s="54">
        <f>IF(_imp!$C$1355="","",INDEX(_imp!$J$4:$J$4503,_imp!$C$1355))</f>
        <v/>
      </c>
      <c r="K1353" s="54">
        <f>IF(_imp!$C$1355="","",INDEX(_imp!$K$4:$K$4503,_imp!$C$1355))</f>
        <v/>
      </c>
    </row>
    <row r="1354">
      <c r="A1354" s="54">
        <f>IF(_imp!$C$1356="","",INDEX(_imp!$D$4:$D$4503,_imp!$C$1356))</f>
        <v/>
      </c>
      <c r="B1354" s="54">
        <f>IF(_imp!$C$1356="","",INDEX(_imp!$E$4:$E$4503,_imp!$C$1356))</f>
        <v/>
      </c>
      <c r="C1354" s="54">
        <f>IF(_imp!$C$1356="","",INDEX(_imp!$F$4:$F$4503,_imp!$C$1356))</f>
        <v/>
      </c>
      <c r="D1354" s="54">
        <f>IF(_imp!$C$1356="","",INDEX(_imp!$G$4:$G$4503,_imp!$C$1356))</f>
        <v/>
      </c>
      <c r="E1354" s="54">
        <f>IF(_imp!$C$1356="","",INDEX(_imp!$H$4:$H$4503,_imp!$C$1356))</f>
        <v/>
      </c>
      <c r="F1354" s="54">
        <f>IF(_imp!$C$1356="","",INDEX(_imp!$I$4:$I$4503,_imp!$C$1356))</f>
        <v/>
      </c>
      <c r="G1354" s="54">
        <f>IF(_imp!$C$1356="","",INDEX(_imp!$J$4:$J$4503,_imp!$C$1356))</f>
        <v/>
      </c>
      <c r="K1354" s="54">
        <f>IF(_imp!$C$1356="","",INDEX(_imp!$K$4:$K$4503,_imp!$C$1356))</f>
        <v/>
      </c>
    </row>
    <row r="1355">
      <c r="A1355" s="54">
        <f>IF(_imp!$C$1357="","",INDEX(_imp!$D$4:$D$4503,_imp!$C$1357))</f>
        <v/>
      </c>
      <c r="B1355" s="54">
        <f>IF(_imp!$C$1357="","",INDEX(_imp!$E$4:$E$4503,_imp!$C$1357))</f>
        <v/>
      </c>
      <c r="C1355" s="54">
        <f>IF(_imp!$C$1357="","",INDEX(_imp!$F$4:$F$4503,_imp!$C$1357))</f>
        <v/>
      </c>
      <c r="D1355" s="54">
        <f>IF(_imp!$C$1357="","",INDEX(_imp!$G$4:$G$4503,_imp!$C$1357))</f>
        <v/>
      </c>
      <c r="E1355" s="54">
        <f>IF(_imp!$C$1357="","",INDEX(_imp!$H$4:$H$4503,_imp!$C$1357))</f>
        <v/>
      </c>
      <c r="F1355" s="54">
        <f>IF(_imp!$C$1357="","",INDEX(_imp!$I$4:$I$4503,_imp!$C$1357))</f>
        <v/>
      </c>
      <c r="G1355" s="54">
        <f>IF(_imp!$C$1357="","",INDEX(_imp!$J$4:$J$4503,_imp!$C$1357))</f>
        <v/>
      </c>
      <c r="K1355" s="54">
        <f>IF(_imp!$C$1357="","",INDEX(_imp!$K$4:$K$4503,_imp!$C$1357))</f>
        <v/>
      </c>
    </row>
    <row r="1356">
      <c r="A1356" s="54">
        <f>IF(_imp!$C$1358="","",INDEX(_imp!$D$4:$D$4503,_imp!$C$1358))</f>
        <v/>
      </c>
      <c r="B1356" s="54">
        <f>IF(_imp!$C$1358="","",INDEX(_imp!$E$4:$E$4503,_imp!$C$1358))</f>
        <v/>
      </c>
      <c r="C1356" s="54">
        <f>IF(_imp!$C$1358="","",INDEX(_imp!$F$4:$F$4503,_imp!$C$1358))</f>
        <v/>
      </c>
      <c r="D1356" s="54">
        <f>IF(_imp!$C$1358="","",INDEX(_imp!$G$4:$G$4503,_imp!$C$1358))</f>
        <v/>
      </c>
      <c r="E1356" s="54">
        <f>IF(_imp!$C$1358="","",INDEX(_imp!$H$4:$H$4503,_imp!$C$1358))</f>
        <v/>
      </c>
      <c r="F1356" s="54">
        <f>IF(_imp!$C$1358="","",INDEX(_imp!$I$4:$I$4503,_imp!$C$1358))</f>
        <v/>
      </c>
      <c r="G1356" s="54">
        <f>IF(_imp!$C$1358="","",INDEX(_imp!$J$4:$J$4503,_imp!$C$1358))</f>
        <v/>
      </c>
      <c r="K1356" s="54">
        <f>IF(_imp!$C$1358="","",INDEX(_imp!$K$4:$K$4503,_imp!$C$1358))</f>
        <v/>
      </c>
    </row>
    <row r="1357">
      <c r="A1357" s="54">
        <f>IF(_imp!$C$1359="","",INDEX(_imp!$D$4:$D$4503,_imp!$C$1359))</f>
        <v/>
      </c>
      <c r="B1357" s="54">
        <f>IF(_imp!$C$1359="","",INDEX(_imp!$E$4:$E$4503,_imp!$C$1359))</f>
        <v/>
      </c>
      <c r="C1357" s="54">
        <f>IF(_imp!$C$1359="","",INDEX(_imp!$F$4:$F$4503,_imp!$C$1359))</f>
        <v/>
      </c>
      <c r="D1357" s="54">
        <f>IF(_imp!$C$1359="","",INDEX(_imp!$G$4:$G$4503,_imp!$C$1359))</f>
        <v/>
      </c>
      <c r="E1357" s="54">
        <f>IF(_imp!$C$1359="","",INDEX(_imp!$H$4:$H$4503,_imp!$C$1359))</f>
        <v/>
      </c>
      <c r="F1357" s="54">
        <f>IF(_imp!$C$1359="","",INDEX(_imp!$I$4:$I$4503,_imp!$C$1359))</f>
        <v/>
      </c>
      <c r="G1357" s="54">
        <f>IF(_imp!$C$1359="","",INDEX(_imp!$J$4:$J$4503,_imp!$C$1359))</f>
        <v/>
      </c>
      <c r="K1357" s="54">
        <f>IF(_imp!$C$1359="","",INDEX(_imp!$K$4:$K$4503,_imp!$C$1359))</f>
        <v/>
      </c>
    </row>
    <row r="1358">
      <c r="A1358" s="54">
        <f>IF(_imp!$C$1360="","",INDEX(_imp!$D$4:$D$4503,_imp!$C$1360))</f>
        <v/>
      </c>
      <c r="B1358" s="54">
        <f>IF(_imp!$C$1360="","",INDEX(_imp!$E$4:$E$4503,_imp!$C$1360))</f>
        <v/>
      </c>
      <c r="C1358" s="54">
        <f>IF(_imp!$C$1360="","",INDEX(_imp!$F$4:$F$4503,_imp!$C$1360))</f>
        <v/>
      </c>
      <c r="D1358" s="54">
        <f>IF(_imp!$C$1360="","",INDEX(_imp!$G$4:$G$4503,_imp!$C$1360))</f>
        <v/>
      </c>
      <c r="E1358" s="54">
        <f>IF(_imp!$C$1360="","",INDEX(_imp!$H$4:$H$4503,_imp!$C$1360))</f>
        <v/>
      </c>
      <c r="F1358" s="54">
        <f>IF(_imp!$C$1360="","",INDEX(_imp!$I$4:$I$4503,_imp!$C$1360))</f>
        <v/>
      </c>
      <c r="G1358" s="54">
        <f>IF(_imp!$C$1360="","",INDEX(_imp!$J$4:$J$4503,_imp!$C$1360))</f>
        <v/>
      </c>
      <c r="K1358" s="54">
        <f>IF(_imp!$C$1360="","",INDEX(_imp!$K$4:$K$4503,_imp!$C$1360))</f>
        <v/>
      </c>
    </row>
    <row r="1359">
      <c r="A1359" s="54">
        <f>IF(_imp!$C$1361="","",INDEX(_imp!$D$4:$D$4503,_imp!$C$1361))</f>
        <v/>
      </c>
      <c r="B1359" s="54">
        <f>IF(_imp!$C$1361="","",INDEX(_imp!$E$4:$E$4503,_imp!$C$1361))</f>
        <v/>
      </c>
      <c r="C1359" s="54">
        <f>IF(_imp!$C$1361="","",INDEX(_imp!$F$4:$F$4503,_imp!$C$1361))</f>
        <v/>
      </c>
      <c r="D1359" s="54">
        <f>IF(_imp!$C$1361="","",INDEX(_imp!$G$4:$G$4503,_imp!$C$1361))</f>
        <v/>
      </c>
      <c r="E1359" s="54">
        <f>IF(_imp!$C$1361="","",INDEX(_imp!$H$4:$H$4503,_imp!$C$1361))</f>
        <v/>
      </c>
      <c r="F1359" s="54">
        <f>IF(_imp!$C$1361="","",INDEX(_imp!$I$4:$I$4503,_imp!$C$1361))</f>
        <v/>
      </c>
      <c r="G1359" s="54">
        <f>IF(_imp!$C$1361="","",INDEX(_imp!$J$4:$J$4503,_imp!$C$1361))</f>
        <v/>
      </c>
      <c r="K1359" s="54">
        <f>IF(_imp!$C$1361="","",INDEX(_imp!$K$4:$K$4503,_imp!$C$1361))</f>
        <v/>
      </c>
    </row>
    <row r="1360">
      <c r="A1360" s="54">
        <f>IF(_imp!$C$1362="","",INDEX(_imp!$D$4:$D$4503,_imp!$C$1362))</f>
        <v/>
      </c>
      <c r="B1360" s="54">
        <f>IF(_imp!$C$1362="","",INDEX(_imp!$E$4:$E$4503,_imp!$C$1362))</f>
        <v/>
      </c>
      <c r="C1360" s="54">
        <f>IF(_imp!$C$1362="","",INDEX(_imp!$F$4:$F$4503,_imp!$C$1362))</f>
        <v/>
      </c>
      <c r="D1360" s="54">
        <f>IF(_imp!$C$1362="","",INDEX(_imp!$G$4:$G$4503,_imp!$C$1362))</f>
        <v/>
      </c>
      <c r="E1360" s="54">
        <f>IF(_imp!$C$1362="","",INDEX(_imp!$H$4:$H$4503,_imp!$C$1362))</f>
        <v/>
      </c>
      <c r="F1360" s="54">
        <f>IF(_imp!$C$1362="","",INDEX(_imp!$I$4:$I$4503,_imp!$C$1362))</f>
        <v/>
      </c>
      <c r="G1360" s="54">
        <f>IF(_imp!$C$1362="","",INDEX(_imp!$J$4:$J$4503,_imp!$C$1362))</f>
        <v/>
      </c>
      <c r="K1360" s="54">
        <f>IF(_imp!$C$1362="","",INDEX(_imp!$K$4:$K$4503,_imp!$C$1362))</f>
        <v/>
      </c>
    </row>
    <row r="1361">
      <c r="A1361" s="54">
        <f>IF(_imp!$C$1363="","",INDEX(_imp!$D$4:$D$4503,_imp!$C$1363))</f>
        <v/>
      </c>
      <c r="B1361" s="54">
        <f>IF(_imp!$C$1363="","",INDEX(_imp!$E$4:$E$4503,_imp!$C$1363))</f>
        <v/>
      </c>
      <c r="C1361" s="54">
        <f>IF(_imp!$C$1363="","",INDEX(_imp!$F$4:$F$4503,_imp!$C$1363))</f>
        <v/>
      </c>
      <c r="D1361" s="54">
        <f>IF(_imp!$C$1363="","",INDEX(_imp!$G$4:$G$4503,_imp!$C$1363))</f>
        <v/>
      </c>
      <c r="E1361" s="54">
        <f>IF(_imp!$C$1363="","",INDEX(_imp!$H$4:$H$4503,_imp!$C$1363))</f>
        <v/>
      </c>
      <c r="F1361" s="54">
        <f>IF(_imp!$C$1363="","",INDEX(_imp!$I$4:$I$4503,_imp!$C$1363))</f>
        <v/>
      </c>
      <c r="G1361" s="54">
        <f>IF(_imp!$C$1363="","",INDEX(_imp!$J$4:$J$4503,_imp!$C$1363))</f>
        <v/>
      </c>
      <c r="K1361" s="54">
        <f>IF(_imp!$C$1363="","",INDEX(_imp!$K$4:$K$4503,_imp!$C$1363))</f>
        <v/>
      </c>
    </row>
    <row r="1362">
      <c r="A1362" s="54">
        <f>IF(_imp!$C$1364="","",INDEX(_imp!$D$4:$D$4503,_imp!$C$1364))</f>
        <v/>
      </c>
      <c r="B1362" s="54">
        <f>IF(_imp!$C$1364="","",INDEX(_imp!$E$4:$E$4503,_imp!$C$1364))</f>
        <v/>
      </c>
      <c r="C1362" s="54">
        <f>IF(_imp!$C$1364="","",INDEX(_imp!$F$4:$F$4503,_imp!$C$1364))</f>
        <v/>
      </c>
      <c r="D1362" s="54">
        <f>IF(_imp!$C$1364="","",INDEX(_imp!$G$4:$G$4503,_imp!$C$1364))</f>
        <v/>
      </c>
      <c r="E1362" s="54">
        <f>IF(_imp!$C$1364="","",INDEX(_imp!$H$4:$H$4503,_imp!$C$1364))</f>
        <v/>
      </c>
      <c r="F1362" s="54">
        <f>IF(_imp!$C$1364="","",INDEX(_imp!$I$4:$I$4503,_imp!$C$1364))</f>
        <v/>
      </c>
      <c r="G1362" s="54">
        <f>IF(_imp!$C$1364="","",INDEX(_imp!$J$4:$J$4503,_imp!$C$1364))</f>
        <v/>
      </c>
      <c r="K1362" s="54">
        <f>IF(_imp!$C$1364="","",INDEX(_imp!$K$4:$K$4503,_imp!$C$1364))</f>
        <v/>
      </c>
    </row>
    <row r="1363">
      <c r="A1363" s="54">
        <f>IF(_imp!$C$1365="","",INDEX(_imp!$D$4:$D$4503,_imp!$C$1365))</f>
        <v/>
      </c>
      <c r="B1363" s="54">
        <f>IF(_imp!$C$1365="","",INDEX(_imp!$E$4:$E$4503,_imp!$C$1365))</f>
        <v/>
      </c>
      <c r="C1363" s="54">
        <f>IF(_imp!$C$1365="","",INDEX(_imp!$F$4:$F$4503,_imp!$C$1365))</f>
        <v/>
      </c>
      <c r="D1363" s="54">
        <f>IF(_imp!$C$1365="","",INDEX(_imp!$G$4:$G$4503,_imp!$C$1365))</f>
        <v/>
      </c>
      <c r="E1363" s="54">
        <f>IF(_imp!$C$1365="","",INDEX(_imp!$H$4:$H$4503,_imp!$C$1365))</f>
        <v/>
      </c>
      <c r="F1363" s="54">
        <f>IF(_imp!$C$1365="","",INDEX(_imp!$I$4:$I$4503,_imp!$C$1365))</f>
        <v/>
      </c>
      <c r="G1363" s="54">
        <f>IF(_imp!$C$1365="","",INDEX(_imp!$J$4:$J$4503,_imp!$C$1365))</f>
        <v/>
      </c>
      <c r="K1363" s="54">
        <f>IF(_imp!$C$1365="","",INDEX(_imp!$K$4:$K$4503,_imp!$C$1365))</f>
        <v/>
      </c>
    </row>
    <row r="1364">
      <c r="A1364" s="54">
        <f>IF(_imp!$C$1366="","",INDEX(_imp!$D$4:$D$4503,_imp!$C$1366))</f>
        <v/>
      </c>
      <c r="B1364" s="54">
        <f>IF(_imp!$C$1366="","",INDEX(_imp!$E$4:$E$4503,_imp!$C$1366))</f>
        <v/>
      </c>
      <c r="C1364" s="54">
        <f>IF(_imp!$C$1366="","",INDEX(_imp!$F$4:$F$4503,_imp!$C$1366))</f>
        <v/>
      </c>
      <c r="D1364" s="54">
        <f>IF(_imp!$C$1366="","",INDEX(_imp!$G$4:$G$4503,_imp!$C$1366))</f>
        <v/>
      </c>
      <c r="E1364" s="54">
        <f>IF(_imp!$C$1366="","",INDEX(_imp!$H$4:$H$4503,_imp!$C$1366))</f>
        <v/>
      </c>
      <c r="F1364" s="54">
        <f>IF(_imp!$C$1366="","",INDEX(_imp!$I$4:$I$4503,_imp!$C$1366))</f>
        <v/>
      </c>
      <c r="G1364" s="54">
        <f>IF(_imp!$C$1366="","",INDEX(_imp!$J$4:$J$4503,_imp!$C$1366))</f>
        <v/>
      </c>
      <c r="K1364" s="54">
        <f>IF(_imp!$C$1366="","",INDEX(_imp!$K$4:$K$4503,_imp!$C$1366))</f>
        <v/>
      </c>
    </row>
    <row r="1365">
      <c r="A1365" s="54">
        <f>IF(_imp!$C$1367="","",INDEX(_imp!$D$4:$D$4503,_imp!$C$1367))</f>
        <v/>
      </c>
      <c r="B1365" s="54">
        <f>IF(_imp!$C$1367="","",INDEX(_imp!$E$4:$E$4503,_imp!$C$1367))</f>
        <v/>
      </c>
      <c r="C1365" s="54">
        <f>IF(_imp!$C$1367="","",INDEX(_imp!$F$4:$F$4503,_imp!$C$1367))</f>
        <v/>
      </c>
      <c r="D1365" s="54">
        <f>IF(_imp!$C$1367="","",INDEX(_imp!$G$4:$G$4503,_imp!$C$1367))</f>
        <v/>
      </c>
      <c r="E1365" s="54">
        <f>IF(_imp!$C$1367="","",INDEX(_imp!$H$4:$H$4503,_imp!$C$1367))</f>
        <v/>
      </c>
      <c r="F1365" s="54">
        <f>IF(_imp!$C$1367="","",INDEX(_imp!$I$4:$I$4503,_imp!$C$1367))</f>
        <v/>
      </c>
      <c r="G1365" s="54">
        <f>IF(_imp!$C$1367="","",INDEX(_imp!$J$4:$J$4503,_imp!$C$1367))</f>
        <v/>
      </c>
      <c r="K1365" s="54">
        <f>IF(_imp!$C$1367="","",INDEX(_imp!$K$4:$K$4503,_imp!$C$1367))</f>
        <v/>
      </c>
    </row>
    <row r="1366">
      <c r="A1366" s="54">
        <f>IF(_imp!$C$1368="","",INDEX(_imp!$D$4:$D$4503,_imp!$C$1368))</f>
        <v/>
      </c>
      <c r="B1366" s="54">
        <f>IF(_imp!$C$1368="","",INDEX(_imp!$E$4:$E$4503,_imp!$C$1368))</f>
        <v/>
      </c>
      <c r="C1366" s="54">
        <f>IF(_imp!$C$1368="","",INDEX(_imp!$F$4:$F$4503,_imp!$C$1368))</f>
        <v/>
      </c>
      <c r="D1366" s="54">
        <f>IF(_imp!$C$1368="","",INDEX(_imp!$G$4:$G$4503,_imp!$C$1368))</f>
        <v/>
      </c>
      <c r="E1366" s="54">
        <f>IF(_imp!$C$1368="","",INDEX(_imp!$H$4:$H$4503,_imp!$C$1368))</f>
        <v/>
      </c>
      <c r="F1366" s="54">
        <f>IF(_imp!$C$1368="","",INDEX(_imp!$I$4:$I$4503,_imp!$C$1368))</f>
        <v/>
      </c>
      <c r="G1366" s="54">
        <f>IF(_imp!$C$1368="","",INDEX(_imp!$J$4:$J$4503,_imp!$C$1368))</f>
        <v/>
      </c>
      <c r="K1366" s="54">
        <f>IF(_imp!$C$1368="","",INDEX(_imp!$K$4:$K$4503,_imp!$C$1368))</f>
        <v/>
      </c>
    </row>
    <row r="1367">
      <c r="A1367" s="54">
        <f>IF(_imp!$C$1369="","",INDEX(_imp!$D$4:$D$4503,_imp!$C$1369))</f>
        <v/>
      </c>
      <c r="B1367" s="54">
        <f>IF(_imp!$C$1369="","",INDEX(_imp!$E$4:$E$4503,_imp!$C$1369))</f>
        <v/>
      </c>
      <c r="C1367" s="54">
        <f>IF(_imp!$C$1369="","",INDEX(_imp!$F$4:$F$4503,_imp!$C$1369))</f>
        <v/>
      </c>
      <c r="D1367" s="54">
        <f>IF(_imp!$C$1369="","",INDEX(_imp!$G$4:$G$4503,_imp!$C$1369))</f>
        <v/>
      </c>
      <c r="E1367" s="54">
        <f>IF(_imp!$C$1369="","",INDEX(_imp!$H$4:$H$4503,_imp!$C$1369))</f>
        <v/>
      </c>
      <c r="F1367" s="54">
        <f>IF(_imp!$C$1369="","",INDEX(_imp!$I$4:$I$4503,_imp!$C$1369))</f>
        <v/>
      </c>
      <c r="G1367" s="54">
        <f>IF(_imp!$C$1369="","",INDEX(_imp!$J$4:$J$4503,_imp!$C$1369))</f>
        <v/>
      </c>
      <c r="K1367" s="54">
        <f>IF(_imp!$C$1369="","",INDEX(_imp!$K$4:$K$4503,_imp!$C$1369))</f>
        <v/>
      </c>
    </row>
    <row r="1368">
      <c r="A1368" s="54">
        <f>IF(_imp!$C$1370="","",INDEX(_imp!$D$4:$D$4503,_imp!$C$1370))</f>
        <v/>
      </c>
      <c r="B1368" s="54">
        <f>IF(_imp!$C$1370="","",INDEX(_imp!$E$4:$E$4503,_imp!$C$1370))</f>
        <v/>
      </c>
      <c r="C1368" s="54">
        <f>IF(_imp!$C$1370="","",INDEX(_imp!$F$4:$F$4503,_imp!$C$1370))</f>
        <v/>
      </c>
      <c r="D1368" s="54">
        <f>IF(_imp!$C$1370="","",INDEX(_imp!$G$4:$G$4503,_imp!$C$1370))</f>
        <v/>
      </c>
      <c r="E1368" s="54">
        <f>IF(_imp!$C$1370="","",INDEX(_imp!$H$4:$H$4503,_imp!$C$1370))</f>
        <v/>
      </c>
      <c r="F1368" s="54">
        <f>IF(_imp!$C$1370="","",INDEX(_imp!$I$4:$I$4503,_imp!$C$1370))</f>
        <v/>
      </c>
      <c r="G1368" s="54">
        <f>IF(_imp!$C$1370="","",INDEX(_imp!$J$4:$J$4503,_imp!$C$1370))</f>
        <v/>
      </c>
      <c r="K1368" s="54">
        <f>IF(_imp!$C$1370="","",INDEX(_imp!$K$4:$K$4503,_imp!$C$1370))</f>
        <v/>
      </c>
    </row>
    <row r="1369">
      <c r="A1369" s="54">
        <f>IF(_imp!$C$1371="","",INDEX(_imp!$D$4:$D$4503,_imp!$C$1371))</f>
        <v/>
      </c>
      <c r="B1369" s="54">
        <f>IF(_imp!$C$1371="","",INDEX(_imp!$E$4:$E$4503,_imp!$C$1371))</f>
        <v/>
      </c>
      <c r="C1369" s="54">
        <f>IF(_imp!$C$1371="","",INDEX(_imp!$F$4:$F$4503,_imp!$C$1371))</f>
        <v/>
      </c>
      <c r="D1369" s="54">
        <f>IF(_imp!$C$1371="","",INDEX(_imp!$G$4:$G$4503,_imp!$C$1371))</f>
        <v/>
      </c>
      <c r="E1369" s="54">
        <f>IF(_imp!$C$1371="","",INDEX(_imp!$H$4:$H$4503,_imp!$C$1371))</f>
        <v/>
      </c>
      <c r="F1369" s="54">
        <f>IF(_imp!$C$1371="","",INDEX(_imp!$I$4:$I$4503,_imp!$C$1371))</f>
        <v/>
      </c>
      <c r="G1369" s="54">
        <f>IF(_imp!$C$1371="","",INDEX(_imp!$J$4:$J$4503,_imp!$C$1371))</f>
        <v/>
      </c>
      <c r="K1369" s="54">
        <f>IF(_imp!$C$1371="","",INDEX(_imp!$K$4:$K$4503,_imp!$C$1371))</f>
        <v/>
      </c>
    </row>
    <row r="1370">
      <c r="A1370" s="54">
        <f>IF(_imp!$C$1372="","",INDEX(_imp!$D$4:$D$4503,_imp!$C$1372))</f>
        <v/>
      </c>
      <c r="B1370" s="54">
        <f>IF(_imp!$C$1372="","",INDEX(_imp!$E$4:$E$4503,_imp!$C$1372))</f>
        <v/>
      </c>
      <c r="C1370" s="54">
        <f>IF(_imp!$C$1372="","",INDEX(_imp!$F$4:$F$4503,_imp!$C$1372))</f>
        <v/>
      </c>
      <c r="D1370" s="54">
        <f>IF(_imp!$C$1372="","",INDEX(_imp!$G$4:$G$4503,_imp!$C$1372))</f>
        <v/>
      </c>
      <c r="E1370" s="54">
        <f>IF(_imp!$C$1372="","",INDEX(_imp!$H$4:$H$4503,_imp!$C$1372))</f>
        <v/>
      </c>
      <c r="F1370" s="54">
        <f>IF(_imp!$C$1372="","",INDEX(_imp!$I$4:$I$4503,_imp!$C$1372))</f>
        <v/>
      </c>
      <c r="G1370" s="54">
        <f>IF(_imp!$C$1372="","",INDEX(_imp!$J$4:$J$4503,_imp!$C$1372))</f>
        <v/>
      </c>
      <c r="K1370" s="54">
        <f>IF(_imp!$C$1372="","",INDEX(_imp!$K$4:$K$4503,_imp!$C$1372))</f>
        <v/>
      </c>
    </row>
    <row r="1371">
      <c r="A1371" s="54">
        <f>IF(_imp!$C$1373="","",INDEX(_imp!$D$4:$D$4503,_imp!$C$1373))</f>
        <v/>
      </c>
      <c r="B1371" s="54">
        <f>IF(_imp!$C$1373="","",INDEX(_imp!$E$4:$E$4503,_imp!$C$1373))</f>
        <v/>
      </c>
      <c r="C1371" s="54">
        <f>IF(_imp!$C$1373="","",INDEX(_imp!$F$4:$F$4503,_imp!$C$1373))</f>
        <v/>
      </c>
      <c r="D1371" s="54">
        <f>IF(_imp!$C$1373="","",INDEX(_imp!$G$4:$G$4503,_imp!$C$1373))</f>
        <v/>
      </c>
      <c r="E1371" s="54">
        <f>IF(_imp!$C$1373="","",INDEX(_imp!$H$4:$H$4503,_imp!$C$1373))</f>
        <v/>
      </c>
      <c r="F1371" s="54">
        <f>IF(_imp!$C$1373="","",INDEX(_imp!$I$4:$I$4503,_imp!$C$1373))</f>
        <v/>
      </c>
      <c r="G1371" s="54">
        <f>IF(_imp!$C$1373="","",INDEX(_imp!$J$4:$J$4503,_imp!$C$1373))</f>
        <v/>
      </c>
      <c r="K1371" s="54">
        <f>IF(_imp!$C$1373="","",INDEX(_imp!$K$4:$K$4503,_imp!$C$1373))</f>
        <v/>
      </c>
    </row>
    <row r="1372">
      <c r="A1372" s="54">
        <f>IF(_imp!$C$1374="","",INDEX(_imp!$D$4:$D$4503,_imp!$C$1374))</f>
        <v/>
      </c>
      <c r="B1372" s="54">
        <f>IF(_imp!$C$1374="","",INDEX(_imp!$E$4:$E$4503,_imp!$C$1374))</f>
        <v/>
      </c>
      <c r="C1372" s="54">
        <f>IF(_imp!$C$1374="","",INDEX(_imp!$F$4:$F$4503,_imp!$C$1374))</f>
        <v/>
      </c>
      <c r="D1372" s="54">
        <f>IF(_imp!$C$1374="","",INDEX(_imp!$G$4:$G$4503,_imp!$C$1374))</f>
        <v/>
      </c>
      <c r="E1372" s="54">
        <f>IF(_imp!$C$1374="","",INDEX(_imp!$H$4:$H$4503,_imp!$C$1374))</f>
        <v/>
      </c>
      <c r="F1372" s="54">
        <f>IF(_imp!$C$1374="","",INDEX(_imp!$I$4:$I$4503,_imp!$C$1374))</f>
        <v/>
      </c>
      <c r="G1372" s="54">
        <f>IF(_imp!$C$1374="","",INDEX(_imp!$J$4:$J$4503,_imp!$C$1374))</f>
        <v/>
      </c>
      <c r="K1372" s="54">
        <f>IF(_imp!$C$1374="","",INDEX(_imp!$K$4:$K$4503,_imp!$C$1374))</f>
        <v/>
      </c>
    </row>
    <row r="1373">
      <c r="A1373" s="54">
        <f>IF(_imp!$C$1375="","",INDEX(_imp!$D$4:$D$4503,_imp!$C$1375))</f>
        <v/>
      </c>
      <c r="B1373" s="54">
        <f>IF(_imp!$C$1375="","",INDEX(_imp!$E$4:$E$4503,_imp!$C$1375))</f>
        <v/>
      </c>
      <c r="C1373" s="54">
        <f>IF(_imp!$C$1375="","",INDEX(_imp!$F$4:$F$4503,_imp!$C$1375))</f>
        <v/>
      </c>
      <c r="D1373" s="54">
        <f>IF(_imp!$C$1375="","",INDEX(_imp!$G$4:$G$4503,_imp!$C$1375))</f>
        <v/>
      </c>
      <c r="E1373" s="54">
        <f>IF(_imp!$C$1375="","",INDEX(_imp!$H$4:$H$4503,_imp!$C$1375))</f>
        <v/>
      </c>
      <c r="F1373" s="54">
        <f>IF(_imp!$C$1375="","",INDEX(_imp!$I$4:$I$4503,_imp!$C$1375))</f>
        <v/>
      </c>
      <c r="G1373" s="54">
        <f>IF(_imp!$C$1375="","",INDEX(_imp!$J$4:$J$4503,_imp!$C$1375))</f>
        <v/>
      </c>
      <c r="K1373" s="54">
        <f>IF(_imp!$C$1375="","",INDEX(_imp!$K$4:$K$4503,_imp!$C$1375))</f>
        <v/>
      </c>
    </row>
    <row r="1374">
      <c r="A1374" s="54">
        <f>IF(_imp!$C$1376="","",INDEX(_imp!$D$4:$D$4503,_imp!$C$1376))</f>
        <v/>
      </c>
      <c r="B1374" s="54">
        <f>IF(_imp!$C$1376="","",INDEX(_imp!$E$4:$E$4503,_imp!$C$1376))</f>
        <v/>
      </c>
      <c r="C1374" s="54">
        <f>IF(_imp!$C$1376="","",INDEX(_imp!$F$4:$F$4503,_imp!$C$1376))</f>
        <v/>
      </c>
      <c r="D1374" s="54">
        <f>IF(_imp!$C$1376="","",INDEX(_imp!$G$4:$G$4503,_imp!$C$1376))</f>
        <v/>
      </c>
      <c r="E1374" s="54">
        <f>IF(_imp!$C$1376="","",INDEX(_imp!$H$4:$H$4503,_imp!$C$1376))</f>
        <v/>
      </c>
      <c r="F1374" s="54">
        <f>IF(_imp!$C$1376="","",INDEX(_imp!$I$4:$I$4503,_imp!$C$1376))</f>
        <v/>
      </c>
      <c r="G1374" s="54">
        <f>IF(_imp!$C$1376="","",INDEX(_imp!$J$4:$J$4503,_imp!$C$1376))</f>
        <v/>
      </c>
      <c r="K1374" s="54">
        <f>IF(_imp!$C$1376="","",INDEX(_imp!$K$4:$K$4503,_imp!$C$1376))</f>
        <v/>
      </c>
    </row>
    <row r="1375">
      <c r="A1375" s="54">
        <f>IF(_imp!$C$1377="","",INDEX(_imp!$D$4:$D$4503,_imp!$C$1377))</f>
        <v/>
      </c>
      <c r="B1375" s="54">
        <f>IF(_imp!$C$1377="","",INDEX(_imp!$E$4:$E$4503,_imp!$C$1377))</f>
        <v/>
      </c>
      <c r="C1375" s="54">
        <f>IF(_imp!$C$1377="","",INDEX(_imp!$F$4:$F$4503,_imp!$C$1377))</f>
        <v/>
      </c>
      <c r="D1375" s="54">
        <f>IF(_imp!$C$1377="","",INDEX(_imp!$G$4:$G$4503,_imp!$C$1377))</f>
        <v/>
      </c>
      <c r="E1375" s="54">
        <f>IF(_imp!$C$1377="","",INDEX(_imp!$H$4:$H$4503,_imp!$C$1377))</f>
        <v/>
      </c>
      <c r="F1375" s="54">
        <f>IF(_imp!$C$1377="","",INDEX(_imp!$I$4:$I$4503,_imp!$C$1377))</f>
        <v/>
      </c>
      <c r="G1375" s="54">
        <f>IF(_imp!$C$1377="","",INDEX(_imp!$J$4:$J$4503,_imp!$C$1377))</f>
        <v/>
      </c>
      <c r="K1375" s="54">
        <f>IF(_imp!$C$1377="","",INDEX(_imp!$K$4:$K$4503,_imp!$C$1377))</f>
        <v/>
      </c>
    </row>
    <row r="1376">
      <c r="A1376" s="54">
        <f>IF(_imp!$C$1378="","",INDEX(_imp!$D$4:$D$4503,_imp!$C$1378))</f>
        <v/>
      </c>
      <c r="B1376" s="54">
        <f>IF(_imp!$C$1378="","",INDEX(_imp!$E$4:$E$4503,_imp!$C$1378))</f>
        <v/>
      </c>
      <c r="C1376" s="54">
        <f>IF(_imp!$C$1378="","",INDEX(_imp!$F$4:$F$4503,_imp!$C$1378))</f>
        <v/>
      </c>
      <c r="D1376" s="54">
        <f>IF(_imp!$C$1378="","",INDEX(_imp!$G$4:$G$4503,_imp!$C$1378))</f>
        <v/>
      </c>
      <c r="E1376" s="54">
        <f>IF(_imp!$C$1378="","",INDEX(_imp!$H$4:$H$4503,_imp!$C$1378))</f>
        <v/>
      </c>
      <c r="F1376" s="54">
        <f>IF(_imp!$C$1378="","",INDEX(_imp!$I$4:$I$4503,_imp!$C$1378))</f>
        <v/>
      </c>
      <c r="G1376" s="54">
        <f>IF(_imp!$C$1378="","",INDEX(_imp!$J$4:$J$4503,_imp!$C$1378))</f>
        <v/>
      </c>
      <c r="K1376" s="54">
        <f>IF(_imp!$C$1378="","",INDEX(_imp!$K$4:$K$4503,_imp!$C$1378))</f>
        <v/>
      </c>
    </row>
    <row r="1377">
      <c r="A1377" s="54">
        <f>IF(_imp!$C$1379="","",INDEX(_imp!$D$4:$D$4503,_imp!$C$1379))</f>
        <v/>
      </c>
      <c r="B1377" s="54">
        <f>IF(_imp!$C$1379="","",INDEX(_imp!$E$4:$E$4503,_imp!$C$1379))</f>
        <v/>
      </c>
      <c r="C1377" s="54">
        <f>IF(_imp!$C$1379="","",INDEX(_imp!$F$4:$F$4503,_imp!$C$1379))</f>
        <v/>
      </c>
      <c r="D1377" s="54">
        <f>IF(_imp!$C$1379="","",INDEX(_imp!$G$4:$G$4503,_imp!$C$1379))</f>
        <v/>
      </c>
      <c r="E1377" s="54">
        <f>IF(_imp!$C$1379="","",INDEX(_imp!$H$4:$H$4503,_imp!$C$1379))</f>
        <v/>
      </c>
      <c r="F1377" s="54">
        <f>IF(_imp!$C$1379="","",INDEX(_imp!$I$4:$I$4503,_imp!$C$1379))</f>
        <v/>
      </c>
      <c r="G1377" s="54">
        <f>IF(_imp!$C$1379="","",INDEX(_imp!$J$4:$J$4503,_imp!$C$1379))</f>
        <v/>
      </c>
      <c r="K1377" s="54">
        <f>IF(_imp!$C$1379="","",INDEX(_imp!$K$4:$K$4503,_imp!$C$1379))</f>
        <v/>
      </c>
    </row>
    <row r="1378">
      <c r="A1378" s="54">
        <f>IF(_imp!$C$1380="","",INDEX(_imp!$D$4:$D$4503,_imp!$C$1380))</f>
        <v/>
      </c>
      <c r="B1378" s="54">
        <f>IF(_imp!$C$1380="","",INDEX(_imp!$E$4:$E$4503,_imp!$C$1380))</f>
        <v/>
      </c>
      <c r="C1378" s="54">
        <f>IF(_imp!$C$1380="","",INDEX(_imp!$F$4:$F$4503,_imp!$C$1380))</f>
        <v/>
      </c>
      <c r="D1378" s="54">
        <f>IF(_imp!$C$1380="","",INDEX(_imp!$G$4:$G$4503,_imp!$C$1380))</f>
        <v/>
      </c>
      <c r="E1378" s="54">
        <f>IF(_imp!$C$1380="","",INDEX(_imp!$H$4:$H$4503,_imp!$C$1380))</f>
        <v/>
      </c>
      <c r="F1378" s="54">
        <f>IF(_imp!$C$1380="","",INDEX(_imp!$I$4:$I$4503,_imp!$C$1380))</f>
        <v/>
      </c>
      <c r="G1378" s="54">
        <f>IF(_imp!$C$1380="","",INDEX(_imp!$J$4:$J$4503,_imp!$C$1380))</f>
        <v/>
      </c>
      <c r="K1378" s="54">
        <f>IF(_imp!$C$1380="","",INDEX(_imp!$K$4:$K$4503,_imp!$C$1380))</f>
        <v/>
      </c>
    </row>
    <row r="1379">
      <c r="A1379" s="54">
        <f>IF(_imp!$C$1381="","",INDEX(_imp!$D$4:$D$4503,_imp!$C$1381))</f>
        <v/>
      </c>
      <c r="B1379" s="54">
        <f>IF(_imp!$C$1381="","",INDEX(_imp!$E$4:$E$4503,_imp!$C$1381))</f>
        <v/>
      </c>
      <c r="C1379" s="54">
        <f>IF(_imp!$C$1381="","",INDEX(_imp!$F$4:$F$4503,_imp!$C$1381))</f>
        <v/>
      </c>
      <c r="D1379" s="54">
        <f>IF(_imp!$C$1381="","",INDEX(_imp!$G$4:$G$4503,_imp!$C$1381))</f>
        <v/>
      </c>
      <c r="E1379" s="54">
        <f>IF(_imp!$C$1381="","",INDEX(_imp!$H$4:$H$4503,_imp!$C$1381))</f>
        <v/>
      </c>
      <c r="F1379" s="54">
        <f>IF(_imp!$C$1381="","",INDEX(_imp!$I$4:$I$4503,_imp!$C$1381))</f>
        <v/>
      </c>
      <c r="G1379" s="54">
        <f>IF(_imp!$C$1381="","",INDEX(_imp!$J$4:$J$4503,_imp!$C$1381))</f>
        <v/>
      </c>
      <c r="K1379" s="54">
        <f>IF(_imp!$C$1381="","",INDEX(_imp!$K$4:$K$4503,_imp!$C$1381))</f>
        <v/>
      </c>
    </row>
    <row r="1380">
      <c r="A1380" s="54">
        <f>IF(_imp!$C$1382="","",INDEX(_imp!$D$4:$D$4503,_imp!$C$1382))</f>
        <v/>
      </c>
      <c r="B1380" s="54">
        <f>IF(_imp!$C$1382="","",INDEX(_imp!$E$4:$E$4503,_imp!$C$1382))</f>
        <v/>
      </c>
      <c r="C1380" s="54">
        <f>IF(_imp!$C$1382="","",INDEX(_imp!$F$4:$F$4503,_imp!$C$1382))</f>
        <v/>
      </c>
      <c r="D1380" s="54">
        <f>IF(_imp!$C$1382="","",INDEX(_imp!$G$4:$G$4503,_imp!$C$1382))</f>
        <v/>
      </c>
      <c r="E1380" s="54">
        <f>IF(_imp!$C$1382="","",INDEX(_imp!$H$4:$H$4503,_imp!$C$1382))</f>
        <v/>
      </c>
      <c r="F1380" s="54">
        <f>IF(_imp!$C$1382="","",INDEX(_imp!$I$4:$I$4503,_imp!$C$1382))</f>
        <v/>
      </c>
      <c r="G1380" s="54">
        <f>IF(_imp!$C$1382="","",INDEX(_imp!$J$4:$J$4503,_imp!$C$1382))</f>
        <v/>
      </c>
      <c r="K1380" s="54">
        <f>IF(_imp!$C$1382="","",INDEX(_imp!$K$4:$K$4503,_imp!$C$1382))</f>
        <v/>
      </c>
    </row>
    <row r="1381">
      <c r="A1381" s="54">
        <f>IF(_imp!$C$1383="","",INDEX(_imp!$D$4:$D$4503,_imp!$C$1383))</f>
        <v/>
      </c>
      <c r="B1381" s="54">
        <f>IF(_imp!$C$1383="","",INDEX(_imp!$E$4:$E$4503,_imp!$C$1383))</f>
        <v/>
      </c>
      <c r="C1381" s="54">
        <f>IF(_imp!$C$1383="","",INDEX(_imp!$F$4:$F$4503,_imp!$C$1383))</f>
        <v/>
      </c>
      <c r="D1381" s="54">
        <f>IF(_imp!$C$1383="","",INDEX(_imp!$G$4:$G$4503,_imp!$C$1383))</f>
        <v/>
      </c>
      <c r="E1381" s="54">
        <f>IF(_imp!$C$1383="","",INDEX(_imp!$H$4:$H$4503,_imp!$C$1383))</f>
        <v/>
      </c>
      <c r="F1381" s="54">
        <f>IF(_imp!$C$1383="","",INDEX(_imp!$I$4:$I$4503,_imp!$C$1383))</f>
        <v/>
      </c>
      <c r="G1381" s="54">
        <f>IF(_imp!$C$1383="","",INDEX(_imp!$J$4:$J$4503,_imp!$C$1383))</f>
        <v/>
      </c>
      <c r="K1381" s="54">
        <f>IF(_imp!$C$1383="","",INDEX(_imp!$K$4:$K$4503,_imp!$C$1383))</f>
        <v/>
      </c>
    </row>
    <row r="1382">
      <c r="A1382" s="54">
        <f>IF(_imp!$C$1384="","",INDEX(_imp!$D$4:$D$4503,_imp!$C$1384))</f>
        <v/>
      </c>
      <c r="B1382" s="54">
        <f>IF(_imp!$C$1384="","",INDEX(_imp!$E$4:$E$4503,_imp!$C$1384))</f>
        <v/>
      </c>
      <c r="C1382" s="54">
        <f>IF(_imp!$C$1384="","",INDEX(_imp!$F$4:$F$4503,_imp!$C$1384))</f>
        <v/>
      </c>
      <c r="D1382" s="54">
        <f>IF(_imp!$C$1384="","",INDEX(_imp!$G$4:$G$4503,_imp!$C$1384))</f>
        <v/>
      </c>
      <c r="E1382" s="54">
        <f>IF(_imp!$C$1384="","",INDEX(_imp!$H$4:$H$4503,_imp!$C$1384))</f>
        <v/>
      </c>
      <c r="F1382" s="54">
        <f>IF(_imp!$C$1384="","",INDEX(_imp!$I$4:$I$4503,_imp!$C$1384))</f>
        <v/>
      </c>
      <c r="G1382" s="54">
        <f>IF(_imp!$C$1384="","",INDEX(_imp!$J$4:$J$4503,_imp!$C$1384))</f>
        <v/>
      </c>
      <c r="K1382" s="54">
        <f>IF(_imp!$C$1384="","",INDEX(_imp!$K$4:$K$4503,_imp!$C$1384))</f>
        <v/>
      </c>
    </row>
    <row r="1383">
      <c r="A1383" s="54">
        <f>IF(_imp!$C$1385="","",INDEX(_imp!$D$4:$D$4503,_imp!$C$1385))</f>
        <v/>
      </c>
      <c r="B1383" s="54">
        <f>IF(_imp!$C$1385="","",INDEX(_imp!$E$4:$E$4503,_imp!$C$1385))</f>
        <v/>
      </c>
      <c r="C1383" s="54">
        <f>IF(_imp!$C$1385="","",INDEX(_imp!$F$4:$F$4503,_imp!$C$1385))</f>
        <v/>
      </c>
      <c r="D1383" s="54">
        <f>IF(_imp!$C$1385="","",INDEX(_imp!$G$4:$G$4503,_imp!$C$1385))</f>
        <v/>
      </c>
      <c r="E1383" s="54">
        <f>IF(_imp!$C$1385="","",INDEX(_imp!$H$4:$H$4503,_imp!$C$1385))</f>
        <v/>
      </c>
      <c r="F1383" s="54">
        <f>IF(_imp!$C$1385="","",INDEX(_imp!$I$4:$I$4503,_imp!$C$1385))</f>
        <v/>
      </c>
      <c r="G1383" s="54">
        <f>IF(_imp!$C$1385="","",INDEX(_imp!$J$4:$J$4503,_imp!$C$1385))</f>
        <v/>
      </c>
      <c r="K1383" s="54">
        <f>IF(_imp!$C$1385="","",INDEX(_imp!$K$4:$K$4503,_imp!$C$1385))</f>
        <v/>
      </c>
    </row>
    <row r="1384">
      <c r="A1384" s="54">
        <f>IF(_imp!$C$1386="","",INDEX(_imp!$D$4:$D$4503,_imp!$C$1386))</f>
        <v/>
      </c>
      <c r="B1384" s="54">
        <f>IF(_imp!$C$1386="","",INDEX(_imp!$E$4:$E$4503,_imp!$C$1386))</f>
        <v/>
      </c>
      <c r="C1384" s="54">
        <f>IF(_imp!$C$1386="","",INDEX(_imp!$F$4:$F$4503,_imp!$C$1386))</f>
        <v/>
      </c>
      <c r="D1384" s="54">
        <f>IF(_imp!$C$1386="","",INDEX(_imp!$G$4:$G$4503,_imp!$C$1386))</f>
        <v/>
      </c>
      <c r="E1384" s="54">
        <f>IF(_imp!$C$1386="","",INDEX(_imp!$H$4:$H$4503,_imp!$C$1386))</f>
        <v/>
      </c>
      <c r="F1384" s="54">
        <f>IF(_imp!$C$1386="","",INDEX(_imp!$I$4:$I$4503,_imp!$C$1386))</f>
        <v/>
      </c>
      <c r="G1384" s="54">
        <f>IF(_imp!$C$1386="","",INDEX(_imp!$J$4:$J$4503,_imp!$C$1386))</f>
        <v/>
      </c>
      <c r="K1384" s="54">
        <f>IF(_imp!$C$1386="","",INDEX(_imp!$K$4:$K$4503,_imp!$C$1386))</f>
        <v/>
      </c>
    </row>
    <row r="1385">
      <c r="A1385" s="54">
        <f>IF(_imp!$C$1387="","",INDEX(_imp!$D$4:$D$4503,_imp!$C$1387))</f>
        <v/>
      </c>
      <c r="B1385" s="54">
        <f>IF(_imp!$C$1387="","",INDEX(_imp!$E$4:$E$4503,_imp!$C$1387))</f>
        <v/>
      </c>
      <c r="C1385" s="54">
        <f>IF(_imp!$C$1387="","",INDEX(_imp!$F$4:$F$4503,_imp!$C$1387))</f>
        <v/>
      </c>
      <c r="D1385" s="54">
        <f>IF(_imp!$C$1387="","",INDEX(_imp!$G$4:$G$4503,_imp!$C$1387))</f>
        <v/>
      </c>
      <c r="E1385" s="54">
        <f>IF(_imp!$C$1387="","",INDEX(_imp!$H$4:$H$4503,_imp!$C$1387))</f>
        <v/>
      </c>
      <c r="F1385" s="54">
        <f>IF(_imp!$C$1387="","",INDEX(_imp!$I$4:$I$4503,_imp!$C$1387))</f>
        <v/>
      </c>
      <c r="G1385" s="54">
        <f>IF(_imp!$C$1387="","",INDEX(_imp!$J$4:$J$4503,_imp!$C$1387))</f>
        <v/>
      </c>
      <c r="K1385" s="54">
        <f>IF(_imp!$C$1387="","",INDEX(_imp!$K$4:$K$4503,_imp!$C$1387))</f>
        <v/>
      </c>
    </row>
    <row r="1386">
      <c r="A1386" s="54">
        <f>IF(_imp!$C$1388="","",INDEX(_imp!$D$4:$D$4503,_imp!$C$1388))</f>
        <v/>
      </c>
      <c r="B1386" s="54">
        <f>IF(_imp!$C$1388="","",INDEX(_imp!$E$4:$E$4503,_imp!$C$1388))</f>
        <v/>
      </c>
      <c r="C1386" s="54">
        <f>IF(_imp!$C$1388="","",INDEX(_imp!$F$4:$F$4503,_imp!$C$1388))</f>
        <v/>
      </c>
      <c r="D1386" s="54">
        <f>IF(_imp!$C$1388="","",INDEX(_imp!$G$4:$G$4503,_imp!$C$1388))</f>
        <v/>
      </c>
      <c r="E1386" s="54">
        <f>IF(_imp!$C$1388="","",INDEX(_imp!$H$4:$H$4503,_imp!$C$1388))</f>
        <v/>
      </c>
      <c r="F1386" s="54">
        <f>IF(_imp!$C$1388="","",INDEX(_imp!$I$4:$I$4503,_imp!$C$1388))</f>
        <v/>
      </c>
      <c r="G1386" s="54">
        <f>IF(_imp!$C$1388="","",INDEX(_imp!$J$4:$J$4503,_imp!$C$1388))</f>
        <v/>
      </c>
      <c r="K1386" s="54">
        <f>IF(_imp!$C$1388="","",INDEX(_imp!$K$4:$K$4503,_imp!$C$1388))</f>
        <v/>
      </c>
    </row>
    <row r="1387">
      <c r="A1387" s="54">
        <f>IF(_imp!$C$1389="","",INDEX(_imp!$D$4:$D$4503,_imp!$C$1389))</f>
        <v/>
      </c>
      <c r="B1387" s="54">
        <f>IF(_imp!$C$1389="","",INDEX(_imp!$E$4:$E$4503,_imp!$C$1389))</f>
        <v/>
      </c>
      <c r="C1387" s="54">
        <f>IF(_imp!$C$1389="","",INDEX(_imp!$F$4:$F$4503,_imp!$C$1389))</f>
        <v/>
      </c>
      <c r="D1387" s="54">
        <f>IF(_imp!$C$1389="","",INDEX(_imp!$G$4:$G$4503,_imp!$C$1389))</f>
        <v/>
      </c>
      <c r="E1387" s="54">
        <f>IF(_imp!$C$1389="","",INDEX(_imp!$H$4:$H$4503,_imp!$C$1389))</f>
        <v/>
      </c>
      <c r="F1387" s="54">
        <f>IF(_imp!$C$1389="","",INDEX(_imp!$I$4:$I$4503,_imp!$C$1389))</f>
        <v/>
      </c>
      <c r="G1387" s="54">
        <f>IF(_imp!$C$1389="","",INDEX(_imp!$J$4:$J$4503,_imp!$C$1389))</f>
        <v/>
      </c>
      <c r="K1387" s="54">
        <f>IF(_imp!$C$1389="","",INDEX(_imp!$K$4:$K$4503,_imp!$C$1389))</f>
        <v/>
      </c>
    </row>
    <row r="1388">
      <c r="A1388" s="54">
        <f>IF(_imp!$C$1390="","",INDEX(_imp!$D$4:$D$4503,_imp!$C$1390))</f>
        <v/>
      </c>
      <c r="B1388" s="54">
        <f>IF(_imp!$C$1390="","",INDEX(_imp!$E$4:$E$4503,_imp!$C$1390))</f>
        <v/>
      </c>
      <c r="C1388" s="54">
        <f>IF(_imp!$C$1390="","",INDEX(_imp!$F$4:$F$4503,_imp!$C$1390))</f>
        <v/>
      </c>
      <c r="D1388" s="54">
        <f>IF(_imp!$C$1390="","",INDEX(_imp!$G$4:$G$4503,_imp!$C$1390))</f>
        <v/>
      </c>
      <c r="E1388" s="54">
        <f>IF(_imp!$C$1390="","",INDEX(_imp!$H$4:$H$4503,_imp!$C$1390))</f>
        <v/>
      </c>
      <c r="F1388" s="54">
        <f>IF(_imp!$C$1390="","",INDEX(_imp!$I$4:$I$4503,_imp!$C$1390))</f>
        <v/>
      </c>
      <c r="G1388" s="54">
        <f>IF(_imp!$C$1390="","",INDEX(_imp!$J$4:$J$4503,_imp!$C$1390))</f>
        <v/>
      </c>
      <c r="K1388" s="54">
        <f>IF(_imp!$C$1390="","",INDEX(_imp!$K$4:$K$4503,_imp!$C$1390))</f>
        <v/>
      </c>
    </row>
    <row r="1389">
      <c r="A1389" s="54">
        <f>IF(_imp!$C$1391="","",INDEX(_imp!$D$4:$D$4503,_imp!$C$1391))</f>
        <v/>
      </c>
      <c r="B1389" s="54">
        <f>IF(_imp!$C$1391="","",INDEX(_imp!$E$4:$E$4503,_imp!$C$1391))</f>
        <v/>
      </c>
      <c r="C1389" s="54">
        <f>IF(_imp!$C$1391="","",INDEX(_imp!$F$4:$F$4503,_imp!$C$1391))</f>
        <v/>
      </c>
      <c r="D1389" s="54">
        <f>IF(_imp!$C$1391="","",INDEX(_imp!$G$4:$G$4503,_imp!$C$1391))</f>
        <v/>
      </c>
      <c r="E1389" s="54">
        <f>IF(_imp!$C$1391="","",INDEX(_imp!$H$4:$H$4503,_imp!$C$1391))</f>
        <v/>
      </c>
      <c r="F1389" s="54">
        <f>IF(_imp!$C$1391="","",INDEX(_imp!$I$4:$I$4503,_imp!$C$1391))</f>
        <v/>
      </c>
      <c r="G1389" s="54">
        <f>IF(_imp!$C$1391="","",INDEX(_imp!$J$4:$J$4503,_imp!$C$1391))</f>
        <v/>
      </c>
      <c r="K1389" s="54">
        <f>IF(_imp!$C$1391="","",INDEX(_imp!$K$4:$K$4503,_imp!$C$1391))</f>
        <v/>
      </c>
    </row>
    <row r="1390">
      <c r="A1390" s="54">
        <f>IF(_imp!$C$1392="","",INDEX(_imp!$D$4:$D$4503,_imp!$C$1392))</f>
        <v/>
      </c>
      <c r="B1390" s="54">
        <f>IF(_imp!$C$1392="","",INDEX(_imp!$E$4:$E$4503,_imp!$C$1392))</f>
        <v/>
      </c>
      <c r="C1390" s="54">
        <f>IF(_imp!$C$1392="","",INDEX(_imp!$F$4:$F$4503,_imp!$C$1392))</f>
        <v/>
      </c>
      <c r="D1390" s="54">
        <f>IF(_imp!$C$1392="","",INDEX(_imp!$G$4:$G$4503,_imp!$C$1392))</f>
        <v/>
      </c>
      <c r="E1390" s="54">
        <f>IF(_imp!$C$1392="","",INDEX(_imp!$H$4:$H$4503,_imp!$C$1392))</f>
        <v/>
      </c>
      <c r="F1390" s="54">
        <f>IF(_imp!$C$1392="","",INDEX(_imp!$I$4:$I$4503,_imp!$C$1392))</f>
        <v/>
      </c>
      <c r="G1390" s="54">
        <f>IF(_imp!$C$1392="","",INDEX(_imp!$J$4:$J$4503,_imp!$C$1392))</f>
        <v/>
      </c>
      <c r="K1390" s="54">
        <f>IF(_imp!$C$1392="","",INDEX(_imp!$K$4:$K$4503,_imp!$C$1392))</f>
        <v/>
      </c>
    </row>
    <row r="1391">
      <c r="A1391" s="54">
        <f>IF(_imp!$C$1393="","",INDEX(_imp!$D$4:$D$4503,_imp!$C$1393))</f>
        <v/>
      </c>
      <c r="B1391" s="54">
        <f>IF(_imp!$C$1393="","",INDEX(_imp!$E$4:$E$4503,_imp!$C$1393))</f>
        <v/>
      </c>
      <c r="C1391" s="54">
        <f>IF(_imp!$C$1393="","",INDEX(_imp!$F$4:$F$4503,_imp!$C$1393))</f>
        <v/>
      </c>
      <c r="D1391" s="54">
        <f>IF(_imp!$C$1393="","",INDEX(_imp!$G$4:$G$4503,_imp!$C$1393))</f>
        <v/>
      </c>
      <c r="E1391" s="54">
        <f>IF(_imp!$C$1393="","",INDEX(_imp!$H$4:$H$4503,_imp!$C$1393))</f>
        <v/>
      </c>
      <c r="F1391" s="54">
        <f>IF(_imp!$C$1393="","",INDEX(_imp!$I$4:$I$4503,_imp!$C$1393))</f>
        <v/>
      </c>
      <c r="G1391" s="54">
        <f>IF(_imp!$C$1393="","",INDEX(_imp!$J$4:$J$4503,_imp!$C$1393))</f>
        <v/>
      </c>
      <c r="K1391" s="54">
        <f>IF(_imp!$C$1393="","",INDEX(_imp!$K$4:$K$4503,_imp!$C$1393))</f>
        <v/>
      </c>
    </row>
    <row r="1392">
      <c r="A1392" s="54">
        <f>IF(_imp!$C$1394="","",INDEX(_imp!$D$4:$D$4503,_imp!$C$1394))</f>
        <v/>
      </c>
      <c r="B1392" s="54">
        <f>IF(_imp!$C$1394="","",INDEX(_imp!$E$4:$E$4503,_imp!$C$1394))</f>
        <v/>
      </c>
      <c r="C1392" s="54">
        <f>IF(_imp!$C$1394="","",INDEX(_imp!$F$4:$F$4503,_imp!$C$1394))</f>
        <v/>
      </c>
      <c r="D1392" s="54">
        <f>IF(_imp!$C$1394="","",INDEX(_imp!$G$4:$G$4503,_imp!$C$1394))</f>
        <v/>
      </c>
      <c r="E1392" s="54">
        <f>IF(_imp!$C$1394="","",INDEX(_imp!$H$4:$H$4503,_imp!$C$1394))</f>
        <v/>
      </c>
      <c r="F1392" s="54">
        <f>IF(_imp!$C$1394="","",INDEX(_imp!$I$4:$I$4503,_imp!$C$1394))</f>
        <v/>
      </c>
      <c r="G1392" s="54">
        <f>IF(_imp!$C$1394="","",INDEX(_imp!$J$4:$J$4503,_imp!$C$1394))</f>
        <v/>
      </c>
      <c r="K1392" s="54">
        <f>IF(_imp!$C$1394="","",INDEX(_imp!$K$4:$K$4503,_imp!$C$1394))</f>
        <v/>
      </c>
    </row>
    <row r="1393">
      <c r="A1393" s="54">
        <f>IF(_imp!$C$1395="","",INDEX(_imp!$D$4:$D$4503,_imp!$C$1395))</f>
        <v/>
      </c>
      <c r="B1393" s="54">
        <f>IF(_imp!$C$1395="","",INDEX(_imp!$E$4:$E$4503,_imp!$C$1395))</f>
        <v/>
      </c>
      <c r="C1393" s="54">
        <f>IF(_imp!$C$1395="","",INDEX(_imp!$F$4:$F$4503,_imp!$C$1395))</f>
        <v/>
      </c>
      <c r="D1393" s="54">
        <f>IF(_imp!$C$1395="","",INDEX(_imp!$G$4:$G$4503,_imp!$C$1395))</f>
        <v/>
      </c>
      <c r="E1393" s="54">
        <f>IF(_imp!$C$1395="","",INDEX(_imp!$H$4:$H$4503,_imp!$C$1395))</f>
        <v/>
      </c>
      <c r="F1393" s="54">
        <f>IF(_imp!$C$1395="","",INDEX(_imp!$I$4:$I$4503,_imp!$C$1395))</f>
        <v/>
      </c>
      <c r="G1393" s="54">
        <f>IF(_imp!$C$1395="","",INDEX(_imp!$J$4:$J$4503,_imp!$C$1395))</f>
        <v/>
      </c>
      <c r="K1393" s="54">
        <f>IF(_imp!$C$1395="","",INDEX(_imp!$K$4:$K$4503,_imp!$C$1395))</f>
        <v/>
      </c>
    </row>
    <row r="1394">
      <c r="A1394" s="54">
        <f>IF(_imp!$C$1396="","",INDEX(_imp!$D$4:$D$4503,_imp!$C$1396))</f>
        <v/>
      </c>
      <c r="B1394" s="54">
        <f>IF(_imp!$C$1396="","",INDEX(_imp!$E$4:$E$4503,_imp!$C$1396))</f>
        <v/>
      </c>
      <c r="C1394" s="54">
        <f>IF(_imp!$C$1396="","",INDEX(_imp!$F$4:$F$4503,_imp!$C$1396))</f>
        <v/>
      </c>
      <c r="D1394" s="54">
        <f>IF(_imp!$C$1396="","",INDEX(_imp!$G$4:$G$4503,_imp!$C$1396))</f>
        <v/>
      </c>
      <c r="E1394" s="54">
        <f>IF(_imp!$C$1396="","",INDEX(_imp!$H$4:$H$4503,_imp!$C$1396))</f>
        <v/>
      </c>
      <c r="F1394" s="54">
        <f>IF(_imp!$C$1396="","",INDEX(_imp!$I$4:$I$4503,_imp!$C$1396))</f>
        <v/>
      </c>
      <c r="G1394" s="54">
        <f>IF(_imp!$C$1396="","",INDEX(_imp!$J$4:$J$4503,_imp!$C$1396))</f>
        <v/>
      </c>
      <c r="K1394" s="54">
        <f>IF(_imp!$C$1396="","",INDEX(_imp!$K$4:$K$4503,_imp!$C$1396))</f>
        <v/>
      </c>
    </row>
    <row r="1395">
      <c r="A1395" s="54">
        <f>IF(_imp!$C$1397="","",INDEX(_imp!$D$4:$D$4503,_imp!$C$1397))</f>
        <v/>
      </c>
      <c r="B1395" s="54">
        <f>IF(_imp!$C$1397="","",INDEX(_imp!$E$4:$E$4503,_imp!$C$1397))</f>
        <v/>
      </c>
      <c r="C1395" s="54">
        <f>IF(_imp!$C$1397="","",INDEX(_imp!$F$4:$F$4503,_imp!$C$1397))</f>
        <v/>
      </c>
      <c r="D1395" s="54">
        <f>IF(_imp!$C$1397="","",INDEX(_imp!$G$4:$G$4503,_imp!$C$1397))</f>
        <v/>
      </c>
      <c r="E1395" s="54">
        <f>IF(_imp!$C$1397="","",INDEX(_imp!$H$4:$H$4503,_imp!$C$1397))</f>
        <v/>
      </c>
      <c r="F1395" s="54">
        <f>IF(_imp!$C$1397="","",INDEX(_imp!$I$4:$I$4503,_imp!$C$1397))</f>
        <v/>
      </c>
      <c r="G1395" s="54">
        <f>IF(_imp!$C$1397="","",INDEX(_imp!$J$4:$J$4503,_imp!$C$1397))</f>
        <v/>
      </c>
      <c r="K1395" s="54">
        <f>IF(_imp!$C$1397="","",INDEX(_imp!$K$4:$K$4503,_imp!$C$1397))</f>
        <v/>
      </c>
    </row>
    <row r="1396">
      <c r="A1396" s="54">
        <f>IF(_imp!$C$1398="","",INDEX(_imp!$D$4:$D$4503,_imp!$C$1398))</f>
        <v/>
      </c>
      <c r="B1396" s="54">
        <f>IF(_imp!$C$1398="","",INDEX(_imp!$E$4:$E$4503,_imp!$C$1398))</f>
        <v/>
      </c>
      <c r="C1396" s="54">
        <f>IF(_imp!$C$1398="","",INDEX(_imp!$F$4:$F$4503,_imp!$C$1398))</f>
        <v/>
      </c>
      <c r="D1396" s="54">
        <f>IF(_imp!$C$1398="","",INDEX(_imp!$G$4:$G$4503,_imp!$C$1398))</f>
        <v/>
      </c>
      <c r="E1396" s="54">
        <f>IF(_imp!$C$1398="","",INDEX(_imp!$H$4:$H$4503,_imp!$C$1398))</f>
        <v/>
      </c>
      <c r="F1396" s="54">
        <f>IF(_imp!$C$1398="","",INDEX(_imp!$I$4:$I$4503,_imp!$C$1398))</f>
        <v/>
      </c>
      <c r="G1396" s="54">
        <f>IF(_imp!$C$1398="","",INDEX(_imp!$J$4:$J$4503,_imp!$C$1398))</f>
        <v/>
      </c>
      <c r="K1396" s="54">
        <f>IF(_imp!$C$1398="","",INDEX(_imp!$K$4:$K$4503,_imp!$C$1398))</f>
        <v/>
      </c>
    </row>
    <row r="1397">
      <c r="A1397" s="54">
        <f>IF(_imp!$C$1399="","",INDEX(_imp!$D$4:$D$4503,_imp!$C$1399))</f>
        <v/>
      </c>
      <c r="B1397" s="54">
        <f>IF(_imp!$C$1399="","",INDEX(_imp!$E$4:$E$4503,_imp!$C$1399))</f>
        <v/>
      </c>
      <c r="C1397" s="54">
        <f>IF(_imp!$C$1399="","",INDEX(_imp!$F$4:$F$4503,_imp!$C$1399))</f>
        <v/>
      </c>
      <c r="D1397" s="54">
        <f>IF(_imp!$C$1399="","",INDEX(_imp!$G$4:$G$4503,_imp!$C$1399))</f>
        <v/>
      </c>
      <c r="E1397" s="54">
        <f>IF(_imp!$C$1399="","",INDEX(_imp!$H$4:$H$4503,_imp!$C$1399))</f>
        <v/>
      </c>
      <c r="F1397" s="54">
        <f>IF(_imp!$C$1399="","",INDEX(_imp!$I$4:$I$4503,_imp!$C$1399))</f>
        <v/>
      </c>
      <c r="G1397" s="54">
        <f>IF(_imp!$C$1399="","",INDEX(_imp!$J$4:$J$4503,_imp!$C$1399))</f>
        <v/>
      </c>
      <c r="K1397" s="54">
        <f>IF(_imp!$C$1399="","",INDEX(_imp!$K$4:$K$4503,_imp!$C$1399))</f>
        <v/>
      </c>
    </row>
    <row r="1398">
      <c r="A1398" s="54">
        <f>IF(_imp!$C$1400="","",INDEX(_imp!$D$4:$D$4503,_imp!$C$1400))</f>
        <v/>
      </c>
      <c r="B1398" s="54">
        <f>IF(_imp!$C$1400="","",INDEX(_imp!$E$4:$E$4503,_imp!$C$1400))</f>
        <v/>
      </c>
      <c r="C1398" s="54">
        <f>IF(_imp!$C$1400="","",INDEX(_imp!$F$4:$F$4503,_imp!$C$1400))</f>
        <v/>
      </c>
      <c r="D1398" s="54">
        <f>IF(_imp!$C$1400="","",INDEX(_imp!$G$4:$G$4503,_imp!$C$1400))</f>
        <v/>
      </c>
      <c r="E1398" s="54">
        <f>IF(_imp!$C$1400="","",INDEX(_imp!$H$4:$H$4503,_imp!$C$1400))</f>
        <v/>
      </c>
      <c r="F1398" s="54">
        <f>IF(_imp!$C$1400="","",INDEX(_imp!$I$4:$I$4503,_imp!$C$1400))</f>
        <v/>
      </c>
      <c r="G1398" s="54">
        <f>IF(_imp!$C$1400="","",INDEX(_imp!$J$4:$J$4503,_imp!$C$1400))</f>
        <v/>
      </c>
      <c r="K1398" s="54">
        <f>IF(_imp!$C$1400="","",INDEX(_imp!$K$4:$K$4503,_imp!$C$1400))</f>
        <v/>
      </c>
    </row>
    <row r="1399">
      <c r="A1399" s="54">
        <f>IF(_imp!$C$1401="","",INDEX(_imp!$D$4:$D$4503,_imp!$C$1401))</f>
        <v/>
      </c>
      <c r="B1399" s="54">
        <f>IF(_imp!$C$1401="","",INDEX(_imp!$E$4:$E$4503,_imp!$C$1401))</f>
        <v/>
      </c>
      <c r="C1399" s="54">
        <f>IF(_imp!$C$1401="","",INDEX(_imp!$F$4:$F$4503,_imp!$C$1401))</f>
        <v/>
      </c>
      <c r="D1399" s="54">
        <f>IF(_imp!$C$1401="","",INDEX(_imp!$G$4:$G$4503,_imp!$C$1401))</f>
        <v/>
      </c>
      <c r="E1399" s="54">
        <f>IF(_imp!$C$1401="","",INDEX(_imp!$H$4:$H$4503,_imp!$C$1401))</f>
        <v/>
      </c>
      <c r="F1399" s="54">
        <f>IF(_imp!$C$1401="","",INDEX(_imp!$I$4:$I$4503,_imp!$C$1401))</f>
        <v/>
      </c>
      <c r="G1399" s="54">
        <f>IF(_imp!$C$1401="","",INDEX(_imp!$J$4:$J$4503,_imp!$C$1401))</f>
        <v/>
      </c>
      <c r="K1399" s="54">
        <f>IF(_imp!$C$1401="","",INDEX(_imp!$K$4:$K$4503,_imp!$C$1401))</f>
        <v/>
      </c>
    </row>
    <row r="1400">
      <c r="A1400" s="54">
        <f>IF(_imp!$C$1402="","",INDEX(_imp!$D$4:$D$4503,_imp!$C$1402))</f>
        <v/>
      </c>
      <c r="B1400" s="54">
        <f>IF(_imp!$C$1402="","",INDEX(_imp!$E$4:$E$4503,_imp!$C$1402))</f>
        <v/>
      </c>
      <c r="C1400" s="54">
        <f>IF(_imp!$C$1402="","",INDEX(_imp!$F$4:$F$4503,_imp!$C$1402))</f>
        <v/>
      </c>
      <c r="D1400" s="54">
        <f>IF(_imp!$C$1402="","",INDEX(_imp!$G$4:$G$4503,_imp!$C$1402))</f>
        <v/>
      </c>
      <c r="E1400" s="54">
        <f>IF(_imp!$C$1402="","",INDEX(_imp!$H$4:$H$4503,_imp!$C$1402))</f>
        <v/>
      </c>
      <c r="F1400" s="54">
        <f>IF(_imp!$C$1402="","",INDEX(_imp!$I$4:$I$4503,_imp!$C$1402))</f>
        <v/>
      </c>
      <c r="G1400" s="54">
        <f>IF(_imp!$C$1402="","",INDEX(_imp!$J$4:$J$4503,_imp!$C$1402))</f>
        <v/>
      </c>
      <c r="K1400" s="54">
        <f>IF(_imp!$C$1402="","",INDEX(_imp!$K$4:$K$4503,_imp!$C$1402))</f>
        <v/>
      </c>
    </row>
    <row r="1401">
      <c r="A1401" s="54">
        <f>IF(_imp!$C$1403="","",INDEX(_imp!$D$4:$D$4503,_imp!$C$1403))</f>
        <v/>
      </c>
      <c r="B1401" s="54">
        <f>IF(_imp!$C$1403="","",INDEX(_imp!$E$4:$E$4503,_imp!$C$1403))</f>
        <v/>
      </c>
      <c r="C1401" s="54">
        <f>IF(_imp!$C$1403="","",INDEX(_imp!$F$4:$F$4503,_imp!$C$1403))</f>
        <v/>
      </c>
      <c r="D1401" s="54">
        <f>IF(_imp!$C$1403="","",INDEX(_imp!$G$4:$G$4503,_imp!$C$1403))</f>
        <v/>
      </c>
      <c r="E1401" s="54">
        <f>IF(_imp!$C$1403="","",INDEX(_imp!$H$4:$H$4503,_imp!$C$1403))</f>
        <v/>
      </c>
      <c r="F1401" s="54">
        <f>IF(_imp!$C$1403="","",INDEX(_imp!$I$4:$I$4503,_imp!$C$1403))</f>
        <v/>
      </c>
      <c r="G1401" s="54">
        <f>IF(_imp!$C$1403="","",INDEX(_imp!$J$4:$J$4503,_imp!$C$1403))</f>
        <v/>
      </c>
      <c r="K1401" s="54">
        <f>IF(_imp!$C$1403="","",INDEX(_imp!$K$4:$K$4503,_imp!$C$1403))</f>
        <v/>
      </c>
    </row>
    <row r="1402">
      <c r="A1402" s="54">
        <f>IF(_imp!$C$1404="","",INDEX(_imp!$D$4:$D$4503,_imp!$C$1404))</f>
        <v/>
      </c>
      <c r="B1402" s="54">
        <f>IF(_imp!$C$1404="","",INDEX(_imp!$E$4:$E$4503,_imp!$C$1404))</f>
        <v/>
      </c>
      <c r="C1402" s="54">
        <f>IF(_imp!$C$1404="","",INDEX(_imp!$F$4:$F$4503,_imp!$C$1404))</f>
        <v/>
      </c>
      <c r="D1402" s="54">
        <f>IF(_imp!$C$1404="","",INDEX(_imp!$G$4:$G$4503,_imp!$C$1404))</f>
        <v/>
      </c>
      <c r="E1402" s="54">
        <f>IF(_imp!$C$1404="","",INDEX(_imp!$H$4:$H$4503,_imp!$C$1404))</f>
        <v/>
      </c>
      <c r="F1402" s="54">
        <f>IF(_imp!$C$1404="","",INDEX(_imp!$I$4:$I$4503,_imp!$C$1404))</f>
        <v/>
      </c>
      <c r="G1402" s="54">
        <f>IF(_imp!$C$1404="","",INDEX(_imp!$J$4:$J$4503,_imp!$C$1404))</f>
        <v/>
      </c>
      <c r="K1402" s="54">
        <f>IF(_imp!$C$1404="","",INDEX(_imp!$K$4:$K$4503,_imp!$C$1404))</f>
        <v/>
      </c>
    </row>
    <row r="1403">
      <c r="A1403" s="54">
        <f>IF(_imp!$C$1405="","",INDEX(_imp!$D$4:$D$4503,_imp!$C$1405))</f>
        <v/>
      </c>
      <c r="B1403" s="54">
        <f>IF(_imp!$C$1405="","",INDEX(_imp!$E$4:$E$4503,_imp!$C$1405))</f>
        <v/>
      </c>
      <c r="C1403" s="54">
        <f>IF(_imp!$C$1405="","",INDEX(_imp!$F$4:$F$4503,_imp!$C$1405))</f>
        <v/>
      </c>
      <c r="D1403" s="54">
        <f>IF(_imp!$C$1405="","",INDEX(_imp!$G$4:$G$4503,_imp!$C$1405))</f>
        <v/>
      </c>
      <c r="E1403" s="54">
        <f>IF(_imp!$C$1405="","",INDEX(_imp!$H$4:$H$4503,_imp!$C$1405))</f>
        <v/>
      </c>
      <c r="F1403" s="54">
        <f>IF(_imp!$C$1405="","",INDEX(_imp!$I$4:$I$4503,_imp!$C$1405))</f>
        <v/>
      </c>
      <c r="G1403" s="54">
        <f>IF(_imp!$C$1405="","",INDEX(_imp!$J$4:$J$4503,_imp!$C$1405))</f>
        <v/>
      </c>
      <c r="K1403" s="54">
        <f>IF(_imp!$C$1405="","",INDEX(_imp!$K$4:$K$4503,_imp!$C$1405))</f>
        <v/>
      </c>
    </row>
    <row r="1404">
      <c r="A1404" s="54">
        <f>IF(_imp!$C$1406="","",INDEX(_imp!$D$4:$D$4503,_imp!$C$1406))</f>
        <v/>
      </c>
      <c r="B1404" s="54">
        <f>IF(_imp!$C$1406="","",INDEX(_imp!$E$4:$E$4503,_imp!$C$1406))</f>
        <v/>
      </c>
      <c r="C1404" s="54">
        <f>IF(_imp!$C$1406="","",INDEX(_imp!$F$4:$F$4503,_imp!$C$1406))</f>
        <v/>
      </c>
      <c r="D1404" s="54">
        <f>IF(_imp!$C$1406="","",INDEX(_imp!$G$4:$G$4503,_imp!$C$1406))</f>
        <v/>
      </c>
      <c r="E1404" s="54">
        <f>IF(_imp!$C$1406="","",INDEX(_imp!$H$4:$H$4503,_imp!$C$1406))</f>
        <v/>
      </c>
      <c r="F1404" s="54">
        <f>IF(_imp!$C$1406="","",INDEX(_imp!$I$4:$I$4503,_imp!$C$1406))</f>
        <v/>
      </c>
      <c r="G1404" s="54">
        <f>IF(_imp!$C$1406="","",INDEX(_imp!$J$4:$J$4503,_imp!$C$1406))</f>
        <v/>
      </c>
      <c r="K1404" s="54">
        <f>IF(_imp!$C$1406="","",INDEX(_imp!$K$4:$K$4503,_imp!$C$1406))</f>
        <v/>
      </c>
    </row>
    <row r="1405">
      <c r="A1405" s="54">
        <f>IF(_imp!$C$1407="","",INDEX(_imp!$D$4:$D$4503,_imp!$C$1407))</f>
        <v/>
      </c>
      <c r="B1405" s="54">
        <f>IF(_imp!$C$1407="","",INDEX(_imp!$E$4:$E$4503,_imp!$C$1407))</f>
        <v/>
      </c>
      <c r="C1405" s="54">
        <f>IF(_imp!$C$1407="","",INDEX(_imp!$F$4:$F$4503,_imp!$C$1407))</f>
        <v/>
      </c>
      <c r="D1405" s="54">
        <f>IF(_imp!$C$1407="","",INDEX(_imp!$G$4:$G$4503,_imp!$C$1407))</f>
        <v/>
      </c>
      <c r="E1405" s="54">
        <f>IF(_imp!$C$1407="","",INDEX(_imp!$H$4:$H$4503,_imp!$C$1407))</f>
        <v/>
      </c>
      <c r="F1405" s="54">
        <f>IF(_imp!$C$1407="","",INDEX(_imp!$I$4:$I$4503,_imp!$C$1407))</f>
        <v/>
      </c>
      <c r="G1405" s="54">
        <f>IF(_imp!$C$1407="","",INDEX(_imp!$J$4:$J$4503,_imp!$C$1407))</f>
        <v/>
      </c>
      <c r="K1405" s="54">
        <f>IF(_imp!$C$1407="","",INDEX(_imp!$K$4:$K$4503,_imp!$C$1407))</f>
        <v/>
      </c>
    </row>
    <row r="1406">
      <c r="A1406" s="54">
        <f>IF(_imp!$C$1408="","",INDEX(_imp!$D$4:$D$4503,_imp!$C$1408))</f>
        <v/>
      </c>
      <c r="B1406" s="54">
        <f>IF(_imp!$C$1408="","",INDEX(_imp!$E$4:$E$4503,_imp!$C$1408))</f>
        <v/>
      </c>
      <c r="C1406" s="54">
        <f>IF(_imp!$C$1408="","",INDEX(_imp!$F$4:$F$4503,_imp!$C$1408))</f>
        <v/>
      </c>
      <c r="D1406" s="54">
        <f>IF(_imp!$C$1408="","",INDEX(_imp!$G$4:$G$4503,_imp!$C$1408))</f>
        <v/>
      </c>
      <c r="E1406" s="54">
        <f>IF(_imp!$C$1408="","",INDEX(_imp!$H$4:$H$4503,_imp!$C$1408))</f>
        <v/>
      </c>
      <c r="F1406" s="54">
        <f>IF(_imp!$C$1408="","",INDEX(_imp!$I$4:$I$4503,_imp!$C$1408))</f>
        <v/>
      </c>
      <c r="G1406" s="54">
        <f>IF(_imp!$C$1408="","",INDEX(_imp!$J$4:$J$4503,_imp!$C$1408))</f>
        <v/>
      </c>
      <c r="K1406" s="54">
        <f>IF(_imp!$C$1408="","",INDEX(_imp!$K$4:$K$4503,_imp!$C$1408))</f>
        <v/>
      </c>
    </row>
    <row r="1407">
      <c r="A1407" s="54">
        <f>IF(_imp!$C$1409="","",INDEX(_imp!$D$4:$D$4503,_imp!$C$1409))</f>
        <v/>
      </c>
      <c r="B1407" s="54">
        <f>IF(_imp!$C$1409="","",INDEX(_imp!$E$4:$E$4503,_imp!$C$1409))</f>
        <v/>
      </c>
      <c r="C1407" s="54">
        <f>IF(_imp!$C$1409="","",INDEX(_imp!$F$4:$F$4503,_imp!$C$1409))</f>
        <v/>
      </c>
      <c r="D1407" s="54">
        <f>IF(_imp!$C$1409="","",INDEX(_imp!$G$4:$G$4503,_imp!$C$1409))</f>
        <v/>
      </c>
      <c r="E1407" s="54">
        <f>IF(_imp!$C$1409="","",INDEX(_imp!$H$4:$H$4503,_imp!$C$1409))</f>
        <v/>
      </c>
      <c r="F1407" s="54">
        <f>IF(_imp!$C$1409="","",INDEX(_imp!$I$4:$I$4503,_imp!$C$1409))</f>
        <v/>
      </c>
      <c r="G1407" s="54">
        <f>IF(_imp!$C$1409="","",INDEX(_imp!$J$4:$J$4503,_imp!$C$1409))</f>
        <v/>
      </c>
      <c r="K1407" s="54">
        <f>IF(_imp!$C$1409="","",INDEX(_imp!$K$4:$K$4503,_imp!$C$1409))</f>
        <v/>
      </c>
    </row>
    <row r="1408">
      <c r="A1408" s="54">
        <f>IF(_imp!$C$1410="","",INDEX(_imp!$D$4:$D$4503,_imp!$C$1410))</f>
        <v/>
      </c>
      <c r="B1408" s="54">
        <f>IF(_imp!$C$1410="","",INDEX(_imp!$E$4:$E$4503,_imp!$C$1410))</f>
        <v/>
      </c>
      <c r="C1408" s="54">
        <f>IF(_imp!$C$1410="","",INDEX(_imp!$F$4:$F$4503,_imp!$C$1410))</f>
        <v/>
      </c>
      <c r="D1408" s="54">
        <f>IF(_imp!$C$1410="","",INDEX(_imp!$G$4:$G$4503,_imp!$C$1410))</f>
        <v/>
      </c>
      <c r="E1408" s="54">
        <f>IF(_imp!$C$1410="","",INDEX(_imp!$H$4:$H$4503,_imp!$C$1410))</f>
        <v/>
      </c>
      <c r="F1408" s="54">
        <f>IF(_imp!$C$1410="","",INDEX(_imp!$I$4:$I$4503,_imp!$C$1410))</f>
        <v/>
      </c>
      <c r="G1408" s="54">
        <f>IF(_imp!$C$1410="","",INDEX(_imp!$J$4:$J$4503,_imp!$C$1410))</f>
        <v/>
      </c>
      <c r="K1408" s="54">
        <f>IF(_imp!$C$1410="","",INDEX(_imp!$K$4:$K$4503,_imp!$C$1410))</f>
        <v/>
      </c>
    </row>
    <row r="1409">
      <c r="A1409" s="54">
        <f>IF(_imp!$C$1411="","",INDEX(_imp!$D$4:$D$4503,_imp!$C$1411))</f>
        <v/>
      </c>
      <c r="B1409" s="54">
        <f>IF(_imp!$C$1411="","",INDEX(_imp!$E$4:$E$4503,_imp!$C$1411))</f>
        <v/>
      </c>
      <c r="C1409" s="54">
        <f>IF(_imp!$C$1411="","",INDEX(_imp!$F$4:$F$4503,_imp!$C$1411))</f>
        <v/>
      </c>
      <c r="D1409" s="54">
        <f>IF(_imp!$C$1411="","",INDEX(_imp!$G$4:$G$4503,_imp!$C$1411))</f>
        <v/>
      </c>
      <c r="E1409" s="54">
        <f>IF(_imp!$C$1411="","",INDEX(_imp!$H$4:$H$4503,_imp!$C$1411))</f>
        <v/>
      </c>
      <c r="F1409" s="54">
        <f>IF(_imp!$C$1411="","",INDEX(_imp!$I$4:$I$4503,_imp!$C$1411))</f>
        <v/>
      </c>
      <c r="G1409" s="54">
        <f>IF(_imp!$C$1411="","",INDEX(_imp!$J$4:$J$4503,_imp!$C$1411))</f>
        <v/>
      </c>
      <c r="K1409" s="54">
        <f>IF(_imp!$C$1411="","",INDEX(_imp!$K$4:$K$4503,_imp!$C$1411))</f>
        <v/>
      </c>
    </row>
    <row r="1410">
      <c r="A1410" s="54">
        <f>IF(_imp!$C$1412="","",INDEX(_imp!$D$4:$D$4503,_imp!$C$1412))</f>
        <v/>
      </c>
      <c r="B1410" s="54">
        <f>IF(_imp!$C$1412="","",INDEX(_imp!$E$4:$E$4503,_imp!$C$1412))</f>
        <v/>
      </c>
      <c r="C1410" s="54">
        <f>IF(_imp!$C$1412="","",INDEX(_imp!$F$4:$F$4503,_imp!$C$1412))</f>
        <v/>
      </c>
      <c r="D1410" s="54">
        <f>IF(_imp!$C$1412="","",INDEX(_imp!$G$4:$G$4503,_imp!$C$1412))</f>
        <v/>
      </c>
      <c r="E1410" s="54">
        <f>IF(_imp!$C$1412="","",INDEX(_imp!$H$4:$H$4503,_imp!$C$1412))</f>
        <v/>
      </c>
      <c r="F1410" s="54">
        <f>IF(_imp!$C$1412="","",INDEX(_imp!$I$4:$I$4503,_imp!$C$1412))</f>
        <v/>
      </c>
      <c r="G1410" s="54">
        <f>IF(_imp!$C$1412="","",INDEX(_imp!$J$4:$J$4503,_imp!$C$1412))</f>
        <v/>
      </c>
      <c r="K1410" s="54">
        <f>IF(_imp!$C$1412="","",INDEX(_imp!$K$4:$K$4503,_imp!$C$1412))</f>
        <v/>
      </c>
    </row>
    <row r="1411">
      <c r="A1411" s="54">
        <f>IF(_imp!$C$1413="","",INDEX(_imp!$D$4:$D$4503,_imp!$C$1413))</f>
        <v/>
      </c>
      <c r="B1411" s="54">
        <f>IF(_imp!$C$1413="","",INDEX(_imp!$E$4:$E$4503,_imp!$C$1413))</f>
        <v/>
      </c>
      <c r="C1411" s="54">
        <f>IF(_imp!$C$1413="","",INDEX(_imp!$F$4:$F$4503,_imp!$C$1413))</f>
        <v/>
      </c>
      <c r="D1411" s="54">
        <f>IF(_imp!$C$1413="","",INDEX(_imp!$G$4:$G$4503,_imp!$C$1413))</f>
        <v/>
      </c>
      <c r="E1411" s="54">
        <f>IF(_imp!$C$1413="","",INDEX(_imp!$H$4:$H$4503,_imp!$C$1413))</f>
        <v/>
      </c>
      <c r="F1411" s="54">
        <f>IF(_imp!$C$1413="","",INDEX(_imp!$I$4:$I$4503,_imp!$C$1413))</f>
        <v/>
      </c>
      <c r="G1411" s="54">
        <f>IF(_imp!$C$1413="","",INDEX(_imp!$J$4:$J$4503,_imp!$C$1413))</f>
        <v/>
      </c>
      <c r="K1411" s="54">
        <f>IF(_imp!$C$1413="","",INDEX(_imp!$K$4:$K$4503,_imp!$C$1413))</f>
        <v/>
      </c>
    </row>
    <row r="1412">
      <c r="A1412" s="54">
        <f>IF(_imp!$C$1414="","",INDEX(_imp!$D$4:$D$4503,_imp!$C$1414))</f>
        <v/>
      </c>
      <c r="B1412" s="54">
        <f>IF(_imp!$C$1414="","",INDEX(_imp!$E$4:$E$4503,_imp!$C$1414))</f>
        <v/>
      </c>
      <c r="C1412" s="54">
        <f>IF(_imp!$C$1414="","",INDEX(_imp!$F$4:$F$4503,_imp!$C$1414))</f>
        <v/>
      </c>
      <c r="D1412" s="54">
        <f>IF(_imp!$C$1414="","",INDEX(_imp!$G$4:$G$4503,_imp!$C$1414))</f>
        <v/>
      </c>
      <c r="E1412" s="54">
        <f>IF(_imp!$C$1414="","",INDEX(_imp!$H$4:$H$4503,_imp!$C$1414))</f>
        <v/>
      </c>
      <c r="F1412" s="54">
        <f>IF(_imp!$C$1414="","",INDEX(_imp!$I$4:$I$4503,_imp!$C$1414))</f>
        <v/>
      </c>
      <c r="G1412" s="54">
        <f>IF(_imp!$C$1414="","",INDEX(_imp!$J$4:$J$4503,_imp!$C$1414))</f>
        <v/>
      </c>
      <c r="K1412" s="54">
        <f>IF(_imp!$C$1414="","",INDEX(_imp!$K$4:$K$4503,_imp!$C$1414))</f>
        <v/>
      </c>
    </row>
    <row r="1413">
      <c r="A1413" s="54">
        <f>IF(_imp!$C$1415="","",INDEX(_imp!$D$4:$D$4503,_imp!$C$1415))</f>
        <v/>
      </c>
      <c r="B1413" s="54">
        <f>IF(_imp!$C$1415="","",INDEX(_imp!$E$4:$E$4503,_imp!$C$1415))</f>
        <v/>
      </c>
      <c r="C1413" s="54">
        <f>IF(_imp!$C$1415="","",INDEX(_imp!$F$4:$F$4503,_imp!$C$1415))</f>
        <v/>
      </c>
      <c r="D1413" s="54">
        <f>IF(_imp!$C$1415="","",INDEX(_imp!$G$4:$G$4503,_imp!$C$1415))</f>
        <v/>
      </c>
      <c r="E1413" s="54">
        <f>IF(_imp!$C$1415="","",INDEX(_imp!$H$4:$H$4503,_imp!$C$1415))</f>
        <v/>
      </c>
      <c r="F1413" s="54">
        <f>IF(_imp!$C$1415="","",INDEX(_imp!$I$4:$I$4503,_imp!$C$1415))</f>
        <v/>
      </c>
      <c r="G1413" s="54">
        <f>IF(_imp!$C$1415="","",INDEX(_imp!$J$4:$J$4503,_imp!$C$1415))</f>
        <v/>
      </c>
      <c r="K1413" s="54">
        <f>IF(_imp!$C$1415="","",INDEX(_imp!$K$4:$K$4503,_imp!$C$1415))</f>
        <v/>
      </c>
    </row>
    <row r="1414">
      <c r="A1414" s="54">
        <f>IF(_imp!$C$1416="","",INDEX(_imp!$D$4:$D$4503,_imp!$C$1416))</f>
        <v/>
      </c>
      <c r="B1414" s="54">
        <f>IF(_imp!$C$1416="","",INDEX(_imp!$E$4:$E$4503,_imp!$C$1416))</f>
        <v/>
      </c>
      <c r="C1414" s="54">
        <f>IF(_imp!$C$1416="","",INDEX(_imp!$F$4:$F$4503,_imp!$C$1416))</f>
        <v/>
      </c>
      <c r="D1414" s="54">
        <f>IF(_imp!$C$1416="","",INDEX(_imp!$G$4:$G$4503,_imp!$C$1416))</f>
        <v/>
      </c>
      <c r="E1414" s="54">
        <f>IF(_imp!$C$1416="","",INDEX(_imp!$H$4:$H$4503,_imp!$C$1416))</f>
        <v/>
      </c>
      <c r="F1414" s="54">
        <f>IF(_imp!$C$1416="","",INDEX(_imp!$I$4:$I$4503,_imp!$C$1416))</f>
        <v/>
      </c>
      <c r="G1414" s="54">
        <f>IF(_imp!$C$1416="","",INDEX(_imp!$J$4:$J$4503,_imp!$C$1416))</f>
        <v/>
      </c>
      <c r="K1414" s="54">
        <f>IF(_imp!$C$1416="","",INDEX(_imp!$K$4:$K$4503,_imp!$C$1416))</f>
        <v/>
      </c>
    </row>
    <row r="1415">
      <c r="A1415" s="54">
        <f>IF(_imp!$C$1417="","",INDEX(_imp!$D$4:$D$4503,_imp!$C$1417))</f>
        <v/>
      </c>
      <c r="B1415" s="54">
        <f>IF(_imp!$C$1417="","",INDEX(_imp!$E$4:$E$4503,_imp!$C$1417))</f>
        <v/>
      </c>
      <c r="C1415" s="54">
        <f>IF(_imp!$C$1417="","",INDEX(_imp!$F$4:$F$4503,_imp!$C$1417))</f>
        <v/>
      </c>
      <c r="D1415" s="54">
        <f>IF(_imp!$C$1417="","",INDEX(_imp!$G$4:$G$4503,_imp!$C$1417))</f>
        <v/>
      </c>
      <c r="E1415" s="54">
        <f>IF(_imp!$C$1417="","",INDEX(_imp!$H$4:$H$4503,_imp!$C$1417))</f>
        <v/>
      </c>
      <c r="F1415" s="54">
        <f>IF(_imp!$C$1417="","",INDEX(_imp!$I$4:$I$4503,_imp!$C$1417))</f>
        <v/>
      </c>
      <c r="G1415" s="54">
        <f>IF(_imp!$C$1417="","",INDEX(_imp!$J$4:$J$4503,_imp!$C$1417))</f>
        <v/>
      </c>
      <c r="K1415" s="54">
        <f>IF(_imp!$C$1417="","",INDEX(_imp!$K$4:$K$4503,_imp!$C$1417))</f>
        <v/>
      </c>
    </row>
    <row r="1416">
      <c r="A1416" s="54">
        <f>IF(_imp!$C$1418="","",INDEX(_imp!$D$4:$D$4503,_imp!$C$1418))</f>
        <v/>
      </c>
      <c r="B1416" s="54">
        <f>IF(_imp!$C$1418="","",INDEX(_imp!$E$4:$E$4503,_imp!$C$1418))</f>
        <v/>
      </c>
      <c r="C1416" s="54">
        <f>IF(_imp!$C$1418="","",INDEX(_imp!$F$4:$F$4503,_imp!$C$1418))</f>
        <v/>
      </c>
      <c r="D1416" s="54">
        <f>IF(_imp!$C$1418="","",INDEX(_imp!$G$4:$G$4503,_imp!$C$1418))</f>
        <v/>
      </c>
      <c r="E1416" s="54">
        <f>IF(_imp!$C$1418="","",INDEX(_imp!$H$4:$H$4503,_imp!$C$1418))</f>
        <v/>
      </c>
      <c r="F1416" s="54">
        <f>IF(_imp!$C$1418="","",INDEX(_imp!$I$4:$I$4503,_imp!$C$1418))</f>
        <v/>
      </c>
      <c r="G1416" s="54">
        <f>IF(_imp!$C$1418="","",INDEX(_imp!$J$4:$J$4503,_imp!$C$1418))</f>
        <v/>
      </c>
      <c r="K1416" s="54">
        <f>IF(_imp!$C$1418="","",INDEX(_imp!$K$4:$K$4503,_imp!$C$1418))</f>
        <v/>
      </c>
    </row>
    <row r="1417">
      <c r="A1417" s="54">
        <f>IF(_imp!$C$1419="","",INDEX(_imp!$D$4:$D$4503,_imp!$C$1419))</f>
        <v/>
      </c>
      <c r="B1417" s="54">
        <f>IF(_imp!$C$1419="","",INDEX(_imp!$E$4:$E$4503,_imp!$C$1419))</f>
        <v/>
      </c>
      <c r="C1417" s="54">
        <f>IF(_imp!$C$1419="","",INDEX(_imp!$F$4:$F$4503,_imp!$C$1419))</f>
        <v/>
      </c>
      <c r="D1417" s="54">
        <f>IF(_imp!$C$1419="","",INDEX(_imp!$G$4:$G$4503,_imp!$C$1419))</f>
        <v/>
      </c>
      <c r="E1417" s="54">
        <f>IF(_imp!$C$1419="","",INDEX(_imp!$H$4:$H$4503,_imp!$C$1419))</f>
        <v/>
      </c>
      <c r="F1417" s="54">
        <f>IF(_imp!$C$1419="","",INDEX(_imp!$I$4:$I$4503,_imp!$C$1419))</f>
        <v/>
      </c>
      <c r="G1417" s="54">
        <f>IF(_imp!$C$1419="","",INDEX(_imp!$J$4:$J$4503,_imp!$C$1419))</f>
        <v/>
      </c>
      <c r="K1417" s="54">
        <f>IF(_imp!$C$1419="","",INDEX(_imp!$K$4:$K$4503,_imp!$C$1419))</f>
        <v/>
      </c>
    </row>
    <row r="1418">
      <c r="A1418" s="54">
        <f>IF(_imp!$C$1420="","",INDEX(_imp!$D$4:$D$4503,_imp!$C$1420))</f>
        <v/>
      </c>
      <c r="B1418" s="54">
        <f>IF(_imp!$C$1420="","",INDEX(_imp!$E$4:$E$4503,_imp!$C$1420))</f>
        <v/>
      </c>
      <c r="C1418" s="54">
        <f>IF(_imp!$C$1420="","",INDEX(_imp!$F$4:$F$4503,_imp!$C$1420))</f>
        <v/>
      </c>
      <c r="D1418" s="54">
        <f>IF(_imp!$C$1420="","",INDEX(_imp!$G$4:$G$4503,_imp!$C$1420))</f>
        <v/>
      </c>
      <c r="E1418" s="54">
        <f>IF(_imp!$C$1420="","",INDEX(_imp!$H$4:$H$4503,_imp!$C$1420))</f>
        <v/>
      </c>
      <c r="F1418" s="54">
        <f>IF(_imp!$C$1420="","",INDEX(_imp!$I$4:$I$4503,_imp!$C$1420))</f>
        <v/>
      </c>
      <c r="G1418" s="54">
        <f>IF(_imp!$C$1420="","",INDEX(_imp!$J$4:$J$4503,_imp!$C$1420))</f>
        <v/>
      </c>
      <c r="K1418" s="54">
        <f>IF(_imp!$C$1420="","",INDEX(_imp!$K$4:$K$4503,_imp!$C$1420))</f>
        <v/>
      </c>
    </row>
    <row r="1419">
      <c r="A1419" s="54">
        <f>IF(_imp!$C$1421="","",INDEX(_imp!$D$4:$D$4503,_imp!$C$1421))</f>
        <v/>
      </c>
      <c r="B1419" s="54">
        <f>IF(_imp!$C$1421="","",INDEX(_imp!$E$4:$E$4503,_imp!$C$1421))</f>
        <v/>
      </c>
      <c r="C1419" s="54">
        <f>IF(_imp!$C$1421="","",INDEX(_imp!$F$4:$F$4503,_imp!$C$1421))</f>
        <v/>
      </c>
      <c r="D1419" s="54">
        <f>IF(_imp!$C$1421="","",INDEX(_imp!$G$4:$G$4503,_imp!$C$1421))</f>
        <v/>
      </c>
      <c r="E1419" s="54">
        <f>IF(_imp!$C$1421="","",INDEX(_imp!$H$4:$H$4503,_imp!$C$1421))</f>
        <v/>
      </c>
      <c r="F1419" s="54">
        <f>IF(_imp!$C$1421="","",INDEX(_imp!$I$4:$I$4503,_imp!$C$1421))</f>
        <v/>
      </c>
      <c r="G1419" s="54">
        <f>IF(_imp!$C$1421="","",INDEX(_imp!$J$4:$J$4503,_imp!$C$1421))</f>
        <v/>
      </c>
      <c r="K1419" s="54">
        <f>IF(_imp!$C$1421="","",INDEX(_imp!$K$4:$K$4503,_imp!$C$1421))</f>
        <v/>
      </c>
    </row>
    <row r="1420">
      <c r="A1420" s="54">
        <f>IF(_imp!$C$1422="","",INDEX(_imp!$D$4:$D$4503,_imp!$C$1422))</f>
        <v/>
      </c>
      <c r="B1420" s="54">
        <f>IF(_imp!$C$1422="","",INDEX(_imp!$E$4:$E$4503,_imp!$C$1422))</f>
        <v/>
      </c>
      <c r="C1420" s="54">
        <f>IF(_imp!$C$1422="","",INDEX(_imp!$F$4:$F$4503,_imp!$C$1422))</f>
        <v/>
      </c>
      <c r="D1420" s="54">
        <f>IF(_imp!$C$1422="","",INDEX(_imp!$G$4:$G$4503,_imp!$C$1422))</f>
        <v/>
      </c>
      <c r="E1420" s="54">
        <f>IF(_imp!$C$1422="","",INDEX(_imp!$H$4:$H$4503,_imp!$C$1422))</f>
        <v/>
      </c>
      <c r="F1420" s="54">
        <f>IF(_imp!$C$1422="","",INDEX(_imp!$I$4:$I$4503,_imp!$C$1422))</f>
        <v/>
      </c>
      <c r="G1420" s="54">
        <f>IF(_imp!$C$1422="","",INDEX(_imp!$J$4:$J$4503,_imp!$C$1422))</f>
        <v/>
      </c>
      <c r="K1420" s="54">
        <f>IF(_imp!$C$1422="","",INDEX(_imp!$K$4:$K$4503,_imp!$C$1422))</f>
        <v/>
      </c>
    </row>
    <row r="1421">
      <c r="A1421" s="54">
        <f>IF(_imp!$C$1423="","",INDEX(_imp!$D$4:$D$4503,_imp!$C$1423))</f>
        <v/>
      </c>
      <c r="B1421" s="54">
        <f>IF(_imp!$C$1423="","",INDEX(_imp!$E$4:$E$4503,_imp!$C$1423))</f>
        <v/>
      </c>
      <c r="C1421" s="54">
        <f>IF(_imp!$C$1423="","",INDEX(_imp!$F$4:$F$4503,_imp!$C$1423))</f>
        <v/>
      </c>
      <c r="D1421" s="54">
        <f>IF(_imp!$C$1423="","",INDEX(_imp!$G$4:$G$4503,_imp!$C$1423))</f>
        <v/>
      </c>
      <c r="E1421" s="54">
        <f>IF(_imp!$C$1423="","",INDEX(_imp!$H$4:$H$4503,_imp!$C$1423))</f>
        <v/>
      </c>
      <c r="F1421" s="54">
        <f>IF(_imp!$C$1423="","",INDEX(_imp!$I$4:$I$4503,_imp!$C$1423))</f>
        <v/>
      </c>
      <c r="G1421" s="54">
        <f>IF(_imp!$C$1423="","",INDEX(_imp!$J$4:$J$4503,_imp!$C$1423))</f>
        <v/>
      </c>
      <c r="K1421" s="54">
        <f>IF(_imp!$C$1423="","",INDEX(_imp!$K$4:$K$4503,_imp!$C$1423))</f>
        <v/>
      </c>
    </row>
    <row r="1422">
      <c r="A1422" s="54">
        <f>IF(_imp!$C$1424="","",INDEX(_imp!$D$4:$D$4503,_imp!$C$1424))</f>
        <v/>
      </c>
      <c r="B1422" s="54">
        <f>IF(_imp!$C$1424="","",INDEX(_imp!$E$4:$E$4503,_imp!$C$1424))</f>
        <v/>
      </c>
      <c r="C1422" s="54">
        <f>IF(_imp!$C$1424="","",INDEX(_imp!$F$4:$F$4503,_imp!$C$1424))</f>
        <v/>
      </c>
      <c r="D1422" s="54">
        <f>IF(_imp!$C$1424="","",INDEX(_imp!$G$4:$G$4503,_imp!$C$1424))</f>
        <v/>
      </c>
      <c r="E1422" s="54">
        <f>IF(_imp!$C$1424="","",INDEX(_imp!$H$4:$H$4503,_imp!$C$1424))</f>
        <v/>
      </c>
      <c r="F1422" s="54">
        <f>IF(_imp!$C$1424="","",INDEX(_imp!$I$4:$I$4503,_imp!$C$1424))</f>
        <v/>
      </c>
      <c r="G1422" s="54">
        <f>IF(_imp!$C$1424="","",INDEX(_imp!$J$4:$J$4503,_imp!$C$1424))</f>
        <v/>
      </c>
      <c r="K1422" s="54">
        <f>IF(_imp!$C$1424="","",INDEX(_imp!$K$4:$K$4503,_imp!$C$1424))</f>
        <v/>
      </c>
    </row>
    <row r="1423">
      <c r="A1423" s="54">
        <f>IF(_imp!$C$1425="","",INDEX(_imp!$D$4:$D$4503,_imp!$C$1425))</f>
        <v/>
      </c>
      <c r="B1423" s="54">
        <f>IF(_imp!$C$1425="","",INDEX(_imp!$E$4:$E$4503,_imp!$C$1425))</f>
        <v/>
      </c>
      <c r="C1423" s="54">
        <f>IF(_imp!$C$1425="","",INDEX(_imp!$F$4:$F$4503,_imp!$C$1425))</f>
        <v/>
      </c>
      <c r="D1423" s="54">
        <f>IF(_imp!$C$1425="","",INDEX(_imp!$G$4:$G$4503,_imp!$C$1425))</f>
        <v/>
      </c>
      <c r="E1423" s="54">
        <f>IF(_imp!$C$1425="","",INDEX(_imp!$H$4:$H$4503,_imp!$C$1425))</f>
        <v/>
      </c>
      <c r="F1423" s="54">
        <f>IF(_imp!$C$1425="","",INDEX(_imp!$I$4:$I$4503,_imp!$C$1425))</f>
        <v/>
      </c>
      <c r="G1423" s="54">
        <f>IF(_imp!$C$1425="","",INDEX(_imp!$J$4:$J$4503,_imp!$C$1425))</f>
        <v/>
      </c>
      <c r="K1423" s="54">
        <f>IF(_imp!$C$1425="","",INDEX(_imp!$K$4:$K$4503,_imp!$C$1425))</f>
        <v/>
      </c>
    </row>
    <row r="1424">
      <c r="A1424" s="54">
        <f>IF(_imp!$C$1426="","",INDEX(_imp!$D$4:$D$4503,_imp!$C$1426))</f>
        <v/>
      </c>
      <c r="B1424" s="54">
        <f>IF(_imp!$C$1426="","",INDEX(_imp!$E$4:$E$4503,_imp!$C$1426))</f>
        <v/>
      </c>
      <c r="C1424" s="54">
        <f>IF(_imp!$C$1426="","",INDEX(_imp!$F$4:$F$4503,_imp!$C$1426))</f>
        <v/>
      </c>
      <c r="D1424" s="54">
        <f>IF(_imp!$C$1426="","",INDEX(_imp!$G$4:$G$4503,_imp!$C$1426))</f>
        <v/>
      </c>
      <c r="E1424" s="54">
        <f>IF(_imp!$C$1426="","",INDEX(_imp!$H$4:$H$4503,_imp!$C$1426))</f>
        <v/>
      </c>
      <c r="F1424" s="54">
        <f>IF(_imp!$C$1426="","",INDEX(_imp!$I$4:$I$4503,_imp!$C$1426))</f>
        <v/>
      </c>
      <c r="G1424" s="54">
        <f>IF(_imp!$C$1426="","",INDEX(_imp!$J$4:$J$4503,_imp!$C$1426))</f>
        <v/>
      </c>
      <c r="K1424" s="54">
        <f>IF(_imp!$C$1426="","",INDEX(_imp!$K$4:$K$4503,_imp!$C$1426))</f>
        <v/>
      </c>
    </row>
    <row r="1425">
      <c r="A1425" s="54">
        <f>IF(_imp!$C$1427="","",INDEX(_imp!$D$4:$D$4503,_imp!$C$1427))</f>
        <v/>
      </c>
      <c r="B1425" s="54">
        <f>IF(_imp!$C$1427="","",INDEX(_imp!$E$4:$E$4503,_imp!$C$1427))</f>
        <v/>
      </c>
      <c r="C1425" s="54">
        <f>IF(_imp!$C$1427="","",INDEX(_imp!$F$4:$F$4503,_imp!$C$1427))</f>
        <v/>
      </c>
      <c r="D1425" s="54">
        <f>IF(_imp!$C$1427="","",INDEX(_imp!$G$4:$G$4503,_imp!$C$1427))</f>
        <v/>
      </c>
      <c r="E1425" s="54">
        <f>IF(_imp!$C$1427="","",INDEX(_imp!$H$4:$H$4503,_imp!$C$1427))</f>
        <v/>
      </c>
      <c r="F1425" s="54">
        <f>IF(_imp!$C$1427="","",INDEX(_imp!$I$4:$I$4503,_imp!$C$1427))</f>
        <v/>
      </c>
      <c r="G1425" s="54">
        <f>IF(_imp!$C$1427="","",INDEX(_imp!$J$4:$J$4503,_imp!$C$1427))</f>
        <v/>
      </c>
      <c r="K1425" s="54">
        <f>IF(_imp!$C$1427="","",INDEX(_imp!$K$4:$K$4503,_imp!$C$1427))</f>
        <v/>
      </c>
    </row>
    <row r="1426">
      <c r="A1426" s="54">
        <f>IF(_imp!$C$1428="","",INDEX(_imp!$D$4:$D$4503,_imp!$C$1428))</f>
        <v/>
      </c>
      <c r="B1426" s="54">
        <f>IF(_imp!$C$1428="","",INDEX(_imp!$E$4:$E$4503,_imp!$C$1428))</f>
        <v/>
      </c>
      <c r="C1426" s="54">
        <f>IF(_imp!$C$1428="","",INDEX(_imp!$F$4:$F$4503,_imp!$C$1428))</f>
        <v/>
      </c>
      <c r="D1426" s="54">
        <f>IF(_imp!$C$1428="","",INDEX(_imp!$G$4:$G$4503,_imp!$C$1428))</f>
        <v/>
      </c>
      <c r="E1426" s="54">
        <f>IF(_imp!$C$1428="","",INDEX(_imp!$H$4:$H$4503,_imp!$C$1428))</f>
        <v/>
      </c>
      <c r="F1426" s="54">
        <f>IF(_imp!$C$1428="","",INDEX(_imp!$I$4:$I$4503,_imp!$C$1428))</f>
        <v/>
      </c>
      <c r="G1426" s="54">
        <f>IF(_imp!$C$1428="","",INDEX(_imp!$J$4:$J$4503,_imp!$C$1428))</f>
        <v/>
      </c>
      <c r="K1426" s="54">
        <f>IF(_imp!$C$1428="","",INDEX(_imp!$K$4:$K$4503,_imp!$C$1428))</f>
        <v/>
      </c>
    </row>
    <row r="1427">
      <c r="A1427" s="54">
        <f>IF(_imp!$C$1429="","",INDEX(_imp!$D$4:$D$4503,_imp!$C$1429))</f>
        <v/>
      </c>
      <c r="B1427" s="54">
        <f>IF(_imp!$C$1429="","",INDEX(_imp!$E$4:$E$4503,_imp!$C$1429))</f>
        <v/>
      </c>
      <c r="C1427" s="54">
        <f>IF(_imp!$C$1429="","",INDEX(_imp!$F$4:$F$4503,_imp!$C$1429))</f>
        <v/>
      </c>
      <c r="D1427" s="54">
        <f>IF(_imp!$C$1429="","",INDEX(_imp!$G$4:$G$4503,_imp!$C$1429))</f>
        <v/>
      </c>
      <c r="E1427" s="54">
        <f>IF(_imp!$C$1429="","",INDEX(_imp!$H$4:$H$4503,_imp!$C$1429))</f>
        <v/>
      </c>
      <c r="F1427" s="54">
        <f>IF(_imp!$C$1429="","",INDEX(_imp!$I$4:$I$4503,_imp!$C$1429))</f>
        <v/>
      </c>
      <c r="G1427" s="54">
        <f>IF(_imp!$C$1429="","",INDEX(_imp!$J$4:$J$4503,_imp!$C$1429))</f>
        <v/>
      </c>
      <c r="K1427" s="54">
        <f>IF(_imp!$C$1429="","",INDEX(_imp!$K$4:$K$4503,_imp!$C$1429))</f>
        <v/>
      </c>
    </row>
    <row r="1428">
      <c r="A1428" s="54">
        <f>IF(_imp!$C$1430="","",INDEX(_imp!$D$4:$D$4503,_imp!$C$1430))</f>
        <v/>
      </c>
      <c r="B1428" s="54">
        <f>IF(_imp!$C$1430="","",INDEX(_imp!$E$4:$E$4503,_imp!$C$1430))</f>
        <v/>
      </c>
      <c r="C1428" s="54">
        <f>IF(_imp!$C$1430="","",INDEX(_imp!$F$4:$F$4503,_imp!$C$1430))</f>
        <v/>
      </c>
      <c r="D1428" s="54">
        <f>IF(_imp!$C$1430="","",INDEX(_imp!$G$4:$G$4503,_imp!$C$1430))</f>
        <v/>
      </c>
      <c r="E1428" s="54">
        <f>IF(_imp!$C$1430="","",INDEX(_imp!$H$4:$H$4503,_imp!$C$1430))</f>
        <v/>
      </c>
      <c r="F1428" s="54">
        <f>IF(_imp!$C$1430="","",INDEX(_imp!$I$4:$I$4503,_imp!$C$1430))</f>
        <v/>
      </c>
      <c r="G1428" s="54">
        <f>IF(_imp!$C$1430="","",INDEX(_imp!$J$4:$J$4503,_imp!$C$1430))</f>
        <v/>
      </c>
      <c r="K1428" s="54">
        <f>IF(_imp!$C$1430="","",INDEX(_imp!$K$4:$K$4503,_imp!$C$1430))</f>
        <v/>
      </c>
    </row>
    <row r="1429">
      <c r="A1429" s="54">
        <f>IF(_imp!$C$1431="","",INDEX(_imp!$D$4:$D$4503,_imp!$C$1431))</f>
        <v/>
      </c>
      <c r="B1429" s="54">
        <f>IF(_imp!$C$1431="","",INDEX(_imp!$E$4:$E$4503,_imp!$C$1431))</f>
        <v/>
      </c>
      <c r="C1429" s="54">
        <f>IF(_imp!$C$1431="","",INDEX(_imp!$F$4:$F$4503,_imp!$C$1431))</f>
        <v/>
      </c>
      <c r="D1429" s="54">
        <f>IF(_imp!$C$1431="","",INDEX(_imp!$G$4:$G$4503,_imp!$C$1431))</f>
        <v/>
      </c>
      <c r="E1429" s="54">
        <f>IF(_imp!$C$1431="","",INDEX(_imp!$H$4:$H$4503,_imp!$C$1431))</f>
        <v/>
      </c>
      <c r="F1429" s="54">
        <f>IF(_imp!$C$1431="","",INDEX(_imp!$I$4:$I$4503,_imp!$C$1431))</f>
        <v/>
      </c>
      <c r="G1429" s="54">
        <f>IF(_imp!$C$1431="","",INDEX(_imp!$J$4:$J$4503,_imp!$C$1431))</f>
        <v/>
      </c>
      <c r="K1429" s="54">
        <f>IF(_imp!$C$1431="","",INDEX(_imp!$K$4:$K$4503,_imp!$C$1431))</f>
        <v/>
      </c>
    </row>
    <row r="1430">
      <c r="A1430" s="54">
        <f>IF(_imp!$C$1432="","",INDEX(_imp!$D$4:$D$4503,_imp!$C$1432))</f>
        <v/>
      </c>
      <c r="B1430" s="54">
        <f>IF(_imp!$C$1432="","",INDEX(_imp!$E$4:$E$4503,_imp!$C$1432))</f>
        <v/>
      </c>
      <c r="C1430" s="54">
        <f>IF(_imp!$C$1432="","",INDEX(_imp!$F$4:$F$4503,_imp!$C$1432))</f>
        <v/>
      </c>
      <c r="D1430" s="54">
        <f>IF(_imp!$C$1432="","",INDEX(_imp!$G$4:$G$4503,_imp!$C$1432))</f>
        <v/>
      </c>
      <c r="E1430" s="54">
        <f>IF(_imp!$C$1432="","",INDEX(_imp!$H$4:$H$4503,_imp!$C$1432))</f>
        <v/>
      </c>
      <c r="F1430" s="54">
        <f>IF(_imp!$C$1432="","",INDEX(_imp!$I$4:$I$4503,_imp!$C$1432))</f>
        <v/>
      </c>
      <c r="G1430" s="54">
        <f>IF(_imp!$C$1432="","",INDEX(_imp!$J$4:$J$4503,_imp!$C$1432))</f>
        <v/>
      </c>
      <c r="K1430" s="54">
        <f>IF(_imp!$C$1432="","",INDEX(_imp!$K$4:$K$4503,_imp!$C$1432))</f>
        <v/>
      </c>
    </row>
    <row r="1431">
      <c r="A1431" s="54">
        <f>IF(_imp!$C$1433="","",INDEX(_imp!$D$4:$D$4503,_imp!$C$1433))</f>
        <v/>
      </c>
      <c r="B1431" s="54">
        <f>IF(_imp!$C$1433="","",INDEX(_imp!$E$4:$E$4503,_imp!$C$1433))</f>
        <v/>
      </c>
      <c r="C1431" s="54">
        <f>IF(_imp!$C$1433="","",INDEX(_imp!$F$4:$F$4503,_imp!$C$1433))</f>
        <v/>
      </c>
      <c r="D1431" s="54">
        <f>IF(_imp!$C$1433="","",INDEX(_imp!$G$4:$G$4503,_imp!$C$1433))</f>
        <v/>
      </c>
      <c r="E1431" s="54">
        <f>IF(_imp!$C$1433="","",INDEX(_imp!$H$4:$H$4503,_imp!$C$1433))</f>
        <v/>
      </c>
      <c r="F1431" s="54">
        <f>IF(_imp!$C$1433="","",INDEX(_imp!$I$4:$I$4503,_imp!$C$1433))</f>
        <v/>
      </c>
      <c r="G1431" s="54">
        <f>IF(_imp!$C$1433="","",INDEX(_imp!$J$4:$J$4503,_imp!$C$1433))</f>
        <v/>
      </c>
      <c r="K1431" s="54">
        <f>IF(_imp!$C$1433="","",INDEX(_imp!$K$4:$K$4503,_imp!$C$1433))</f>
        <v/>
      </c>
    </row>
    <row r="1432">
      <c r="A1432" s="54">
        <f>IF(_imp!$C$1434="","",INDEX(_imp!$D$4:$D$4503,_imp!$C$1434))</f>
        <v/>
      </c>
      <c r="B1432" s="54">
        <f>IF(_imp!$C$1434="","",INDEX(_imp!$E$4:$E$4503,_imp!$C$1434))</f>
        <v/>
      </c>
      <c r="C1432" s="54">
        <f>IF(_imp!$C$1434="","",INDEX(_imp!$F$4:$F$4503,_imp!$C$1434))</f>
        <v/>
      </c>
      <c r="D1432" s="54">
        <f>IF(_imp!$C$1434="","",INDEX(_imp!$G$4:$G$4503,_imp!$C$1434))</f>
        <v/>
      </c>
      <c r="E1432" s="54">
        <f>IF(_imp!$C$1434="","",INDEX(_imp!$H$4:$H$4503,_imp!$C$1434))</f>
        <v/>
      </c>
      <c r="F1432" s="54">
        <f>IF(_imp!$C$1434="","",INDEX(_imp!$I$4:$I$4503,_imp!$C$1434))</f>
        <v/>
      </c>
      <c r="G1432" s="54">
        <f>IF(_imp!$C$1434="","",INDEX(_imp!$J$4:$J$4503,_imp!$C$1434))</f>
        <v/>
      </c>
      <c r="K1432" s="54">
        <f>IF(_imp!$C$1434="","",INDEX(_imp!$K$4:$K$4503,_imp!$C$1434))</f>
        <v/>
      </c>
    </row>
    <row r="1433">
      <c r="A1433" s="54">
        <f>IF(_imp!$C$1435="","",INDEX(_imp!$D$4:$D$4503,_imp!$C$1435))</f>
        <v/>
      </c>
      <c r="B1433" s="54">
        <f>IF(_imp!$C$1435="","",INDEX(_imp!$E$4:$E$4503,_imp!$C$1435))</f>
        <v/>
      </c>
      <c r="C1433" s="54">
        <f>IF(_imp!$C$1435="","",INDEX(_imp!$F$4:$F$4503,_imp!$C$1435))</f>
        <v/>
      </c>
      <c r="D1433" s="54">
        <f>IF(_imp!$C$1435="","",INDEX(_imp!$G$4:$G$4503,_imp!$C$1435))</f>
        <v/>
      </c>
      <c r="E1433" s="54">
        <f>IF(_imp!$C$1435="","",INDEX(_imp!$H$4:$H$4503,_imp!$C$1435))</f>
        <v/>
      </c>
      <c r="F1433" s="54">
        <f>IF(_imp!$C$1435="","",INDEX(_imp!$I$4:$I$4503,_imp!$C$1435))</f>
        <v/>
      </c>
      <c r="G1433" s="54">
        <f>IF(_imp!$C$1435="","",INDEX(_imp!$J$4:$J$4503,_imp!$C$1435))</f>
        <v/>
      </c>
      <c r="K1433" s="54">
        <f>IF(_imp!$C$1435="","",INDEX(_imp!$K$4:$K$4503,_imp!$C$1435))</f>
        <v/>
      </c>
    </row>
    <row r="1434">
      <c r="A1434" s="54">
        <f>IF(_imp!$C$1436="","",INDEX(_imp!$D$4:$D$4503,_imp!$C$1436))</f>
        <v/>
      </c>
      <c r="B1434" s="54">
        <f>IF(_imp!$C$1436="","",INDEX(_imp!$E$4:$E$4503,_imp!$C$1436))</f>
        <v/>
      </c>
      <c r="C1434" s="54">
        <f>IF(_imp!$C$1436="","",INDEX(_imp!$F$4:$F$4503,_imp!$C$1436))</f>
        <v/>
      </c>
      <c r="D1434" s="54">
        <f>IF(_imp!$C$1436="","",INDEX(_imp!$G$4:$G$4503,_imp!$C$1436))</f>
        <v/>
      </c>
      <c r="E1434" s="54">
        <f>IF(_imp!$C$1436="","",INDEX(_imp!$H$4:$H$4503,_imp!$C$1436))</f>
        <v/>
      </c>
      <c r="F1434" s="54">
        <f>IF(_imp!$C$1436="","",INDEX(_imp!$I$4:$I$4503,_imp!$C$1436))</f>
        <v/>
      </c>
      <c r="G1434" s="54">
        <f>IF(_imp!$C$1436="","",INDEX(_imp!$J$4:$J$4503,_imp!$C$1436))</f>
        <v/>
      </c>
      <c r="K1434" s="54">
        <f>IF(_imp!$C$1436="","",INDEX(_imp!$K$4:$K$4503,_imp!$C$1436))</f>
        <v/>
      </c>
    </row>
    <row r="1435">
      <c r="A1435" s="54">
        <f>IF(_imp!$C$1437="","",INDEX(_imp!$D$4:$D$4503,_imp!$C$1437))</f>
        <v/>
      </c>
      <c r="B1435" s="54">
        <f>IF(_imp!$C$1437="","",INDEX(_imp!$E$4:$E$4503,_imp!$C$1437))</f>
        <v/>
      </c>
      <c r="C1435" s="54">
        <f>IF(_imp!$C$1437="","",INDEX(_imp!$F$4:$F$4503,_imp!$C$1437))</f>
        <v/>
      </c>
      <c r="D1435" s="54">
        <f>IF(_imp!$C$1437="","",INDEX(_imp!$G$4:$G$4503,_imp!$C$1437))</f>
        <v/>
      </c>
      <c r="E1435" s="54">
        <f>IF(_imp!$C$1437="","",INDEX(_imp!$H$4:$H$4503,_imp!$C$1437))</f>
        <v/>
      </c>
      <c r="F1435" s="54">
        <f>IF(_imp!$C$1437="","",INDEX(_imp!$I$4:$I$4503,_imp!$C$1437))</f>
        <v/>
      </c>
      <c r="G1435" s="54">
        <f>IF(_imp!$C$1437="","",INDEX(_imp!$J$4:$J$4503,_imp!$C$1437))</f>
        <v/>
      </c>
      <c r="K1435" s="54">
        <f>IF(_imp!$C$1437="","",INDEX(_imp!$K$4:$K$4503,_imp!$C$1437))</f>
        <v/>
      </c>
    </row>
    <row r="1436">
      <c r="A1436" s="54">
        <f>IF(_imp!$C$1438="","",INDEX(_imp!$D$4:$D$4503,_imp!$C$1438))</f>
        <v/>
      </c>
      <c r="B1436" s="54">
        <f>IF(_imp!$C$1438="","",INDEX(_imp!$E$4:$E$4503,_imp!$C$1438))</f>
        <v/>
      </c>
      <c r="C1436" s="54">
        <f>IF(_imp!$C$1438="","",INDEX(_imp!$F$4:$F$4503,_imp!$C$1438))</f>
        <v/>
      </c>
      <c r="D1436" s="54">
        <f>IF(_imp!$C$1438="","",INDEX(_imp!$G$4:$G$4503,_imp!$C$1438))</f>
        <v/>
      </c>
      <c r="E1436" s="54">
        <f>IF(_imp!$C$1438="","",INDEX(_imp!$H$4:$H$4503,_imp!$C$1438))</f>
        <v/>
      </c>
      <c r="F1436" s="54">
        <f>IF(_imp!$C$1438="","",INDEX(_imp!$I$4:$I$4503,_imp!$C$1438))</f>
        <v/>
      </c>
      <c r="G1436" s="54">
        <f>IF(_imp!$C$1438="","",INDEX(_imp!$J$4:$J$4503,_imp!$C$1438))</f>
        <v/>
      </c>
      <c r="K1436" s="54">
        <f>IF(_imp!$C$1438="","",INDEX(_imp!$K$4:$K$4503,_imp!$C$1438))</f>
        <v/>
      </c>
    </row>
    <row r="1437">
      <c r="A1437" s="54">
        <f>IF(_imp!$C$1439="","",INDEX(_imp!$D$4:$D$4503,_imp!$C$1439))</f>
        <v/>
      </c>
      <c r="B1437" s="54">
        <f>IF(_imp!$C$1439="","",INDEX(_imp!$E$4:$E$4503,_imp!$C$1439))</f>
        <v/>
      </c>
      <c r="C1437" s="54">
        <f>IF(_imp!$C$1439="","",INDEX(_imp!$F$4:$F$4503,_imp!$C$1439))</f>
        <v/>
      </c>
      <c r="D1437" s="54">
        <f>IF(_imp!$C$1439="","",INDEX(_imp!$G$4:$G$4503,_imp!$C$1439))</f>
        <v/>
      </c>
      <c r="E1437" s="54">
        <f>IF(_imp!$C$1439="","",INDEX(_imp!$H$4:$H$4503,_imp!$C$1439))</f>
        <v/>
      </c>
      <c r="F1437" s="54">
        <f>IF(_imp!$C$1439="","",INDEX(_imp!$I$4:$I$4503,_imp!$C$1439))</f>
        <v/>
      </c>
      <c r="G1437" s="54">
        <f>IF(_imp!$C$1439="","",INDEX(_imp!$J$4:$J$4503,_imp!$C$1439))</f>
        <v/>
      </c>
      <c r="K1437" s="54">
        <f>IF(_imp!$C$1439="","",INDEX(_imp!$K$4:$K$4503,_imp!$C$1439))</f>
        <v/>
      </c>
    </row>
    <row r="1438">
      <c r="A1438" s="54">
        <f>IF(_imp!$C$1440="","",INDEX(_imp!$D$4:$D$4503,_imp!$C$1440))</f>
        <v/>
      </c>
      <c r="B1438" s="54">
        <f>IF(_imp!$C$1440="","",INDEX(_imp!$E$4:$E$4503,_imp!$C$1440))</f>
        <v/>
      </c>
      <c r="C1438" s="54">
        <f>IF(_imp!$C$1440="","",INDEX(_imp!$F$4:$F$4503,_imp!$C$1440))</f>
        <v/>
      </c>
      <c r="D1438" s="54">
        <f>IF(_imp!$C$1440="","",INDEX(_imp!$G$4:$G$4503,_imp!$C$1440))</f>
        <v/>
      </c>
      <c r="E1438" s="54">
        <f>IF(_imp!$C$1440="","",INDEX(_imp!$H$4:$H$4503,_imp!$C$1440))</f>
        <v/>
      </c>
      <c r="F1438" s="54">
        <f>IF(_imp!$C$1440="","",INDEX(_imp!$I$4:$I$4503,_imp!$C$1440))</f>
        <v/>
      </c>
      <c r="G1438" s="54">
        <f>IF(_imp!$C$1440="","",INDEX(_imp!$J$4:$J$4503,_imp!$C$1440))</f>
        <v/>
      </c>
      <c r="K1438" s="54">
        <f>IF(_imp!$C$1440="","",INDEX(_imp!$K$4:$K$4503,_imp!$C$1440))</f>
        <v/>
      </c>
    </row>
    <row r="1439">
      <c r="A1439" s="54">
        <f>IF(_imp!$C$1441="","",INDEX(_imp!$D$4:$D$4503,_imp!$C$1441))</f>
        <v/>
      </c>
      <c r="B1439" s="54">
        <f>IF(_imp!$C$1441="","",INDEX(_imp!$E$4:$E$4503,_imp!$C$1441))</f>
        <v/>
      </c>
      <c r="C1439" s="54">
        <f>IF(_imp!$C$1441="","",INDEX(_imp!$F$4:$F$4503,_imp!$C$1441))</f>
        <v/>
      </c>
      <c r="D1439" s="54">
        <f>IF(_imp!$C$1441="","",INDEX(_imp!$G$4:$G$4503,_imp!$C$1441))</f>
        <v/>
      </c>
      <c r="E1439" s="54">
        <f>IF(_imp!$C$1441="","",INDEX(_imp!$H$4:$H$4503,_imp!$C$1441))</f>
        <v/>
      </c>
      <c r="F1439" s="54">
        <f>IF(_imp!$C$1441="","",INDEX(_imp!$I$4:$I$4503,_imp!$C$1441))</f>
        <v/>
      </c>
      <c r="G1439" s="54">
        <f>IF(_imp!$C$1441="","",INDEX(_imp!$J$4:$J$4503,_imp!$C$1441))</f>
        <v/>
      </c>
      <c r="K1439" s="54">
        <f>IF(_imp!$C$1441="","",INDEX(_imp!$K$4:$K$4503,_imp!$C$1441))</f>
        <v/>
      </c>
    </row>
    <row r="1440">
      <c r="A1440" s="54">
        <f>IF(_imp!$C$1442="","",INDEX(_imp!$D$4:$D$4503,_imp!$C$1442))</f>
        <v/>
      </c>
      <c r="B1440" s="54">
        <f>IF(_imp!$C$1442="","",INDEX(_imp!$E$4:$E$4503,_imp!$C$1442))</f>
        <v/>
      </c>
      <c r="C1440" s="54">
        <f>IF(_imp!$C$1442="","",INDEX(_imp!$F$4:$F$4503,_imp!$C$1442))</f>
        <v/>
      </c>
      <c r="D1440" s="54">
        <f>IF(_imp!$C$1442="","",INDEX(_imp!$G$4:$G$4503,_imp!$C$1442))</f>
        <v/>
      </c>
      <c r="E1440" s="54">
        <f>IF(_imp!$C$1442="","",INDEX(_imp!$H$4:$H$4503,_imp!$C$1442))</f>
        <v/>
      </c>
      <c r="F1440" s="54">
        <f>IF(_imp!$C$1442="","",INDEX(_imp!$I$4:$I$4503,_imp!$C$1442))</f>
        <v/>
      </c>
      <c r="G1440" s="54">
        <f>IF(_imp!$C$1442="","",INDEX(_imp!$J$4:$J$4503,_imp!$C$1442))</f>
        <v/>
      </c>
      <c r="K1440" s="54">
        <f>IF(_imp!$C$1442="","",INDEX(_imp!$K$4:$K$4503,_imp!$C$1442))</f>
        <v/>
      </c>
    </row>
    <row r="1441">
      <c r="A1441" s="54">
        <f>IF(_imp!$C$1443="","",INDEX(_imp!$D$4:$D$4503,_imp!$C$1443))</f>
        <v/>
      </c>
      <c r="B1441" s="54">
        <f>IF(_imp!$C$1443="","",INDEX(_imp!$E$4:$E$4503,_imp!$C$1443))</f>
        <v/>
      </c>
      <c r="C1441" s="54">
        <f>IF(_imp!$C$1443="","",INDEX(_imp!$F$4:$F$4503,_imp!$C$1443))</f>
        <v/>
      </c>
      <c r="D1441" s="54">
        <f>IF(_imp!$C$1443="","",INDEX(_imp!$G$4:$G$4503,_imp!$C$1443))</f>
        <v/>
      </c>
      <c r="E1441" s="54">
        <f>IF(_imp!$C$1443="","",INDEX(_imp!$H$4:$H$4503,_imp!$C$1443))</f>
        <v/>
      </c>
      <c r="F1441" s="54">
        <f>IF(_imp!$C$1443="","",INDEX(_imp!$I$4:$I$4503,_imp!$C$1443))</f>
        <v/>
      </c>
      <c r="G1441" s="54">
        <f>IF(_imp!$C$1443="","",INDEX(_imp!$J$4:$J$4503,_imp!$C$1443))</f>
        <v/>
      </c>
      <c r="K1441" s="54">
        <f>IF(_imp!$C$1443="","",INDEX(_imp!$K$4:$K$4503,_imp!$C$1443))</f>
        <v/>
      </c>
    </row>
    <row r="1442">
      <c r="A1442" s="54">
        <f>IF(_imp!$C$1444="","",INDEX(_imp!$D$4:$D$4503,_imp!$C$1444))</f>
        <v/>
      </c>
      <c r="B1442" s="54">
        <f>IF(_imp!$C$1444="","",INDEX(_imp!$E$4:$E$4503,_imp!$C$1444))</f>
        <v/>
      </c>
      <c r="C1442" s="54">
        <f>IF(_imp!$C$1444="","",INDEX(_imp!$F$4:$F$4503,_imp!$C$1444))</f>
        <v/>
      </c>
      <c r="D1442" s="54">
        <f>IF(_imp!$C$1444="","",INDEX(_imp!$G$4:$G$4503,_imp!$C$1444))</f>
        <v/>
      </c>
      <c r="E1442" s="54">
        <f>IF(_imp!$C$1444="","",INDEX(_imp!$H$4:$H$4503,_imp!$C$1444))</f>
        <v/>
      </c>
      <c r="F1442" s="54">
        <f>IF(_imp!$C$1444="","",INDEX(_imp!$I$4:$I$4503,_imp!$C$1444))</f>
        <v/>
      </c>
      <c r="G1442" s="54">
        <f>IF(_imp!$C$1444="","",INDEX(_imp!$J$4:$J$4503,_imp!$C$1444))</f>
        <v/>
      </c>
      <c r="K1442" s="54">
        <f>IF(_imp!$C$1444="","",INDEX(_imp!$K$4:$K$4503,_imp!$C$1444))</f>
        <v/>
      </c>
    </row>
    <row r="1443">
      <c r="A1443" s="54">
        <f>IF(_imp!$C$1445="","",INDEX(_imp!$D$4:$D$4503,_imp!$C$1445))</f>
        <v/>
      </c>
      <c r="B1443" s="54">
        <f>IF(_imp!$C$1445="","",INDEX(_imp!$E$4:$E$4503,_imp!$C$1445))</f>
        <v/>
      </c>
      <c r="C1443" s="54">
        <f>IF(_imp!$C$1445="","",INDEX(_imp!$F$4:$F$4503,_imp!$C$1445))</f>
        <v/>
      </c>
      <c r="D1443" s="54">
        <f>IF(_imp!$C$1445="","",INDEX(_imp!$G$4:$G$4503,_imp!$C$1445))</f>
        <v/>
      </c>
      <c r="E1443" s="54">
        <f>IF(_imp!$C$1445="","",INDEX(_imp!$H$4:$H$4503,_imp!$C$1445))</f>
        <v/>
      </c>
      <c r="F1443" s="54">
        <f>IF(_imp!$C$1445="","",INDEX(_imp!$I$4:$I$4503,_imp!$C$1445))</f>
        <v/>
      </c>
      <c r="G1443" s="54">
        <f>IF(_imp!$C$1445="","",INDEX(_imp!$J$4:$J$4503,_imp!$C$1445))</f>
        <v/>
      </c>
      <c r="K1443" s="54">
        <f>IF(_imp!$C$1445="","",INDEX(_imp!$K$4:$K$4503,_imp!$C$1445))</f>
        <v/>
      </c>
    </row>
    <row r="1444">
      <c r="A1444" s="54">
        <f>IF(_imp!$C$1446="","",INDEX(_imp!$D$4:$D$4503,_imp!$C$1446))</f>
        <v/>
      </c>
      <c r="B1444" s="54">
        <f>IF(_imp!$C$1446="","",INDEX(_imp!$E$4:$E$4503,_imp!$C$1446))</f>
        <v/>
      </c>
      <c r="C1444" s="54">
        <f>IF(_imp!$C$1446="","",INDEX(_imp!$F$4:$F$4503,_imp!$C$1446))</f>
        <v/>
      </c>
      <c r="D1444" s="54">
        <f>IF(_imp!$C$1446="","",INDEX(_imp!$G$4:$G$4503,_imp!$C$1446))</f>
        <v/>
      </c>
      <c r="E1444" s="54">
        <f>IF(_imp!$C$1446="","",INDEX(_imp!$H$4:$H$4503,_imp!$C$1446))</f>
        <v/>
      </c>
      <c r="F1444" s="54">
        <f>IF(_imp!$C$1446="","",INDEX(_imp!$I$4:$I$4503,_imp!$C$1446))</f>
        <v/>
      </c>
      <c r="G1444" s="54">
        <f>IF(_imp!$C$1446="","",INDEX(_imp!$J$4:$J$4503,_imp!$C$1446))</f>
        <v/>
      </c>
      <c r="K1444" s="54">
        <f>IF(_imp!$C$1446="","",INDEX(_imp!$K$4:$K$4503,_imp!$C$1446))</f>
        <v/>
      </c>
    </row>
    <row r="1445">
      <c r="A1445" s="54">
        <f>IF(_imp!$C$1447="","",INDEX(_imp!$D$4:$D$4503,_imp!$C$1447))</f>
        <v/>
      </c>
      <c r="B1445" s="54">
        <f>IF(_imp!$C$1447="","",INDEX(_imp!$E$4:$E$4503,_imp!$C$1447))</f>
        <v/>
      </c>
      <c r="C1445" s="54">
        <f>IF(_imp!$C$1447="","",INDEX(_imp!$F$4:$F$4503,_imp!$C$1447))</f>
        <v/>
      </c>
      <c r="D1445" s="54">
        <f>IF(_imp!$C$1447="","",INDEX(_imp!$G$4:$G$4503,_imp!$C$1447))</f>
        <v/>
      </c>
      <c r="E1445" s="54">
        <f>IF(_imp!$C$1447="","",INDEX(_imp!$H$4:$H$4503,_imp!$C$1447))</f>
        <v/>
      </c>
      <c r="F1445" s="54">
        <f>IF(_imp!$C$1447="","",INDEX(_imp!$I$4:$I$4503,_imp!$C$1447))</f>
        <v/>
      </c>
      <c r="G1445" s="54">
        <f>IF(_imp!$C$1447="","",INDEX(_imp!$J$4:$J$4503,_imp!$C$1447))</f>
        <v/>
      </c>
      <c r="K1445" s="54">
        <f>IF(_imp!$C$1447="","",INDEX(_imp!$K$4:$K$4503,_imp!$C$1447))</f>
        <v/>
      </c>
    </row>
    <row r="1446">
      <c r="A1446" s="54">
        <f>IF(_imp!$C$1448="","",INDEX(_imp!$D$4:$D$4503,_imp!$C$1448))</f>
        <v/>
      </c>
      <c r="B1446" s="54">
        <f>IF(_imp!$C$1448="","",INDEX(_imp!$E$4:$E$4503,_imp!$C$1448))</f>
        <v/>
      </c>
      <c r="C1446" s="54">
        <f>IF(_imp!$C$1448="","",INDEX(_imp!$F$4:$F$4503,_imp!$C$1448))</f>
        <v/>
      </c>
      <c r="D1446" s="54">
        <f>IF(_imp!$C$1448="","",INDEX(_imp!$G$4:$G$4503,_imp!$C$1448))</f>
        <v/>
      </c>
      <c r="E1446" s="54">
        <f>IF(_imp!$C$1448="","",INDEX(_imp!$H$4:$H$4503,_imp!$C$1448))</f>
        <v/>
      </c>
      <c r="F1446" s="54">
        <f>IF(_imp!$C$1448="","",INDEX(_imp!$I$4:$I$4503,_imp!$C$1448))</f>
        <v/>
      </c>
      <c r="G1446" s="54">
        <f>IF(_imp!$C$1448="","",INDEX(_imp!$J$4:$J$4503,_imp!$C$1448))</f>
        <v/>
      </c>
      <c r="K1446" s="54">
        <f>IF(_imp!$C$1448="","",INDEX(_imp!$K$4:$K$4503,_imp!$C$1448))</f>
        <v/>
      </c>
    </row>
    <row r="1447">
      <c r="A1447" s="54">
        <f>IF(_imp!$C$1449="","",INDEX(_imp!$D$4:$D$4503,_imp!$C$1449))</f>
        <v/>
      </c>
      <c r="B1447" s="54">
        <f>IF(_imp!$C$1449="","",INDEX(_imp!$E$4:$E$4503,_imp!$C$1449))</f>
        <v/>
      </c>
      <c r="C1447" s="54">
        <f>IF(_imp!$C$1449="","",INDEX(_imp!$F$4:$F$4503,_imp!$C$1449))</f>
        <v/>
      </c>
      <c r="D1447" s="54">
        <f>IF(_imp!$C$1449="","",INDEX(_imp!$G$4:$G$4503,_imp!$C$1449))</f>
        <v/>
      </c>
      <c r="E1447" s="54">
        <f>IF(_imp!$C$1449="","",INDEX(_imp!$H$4:$H$4503,_imp!$C$1449))</f>
        <v/>
      </c>
      <c r="F1447" s="54">
        <f>IF(_imp!$C$1449="","",INDEX(_imp!$I$4:$I$4503,_imp!$C$1449))</f>
        <v/>
      </c>
      <c r="G1447" s="54">
        <f>IF(_imp!$C$1449="","",INDEX(_imp!$J$4:$J$4503,_imp!$C$1449))</f>
        <v/>
      </c>
      <c r="K1447" s="54">
        <f>IF(_imp!$C$1449="","",INDEX(_imp!$K$4:$K$4503,_imp!$C$1449))</f>
        <v/>
      </c>
    </row>
    <row r="1448">
      <c r="A1448" s="54">
        <f>IF(_imp!$C$1450="","",INDEX(_imp!$D$4:$D$4503,_imp!$C$1450))</f>
        <v/>
      </c>
      <c r="B1448" s="54">
        <f>IF(_imp!$C$1450="","",INDEX(_imp!$E$4:$E$4503,_imp!$C$1450))</f>
        <v/>
      </c>
      <c r="C1448" s="54">
        <f>IF(_imp!$C$1450="","",INDEX(_imp!$F$4:$F$4503,_imp!$C$1450))</f>
        <v/>
      </c>
      <c r="D1448" s="54">
        <f>IF(_imp!$C$1450="","",INDEX(_imp!$G$4:$G$4503,_imp!$C$1450))</f>
        <v/>
      </c>
      <c r="E1448" s="54">
        <f>IF(_imp!$C$1450="","",INDEX(_imp!$H$4:$H$4503,_imp!$C$1450))</f>
        <v/>
      </c>
      <c r="F1448" s="54">
        <f>IF(_imp!$C$1450="","",INDEX(_imp!$I$4:$I$4503,_imp!$C$1450))</f>
        <v/>
      </c>
      <c r="G1448" s="54">
        <f>IF(_imp!$C$1450="","",INDEX(_imp!$J$4:$J$4503,_imp!$C$1450))</f>
        <v/>
      </c>
      <c r="K1448" s="54">
        <f>IF(_imp!$C$1450="","",INDEX(_imp!$K$4:$K$4503,_imp!$C$1450))</f>
        <v/>
      </c>
    </row>
    <row r="1449">
      <c r="A1449" s="54">
        <f>IF(_imp!$C$1451="","",INDEX(_imp!$D$4:$D$4503,_imp!$C$1451))</f>
        <v/>
      </c>
      <c r="B1449" s="54">
        <f>IF(_imp!$C$1451="","",INDEX(_imp!$E$4:$E$4503,_imp!$C$1451))</f>
        <v/>
      </c>
      <c r="C1449" s="54">
        <f>IF(_imp!$C$1451="","",INDEX(_imp!$F$4:$F$4503,_imp!$C$1451))</f>
        <v/>
      </c>
      <c r="D1449" s="54">
        <f>IF(_imp!$C$1451="","",INDEX(_imp!$G$4:$G$4503,_imp!$C$1451))</f>
        <v/>
      </c>
      <c r="E1449" s="54">
        <f>IF(_imp!$C$1451="","",INDEX(_imp!$H$4:$H$4503,_imp!$C$1451))</f>
        <v/>
      </c>
      <c r="F1449" s="54">
        <f>IF(_imp!$C$1451="","",INDEX(_imp!$I$4:$I$4503,_imp!$C$1451))</f>
        <v/>
      </c>
      <c r="G1449" s="54">
        <f>IF(_imp!$C$1451="","",INDEX(_imp!$J$4:$J$4503,_imp!$C$1451))</f>
        <v/>
      </c>
      <c r="K1449" s="54">
        <f>IF(_imp!$C$1451="","",INDEX(_imp!$K$4:$K$4503,_imp!$C$1451))</f>
        <v/>
      </c>
    </row>
    <row r="1450">
      <c r="A1450" s="54">
        <f>IF(_imp!$C$1452="","",INDEX(_imp!$D$4:$D$4503,_imp!$C$1452))</f>
        <v/>
      </c>
      <c r="B1450" s="54">
        <f>IF(_imp!$C$1452="","",INDEX(_imp!$E$4:$E$4503,_imp!$C$1452))</f>
        <v/>
      </c>
      <c r="C1450" s="54">
        <f>IF(_imp!$C$1452="","",INDEX(_imp!$F$4:$F$4503,_imp!$C$1452))</f>
        <v/>
      </c>
      <c r="D1450" s="54">
        <f>IF(_imp!$C$1452="","",INDEX(_imp!$G$4:$G$4503,_imp!$C$1452))</f>
        <v/>
      </c>
      <c r="E1450" s="54">
        <f>IF(_imp!$C$1452="","",INDEX(_imp!$H$4:$H$4503,_imp!$C$1452))</f>
        <v/>
      </c>
      <c r="F1450" s="54">
        <f>IF(_imp!$C$1452="","",INDEX(_imp!$I$4:$I$4503,_imp!$C$1452))</f>
        <v/>
      </c>
      <c r="G1450" s="54">
        <f>IF(_imp!$C$1452="","",INDEX(_imp!$J$4:$J$4503,_imp!$C$1452))</f>
        <v/>
      </c>
      <c r="K1450" s="54">
        <f>IF(_imp!$C$1452="","",INDEX(_imp!$K$4:$K$4503,_imp!$C$1452))</f>
        <v/>
      </c>
    </row>
    <row r="1451">
      <c r="A1451" s="54">
        <f>IF(_imp!$C$1453="","",INDEX(_imp!$D$4:$D$4503,_imp!$C$1453))</f>
        <v/>
      </c>
      <c r="B1451" s="54">
        <f>IF(_imp!$C$1453="","",INDEX(_imp!$E$4:$E$4503,_imp!$C$1453))</f>
        <v/>
      </c>
      <c r="C1451" s="54">
        <f>IF(_imp!$C$1453="","",INDEX(_imp!$F$4:$F$4503,_imp!$C$1453))</f>
        <v/>
      </c>
      <c r="D1451" s="54">
        <f>IF(_imp!$C$1453="","",INDEX(_imp!$G$4:$G$4503,_imp!$C$1453))</f>
        <v/>
      </c>
      <c r="E1451" s="54">
        <f>IF(_imp!$C$1453="","",INDEX(_imp!$H$4:$H$4503,_imp!$C$1453))</f>
        <v/>
      </c>
      <c r="F1451" s="54">
        <f>IF(_imp!$C$1453="","",INDEX(_imp!$I$4:$I$4503,_imp!$C$1453))</f>
        <v/>
      </c>
      <c r="G1451" s="54">
        <f>IF(_imp!$C$1453="","",INDEX(_imp!$J$4:$J$4503,_imp!$C$1453))</f>
        <v/>
      </c>
      <c r="K1451" s="54">
        <f>IF(_imp!$C$1453="","",INDEX(_imp!$K$4:$K$4503,_imp!$C$1453))</f>
        <v/>
      </c>
    </row>
    <row r="1452">
      <c r="A1452" s="54">
        <f>IF(_imp!$C$1454="","",INDEX(_imp!$D$4:$D$4503,_imp!$C$1454))</f>
        <v/>
      </c>
      <c r="B1452" s="54">
        <f>IF(_imp!$C$1454="","",INDEX(_imp!$E$4:$E$4503,_imp!$C$1454))</f>
        <v/>
      </c>
      <c r="C1452" s="54">
        <f>IF(_imp!$C$1454="","",INDEX(_imp!$F$4:$F$4503,_imp!$C$1454))</f>
        <v/>
      </c>
      <c r="D1452" s="54">
        <f>IF(_imp!$C$1454="","",INDEX(_imp!$G$4:$G$4503,_imp!$C$1454))</f>
        <v/>
      </c>
      <c r="E1452" s="54">
        <f>IF(_imp!$C$1454="","",INDEX(_imp!$H$4:$H$4503,_imp!$C$1454))</f>
        <v/>
      </c>
      <c r="F1452" s="54">
        <f>IF(_imp!$C$1454="","",INDEX(_imp!$I$4:$I$4503,_imp!$C$1454))</f>
        <v/>
      </c>
      <c r="G1452" s="54">
        <f>IF(_imp!$C$1454="","",INDEX(_imp!$J$4:$J$4503,_imp!$C$1454))</f>
        <v/>
      </c>
      <c r="K1452" s="54">
        <f>IF(_imp!$C$1454="","",INDEX(_imp!$K$4:$K$4503,_imp!$C$1454))</f>
        <v/>
      </c>
    </row>
    <row r="1453">
      <c r="A1453" s="54">
        <f>IF(_imp!$C$1455="","",INDEX(_imp!$D$4:$D$4503,_imp!$C$1455))</f>
        <v/>
      </c>
      <c r="B1453" s="54">
        <f>IF(_imp!$C$1455="","",INDEX(_imp!$E$4:$E$4503,_imp!$C$1455))</f>
        <v/>
      </c>
      <c r="C1453" s="54">
        <f>IF(_imp!$C$1455="","",INDEX(_imp!$F$4:$F$4503,_imp!$C$1455))</f>
        <v/>
      </c>
      <c r="D1453" s="54">
        <f>IF(_imp!$C$1455="","",INDEX(_imp!$G$4:$G$4503,_imp!$C$1455))</f>
        <v/>
      </c>
      <c r="E1453" s="54">
        <f>IF(_imp!$C$1455="","",INDEX(_imp!$H$4:$H$4503,_imp!$C$1455))</f>
        <v/>
      </c>
      <c r="F1453" s="54">
        <f>IF(_imp!$C$1455="","",INDEX(_imp!$I$4:$I$4503,_imp!$C$1455))</f>
        <v/>
      </c>
      <c r="G1453" s="54">
        <f>IF(_imp!$C$1455="","",INDEX(_imp!$J$4:$J$4503,_imp!$C$1455))</f>
        <v/>
      </c>
      <c r="K1453" s="54">
        <f>IF(_imp!$C$1455="","",INDEX(_imp!$K$4:$K$4503,_imp!$C$1455))</f>
        <v/>
      </c>
    </row>
    <row r="1454">
      <c r="A1454" s="54">
        <f>IF(_imp!$C$1456="","",INDEX(_imp!$D$4:$D$4503,_imp!$C$1456))</f>
        <v/>
      </c>
      <c r="B1454" s="54">
        <f>IF(_imp!$C$1456="","",INDEX(_imp!$E$4:$E$4503,_imp!$C$1456))</f>
        <v/>
      </c>
      <c r="C1454" s="54">
        <f>IF(_imp!$C$1456="","",INDEX(_imp!$F$4:$F$4503,_imp!$C$1456))</f>
        <v/>
      </c>
      <c r="D1454" s="54">
        <f>IF(_imp!$C$1456="","",INDEX(_imp!$G$4:$G$4503,_imp!$C$1456))</f>
        <v/>
      </c>
      <c r="E1454" s="54">
        <f>IF(_imp!$C$1456="","",INDEX(_imp!$H$4:$H$4503,_imp!$C$1456))</f>
        <v/>
      </c>
      <c r="F1454" s="54">
        <f>IF(_imp!$C$1456="","",INDEX(_imp!$I$4:$I$4503,_imp!$C$1456))</f>
        <v/>
      </c>
      <c r="G1454" s="54">
        <f>IF(_imp!$C$1456="","",INDEX(_imp!$J$4:$J$4503,_imp!$C$1456))</f>
        <v/>
      </c>
      <c r="K1454" s="54">
        <f>IF(_imp!$C$1456="","",INDEX(_imp!$K$4:$K$4503,_imp!$C$1456))</f>
        <v/>
      </c>
    </row>
    <row r="1455">
      <c r="A1455" s="54">
        <f>IF(_imp!$C$1457="","",INDEX(_imp!$D$4:$D$4503,_imp!$C$1457))</f>
        <v/>
      </c>
      <c r="B1455" s="54">
        <f>IF(_imp!$C$1457="","",INDEX(_imp!$E$4:$E$4503,_imp!$C$1457))</f>
        <v/>
      </c>
      <c r="C1455" s="54">
        <f>IF(_imp!$C$1457="","",INDEX(_imp!$F$4:$F$4503,_imp!$C$1457))</f>
        <v/>
      </c>
      <c r="D1455" s="54">
        <f>IF(_imp!$C$1457="","",INDEX(_imp!$G$4:$G$4503,_imp!$C$1457))</f>
        <v/>
      </c>
      <c r="E1455" s="54">
        <f>IF(_imp!$C$1457="","",INDEX(_imp!$H$4:$H$4503,_imp!$C$1457))</f>
        <v/>
      </c>
      <c r="F1455" s="54">
        <f>IF(_imp!$C$1457="","",INDEX(_imp!$I$4:$I$4503,_imp!$C$1457))</f>
        <v/>
      </c>
      <c r="G1455" s="54">
        <f>IF(_imp!$C$1457="","",INDEX(_imp!$J$4:$J$4503,_imp!$C$1457))</f>
        <v/>
      </c>
      <c r="K1455" s="54">
        <f>IF(_imp!$C$1457="","",INDEX(_imp!$K$4:$K$4503,_imp!$C$1457))</f>
        <v/>
      </c>
    </row>
    <row r="1456">
      <c r="A1456" s="54">
        <f>IF(_imp!$C$1458="","",INDEX(_imp!$D$4:$D$4503,_imp!$C$1458))</f>
        <v/>
      </c>
      <c r="B1456" s="54">
        <f>IF(_imp!$C$1458="","",INDEX(_imp!$E$4:$E$4503,_imp!$C$1458))</f>
        <v/>
      </c>
      <c r="C1456" s="54">
        <f>IF(_imp!$C$1458="","",INDEX(_imp!$F$4:$F$4503,_imp!$C$1458))</f>
        <v/>
      </c>
      <c r="D1456" s="54">
        <f>IF(_imp!$C$1458="","",INDEX(_imp!$G$4:$G$4503,_imp!$C$1458))</f>
        <v/>
      </c>
      <c r="E1456" s="54">
        <f>IF(_imp!$C$1458="","",INDEX(_imp!$H$4:$H$4503,_imp!$C$1458))</f>
        <v/>
      </c>
      <c r="F1456" s="54">
        <f>IF(_imp!$C$1458="","",INDEX(_imp!$I$4:$I$4503,_imp!$C$1458))</f>
        <v/>
      </c>
      <c r="G1456" s="54">
        <f>IF(_imp!$C$1458="","",INDEX(_imp!$J$4:$J$4503,_imp!$C$1458))</f>
        <v/>
      </c>
      <c r="K1456" s="54">
        <f>IF(_imp!$C$1458="","",INDEX(_imp!$K$4:$K$4503,_imp!$C$1458))</f>
        <v/>
      </c>
    </row>
    <row r="1457">
      <c r="A1457" s="54">
        <f>IF(_imp!$C$1459="","",INDEX(_imp!$D$4:$D$4503,_imp!$C$1459))</f>
        <v/>
      </c>
      <c r="B1457" s="54">
        <f>IF(_imp!$C$1459="","",INDEX(_imp!$E$4:$E$4503,_imp!$C$1459))</f>
        <v/>
      </c>
      <c r="C1457" s="54">
        <f>IF(_imp!$C$1459="","",INDEX(_imp!$F$4:$F$4503,_imp!$C$1459))</f>
        <v/>
      </c>
      <c r="D1457" s="54">
        <f>IF(_imp!$C$1459="","",INDEX(_imp!$G$4:$G$4503,_imp!$C$1459))</f>
        <v/>
      </c>
      <c r="E1457" s="54">
        <f>IF(_imp!$C$1459="","",INDEX(_imp!$H$4:$H$4503,_imp!$C$1459))</f>
        <v/>
      </c>
      <c r="F1457" s="54">
        <f>IF(_imp!$C$1459="","",INDEX(_imp!$I$4:$I$4503,_imp!$C$1459))</f>
        <v/>
      </c>
      <c r="G1457" s="54">
        <f>IF(_imp!$C$1459="","",INDEX(_imp!$J$4:$J$4503,_imp!$C$1459))</f>
        <v/>
      </c>
      <c r="K1457" s="54">
        <f>IF(_imp!$C$1459="","",INDEX(_imp!$K$4:$K$4503,_imp!$C$1459))</f>
        <v/>
      </c>
    </row>
    <row r="1458">
      <c r="A1458" s="54">
        <f>IF(_imp!$C$1460="","",INDEX(_imp!$D$4:$D$4503,_imp!$C$1460))</f>
        <v/>
      </c>
      <c r="B1458" s="54">
        <f>IF(_imp!$C$1460="","",INDEX(_imp!$E$4:$E$4503,_imp!$C$1460))</f>
        <v/>
      </c>
      <c r="C1458" s="54">
        <f>IF(_imp!$C$1460="","",INDEX(_imp!$F$4:$F$4503,_imp!$C$1460))</f>
        <v/>
      </c>
      <c r="D1458" s="54">
        <f>IF(_imp!$C$1460="","",INDEX(_imp!$G$4:$G$4503,_imp!$C$1460))</f>
        <v/>
      </c>
      <c r="E1458" s="54">
        <f>IF(_imp!$C$1460="","",INDEX(_imp!$H$4:$H$4503,_imp!$C$1460))</f>
        <v/>
      </c>
      <c r="F1458" s="54">
        <f>IF(_imp!$C$1460="","",INDEX(_imp!$I$4:$I$4503,_imp!$C$1460))</f>
        <v/>
      </c>
      <c r="G1458" s="54">
        <f>IF(_imp!$C$1460="","",INDEX(_imp!$J$4:$J$4503,_imp!$C$1460))</f>
        <v/>
      </c>
      <c r="K1458" s="54">
        <f>IF(_imp!$C$1460="","",INDEX(_imp!$K$4:$K$4503,_imp!$C$1460))</f>
        <v/>
      </c>
    </row>
    <row r="1459">
      <c r="A1459" s="54">
        <f>IF(_imp!$C$1461="","",INDEX(_imp!$D$4:$D$4503,_imp!$C$1461))</f>
        <v/>
      </c>
      <c r="B1459" s="54">
        <f>IF(_imp!$C$1461="","",INDEX(_imp!$E$4:$E$4503,_imp!$C$1461))</f>
        <v/>
      </c>
      <c r="C1459" s="54">
        <f>IF(_imp!$C$1461="","",INDEX(_imp!$F$4:$F$4503,_imp!$C$1461))</f>
        <v/>
      </c>
      <c r="D1459" s="54">
        <f>IF(_imp!$C$1461="","",INDEX(_imp!$G$4:$G$4503,_imp!$C$1461))</f>
        <v/>
      </c>
      <c r="E1459" s="54">
        <f>IF(_imp!$C$1461="","",INDEX(_imp!$H$4:$H$4503,_imp!$C$1461))</f>
        <v/>
      </c>
      <c r="F1459" s="54">
        <f>IF(_imp!$C$1461="","",INDEX(_imp!$I$4:$I$4503,_imp!$C$1461))</f>
        <v/>
      </c>
      <c r="G1459" s="54">
        <f>IF(_imp!$C$1461="","",INDEX(_imp!$J$4:$J$4503,_imp!$C$1461))</f>
        <v/>
      </c>
      <c r="K1459" s="54">
        <f>IF(_imp!$C$1461="","",INDEX(_imp!$K$4:$K$4503,_imp!$C$1461))</f>
        <v/>
      </c>
    </row>
    <row r="1460">
      <c r="A1460" s="54">
        <f>IF(_imp!$C$1462="","",INDEX(_imp!$D$4:$D$4503,_imp!$C$1462))</f>
        <v/>
      </c>
      <c r="B1460" s="54">
        <f>IF(_imp!$C$1462="","",INDEX(_imp!$E$4:$E$4503,_imp!$C$1462))</f>
        <v/>
      </c>
      <c r="C1460" s="54">
        <f>IF(_imp!$C$1462="","",INDEX(_imp!$F$4:$F$4503,_imp!$C$1462))</f>
        <v/>
      </c>
      <c r="D1460" s="54">
        <f>IF(_imp!$C$1462="","",INDEX(_imp!$G$4:$G$4503,_imp!$C$1462))</f>
        <v/>
      </c>
      <c r="E1460" s="54">
        <f>IF(_imp!$C$1462="","",INDEX(_imp!$H$4:$H$4503,_imp!$C$1462))</f>
        <v/>
      </c>
      <c r="F1460" s="54">
        <f>IF(_imp!$C$1462="","",INDEX(_imp!$I$4:$I$4503,_imp!$C$1462))</f>
        <v/>
      </c>
      <c r="G1460" s="54">
        <f>IF(_imp!$C$1462="","",INDEX(_imp!$J$4:$J$4503,_imp!$C$1462))</f>
        <v/>
      </c>
      <c r="K1460" s="54">
        <f>IF(_imp!$C$1462="","",INDEX(_imp!$K$4:$K$4503,_imp!$C$1462))</f>
        <v/>
      </c>
    </row>
    <row r="1461">
      <c r="A1461" s="54">
        <f>IF(_imp!$C$1463="","",INDEX(_imp!$D$4:$D$4503,_imp!$C$1463))</f>
        <v/>
      </c>
      <c r="B1461" s="54">
        <f>IF(_imp!$C$1463="","",INDEX(_imp!$E$4:$E$4503,_imp!$C$1463))</f>
        <v/>
      </c>
      <c r="C1461" s="54">
        <f>IF(_imp!$C$1463="","",INDEX(_imp!$F$4:$F$4503,_imp!$C$1463))</f>
        <v/>
      </c>
      <c r="D1461" s="54">
        <f>IF(_imp!$C$1463="","",INDEX(_imp!$G$4:$G$4503,_imp!$C$1463))</f>
        <v/>
      </c>
      <c r="E1461" s="54">
        <f>IF(_imp!$C$1463="","",INDEX(_imp!$H$4:$H$4503,_imp!$C$1463))</f>
        <v/>
      </c>
      <c r="F1461" s="54">
        <f>IF(_imp!$C$1463="","",INDEX(_imp!$I$4:$I$4503,_imp!$C$1463))</f>
        <v/>
      </c>
      <c r="G1461" s="54">
        <f>IF(_imp!$C$1463="","",INDEX(_imp!$J$4:$J$4503,_imp!$C$1463))</f>
        <v/>
      </c>
      <c r="K1461" s="54">
        <f>IF(_imp!$C$1463="","",INDEX(_imp!$K$4:$K$4503,_imp!$C$1463))</f>
        <v/>
      </c>
    </row>
    <row r="1462">
      <c r="A1462" s="54">
        <f>IF(_imp!$C$1464="","",INDEX(_imp!$D$4:$D$4503,_imp!$C$1464))</f>
        <v/>
      </c>
      <c r="B1462" s="54">
        <f>IF(_imp!$C$1464="","",INDEX(_imp!$E$4:$E$4503,_imp!$C$1464))</f>
        <v/>
      </c>
      <c r="C1462" s="54">
        <f>IF(_imp!$C$1464="","",INDEX(_imp!$F$4:$F$4503,_imp!$C$1464))</f>
        <v/>
      </c>
      <c r="D1462" s="54">
        <f>IF(_imp!$C$1464="","",INDEX(_imp!$G$4:$G$4503,_imp!$C$1464))</f>
        <v/>
      </c>
      <c r="E1462" s="54">
        <f>IF(_imp!$C$1464="","",INDEX(_imp!$H$4:$H$4503,_imp!$C$1464))</f>
        <v/>
      </c>
      <c r="F1462" s="54">
        <f>IF(_imp!$C$1464="","",INDEX(_imp!$I$4:$I$4503,_imp!$C$1464))</f>
        <v/>
      </c>
      <c r="G1462" s="54">
        <f>IF(_imp!$C$1464="","",INDEX(_imp!$J$4:$J$4503,_imp!$C$1464))</f>
        <v/>
      </c>
      <c r="K1462" s="54">
        <f>IF(_imp!$C$1464="","",INDEX(_imp!$K$4:$K$4503,_imp!$C$1464))</f>
        <v/>
      </c>
    </row>
    <row r="1463">
      <c r="A1463" s="54">
        <f>IF(_imp!$C$1465="","",INDEX(_imp!$D$4:$D$4503,_imp!$C$1465))</f>
        <v/>
      </c>
      <c r="B1463" s="54">
        <f>IF(_imp!$C$1465="","",INDEX(_imp!$E$4:$E$4503,_imp!$C$1465))</f>
        <v/>
      </c>
      <c r="C1463" s="54">
        <f>IF(_imp!$C$1465="","",INDEX(_imp!$F$4:$F$4503,_imp!$C$1465))</f>
        <v/>
      </c>
      <c r="D1463" s="54">
        <f>IF(_imp!$C$1465="","",INDEX(_imp!$G$4:$G$4503,_imp!$C$1465))</f>
        <v/>
      </c>
      <c r="E1463" s="54">
        <f>IF(_imp!$C$1465="","",INDEX(_imp!$H$4:$H$4503,_imp!$C$1465))</f>
        <v/>
      </c>
      <c r="F1463" s="54">
        <f>IF(_imp!$C$1465="","",INDEX(_imp!$I$4:$I$4503,_imp!$C$1465))</f>
        <v/>
      </c>
      <c r="G1463" s="54">
        <f>IF(_imp!$C$1465="","",INDEX(_imp!$J$4:$J$4503,_imp!$C$1465))</f>
        <v/>
      </c>
      <c r="K1463" s="54">
        <f>IF(_imp!$C$1465="","",INDEX(_imp!$K$4:$K$4503,_imp!$C$1465))</f>
        <v/>
      </c>
    </row>
    <row r="1464">
      <c r="A1464" s="54">
        <f>IF(_imp!$C$1466="","",INDEX(_imp!$D$4:$D$4503,_imp!$C$1466))</f>
        <v/>
      </c>
      <c r="B1464" s="54">
        <f>IF(_imp!$C$1466="","",INDEX(_imp!$E$4:$E$4503,_imp!$C$1466))</f>
        <v/>
      </c>
      <c r="C1464" s="54">
        <f>IF(_imp!$C$1466="","",INDEX(_imp!$F$4:$F$4503,_imp!$C$1466))</f>
        <v/>
      </c>
      <c r="D1464" s="54">
        <f>IF(_imp!$C$1466="","",INDEX(_imp!$G$4:$G$4503,_imp!$C$1466))</f>
        <v/>
      </c>
      <c r="E1464" s="54">
        <f>IF(_imp!$C$1466="","",INDEX(_imp!$H$4:$H$4503,_imp!$C$1466))</f>
        <v/>
      </c>
      <c r="F1464" s="54">
        <f>IF(_imp!$C$1466="","",INDEX(_imp!$I$4:$I$4503,_imp!$C$1466))</f>
        <v/>
      </c>
      <c r="G1464" s="54">
        <f>IF(_imp!$C$1466="","",INDEX(_imp!$J$4:$J$4503,_imp!$C$1466))</f>
        <v/>
      </c>
      <c r="K1464" s="54">
        <f>IF(_imp!$C$1466="","",INDEX(_imp!$K$4:$K$4503,_imp!$C$1466))</f>
        <v/>
      </c>
    </row>
    <row r="1465">
      <c r="A1465" s="54">
        <f>IF(_imp!$C$1467="","",INDEX(_imp!$D$4:$D$4503,_imp!$C$1467))</f>
        <v/>
      </c>
      <c r="B1465" s="54">
        <f>IF(_imp!$C$1467="","",INDEX(_imp!$E$4:$E$4503,_imp!$C$1467))</f>
        <v/>
      </c>
      <c r="C1465" s="54">
        <f>IF(_imp!$C$1467="","",INDEX(_imp!$F$4:$F$4503,_imp!$C$1467))</f>
        <v/>
      </c>
      <c r="D1465" s="54">
        <f>IF(_imp!$C$1467="","",INDEX(_imp!$G$4:$G$4503,_imp!$C$1467))</f>
        <v/>
      </c>
      <c r="E1465" s="54">
        <f>IF(_imp!$C$1467="","",INDEX(_imp!$H$4:$H$4503,_imp!$C$1467))</f>
        <v/>
      </c>
      <c r="F1465" s="54">
        <f>IF(_imp!$C$1467="","",INDEX(_imp!$I$4:$I$4503,_imp!$C$1467))</f>
        <v/>
      </c>
      <c r="G1465" s="54">
        <f>IF(_imp!$C$1467="","",INDEX(_imp!$J$4:$J$4503,_imp!$C$1467))</f>
        <v/>
      </c>
      <c r="K1465" s="54">
        <f>IF(_imp!$C$1467="","",INDEX(_imp!$K$4:$K$4503,_imp!$C$1467))</f>
        <v/>
      </c>
    </row>
    <row r="1466">
      <c r="A1466" s="54">
        <f>IF(_imp!$C$1468="","",INDEX(_imp!$D$4:$D$4503,_imp!$C$1468))</f>
        <v/>
      </c>
      <c r="B1466" s="54">
        <f>IF(_imp!$C$1468="","",INDEX(_imp!$E$4:$E$4503,_imp!$C$1468))</f>
        <v/>
      </c>
      <c r="C1466" s="54">
        <f>IF(_imp!$C$1468="","",INDEX(_imp!$F$4:$F$4503,_imp!$C$1468))</f>
        <v/>
      </c>
      <c r="D1466" s="54">
        <f>IF(_imp!$C$1468="","",INDEX(_imp!$G$4:$G$4503,_imp!$C$1468))</f>
        <v/>
      </c>
      <c r="E1466" s="54">
        <f>IF(_imp!$C$1468="","",INDEX(_imp!$H$4:$H$4503,_imp!$C$1468))</f>
        <v/>
      </c>
      <c r="F1466" s="54">
        <f>IF(_imp!$C$1468="","",INDEX(_imp!$I$4:$I$4503,_imp!$C$1468))</f>
        <v/>
      </c>
      <c r="G1466" s="54">
        <f>IF(_imp!$C$1468="","",INDEX(_imp!$J$4:$J$4503,_imp!$C$1468))</f>
        <v/>
      </c>
      <c r="K1466" s="54">
        <f>IF(_imp!$C$1468="","",INDEX(_imp!$K$4:$K$4503,_imp!$C$1468))</f>
        <v/>
      </c>
    </row>
    <row r="1467">
      <c r="A1467" s="54">
        <f>IF(_imp!$C$1469="","",INDEX(_imp!$D$4:$D$4503,_imp!$C$1469))</f>
        <v/>
      </c>
      <c r="B1467" s="54">
        <f>IF(_imp!$C$1469="","",INDEX(_imp!$E$4:$E$4503,_imp!$C$1469))</f>
        <v/>
      </c>
      <c r="C1467" s="54">
        <f>IF(_imp!$C$1469="","",INDEX(_imp!$F$4:$F$4503,_imp!$C$1469))</f>
        <v/>
      </c>
      <c r="D1467" s="54">
        <f>IF(_imp!$C$1469="","",INDEX(_imp!$G$4:$G$4503,_imp!$C$1469))</f>
        <v/>
      </c>
      <c r="E1467" s="54">
        <f>IF(_imp!$C$1469="","",INDEX(_imp!$H$4:$H$4503,_imp!$C$1469))</f>
        <v/>
      </c>
      <c r="F1467" s="54">
        <f>IF(_imp!$C$1469="","",INDEX(_imp!$I$4:$I$4503,_imp!$C$1469))</f>
        <v/>
      </c>
      <c r="G1467" s="54">
        <f>IF(_imp!$C$1469="","",INDEX(_imp!$J$4:$J$4503,_imp!$C$1469))</f>
        <v/>
      </c>
      <c r="K1467" s="54">
        <f>IF(_imp!$C$1469="","",INDEX(_imp!$K$4:$K$4503,_imp!$C$1469))</f>
        <v/>
      </c>
    </row>
    <row r="1468">
      <c r="A1468" s="54">
        <f>IF(_imp!$C$1470="","",INDEX(_imp!$D$4:$D$4503,_imp!$C$1470))</f>
        <v/>
      </c>
      <c r="B1468" s="54">
        <f>IF(_imp!$C$1470="","",INDEX(_imp!$E$4:$E$4503,_imp!$C$1470))</f>
        <v/>
      </c>
      <c r="C1468" s="54">
        <f>IF(_imp!$C$1470="","",INDEX(_imp!$F$4:$F$4503,_imp!$C$1470))</f>
        <v/>
      </c>
      <c r="D1468" s="54">
        <f>IF(_imp!$C$1470="","",INDEX(_imp!$G$4:$G$4503,_imp!$C$1470))</f>
        <v/>
      </c>
      <c r="E1468" s="54">
        <f>IF(_imp!$C$1470="","",INDEX(_imp!$H$4:$H$4503,_imp!$C$1470))</f>
        <v/>
      </c>
      <c r="F1468" s="54">
        <f>IF(_imp!$C$1470="","",INDEX(_imp!$I$4:$I$4503,_imp!$C$1470))</f>
        <v/>
      </c>
      <c r="G1468" s="54">
        <f>IF(_imp!$C$1470="","",INDEX(_imp!$J$4:$J$4503,_imp!$C$1470))</f>
        <v/>
      </c>
      <c r="K1468" s="54">
        <f>IF(_imp!$C$1470="","",INDEX(_imp!$K$4:$K$4503,_imp!$C$1470))</f>
        <v/>
      </c>
    </row>
    <row r="1469">
      <c r="A1469" s="54">
        <f>IF(_imp!$C$1471="","",INDEX(_imp!$D$4:$D$4503,_imp!$C$1471))</f>
        <v/>
      </c>
      <c r="B1469" s="54">
        <f>IF(_imp!$C$1471="","",INDEX(_imp!$E$4:$E$4503,_imp!$C$1471))</f>
        <v/>
      </c>
      <c r="C1469" s="54">
        <f>IF(_imp!$C$1471="","",INDEX(_imp!$F$4:$F$4503,_imp!$C$1471))</f>
        <v/>
      </c>
      <c r="D1469" s="54">
        <f>IF(_imp!$C$1471="","",INDEX(_imp!$G$4:$G$4503,_imp!$C$1471))</f>
        <v/>
      </c>
      <c r="E1469" s="54">
        <f>IF(_imp!$C$1471="","",INDEX(_imp!$H$4:$H$4503,_imp!$C$1471))</f>
        <v/>
      </c>
      <c r="F1469" s="54">
        <f>IF(_imp!$C$1471="","",INDEX(_imp!$I$4:$I$4503,_imp!$C$1471))</f>
        <v/>
      </c>
      <c r="G1469" s="54">
        <f>IF(_imp!$C$1471="","",INDEX(_imp!$J$4:$J$4503,_imp!$C$1471))</f>
        <v/>
      </c>
      <c r="K1469" s="54">
        <f>IF(_imp!$C$1471="","",INDEX(_imp!$K$4:$K$4503,_imp!$C$1471))</f>
        <v/>
      </c>
    </row>
    <row r="1470">
      <c r="A1470" s="54">
        <f>IF(_imp!$C$1472="","",INDEX(_imp!$D$4:$D$4503,_imp!$C$1472))</f>
        <v/>
      </c>
      <c r="B1470" s="54">
        <f>IF(_imp!$C$1472="","",INDEX(_imp!$E$4:$E$4503,_imp!$C$1472))</f>
        <v/>
      </c>
      <c r="C1470" s="54">
        <f>IF(_imp!$C$1472="","",INDEX(_imp!$F$4:$F$4503,_imp!$C$1472))</f>
        <v/>
      </c>
      <c r="D1470" s="54">
        <f>IF(_imp!$C$1472="","",INDEX(_imp!$G$4:$G$4503,_imp!$C$1472))</f>
        <v/>
      </c>
      <c r="E1470" s="54">
        <f>IF(_imp!$C$1472="","",INDEX(_imp!$H$4:$H$4503,_imp!$C$1472))</f>
        <v/>
      </c>
      <c r="F1470" s="54">
        <f>IF(_imp!$C$1472="","",INDEX(_imp!$I$4:$I$4503,_imp!$C$1472))</f>
        <v/>
      </c>
      <c r="G1470" s="54">
        <f>IF(_imp!$C$1472="","",INDEX(_imp!$J$4:$J$4503,_imp!$C$1472))</f>
        <v/>
      </c>
      <c r="K1470" s="54">
        <f>IF(_imp!$C$1472="","",INDEX(_imp!$K$4:$K$4503,_imp!$C$1472))</f>
        <v/>
      </c>
    </row>
    <row r="1471">
      <c r="A1471" s="54">
        <f>IF(_imp!$C$1473="","",INDEX(_imp!$D$4:$D$4503,_imp!$C$1473))</f>
        <v/>
      </c>
      <c r="B1471" s="54">
        <f>IF(_imp!$C$1473="","",INDEX(_imp!$E$4:$E$4503,_imp!$C$1473))</f>
        <v/>
      </c>
      <c r="C1471" s="54">
        <f>IF(_imp!$C$1473="","",INDEX(_imp!$F$4:$F$4503,_imp!$C$1473))</f>
        <v/>
      </c>
      <c r="D1471" s="54">
        <f>IF(_imp!$C$1473="","",INDEX(_imp!$G$4:$G$4503,_imp!$C$1473))</f>
        <v/>
      </c>
      <c r="E1471" s="54">
        <f>IF(_imp!$C$1473="","",INDEX(_imp!$H$4:$H$4503,_imp!$C$1473))</f>
        <v/>
      </c>
      <c r="F1471" s="54">
        <f>IF(_imp!$C$1473="","",INDEX(_imp!$I$4:$I$4503,_imp!$C$1473))</f>
        <v/>
      </c>
      <c r="G1471" s="54">
        <f>IF(_imp!$C$1473="","",INDEX(_imp!$J$4:$J$4503,_imp!$C$1473))</f>
        <v/>
      </c>
      <c r="K1471" s="54">
        <f>IF(_imp!$C$1473="","",INDEX(_imp!$K$4:$K$4503,_imp!$C$1473))</f>
        <v/>
      </c>
    </row>
    <row r="1472">
      <c r="A1472" s="54">
        <f>IF(_imp!$C$1474="","",INDEX(_imp!$D$4:$D$4503,_imp!$C$1474))</f>
        <v/>
      </c>
      <c r="B1472" s="54">
        <f>IF(_imp!$C$1474="","",INDEX(_imp!$E$4:$E$4503,_imp!$C$1474))</f>
        <v/>
      </c>
      <c r="C1472" s="54">
        <f>IF(_imp!$C$1474="","",INDEX(_imp!$F$4:$F$4503,_imp!$C$1474))</f>
        <v/>
      </c>
      <c r="D1472" s="54">
        <f>IF(_imp!$C$1474="","",INDEX(_imp!$G$4:$G$4503,_imp!$C$1474))</f>
        <v/>
      </c>
      <c r="E1472" s="54">
        <f>IF(_imp!$C$1474="","",INDEX(_imp!$H$4:$H$4503,_imp!$C$1474))</f>
        <v/>
      </c>
      <c r="F1472" s="54">
        <f>IF(_imp!$C$1474="","",INDEX(_imp!$I$4:$I$4503,_imp!$C$1474))</f>
        <v/>
      </c>
      <c r="G1472" s="54">
        <f>IF(_imp!$C$1474="","",INDEX(_imp!$J$4:$J$4503,_imp!$C$1474))</f>
        <v/>
      </c>
      <c r="K1472" s="54">
        <f>IF(_imp!$C$1474="","",INDEX(_imp!$K$4:$K$4503,_imp!$C$1474))</f>
        <v/>
      </c>
    </row>
    <row r="1473">
      <c r="A1473" s="54">
        <f>IF(_imp!$C$1475="","",INDEX(_imp!$D$4:$D$4503,_imp!$C$1475))</f>
        <v/>
      </c>
      <c r="B1473" s="54">
        <f>IF(_imp!$C$1475="","",INDEX(_imp!$E$4:$E$4503,_imp!$C$1475))</f>
        <v/>
      </c>
      <c r="C1473" s="54">
        <f>IF(_imp!$C$1475="","",INDEX(_imp!$F$4:$F$4503,_imp!$C$1475))</f>
        <v/>
      </c>
      <c r="D1473" s="54">
        <f>IF(_imp!$C$1475="","",INDEX(_imp!$G$4:$G$4503,_imp!$C$1475))</f>
        <v/>
      </c>
      <c r="E1473" s="54">
        <f>IF(_imp!$C$1475="","",INDEX(_imp!$H$4:$H$4503,_imp!$C$1475))</f>
        <v/>
      </c>
      <c r="F1473" s="54">
        <f>IF(_imp!$C$1475="","",INDEX(_imp!$I$4:$I$4503,_imp!$C$1475))</f>
        <v/>
      </c>
      <c r="G1473" s="54">
        <f>IF(_imp!$C$1475="","",INDEX(_imp!$J$4:$J$4503,_imp!$C$1475))</f>
        <v/>
      </c>
      <c r="K1473" s="54">
        <f>IF(_imp!$C$1475="","",INDEX(_imp!$K$4:$K$4503,_imp!$C$1475))</f>
        <v/>
      </c>
    </row>
    <row r="1474">
      <c r="A1474" s="54">
        <f>IF(_imp!$C$1476="","",INDEX(_imp!$D$4:$D$4503,_imp!$C$1476))</f>
        <v/>
      </c>
      <c r="B1474" s="54">
        <f>IF(_imp!$C$1476="","",INDEX(_imp!$E$4:$E$4503,_imp!$C$1476))</f>
        <v/>
      </c>
      <c r="C1474" s="54">
        <f>IF(_imp!$C$1476="","",INDEX(_imp!$F$4:$F$4503,_imp!$C$1476))</f>
        <v/>
      </c>
      <c r="D1474" s="54">
        <f>IF(_imp!$C$1476="","",INDEX(_imp!$G$4:$G$4503,_imp!$C$1476))</f>
        <v/>
      </c>
      <c r="E1474" s="54">
        <f>IF(_imp!$C$1476="","",INDEX(_imp!$H$4:$H$4503,_imp!$C$1476))</f>
        <v/>
      </c>
      <c r="F1474" s="54">
        <f>IF(_imp!$C$1476="","",INDEX(_imp!$I$4:$I$4503,_imp!$C$1476))</f>
        <v/>
      </c>
      <c r="G1474" s="54">
        <f>IF(_imp!$C$1476="","",INDEX(_imp!$J$4:$J$4503,_imp!$C$1476))</f>
        <v/>
      </c>
      <c r="K1474" s="54">
        <f>IF(_imp!$C$1476="","",INDEX(_imp!$K$4:$K$4503,_imp!$C$1476))</f>
        <v/>
      </c>
    </row>
    <row r="1475">
      <c r="A1475" s="54">
        <f>IF(_imp!$C$1477="","",INDEX(_imp!$D$4:$D$4503,_imp!$C$1477))</f>
        <v/>
      </c>
      <c r="B1475" s="54">
        <f>IF(_imp!$C$1477="","",INDEX(_imp!$E$4:$E$4503,_imp!$C$1477))</f>
        <v/>
      </c>
      <c r="C1475" s="54">
        <f>IF(_imp!$C$1477="","",INDEX(_imp!$F$4:$F$4503,_imp!$C$1477))</f>
        <v/>
      </c>
      <c r="D1475" s="54">
        <f>IF(_imp!$C$1477="","",INDEX(_imp!$G$4:$G$4503,_imp!$C$1477))</f>
        <v/>
      </c>
      <c r="E1475" s="54">
        <f>IF(_imp!$C$1477="","",INDEX(_imp!$H$4:$H$4503,_imp!$C$1477))</f>
        <v/>
      </c>
      <c r="F1475" s="54">
        <f>IF(_imp!$C$1477="","",INDEX(_imp!$I$4:$I$4503,_imp!$C$1477))</f>
        <v/>
      </c>
      <c r="G1475" s="54">
        <f>IF(_imp!$C$1477="","",INDEX(_imp!$J$4:$J$4503,_imp!$C$1477))</f>
        <v/>
      </c>
      <c r="K1475" s="54">
        <f>IF(_imp!$C$1477="","",INDEX(_imp!$K$4:$K$4503,_imp!$C$1477))</f>
        <v/>
      </c>
    </row>
    <row r="1476">
      <c r="A1476" s="54">
        <f>IF(_imp!$C$1478="","",INDEX(_imp!$D$4:$D$4503,_imp!$C$1478))</f>
        <v/>
      </c>
      <c r="B1476" s="54">
        <f>IF(_imp!$C$1478="","",INDEX(_imp!$E$4:$E$4503,_imp!$C$1478))</f>
        <v/>
      </c>
      <c r="C1476" s="54">
        <f>IF(_imp!$C$1478="","",INDEX(_imp!$F$4:$F$4503,_imp!$C$1478))</f>
        <v/>
      </c>
      <c r="D1476" s="54">
        <f>IF(_imp!$C$1478="","",INDEX(_imp!$G$4:$G$4503,_imp!$C$1478))</f>
        <v/>
      </c>
      <c r="E1476" s="54">
        <f>IF(_imp!$C$1478="","",INDEX(_imp!$H$4:$H$4503,_imp!$C$1478))</f>
        <v/>
      </c>
      <c r="F1476" s="54">
        <f>IF(_imp!$C$1478="","",INDEX(_imp!$I$4:$I$4503,_imp!$C$1478))</f>
        <v/>
      </c>
      <c r="G1476" s="54">
        <f>IF(_imp!$C$1478="","",INDEX(_imp!$J$4:$J$4503,_imp!$C$1478))</f>
        <v/>
      </c>
      <c r="K1476" s="54">
        <f>IF(_imp!$C$1478="","",INDEX(_imp!$K$4:$K$4503,_imp!$C$1478))</f>
        <v/>
      </c>
    </row>
    <row r="1477">
      <c r="A1477" s="54">
        <f>IF(_imp!$C$1479="","",INDEX(_imp!$D$4:$D$4503,_imp!$C$1479))</f>
        <v/>
      </c>
      <c r="B1477" s="54">
        <f>IF(_imp!$C$1479="","",INDEX(_imp!$E$4:$E$4503,_imp!$C$1479))</f>
        <v/>
      </c>
      <c r="C1477" s="54">
        <f>IF(_imp!$C$1479="","",INDEX(_imp!$F$4:$F$4503,_imp!$C$1479))</f>
        <v/>
      </c>
      <c r="D1477" s="54">
        <f>IF(_imp!$C$1479="","",INDEX(_imp!$G$4:$G$4503,_imp!$C$1479))</f>
        <v/>
      </c>
      <c r="E1477" s="54">
        <f>IF(_imp!$C$1479="","",INDEX(_imp!$H$4:$H$4503,_imp!$C$1479))</f>
        <v/>
      </c>
      <c r="F1477" s="54">
        <f>IF(_imp!$C$1479="","",INDEX(_imp!$I$4:$I$4503,_imp!$C$1479))</f>
        <v/>
      </c>
      <c r="G1477" s="54">
        <f>IF(_imp!$C$1479="","",INDEX(_imp!$J$4:$J$4503,_imp!$C$1479))</f>
        <v/>
      </c>
      <c r="K1477" s="54">
        <f>IF(_imp!$C$1479="","",INDEX(_imp!$K$4:$K$4503,_imp!$C$1479))</f>
        <v/>
      </c>
    </row>
    <row r="1478">
      <c r="A1478" s="54">
        <f>IF(_imp!$C$1480="","",INDEX(_imp!$D$4:$D$4503,_imp!$C$1480))</f>
        <v/>
      </c>
      <c r="B1478" s="54">
        <f>IF(_imp!$C$1480="","",INDEX(_imp!$E$4:$E$4503,_imp!$C$1480))</f>
        <v/>
      </c>
      <c r="C1478" s="54">
        <f>IF(_imp!$C$1480="","",INDEX(_imp!$F$4:$F$4503,_imp!$C$1480))</f>
        <v/>
      </c>
      <c r="D1478" s="54">
        <f>IF(_imp!$C$1480="","",INDEX(_imp!$G$4:$G$4503,_imp!$C$1480))</f>
        <v/>
      </c>
      <c r="E1478" s="54">
        <f>IF(_imp!$C$1480="","",INDEX(_imp!$H$4:$H$4503,_imp!$C$1480))</f>
        <v/>
      </c>
      <c r="F1478" s="54">
        <f>IF(_imp!$C$1480="","",INDEX(_imp!$I$4:$I$4503,_imp!$C$1480))</f>
        <v/>
      </c>
      <c r="G1478" s="54">
        <f>IF(_imp!$C$1480="","",INDEX(_imp!$J$4:$J$4503,_imp!$C$1480))</f>
        <v/>
      </c>
      <c r="K1478" s="54">
        <f>IF(_imp!$C$1480="","",INDEX(_imp!$K$4:$K$4503,_imp!$C$1480))</f>
        <v/>
      </c>
    </row>
    <row r="1479">
      <c r="A1479" s="54">
        <f>IF(_imp!$C$1481="","",INDEX(_imp!$D$4:$D$4503,_imp!$C$1481))</f>
        <v/>
      </c>
      <c r="B1479" s="54">
        <f>IF(_imp!$C$1481="","",INDEX(_imp!$E$4:$E$4503,_imp!$C$1481))</f>
        <v/>
      </c>
      <c r="C1479" s="54">
        <f>IF(_imp!$C$1481="","",INDEX(_imp!$F$4:$F$4503,_imp!$C$1481))</f>
        <v/>
      </c>
      <c r="D1479" s="54">
        <f>IF(_imp!$C$1481="","",INDEX(_imp!$G$4:$G$4503,_imp!$C$1481))</f>
        <v/>
      </c>
      <c r="E1479" s="54">
        <f>IF(_imp!$C$1481="","",INDEX(_imp!$H$4:$H$4503,_imp!$C$1481))</f>
        <v/>
      </c>
      <c r="F1479" s="54">
        <f>IF(_imp!$C$1481="","",INDEX(_imp!$I$4:$I$4503,_imp!$C$1481))</f>
        <v/>
      </c>
      <c r="G1479" s="54">
        <f>IF(_imp!$C$1481="","",INDEX(_imp!$J$4:$J$4503,_imp!$C$1481))</f>
        <v/>
      </c>
      <c r="K1479" s="54">
        <f>IF(_imp!$C$1481="","",INDEX(_imp!$K$4:$K$4503,_imp!$C$1481))</f>
        <v/>
      </c>
    </row>
    <row r="1480">
      <c r="A1480" s="54">
        <f>IF(_imp!$C$1482="","",INDEX(_imp!$D$4:$D$4503,_imp!$C$1482))</f>
        <v/>
      </c>
      <c r="B1480" s="54">
        <f>IF(_imp!$C$1482="","",INDEX(_imp!$E$4:$E$4503,_imp!$C$1482))</f>
        <v/>
      </c>
      <c r="C1480" s="54">
        <f>IF(_imp!$C$1482="","",INDEX(_imp!$F$4:$F$4503,_imp!$C$1482))</f>
        <v/>
      </c>
      <c r="D1480" s="54">
        <f>IF(_imp!$C$1482="","",INDEX(_imp!$G$4:$G$4503,_imp!$C$1482))</f>
        <v/>
      </c>
      <c r="E1480" s="54">
        <f>IF(_imp!$C$1482="","",INDEX(_imp!$H$4:$H$4503,_imp!$C$1482))</f>
        <v/>
      </c>
      <c r="F1480" s="54">
        <f>IF(_imp!$C$1482="","",INDEX(_imp!$I$4:$I$4503,_imp!$C$1482))</f>
        <v/>
      </c>
      <c r="G1480" s="54">
        <f>IF(_imp!$C$1482="","",INDEX(_imp!$J$4:$J$4503,_imp!$C$1482))</f>
        <v/>
      </c>
      <c r="K1480" s="54">
        <f>IF(_imp!$C$1482="","",INDEX(_imp!$K$4:$K$4503,_imp!$C$1482))</f>
        <v/>
      </c>
    </row>
    <row r="1481">
      <c r="A1481" s="54">
        <f>IF(_imp!$C$1483="","",INDEX(_imp!$D$4:$D$4503,_imp!$C$1483))</f>
        <v/>
      </c>
      <c r="B1481" s="54">
        <f>IF(_imp!$C$1483="","",INDEX(_imp!$E$4:$E$4503,_imp!$C$1483))</f>
        <v/>
      </c>
      <c r="C1481" s="54">
        <f>IF(_imp!$C$1483="","",INDEX(_imp!$F$4:$F$4503,_imp!$C$1483))</f>
        <v/>
      </c>
      <c r="D1481" s="54">
        <f>IF(_imp!$C$1483="","",INDEX(_imp!$G$4:$G$4503,_imp!$C$1483))</f>
        <v/>
      </c>
      <c r="E1481" s="54">
        <f>IF(_imp!$C$1483="","",INDEX(_imp!$H$4:$H$4503,_imp!$C$1483))</f>
        <v/>
      </c>
      <c r="F1481" s="54">
        <f>IF(_imp!$C$1483="","",INDEX(_imp!$I$4:$I$4503,_imp!$C$1483))</f>
        <v/>
      </c>
      <c r="G1481" s="54">
        <f>IF(_imp!$C$1483="","",INDEX(_imp!$J$4:$J$4503,_imp!$C$1483))</f>
        <v/>
      </c>
      <c r="K1481" s="54">
        <f>IF(_imp!$C$1483="","",INDEX(_imp!$K$4:$K$4503,_imp!$C$1483))</f>
        <v/>
      </c>
    </row>
    <row r="1482">
      <c r="A1482" s="54">
        <f>IF(_imp!$C$1484="","",INDEX(_imp!$D$4:$D$4503,_imp!$C$1484))</f>
        <v/>
      </c>
      <c r="B1482" s="54">
        <f>IF(_imp!$C$1484="","",INDEX(_imp!$E$4:$E$4503,_imp!$C$1484))</f>
        <v/>
      </c>
      <c r="C1482" s="54">
        <f>IF(_imp!$C$1484="","",INDEX(_imp!$F$4:$F$4503,_imp!$C$1484))</f>
        <v/>
      </c>
      <c r="D1482" s="54">
        <f>IF(_imp!$C$1484="","",INDEX(_imp!$G$4:$G$4503,_imp!$C$1484))</f>
        <v/>
      </c>
      <c r="E1482" s="54">
        <f>IF(_imp!$C$1484="","",INDEX(_imp!$H$4:$H$4503,_imp!$C$1484))</f>
        <v/>
      </c>
      <c r="F1482" s="54">
        <f>IF(_imp!$C$1484="","",INDEX(_imp!$I$4:$I$4503,_imp!$C$1484))</f>
        <v/>
      </c>
      <c r="G1482" s="54">
        <f>IF(_imp!$C$1484="","",INDEX(_imp!$J$4:$J$4503,_imp!$C$1484))</f>
        <v/>
      </c>
      <c r="K1482" s="54">
        <f>IF(_imp!$C$1484="","",INDEX(_imp!$K$4:$K$4503,_imp!$C$1484))</f>
        <v/>
      </c>
    </row>
    <row r="1483">
      <c r="A1483" s="54">
        <f>IF(_imp!$C$1485="","",INDEX(_imp!$D$4:$D$4503,_imp!$C$1485))</f>
        <v/>
      </c>
      <c r="B1483" s="54">
        <f>IF(_imp!$C$1485="","",INDEX(_imp!$E$4:$E$4503,_imp!$C$1485))</f>
        <v/>
      </c>
      <c r="C1483" s="54">
        <f>IF(_imp!$C$1485="","",INDEX(_imp!$F$4:$F$4503,_imp!$C$1485))</f>
        <v/>
      </c>
      <c r="D1483" s="54">
        <f>IF(_imp!$C$1485="","",INDEX(_imp!$G$4:$G$4503,_imp!$C$1485))</f>
        <v/>
      </c>
      <c r="E1483" s="54">
        <f>IF(_imp!$C$1485="","",INDEX(_imp!$H$4:$H$4503,_imp!$C$1485))</f>
        <v/>
      </c>
      <c r="F1483" s="54">
        <f>IF(_imp!$C$1485="","",INDEX(_imp!$I$4:$I$4503,_imp!$C$1485))</f>
        <v/>
      </c>
      <c r="G1483" s="54">
        <f>IF(_imp!$C$1485="","",INDEX(_imp!$J$4:$J$4503,_imp!$C$1485))</f>
        <v/>
      </c>
      <c r="K1483" s="54">
        <f>IF(_imp!$C$1485="","",INDEX(_imp!$K$4:$K$4503,_imp!$C$1485))</f>
        <v/>
      </c>
    </row>
    <row r="1484">
      <c r="A1484" s="54">
        <f>IF(_imp!$C$1486="","",INDEX(_imp!$D$4:$D$4503,_imp!$C$1486))</f>
        <v/>
      </c>
      <c r="B1484" s="54">
        <f>IF(_imp!$C$1486="","",INDEX(_imp!$E$4:$E$4503,_imp!$C$1486))</f>
        <v/>
      </c>
      <c r="C1484" s="54">
        <f>IF(_imp!$C$1486="","",INDEX(_imp!$F$4:$F$4503,_imp!$C$1486))</f>
        <v/>
      </c>
      <c r="D1484" s="54">
        <f>IF(_imp!$C$1486="","",INDEX(_imp!$G$4:$G$4503,_imp!$C$1486))</f>
        <v/>
      </c>
      <c r="E1484" s="54">
        <f>IF(_imp!$C$1486="","",INDEX(_imp!$H$4:$H$4503,_imp!$C$1486))</f>
        <v/>
      </c>
      <c r="F1484" s="54">
        <f>IF(_imp!$C$1486="","",INDEX(_imp!$I$4:$I$4503,_imp!$C$1486))</f>
        <v/>
      </c>
      <c r="G1484" s="54">
        <f>IF(_imp!$C$1486="","",INDEX(_imp!$J$4:$J$4503,_imp!$C$1486))</f>
        <v/>
      </c>
      <c r="K1484" s="54">
        <f>IF(_imp!$C$1486="","",INDEX(_imp!$K$4:$K$4503,_imp!$C$1486))</f>
        <v/>
      </c>
    </row>
    <row r="1485">
      <c r="A1485" s="54">
        <f>IF(_imp!$C$1487="","",INDEX(_imp!$D$4:$D$4503,_imp!$C$1487))</f>
        <v/>
      </c>
      <c r="B1485" s="54">
        <f>IF(_imp!$C$1487="","",INDEX(_imp!$E$4:$E$4503,_imp!$C$1487))</f>
        <v/>
      </c>
      <c r="C1485" s="54">
        <f>IF(_imp!$C$1487="","",INDEX(_imp!$F$4:$F$4503,_imp!$C$1487))</f>
        <v/>
      </c>
      <c r="D1485" s="54">
        <f>IF(_imp!$C$1487="","",INDEX(_imp!$G$4:$G$4503,_imp!$C$1487))</f>
        <v/>
      </c>
      <c r="E1485" s="54">
        <f>IF(_imp!$C$1487="","",INDEX(_imp!$H$4:$H$4503,_imp!$C$1487))</f>
        <v/>
      </c>
      <c r="F1485" s="54">
        <f>IF(_imp!$C$1487="","",INDEX(_imp!$I$4:$I$4503,_imp!$C$1487))</f>
        <v/>
      </c>
      <c r="G1485" s="54">
        <f>IF(_imp!$C$1487="","",INDEX(_imp!$J$4:$J$4503,_imp!$C$1487))</f>
        <v/>
      </c>
      <c r="K1485" s="54">
        <f>IF(_imp!$C$1487="","",INDEX(_imp!$K$4:$K$4503,_imp!$C$1487))</f>
        <v/>
      </c>
    </row>
    <row r="1486">
      <c r="A1486" s="54">
        <f>IF(_imp!$C$1488="","",INDEX(_imp!$D$4:$D$4503,_imp!$C$1488))</f>
        <v/>
      </c>
      <c r="B1486" s="54">
        <f>IF(_imp!$C$1488="","",INDEX(_imp!$E$4:$E$4503,_imp!$C$1488))</f>
        <v/>
      </c>
      <c r="C1486" s="54">
        <f>IF(_imp!$C$1488="","",INDEX(_imp!$F$4:$F$4503,_imp!$C$1488))</f>
        <v/>
      </c>
      <c r="D1486" s="54">
        <f>IF(_imp!$C$1488="","",INDEX(_imp!$G$4:$G$4503,_imp!$C$1488))</f>
        <v/>
      </c>
      <c r="E1486" s="54">
        <f>IF(_imp!$C$1488="","",INDEX(_imp!$H$4:$H$4503,_imp!$C$1488))</f>
        <v/>
      </c>
      <c r="F1486" s="54">
        <f>IF(_imp!$C$1488="","",INDEX(_imp!$I$4:$I$4503,_imp!$C$1488))</f>
        <v/>
      </c>
      <c r="G1486" s="54">
        <f>IF(_imp!$C$1488="","",INDEX(_imp!$J$4:$J$4503,_imp!$C$1488))</f>
        <v/>
      </c>
      <c r="K1486" s="54">
        <f>IF(_imp!$C$1488="","",INDEX(_imp!$K$4:$K$4503,_imp!$C$1488))</f>
        <v/>
      </c>
    </row>
    <row r="1487">
      <c r="A1487" s="54">
        <f>IF(_imp!$C$1489="","",INDEX(_imp!$D$4:$D$4503,_imp!$C$1489))</f>
        <v/>
      </c>
      <c r="B1487" s="54">
        <f>IF(_imp!$C$1489="","",INDEX(_imp!$E$4:$E$4503,_imp!$C$1489))</f>
        <v/>
      </c>
      <c r="C1487" s="54">
        <f>IF(_imp!$C$1489="","",INDEX(_imp!$F$4:$F$4503,_imp!$C$1489))</f>
        <v/>
      </c>
      <c r="D1487" s="54">
        <f>IF(_imp!$C$1489="","",INDEX(_imp!$G$4:$G$4503,_imp!$C$1489))</f>
        <v/>
      </c>
      <c r="E1487" s="54">
        <f>IF(_imp!$C$1489="","",INDEX(_imp!$H$4:$H$4503,_imp!$C$1489))</f>
        <v/>
      </c>
      <c r="F1487" s="54">
        <f>IF(_imp!$C$1489="","",INDEX(_imp!$I$4:$I$4503,_imp!$C$1489))</f>
        <v/>
      </c>
      <c r="G1487" s="54">
        <f>IF(_imp!$C$1489="","",INDEX(_imp!$J$4:$J$4503,_imp!$C$1489))</f>
        <v/>
      </c>
      <c r="K1487" s="54">
        <f>IF(_imp!$C$1489="","",INDEX(_imp!$K$4:$K$4503,_imp!$C$1489))</f>
        <v/>
      </c>
    </row>
    <row r="1488">
      <c r="A1488" s="54">
        <f>IF(_imp!$C$1490="","",INDEX(_imp!$D$4:$D$4503,_imp!$C$1490))</f>
        <v/>
      </c>
      <c r="B1488" s="54">
        <f>IF(_imp!$C$1490="","",INDEX(_imp!$E$4:$E$4503,_imp!$C$1490))</f>
        <v/>
      </c>
      <c r="C1488" s="54">
        <f>IF(_imp!$C$1490="","",INDEX(_imp!$F$4:$F$4503,_imp!$C$1490))</f>
        <v/>
      </c>
      <c r="D1488" s="54">
        <f>IF(_imp!$C$1490="","",INDEX(_imp!$G$4:$G$4503,_imp!$C$1490))</f>
        <v/>
      </c>
      <c r="E1488" s="54">
        <f>IF(_imp!$C$1490="","",INDEX(_imp!$H$4:$H$4503,_imp!$C$1490))</f>
        <v/>
      </c>
      <c r="F1488" s="54">
        <f>IF(_imp!$C$1490="","",INDEX(_imp!$I$4:$I$4503,_imp!$C$1490))</f>
        <v/>
      </c>
      <c r="G1488" s="54">
        <f>IF(_imp!$C$1490="","",INDEX(_imp!$J$4:$J$4503,_imp!$C$1490))</f>
        <v/>
      </c>
      <c r="K1488" s="54">
        <f>IF(_imp!$C$1490="","",INDEX(_imp!$K$4:$K$4503,_imp!$C$1490))</f>
        <v/>
      </c>
    </row>
    <row r="1489">
      <c r="A1489" s="54">
        <f>IF(_imp!$C$1491="","",INDEX(_imp!$D$4:$D$4503,_imp!$C$1491))</f>
        <v/>
      </c>
      <c r="B1489" s="54">
        <f>IF(_imp!$C$1491="","",INDEX(_imp!$E$4:$E$4503,_imp!$C$1491))</f>
        <v/>
      </c>
      <c r="C1489" s="54">
        <f>IF(_imp!$C$1491="","",INDEX(_imp!$F$4:$F$4503,_imp!$C$1491))</f>
        <v/>
      </c>
      <c r="D1489" s="54">
        <f>IF(_imp!$C$1491="","",INDEX(_imp!$G$4:$G$4503,_imp!$C$1491))</f>
        <v/>
      </c>
      <c r="E1489" s="54">
        <f>IF(_imp!$C$1491="","",INDEX(_imp!$H$4:$H$4503,_imp!$C$1491))</f>
        <v/>
      </c>
      <c r="F1489" s="54">
        <f>IF(_imp!$C$1491="","",INDEX(_imp!$I$4:$I$4503,_imp!$C$1491))</f>
        <v/>
      </c>
      <c r="G1489" s="54">
        <f>IF(_imp!$C$1491="","",INDEX(_imp!$J$4:$J$4503,_imp!$C$1491))</f>
        <v/>
      </c>
      <c r="K1489" s="54">
        <f>IF(_imp!$C$1491="","",INDEX(_imp!$K$4:$K$4503,_imp!$C$1491))</f>
        <v/>
      </c>
    </row>
    <row r="1490">
      <c r="A1490" s="54">
        <f>IF(_imp!$C$1492="","",INDEX(_imp!$D$4:$D$4503,_imp!$C$1492))</f>
        <v/>
      </c>
      <c r="B1490" s="54">
        <f>IF(_imp!$C$1492="","",INDEX(_imp!$E$4:$E$4503,_imp!$C$1492))</f>
        <v/>
      </c>
      <c r="C1490" s="54">
        <f>IF(_imp!$C$1492="","",INDEX(_imp!$F$4:$F$4503,_imp!$C$1492))</f>
        <v/>
      </c>
      <c r="D1490" s="54">
        <f>IF(_imp!$C$1492="","",INDEX(_imp!$G$4:$G$4503,_imp!$C$1492))</f>
        <v/>
      </c>
      <c r="E1490" s="54">
        <f>IF(_imp!$C$1492="","",INDEX(_imp!$H$4:$H$4503,_imp!$C$1492))</f>
        <v/>
      </c>
      <c r="F1490" s="54">
        <f>IF(_imp!$C$1492="","",INDEX(_imp!$I$4:$I$4503,_imp!$C$1492))</f>
        <v/>
      </c>
      <c r="G1490" s="54">
        <f>IF(_imp!$C$1492="","",INDEX(_imp!$J$4:$J$4503,_imp!$C$1492))</f>
        <v/>
      </c>
      <c r="K1490" s="54">
        <f>IF(_imp!$C$1492="","",INDEX(_imp!$K$4:$K$4503,_imp!$C$1492))</f>
        <v/>
      </c>
    </row>
    <row r="1491">
      <c r="A1491" s="54">
        <f>IF(_imp!$C$1493="","",INDEX(_imp!$D$4:$D$4503,_imp!$C$1493))</f>
        <v/>
      </c>
      <c r="B1491" s="54">
        <f>IF(_imp!$C$1493="","",INDEX(_imp!$E$4:$E$4503,_imp!$C$1493))</f>
        <v/>
      </c>
      <c r="C1491" s="54">
        <f>IF(_imp!$C$1493="","",INDEX(_imp!$F$4:$F$4503,_imp!$C$1493))</f>
        <v/>
      </c>
      <c r="D1491" s="54">
        <f>IF(_imp!$C$1493="","",INDEX(_imp!$G$4:$G$4503,_imp!$C$1493))</f>
        <v/>
      </c>
      <c r="E1491" s="54">
        <f>IF(_imp!$C$1493="","",INDEX(_imp!$H$4:$H$4503,_imp!$C$1493))</f>
        <v/>
      </c>
      <c r="F1491" s="54">
        <f>IF(_imp!$C$1493="","",INDEX(_imp!$I$4:$I$4503,_imp!$C$1493))</f>
        <v/>
      </c>
      <c r="G1491" s="54">
        <f>IF(_imp!$C$1493="","",INDEX(_imp!$J$4:$J$4503,_imp!$C$1493))</f>
        <v/>
      </c>
      <c r="K1491" s="54">
        <f>IF(_imp!$C$1493="","",INDEX(_imp!$K$4:$K$4503,_imp!$C$1493))</f>
        <v/>
      </c>
    </row>
    <row r="1492">
      <c r="A1492" s="54">
        <f>IF(_imp!$C$1494="","",INDEX(_imp!$D$4:$D$4503,_imp!$C$1494))</f>
        <v/>
      </c>
      <c r="B1492" s="54">
        <f>IF(_imp!$C$1494="","",INDEX(_imp!$E$4:$E$4503,_imp!$C$1494))</f>
        <v/>
      </c>
      <c r="C1492" s="54">
        <f>IF(_imp!$C$1494="","",INDEX(_imp!$F$4:$F$4503,_imp!$C$1494))</f>
        <v/>
      </c>
      <c r="D1492" s="54">
        <f>IF(_imp!$C$1494="","",INDEX(_imp!$G$4:$G$4503,_imp!$C$1494))</f>
        <v/>
      </c>
      <c r="E1492" s="54">
        <f>IF(_imp!$C$1494="","",INDEX(_imp!$H$4:$H$4503,_imp!$C$1494))</f>
        <v/>
      </c>
      <c r="F1492" s="54">
        <f>IF(_imp!$C$1494="","",INDEX(_imp!$I$4:$I$4503,_imp!$C$1494))</f>
        <v/>
      </c>
      <c r="G1492" s="54">
        <f>IF(_imp!$C$1494="","",INDEX(_imp!$J$4:$J$4503,_imp!$C$1494))</f>
        <v/>
      </c>
      <c r="K1492" s="54">
        <f>IF(_imp!$C$1494="","",INDEX(_imp!$K$4:$K$4503,_imp!$C$1494))</f>
        <v/>
      </c>
    </row>
    <row r="1493">
      <c r="A1493" s="54">
        <f>IF(_imp!$C$1495="","",INDEX(_imp!$D$4:$D$4503,_imp!$C$1495))</f>
        <v/>
      </c>
      <c r="B1493" s="54">
        <f>IF(_imp!$C$1495="","",INDEX(_imp!$E$4:$E$4503,_imp!$C$1495))</f>
        <v/>
      </c>
      <c r="C1493" s="54">
        <f>IF(_imp!$C$1495="","",INDEX(_imp!$F$4:$F$4503,_imp!$C$1495))</f>
        <v/>
      </c>
      <c r="D1493" s="54">
        <f>IF(_imp!$C$1495="","",INDEX(_imp!$G$4:$G$4503,_imp!$C$1495))</f>
        <v/>
      </c>
      <c r="E1493" s="54">
        <f>IF(_imp!$C$1495="","",INDEX(_imp!$H$4:$H$4503,_imp!$C$1495))</f>
        <v/>
      </c>
      <c r="F1493" s="54">
        <f>IF(_imp!$C$1495="","",INDEX(_imp!$I$4:$I$4503,_imp!$C$1495))</f>
        <v/>
      </c>
      <c r="G1493" s="54">
        <f>IF(_imp!$C$1495="","",INDEX(_imp!$J$4:$J$4503,_imp!$C$1495))</f>
        <v/>
      </c>
      <c r="K1493" s="54">
        <f>IF(_imp!$C$1495="","",INDEX(_imp!$K$4:$K$4503,_imp!$C$1495))</f>
        <v/>
      </c>
    </row>
    <row r="1494">
      <c r="A1494" s="54">
        <f>IF(_imp!$C$1496="","",INDEX(_imp!$D$4:$D$4503,_imp!$C$1496))</f>
        <v/>
      </c>
      <c r="B1494" s="54">
        <f>IF(_imp!$C$1496="","",INDEX(_imp!$E$4:$E$4503,_imp!$C$1496))</f>
        <v/>
      </c>
      <c r="C1494" s="54">
        <f>IF(_imp!$C$1496="","",INDEX(_imp!$F$4:$F$4503,_imp!$C$1496))</f>
        <v/>
      </c>
      <c r="D1494" s="54">
        <f>IF(_imp!$C$1496="","",INDEX(_imp!$G$4:$G$4503,_imp!$C$1496))</f>
        <v/>
      </c>
      <c r="E1494" s="54">
        <f>IF(_imp!$C$1496="","",INDEX(_imp!$H$4:$H$4503,_imp!$C$1496))</f>
        <v/>
      </c>
      <c r="F1494" s="54">
        <f>IF(_imp!$C$1496="","",INDEX(_imp!$I$4:$I$4503,_imp!$C$1496))</f>
        <v/>
      </c>
      <c r="G1494" s="54">
        <f>IF(_imp!$C$1496="","",INDEX(_imp!$J$4:$J$4503,_imp!$C$1496))</f>
        <v/>
      </c>
      <c r="K1494" s="54">
        <f>IF(_imp!$C$1496="","",INDEX(_imp!$K$4:$K$4503,_imp!$C$1496))</f>
        <v/>
      </c>
    </row>
    <row r="1495">
      <c r="A1495" s="54">
        <f>IF(_imp!$C$1497="","",INDEX(_imp!$D$4:$D$4503,_imp!$C$1497))</f>
        <v/>
      </c>
      <c r="B1495" s="54">
        <f>IF(_imp!$C$1497="","",INDEX(_imp!$E$4:$E$4503,_imp!$C$1497))</f>
        <v/>
      </c>
      <c r="C1495" s="54">
        <f>IF(_imp!$C$1497="","",INDEX(_imp!$F$4:$F$4503,_imp!$C$1497))</f>
        <v/>
      </c>
      <c r="D1495" s="54">
        <f>IF(_imp!$C$1497="","",INDEX(_imp!$G$4:$G$4503,_imp!$C$1497))</f>
        <v/>
      </c>
      <c r="E1495" s="54">
        <f>IF(_imp!$C$1497="","",INDEX(_imp!$H$4:$H$4503,_imp!$C$1497))</f>
        <v/>
      </c>
      <c r="F1495" s="54">
        <f>IF(_imp!$C$1497="","",INDEX(_imp!$I$4:$I$4503,_imp!$C$1497))</f>
        <v/>
      </c>
      <c r="G1495" s="54">
        <f>IF(_imp!$C$1497="","",INDEX(_imp!$J$4:$J$4503,_imp!$C$1497))</f>
        <v/>
      </c>
      <c r="K1495" s="54">
        <f>IF(_imp!$C$1497="","",INDEX(_imp!$K$4:$K$4503,_imp!$C$1497))</f>
        <v/>
      </c>
    </row>
    <row r="1496">
      <c r="A1496" s="54">
        <f>IF(_imp!$C$1498="","",INDEX(_imp!$D$4:$D$4503,_imp!$C$1498))</f>
        <v/>
      </c>
      <c r="B1496" s="54">
        <f>IF(_imp!$C$1498="","",INDEX(_imp!$E$4:$E$4503,_imp!$C$1498))</f>
        <v/>
      </c>
      <c r="C1496" s="54">
        <f>IF(_imp!$C$1498="","",INDEX(_imp!$F$4:$F$4503,_imp!$C$1498))</f>
        <v/>
      </c>
      <c r="D1496" s="54">
        <f>IF(_imp!$C$1498="","",INDEX(_imp!$G$4:$G$4503,_imp!$C$1498))</f>
        <v/>
      </c>
      <c r="E1496" s="54">
        <f>IF(_imp!$C$1498="","",INDEX(_imp!$H$4:$H$4503,_imp!$C$1498))</f>
        <v/>
      </c>
      <c r="F1496" s="54">
        <f>IF(_imp!$C$1498="","",INDEX(_imp!$I$4:$I$4503,_imp!$C$1498))</f>
        <v/>
      </c>
      <c r="G1496" s="54">
        <f>IF(_imp!$C$1498="","",INDEX(_imp!$J$4:$J$4503,_imp!$C$1498))</f>
        <v/>
      </c>
      <c r="K1496" s="54">
        <f>IF(_imp!$C$1498="","",INDEX(_imp!$K$4:$K$4503,_imp!$C$1498))</f>
        <v/>
      </c>
    </row>
    <row r="1497">
      <c r="A1497" s="54">
        <f>IF(_imp!$C$1499="","",INDEX(_imp!$D$4:$D$4503,_imp!$C$1499))</f>
        <v/>
      </c>
      <c r="B1497" s="54">
        <f>IF(_imp!$C$1499="","",INDEX(_imp!$E$4:$E$4503,_imp!$C$1499))</f>
        <v/>
      </c>
      <c r="C1497" s="54">
        <f>IF(_imp!$C$1499="","",INDEX(_imp!$F$4:$F$4503,_imp!$C$1499))</f>
        <v/>
      </c>
      <c r="D1497" s="54">
        <f>IF(_imp!$C$1499="","",INDEX(_imp!$G$4:$G$4503,_imp!$C$1499))</f>
        <v/>
      </c>
      <c r="E1497" s="54">
        <f>IF(_imp!$C$1499="","",INDEX(_imp!$H$4:$H$4503,_imp!$C$1499))</f>
        <v/>
      </c>
      <c r="F1497" s="54">
        <f>IF(_imp!$C$1499="","",INDEX(_imp!$I$4:$I$4503,_imp!$C$1499))</f>
        <v/>
      </c>
      <c r="G1497" s="54">
        <f>IF(_imp!$C$1499="","",INDEX(_imp!$J$4:$J$4503,_imp!$C$1499))</f>
        <v/>
      </c>
      <c r="K1497" s="54">
        <f>IF(_imp!$C$1499="","",INDEX(_imp!$K$4:$K$4503,_imp!$C$1499))</f>
        <v/>
      </c>
    </row>
    <row r="1498">
      <c r="A1498" s="54">
        <f>IF(_imp!$C$1500="","",INDEX(_imp!$D$4:$D$4503,_imp!$C$1500))</f>
        <v/>
      </c>
      <c r="B1498" s="54">
        <f>IF(_imp!$C$1500="","",INDEX(_imp!$E$4:$E$4503,_imp!$C$1500))</f>
        <v/>
      </c>
      <c r="C1498" s="54">
        <f>IF(_imp!$C$1500="","",INDEX(_imp!$F$4:$F$4503,_imp!$C$1500))</f>
        <v/>
      </c>
      <c r="D1498" s="54">
        <f>IF(_imp!$C$1500="","",INDEX(_imp!$G$4:$G$4503,_imp!$C$1500))</f>
        <v/>
      </c>
      <c r="E1498" s="54">
        <f>IF(_imp!$C$1500="","",INDEX(_imp!$H$4:$H$4503,_imp!$C$1500))</f>
        <v/>
      </c>
      <c r="F1498" s="54">
        <f>IF(_imp!$C$1500="","",INDEX(_imp!$I$4:$I$4503,_imp!$C$1500))</f>
        <v/>
      </c>
      <c r="G1498" s="54">
        <f>IF(_imp!$C$1500="","",INDEX(_imp!$J$4:$J$4503,_imp!$C$1500))</f>
        <v/>
      </c>
      <c r="K1498" s="54">
        <f>IF(_imp!$C$1500="","",INDEX(_imp!$K$4:$K$4503,_imp!$C$1500))</f>
        <v/>
      </c>
    </row>
    <row r="1499">
      <c r="A1499" s="54">
        <f>IF(_imp!$C$1501="","",INDEX(_imp!$D$4:$D$4503,_imp!$C$1501))</f>
        <v/>
      </c>
      <c r="B1499" s="54">
        <f>IF(_imp!$C$1501="","",INDEX(_imp!$E$4:$E$4503,_imp!$C$1501))</f>
        <v/>
      </c>
      <c r="C1499" s="54">
        <f>IF(_imp!$C$1501="","",INDEX(_imp!$F$4:$F$4503,_imp!$C$1501))</f>
        <v/>
      </c>
      <c r="D1499" s="54">
        <f>IF(_imp!$C$1501="","",INDEX(_imp!$G$4:$G$4503,_imp!$C$1501))</f>
        <v/>
      </c>
      <c r="E1499" s="54">
        <f>IF(_imp!$C$1501="","",INDEX(_imp!$H$4:$H$4503,_imp!$C$1501))</f>
        <v/>
      </c>
      <c r="F1499" s="54">
        <f>IF(_imp!$C$1501="","",INDEX(_imp!$I$4:$I$4503,_imp!$C$1501))</f>
        <v/>
      </c>
      <c r="G1499" s="54">
        <f>IF(_imp!$C$1501="","",INDEX(_imp!$J$4:$J$4503,_imp!$C$1501))</f>
        <v/>
      </c>
      <c r="K1499" s="54">
        <f>IF(_imp!$C$1501="","",INDEX(_imp!$K$4:$K$4503,_imp!$C$1501))</f>
        <v/>
      </c>
    </row>
    <row r="1500">
      <c r="A1500" s="54">
        <f>IF(_imp!$C$1502="","",INDEX(_imp!$D$4:$D$4503,_imp!$C$1502))</f>
        <v/>
      </c>
      <c r="B1500" s="54">
        <f>IF(_imp!$C$1502="","",INDEX(_imp!$E$4:$E$4503,_imp!$C$1502))</f>
        <v/>
      </c>
      <c r="C1500" s="54">
        <f>IF(_imp!$C$1502="","",INDEX(_imp!$F$4:$F$4503,_imp!$C$1502))</f>
        <v/>
      </c>
      <c r="D1500" s="54">
        <f>IF(_imp!$C$1502="","",INDEX(_imp!$G$4:$G$4503,_imp!$C$1502))</f>
        <v/>
      </c>
      <c r="E1500" s="54">
        <f>IF(_imp!$C$1502="","",INDEX(_imp!$H$4:$H$4503,_imp!$C$1502))</f>
        <v/>
      </c>
      <c r="F1500" s="54">
        <f>IF(_imp!$C$1502="","",INDEX(_imp!$I$4:$I$4503,_imp!$C$1502))</f>
        <v/>
      </c>
      <c r="G1500" s="54">
        <f>IF(_imp!$C$1502="","",INDEX(_imp!$J$4:$J$4503,_imp!$C$1502))</f>
        <v/>
      </c>
      <c r="K1500" s="54">
        <f>IF(_imp!$C$1502="","",INDEX(_imp!$K$4:$K$4503,_imp!$C$1502))</f>
        <v/>
      </c>
    </row>
    <row r="1501">
      <c r="A1501" s="54">
        <f>IF(_imp!$C$1503="","",INDEX(_imp!$D$4:$D$4503,_imp!$C$1503))</f>
        <v/>
      </c>
      <c r="B1501" s="54">
        <f>IF(_imp!$C$1503="","",INDEX(_imp!$E$4:$E$4503,_imp!$C$1503))</f>
        <v/>
      </c>
      <c r="C1501" s="54">
        <f>IF(_imp!$C$1503="","",INDEX(_imp!$F$4:$F$4503,_imp!$C$1503))</f>
        <v/>
      </c>
      <c r="D1501" s="54">
        <f>IF(_imp!$C$1503="","",INDEX(_imp!$G$4:$G$4503,_imp!$C$1503))</f>
        <v/>
      </c>
      <c r="E1501" s="54">
        <f>IF(_imp!$C$1503="","",INDEX(_imp!$H$4:$H$4503,_imp!$C$1503))</f>
        <v/>
      </c>
      <c r="F1501" s="54">
        <f>IF(_imp!$C$1503="","",INDEX(_imp!$I$4:$I$4503,_imp!$C$1503))</f>
        <v/>
      </c>
      <c r="G1501" s="54">
        <f>IF(_imp!$C$1503="","",INDEX(_imp!$J$4:$J$4503,_imp!$C$1503))</f>
        <v/>
      </c>
      <c r="K1501" s="54">
        <f>IF(_imp!$C$1503="","",INDEX(_imp!$K$4:$K$4503,_imp!$C$1503))</f>
        <v/>
      </c>
    </row>
    <row r="1502">
      <c r="A1502" s="54">
        <f>IF(_imp!$C$1504="","",INDEX(_imp!$D$4:$D$4503,_imp!$C$1504))</f>
        <v/>
      </c>
      <c r="B1502" s="54">
        <f>IF(_imp!$C$1504="","",INDEX(_imp!$E$4:$E$4503,_imp!$C$1504))</f>
        <v/>
      </c>
      <c r="C1502" s="54">
        <f>IF(_imp!$C$1504="","",INDEX(_imp!$F$4:$F$4503,_imp!$C$1504))</f>
        <v/>
      </c>
      <c r="D1502" s="54">
        <f>IF(_imp!$C$1504="","",INDEX(_imp!$G$4:$G$4503,_imp!$C$1504))</f>
        <v/>
      </c>
      <c r="E1502" s="54">
        <f>IF(_imp!$C$1504="","",INDEX(_imp!$H$4:$H$4503,_imp!$C$1504))</f>
        <v/>
      </c>
      <c r="F1502" s="54">
        <f>IF(_imp!$C$1504="","",INDEX(_imp!$I$4:$I$4503,_imp!$C$1504))</f>
        <v/>
      </c>
      <c r="G1502" s="54">
        <f>IF(_imp!$C$1504="","",INDEX(_imp!$J$4:$J$4503,_imp!$C$1504))</f>
        <v/>
      </c>
      <c r="K1502" s="54">
        <f>IF(_imp!$C$1504="","",INDEX(_imp!$K$4:$K$4503,_imp!$C$1504))</f>
        <v/>
      </c>
    </row>
    <row r="1503">
      <c r="A1503" s="54">
        <f>IF(_imp!$C$1505="","",INDEX(_imp!$D$4:$D$4503,_imp!$C$1505))</f>
        <v/>
      </c>
      <c r="B1503" s="54">
        <f>IF(_imp!$C$1505="","",INDEX(_imp!$E$4:$E$4503,_imp!$C$1505))</f>
        <v/>
      </c>
      <c r="C1503" s="54">
        <f>IF(_imp!$C$1505="","",INDEX(_imp!$F$4:$F$4503,_imp!$C$1505))</f>
        <v/>
      </c>
      <c r="D1503" s="54">
        <f>IF(_imp!$C$1505="","",INDEX(_imp!$G$4:$G$4503,_imp!$C$1505))</f>
        <v/>
      </c>
      <c r="E1503" s="54">
        <f>IF(_imp!$C$1505="","",INDEX(_imp!$H$4:$H$4503,_imp!$C$1505))</f>
        <v/>
      </c>
      <c r="F1503" s="54">
        <f>IF(_imp!$C$1505="","",INDEX(_imp!$I$4:$I$4503,_imp!$C$1505))</f>
        <v/>
      </c>
      <c r="G1503" s="54">
        <f>IF(_imp!$C$1505="","",INDEX(_imp!$J$4:$J$4503,_imp!$C$1505))</f>
        <v/>
      </c>
      <c r="K1503" s="54">
        <f>IF(_imp!$C$1505="","",INDEX(_imp!$K$4:$K$4503,_imp!$C$1505))</f>
        <v/>
      </c>
    </row>
    <row r="1504">
      <c r="A1504" s="54">
        <f>IF(_imp!$C$1506="","",INDEX(_imp!$D$4:$D$4503,_imp!$C$1506))</f>
        <v/>
      </c>
      <c r="B1504" s="54">
        <f>IF(_imp!$C$1506="","",INDEX(_imp!$E$4:$E$4503,_imp!$C$1506))</f>
        <v/>
      </c>
      <c r="C1504" s="54">
        <f>IF(_imp!$C$1506="","",INDEX(_imp!$F$4:$F$4503,_imp!$C$1506))</f>
        <v/>
      </c>
      <c r="D1504" s="54">
        <f>IF(_imp!$C$1506="","",INDEX(_imp!$G$4:$G$4503,_imp!$C$1506))</f>
        <v/>
      </c>
      <c r="E1504" s="54">
        <f>IF(_imp!$C$1506="","",INDEX(_imp!$H$4:$H$4503,_imp!$C$1506))</f>
        <v/>
      </c>
      <c r="F1504" s="54">
        <f>IF(_imp!$C$1506="","",INDEX(_imp!$I$4:$I$4503,_imp!$C$1506))</f>
        <v/>
      </c>
      <c r="G1504" s="54">
        <f>IF(_imp!$C$1506="","",INDEX(_imp!$J$4:$J$4503,_imp!$C$1506))</f>
        <v/>
      </c>
      <c r="K1504" s="54">
        <f>IF(_imp!$C$1506="","",INDEX(_imp!$K$4:$K$4503,_imp!$C$1506))</f>
        <v/>
      </c>
    </row>
    <row r="1505">
      <c r="A1505" s="54">
        <f>IF(_imp!$C$1507="","",INDEX(_imp!$D$4:$D$4503,_imp!$C$1507))</f>
        <v/>
      </c>
      <c r="B1505" s="54">
        <f>IF(_imp!$C$1507="","",INDEX(_imp!$E$4:$E$4503,_imp!$C$1507))</f>
        <v/>
      </c>
      <c r="C1505" s="54">
        <f>IF(_imp!$C$1507="","",INDEX(_imp!$F$4:$F$4503,_imp!$C$1507))</f>
        <v/>
      </c>
      <c r="D1505" s="54">
        <f>IF(_imp!$C$1507="","",INDEX(_imp!$G$4:$G$4503,_imp!$C$1507))</f>
        <v/>
      </c>
      <c r="E1505" s="54">
        <f>IF(_imp!$C$1507="","",INDEX(_imp!$H$4:$H$4503,_imp!$C$1507))</f>
        <v/>
      </c>
      <c r="F1505" s="54">
        <f>IF(_imp!$C$1507="","",INDEX(_imp!$I$4:$I$4503,_imp!$C$1507))</f>
        <v/>
      </c>
      <c r="G1505" s="54">
        <f>IF(_imp!$C$1507="","",INDEX(_imp!$J$4:$J$4503,_imp!$C$1507))</f>
        <v/>
      </c>
      <c r="K1505" s="54">
        <f>IF(_imp!$C$1507="","",INDEX(_imp!$K$4:$K$4503,_imp!$C$1507))</f>
        <v/>
      </c>
    </row>
    <row r="1506">
      <c r="A1506" s="54">
        <f>IF(_imp!$C$1508="","",INDEX(_imp!$D$4:$D$4503,_imp!$C$1508))</f>
        <v/>
      </c>
      <c r="B1506" s="54">
        <f>IF(_imp!$C$1508="","",INDEX(_imp!$E$4:$E$4503,_imp!$C$1508))</f>
        <v/>
      </c>
      <c r="C1506" s="54">
        <f>IF(_imp!$C$1508="","",INDEX(_imp!$F$4:$F$4503,_imp!$C$1508))</f>
        <v/>
      </c>
      <c r="D1506" s="54">
        <f>IF(_imp!$C$1508="","",INDEX(_imp!$G$4:$G$4503,_imp!$C$1508))</f>
        <v/>
      </c>
      <c r="E1506" s="54">
        <f>IF(_imp!$C$1508="","",INDEX(_imp!$H$4:$H$4503,_imp!$C$1508))</f>
        <v/>
      </c>
      <c r="F1506" s="54">
        <f>IF(_imp!$C$1508="","",INDEX(_imp!$I$4:$I$4503,_imp!$C$1508))</f>
        <v/>
      </c>
      <c r="G1506" s="54">
        <f>IF(_imp!$C$1508="","",INDEX(_imp!$J$4:$J$4503,_imp!$C$1508))</f>
        <v/>
      </c>
      <c r="K1506" s="54">
        <f>IF(_imp!$C$1508="","",INDEX(_imp!$K$4:$K$4503,_imp!$C$1508))</f>
        <v/>
      </c>
    </row>
    <row r="1507">
      <c r="A1507" s="54">
        <f>IF(_imp!$C$1509="","",INDEX(_imp!$D$4:$D$4503,_imp!$C$1509))</f>
        <v/>
      </c>
      <c r="B1507" s="54">
        <f>IF(_imp!$C$1509="","",INDEX(_imp!$E$4:$E$4503,_imp!$C$1509))</f>
        <v/>
      </c>
      <c r="C1507" s="54">
        <f>IF(_imp!$C$1509="","",INDEX(_imp!$F$4:$F$4503,_imp!$C$1509))</f>
        <v/>
      </c>
      <c r="D1507" s="54">
        <f>IF(_imp!$C$1509="","",INDEX(_imp!$G$4:$G$4503,_imp!$C$1509))</f>
        <v/>
      </c>
      <c r="E1507" s="54">
        <f>IF(_imp!$C$1509="","",INDEX(_imp!$H$4:$H$4503,_imp!$C$1509))</f>
        <v/>
      </c>
      <c r="F1507" s="54">
        <f>IF(_imp!$C$1509="","",INDEX(_imp!$I$4:$I$4503,_imp!$C$1509))</f>
        <v/>
      </c>
      <c r="G1507" s="54">
        <f>IF(_imp!$C$1509="","",INDEX(_imp!$J$4:$J$4503,_imp!$C$1509))</f>
        <v/>
      </c>
      <c r="K1507" s="54">
        <f>IF(_imp!$C$1509="","",INDEX(_imp!$K$4:$K$4503,_imp!$C$1509))</f>
        <v/>
      </c>
    </row>
    <row r="1508">
      <c r="A1508" s="54">
        <f>IF(_imp!$C$1510="","",INDEX(_imp!$D$4:$D$4503,_imp!$C$1510))</f>
        <v/>
      </c>
      <c r="B1508" s="54">
        <f>IF(_imp!$C$1510="","",INDEX(_imp!$E$4:$E$4503,_imp!$C$1510))</f>
        <v/>
      </c>
      <c r="C1508" s="54">
        <f>IF(_imp!$C$1510="","",INDEX(_imp!$F$4:$F$4503,_imp!$C$1510))</f>
        <v/>
      </c>
      <c r="D1508" s="54">
        <f>IF(_imp!$C$1510="","",INDEX(_imp!$G$4:$G$4503,_imp!$C$1510))</f>
        <v/>
      </c>
      <c r="E1508" s="54">
        <f>IF(_imp!$C$1510="","",INDEX(_imp!$H$4:$H$4503,_imp!$C$1510))</f>
        <v/>
      </c>
      <c r="F1508" s="54">
        <f>IF(_imp!$C$1510="","",INDEX(_imp!$I$4:$I$4503,_imp!$C$1510))</f>
        <v/>
      </c>
      <c r="G1508" s="54">
        <f>IF(_imp!$C$1510="","",INDEX(_imp!$J$4:$J$4503,_imp!$C$1510))</f>
        <v/>
      </c>
      <c r="K1508" s="54">
        <f>IF(_imp!$C$1510="","",INDEX(_imp!$K$4:$K$4503,_imp!$C$1510))</f>
        <v/>
      </c>
    </row>
    <row r="1509">
      <c r="A1509" s="54">
        <f>IF(_imp!$C$1511="","",INDEX(_imp!$D$4:$D$4503,_imp!$C$1511))</f>
        <v/>
      </c>
      <c r="B1509" s="54">
        <f>IF(_imp!$C$1511="","",INDEX(_imp!$E$4:$E$4503,_imp!$C$1511))</f>
        <v/>
      </c>
      <c r="C1509" s="54">
        <f>IF(_imp!$C$1511="","",INDEX(_imp!$F$4:$F$4503,_imp!$C$1511))</f>
        <v/>
      </c>
      <c r="D1509" s="54">
        <f>IF(_imp!$C$1511="","",INDEX(_imp!$G$4:$G$4503,_imp!$C$1511))</f>
        <v/>
      </c>
      <c r="E1509" s="54">
        <f>IF(_imp!$C$1511="","",INDEX(_imp!$H$4:$H$4503,_imp!$C$1511))</f>
        <v/>
      </c>
      <c r="F1509" s="54">
        <f>IF(_imp!$C$1511="","",INDEX(_imp!$I$4:$I$4503,_imp!$C$1511))</f>
        <v/>
      </c>
      <c r="G1509" s="54">
        <f>IF(_imp!$C$1511="","",INDEX(_imp!$J$4:$J$4503,_imp!$C$1511))</f>
        <v/>
      </c>
      <c r="K1509" s="54">
        <f>IF(_imp!$C$1511="","",INDEX(_imp!$K$4:$K$4503,_imp!$C$1511))</f>
        <v/>
      </c>
    </row>
    <row r="1510">
      <c r="A1510" s="54">
        <f>IF(_imp!$C$1512="","",INDEX(_imp!$D$4:$D$4503,_imp!$C$1512))</f>
        <v/>
      </c>
      <c r="B1510" s="54">
        <f>IF(_imp!$C$1512="","",INDEX(_imp!$E$4:$E$4503,_imp!$C$1512))</f>
        <v/>
      </c>
      <c r="C1510" s="54">
        <f>IF(_imp!$C$1512="","",INDEX(_imp!$F$4:$F$4503,_imp!$C$1512))</f>
        <v/>
      </c>
      <c r="D1510" s="54">
        <f>IF(_imp!$C$1512="","",INDEX(_imp!$G$4:$G$4503,_imp!$C$1512))</f>
        <v/>
      </c>
      <c r="E1510" s="54">
        <f>IF(_imp!$C$1512="","",INDEX(_imp!$H$4:$H$4503,_imp!$C$1512))</f>
        <v/>
      </c>
      <c r="F1510" s="54">
        <f>IF(_imp!$C$1512="","",INDEX(_imp!$I$4:$I$4503,_imp!$C$1512))</f>
        <v/>
      </c>
      <c r="G1510" s="54">
        <f>IF(_imp!$C$1512="","",INDEX(_imp!$J$4:$J$4503,_imp!$C$1512))</f>
        <v/>
      </c>
      <c r="K1510" s="54">
        <f>IF(_imp!$C$1512="","",INDEX(_imp!$K$4:$K$4503,_imp!$C$1512))</f>
        <v/>
      </c>
    </row>
    <row r="1511">
      <c r="A1511" s="54">
        <f>IF(_imp!$C$1513="","",INDEX(_imp!$D$4:$D$4503,_imp!$C$1513))</f>
        <v/>
      </c>
      <c r="B1511" s="54">
        <f>IF(_imp!$C$1513="","",INDEX(_imp!$E$4:$E$4503,_imp!$C$1513))</f>
        <v/>
      </c>
      <c r="C1511" s="54">
        <f>IF(_imp!$C$1513="","",INDEX(_imp!$F$4:$F$4503,_imp!$C$1513))</f>
        <v/>
      </c>
      <c r="D1511" s="54">
        <f>IF(_imp!$C$1513="","",INDEX(_imp!$G$4:$G$4503,_imp!$C$1513))</f>
        <v/>
      </c>
      <c r="E1511" s="54">
        <f>IF(_imp!$C$1513="","",INDEX(_imp!$H$4:$H$4503,_imp!$C$1513))</f>
        <v/>
      </c>
      <c r="F1511" s="54">
        <f>IF(_imp!$C$1513="","",INDEX(_imp!$I$4:$I$4503,_imp!$C$1513))</f>
        <v/>
      </c>
      <c r="G1511" s="54">
        <f>IF(_imp!$C$1513="","",INDEX(_imp!$J$4:$J$4503,_imp!$C$1513))</f>
        <v/>
      </c>
      <c r="K1511" s="54">
        <f>IF(_imp!$C$1513="","",INDEX(_imp!$K$4:$K$4503,_imp!$C$1513))</f>
        <v/>
      </c>
    </row>
    <row r="1512">
      <c r="A1512" s="54">
        <f>IF(_imp!$C$1514="","",INDEX(_imp!$D$4:$D$4503,_imp!$C$1514))</f>
        <v/>
      </c>
      <c r="B1512" s="54">
        <f>IF(_imp!$C$1514="","",INDEX(_imp!$E$4:$E$4503,_imp!$C$1514))</f>
        <v/>
      </c>
      <c r="C1512" s="54">
        <f>IF(_imp!$C$1514="","",INDEX(_imp!$F$4:$F$4503,_imp!$C$1514))</f>
        <v/>
      </c>
      <c r="D1512" s="54">
        <f>IF(_imp!$C$1514="","",INDEX(_imp!$G$4:$G$4503,_imp!$C$1514))</f>
        <v/>
      </c>
      <c r="E1512" s="54">
        <f>IF(_imp!$C$1514="","",INDEX(_imp!$H$4:$H$4503,_imp!$C$1514))</f>
        <v/>
      </c>
      <c r="F1512" s="54">
        <f>IF(_imp!$C$1514="","",INDEX(_imp!$I$4:$I$4503,_imp!$C$1514))</f>
        <v/>
      </c>
      <c r="G1512" s="54">
        <f>IF(_imp!$C$1514="","",INDEX(_imp!$J$4:$J$4503,_imp!$C$1514))</f>
        <v/>
      </c>
      <c r="K1512" s="54">
        <f>IF(_imp!$C$1514="","",INDEX(_imp!$K$4:$K$4503,_imp!$C$1514))</f>
        <v/>
      </c>
    </row>
    <row r="1513">
      <c r="A1513" s="54">
        <f>IF(_imp!$C$1515="","",INDEX(_imp!$D$4:$D$4503,_imp!$C$1515))</f>
        <v/>
      </c>
      <c r="B1513" s="54">
        <f>IF(_imp!$C$1515="","",INDEX(_imp!$E$4:$E$4503,_imp!$C$1515))</f>
        <v/>
      </c>
      <c r="C1513" s="54">
        <f>IF(_imp!$C$1515="","",INDEX(_imp!$F$4:$F$4503,_imp!$C$1515))</f>
        <v/>
      </c>
      <c r="D1513" s="54">
        <f>IF(_imp!$C$1515="","",INDEX(_imp!$G$4:$G$4503,_imp!$C$1515))</f>
        <v/>
      </c>
      <c r="E1513" s="54">
        <f>IF(_imp!$C$1515="","",INDEX(_imp!$H$4:$H$4503,_imp!$C$1515))</f>
        <v/>
      </c>
      <c r="F1513" s="54">
        <f>IF(_imp!$C$1515="","",INDEX(_imp!$I$4:$I$4503,_imp!$C$1515))</f>
        <v/>
      </c>
      <c r="G1513" s="54">
        <f>IF(_imp!$C$1515="","",INDEX(_imp!$J$4:$J$4503,_imp!$C$1515))</f>
        <v/>
      </c>
      <c r="K1513" s="54">
        <f>IF(_imp!$C$1515="","",INDEX(_imp!$K$4:$K$4503,_imp!$C$1515))</f>
        <v/>
      </c>
    </row>
    <row r="1514">
      <c r="A1514" s="54">
        <f>IF(_imp!$C$1516="","",INDEX(_imp!$D$4:$D$4503,_imp!$C$1516))</f>
        <v/>
      </c>
      <c r="B1514" s="54">
        <f>IF(_imp!$C$1516="","",INDEX(_imp!$E$4:$E$4503,_imp!$C$1516))</f>
        <v/>
      </c>
      <c r="C1514" s="54">
        <f>IF(_imp!$C$1516="","",INDEX(_imp!$F$4:$F$4503,_imp!$C$1516))</f>
        <v/>
      </c>
      <c r="D1514" s="54">
        <f>IF(_imp!$C$1516="","",INDEX(_imp!$G$4:$G$4503,_imp!$C$1516))</f>
        <v/>
      </c>
      <c r="E1514" s="54">
        <f>IF(_imp!$C$1516="","",INDEX(_imp!$H$4:$H$4503,_imp!$C$1516))</f>
        <v/>
      </c>
      <c r="F1514" s="54">
        <f>IF(_imp!$C$1516="","",INDEX(_imp!$I$4:$I$4503,_imp!$C$1516))</f>
        <v/>
      </c>
      <c r="G1514" s="54">
        <f>IF(_imp!$C$1516="","",INDEX(_imp!$J$4:$J$4503,_imp!$C$1516))</f>
        <v/>
      </c>
      <c r="K1514" s="54">
        <f>IF(_imp!$C$1516="","",INDEX(_imp!$K$4:$K$4503,_imp!$C$1516))</f>
        <v/>
      </c>
    </row>
    <row r="1515">
      <c r="A1515" s="54">
        <f>IF(_imp!$C$1517="","",INDEX(_imp!$D$4:$D$4503,_imp!$C$1517))</f>
        <v/>
      </c>
      <c r="B1515" s="54">
        <f>IF(_imp!$C$1517="","",INDEX(_imp!$E$4:$E$4503,_imp!$C$1517))</f>
        <v/>
      </c>
      <c r="C1515" s="54">
        <f>IF(_imp!$C$1517="","",INDEX(_imp!$F$4:$F$4503,_imp!$C$1517))</f>
        <v/>
      </c>
      <c r="D1515" s="54">
        <f>IF(_imp!$C$1517="","",INDEX(_imp!$G$4:$G$4503,_imp!$C$1517))</f>
        <v/>
      </c>
      <c r="E1515" s="54">
        <f>IF(_imp!$C$1517="","",INDEX(_imp!$H$4:$H$4503,_imp!$C$1517))</f>
        <v/>
      </c>
      <c r="F1515" s="54">
        <f>IF(_imp!$C$1517="","",INDEX(_imp!$I$4:$I$4503,_imp!$C$1517))</f>
        <v/>
      </c>
      <c r="G1515" s="54">
        <f>IF(_imp!$C$1517="","",INDEX(_imp!$J$4:$J$4503,_imp!$C$1517))</f>
        <v/>
      </c>
      <c r="K1515" s="54">
        <f>IF(_imp!$C$1517="","",INDEX(_imp!$K$4:$K$4503,_imp!$C$1517))</f>
        <v/>
      </c>
    </row>
    <row r="1516">
      <c r="A1516" s="54">
        <f>IF(_imp!$C$1518="","",INDEX(_imp!$D$4:$D$4503,_imp!$C$1518))</f>
        <v/>
      </c>
      <c r="B1516" s="54">
        <f>IF(_imp!$C$1518="","",INDEX(_imp!$E$4:$E$4503,_imp!$C$1518))</f>
        <v/>
      </c>
      <c r="C1516" s="54">
        <f>IF(_imp!$C$1518="","",INDEX(_imp!$F$4:$F$4503,_imp!$C$1518))</f>
        <v/>
      </c>
      <c r="D1516" s="54">
        <f>IF(_imp!$C$1518="","",INDEX(_imp!$G$4:$G$4503,_imp!$C$1518))</f>
        <v/>
      </c>
      <c r="E1516" s="54">
        <f>IF(_imp!$C$1518="","",INDEX(_imp!$H$4:$H$4503,_imp!$C$1518))</f>
        <v/>
      </c>
      <c r="F1516" s="54">
        <f>IF(_imp!$C$1518="","",INDEX(_imp!$I$4:$I$4503,_imp!$C$1518))</f>
        <v/>
      </c>
      <c r="G1516" s="54">
        <f>IF(_imp!$C$1518="","",INDEX(_imp!$J$4:$J$4503,_imp!$C$1518))</f>
        <v/>
      </c>
      <c r="K1516" s="54">
        <f>IF(_imp!$C$1518="","",INDEX(_imp!$K$4:$K$4503,_imp!$C$1518))</f>
        <v/>
      </c>
    </row>
    <row r="1517">
      <c r="A1517" s="54">
        <f>IF(_imp!$C$1519="","",INDEX(_imp!$D$4:$D$4503,_imp!$C$1519))</f>
        <v/>
      </c>
      <c r="B1517" s="54">
        <f>IF(_imp!$C$1519="","",INDEX(_imp!$E$4:$E$4503,_imp!$C$1519))</f>
        <v/>
      </c>
      <c r="C1517" s="54">
        <f>IF(_imp!$C$1519="","",INDEX(_imp!$F$4:$F$4503,_imp!$C$1519))</f>
        <v/>
      </c>
      <c r="D1517" s="54">
        <f>IF(_imp!$C$1519="","",INDEX(_imp!$G$4:$G$4503,_imp!$C$1519))</f>
        <v/>
      </c>
      <c r="E1517" s="54">
        <f>IF(_imp!$C$1519="","",INDEX(_imp!$H$4:$H$4503,_imp!$C$1519))</f>
        <v/>
      </c>
      <c r="F1517" s="54">
        <f>IF(_imp!$C$1519="","",INDEX(_imp!$I$4:$I$4503,_imp!$C$1519))</f>
        <v/>
      </c>
      <c r="G1517" s="54">
        <f>IF(_imp!$C$1519="","",INDEX(_imp!$J$4:$J$4503,_imp!$C$1519))</f>
        <v/>
      </c>
      <c r="K1517" s="54">
        <f>IF(_imp!$C$1519="","",INDEX(_imp!$K$4:$K$4503,_imp!$C$1519))</f>
        <v/>
      </c>
    </row>
    <row r="1518">
      <c r="A1518" s="54">
        <f>IF(_imp!$C$1520="","",INDEX(_imp!$D$4:$D$4503,_imp!$C$1520))</f>
        <v/>
      </c>
      <c r="B1518" s="54">
        <f>IF(_imp!$C$1520="","",INDEX(_imp!$E$4:$E$4503,_imp!$C$1520))</f>
        <v/>
      </c>
      <c r="C1518" s="54">
        <f>IF(_imp!$C$1520="","",INDEX(_imp!$F$4:$F$4503,_imp!$C$1520))</f>
        <v/>
      </c>
      <c r="D1518" s="54">
        <f>IF(_imp!$C$1520="","",INDEX(_imp!$G$4:$G$4503,_imp!$C$1520))</f>
        <v/>
      </c>
      <c r="E1518" s="54">
        <f>IF(_imp!$C$1520="","",INDEX(_imp!$H$4:$H$4503,_imp!$C$1520))</f>
        <v/>
      </c>
      <c r="F1518" s="54">
        <f>IF(_imp!$C$1520="","",INDEX(_imp!$I$4:$I$4503,_imp!$C$1520))</f>
        <v/>
      </c>
      <c r="G1518" s="54">
        <f>IF(_imp!$C$1520="","",INDEX(_imp!$J$4:$J$4503,_imp!$C$1520))</f>
        <v/>
      </c>
      <c r="K1518" s="54">
        <f>IF(_imp!$C$1520="","",INDEX(_imp!$K$4:$K$4503,_imp!$C$1520))</f>
        <v/>
      </c>
    </row>
    <row r="1519">
      <c r="A1519" s="54">
        <f>IF(_imp!$C$1521="","",INDEX(_imp!$D$4:$D$4503,_imp!$C$1521))</f>
        <v/>
      </c>
      <c r="B1519" s="54">
        <f>IF(_imp!$C$1521="","",INDEX(_imp!$E$4:$E$4503,_imp!$C$1521))</f>
        <v/>
      </c>
      <c r="C1519" s="54">
        <f>IF(_imp!$C$1521="","",INDEX(_imp!$F$4:$F$4503,_imp!$C$1521))</f>
        <v/>
      </c>
      <c r="D1519" s="54">
        <f>IF(_imp!$C$1521="","",INDEX(_imp!$G$4:$G$4503,_imp!$C$1521))</f>
        <v/>
      </c>
      <c r="E1519" s="54">
        <f>IF(_imp!$C$1521="","",INDEX(_imp!$H$4:$H$4503,_imp!$C$1521))</f>
        <v/>
      </c>
      <c r="F1519" s="54">
        <f>IF(_imp!$C$1521="","",INDEX(_imp!$I$4:$I$4503,_imp!$C$1521))</f>
        <v/>
      </c>
      <c r="G1519" s="54">
        <f>IF(_imp!$C$1521="","",INDEX(_imp!$J$4:$J$4503,_imp!$C$1521))</f>
        <v/>
      </c>
      <c r="K1519" s="54">
        <f>IF(_imp!$C$1521="","",INDEX(_imp!$K$4:$K$4503,_imp!$C$1521))</f>
        <v/>
      </c>
    </row>
    <row r="1520">
      <c r="A1520" s="54">
        <f>IF(_imp!$C$1522="","",INDEX(_imp!$D$4:$D$4503,_imp!$C$1522))</f>
        <v/>
      </c>
      <c r="B1520" s="54">
        <f>IF(_imp!$C$1522="","",INDEX(_imp!$E$4:$E$4503,_imp!$C$1522))</f>
        <v/>
      </c>
      <c r="C1520" s="54">
        <f>IF(_imp!$C$1522="","",INDEX(_imp!$F$4:$F$4503,_imp!$C$1522))</f>
        <v/>
      </c>
      <c r="D1520" s="54">
        <f>IF(_imp!$C$1522="","",INDEX(_imp!$G$4:$G$4503,_imp!$C$1522))</f>
        <v/>
      </c>
      <c r="E1520" s="54">
        <f>IF(_imp!$C$1522="","",INDEX(_imp!$H$4:$H$4503,_imp!$C$1522))</f>
        <v/>
      </c>
      <c r="F1520" s="54">
        <f>IF(_imp!$C$1522="","",INDEX(_imp!$I$4:$I$4503,_imp!$C$1522))</f>
        <v/>
      </c>
      <c r="G1520" s="54">
        <f>IF(_imp!$C$1522="","",INDEX(_imp!$J$4:$J$4503,_imp!$C$1522))</f>
        <v/>
      </c>
      <c r="K1520" s="54">
        <f>IF(_imp!$C$1522="","",INDEX(_imp!$K$4:$K$4503,_imp!$C$1522))</f>
        <v/>
      </c>
    </row>
    <row r="1521">
      <c r="A1521" s="54">
        <f>IF(_imp!$C$1523="","",INDEX(_imp!$D$4:$D$4503,_imp!$C$1523))</f>
        <v/>
      </c>
      <c r="B1521" s="54">
        <f>IF(_imp!$C$1523="","",INDEX(_imp!$E$4:$E$4503,_imp!$C$1523))</f>
        <v/>
      </c>
      <c r="C1521" s="54">
        <f>IF(_imp!$C$1523="","",INDEX(_imp!$F$4:$F$4503,_imp!$C$1523))</f>
        <v/>
      </c>
      <c r="D1521" s="54">
        <f>IF(_imp!$C$1523="","",INDEX(_imp!$G$4:$G$4503,_imp!$C$1523))</f>
        <v/>
      </c>
      <c r="E1521" s="54">
        <f>IF(_imp!$C$1523="","",INDEX(_imp!$H$4:$H$4503,_imp!$C$1523))</f>
        <v/>
      </c>
      <c r="F1521" s="54">
        <f>IF(_imp!$C$1523="","",INDEX(_imp!$I$4:$I$4503,_imp!$C$1523))</f>
        <v/>
      </c>
      <c r="G1521" s="54">
        <f>IF(_imp!$C$1523="","",INDEX(_imp!$J$4:$J$4503,_imp!$C$1523))</f>
        <v/>
      </c>
      <c r="K1521" s="54">
        <f>IF(_imp!$C$1523="","",INDEX(_imp!$K$4:$K$4503,_imp!$C$1523))</f>
        <v/>
      </c>
    </row>
    <row r="1522">
      <c r="A1522" s="54">
        <f>IF(_imp!$C$1524="","",INDEX(_imp!$D$4:$D$4503,_imp!$C$1524))</f>
        <v/>
      </c>
      <c r="B1522" s="54">
        <f>IF(_imp!$C$1524="","",INDEX(_imp!$E$4:$E$4503,_imp!$C$1524))</f>
        <v/>
      </c>
      <c r="C1522" s="54">
        <f>IF(_imp!$C$1524="","",INDEX(_imp!$F$4:$F$4503,_imp!$C$1524))</f>
        <v/>
      </c>
      <c r="D1522" s="54">
        <f>IF(_imp!$C$1524="","",INDEX(_imp!$G$4:$G$4503,_imp!$C$1524))</f>
        <v/>
      </c>
      <c r="E1522" s="54">
        <f>IF(_imp!$C$1524="","",INDEX(_imp!$H$4:$H$4503,_imp!$C$1524))</f>
        <v/>
      </c>
      <c r="F1522" s="54">
        <f>IF(_imp!$C$1524="","",INDEX(_imp!$I$4:$I$4503,_imp!$C$1524))</f>
        <v/>
      </c>
      <c r="G1522" s="54">
        <f>IF(_imp!$C$1524="","",INDEX(_imp!$J$4:$J$4503,_imp!$C$1524))</f>
        <v/>
      </c>
      <c r="K1522" s="54">
        <f>IF(_imp!$C$1524="","",INDEX(_imp!$K$4:$K$4503,_imp!$C$1524))</f>
        <v/>
      </c>
    </row>
    <row r="1523">
      <c r="A1523" s="54">
        <f>IF(_imp!$C$1525="","",INDEX(_imp!$D$4:$D$4503,_imp!$C$1525))</f>
        <v/>
      </c>
      <c r="B1523" s="54">
        <f>IF(_imp!$C$1525="","",INDEX(_imp!$E$4:$E$4503,_imp!$C$1525))</f>
        <v/>
      </c>
      <c r="C1523" s="54">
        <f>IF(_imp!$C$1525="","",INDEX(_imp!$F$4:$F$4503,_imp!$C$1525))</f>
        <v/>
      </c>
      <c r="D1523" s="54">
        <f>IF(_imp!$C$1525="","",INDEX(_imp!$G$4:$G$4503,_imp!$C$1525))</f>
        <v/>
      </c>
      <c r="E1523" s="54">
        <f>IF(_imp!$C$1525="","",INDEX(_imp!$H$4:$H$4503,_imp!$C$1525))</f>
        <v/>
      </c>
      <c r="F1523" s="54">
        <f>IF(_imp!$C$1525="","",INDEX(_imp!$I$4:$I$4503,_imp!$C$1525))</f>
        <v/>
      </c>
      <c r="G1523" s="54">
        <f>IF(_imp!$C$1525="","",INDEX(_imp!$J$4:$J$4503,_imp!$C$1525))</f>
        <v/>
      </c>
      <c r="K1523" s="54">
        <f>IF(_imp!$C$1525="","",INDEX(_imp!$K$4:$K$4503,_imp!$C$1525))</f>
        <v/>
      </c>
    </row>
    <row r="1524">
      <c r="A1524" s="54">
        <f>IF(_imp!$C$1526="","",INDEX(_imp!$D$4:$D$4503,_imp!$C$1526))</f>
        <v/>
      </c>
      <c r="B1524" s="54">
        <f>IF(_imp!$C$1526="","",INDEX(_imp!$E$4:$E$4503,_imp!$C$1526))</f>
        <v/>
      </c>
      <c r="C1524" s="54">
        <f>IF(_imp!$C$1526="","",INDEX(_imp!$F$4:$F$4503,_imp!$C$1526))</f>
        <v/>
      </c>
      <c r="D1524" s="54">
        <f>IF(_imp!$C$1526="","",INDEX(_imp!$G$4:$G$4503,_imp!$C$1526))</f>
        <v/>
      </c>
      <c r="E1524" s="54">
        <f>IF(_imp!$C$1526="","",INDEX(_imp!$H$4:$H$4503,_imp!$C$1526))</f>
        <v/>
      </c>
      <c r="F1524" s="54">
        <f>IF(_imp!$C$1526="","",INDEX(_imp!$I$4:$I$4503,_imp!$C$1526))</f>
        <v/>
      </c>
      <c r="G1524" s="54">
        <f>IF(_imp!$C$1526="","",INDEX(_imp!$J$4:$J$4503,_imp!$C$1526))</f>
        <v/>
      </c>
      <c r="K1524" s="54">
        <f>IF(_imp!$C$1526="","",INDEX(_imp!$K$4:$K$4503,_imp!$C$1526))</f>
        <v/>
      </c>
    </row>
    <row r="1525">
      <c r="A1525" s="54">
        <f>IF(_imp!$C$1527="","",INDEX(_imp!$D$4:$D$4503,_imp!$C$1527))</f>
        <v/>
      </c>
      <c r="B1525" s="54">
        <f>IF(_imp!$C$1527="","",INDEX(_imp!$E$4:$E$4503,_imp!$C$1527))</f>
        <v/>
      </c>
      <c r="C1525" s="54">
        <f>IF(_imp!$C$1527="","",INDEX(_imp!$F$4:$F$4503,_imp!$C$1527))</f>
        <v/>
      </c>
      <c r="D1525" s="54">
        <f>IF(_imp!$C$1527="","",INDEX(_imp!$G$4:$G$4503,_imp!$C$1527))</f>
        <v/>
      </c>
      <c r="E1525" s="54">
        <f>IF(_imp!$C$1527="","",INDEX(_imp!$H$4:$H$4503,_imp!$C$1527))</f>
        <v/>
      </c>
      <c r="F1525" s="54">
        <f>IF(_imp!$C$1527="","",INDEX(_imp!$I$4:$I$4503,_imp!$C$1527))</f>
        <v/>
      </c>
      <c r="G1525" s="54">
        <f>IF(_imp!$C$1527="","",INDEX(_imp!$J$4:$J$4503,_imp!$C$1527))</f>
        <v/>
      </c>
      <c r="K1525" s="54">
        <f>IF(_imp!$C$1527="","",INDEX(_imp!$K$4:$K$4503,_imp!$C$1527))</f>
        <v/>
      </c>
    </row>
    <row r="1526">
      <c r="A1526" s="54">
        <f>IF(_imp!$C$1528="","",INDEX(_imp!$D$4:$D$4503,_imp!$C$1528))</f>
        <v/>
      </c>
      <c r="B1526" s="54">
        <f>IF(_imp!$C$1528="","",INDEX(_imp!$E$4:$E$4503,_imp!$C$1528))</f>
        <v/>
      </c>
      <c r="C1526" s="54">
        <f>IF(_imp!$C$1528="","",INDEX(_imp!$F$4:$F$4503,_imp!$C$1528))</f>
        <v/>
      </c>
      <c r="D1526" s="54">
        <f>IF(_imp!$C$1528="","",INDEX(_imp!$G$4:$G$4503,_imp!$C$1528))</f>
        <v/>
      </c>
      <c r="E1526" s="54">
        <f>IF(_imp!$C$1528="","",INDEX(_imp!$H$4:$H$4503,_imp!$C$1528))</f>
        <v/>
      </c>
      <c r="F1526" s="54">
        <f>IF(_imp!$C$1528="","",INDEX(_imp!$I$4:$I$4503,_imp!$C$1528))</f>
        <v/>
      </c>
      <c r="G1526" s="54">
        <f>IF(_imp!$C$1528="","",INDEX(_imp!$J$4:$J$4503,_imp!$C$1528))</f>
        <v/>
      </c>
      <c r="K1526" s="54">
        <f>IF(_imp!$C$1528="","",INDEX(_imp!$K$4:$K$4503,_imp!$C$1528))</f>
        <v/>
      </c>
    </row>
    <row r="1527">
      <c r="A1527" s="54">
        <f>IF(_imp!$C$1529="","",INDEX(_imp!$D$4:$D$4503,_imp!$C$1529))</f>
        <v/>
      </c>
      <c r="B1527" s="54">
        <f>IF(_imp!$C$1529="","",INDEX(_imp!$E$4:$E$4503,_imp!$C$1529))</f>
        <v/>
      </c>
      <c r="C1527" s="54">
        <f>IF(_imp!$C$1529="","",INDEX(_imp!$F$4:$F$4503,_imp!$C$1529))</f>
        <v/>
      </c>
      <c r="D1527" s="54">
        <f>IF(_imp!$C$1529="","",INDEX(_imp!$G$4:$G$4503,_imp!$C$1529))</f>
        <v/>
      </c>
      <c r="E1527" s="54">
        <f>IF(_imp!$C$1529="","",INDEX(_imp!$H$4:$H$4503,_imp!$C$1529))</f>
        <v/>
      </c>
      <c r="F1527" s="54">
        <f>IF(_imp!$C$1529="","",INDEX(_imp!$I$4:$I$4503,_imp!$C$1529))</f>
        <v/>
      </c>
      <c r="G1527" s="54">
        <f>IF(_imp!$C$1529="","",INDEX(_imp!$J$4:$J$4503,_imp!$C$1529))</f>
        <v/>
      </c>
      <c r="K1527" s="54">
        <f>IF(_imp!$C$1529="","",INDEX(_imp!$K$4:$K$4503,_imp!$C$1529))</f>
        <v/>
      </c>
    </row>
    <row r="1528">
      <c r="A1528" s="54">
        <f>IF(_imp!$C$1530="","",INDEX(_imp!$D$4:$D$4503,_imp!$C$1530))</f>
        <v/>
      </c>
      <c r="B1528" s="54">
        <f>IF(_imp!$C$1530="","",INDEX(_imp!$E$4:$E$4503,_imp!$C$1530))</f>
        <v/>
      </c>
      <c r="C1528" s="54">
        <f>IF(_imp!$C$1530="","",INDEX(_imp!$F$4:$F$4503,_imp!$C$1530))</f>
        <v/>
      </c>
      <c r="D1528" s="54">
        <f>IF(_imp!$C$1530="","",INDEX(_imp!$G$4:$G$4503,_imp!$C$1530))</f>
        <v/>
      </c>
      <c r="E1528" s="54">
        <f>IF(_imp!$C$1530="","",INDEX(_imp!$H$4:$H$4503,_imp!$C$1530))</f>
        <v/>
      </c>
      <c r="F1528" s="54">
        <f>IF(_imp!$C$1530="","",INDEX(_imp!$I$4:$I$4503,_imp!$C$1530))</f>
        <v/>
      </c>
      <c r="G1528" s="54">
        <f>IF(_imp!$C$1530="","",INDEX(_imp!$J$4:$J$4503,_imp!$C$1530))</f>
        <v/>
      </c>
      <c r="K1528" s="54">
        <f>IF(_imp!$C$1530="","",INDEX(_imp!$K$4:$K$4503,_imp!$C$1530))</f>
        <v/>
      </c>
    </row>
    <row r="1529">
      <c r="A1529" s="54">
        <f>IF(_imp!$C$1531="","",INDEX(_imp!$D$4:$D$4503,_imp!$C$1531))</f>
        <v/>
      </c>
      <c r="B1529" s="54">
        <f>IF(_imp!$C$1531="","",INDEX(_imp!$E$4:$E$4503,_imp!$C$1531))</f>
        <v/>
      </c>
      <c r="C1529" s="54">
        <f>IF(_imp!$C$1531="","",INDEX(_imp!$F$4:$F$4503,_imp!$C$1531))</f>
        <v/>
      </c>
      <c r="D1529" s="54">
        <f>IF(_imp!$C$1531="","",INDEX(_imp!$G$4:$G$4503,_imp!$C$1531))</f>
        <v/>
      </c>
      <c r="E1529" s="54">
        <f>IF(_imp!$C$1531="","",INDEX(_imp!$H$4:$H$4503,_imp!$C$1531))</f>
        <v/>
      </c>
      <c r="F1529" s="54">
        <f>IF(_imp!$C$1531="","",INDEX(_imp!$I$4:$I$4503,_imp!$C$1531))</f>
        <v/>
      </c>
      <c r="G1529" s="54">
        <f>IF(_imp!$C$1531="","",INDEX(_imp!$J$4:$J$4503,_imp!$C$1531))</f>
        <v/>
      </c>
      <c r="K1529" s="54">
        <f>IF(_imp!$C$1531="","",INDEX(_imp!$K$4:$K$4503,_imp!$C$1531))</f>
        <v/>
      </c>
    </row>
    <row r="1530">
      <c r="A1530" s="54">
        <f>IF(_imp!$C$1532="","",INDEX(_imp!$D$4:$D$4503,_imp!$C$1532))</f>
        <v/>
      </c>
      <c r="B1530" s="54">
        <f>IF(_imp!$C$1532="","",INDEX(_imp!$E$4:$E$4503,_imp!$C$1532))</f>
        <v/>
      </c>
      <c r="C1530" s="54">
        <f>IF(_imp!$C$1532="","",INDEX(_imp!$F$4:$F$4503,_imp!$C$1532))</f>
        <v/>
      </c>
      <c r="D1530" s="54">
        <f>IF(_imp!$C$1532="","",INDEX(_imp!$G$4:$G$4503,_imp!$C$1532))</f>
        <v/>
      </c>
      <c r="E1530" s="54">
        <f>IF(_imp!$C$1532="","",INDEX(_imp!$H$4:$H$4503,_imp!$C$1532))</f>
        <v/>
      </c>
      <c r="F1530" s="54">
        <f>IF(_imp!$C$1532="","",INDEX(_imp!$I$4:$I$4503,_imp!$C$1532))</f>
        <v/>
      </c>
      <c r="G1530" s="54">
        <f>IF(_imp!$C$1532="","",INDEX(_imp!$J$4:$J$4503,_imp!$C$1532))</f>
        <v/>
      </c>
      <c r="K1530" s="54">
        <f>IF(_imp!$C$1532="","",INDEX(_imp!$K$4:$K$4503,_imp!$C$1532))</f>
        <v/>
      </c>
    </row>
    <row r="1531">
      <c r="A1531" s="54">
        <f>IF(_imp!$C$1533="","",INDEX(_imp!$D$4:$D$4503,_imp!$C$1533))</f>
        <v/>
      </c>
      <c r="B1531" s="54">
        <f>IF(_imp!$C$1533="","",INDEX(_imp!$E$4:$E$4503,_imp!$C$1533))</f>
        <v/>
      </c>
      <c r="C1531" s="54">
        <f>IF(_imp!$C$1533="","",INDEX(_imp!$F$4:$F$4503,_imp!$C$1533))</f>
        <v/>
      </c>
      <c r="D1531" s="54">
        <f>IF(_imp!$C$1533="","",INDEX(_imp!$G$4:$G$4503,_imp!$C$1533))</f>
        <v/>
      </c>
      <c r="E1531" s="54">
        <f>IF(_imp!$C$1533="","",INDEX(_imp!$H$4:$H$4503,_imp!$C$1533))</f>
        <v/>
      </c>
      <c r="F1531" s="54">
        <f>IF(_imp!$C$1533="","",INDEX(_imp!$I$4:$I$4503,_imp!$C$1533))</f>
        <v/>
      </c>
      <c r="G1531" s="54">
        <f>IF(_imp!$C$1533="","",INDEX(_imp!$J$4:$J$4503,_imp!$C$1533))</f>
        <v/>
      </c>
      <c r="K1531" s="54">
        <f>IF(_imp!$C$1533="","",INDEX(_imp!$K$4:$K$4503,_imp!$C$1533))</f>
        <v/>
      </c>
    </row>
    <row r="1532">
      <c r="A1532" s="54">
        <f>IF(_imp!$C$1534="","",INDEX(_imp!$D$4:$D$4503,_imp!$C$1534))</f>
        <v/>
      </c>
      <c r="B1532" s="54">
        <f>IF(_imp!$C$1534="","",INDEX(_imp!$E$4:$E$4503,_imp!$C$1534))</f>
        <v/>
      </c>
      <c r="C1532" s="54">
        <f>IF(_imp!$C$1534="","",INDEX(_imp!$F$4:$F$4503,_imp!$C$1534))</f>
        <v/>
      </c>
      <c r="D1532" s="54">
        <f>IF(_imp!$C$1534="","",INDEX(_imp!$G$4:$G$4503,_imp!$C$1534))</f>
        <v/>
      </c>
      <c r="E1532" s="54">
        <f>IF(_imp!$C$1534="","",INDEX(_imp!$H$4:$H$4503,_imp!$C$1534))</f>
        <v/>
      </c>
      <c r="F1532" s="54">
        <f>IF(_imp!$C$1534="","",INDEX(_imp!$I$4:$I$4503,_imp!$C$1534))</f>
        <v/>
      </c>
      <c r="G1532" s="54">
        <f>IF(_imp!$C$1534="","",INDEX(_imp!$J$4:$J$4503,_imp!$C$1534))</f>
        <v/>
      </c>
      <c r="K1532" s="54">
        <f>IF(_imp!$C$1534="","",INDEX(_imp!$K$4:$K$4503,_imp!$C$1534))</f>
        <v/>
      </c>
    </row>
    <row r="1533">
      <c r="A1533" s="54">
        <f>IF(_imp!$C$1535="","",INDEX(_imp!$D$4:$D$4503,_imp!$C$1535))</f>
        <v/>
      </c>
      <c r="B1533" s="54">
        <f>IF(_imp!$C$1535="","",INDEX(_imp!$E$4:$E$4503,_imp!$C$1535))</f>
        <v/>
      </c>
      <c r="C1533" s="54">
        <f>IF(_imp!$C$1535="","",INDEX(_imp!$F$4:$F$4503,_imp!$C$1535))</f>
        <v/>
      </c>
      <c r="D1533" s="54">
        <f>IF(_imp!$C$1535="","",INDEX(_imp!$G$4:$G$4503,_imp!$C$1535))</f>
        <v/>
      </c>
      <c r="E1533" s="54">
        <f>IF(_imp!$C$1535="","",INDEX(_imp!$H$4:$H$4503,_imp!$C$1535))</f>
        <v/>
      </c>
      <c r="F1533" s="54">
        <f>IF(_imp!$C$1535="","",INDEX(_imp!$I$4:$I$4503,_imp!$C$1535))</f>
        <v/>
      </c>
      <c r="G1533" s="54">
        <f>IF(_imp!$C$1535="","",INDEX(_imp!$J$4:$J$4503,_imp!$C$1535))</f>
        <v/>
      </c>
      <c r="K1533" s="54">
        <f>IF(_imp!$C$1535="","",INDEX(_imp!$K$4:$K$4503,_imp!$C$1535))</f>
        <v/>
      </c>
    </row>
    <row r="1534">
      <c r="A1534" s="54">
        <f>IF(_imp!$C$1536="","",INDEX(_imp!$D$4:$D$4503,_imp!$C$1536))</f>
        <v/>
      </c>
      <c r="B1534" s="54">
        <f>IF(_imp!$C$1536="","",INDEX(_imp!$E$4:$E$4503,_imp!$C$1536))</f>
        <v/>
      </c>
      <c r="C1534" s="54">
        <f>IF(_imp!$C$1536="","",INDEX(_imp!$F$4:$F$4503,_imp!$C$1536))</f>
        <v/>
      </c>
      <c r="D1534" s="54">
        <f>IF(_imp!$C$1536="","",INDEX(_imp!$G$4:$G$4503,_imp!$C$1536))</f>
        <v/>
      </c>
      <c r="E1534" s="54">
        <f>IF(_imp!$C$1536="","",INDEX(_imp!$H$4:$H$4503,_imp!$C$1536))</f>
        <v/>
      </c>
      <c r="F1534" s="54">
        <f>IF(_imp!$C$1536="","",INDEX(_imp!$I$4:$I$4503,_imp!$C$1536))</f>
        <v/>
      </c>
      <c r="G1534" s="54">
        <f>IF(_imp!$C$1536="","",INDEX(_imp!$J$4:$J$4503,_imp!$C$1536))</f>
        <v/>
      </c>
      <c r="K1534" s="54">
        <f>IF(_imp!$C$1536="","",INDEX(_imp!$K$4:$K$4503,_imp!$C$1536))</f>
        <v/>
      </c>
    </row>
    <row r="1535">
      <c r="A1535" s="54">
        <f>IF(_imp!$C$1537="","",INDEX(_imp!$D$4:$D$4503,_imp!$C$1537))</f>
        <v/>
      </c>
      <c r="B1535" s="54">
        <f>IF(_imp!$C$1537="","",INDEX(_imp!$E$4:$E$4503,_imp!$C$1537))</f>
        <v/>
      </c>
      <c r="C1535" s="54">
        <f>IF(_imp!$C$1537="","",INDEX(_imp!$F$4:$F$4503,_imp!$C$1537))</f>
        <v/>
      </c>
      <c r="D1535" s="54">
        <f>IF(_imp!$C$1537="","",INDEX(_imp!$G$4:$G$4503,_imp!$C$1537))</f>
        <v/>
      </c>
      <c r="E1535" s="54">
        <f>IF(_imp!$C$1537="","",INDEX(_imp!$H$4:$H$4503,_imp!$C$1537))</f>
        <v/>
      </c>
      <c r="F1535" s="54">
        <f>IF(_imp!$C$1537="","",INDEX(_imp!$I$4:$I$4503,_imp!$C$1537))</f>
        <v/>
      </c>
      <c r="G1535" s="54">
        <f>IF(_imp!$C$1537="","",INDEX(_imp!$J$4:$J$4503,_imp!$C$1537))</f>
        <v/>
      </c>
      <c r="K1535" s="54">
        <f>IF(_imp!$C$1537="","",INDEX(_imp!$K$4:$K$4503,_imp!$C$1537))</f>
        <v/>
      </c>
    </row>
    <row r="1536">
      <c r="A1536" s="54">
        <f>IF(_imp!$C$1538="","",INDEX(_imp!$D$4:$D$4503,_imp!$C$1538))</f>
        <v/>
      </c>
      <c r="B1536" s="54">
        <f>IF(_imp!$C$1538="","",INDEX(_imp!$E$4:$E$4503,_imp!$C$1538))</f>
        <v/>
      </c>
      <c r="C1536" s="54">
        <f>IF(_imp!$C$1538="","",INDEX(_imp!$F$4:$F$4503,_imp!$C$1538))</f>
        <v/>
      </c>
      <c r="D1536" s="54">
        <f>IF(_imp!$C$1538="","",INDEX(_imp!$G$4:$G$4503,_imp!$C$1538))</f>
        <v/>
      </c>
      <c r="E1536" s="54">
        <f>IF(_imp!$C$1538="","",INDEX(_imp!$H$4:$H$4503,_imp!$C$1538))</f>
        <v/>
      </c>
      <c r="F1536" s="54">
        <f>IF(_imp!$C$1538="","",INDEX(_imp!$I$4:$I$4503,_imp!$C$1538))</f>
        <v/>
      </c>
      <c r="G1536" s="54">
        <f>IF(_imp!$C$1538="","",INDEX(_imp!$J$4:$J$4503,_imp!$C$1538))</f>
        <v/>
      </c>
      <c r="K1536" s="54">
        <f>IF(_imp!$C$1538="","",INDEX(_imp!$K$4:$K$4503,_imp!$C$1538))</f>
        <v/>
      </c>
    </row>
    <row r="1537">
      <c r="A1537" s="54">
        <f>IF(_imp!$C$1539="","",INDEX(_imp!$D$4:$D$4503,_imp!$C$1539))</f>
        <v/>
      </c>
      <c r="B1537" s="54">
        <f>IF(_imp!$C$1539="","",INDEX(_imp!$E$4:$E$4503,_imp!$C$1539))</f>
        <v/>
      </c>
      <c r="C1537" s="54">
        <f>IF(_imp!$C$1539="","",INDEX(_imp!$F$4:$F$4503,_imp!$C$1539))</f>
        <v/>
      </c>
      <c r="D1537" s="54">
        <f>IF(_imp!$C$1539="","",INDEX(_imp!$G$4:$G$4503,_imp!$C$1539))</f>
        <v/>
      </c>
      <c r="E1537" s="54">
        <f>IF(_imp!$C$1539="","",INDEX(_imp!$H$4:$H$4503,_imp!$C$1539))</f>
        <v/>
      </c>
      <c r="F1537" s="54">
        <f>IF(_imp!$C$1539="","",INDEX(_imp!$I$4:$I$4503,_imp!$C$1539))</f>
        <v/>
      </c>
      <c r="G1537" s="54">
        <f>IF(_imp!$C$1539="","",INDEX(_imp!$J$4:$J$4503,_imp!$C$1539))</f>
        <v/>
      </c>
      <c r="K1537" s="54">
        <f>IF(_imp!$C$1539="","",INDEX(_imp!$K$4:$K$4503,_imp!$C$1539))</f>
        <v/>
      </c>
    </row>
    <row r="1538">
      <c r="A1538" s="54">
        <f>IF(_imp!$C$1540="","",INDEX(_imp!$D$4:$D$4503,_imp!$C$1540))</f>
        <v/>
      </c>
      <c r="B1538" s="54">
        <f>IF(_imp!$C$1540="","",INDEX(_imp!$E$4:$E$4503,_imp!$C$1540))</f>
        <v/>
      </c>
      <c r="C1538" s="54">
        <f>IF(_imp!$C$1540="","",INDEX(_imp!$F$4:$F$4503,_imp!$C$1540))</f>
        <v/>
      </c>
      <c r="D1538" s="54">
        <f>IF(_imp!$C$1540="","",INDEX(_imp!$G$4:$G$4503,_imp!$C$1540))</f>
        <v/>
      </c>
      <c r="E1538" s="54">
        <f>IF(_imp!$C$1540="","",INDEX(_imp!$H$4:$H$4503,_imp!$C$1540))</f>
        <v/>
      </c>
      <c r="F1538" s="54">
        <f>IF(_imp!$C$1540="","",INDEX(_imp!$I$4:$I$4503,_imp!$C$1540))</f>
        <v/>
      </c>
      <c r="G1538" s="54">
        <f>IF(_imp!$C$1540="","",INDEX(_imp!$J$4:$J$4503,_imp!$C$1540))</f>
        <v/>
      </c>
      <c r="K1538" s="54">
        <f>IF(_imp!$C$1540="","",INDEX(_imp!$K$4:$K$4503,_imp!$C$1540))</f>
        <v/>
      </c>
    </row>
    <row r="1539">
      <c r="A1539" s="54">
        <f>IF(_imp!$C$1541="","",INDEX(_imp!$D$4:$D$4503,_imp!$C$1541))</f>
        <v/>
      </c>
      <c r="B1539" s="54">
        <f>IF(_imp!$C$1541="","",INDEX(_imp!$E$4:$E$4503,_imp!$C$1541))</f>
        <v/>
      </c>
      <c r="C1539" s="54">
        <f>IF(_imp!$C$1541="","",INDEX(_imp!$F$4:$F$4503,_imp!$C$1541))</f>
        <v/>
      </c>
      <c r="D1539" s="54">
        <f>IF(_imp!$C$1541="","",INDEX(_imp!$G$4:$G$4503,_imp!$C$1541))</f>
        <v/>
      </c>
      <c r="E1539" s="54">
        <f>IF(_imp!$C$1541="","",INDEX(_imp!$H$4:$H$4503,_imp!$C$1541))</f>
        <v/>
      </c>
      <c r="F1539" s="54">
        <f>IF(_imp!$C$1541="","",INDEX(_imp!$I$4:$I$4503,_imp!$C$1541))</f>
        <v/>
      </c>
      <c r="G1539" s="54">
        <f>IF(_imp!$C$1541="","",INDEX(_imp!$J$4:$J$4503,_imp!$C$1541))</f>
        <v/>
      </c>
      <c r="K1539" s="54">
        <f>IF(_imp!$C$1541="","",INDEX(_imp!$K$4:$K$4503,_imp!$C$1541))</f>
        <v/>
      </c>
    </row>
    <row r="1540">
      <c r="A1540" s="54">
        <f>IF(_imp!$C$1542="","",INDEX(_imp!$D$4:$D$4503,_imp!$C$1542))</f>
        <v/>
      </c>
      <c r="B1540" s="54">
        <f>IF(_imp!$C$1542="","",INDEX(_imp!$E$4:$E$4503,_imp!$C$1542))</f>
        <v/>
      </c>
      <c r="C1540" s="54">
        <f>IF(_imp!$C$1542="","",INDEX(_imp!$F$4:$F$4503,_imp!$C$1542))</f>
        <v/>
      </c>
      <c r="D1540" s="54">
        <f>IF(_imp!$C$1542="","",INDEX(_imp!$G$4:$G$4503,_imp!$C$1542))</f>
        <v/>
      </c>
      <c r="E1540" s="54">
        <f>IF(_imp!$C$1542="","",INDEX(_imp!$H$4:$H$4503,_imp!$C$1542))</f>
        <v/>
      </c>
      <c r="F1540" s="54">
        <f>IF(_imp!$C$1542="","",INDEX(_imp!$I$4:$I$4503,_imp!$C$1542))</f>
        <v/>
      </c>
      <c r="G1540" s="54">
        <f>IF(_imp!$C$1542="","",INDEX(_imp!$J$4:$J$4503,_imp!$C$1542))</f>
        <v/>
      </c>
      <c r="K1540" s="54">
        <f>IF(_imp!$C$1542="","",INDEX(_imp!$K$4:$K$4503,_imp!$C$1542))</f>
        <v/>
      </c>
    </row>
    <row r="1541">
      <c r="A1541" s="54">
        <f>IF(_imp!$C$1543="","",INDEX(_imp!$D$4:$D$4503,_imp!$C$1543))</f>
        <v/>
      </c>
      <c r="B1541" s="54">
        <f>IF(_imp!$C$1543="","",INDEX(_imp!$E$4:$E$4503,_imp!$C$1543))</f>
        <v/>
      </c>
      <c r="C1541" s="54">
        <f>IF(_imp!$C$1543="","",INDEX(_imp!$F$4:$F$4503,_imp!$C$1543))</f>
        <v/>
      </c>
      <c r="D1541" s="54">
        <f>IF(_imp!$C$1543="","",INDEX(_imp!$G$4:$G$4503,_imp!$C$1543))</f>
        <v/>
      </c>
      <c r="E1541" s="54">
        <f>IF(_imp!$C$1543="","",INDEX(_imp!$H$4:$H$4503,_imp!$C$1543))</f>
        <v/>
      </c>
      <c r="F1541" s="54">
        <f>IF(_imp!$C$1543="","",INDEX(_imp!$I$4:$I$4503,_imp!$C$1543))</f>
        <v/>
      </c>
      <c r="G1541" s="54">
        <f>IF(_imp!$C$1543="","",INDEX(_imp!$J$4:$J$4503,_imp!$C$1543))</f>
        <v/>
      </c>
      <c r="K1541" s="54">
        <f>IF(_imp!$C$1543="","",INDEX(_imp!$K$4:$K$4503,_imp!$C$1543))</f>
        <v/>
      </c>
    </row>
    <row r="1542">
      <c r="A1542" s="54">
        <f>IF(_imp!$C$1544="","",INDEX(_imp!$D$4:$D$4503,_imp!$C$1544))</f>
        <v/>
      </c>
      <c r="B1542" s="54">
        <f>IF(_imp!$C$1544="","",INDEX(_imp!$E$4:$E$4503,_imp!$C$1544))</f>
        <v/>
      </c>
      <c r="C1542" s="54">
        <f>IF(_imp!$C$1544="","",INDEX(_imp!$F$4:$F$4503,_imp!$C$1544))</f>
        <v/>
      </c>
      <c r="D1542" s="54">
        <f>IF(_imp!$C$1544="","",INDEX(_imp!$G$4:$G$4503,_imp!$C$1544))</f>
        <v/>
      </c>
      <c r="E1542" s="54">
        <f>IF(_imp!$C$1544="","",INDEX(_imp!$H$4:$H$4503,_imp!$C$1544))</f>
        <v/>
      </c>
      <c r="F1542" s="54">
        <f>IF(_imp!$C$1544="","",INDEX(_imp!$I$4:$I$4503,_imp!$C$1544))</f>
        <v/>
      </c>
      <c r="G1542" s="54">
        <f>IF(_imp!$C$1544="","",INDEX(_imp!$J$4:$J$4503,_imp!$C$1544))</f>
        <v/>
      </c>
      <c r="K1542" s="54">
        <f>IF(_imp!$C$1544="","",INDEX(_imp!$K$4:$K$4503,_imp!$C$1544))</f>
        <v/>
      </c>
    </row>
    <row r="1543">
      <c r="A1543" s="54">
        <f>IF(_imp!$C$1545="","",INDEX(_imp!$D$4:$D$4503,_imp!$C$1545))</f>
        <v/>
      </c>
      <c r="B1543" s="54">
        <f>IF(_imp!$C$1545="","",INDEX(_imp!$E$4:$E$4503,_imp!$C$1545))</f>
        <v/>
      </c>
      <c r="C1543" s="54">
        <f>IF(_imp!$C$1545="","",INDEX(_imp!$F$4:$F$4503,_imp!$C$1545))</f>
        <v/>
      </c>
      <c r="D1543" s="54">
        <f>IF(_imp!$C$1545="","",INDEX(_imp!$G$4:$G$4503,_imp!$C$1545))</f>
        <v/>
      </c>
      <c r="E1543" s="54">
        <f>IF(_imp!$C$1545="","",INDEX(_imp!$H$4:$H$4503,_imp!$C$1545))</f>
        <v/>
      </c>
      <c r="F1543" s="54">
        <f>IF(_imp!$C$1545="","",INDEX(_imp!$I$4:$I$4503,_imp!$C$1545))</f>
        <v/>
      </c>
      <c r="G1543" s="54">
        <f>IF(_imp!$C$1545="","",INDEX(_imp!$J$4:$J$4503,_imp!$C$1545))</f>
        <v/>
      </c>
      <c r="K1543" s="54">
        <f>IF(_imp!$C$1545="","",INDEX(_imp!$K$4:$K$4503,_imp!$C$1545))</f>
        <v/>
      </c>
    </row>
    <row r="1544">
      <c r="A1544" s="54">
        <f>IF(_imp!$C$1546="","",INDEX(_imp!$D$4:$D$4503,_imp!$C$1546))</f>
        <v/>
      </c>
      <c r="B1544" s="54">
        <f>IF(_imp!$C$1546="","",INDEX(_imp!$E$4:$E$4503,_imp!$C$1546))</f>
        <v/>
      </c>
      <c r="C1544" s="54">
        <f>IF(_imp!$C$1546="","",INDEX(_imp!$F$4:$F$4503,_imp!$C$1546))</f>
        <v/>
      </c>
      <c r="D1544" s="54">
        <f>IF(_imp!$C$1546="","",INDEX(_imp!$G$4:$G$4503,_imp!$C$1546))</f>
        <v/>
      </c>
      <c r="E1544" s="54">
        <f>IF(_imp!$C$1546="","",INDEX(_imp!$H$4:$H$4503,_imp!$C$1546))</f>
        <v/>
      </c>
      <c r="F1544" s="54">
        <f>IF(_imp!$C$1546="","",INDEX(_imp!$I$4:$I$4503,_imp!$C$1546))</f>
        <v/>
      </c>
      <c r="G1544" s="54">
        <f>IF(_imp!$C$1546="","",INDEX(_imp!$J$4:$J$4503,_imp!$C$1546))</f>
        <v/>
      </c>
      <c r="K1544" s="54">
        <f>IF(_imp!$C$1546="","",INDEX(_imp!$K$4:$K$4503,_imp!$C$1546))</f>
        <v/>
      </c>
    </row>
    <row r="1545">
      <c r="A1545" s="54">
        <f>IF(_imp!$C$1547="","",INDEX(_imp!$D$4:$D$4503,_imp!$C$1547))</f>
        <v/>
      </c>
      <c r="B1545" s="54">
        <f>IF(_imp!$C$1547="","",INDEX(_imp!$E$4:$E$4503,_imp!$C$1547))</f>
        <v/>
      </c>
      <c r="C1545" s="54">
        <f>IF(_imp!$C$1547="","",INDEX(_imp!$F$4:$F$4503,_imp!$C$1547))</f>
        <v/>
      </c>
      <c r="D1545" s="54">
        <f>IF(_imp!$C$1547="","",INDEX(_imp!$G$4:$G$4503,_imp!$C$1547))</f>
        <v/>
      </c>
      <c r="E1545" s="54">
        <f>IF(_imp!$C$1547="","",INDEX(_imp!$H$4:$H$4503,_imp!$C$1547))</f>
        <v/>
      </c>
      <c r="F1545" s="54">
        <f>IF(_imp!$C$1547="","",INDEX(_imp!$I$4:$I$4503,_imp!$C$1547))</f>
        <v/>
      </c>
      <c r="G1545" s="54">
        <f>IF(_imp!$C$1547="","",INDEX(_imp!$J$4:$J$4503,_imp!$C$1547))</f>
        <v/>
      </c>
      <c r="K1545" s="54">
        <f>IF(_imp!$C$1547="","",INDEX(_imp!$K$4:$K$4503,_imp!$C$1547))</f>
        <v/>
      </c>
    </row>
    <row r="1546">
      <c r="A1546" s="54">
        <f>IF(_imp!$C$1548="","",INDEX(_imp!$D$4:$D$4503,_imp!$C$1548))</f>
        <v/>
      </c>
      <c r="B1546" s="54">
        <f>IF(_imp!$C$1548="","",INDEX(_imp!$E$4:$E$4503,_imp!$C$1548))</f>
        <v/>
      </c>
      <c r="C1546" s="54">
        <f>IF(_imp!$C$1548="","",INDEX(_imp!$F$4:$F$4503,_imp!$C$1548))</f>
        <v/>
      </c>
      <c r="D1546" s="54">
        <f>IF(_imp!$C$1548="","",INDEX(_imp!$G$4:$G$4503,_imp!$C$1548))</f>
        <v/>
      </c>
      <c r="E1546" s="54">
        <f>IF(_imp!$C$1548="","",INDEX(_imp!$H$4:$H$4503,_imp!$C$1548))</f>
        <v/>
      </c>
      <c r="F1546" s="54">
        <f>IF(_imp!$C$1548="","",INDEX(_imp!$I$4:$I$4503,_imp!$C$1548))</f>
        <v/>
      </c>
      <c r="G1546" s="54">
        <f>IF(_imp!$C$1548="","",INDEX(_imp!$J$4:$J$4503,_imp!$C$1548))</f>
        <v/>
      </c>
      <c r="K1546" s="54">
        <f>IF(_imp!$C$1548="","",INDEX(_imp!$K$4:$K$4503,_imp!$C$1548))</f>
        <v/>
      </c>
    </row>
    <row r="1547">
      <c r="A1547" s="54">
        <f>IF(_imp!$C$1549="","",INDEX(_imp!$D$4:$D$4503,_imp!$C$1549))</f>
        <v/>
      </c>
      <c r="B1547" s="54">
        <f>IF(_imp!$C$1549="","",INDEX(_imp!$E$4:$E$4503,_imp!$C$1549))</f>
        <v/>
      </c>
      <c r="C1547" s="54">
        <f>IF(_imp!$C$1549="","",INDEX(_imp!$F$4:$F$4503,_imp!$C$1549))</f>
        <v/>
      </c>
      <c r="D1547" s="54">
        <f>IF(_imp!$C$1549="","",INDEX(_imp!$G$4:$G$4503,_imp!$C$1549))</f>
        <v/>
      </c>
      <c r="E1547" s="54">
        <f>IF(_imp!$C$1549="","",INDEX(_imp!$H$4:$H$4503,_imp!$C$1549))</f>
        <v/>
      </c>
      <c r="F1547" s="54">
        <f>IF(_imp!$C$1549="","",INDEX(_imp!$I$4:$I$4503,_imp!$C$1549))</f>
        <v/>
      </c>
      <c r="G1547" s="54">
        <f>IF(_imp!$C$1549="","",INDEX(_imp!$J$4:$J$4503,_imp!$C$1549))</f>
        <v/>
      </c>
      <c r="K1547" s="54">
        <f>IF(_imp!$C$1549="","",INDEX(_imp!$K$4:$K$4503,_imp!$C$1549))</f>
        <v/>
      </c>
    </row>
    <row r="1548">
      <c r="A1548" s="54">
        <f>IF(_imp!$C$1550="","",INDEX(_imp!$D$4:$D$4503,_imp!$C$1550))</f>
        <v/>
      </c>
      <c r="B1548" s="54">
        <f>IF(_imp!$C$1550="","",INDEX(_imp!$E$4:$E$4503,_imp!$C$1550))</f>
        <v/>
      </c>
      <c r="C1548" s="54">
        <f>IF(_imp!$C$1550="","",INDEX(_imp!$F$4:$F$4503,_imp!$C$1550))</f>
        <v/>
      </c>
      <c r="D1548" s="54">
        <f>IF(_imp!$C$1550="","",INDEX(_imp!$G$4:$G$4503,_imp!$C$1550))</f>
        <v/>
      </c>
      <c r="E1548" s="54">
        <f>IF(_imp!$C$1550="","",INDEX(_imp!$H$4:$H$4503,_imp!$C$1550))</f>
        <v/>
      </c>
      <c r="F1548" s="54">
        <f>IF(_imp!$C$1550="","",INDEX(_imp!$I$4:$I$4503,_imp!$C$1550))</f>
        <v/>
      </c>
      <c r="G1548" s="54">
        <f>IF(_imp!$C$1550="","",INDEX(_imp!$J$4:$J$4503,_imp!$C$1550))</f>
        <v/>
      </c>
      <c r="K1548" s="54">
        <f>IF(_imp!$C$1550="","",INDEX(_imp!$K$4:$K$4503,_imp!$C$1550))</f>
        <v/>
      </c>
    </row>
    <row r="1549">
      <c r="A1549" s="54">
        <f>IF(_imp!$C$1551="","",INDEX(_imp!$D$4:$D$4503,_imp!$C$1551))</f>
        <v/>
      </c>
      <c r="B1549" s="54">
        <f>IF(_imp!$C$1551="","",INDEX(_imp!$E$4:$E$4503,_imp!$C$1551))</f>
        <v/>
      </c>
      <c r="C1549" s="54">
        <f>IF(_imp!$C$1551="","",INDEX(_imp!$F$4:$F$4503,_imp!$C$1551))</f>
        <v/>
      </c>
      <c r="D1549" s="54">
        <f>IF(_imp!$C$1551="","",INDEX(_imp!$G$4:$G$4503,_imp!$C$1551))</f>
        <v/>
      </c>
      <c r="E1549" s="54">
        <f>IF(_imp!$C$1551="","",INDEX(_imp!$H$4:$H$4503,_imp!$C$1551))</f>
        <v/>
      </c>
      <c r="F1549" s="54">
        <f>IF(_imp!$C$1551="","",INDEX(_imp!$I$4:$I$4503,_imp!$C$1551))</f>
        <v/>
      </c>
      <c r="G1549" s="54">
        <f>IF(_imp!$C$1551="","",INDEX(_imp!$J$4:$J$4503,_imp!$C$1551))</f>
        <v/>
      </c>
      <c r="K1549" s="54">
        <f>IF(_imp!$C$1551="","",INDEX(_imp!$K$4:$K$4503,_imp!$C$1551))</f>
        <v/>
      </c>
    </row>
    <row r="1550">
      <c r="A1550" s="54">
        <f>IF(_imp!$C$1552="","",INDEX(_imp!$D$4:$D$4503,_imp!$C$1552))</f>
        <v/>
      </c>
      <c r="B1550" s="54">
        <f>IF(_imp!$C$1552="","",INDEX(_imp!$E$4:$E$4503,_imp!$C$1552))</f>
        <v/>
      </c>
      <c r="C1550" s="54">
        <f>IF(_imp!$C$1552="","",INDEX(_imp!$F$4:$F$4503,_imp!$C$1552))</f>
        <v/>
      </c>
      <c r="D1550" s="54">
        <f>IF(_imp!$C$1552="","",INDEX(_imp!$G$4:$G$4503,_imp!$C$1552))</f>
        <v/>
      </c>
      <c r="E1550" s="54">
        <f>IF(_imp!$C$1552="","",INDEX(_imp!$H$4:$H$4503,_imp!$C$1552))</f>
        <v/>
      </c>
      <c r="F1550" s="54">
        <f>IF(_imp!$C$1552="","",INDEX(_imp!$I$4:$I$4503,_imp!$C$1552))</f>
        <v/>
      </c>
      <c r="G1550" s="54">
        <f>IF(_imp!$C$1552="","",INDEX(_imp!$J$4:$J$4503,_imp!$C$1552))</f>
        <v/>
      </c>
      <c r="K1550" s="54">
        <f>IF(_imp!$C$1552="","",INDEX(_imp!$K$4:$K$4503,_imp!$C$1552))</f>
        <v/>
      </c>
    </row>
    <row r="1551">
      <c r="A1551" s="54">
        <f>IF(_imp!$C$1553="","",INDEX(_imp!$D$4:$D$4503,_imp!$C$1553))</f>
        <v/>
      </c>
      <c r="B1551" s="54">
        <f>IF(_imp!$C$1553="","",INDEX(_imp!$E$4:$E$4503,_imp!$C$1553))</f>
        <v/>
      </c>
      <c r="C1551" s="54">
        <f>IF(_imp!$C$1553="","",INDEX(_imp!$F$4:$F$4503,_imp!$C$1553))</f>
        <v/>
      </c>
      <c r="D1551" s="54">
        <f>IF(_imp!$C$1553="","",INDEX(_imp!$G$4:$G$4503,_imp!$C$1553))</f>
        <v/>
      </c>
      <c r="E1551" s="54">
        <f>IF(_imp!$C$1553="","",INDEX(_imp!$H$4:$H$4503,_imp!$C$1553))</f>
        <v/>
      </c>
      <c r="F1551" s="54">
        <f>IF(_imp!$C$1553="","",INDEX(_imp!$I$4:$I$4503,_imp!$C$1553))</f>
        <v/>
      </c>
      <c r="G1551" s="54">
        <f>IF(_imp!$C$1553="","",INDEX(_imp!$J$4:$J$4503,_imp!$C$1553))</f>
        <v/>
      </c>
      <c r="K1551" s="54">
        <f>IF(_imp!$C$1553="","",INDEX(_imp!$K$4:$K$4503,_imp!$C$1553))</f>
        <v/>
      </c>
    </row>
    <row r="1552">
      <c r="A1552" s="54">
        <f>IF(_imp!$C$1554="","",INDEX(_imp!$D$4:$D$4503,_imp!$C$1554))</f>
        <v/>
      </c>
      <c r="B1552" s="54">
        <f>IF(_imp!$C$1554="","",INDEX(_imp!$E$4:$E$4503,_imp!$C$1554))</f>
        <v/>
      </c>
      <c r="C1552" s="54">
        <f>IF(_imp!$C$1554="","",INDEX(_imp!$F$4:$F$4503,_imp!$C$1554))</f>
        <v/>
      </c>
      <c r="D1552" s="54">
        <f>IF(_imp!$C$1554="","",INDEX(_imp!$G$4:$G$4503,_imp!$C$1554))</f>
        <v/>
      </c>
      <c r="E1552" s="54">
        <f>IF(_imp!$C$1554="","",INDEX(_imp!$H$4:$H$4503,_imp!$C$1554))</f>
        <v/>
      </c>
      <c r="F1552" s="54">
        <f>IF(_imp!$C$1554="","",INDEX(_imp!$I$4:$I$4503,_imp!$C$1554))</f>
        <v/>
      </c>
      <c r="G1552" s="54">
        <f>IF(_imp!$C$1554="","",INDEX(_imp!$J$4:$J$4503,_imp!$C$1554))</f>
        <v/>
      </c>
      <c r="K1552" s="54">
        <f>IF(_imp!$C$1554="","",INDEX(_imp!$K$4:$K$4503,_imp!$C$1554))</f>
        <v/>
      </c>
    </row>
    <row r="1553">
      <c r="A1553" s="54">
        <f>IF(_imp!$C$1555="","",INDEX(_imp!$D$4:$D$4503,_imp!$C$1555))</f>
        <v/>
      </c>
      <c r="B1553" s="54">
        <f>IF(_imp!$C$1555="","",INDEX(_imp!$E$4:$E$4503,_imp!$C$1555))</f>
        <v/>
      </c>
      <c r="C1553" s="54">
        <f>IF(_imp!$C$1555="","",INDEX(_imp!$F$4:$F$4503,_imp!$C$1555))</f>
        <v/>
      </c>
      <c r="D1553" s="54">
        <f>IF(_imp!$C$1555="","",INDEX(_imp!$G$4:$G$4503,_imp!$C$1555))</f>
        <v/>
      </c>
      <c r="E1553" s="54">
        <f>IF(_imp!$C$1555="","",INDEX(_imp!$H$4:$H$4503,_imp!$C$1555))</f>
        <v/>
      </c>
      <c r="F1553" s="54">
        <f>IF(_imp!$C$1555="","",INDEX(_imp!$I$4:$I$4503,_imp!$C$1555))</f>
        <v/>
      </c>
      <c r="G1553" s="54">
        <f>IF(_imp!$C$1555="","",INDEX(_imp!$J$4:$J$4503,_imp!$C$1555))</f>
        <v/>
      </c>
      <c r="K1553" s="54">
        <f>IF(_imp!$C$1555="","",INDEX(_imp!$K$4:$K$4503,_imp!$C$1555))</f>
        <v/>
      </c>
    </row>
    <row r="1554">
      <c r="A1554" s="54">
        <f>IF(_imp!$C$1556="","",INDEX(_imp!$D$4:$D$4503,_imp!$C$1556))</f>
        <v/>
      </c>
      <c r="B1554" s="54">
        <f>IF(_imp!$C$1556="","",INDEX(_imp!$E$4:$E$4503,_imp!$C$1556))</f>
        <v/>
      </c>
      <c r="C1554" s="54">
        <f>IF(_imp!$C$1556="","",INDEX(_imp!$F$4:$F$4503,_imp!$C$1556))</f>
        <v/>
      </c>
      <c r="D1554" s="54">
        <f>IF(_imp!$C$1556="","",INDEX(_imp!$G$4:$G$4503,_imp!$C$1556))</f>
        <v/>
      </c>
      <c r="E1554" s="54">
        <f>IF(_imp!$C$1556="","",INDEX(_imp!$H$4:$H$4503,_imp!$C$1556))</f>
        <v/>
      </c>
      <c r="F1554" s="54">
        <f>IF(_imp!$C$1556="","",INDEX(_imp!$I$4:$I$4503,_imp!$C$1556))</f>
        <v/>
      </c>
      <c r="G1554" s="54">
        <f>IF(_imp!$C$1556="","",INDEX(_imp!$J$4:$J$4503,_imp!$C$1556))</f>
        <v/>
      </c>
      <c r="K1554" s="54">
        <f>IF(_imp!$C$1556="","",INDEX(_imp!$K$4:$K$4503,_imp!$C$1556))</f>
        <v/>
      </c>
    </row>
    <row r="1555">
      <c r="A1555" s="54">
        <f>IF(_imp!$C$1557="","",INDEX(_imp!$D$4:$D$4503,_imp!$C$1557))</f>
        <v/>
      </c>
      <c r="B1555" s="54">
        <f>IF(_imp!$C$1557="","",INDEX(_imp!$E$4:$E$4503,_imp!$C$1557))</f>
        <v/>
      </c>
      <c r="C1555" s="54">
        <f>IF(_imp!$C$1557="","",INDEX(_imp!$F$4:$F$4503,_imp!$C$1557))</f>
        <v/>
      </c>
      <c r="D1555" s="54">
        <f>IF(_imp!$C$1557="","",INDEX(_imp!$G$4:$G$4503,_imp!$C$1557))</f>
        <v/>
      </c>
      <c r="E1555" s="54">
        <f>IF(_imp!$C$1557="","",INDEX(_imp!$H$4:$H$4503,_imp!$C$1557))</f>
        <v/>
      </c>
      <c r="F1555" s="54">
        <f>IF(_imp!$C$1557="","",INDEX(_imp!$I$4:$I$4503,_imp!$C$1557))</f>
        <v/>
      </c>
      <c r="G1555" s="54">
        <f>IF(_imp!$C$1557="","",INDEX(_imp!$J$4:$J$4503,_imp!$C$1557))</f>
        <v/>
      </c>
      <c r="K1555" s="54">
        <f>IF(_imp!$C$1557="","",INDEX(_imp!$K$4:$K$4503,_imp!$C$1557))</f>
        <v/>
      </c>
    </row>
    <row r="1556">
      <c r="A1556" s="54">
        <f>IF(_imp!$C$1558="","",INDEX(_imp!$D$4:$D$4503,_imp!$C$1558))</f>
        <v/>
      </c>
      <c r="B1556" s="54">
        <f>IF(_imp!$C$1558="","",INDEX(_imp!$E$4:$E$4503,_imp!$C$1558))</f>
        <v/>
      </c>
      <c r="C1556" s="54">
        <f>IF(_imp!$C$1558="","",INDEX(_imp!$F$4:$F$4503,_imp!$C$1558))</f>
        <v/>
      </c>
      <c r="D1556" s="54">
        <f>IF(_imp!$C$1558="","",INDEX(_imp!$G$4:$G$4503,_imp!$C$1558))</f>
        <v/>
      </c>
      <c r="E1556" s="54">
        <f>IF(_imp!$C$1558="","",INDEX(_imp!$H$4:$H$4503,_imp!$C$1558))</f>
        <v/>
      </c>
      <c r="F1556" s="54">
        <f>IF(_imp!$C$1558="","",INDEX(_imp!$I$4:$I$4503,_imp!$C$1558))</f>
        <v/>
      </c>
      <c r="G1556" s="54">
        <f>IF(_imp!$C$1558="","",INDEX(_imp!$J$4:$J$4503,_imp!$C$1558))</f>
        <v/>
      </c>
      <c r="K1556" s="54">
        <f>IF(_imp!$C$1558="","",INDEX(_imp!$K$4:$K$4503,_imp!$C$1558))</f>
        <v/>
      </c>
    </row>
    <row r="1557">
      <c r="A1557" s="54">
        <f>IF(_imp!$C$1559="","",INDEX(_imp!$D$4:$D$4503,_imp!$C$1559))</f>
        <v/>
      </c>
      <c r="B1557" s="54">
        <f>IF(_imp!$C$1559="","",INDEX(_imp!$E$4:$E$4503,_imp!$C$1559))</f>
        <v/>
      </c>
      <c r="C1557" s="54">
        <f>IF(_imp!$C$1559="","",INDEX(_imp!$F$4:$F$4503,_imp!$C$1559))</f>
        <v/>
      </c>
      <c r="D1557" s="54">
        <f>IF(_imp!$C$1559="","",INDEX(_imp!$G$4:$G$4503,_imp!$C$1559))</f>
        <v/>
      </c>
      <c r="E1557" s="54">
        <f>IF(_imp!$C$1559="","",INDEX(_imp!$H$4:$H$4503,_imp!$C$1559))</f>
        <v/>
      </c>
      <c r="F1557" s="54">
        <f>IF(_imp!$C$1559="","",INDEX(_imp!$I$4:$I$4503,_imp!$C$1559))</f>
        <v/>
      </c>
      <c r="G1557" s="54">
        <f>IF(_imp!$C$1559="","",INDEX(_imp!$J$4:$J$4503,_imp!$C$1559))</f>
        <v/>
      </c>
      <c r="K1557" s="54">
        <f>IF(_imp!$C$1559="","",INDEX(_imp!$K$4:$K$4503,_imp!$C$1559))</f>
        <v/>
      </c>
    </row>
    <row r="1558">
      <c r="A1558" s="54">
        <f>IF(_imp!$C$1560="","",INDEX(_imp!$D$4:$D$4503,_imp!$C$1560))</f>
        <v/>
      </c>
      <c r="B1558" s="54">
        <f>IF(_imp!$C$1560="","",INDEX(_imp!$E$4:$E$4503,_imp!$C$1560))</f>
        <v/>
      </c>
      <c r="C1558" s="54">
        <f>IF(_imp!$C$1560="","",INDEX(_imp!$F$4:$F$4503,_imp!$C$1560))</f>
        <v/>
      </c>
      <c r="D1558" s="54">
        <f>IF(_imp!$C$1560="","",INDEX(_imp!$G$4:$G$4503,_imp!$C$1560))</f>
        <v/>
      </c>
      <c r="E1558" s="54">
        <f>IF(_imp!$C$1560="","",INDEX(_imp!$H$4:$H$4503,_imp!$C$1560))</f>
        <v/>
      </c>
      <c r="F1558" s="54">
        <f>IF(_imp!$C$1560="","",INDEX(_imp!$I$4:$I$4503,_imp!$C$1560))</f>
        <v/>
      </c>
      <c r="G1558" s="54">
        <f>IF(_imp!$C$1560="","",INDEX(_imp!$J$4:$J$4503,_imp!$C$1560))</f>
        <v/>
      </c>
      <c r="K1558" s="54">
        <f>IF(_imp!$C$1560="","",INDEX(_imp!$K$4:$K$4503,_imp!$C$1560))</f>
        <v/>
      </c>
    </row>
    <row r="1559">
      <c r="A1559" s="54">
        <f>IF(_imp!$C$1561="","",INDEX(_imp!$D$4:$D$4503,_imp!$C$1561))</f>
        <v/>
      </c>
      <c r="B1559" s="54">
        <f>IF(_imp!$C$1561="","",INDEX(_imp!$E$4:$E$4503,_imp!$C$1561))</f>
        <v/>
      </c>
      <c r="C1559" s="54">
        <f>IF(_imp!$C$1561="","",INDEX(_imp!$F$4:$F$4503,_imp!$C$1561))</f>
        <v/>
      </c>
      <c r="D1559" s="54">
        <f>IF(_imp!$C$1561="","",INDEX(_imp!$G$4:$G$4503,_imp!$C$1561))</f>
        <v/>
      </c>
      <c r="E1559" s="54">
        <f>IF(_imp!$C$1561="","",INDEX(_imp!$H$4:$H$4503,_imp!$C$1561))</f>
        <v/>
      </c>
      <c r="F1559" s="54">
        <f>IF(_imp!$C$1561="","",INDEX(_imp!$I$4:$I$4503,_imp!$C$1561))</f>
        <v/>
      </c>
      <c r="G1559" s="54">
        <f>IF(_imp!$C$1561="","",INDEX(_imp!$J$4:$J$4503,_imp!$C$1561))</f>
        <v/>
      </c>
      <c r="K1559" s="54">
        <f>IF(_imp!$C$1561="","",INDEX(_imp!$K$4:$K$4503,_imp!$C$1561))</f>
        <v/>
      </c>
    </row>
    <row r="1560">
      <c r="A1560" s="54">
        <f>IF(_imp!$C$1562="","",INDEX(_imp!$D$4:$D$4503,_imp!$C$1562))</f>
        <v/>
      </c>
      <c r="B1560" s="54">
        <f>IF(_imp!$C$1562="","",INDEX(_imp!$E$4:$E$4503,_imp!$C$1562))</f>
        <v/>
      </c>
      <c r="C1560" s="54">
        <f>IF(_imp!$C$1562="","",INDEX(_imp!$F$4:$F$4503,_imp!$C$1562))</f>
        <v/>
      </c>
      <c r="D1560" s="54">
        <f>IF(_imp!$C$1562="","",INDEX(_imp!$G$4:$G$4503,_imp!$C$1562))</f>
        <v/>
      </c>
      <c r="E1560" s="54">
        <f>IF(_imp!$C$1562="","",INDEX(_imp!$H$4:$H$4503,_imp!$C$1562))</f>
        <v/>
      </c>
      <c r="F1560" s="54">
        <f>IF(_imp!$C$1562="","",INDEX(_imp!$I$4:$I$4503,_imp!$C$1562))</f>
        <v/>
      </c>
      <c r="G1560" s="54">
        <f>IF(_imp!$C$1562="","",INDEX(_imp!$J$4:$J$4503,_imp!$C$1562))</f>
        <v/>
      </c>
      <c r="K1560" s="54">
        <f>IF(_imp!$C$1562="","",INDEX(_imp!$K$4:$K$4503,_imp!$C$1562))</f>
        <v/>
      </c>
    </row>
    <row r="1561">
      <c r="A1561" s="54">
        <f>IF(_imp!$C$1563="","",INDEX(_imp!$D$4:$D$4503,_imp!$C$1563))</f>
        <v/>
      </c>
      <c r="B1561" s="54">
        <f>IF(_imp!$C$1563="","",INDEX(_imp!$E$4:$E$4503,_imp!$C$1563))</f>
        <v/>
      </c>
      <c r="C1561" s="54">
        <f>IF(_imp!$C$1563="","",INDEX(_imp!$F$4:$F$4503,_imp!$C$1563))</f>
        <v/>
      </c>
      <c r="D1561" s="54">
        <f>IF(_imp!$C$1563="","",INDEX(_imp!$G$4:$G$4503,_imp!$C$1563))</f>
        <v/>
      </c>
      <c r="E1561" s="54">
        <f>IF(_imp!$C$1563="","",INDEX(_imp!$H$4:$H$4503,_imp!$C$1563))</f>
        <v/>
      </c>
      <c r="F1561" s="54">
        <f>IF(_imp!$C$1563="","",INDEX(_imp!$I$4:$I$4503,_imp!$C$1563))</f>
        <v/>
      </c>
      <c r="G1561" s="54">
        <f>IF(_imp!$C$1563="","",INDEX(_imp!$J$4:$J$4503,_imp!$C$1563))</f>
        <v/>
      </c>
      <c r="K1561" s="54">
        <f>IF(_imp!$C$1563="","",INDEX(_imp!$K$4:$K$4503,_imp!$C$1563))</f>
        <v/>
      </c>
    </row>
    <row r="1562">
      <c r="A1562" s="54">
        <f>IF(_imp!$C$1564="","",INDEX(_imp!$D$4:$D$4503,_imp!$C$1564))</f>
        <v/>
      </c>
      <c r="B1562" s="54">
        <f>IF(_imp!$C$1564="","",INDEX(_imp!$E$4:$E$4503,_imp!$C$1564))</f>
        <v/>
      </c>
      <c r="C1562" s="54">
        <f>IF(_imp!$C$1564="","",INDEX(_imp!$F$4:$F$4503,_imp!$C$1564))</f>
        <v/>
      </c>
      <c r="D1562" s="54">
        <f>IF(_imp!$C$1564="","",INDEX(_imp!$G$4:$G$4503,_imp!$C$1564))</f>
        <v/>
      </c>
      <c r="E1562" s="54">
        <f>IF(_imp!$C$1564="","",INDEX(_imp!$H$4:$H$4503,_imp!$C$1564))</f>
        <v/>
      </c>
      <c r="F1562" s="54">
        <f>IF(_imp!$C$1564="","",INDEX(_imp!$I$4:$I$4503,_imp!$C$1564))</f>
        <v/>
      </c>
      <c r="G1562" s="54">
        <f>IF(_imp!$C$1564="","",INDEX(_imp!$J$4:$J$4503,_imp!$C$1564))</f>
        <v/>
      </c>
      <c r="K1562" s="54">
        <f>IF(_imp!$C$1564="","",INDEX(_imp!$K$4:$K$4503,_imp!$C$1564))</f>
        <v/>
      </c>
    </row>
    <row r="1563">
      <c r="A1563" s="54">
        <f>IF(_imp!$C$1565="","",INDEX(_imp!$D$4:$D$4503,_imp!$C$1565))</f>
        <v/>
      </c>
      <c r="B1563" s="54">
        <f>IF(_imp!$C$1565="","",INDEX(_imp!$E$4:$E$4503,_imp!$C$1565))</f>
        <v/>
      </c>
      <c r="C1563" s="54">
        <f>IF(_imp!$C$1565="","",INDEX(_imp!$F$4:$F$4503,_imp!$C$1565))</f>
        <v/>
      </c>
      <c r="D1563" s="54">
        <f>IF(_imp!$C$1565="","",INDEX(_imp!$G$4:$G$4503,_imp!$C$1565))</f>
        <v/>
      </c>
      <c r="E1563" s="54">
        <f>IF(_imp!$C$1565="","",INDEX(_imp!$H$4:$H$4503,_imp!$C$1565))</f>
        <v/>
      </c>
      <c r="F1563" s="54">
        <f>IF(_imp!$C$1565="","",INDEX(_imp!$I$4:$I$4503,_imp!$C$1565))</f>
        <v/>
      </c>
      <c r="G1563" s="54">
        <f>IF(_imp!$C$1565="","",INDEX(_imp!$J$4:$J$4503,_imp!$C$1565))</f>
        <v/>
      </c>
      <c r="K1563" s="54">
        <f>IF(_imp!$C$1565="","",INDEX(_imp!$K$4:$K$4503,_imp!$C$1565))</f>
        <v/>
      </c>
    </row>
    <row r="1564">
      <c r="A1564" s="54">
        <f>IF(_imp!$C$1566="","",INDEX(_imp!$D$4:$D$4503,_imp!$C$1566))</f>
        <v/>
      </c>
      <c r="B1564" s="54">
        <f>IF(_imp!$C$1566="","",INDEX(_imp!$E$4:$E$4503,_imp!$C$1566))</f>
        <v/>
      </c>
      <c r="C1564" s="54">
        <f>IF(_imp!$C$1566="","",INDEX(_imp!$F$4:$F$4503,_imp!$C$1566))</f>
        <v/>
      </c>
      <c r="D1564" s="54">
        <f>IF(_imp!$C$1566="","",INDEX(_imp!$G$4:$G$4503,_imp!$C$1566))</f>
        <v/>
      </c>
      <c r="E1564" s="54">
        <f>IF(_imp!$C$1566="","",INDEX(_imp!$H$4:$H$4503,_imp!$C$1566))</f>
        <v/>
      </c>
      <c r="F1564" s="54">
        <f>IF(_imp!$C$1566="","",INDEX(_imp!$I$4:$I$4503,_imp!$C$1566))</f>
        <v/>
      </c>
      <c r="G1564" s="54">
        <f>IF(_imp!$C$1566="","",INDEX(_imp!$J$4:$J$4503,_imp!$C$1566))</f>
        <v/>
      </c>
      <c r="K1564" s="54">
        <f>IF(_imp!$C$1566="","",INDEX(_imp!$K$4:$K$4503,_imp!$C$1566))</f>
        <v/>
      </c>
    </row>
    <row r="1565">
      <c r="A1565" s="54">
        <f>IF(_imp!$C$1567="","",INDEX(_imp!$D$4:$D$4503,_imp!$C$1567))</f>
        <v/>
      </c>
      <c r="B1565" s="54">
        <f>IF(_imp!$C$1567="","",INDEX(_imp!$E$4:$E$4503,_imp!$C$1567))</f>
        <v/>
      </c>
      <c r="C1565" s="54">
        <f>IF(_imp!$C$1567="","",INDEX(_imp!$F$4:$F$4503,_imp!$C$1567))</f>
        <v/>
      </c>
      <c r="D1565" s="54">
        <f>IF(_imp!$C$1567="","",INDEX(_imp!$G$4:$G$4503,_imp!$C$1567))</f>
        <v/>
      </c>
      <c r="E1565" s="54">
        <f>IF(_imp!$C$1567="","",INDEX(_imp!$H$4:$H$4503,_imp!$C$1567))</f>
        <v/>
      </c>
      <c r="F1565" s="54">
        <f>IF(_imp!$C$1567="","",INDEX(_imp!$I$4:$I$4503,_imp!$C$1567))</f>
        <v/>
      </c>
      <c r="G1565" s="54">
        <f>IF(_imp!$C$1567="","",INDEX(_imp!$J$4:$J$4503,_imp!$C$1567))</f>
        <v/>
      </c>
      <c r="K1565" s="54">
        <f>IF(_imp!$C$1567="","",INDEX(_imp!$K$4:$K$4503,_imp!$C$1567))</f>
        <v/>
      </c>
    </row>
    <row r="1566">
      <c r="A1566" s="54">
        <f>IF(_imp!$C$1568="","",INDEX(_imp!$D$4:$D$4503,_imp!$C$1568))</f>
        <v/>
      </c>
      <c r="B1566" s="54">
        <f>IF(_imp!$C$1568="","",INDEX(_imp!$E$4:$E$4503,_imp!$C$1568))</f>
        <v/>
      </c>
      <c r="C1566" s="54">
        <f>IF(_imp!$C$1568="","",INDEX(_imp!$F$4:$F$4503,_imp!$C$1568))</f>
        <v/>
      </c>
      <c r="D1566" s="54">
        <f>IF(_imp!$C$1568="","",INDEX(_imp!$G$4:$G$4503,_imp!$C$1568))</f>
        <v/>
      </c>
      <c r="E1566" s="54">
        <f>IF(_imp!$C$1568="","",INDEX(_imp!$H$4:$H$4503,_imp!$C$1568))</f>
        <v/>
      </c>
      <c r="F1566" s="54">
        <f>IF(_imp!$C$1568="","",INDEX(_imp!$I$4:$I$4503,_imp!$C$1568))</f>
        <v/>
      </c>
      <c r="G1566" s="54">
        <f>IF(_imp!$C$1568="","",INDEX(_imp!$J$4:$J$4503,_imp!$C$1568))</f>
        <v/>
      </c>
      <c r="K1566" s="54">
        <f>IF(_imp!$C$1568="","",INDEX(_imp!$K$4:$K$4503,_imp!$C$1568))</f>
        <v/>
      </c>
    </row>
    <row r="1567">
      <c r="A1567" s="54">
        <f>IF(_imp!$C$1569="","",INDEX(_imp!$D$4:$D$4503,_imp!$C$1569))</f>
        <v/>
      </c>
      <c r="B1567" s="54">
        <f>IF(_imp!$C$1569="","",INDEX(_imp!$E$4:$E$4503,_imp!$C$1569))</f>
        <v/>
      </c>
      <c r="C1567" s="54">
        <f>IF(_imp!$C$1569="","",INDEX(_imp!$F$4:$F$4503,_imp!$C$1569))</f>
        <v/>
      </c>
      <c r="D1567" s="54">
        <f>IF(_imp!$C$1569="","",INDEX(_imp!$G$4:$G$4503,_imp!$C$1569))</f>
        <v/>
      </c>
      <c r="E1567" s="54">
        <f>IF(_imp!$C$1569="","",INDEX(_imp!$H$4:$H$4503,_imp!$C$1569))</f>
        <v/>
      </c>
      <c r="F1567" s="54">
        <f>IF(_imp!$C$1569="","",INDEX(_imp!$I$4:$I$4503,_imp!$C$1569))</f>
        <v/>
      </c>
      <c r="G1567" s="54">
        <f>IF(_imp!$C$1569="","",INDEX(_imp!$J$4:$J$4503,_imp!$C$1569))</f>
        <v/>
      </c>
      <c r="K1567" s="54">
        <f>IF(_imp!$C$1569="","",INDEX(_imp!$K$4:$K$4503,_imp!$C$1569))</f>
        <v/>
      </c>
    </row>
    <row r="1568">
      <c r="A1568" s="54">
        <f>IF(_imp!$C$1570="","",INDEX(_imp!$D$4:$D$4503,_imp!$C$1570))</f>
        <v/>
      </c>
      <c r="B1568" s="54">
        <f>IF(_imp!$C$1570="","",INDEX(_imp!$E$4:$E$4503,_imp!$C$1570))</f>
        <v/>
      </c>
      <c r="C1568" s="54">
        <f>IF(_imp!$C$1570="","",INDEX(_imp!$F$4:$F$4503,_imp!$C$1570))</f>
        <v/>
      </c>
      <c r="D1568" s="54">
        <f>IF(_imp!$C$1570="","",INDEX(_imp!$G$4:$G$4503,_imp!$C$1570))</f>
        <v/>
      </c>
      <c r="E1568" s="54">
        <f>IF(_imp!$C$1570="","",INDEX(_imp!$H$4:$H$4503,_imp!$C$1570))</f>
        <v/>
      </c>
      <c r="F1568" s="54">
        <f>IF(_imp!$C$1570="","",INDEX(_imp!$I$4:$I$4503,_imp!$C$1570))</f>
        <v/>
      </c>
      <c r="G1568" s="54">
        <f>IF(_imp!$C$1570="","",INDEX(_imp!$J$4:$J$4503,_imp!$C$1570))</f>
        <v/>
      </c>
      <c r="K1568" s="54">
        <f>IF(_imp!$C$1570="","",INDEX(_imp!$K$4:$K$4503,_imp!$C$1570))</f>
        <v/>
      </c>
    </row>
    <row r="1569">
      <c r="A1569" s="54">
        <f>IF(_imp!$C$1571="","",INDEX(_imp!$D$4:$D$4503,_imp!$C$1571))</f>
        <v/>
      </c>
      <c r="B1569" s="54">
        <f>IF(_imp!$C$1571="","",INDEX(_imp!$E$4:$E$4503,_imp!$C$1571))</f>
        <v/>
      </c>
      <c r="C1569" s="54">
        <f>IF(_imp!$C$1571="","",INDEX(_imp!$F$4:$F$4503,_imp!$C$1571))</f>
        <v/>
      </c>
      <c r="D1569" s="54">
        <f>IF(_imp!$C$1571="","",INDEX(_imp!$G$4:$G$4503,_imp!$C$1571))</f>
        <v/>
      </c>
      <c r="E1569" s="54">
        <f>IF(_imp!$C$1571="","",INDEX(_imp!$H$4:$H$4503,_imp!$C$1571))</f>
        <v/>
      </c>
      <c r="F1569" s="54">
        <f>IF(_imp!$C$1571="","",INDEX(_imp!$I$4:$I$4503,_imp!$C$1571))</f>
        <v/>
      </c>
      <c r="G1569" s="54">
        <f>IF(_imp!$C$1571="","",INDEX(_imp!$J$4:$J$4503,_imp!$C$1571))</f>
        <v/>
      </c>
      <c r="K1569" s="54">
        <f>IF(_imp!$C$1571="","",INDEX(_imp!$K$4:$K$4503,_imp!$C$1571))</f>
        <v/>
      </c>
    </row>
    <row r="1570">
      <c r="A1570" s="54">
        <f>IF(_imp!$C$1572="","",INDEX(_imp!$D$4:$D$4503,_imp!$C$1572))</f>
        <v/>
      </c>
      <c r="B1570" s="54">
        <f>IF(_imp!$C$1572="","",INDEX(_imp!$E$4:$E$4503,_imp!$C$1572))</f>
        <v/>
      </c>
      <c r="C1570" s="54">
        <f>IF(_imp!$C$1572="","",INDEX(_imp!$F$4:$F$4503,_imp!$C$1572))</f>
        <v/>
      </c>
      <c r="D1570" s="54">
        <f>IF(_imp!$C$1572="","",INDEX(_imp!$G$4:$G$4503,_imp!$C$1572))</f>
        <v/>
      </c>
      <c r="E1570" s="54">
        <f>IF(_imp!$C$1572="","",INDEX(_imp!$H$4:$H$4503,_imp!$C$1572))</f>
        <v/>
      </c>
      <c r="F1570" s="54">
        <f>IF(_imp!$C$1572="","",INDEX(_imp!$I$4:$I$4503,_imp!$C$1572))</f>
        <v/>
      </c>
      <c r="G1570" s="54">
        <f>IF(_imp!$C$1572="","",INDEX(_imp!$J$4:$J$4503,_imp!$C$1572))</f>
        <v/>
      </c>
      <c r="K1570" s="54">
        <f>IF(_imp!$C$1572="","",INDEX(_imp!$K$4:$K$4503,_imp!$C$1572))</f>
        <v/>
      </c>
    </row>
    <row r="1571">
      <c r="A1571" s="54">
        <f>IF(_imp!$C$1573="","",INDEX(_imp!$D$4:$D$4503,_imp!$C$1573))</f>
        <v/>
      </c>
      <c r="B1571" s="54">
        <f>IF(_imp!$C$1573="","",INDEX(_imp!$E$4:$E$4503,_imp!$C$1573))</f>
        <v/>
      </c>
      <c r="C1571" s="54">
        <f>IF(_imp!$C$1573="","",INDEX(_imp!$F$4:$F$4503,_imp!$C$1573))</f>
        <v/>
      </c>
      <c r="D1571" s="54">
        <f>IF(_imp!$C$1573="","",INDEX(_imp!$G$4:$G$4503,_imp!$C$1573))</f>
        <v/>
      </c>
      <c r="E1571" s="54">
        <f>IF(_imp!$C$1573="","",INDEX(_imp!$H$4:$H$4503,_imp!$C$1573))</f>
        <v/>
      </c>
      <c r="F1571" s="54">
        <f>IF(_imp!$C$1573="","",INDEX(_imp!$I$4:$I$4503,_imp!$C$1573))</f>
        <v/>
      </c>
      <c r="G1571" s="54">
        <f>IF(_imp!$C$1573="","",INDEX(_imp!$J$4:$J$4503,_imp!$C$1573))</f>
        <v/>
      </c>
      <c r="K1571" s="54">
        <f>IF(_imp!$C$1573="","",INDEX(_imp!$K$4:$K$4503,_imp!$C$1573))</f>
        <v/>
      </c>
    </row>
    <row r="1572">
      <c r="A1572" s="54">
        <f>IF(_imp!$C$1574="","",INDEX(_imp!$D$4:$D$4503,_imp!$C$1574))</f>
        <v/>
      </c>
      <c r="B1572" s="54">
        <f>IF(_imp!$C$1574="","",INDEX(_imp!$E$4:$E$4503,_imp!$C$1574))</f>
        <v/>
      </c>
      <c r="C1572" s="54">
        <f>IF(_imp!$C$1574="","",INDEX(_imp!$F$4:$F$4503,_imp!$C$1574))</f>
        <v/>
      </c>
      <c r="D1572" s="54">
        <f>IF(_imp!$C$1574="","",INDEX(_imp!$G$4:$G$4503,_imp!$C$1574))</f>
        <v/>
      </c>
      <c r="E1572" s="54">
        <f>IF(_imp!$C$1574="","",INDEX(_imp!$H$4:$H$4503,_imp!$C$1574))</f>
        <v/>
      </c>
      <c r="F1572" s="54">
        <f>IF(_imp!$C$1574="","",INDEX(_imp!$I$4:$I$4503,_imp!$C$1574))</f>
        <v/>
      </c>
      <c r="G1572" s="54">
        <f>IF(_imp!$C$1574="","",INDEX(_imp!$J$4:$J$4503,_imp!$C$1574))</f>
        <v/>
      </c>
      <c r="K1572" s="54">
        <f>IF(_imp!$C$1574="","",INDEX(_imp!$K$4:$K$4503,_imp!$C$1574))</f>
        <v/>
      </c>
    </row>
    <row r="1573">
      <c r="A1573" s="54">
        <f>IF(_imp!$C$1575="","",INDEX(_imp!$D$4:$D$4503,_imp!$C$1575))</f>
        <v/>
      </c>
      <c r="B1573" s="54">
        <f>IF(_imp!$C$1575="","",INDEX(_imp!$E$4:$E$4503,_imp!$C$1575))</f>
        <v/>
      </c>
      <c r="C1573" s="54">
        <f>IF(_imp!$C$1575="","",INDEX(_imp!$F$4:$F$4503,_imp!$C$1575))</f>
        <v/>
      </c>
      <c r="D1573" s="54">
        <f>IF(_imp!$C$1575="","",INDEX(_imp!$G$4:$G$4503,_imp!$C$1575))</f>
        <v/>
      </c>
      <c r="E1573" s="54">
        <f>IF(_imp!$C$1575="","",INDEX(_imp!$H$4:$H$4503,_imp!$C$1575))</f>
        <v/>
      </c>
      <c r="F1573" s="54">
        <f>IF(_imp!$C$1575="","",INDEX(_imp!$I$4:$I$4503,_imp!$C$1575))</f>
        <v/>
      </c>
      <c r="G1573" s="54">
        <f>IF(_imp!$C$1575="","",INDEX(_imp!$J$4:$J$4503,_imp!$C$1575))</f>
        <v/>
      </c>
      <c r="K1573" s="54">
        <f>IF(_imp!$C$1575="","",INDEX(_imp!$K$4:$K$4503,_imp!$C$1575))</f>
        <v/>
      </c>
    </row>
    <row r="1574">
      <c r="A1574" s="54">
        <f>IF(_imp!$C$1576="","",INDEX(_imp!$D$4:$D$4503,_imp!$C$1576))</f>
        <v/>
      </c>
      <c r="B1574" s="54">
        <f>IF(_imp!$C$1576="","",INDEX(_imp!$E$4:$E$4503,_imp!$C$1576))</f>
        <v/>
      </c>
      <c r="C1574" s="54">
        <f>IF(_imp!$C$1576="","",INDEX(_imp!$F$4:$F$4503,_imp!$C$1576))</f>
        <v/>
      </c>
      <c r="D1574" s="54">
        <f>IF(_imp!$C$1576="","",INDEX(_imp!$G$4:$G$4503,_imp!$C$1576))</f>
        <v/>
      </c>
      <c r="E1574" s="54">
        <f>IF(_imp!$C$1576="","",INDEX(_imp!$H$4:$H$4503,_imp!$C$1576))</f>
        <v/>
      </c>
      <c r="F1574" s="54">
        <f>IF(_imp!$C$1576="","",INDEX(_imp!$I$4:$I$4503,_imp!$C$1576))</f>
        <v/>
      </c>
      <c r="G1574" s="54">
        <f>IF(_imp!$C$1576="","",INDEX(_imp!$J$4:$J$4503,_imp!$C$1576))</f>
        <v/>
      </c>
      <c r="K1574" s="54">
        <f>IF(_imp!$C$1576="","",INDEX(_imp!$K$4:$K$4503,_imp!$C$1576))</f>
        <v/>
      </c>
    </row>
    <row r="1575">
      <c r="A1575" s="54">
        <f>IF(_imp!$C$1577="","",INDEX(_imp!$D$4:$D$4503,_imp!$C$1577))</f>
        <v/>
      </c>
      <c r="B1575" s="54">
        <f>IF(_imp!$C$1577="","",INDEX(_imp!$E$4:$E$4503,_imp!$C$1577))</f>
        <v/>
      </c>
      <c r="C1575" s="54">
        <f>IF(_imp!$C$1577="","",INDEX(_imp!$F$4:$F$4503,_imp!$C$1577))</f>
        <v/>
      </c>
      <c r="D1575" s="54">
        <f>IF(_imp!$C$1577="","",INDEX(_imp!$G$4:$G$4503,_imp!$C$1577))</f>
        <v/>
      </c>
      <c r="E1575" s="54">
        <f>IF(_imp!$C$1577="","",INDEX(_imp!$H$4:$H$4503,_imp!$C$1577))</f>
        <v/>
      </c>
      <c r="F1575" s="54">
        <f>IF(_imp!$C$1577="","",INDEX(_imp!$I$4:$I$4503,_imp!$C$1577))</f>
        <v/>
      </c>
      <c r="G1575" s="54">
        <f>IF(_imp!$C$1577="","",INDEX(_imp!$J$4:$J$4503,_imp!$C$1577))</f>
        <v/>
      </c>
      <c r="K1575" s="54">
        <f>IF(_imp!$C$1577="","",INDEX(_imp!$K$4:$K$4503,_imp!$C$1577))</f>
        <v/>
      </c>
    </row>
    <row r="1576">
      <c r="A1576" s="54">
        <f>IF(_imp!$C$1578="","",INDEX(_imp!$D$4:$D$4503,_imp!$C$1578))</f>
        <v/>
      </c>
      <c r="B1576" s="54">
        <f>IF(_imp!$C$1578="","",INDEX(_imp!$E$4:$E$4503,_imp!$C$1578))</f>
        <v/>
      </c>
      <c r="C1576" s="54">
        <f>IF(_imp!$C$1578="","",INDEX(_imp!$F$4:$F$4503,_imp!$C$1578))</f>
        <v/>
      </c>
      <c r="D1576" s="54">
        <f>IF(_imp!$C$1578="","",INDEX(_imp!$G$4:$G$4503,_imp!$C$1578))</f>
        <v/>
      </c>
      <c r="E1576" s="54">
        <f>IF(_imp!$C$1578="","",INDEX(_imp!$H$4:$H$4503,_imp!$C$1578))</f>
        <v/>
      </c>
      <c r="F1576" s="54">
        <f>IF(_imp!$C$1578="","",INDEX(_imp!$I$4:$I$4503,_imp!$C$1578))</f>
        <v/>
      </c>
      <c r="G1576" s="54">
        <f>IF(_imp!$C$1578="","",INDEX(_imp!$J$4:$J$4503,_imp!$C$1578))</f>
        <v/>
      </c>
      <c r="K1576" s="54">
        <f>IF(_imp!$C$1578="","",INDEX(_imp!$K$4:$K$4503,_imp!$C$1578))</f>
        <v/>
      </c>
    </row>
    <row r="1577">
      <c r="A1577" s="54">
        <f>IF(_imp!$C$1579="","",INDEX(_imp!$D$4:$D$4503,_imp!$C$1579))</f>
        <v/>
      </c>
      <c r="B1577" s="54">
        <f>IF(_imp!$C$1579="","",INDEX(_imp!$E$4:$E$4503,_imp!$C$1579))</f>
        <v/>
      </c>
      <c r="C1577" s="54">
        <f>IF(_imp!$C$1579="","",INDEX(_imp!$F$4:$F$4503,_imp!$C$1579))</f>
        <v/>
      </c>
      <c r="D1577" s="54">
        <f>IF(_imp!$C$1579="","",INDEX(_imp!$G$4:$G$4503,_imp!$C$1579))</f>
        <v/>
      </c>
      <c r="E1577" s="54">
        <f>IF(_imp!$C$1579="","",INDEX(_imp!$H$4:$H$4503,_imp!$C$1579))</f>
        <v/>
      </c>
      <c r="F1577" s="54">
        <f>IF(_imp!$C$1579="","",INDEX(_imp!$I$4:$I$4503,_imp!$C$1579))</f>
        <v/>
      </c>
      <c r="G1577" s="54">
        <f>IF(_imp!$C$1579="","",INDEX(_imp!$J$4:$J$4503,_imp!$C$1579))</f>
        <v/>
      </c>
      <c r="K1577" s="54">
        <f>IF(_imp!$C$1579="","",INDEX(_imp!$K$4:$K$4503,_imp!$C$1579))</f>
        <v/>
      </c>
    </row>
    <row r="1578">
      <c r="A1578" s="54">
        <f>IF(_imp!$C$1580="","",INDEX(_imp!$D$4:$D$4503,_imp!$C$1580))</f>
        <v/>
      </c>
      <c r="B1578" s="54">
        <f>IF(_imp!$C$1580="","",INDEX(_imp!$E$4:$E$4503,_imp!$C$1580))</f>
        <v/>
      </c>
      <c r="C1578" s="54">
        <f>IF(_imp!$C$1580="","",INDEX(_imp!$F$4:$F$4503,_imp!$C$1580))</f>
        <v/>
      </c>
      <c r="D1578" s="54">
        <f>IF(_imp!$C$1580="","",INDEX(_imp!$G$4:$G$4503,_imp!$C$1580))</f>
        <v/>
      </c>
      <c r="E1578" s="54">
        <f>IF(_imp!$C$1580="","",INDEX(_imp!$H$4:$H$4503,_imp!$C$1580))</f>
        <v/>
      </c>
      <c r="F1578" s="54">
        <f>IF(_imp!$C$1580="","",INDEX(_imp!$I$4:$I$4503,_imp!$C$1580))</f>
        <v/>
      </c>
      <c r="G1578" s="54">
        <f>IF(_imp!$C$1580="","",INDEX(_imp!$J$4:$J$4503,_imp!$C$1580))</f>
        <v/>
      </c>
      <c r="K1578" s="54">
        <f>IF(_imp!$C$1580="","",INDEX(_imp!$K$4:$K$4503,_imp!$C$1580))</f>
        <v/>
      </c>
    </row>
    <row r="1579">
      <c r="A1579" s="54">
        <f>IF(_imp!$C$1581="","",INDEX(_imp!$D$4:$D$4503,_imp!$C$1581))</f>
        <v/>
      </c>
      <c r="B1579" s="54">
        <f>IF(_imp!$C$1581="","",INDEX(_imp!$E$4:$E$4503,_imp!$C$1581))</f>
        <v/>
      </c>
      <c r="C1579" s="54">
        <f>IF(_imp!$C$1581="","",INDEX(_imp!$F$4:$F$4503,_imp!$C$1581))</f>
        <v/>
      </c>
      <c r="D1579" s="54">
        <f>IF(_imp!$C$1581="","",INDEX(_imp!$G$4:$G$4503,_imp!$C$1581))</f>
        <v/>
      </c>
      <c r="E1579" s="54">
        <f>IF(_imp!$C$1581="","",INDEX(_imp!$H$4:$H$4503,_imp!$C$1581))</f>
        <v/>
      </c>
      <c r="F1579" s="54">
        <f>IF(_imp!$C$1581="","",INDEX(_imp!$I$4:$I$4503,_imp!$C$1581))</f>
        <v/>
      </c>
      <c r="G1579" s="54">
        <f>IF(_imp!$C$1581="","",INDEX(_imp!$J$4:$J$4503,_imp!$C$1581))</f>
        <v/>
      </c>
      <c r="K1579" s="54">
        <f>IF(_imp!$C$1581="","",INDEX(_imp!$K$4:$K$4503,_imp!$C$1581))</f>
        <v/>
      </c>
    </row>
    <row r="1580">
      <c r="A1580" s="54">
        <f>IF(_imp!$C$1582="","",INDEX(_imp!$D$4:$D$4503,_imp!$C$1582))</f>
        <v/>
      </c>
      <c r="B1580" s="54">
        <f>IF(_imp!$C$1582="","",INDEX(_imp!$E$4:$E$4503,_imp!$C$1582))</f>
        <v/>
      </c>
      <c r="C1580" s="54">
        <f>IF(_imp!$C$1582="","",INDEX(_imp!$F$4:$F$4503,_imp!$C$1582))</f>
        <v/>
      </c>
      <c r="D1580" s="54">
        <f>IF(_imp!$C$1582="","",INDEX(_imp!$G$4:$G$4503,_imp!$C$1582))</f>
        <v/>
      </c>
      <c r="E1580" s="54">
        <f>IF(_imp!$C$1582="","",INDEX(_imp!$H$4:$H$4503,_imp!$C$1582))</f>
        <v/>
      </c>
      <c r="F1580" s="54">
        <f>IF(_imp!$C$1582="","",INDEX(_imp!$I$4:$I$4503,_imp!$C$1582))</f>
        <v/>
      </c>
      <c r="G1580" s="54">
        <f>IF(_imp!$C$1582="","",INDEX(_imp!$J$4:$J$4503,_imp!$C$1582))</f>
        <v/>
      </c>
      <c r="K1580" s="54">
        <f>IF(_imp!$C$1582="","",INDEX(_imp!$K$4:$K$4503,_imp!$C$1582))</f>
        <v/>
      </c>
    </row>
    <row r="1581">
      <c r="A1581" s="54">
        <f>IF(_imp!$C$1583="","",INDEX(_imp!$D$4:$D$4503,_imp!$C$1583))</f>
        <v/>
      </c>
      <c r="B1581" s="54">
        <f>IF(_imp!$C$1583="","",INDEX(_imp!$E$4:$E$4503,_imp!$C$1583))</f>
        <v/>
      </c>
      <c r="C1581" s="54">
        <f>IF(_imp!$C$1583="","",INDEX(_imp!$F$4:$F$4503,_imp!$C$1583))</f>
        <v/>
      </c>
      <c r="D1581" s="54">
        <f>IF(_imp!$C$1583="","",INDEX(_imp!$G$4:$G$4503,_imp!$C$1583))</f>
        <v/>
      </c>
      <c r="E1581" s="54">
        <f>IF(_imp!$C$1583="","",INDEX(_imp!$H$4:$H$4503,_imp!$C$1583))</f>
        <v/>
      </c>
      <c r="F1581" s="54">
        <f>IF(_imp!$C$1583="","",INDEX(_imp!$I$4:$I$4503,_imp!$C$1583))</f>
        <v/>
      </c>
      <c r="G1581" s="54">
        <f>IF(_imp!$C$1583="","",INDEX(_imp!$J$4:$J$4503,_imp!$C$1583))</f>
        <v/>
      </c>
      <c r="K1581" s="54">
        <f>IF(_imp!$C$1583="","",INDEX(_imp!$K$4:$K$4503,_imp!$C$1583))</f>
        <v/>
      </c>
    </row>
    <row r="1582">
      <c r="A1582" s="54">
        <f>IF(_imp!$C$1584="","",INDEX(_imp!$D$4:$D$4503,_imp!$C$1584))</f>
        <v/>
      </c>
      <c r="B1582" s="54">
        <f>IF(_imp!$C$1584="","",INDEX(_imp!$E$4:$E$4503,_imp!$C$1584))</f>
        <v/>
      </c>
      <c r="C1582" s="54">
        <f>IF(_imp!$C$1584="","",INDEX(_imp!$F$4:$F$4503,_imp!$C$1584))</f>
        <v/>
      </c>
      <c r="D1582" s="54">
        <f>IF(_imp!$C$1584="","",INDEX(_imp!$G$4:$G$4503,_imp!$C$1584))</f>
        <v/>
      </c>
      <c r="E1582" s="54">
        <f>IF(_imp!$C$1584="","",INDEX(_imp!$H$4:$H$4503,_imp!$C$1584))</f>
        <v/>
      </c>
      <c r="F1582" s="54">
        <f>IF(_imp!$C$1584="","",INDEX(_imp!$I$4:$I$4503,_imp!$C$1584))</f>
        <v/>
      </c>
      <c r="G1582" s="54">
        <f>IF(_imp!$C$1584="","",INDEX(_imp!$J$4:$J$4503,_imp!$C$1584))</f>
        <v/>
      </c>
      <c r="K1582" s="54">
        <f>IF(_imp!$C$1584="","",INDEX(_imp!$K$4:$K$4503,_imp!$C$1584))</f>
        <v/>
      </c>
    </row>
    <row r="1583">
      <c r="A1583" s="54">
        <f>IF(_imp!$C$1585="","",INDEX(_imp!$D$4:$D$4503,_imp!$C$1585))</f>
        <v/>
      </c>
      <c r="B1583" s="54">
        <f>IF(_imp!$C$1585="","",INDEX(_imp!$E$4:$E$4503,_imp!$C$1585))</f>
        <v/>
      </c>
      <c r="C1583" s="54">
        <f>IF(_imp!$C$1585="","",INDEX(_imp!$F$4:$F$4503,_imp!$C$1585))</f>
        <v/>
      </c>
      <c r="D1583" s="54">
        <f>IF(_imp!$C$1585="","",INDEX(_imp!$G$4:$G$4503,_imp!$C$1585))</f>
        <v/>
      </c>
      <c r="E1583" s="54">
        <f>IF(_imp!$C$1585="","",INDEX(_imp!$H$4:$H$4503,_imp!$C$1585))</f>
        <v/>
      </c>
      <c r="F1583" s="54">
        <f>IF(_imp!$C$1585="","",INDEX(_imp!$I$4:$I$4503,_imp!$C$1585))</f>
        <v/>
      </c>
      <c r="G1583" s="54">
        <f>IF(_imp!$C$1585="","",INDEX(_imp!$J$4:$J$4503,_imp!$C$1585))</f>
        <v/>
      </c>
      <c r="K1583" s="54">
        <f>IF(_imp!$C$1585="","",INDEX(_imp!$K$4:$K$4503,_imp!$C$1585))</f>
        <v/>
      </c>
    </row>
    <row r="1584">
      <c r="A1584" s="54">
        <f>IF(_imp!$C$1586="","",INDEX(_imp!$D$4:$D$4503,_imp!$C$1586))</f>
        <v/>
      </c>
      <c r="B1584" s="54">
        <f>IF(_imp!$C$1586="","",INDEX(_imp!$E$4:$E$4503,_imp!$C$1586))</f>
        <v/>
      </c>
      <c r="C1584" s="54">
        <f>IF(_imp!$C$1586="","",INDEX(_imp!$F$4:$F$4503,_imp!$C$1586))</f>
        <v/>
      </c>
      <c r="D1584" s="54">
        <f>IF(_imp!$C$1586="","",INDEX(_imp!$G$4:$G$4503,_imp!$C$1586))</f>
        <v/>
      </c>
      <c r="E1584" s="54">
        <f>IF(_imp!$C$1586="","",INDEX(_imp!$H$4:$H$4503,_imp!$C$1586))</f>
        <v/>
      </c>
      <c r="F1584" s="54">
        <f>IF(_imp!$C$1586="","",INDEX(_imp!$I$4:$I$4503,_imp!$C$1586))</f>
        <v/>
      </c>
      <c r="G1584" s="54">
        <f>IF(_imp!$C$1586="","",INDEX(_imp!$J$4:$J$4503,_imp!$C$1586))</f>
        <v/>
      </c>
      <c r="K1584" s="54">
        <f>IF(_imp!$C$1586="","",INDEX(_imp!$K$4:$K$4503,_imp!$C$1586))</f>
        <v/>
      </c>
    </row>
    <row r="1585">
      <c r="A1585" s="54">
        <f>IF(_imp!$C$1587="","",INDEX(_imp!$D$4:$D$4503,_imp!$C$1587))</f>
        <v/>
      </c>
      <c r="B1585" s="54">
        <f>IF(_imp!$C$1587="","",INDEX(_imp!$E$4:$E$4503,_imp!$C$1587))</f>
        <v/>
      </c>
      <c r="C1585" s="54">
        <f>IF(_imp!$C$1587="","",INDEX(_imp!$F$4:$F$4503,_imp!$C$1587))</f>
        <v/>
      </c>
      <c r="D1585" s="54">
        <f>IF(_imp!$C$1587="","",INDEX(_imp!$G$4:$G$4503,_imp!$C$1587))</f>
        <v/>
      </c>
      <c r="E1585" s="54">
        <f>IF(_imp!$C$1587="","",INDEX(_imp!$H$4:$H$4503,_imp!$C$1587))</f>
        <v/>
      </c>
      <c r="F1585" s="54">
        <f>IF(_imp!$C$1587="","",INDEX(_imp!$I$4:$I$4503,_imp!$C$1587))</f>
        <v/>
      </c>
      <c r="G1585" s="54">
        <f>IF(_imp!$C$1587="","",INDEX(_imp!$J$4:$J$4503,_imp!$C$1587))</f>
        <v/>
      </c>
      <c r="K1585" s="54">
        <f>IF(_imp!$C$1587="","",INDEX(_imp!$K$4:$K$4503,_imp!$C$1587))</f>
        <v/>
      </c>
    </row>
    <row r="1586">
      <c r="A1586" s="54">
        <f>IF(_imp!$C$1588="","",INDEX(_imp!$D$4:$D$4503,_imp!$C$1588))</f>
        <v/>
      </c>
      <c r="B1586" s="54">
        <f>IF(_imp!$C$1588="","",INDEX(_imp!$E$4:$E$4503,_imp!$C$1588))</f>
        <v/>
      </c>
      <c r="C1586" s="54">
        <f>IF(_imp!$C$1588="","",INDEX(_imp!$F$4:$F$4503,_imp!$C$1588))</f>
        <v/>
      </c>
      <c r="D1586" s="54">
        <f>IF(_imp!$C$1588="","",INDEX(_imp!$G$4:$G$4503,_imp!$C$1588))</f>
        <v/>
      </c>
      <c r="E1586" s="54">
        <f>IF(_imp!$C$1588="","",INDEX(_imp!$H$4:$H$4503,_imp!$C$1588))</f>
        <v/>
      </c>
      <c r="F1586" s="54">
        <f>IF(_imp!$C$1588="","",INDEX(_imp!$I$4:$I$4503,_imp!$C$1588))</f>
        <v/>
      </c>
      <c r="G1586" s="54">
        <f>IF(_imp!$C$1588="","",INDEX(_imp!$J$4:$J$4503,_imp!$C$1588))</f>
        <v/>
      </c>
      <c r="K1586" s="54">
        <f>IF(_imp!$C$1588="","",INDEX(_imp!$K$4:$K$4503,_imp!$C$1588))</f>
        <v/>
      </c>
    </row>
    <row r="1587">
      <c r="A1587" s="54">
        <f>IF(_imp!$C$1589="","",INDEX(_imp!$D$4:$D$4503,_imp!$C$1589))</f>
        <v/>
      </c>
      <c r="B1587" s="54">
        <f>IF(_imp!$C$1589="","",INDEX(_imp!$E$4:$E$4503,_imp!$C$1589))</f>
        <v/>
      </c>
      <c r="C1587" s="54">
        <f>IF(_imp!$C$1589="","",INDEX(_imp!$F$4:$F$4503,_imp!$C$1589))</f>
        <v/>
      </c>
      <c r="D1587" s="54">
        <f>IF(_imp!$C$1589="","",INDEX(_imp!$G$4:$G$4503,_imp!$C$1589))</f>
        <v/>
      </c>
      <c r="E1587" s="54">
        <f>IF(_imp!$C$1589="","",INDEX(_imp!$H$4:$H$4503,_imp!$C$1589))</f>
        <v/>
      </c>
      <c r="F1587" s="54">
        <f>IF(_imp!$C$1589="","",INDEX(_imp!$I$4:$I$4503,_imp!$C$1589))</f>
        <v/>
      </c>
      <c r="G1587" s="54">
        <f>IF(_imp!$C$1589="","",INDEX(_imp!$J$4:$J$4503,_imp!$C$1589))</f>
        <v/>
      </c>
      <c r="K1587" s="54">
        <f>IF(_imp!$C$1589="","",INDEX(_imp!$K$4:$K$4503,_imp!$C$1589))</f>
        <v/>
      </c>
    </row>
    <row r="1588">
      <c r="A1588" s="54">
        <f>IF(_imp!$C$1590="","",INDEX(_imp!$D$4:$D$4503,_imp!$C$1590))</f>
        <v/>
      </c>
      <c r="B1588" s="54">
        <f>IF(_imp!$C$1590="","",INDEX(_imp!$E$4:$E$4503,_imp!$C$1590))</f>
        <v/>
      </c>
      <c r="C1588" s="54">
        <f>IF(_imp!$C$1590="","",INDEX(_imp!$F$4:$F$4503,_imp!$C$1590))</f>
        <v/>
      </c>
      <c r="D1588" s="54">
        <f>IF(_imp!$C$1590="","",INDEX(_imp!$G$4:$G$4503,_imp!$C$1590))</f>
        <v/>
      </c>
      <c r="E1588" s="54">
        <f>IF(_imp!$C$1590="","",INDEX(_imp!$H$4:$H$4503,_imp!$C$1590))</f>
        <v/>
      </c>
      <c r="F1588" s="54">
        <f>IF(_imp!$C$1590="","",INDEX(_imp!$I$4:$I$4503,_imp!$C$1590))</f>
        <v/>
      </c>
      <c r="G1588" s="54">
        <f>IF(_imp!$C$1590="","",INDEX(_imp!$J$4:$J$4503,_imp!$C$1590))</f>
        <v/>
      </c>
      <c r="K1588" s="54">
        <f>IF(_imp!$C$1590="","",INDEX(_imp!$K$4:$K$4503,_imp!$C$1590))</f>
        <v/>
      </c>
    </row>
    <row r="1589">
      <c r="A1589" s="54">
        <f>IF(_imp!$C$1591="","",INDEX(_imp!$D$4:$D$4503,_imp!$C$1591))</f>
        <v/>
      </c>
      <c r="B1589" s="54">
        <f>IF(_imp!$C$1591="","",INDEX(_imp!$E$4:$E$4503,_imp!$C$1591))</f>
        <v/>
      </c>
      <c r="C1589" s="54">
        <f>IF(_imp!$C$1591="","",INDEX(_imp!$F$4:$F$4503,_imp!$C$1591))</f>
        <v/>
      </c>
      <c r="D1589" s="54">
        <f>IF(_imp!$C$1591="","",INDEX(_imp!$G$4:$G$4503,_imp!$C$1591))</f>
        <v/>
      </c>
      <c r="E1589" s="54">
        <f>IF(_imp!$C$1591="","",INDEX(_imp!$H$4:$H$4503,_imp!$C$1591))</f>
        <v/>
      </c>
      <c r="F1589" s="54">
        <f>IF(_imp!$C$1591="","",INDEX(_imp!$I$4:$I$4503,_imp!$C$1591))</f>
        <v/>
      </c>
      <c r="G1589" s="54">
        <f>IF(_imp!$C$1591="","",INDEX(_imp!$J$4:$J$4503,_imp!$C$1591))</f>
        <v/>
      </c>
      <c r="K1589" s="54">
        <f>IF(_imp!$C$1591="","",INDEX(_imp!$K$4:$K$4503,_imp!$C$1591))</f>
        <v/>
      </c>
    </row>
    <row r="1590">
      <c r="A1590" s="54">
        <f>IF(_imp!$C$1592="","",INDEX(_imp!$D$4:$D$4503,_imp!$C$1592))</f>
        <v/>
      </c>
      <c r="B1590" s="54">
        <f>IF(_imp!$C$1592="","",INDEX(_imp!$E$4:$E$4503,_imp!$C$1592))</f>
        <v/>
      </c>
      <c r="C1590" s="54">
        <f>IF(_imp!$C$1592="","",INDEX(_imp!$F$4:$F$4503,_imp!$C$1592))</f>
        <v/>
      </c>
      <c r="D1590" s="54">
        <f>IF(_imp!$C$1592="","",INDEX(_imp!$G$4:$G$4503,_imp!$C$1592))</f>
        <v/>
      </c>
      <c r="E1590" s="54">
        <f>IF(_imp!$C$1592="","",INDEX(_imp!$H$4:$H$4503,_imp!$C$1592))</f>
        <v/>
      </c>
      <c r="F1590" s="54">
        <f>IF(_imp!$C$1592="","",INDEX(_imp!$I$4:$I$4503,_imp!$C$1592))</f>
        <v/>
      </c>
      <c r="G1590" s="54">
        <f>IF(_imp!$C$1592="","",INDEX(_imp!$J$4:$J$4503,_imp!$C$1592))</f>
        <v/>
      </c>
      <c r="K1590" s="54">
        <f>IF(_imp!$C$1592="","",INDEX(_imp!$K$4:$K$4503,_imp!$C$1592))</f>
        <v/>
      </c>
    </row>
    <row r="1591">
      <c r="A1591" s="54">
        <f>IF(_imp!$C$1593="","",INDEX(_imp!$D$4:$D$4503,_imp!$C$1593))</f>
        <v/>
      </c>
      <c r="B1591" s="54">
        <f>IF(_imp!$C$1593="","",INDEX(_imp!$E$4:$E$4503,_imp!$C$1593))</f>
        <v/>
      </c>
      <c r="C1591" s="54">
        <f>IF(_imp!$C$1593="","",INDEX(_imp!$F$4:$F$4503,_imp!$C$1593))</f>
        <v/>
      </c>
      <c r="D1591" s="54">
        <f>IF(_imp!$C$1593="","",INDEX(_imp!$G$4:$G$4503,_imp!$C$1593))</f>
        <v/>
      </c>
      <c r="E1591" s="54">
        <f>IF(_imp!$C$1593="","",INDEX(_imp!$H$4:$H$4503,_imp!$C$1593))</f>
        <v/>
      </c>
      <c r="F1591" s="54">
        <f>IF(_imp!$C$1593="","",INDEX(_imp!$I$4:$I$4503,_imp!$C$1593))</f>
        <v/>
      </c>
      <c r="G1591" s="54">
        <f>IF(_imp!$C$1593="","",INDEX(_imp!$J$4:$J$4503,_imp!$C$1593))</f>
        <v/>
      </c>
      <c r="K1591" s="54">
        <f>IF(_imp!$C$1593="","",INDEX(_imp!$K$4:$K$4503,_imp!$C$1593))</f>
        <v/>
      </c>
    </row>
    <row r="1592">
      <c r="A1592" s="54">
        <f>IF(_imp!$C$1594="","",INDEX(_imp!$D$4:$D$4503,_imp!$C$1594))</f>
        <v/>
      </c>
      <c r="B1592" s="54">
        <f>IF(_imp!$C$1594="","",INDEX(_imp!$E$4:$E$4503,_imp!$C$1594))</f>
        <v/>
      </c>
      <c r="C1592" s="54">
        <f>IF(_imp!$C$1594="","",INDEX(_imp!$F$4:$F$4503,_imp!$C$1594))</f>
        <v/>
      </c>
      <c r="D1592" s="54">
        <f>IF(_imp!$C$1594="","",INDEX(_imp!$G$4:$G$4503,_imp!$C$1594))</f>
        <v/>
      </c>
      <c r="E1592" s="54">
        <f>IF(_imp!$C$1594="","",INDEX(_imp!$H$4:$H$4503,_imp!$C$1594))</f>
        <v/>
      </c>
      <c r="F1592" s="54">
        <f>IF(_imp!$C$1594="","",INDEX(_imp!$I$4:$I$4503,_imp!$C$1594))</f>
        <v/>
      </c>
      <c r="G1592" s="54">
        <f>IF(_imp!$C$1594="","",INDEX(_imp!$J$4:$J$4503,_imp!$C$1594))</f>
        <v/>
      </c>
      <c r="K1592" s="54">
        <f>IF(_imp!$C$1594="","",INDEX(_imp!$K$4:$K$4503,_imp!$C$1594))</f>
        <v/>
      </c>
    </row>
    <row r="1593">
      <c r="A1593" s="54">
        <f>IF(_imp!$C$1595="","",INDEX(_imp!$D$4:$D$4503,_imp!$C$1595))</f>
        <v/>
      </c>
      <c r="B1593" s="54">
        <f>IF(_imp!$C$1595="","",INDEX(_imp!$E$4:$E$4503,_imp!$C$1595))</f>
        <v/>
      </c>
      <c r="C1593" s="54">
        <f>IF(_imp!$C$1595="","",INDEX(_imp!$F$4:$F$4503,_imp!$C$1595))</f>
        <v/>
      </c>
      <c r="D1593" s="54">
        <f>IF(_imp!$C$1595="","",INDEX(_imp!$G$4:$G$4503,_imp!$C$1595))</f>
        <v/>
      </c>
      <c r="E1593" s="54">
        <f>IF(_imp!$C$1595="","",INDEX(_imp!$H$4:$H$4503,_imp!$C$1595))</f>
        <v/>
      </c>
      <c r="F1593" s="54">
        <f>IF(_imp!$C$1595="","",INDEX(_imp!$I$4:$I$4503,_imp!$C$1595))</f>
        <v/>
      </c>
      <c r="G1593" s="54">
        <f>IF(_imp!$C$1595="","",INDEX(_imp!$J$4:$J$4503,_imp!$C$1595))</f>
        <v/>
      </c>
      <c r="K1593" s="54">
        <f>IF(_imp!$C$1595="","",INDEX(_imp!$K$4:$K$4503,_imp!$C$1595))</f>
        <v/>
      </c>
    </row>
    <row r="1594">
      <c r="A1594" s="54">
        <f>IF(_imp!$C$1596="","",INDEX(_imp!$D$4:$D$4503,_imp!$C$1596))</f>
        <v/>
      </c>
      <c r="B1594" s="54">
        <f>IF(_imp!$C$1596="","",INDEX(_imp!$E$4:$E$4503,_imp!$C$1596))</f>
        <v/>
      </c>
      <c r="C1594" s="54">
        <f>IF(_imp!$C$1596="","",INDEX(_imp!$F$4:$F$4503,_imp!$C$1596))</f>
        <v/>
      </c>
      <c r="D1594" s="54">
        <f>IF(_imp!$C$1596="","",INDEX(_imp!$G$4:$G$4503,_imp!$C$1596))</f>
        <v/>
      </c>
      <c r="E1594" s="54">
        <f>IF(_imp!$C$1596="","",INDEX(_imp!$H$4:$H$4503,_imp!$C$1596))</f>
        <v/>
      </c>
      <c r="F1594" s="54">
        <f>IF(_imp!$C$1596="","",INDEX(_imp!$I$4:$I$4503,_imp!$C$1596))</f>
        <v/>
      </c>
      <c r="G1594" s="54">
        <f>IF(_imp!$C$1596="","",INDEX(_imp!$J$4:$J$4503,_imp!$C$1596))</f>
        <v/>
      </c>
      <c r="K1594" s="54">
        <f>IF(_imp!$C$1596="","",INDEX(_imp!$K$4:$K$4503,_imp!$C$1596))</f>
        <v/>
      </c>
    </row>
    <row r="1595">
      <c r="A1595" s="54">
        <f>IF(_imp!$C$1597="","",INDEX(_imp!$D$4:$D$4503,_imp!$C$1597))</f>
        <v/>
      </c>
      <c r="B1595" s="54">
        <f>IF(_imp!$C$1597="","",INDEX(_imp!$E$4:$E$4503,_imp!$C$1597))</f>
        <v/>
      </c>
      <c r="C1595" s="54">
        <f>IF(_imp!$C$1597="","",INDEX(_imp!$F$4:$F$4503,_imp!$C$1597))</f>
        <v/>
      </c>
      <c r="D1595" s="54">
        <f>IF(_imp!$C$1597="","",INDEX(_imp!$G$4:$G$4503,_imp!$C$1597))</f>
        <v/>
      </c>
      <c r="E1595" s="54">
        <f>IF(_imp!$C$1597="","",INDEX(_imp!$H$4:$H$4503,_imp!$C$1597))</f>
        <v/>
      </c>
      <c r="F1595" s="54">
        <f>IF(_imp!$C$1597="","",INDEX(_imp!$I$4:$I$4503,_imp!$C$1597))</f>
        <v/>
      </c>
      <c r="G1595" s="54">
        <f>IF(_imp!$C$1597="","",INDEX(_imp!$J$4:$J$4503,_imp!$C$1597))</f>
        <v/>
      </c>
      <c r="K1595" s="54">
        <f>IF(_imp!$C$1597="","",INDEX(_imp!$K$4:$K$4503,_imp!$C$1597))</f>
        <v/>
      </c>
    </row>
    <row r="1596">
      <c r="A1596" s="54">
        <f>IF(_imp!$C$1598="","",INDEX(_imp!$D$4:$D$4503,_imp!$C$1598))</f>
        <v/>
      </c>
      <c r="B1596" s="54">
        <f>IF(_imp!$C$1598="","",INDEX(_imp!$E$4:$E$4503,_imp!$C$1598))</f>
        <v/>
      </c>
      <c r="C1596" s="54">
        <f>IF(_imp!$C$1598="","",INDEX(_imp!$F$4:$F$4503,_imp!$C$1598))</f>
        <v/>
      </c>
      <c r="D1596" s="54">
        <f>IF(_imp!$C$1598="","",INDEX(_imp!$G$4:$G$4503,_imp!$C$1598))</f>
        <v/>
      </c>
      <c r="E1596" s="54">
        <f>IF(_imp!$C$1598="","",INDEX(_imp!$H$4:$H$4503,_imp!$C$1598))</f>
        <v/>
      </c>
      <c r="F1596" s="54">
        <f>IF(_imp!$C$1598="","",INDEX(_imp!$I$4:$I$4503,_imp!$C$1598))</f>
        <v/>
      </c>
      <c r="G1596" s="54">
        <f>IF(_imp!$C$1598="","",INDEX(_imp!$J$4:$J$4503,_imp!$C$1598))</f>
        <v/>
      </c>
      <c r="K1596" s="54">
        <f>IF(_imp!$C$1598="","",INDEX(_imp!$K$4:$K$4503,_imp!$C$1598))</f>
        <v/>
      </c>
    </row>
    <row r="1597">
      <c r="A1597" s="54">
        <f>IF(_imp!$C$1599="","",INDEX(_imp!$D$4:$D$4503,_imp!$C$1599))</f>
        <v/>
      </c>
      <c r="B1597" s="54">
        <f>IF(_imp!$C$1599="","",INDEX(_imp!$E$4:$E$4503,_imp!$C$1599))</f>
        <v/>
      </c>
      <c r="C1597" s="54">
        <f>IF(_imp!$C$1599="","",INDEX(_imp!$F$4:$F$4503,_imp!$C$1599))</f>
        <v/>
      </c>
      <c r="D1597" s="54">
        <f>IF(_imp!$C$1599="","",INDEX(_imp!$G$4:$G$4503,_imp!$C$1599))</f>
        <v/>
      </c>
      <c r="E1597" s="54">
        <f>IF(_imp!$C$1599="","",INDEX(_imp!$H$4:$H$4503,_imp!$C$1599))</f>
        <v/>
      </c>
      <c r="F1597" s="54">
        <f>IF(_imp!$C$1599="","",INDEX(_imp!$I$4:$I$4503,_imp!$C$1599))</f>
        <v/>
      </c>
      <c r="G1597" s="54">
        <f>IF(_imp!$C$1599="","",INDEX(_imp!$J$4:$J$4503,_imp!$C$1599))</f>
        <v/>
      </c>
      <c r="K1597" s="54">
        <f>IF(_imp!$C$1599="","",INDEX(_imp!$K$4:$K$4503,_imp!$C$1599))</f>
        <v/>
      </c>
    </row>
    <row r="1598">
      <c r="A1598" s="54">
        <f>IF(_imp!$C$1600="","",INDEX(_imp!$D$4:$D$4503,_imp!$C$1600))</f>
        <v/>
      </c>
      <c r="B1598" s="54">
        <f>IF(_imp!$C$1600="","",INDEX(_imp!$E$4:$E$4503,_imp!$C$1600))</f>
        <v/>
      </c>
      <c r="C1598" s="54">
        <f>IF(_imp!$C$1600="","",INDEX(_imp!$F$4:$F$4503,_imp!$C$1600))</f>
        <v/>
      </c>
      <c r="D1598" s="54">
        <f>IF(_imp!$C$1600="","",INDEX(_imp!$G$4:$G$4503,_imp!$C$1600))</f>
        <v/>
      </c>
      <c r="E1598" s="54">
        <f>IF(_imp!$C$1600="","",INDEX(_imp!$H$4:$H$4503,_imp!$C$1600))</f>
        <v/>
      </c>
      <c r="F1598" s="54">
        <f>IF(_imp!$C$1600="","",INDEX(_imp!$I$4:$I$4503,_imp!$C$1600))</f>
        <v/>
      </c>
      <c r="G1598" s="54">
        <f>IF(_imp!$C$1600="","",INDEX(_imp!$J$4:$J$4503,_imp!$C$1600))</f>
        <v/>
      </c>
      <c r="K1598" s="54">
        <f>IF(_imp!$C$1600="","",INDEX(_imp!$K$4:$K$4503,_imp!$C$1600))</f>
        <v/>
      </c>
    </row>
    <row r="1599">
      <c r="A1599" s="54">
        <f>IF(_imp!$C$1601="","",INDEX(_imp!$D$4:$D$4503,_imp!$C$1601))</f>
        <v/>
      </c>
      <c r="B1599" s="54">
        <f>IF(_imp!$C$1601="","",INDEX(_imp!$E$4:$E$4503,_imp!$C$1601))</f>
        <v/>
      </c>
      <c r="C1599" s="54">
        <f>IF(_imp!$C$1601="","",INDEX(_imp!$F$4:$F$4503,_imp!$C$1601))</f>
        <v/>
      </c>
      <c r="D1599" s="54">
        <f>IF(_imp!$C$1601="","",INDEX(_imp!$G$4:$G$4503,_imp!$C$1601))</f>
        <v/>
      </c>
      <c r="E1599" s="54">
        <f>IF(_imp!$C$1601="","",INDEX(_imp!$H$4:$H$4503,_imp!$C$1601))</f>
        <v/>
      </c>
      <c r="F1599" s="54">
        <f>IF(_imp!$C$1601="","",INDEX(_imp!$I$4:$I$4503,_imp!$C$1601))</f>
        <v/>
      </c>
      <c r="G1599" s="54">
        <f>IF(_imp!$C$1601="","",INDEX(_imp!$J$4:$J$4503,_imp!$C$1601))</f>
        <v/>
      </c>
      <c r="K1599" s="54">
        <f>IF(_imp!$C$1601="","",INDEX(_imp!$K$4:$K$4503,_imp!$C$1601))</f>
        <v/>
      </c>
    </row>
    <row r="1600">
      <c r="A1600" s="54">
        <f>IF(_imp!$C$1602="","",INDEX(_imp!$D$4:$D$4503,_imp!$C$1602))</f>
        <v/>
      </c>
      <c r="B1600" s="54">
        <f>IF(_imp!$C$1602="","",INDEX(_imp!$E$4:$E$4503,_imp!$C$1602))</f>
        <v/>
      </c>
      <c r="C1600" s="54">
        <f>IF(_imp!$C$1602="","",INDEX(_imp!$F$4:$F$4503,_imp!$C$1602))</f>
        <v/>
      </c>
      <c r="D1600" s="54">
        <f>IF(_imp!$C$1602="","",INDEX(_imp!$G$4:$G$4503,_imp!$C$1602))</f>
        <v/>
      </c>
      <c r="E1600" s="54">
        <f>IF(_imp!$C$1602="","",INDEX(_imp!$H$4:$H$4503,_imp!$C$1602))</f>
        <v/>
      </c>
      <c r="F1600" s="54">
        <f>IF(_imp!$C$1602="","",INDEX(_imp!$I$4:$I$4503,_imp!$C$1602))</f>
        <v/>
      </c>
      <c r="G1600" s="54">
        <f>IF(_imp!$C$1602="","",INDEX(_imp!$J$4:$J$4503,_imp!$C$1602))</f>
        <v/>
      </c>
      <c r="K1600" s="54">
        <f>IF(_imp!$C$1602="","",INDEX(_imp!$K$4:$K$4503,_imp!$C$1602))</f>
        <v/>
      </c>
    </row>
    <row r="1601">
      <c r="A1601" s="54">
        <f>IF(_imp!$C$1603="","",INDEX(_imp!$D$4:$D$4503,_imp!$C$1603))</f>
        <v/>
      </c>
      <c r="B1601" s="54">
        <f>IF(_imp!$C$1603="","",INDEX(_imp!$E$4:$E$4503,_imp!$C$1603))</f>
        <v/>
      </c>
      <c r="C1601" s="54">
        <f>IF(_imp!$C$1603="","",INDEX(_imp!$F$4:$F$4503,_imp!$C$1603))</f>
        <v/>
      </c>
      <c r="D1601" s="54">
        <f>IF(_imp!$C$1603="","",INDEX(_imp!$G$4:$G$4503,_imp!$C$1603))</f>
        <v/>
      </c>
      <c r="E1601" s="54">
        <f>IF(_imp!$C$1603="","",INDEX(_imp!$H$4:$H$4503,_imp!$C$1603))</f>
        <v/>
      </c>
      <c r="F1601" s="54">
        <f>IF(_imp!$C$1603="","",INDEX(_imp!$I$4:$I$4503,_imp!$C$1603))</f>
        <v/>
      </c>
      <c r="G1601" s="54">
        <f>IF(_imp!$C$1603="","",INDEX(_imp!$J$4:$J$4503,_imp!$C$1603))</f>
        <v/>
      </c>
      <c r="K1601" s="54">
        <f>IF(_imp!$C$1603="","",INDEX(_imp!$K$4:$K$4503,_imp!$C$1603))</f>
        <v/>
      </c>
    </row>
    <row r="1602">
      <c r="A1602" s="54">
        <f>IF(_imp!$C$1604="","",INDEX(_imp!$D$4:$D$4503,_imp!$C$1604))</f>
        <v/>
      </c>
      <c r="B1602" s="54">
        <f>IF(_imp!$C$1604="","",INDEX(_imp!$E$4:$E$4503,_imp!$C$1604))</f>
        <v/>
      </c>
      <c r="C1602" s="54">
        <f>IF(_imp!$C$1604="","",INDEX(_imp!$F$4:$F$4503,_imp!$C$1604))</f>
        <v/>
      </c>
      <c r="D1602" s="54">
        <f>IF(_imp!$C$1604="","",INDEX(_imp!$G$4:$G$4503,_imp!$C$1604))</f>
        <v/>
      </c>
      <c r="E1602" s="54">
        <f>IF(_imp!$C$1604="","",INDEX(_imp!$H$4:$H$4503,_imp!$C$1604))</f>
        <v/>
      </c>
      <c r="F1602" s="54">
        <f>IF(_imp!$C$1604="","",INDEX(_imp!$I$4:$I$4503,_imp!$C$1604))</f>
        <v/>
      </c>
      <c r="G1602" s="54">
        <f>IF(_imp!$C$1604="","",INDEX(_imp!$J$4:$J$4503,_imp!$C$1604))</f>
        <v/>
      </c>
      <c r="K1602" s="54">
        <f>IF(_imp!$C$1604="","",INDEX(_imp!$K$4:$K$4503,_imp!$C$1604))</f>
        <v/>
      </c>
    </row>
    <row r="1603">
      <c r="A1603" s="54">
        <f>IF(_imp!$C$1605="","",INDEX(_imp!$D$4:$D$4503,_imp!$C$1605))</f>
        <v/>
      </c>
      <c r="B1603" s="54">
        <f>IF(_imp!$C$1605="","",INDEX(_imp!$E$4:$E$4503,_imp!$C$1605))</f>
        <v/>
      </c>
      <c r="C1603" s="54">
        <f>IF(_imp!$C$1605="","",INDEX(_imp!$F$4:$F$4503,_imp!$C$1605))</f>
        <v/>
      </c>
      <c r="D1603" s="54">
        <f>IF(_imp!$C$1605="","",INDEX(_imp!$G$4:$G$4503,_imp!$C$1605))</f>
        <v/>
      </c>
      <c r="E1603" s="54">
        <f>IF(_imp!$C$1605="","",INDEX(_imp!$H$4:$H$4503,_imp!$C$1605))</f>
        <v/>
      </c>
      <c r="F1603" s="54">
        <f>IF(_imp!$C$1605="","",INDEX(_imp!$I$4:$I$4503,_imp!$C$1605))</f>
        <v/>
      </c>
      <c r="G1603" s="54">
        <f>IF(_imp!$C$1605="","",INDEX(_imp!$J$4:$J$4503,_imp!$C$1605))</f>
        <v/>
      </c>
      <c r="K1603" s="54">
        <f>IF(_imp!$C$1605="","",INDEX(_imp!$K$4:$K$4503,_imp!$C$1605))</f>
        <v/>
      </c>
    </row>
    <row r="1604">
      <c r="A1604" s="54">
        <f>IF(_imp!$C$1606="","",INDEX(_imp!$D$4:$D$4503,_imp!$C$1606))</f>
        <v/>
      </c>
      <c r="B1604" s="54">
        <f>IF(_imp!$C$1606="","",INDEX(_imp!$E$4:$E$4503,_imp!$C$1606))</f>
        <v/>
      </c>
      <c r="C1604" s="54">
        <f>IF(_imp!$C$1606="","",INDEX(_imp!$F$4:$F$4503,_imp!$C$1606))</f>
        <v/>
      </c>
      <c r="D1604" s="54">
        <f>IF(_imp!$C$1606="","",INDEX(_imp!$G$4:$G$4503,_imp!$C$1606))</f>
        <v/>
      </c>
      <c r="E1604" s="54">
        <f>IF(_imp!$C$1606="","",INDEX(_imp!$H$4:$H$4503,_imp!$C$1606))</f>
        <v/>
      </c>
      <c r="F1604" s="54">
        <f>IF(_imp!$C$1606="","",INDEX(_imp!$I$4:$I$4503,_imp!$C$1606))</f>
        <v/>
      </c>
      <c r="G1604" s="54">
        <f>IF(_imp!$C$1606="","",INDEX(_imp!$J$4:$J$4503,_imp!$C$1606))</f>
        <v/>
      </c>
      <c r="K1604" s="54">
        <f>IF(_imp!$C$1606="","",INDEX(_imp!$K$4:$K$4503,_imp!$C$1606))</f>
        <v/>
      </c>
    </row>
    <row r="1605">
      <c r="A1605" s="54">
        <f>IF(_imp!$C$1607="","",INDEX(_imp!$D$4:$D$4503,_imp!$C$1607))</f>
        <v/>
      </c>
      <c r="B1605" s="54">
        <f>IF(_imp!$C$1607="","",INDEX(_imp!$E$4:$E$4503,_imp!$C$1607))</f>
        <v/>
      </c>
      <c r="C1605" s="54">
        <f>IF(_imp!$C$1607="","",INDEX(_imp!$F$4:$F$4503,_imp!$C$1607))</f>
        <v/>
      </c>
      <c r="D1605" s="54">
        <f>IF(_imp!$C$1607="","",INDEX(_imp!$G$4:$G$4503,_imp!$C$1607))</f>
        <v/>
      </c>
      <c r="E1605" s="54">
        <f>IF(_imp!$C$1607="","",INDEX(_imp!$H$4:$H$4503,_imp!$C$1607))</f>
        <v/>
      </c>
      <c r="F1605" s="54">
        <f>IF(_imp!$C$1607="","",INDEX(_imp!$I$4:$I$4503,_imp!$C$1607))</f>
        <v/>
      </c>
      <c r="G1605" s="54">
        <f>IF(_imp!$C$1607="","",INDEX(_imp!$J$4:$J$4503,_imp!$C$1607))</f>
        <v/>
      </c>
      <c r="K1605" s="54">
        <f>IF(_imp!$C$1607="","",INDEX(_imp!$K$4:$K$4503,_imp!$C$1607))</f>
        <v/>
      </c>
    </row>
    <row r="1606">
      <c r="A1606" s="54">
        <f>IF(_imp!$C$1608="","",INDEX(_imp!$D$4:$D$4503,_imp!$C$1608))</f>
        <v/>
      </c>
      <c r="B1606" s="54">
        <f>IF(_imp!$C$1608="","",INDEX(_imp!$E$4:$E$4503,_imp!$C$1608))</f>
        <v/>
      </c>
      <c r="C1606" s="54">
        <f>IF(_imp!$C$1608="","",INDEX(_imp!$F$4:$F$4503,_imp!$C$1608))</f>
        <v/>
      </c>
      <c r="D1606" s="54">
        <f>IF(_imp!$C$1608="","",INDEX(_imp!$G$4:$G$4503,_imp!$C$1608))</f>
        <v/>
      </c>
      <c r="E1606" s="54">
        <f>IF(_imp!$C$1608="","",INDEX(_imp!$H$4:$H$4503,_imp!$C$1608))</f>
        <v/>
      </c>
      <c r="F1606" s="54">
        <f>IF(_imp!$C$1608="","",INDEX(_imp!$I$4:$I$4503,_imp!$C$1608))</f>
        <v/>
      </c>
      <c r="G1606" s="54">
        <f>IF(_imp!$C$1608="","",INDEX(_imp!$J$4:$J$4503,_imp!$C$1608))</f>
        <v/>
      </c>
      <c r="K1606" s="54">
        <f>IF(_imp!$C$1608="","",INDEX(_imp!$K$4:$K$4503,_imp!$C$1608))</f>
        <v/>
      </c>
    </row>
    <row r="1607">
      <c r="A1607" s="54">
        <f>IF(_imp!$C$1609="","",INDEX(_imp!$D$4:$D$4503,_imp!$C$1609))</f>
        <v/>
      </c>
      <c r="B1607" s="54">
        <f>IF(_imp!$C$1609="","",INDEX(_imp!$E$4:$E$4503,_imp!$C$1609))</f>
        <v/>
      </c>
      <c r="C1607" s="54">
        <f>IF(_imp!$C$1609="","",INDEX(_imp!$F$4:$F$4503,_imp!$C$1609))</f>
        <v/>
      </c>
      <c r="D1607" s="54">
        <f>IF(_imp!$C$1609="","",INDEX(_imp!$G$4:$G$4503,_imp!$C$1609))</f>
        <v/>
      </c>
      <c r="E1607" s="54">
        <f>IF(_imp!$C$1609="","",INDEX(_imp!$H$4:$H$4503,_imp!$C$1609))</f>
        <v/>
      </c>
      <c r="F1607" s="54">
        <f>IF(_imp!$C$1609="","",INDEX(_imp!$I$4:$I$4503,_imp!$C$1609))</f>
        <v/>
      </c>
      <c r="G1607" s="54">
        <f>IF(_imp!$C$1609="","",INDEX(_imp!$J$4:$J$4503,_imp!$C$1609))</f>
        <v/>
      </c>
      <c r="K1607" s="54">
        <f>IF(_imp!$C$1609="","",INDEX(_imp!$K$4:$K$4503,_imp!$C$1609))</f>
        <v/>
      </c>
    </row>
    <row r="1608">
      <c r="A1608" s="54">
        <f>IF(_imp!$C$1610="","",INDEX(_imp!$D$4:$D$4503,_imp!$C$1610))</f>
        <v/>
      </c>
      <c r="B1608" s="54">
        <f>IF(_imp!$C$1610="","",INDEX(_imp!$E$4:$E$4503,_imp!$C$1610))</f>
        <v/>
      </c>
      <c r="C1608" s="54">
        <f>IF(_imp!$C$1610="","",INDEX(_imp!$F$4:$F$4503,_imp!$C$1610))</f>
        <v/>
      </c>
      <c r="D1608" s="54">
        <f>IF(_imp!$C$1610="","",INDEX(_imp!$G$4:$G$4503,_imp!$C$1610))</f>
        <v/>
      </c>
      <c r="E1608" s="54">
        <f>IF(_imp!$C$1610="","",INDEX(_imp!$H$4:$H$4503,_imp!$C$1610))</f>
        <v/>
      </c>
      <c r="F1608" s="54">
        <f>IF(_imp!$C$1610="","",INDEX(_imp!$I$4:$I$4503,_imp!$C$1610))</f>
        <v/>
      </c>
      <c r="G1608" s="54">
        <f>IF(_imp!$C$1610="","",INDEX(_imp!$J$4:$J$4503,_imp!$C$1610))</f>
        <v/>
      </c>
      <c r="K1608" s="54">
        <f>IF(_imp!$C$1610="","",INDEX(_imp!$K$4:$K$4503,_imp!$C$1610))</f>
        <v/>
      </c>
    </row>
    <row r="1609">
      <c r="A1609" s="54">
        <f>IF(_imp!$C$1611="","",INDEX(_imp!$D$4:$D$4503,_imp!$C$1611))</f>
        <v/>
      </c>
      <c r="B1609" s="54">
        <f>IF(_imp!$C$1611="","",INDEX(_imp!$E$4:$E$4503,_imp!$C$1611))</f>
        <v/>
      </c>
      <c r="C1609" s="54">
        <f>IF(_imp!$C$1611="","",INDEX(_imp!$F$4:$F$4503,_imp!$C$1611))</f>
        <v/>
      </c>
      <c r="D1609" s="54">
        <f>IF(_imp!$C$1611="","",INDEX(_imp!$G$4:$G$4503,_imp!$C$1611))</f>
        <v/>
      </c>
      <c r="E1609" s="54">
        <f>IF(_imp!$C$1611="","",INDEX(_imp!$H$4:$H$4503,_imp!$C$1611))</f>
        <v/>
      </c>
      <c r="F1609" s="54">
        <f>IF(_imp!$C$1611="","",INDEX(_imp!$I$4:$I$4503,_imp!$C$1611))</f>
        <v/>
      </c>
      <c r="G1609" s="54">
        <f>IF(_imp!$C$1611="","",INDEX(_imp!$J$4:$J$4503,_imp!$C$1611))</f>
        <v/>
      </c>
      <c r="K1609" s="54">
        <f>IF(_imp!$C$1611="","",INDEX(_imp!$K$4:$K$4503,_imp!$C$1611))</f>
        <v/>
      </c>
    </row>
    <row r="1610">
      <c r="A1610" s="54">
        <f>IF(_imp!$C$1612="","",INDEX(_imp!$D$4:$D$4503,_imp!$C$1612))</f>
        <v/>
      </c>
      <c r="B1610" s="54">
        <f>IF(_imp!$C$1612="","",INDEX(_imp!$E$4:$E$4503,_imp!$C$1612))</f>
        <v/>
      </c>
      <c r="C1610" s="54">
        <f>IF(_imp!$C$1612="","",INDEX(_imp!$F$4:$F$4503,_imp!$C$1612))</f>
        <v/>
      </c>
      <c r="D1610" s="54">
        <f>IF(_imp!$C$1612="","",INDEX(_imp!$G$4:$G$4503,_imp!$C$1612))</f>
        <v/>
      </c>
      <c r="E1610" s="54">
        <f>IF(_imp!$C$1612="","",INDEX(_imp!$H$4:$H$4503,_imp!$C$1612))</f>
        <v/>
      </c>
      <c r="F1610" s="54">
        <f>IF(_imp!$C$1612="","",INDEX(_imp!$I$4:$I$4503,_imp!$C$1612))</f>
        <v/>
      </c>
      <c r="G1610" s="54">
        <f>IF(_imp!$C$1612="","",INDEX(_imp!$J$4:$J$4503,_imp!$C$1612))</f>
        <v/>
      </c>
      <c r="K1610" s="54">
        <f>IF(_imp!$C$1612="","",INDEX(_imp!$K$4:$K$4503,_imp!$C$1612))</f>
        <v/>
      </c>
    </row>
    <row r="1611">
      <c r="A1611" s="54">
        <f>IF(_imp!$C$1613="","",INDEX(_imp!$D$4:$D$4503,_imp!$C$1613))</f>
        <v/>
      </c>
      <c r="B1611" s="54">
        <f>IF(_imp!$C$1613="","",INDEX(_imp!$E$4:$E$4503,_imp!$C$1613))</f>
        <v/>
      </c>
      <c r="C1611" s="54">
        <f>IF(_imp!$C$1613="","",INDEX(_imp!$F$4:$F$4503,_imp!$C$1613))</f>
        <v/>
      </c>
      <c r="D1611" s="54">
        <f>IF(_imp!$C$1613="","",INDEX(_imp!$G$4:$G$4503,_imp!$C$1613))</f>
        <v/>
      </c>
      <c r="E1611" s="54">
        <f>IF(_imp!$C$1613="","",INDEX(_imp!$H$4:$H$4503,_imp!$C$1613))</f>
        <v/>
      </c>
      <c r="F1611" s="54">
        <f>IF(_imp!$C$1613="","",INDEX(_imp!$I$4:$I$4503,_imp!$C$1613))</f>
        <v/>
      </c>
      <c r="G1611" s="54">
        <f>IF(_imp!$C$1613="","",INDEX(_imp!$J$4:$J$4503,_imp!$C$1613))</f>
        <v/>
      </c>
      <c r="K1611" s="54">
        <f>IF(_imp!$C$1613="","",INDEX(_imp!$K$4:$K$4503,_imp!$C$1613))</f>
        <v/>
      </c>
    </row>
    <row r="1612">
      <c r="A1612" s="54">
        <f>IF(_imp!$C$1614="","",INDEX(_imp!$D$4:$D$4503,_imp!$C$1614))</f>
        <v/>
      </c>
      <c r="B1612" s="54">
        <f>IF(_imp!$C$1614="","",INDEX(_imp!$E$4:$E$4503,_imp!$C$1614))</f>
        <v/>
      </c>
      <c r="C1612" s="54">
        <f>IF(_imp!$C$1614="","",INDEX(_imp!$F$4:$F$4503,_imp!$C$1614))</f>
        <v/>
      </c>
      <c r="D1612" s="54">
        <f>IF(_imp!$C$1614="","",INDEX(_imp!$G$4:$G$4503,_imp!$C$1614))</f>
        <v/>
      </c>
      <c r="E1612" s="54">
        <f>IF(_imp!$C$1614="","",INDEX(_imp!$H$4:$H$4503,_imp!$C$1614))</f>
        <v/>
      </c>
      <c r="F1612" s="54">
        <f>IF(_imp!$C$1614="","",INDEX(_imp!$I$4:$I$4503,_imp!$C$1614))</f>
        <v/>
      </c>
      <c r="G1612" s="54">
        <f>IF(_imp!$C$1614="","",INDEX(_imp!$J$4:$J$4503,_imp!$C$1614))</f>
        <v/>
      </c>
      <c r="K1612" s="54">
        <f>IF(_imp!$C$1614="","",INDEX(_imp!$K$4:$K$4503,_imp!$C$1614))</f>
        <v/>
      </c>
    </row>
    <row r="1613">
      <c r="A1613" s="54">
        <f>IF(_imp!$C$1615="","",INDEX(_imp!$D$4:$D$4503,_imp!$C$1615))</f>
        <v/>
      </c>
      <c r="B1613" s="54">
        <f>IF(_imp!$C$1615="","",INDEX(_imp!$E$4:$E$4503,_imp!$C$1615))</f>
        <v/>
      </c>
      <c r="C1613" s="54">
        <f>IF(_imp!$C$1615="","",INDEX(_imp!$F$4:$F$4503,_imp!$C$1615))</f>
        <v/>
      </c>
      <c r="D1613" s="54">
        <f>IF(_imp!$C$1615="","",INDEX(_imp!$G$4:$G$4503,_imp!$C$1615))</f>
        <v/>
      </c>
      <c r="E1613" s="54">
        <f>IF(_imp!$C$1615="","",INDEX(_imp!$H$4:$H$4503,_imp!$C$1615))</f>
        <v/>
      </c>
      <c r="F1613" s="54">
        <f>IF(_imp!$C$1615="","",INDEX(_imp!$I$4:$I$4503,_imp!$C$1615))</f>
        <v/>
      </c>
      <c r="G1613" s="54">
        <f>IF(_imp!$C$1615="","",INDEX(_imp!$J$4:$J$4503,_imp!$C$1615))</f>
        <v/>
      </c>
      <c r="K1613" s="54">
        <f>IF(_imp!$C$1615="","",INDEX(_imp!$K$4:$K$4503,_imp!$C$1615))</f>
        <v/>
      </c>
    </row>
    <row r="1614">
      <c r="A1614" s="54">
        <f>IF(_imp!$C$1616="","",INDEX(_imp!$D$4:$D$4503,_imp!$C$1616))</f>
        <v/>
      </c>
      <c r="B1614" s="54">
        <f>IF(_imp!$C$1616="","",INDEX(_imp!$E$4:$E$4503,_imp!$C$1616))</f>
        <v/>
      </c>
      <c r="C1614" s="54">
        <f>IF(_imp!$C$1616="","",INDEX(_imp!$F$4:$F$4503,_imp!$C$1616))</f>
        <v/>
      </c>
      <c r="D1614" s="54">
        <f>IF(_imp!$C$1616="","",INDEX(_imp!$G$4:$G$4503,_imp!$C$1616))</f>
        <v/>
      </c>
      <c r="E1614" s="54">
        <f>IF(_imp!$C$1616="","",INDEX(_imp!$H$4:$H$4503,_imp!$C$1616))</f>
        <v/>
      </c>
      <c r="F1614" s="54">
        <f>IF(_imp!$C$1616="","",INDEX(_imp!$I$4:$I$4503,_imp!$C$1616))</f>
        <v/>
      </c>
      <c r="G1614" s="54">
        <f>IF(_imp!$C$1616="","",INDEX(_imp!$J$4:$J$4503,_imp!$C$1616))</f>
        <v/>
      </c>
      <c r="K1614" s="54">
        <f>IF(_imp!$C$1616="","",INDEX(_imp!$K$4:$K$4503,_imp!$C$1616))</f>
        <v/>
      </c>
    </row>
    <row r="1615">
      <c r="A1615" s="54">
        <f>IF(_imp!$C$1617="","",INDEX(_imp!$D$4:$D$4503,_imp!$C$1617))</f>
        <v/>
      </c>
      <c r="B1615" s="54">
        <f>IF(_imp!$C$1617="","",INDEX(_imp!$E$4:$E$4503,_imp!$C$1617))</f>
        <v/>
      </c>
      <c r="C1615" s="54">
        <f>IF(_imp!$C$1617="","",INDEX(_imp!$F$4:$F$4503,_imp!$C$1617))</f>
        <v/>
      </c>
      <c r="D1615" s="54">
        <f>IF(_imp!$C$1617="","",INDEX(_imp!$G$4:$G$4503,_imp!$C$1617))</f>
        <v/>
      </c>
      <c r="E1615" s="54">
        <f>IF(_imp!$C$1617="","",INDEX(_imp!$H$4:$H$4503,_imp!$C$1617))</f>
        <v/>
      </c>
      <c r="F1615" s="54">
        <f>IF(_imp!$C$1617="","",INDEX(_imp!$I$4:$I$4503,_imp!$C$1617))</f>
        <v/>
      </c>
      <c r="G1615" s="54">
        <f>IF(_imp!$C$1617="","",INDEX(_imp!$J$4:$J$4503,_imp!$C$1617))</f>
        <v/>
      </c>
      <c r="K1615" s="54">
        <f>IF(_imp!$C$1617="","",INDEX(_imp!$K$4:$K$4503,_imp!$C$1617))</f>
        <v/>
      </c>
    </row>
    <row r="1616">
      <c r="A1616" s="54">
        <f>IF(_imp!$C$1618="","",INDEX(_imp!$D$4:$D$4503,_imp!$C$1618))</f>
        <v/>
      </c>
      <c r="B1616" s="54">
        <f>IF(_imp!$C$1618="","",INDEX(_imp!$E$4:$E$4503,_imp!$C$1618))</f>
        <v/>
      </c>
      <c r="C1616" s="54">
        <f>IF(_imp!$C$1618="","",INDEX(_imp!$F$4:$F$4503,_imp!$C$1618))</f>
        <v/>
      </c>
      <c r="D1616" s="54">
        <f>IF(_imp!$C$1618="","",INDEX(_imp!$G$4:$G$4503,_imp!$C$1618))</f>
        <v/>
      </c>
      <c r="E1616" s="54">
        <f>IF(_imp!$C$1618="","",INDEX(_imp!$H$4:$H$4503,_imp!$C$1618))</f>
        <v/>
      </c>
      <c r="F1616" s="54">
        <f>IF(_imp!$C$1618="","",INDEX(_imp!$I$4:$I$4503,_imp!$C$1618))</f>
        <v/>
      </c>
      <c r="G1616" s="54">
        <f>IF(_imp!$C$1618="","",INDEX(_imp!$J$4:$J$4503,_imp!$C$1618))</f>
        <v/>
      </c>
      <c r="K1616" s="54">
        <f>IF(_imp!$C$1618="","",INDEX(_imp!$K$4:$K$4503,_imp!$C$1618))</f>
        <v/>
      </c>
    </row>
    <row r="1617">
      <c r="A1617" s="54">
        <f>IF(_imp!$C$1619="","",INDEX(_imp!$D$4:$D$4503,_imp!$C$1619))</f>
        <v/>
      </c>
      <c r="B1617" s="54">
        <f>IF(_imp!$C$1619="","",INDEX(_imp!$E$4:$E$4503,_imp!$C$1619))</f>
        <v/>
      </c>
      <c r="C1617" s="54">
        <f>IF(_imp!$C$1619="","",INDEX(_imp!$F$4:$F$4503,_imp!$C$1619))</f>
        <v/>
      </c>
      <c r="D1617" s="54">
        <f>IF(_imp!$C$1619="","",INDEX(_imp!$G$4:$G$4503,_imp!$C$1619))</f>
        <v/>
      </c>
      <c r="E1617" s="54">
        <f>IF(_imp!$C$1619="","",INDEX(_imp!$H$4:$H$4503,_imp!$C$1619))</f>
        <v/>
      </c>
      <c r="F1617" s="54">
        <f>IF(_imp!$C$1619="","",INDEX(_imp!$I$4:$I$4503,_imp!$C$1619))</f>
        <v/>
      </c>
      <c r="G1617" s="54">
        <f>IF(_imp!$C$1619="","",INDEX(_imp!$J$4:$J$4503,_imp!$C$1619))</f>
        <v/>
      </c>
      <c r="K1617" s="54">
        <f>IF(_imp!$C$1619="","",INDEX(_imp!$K$4:$K$4503,_imp!$C$1619))</f>
        <v/>
      </c>
    </row>
    <row r="1618">
      <c r="A1618" s="54">
        <f>IF(_imp!$C$1620="","",INDEX(_imp!$D$4:$D$4503,_imp!$C$1620))</f>
        <v/>
      </c>
      <c r="B1618" s="54">
        <f>IF(_imp!$C$1620="","",INDEX(_imp!$E$4:$E$4503,_imp!$C$1620))</f>
        <v/>
      </c>
      <c r="C1618" s="54">
        <f>IF(_imp!$C$1620="","",INDEX(_imp!$F$4:$F$4503,_imp!$C$1620))</f>
        <v/>
      </c>
      <c r="D1618" s="54">
        <f>IF(_imp!$C$1620="","",INDEX(_imp!$G$4:$G$4503,_imp!$C$1620))</f>
        <v/>
      </c>
      <c r="E1618" s="54">
        <f>IF(_imp!$C$1620="","",INDEX(_imp!$H$4:$H$4503,_imp!$C$1620))</f>
        <v/>
      </c>
      <c r="F1618" s="54">
        <f>IF(_imp!$C$1620="","",INDEX(_imp!$I$4:$I$4503,_imp!$C$1620))</f>
        <v/>
      </c>
      <c r="G1618" s="54">
        <f>IF(_imp!$C$1620="","",INDEX(_imp!$J$4:$J$4503,_imp!$C$1620))</f>
        <v/>
      </c>
      <c r="K1618" s="54">
        <f>IF(_imp!$C$1620="","",INDEX(_imp!$K$4:$K$4503,_imp!$C$1620))</f>
        <v/>
      </c>
    </row>
    <row r="1619">
      <c r="A1619" s="54">
        <f>IF(_imp!$C$1621="","",INDEX(_imp!$D$4:$D$4503,_imp!$C$1621))</f>
        <v/>
      </c>
      <c r="B1619" s="54">
        <f>IF(_imp!$C$1621="","",INDEX(_imp!$E$4:$E$4503,_imp!$C$1621))</f>
        <v/>
      </c>
      <c r="C1619" s="54">
        <f>IF(_imp!$C$1621="","",INDEX(_imp!$F$4:$F$4503,_imp!$C$1621))</f>
        <v/>
      </c>
      <c r="D1619" s="54">
        <f>IF(_imp!$C$1621="","",INDEX(_imp!$G$4:$G$4503,_imp!$C$1621))</f>
        <v/>
      </c>
      <c r="E1619" s="54">
        <f>IF(_imp!$C$1621="","",INDEX(_imp!$H$4:$H$4503,_imp!$C$1621))</f>
        <v/>
      </c>
      <c r="F1619" s="54">
        <f>IF(_imp!$C$1621="","",INDEX(_imp!$I$4:$I$4503,_imp!$C$1621))</f>
        <v/>
      </c>
      <c r="G1619" s="54">
        <f>IF(_imp!$C$1621="","",INDEX(_imp!$J$4:$J$4503,_imp!$C$1621))</f>
        <v/>
      </c>
      <c r="K1619" s="54">
        <f>IF(_imp!$C$1621="","",INDEX(_imp!$K$4:$K$4503,_imp!$C$1621))</f>
        <v/>
      </c>
    </row>
    <row r="1620">
      <c r="A1620" s="54">
        <f>IF(_imp!$C$1622="","",INDEX(_imp!$D$4:$D$4503,_imp!$C$1622))</f>
        <v/>
      </c>
      <c r="B1620" s="54">
        <f>IF(_imp!$C$1622="","",INDEX(_imp!$E$4:$E$4503,_imp!$C$1622))</f>
        <v/>
      </c>
      <c r="C1620" s="54">
        <f>IF(_imp!$C$1622="","",INDEX(_imp!$F$4:$F$4503,_imp!$C$1622))</f>
        <v/>
      </c>
      <c r="D1620" s="54">
        <f>IF(_imp!$C$1622="","",INDEX(_imp!$G$4:$G$4503,_imp!$C$1622))</f>
        <v/>
      </c>
      <c r="E1620" s="54">
        <f>IF(_imp!$C$1622="","",INDEX(_imp!$H$4:$H$4503,_imp!$C$1622))</f>
        <v/>
      </c>
      <c r="F1620" s="54">
        <f>IF(_imp!$C$1622="","",INDEX(_imp!$I$4:$I$4503,_imp!$C$1622))</f>
        <v/>
      </c>
      <c r="G1620" s="54">
        <f>IF(_imp!$C$1622="","",INDEX(_imp!$J$4:$J$4503,_imp!$C$1622))</f>
        <v/>
      </c>
      <c r="K1620" s="54">
        <f>IF(_imp!$C$1622="","",INDEX(_imp!$K$4:$K$4503,_imp!$C$1622))</f>
        <v/>
      </c>
    </row>
    <row r="1621">
      <c r="A1621" s="54">
        <f>IF(_imp!$C$1623="","",INDEX(_imp!$D$4:$D$4503,_imp!$C$1623))</f>
        <v/>
      </c>
      <c r="B1621" s="54">
        <f>IF(_imp!$C$1623="","",INDEX(_imp!$E$4:$E$4503,_imp!$C$1623))</f>
        <v/>
      </c>
      <c r="C1621" s="54">
        <f>IF(_imp!$C$1623="","",INDEX(_imp!$F$4:$F$4503,_imp!$C$1623))</f>
        <v/>
      </c>
      <c r="D1621" s="54">
        <f>IF(_imp!$C$1623="","",INDEX(_imp!$G$4:$G$4503,_imp!$C$1623))</f>
        <v/>
      </c>
      <c r="E1621" s="54">
        <f>IF(_imp!$C$1623="","",INDEX(_imp!$H$4:$H$4503,_imp!$C$1623))</f>
        <v/>
      </c>
      <c r="F1621" s="54">
        <f>IF(_imp!$C$1623="","",INDEX(_imp!$I$4:$I$4503,_imp!$C$1623))</f>
        <v/>
      </c>
      <c r="G1621" s="54">
        <f>IF(_imp!$C$1623="","",INDEX(_imp!$J$4:$J$4503,_imp!$C$1623))</f>
        <v/>
      </c>
      <c r="K1621" s="54">
        <f>IF(_imp!$C$1623="","",INDEX(_imp!$K$4:$K$4503,_imp!$C$1623))</f>
        <v/>
      </c>
    </row>
    <row r="1622">
      <c r="A1622" s="54">
        <f>IF(_imp!$C$1624="","",INDEX(_imp!$D$4:$D$4503,_imp!$C$1624))</f>
        <v/>
      </c>
      <c r="B1622" s="54">
        <f>IF(_imp!$C$1624="","",INDEX(_imp!$E$4:$E$4503,_imp!$C$1624))</f>
        <v/>
      </c>
      <c r="C1622" s="54">
        <f>IF(_imp!$C$1624="","",INDEX(_imp!$F$4:$F$4503,_imp!$C$1624))</f>
        <v/>
      </c>
      <c r="D1622" s="54">
        <f>IF(_imp!$C$1624="","",INDEX(_imp!$G$4:$G$4503,_imp!$C$1624))</f>
        <v/>
      </c>
      <c r="E1622" s="54">
        <f>IF(_imp!$C$1624="","",INDEX(_imp!$H$4:$H$4503,_imp!$C$1624))</f>
        <v/>
      </c>
      <c r="F1622" s="54">
        <f>IF(_imp!$C$1624="","",INDEX(_imp!$I$4:$I$4503,_imp!$C$1624))</f>
        <v/>
      </c>
      <c r="G1622" s="54">
        <f>IF(_imp!$C$1624="","",INDEX(_imp!$J$4:$J$4503,_imp!$C$1624))</f>
        <v/>
      </c>
      <c r="K1622" s="54">
        <f>IF(_imp!$C$1624="","",INDEX(_imp!$K$4:$K$4503,_imp!$C$1624))</f>
        <v/>
      </c>
    </row>
    <row r="1623">
      <c r="A1623" s="54">
        <f>IF(_imp!$C$1625="","",INDEX(_imp!$D$4:$D$4503,_imp!$C$1625))</f>
        <v/>
      </c>
      <c r="B1623" s="54">
        <f>IF(_imp!$C$1625="","",INDEX(_imp!$E$4:$E$4503,_imp!$C$1625))</f>
        <v/>
      </c>
      <c r="C1623" s="54">
        <f>IF(_imp!$C$1625="","",INDEX(_imp!$F$4:$F$4503,_imp!$C$1625))</f>
        <v/>
      </c>
      <c r="D1623" s="54">
        <f>IF(_imp!$C$1625="","",INDEX(_imp!$G$4:$G$4503,_imp!$C$1625))</f>
        <v/>
      </c>
      <c r="E1623" s="54">
        <f>IF(_imp!$C$1625="","",INDEX(_imp!$H$4:$H$4503,_imp!$C$1625))</f>
        <v/>
      </c>
      <c r="F1623" s="54">
        <f>IF(_imp!$C$1625="","",INDEX(_imp!$I$4:$I$4503,_imp!$C$1625))</f>
        <v/>
      </c>
      <c r="G1623" s="54">
        <f>IF(_imp!$C$1625="","",INDEX(_imp!$J$4:$J$4503,_imp!$C$1625))</f>
        <v/>
      </c>
      <c r="K1623" s="54">
        <f>IF(_imp!$C$1625="","",INDEX(_imp!$K$4:$K$4503,_imp!$C$1625))</f>
        <v/>
      </c>
    </row>
    <row r="1624">
      <c r="A1624" s="54">
        <f>IF(_imp!$C$1626="","",INDEX(_imp!$D$4:$D$4503,_imp!$C$1626))</f>
        <v/>
      </c>
      <c r="B1624" s="54">
        <f>IF(_imp!$C$1626="","",INDEX(_imp!$E$4:$E$4503,_imp!$C$1626))</f>
        <v/>
      </c>
      <c r="C1624" s="54">
        <f>IF(_imp!$C$1626="","",INDEX(_imp!$F$4:$F$4503,_imp!$C$1626))</f>
        <v/>
      </c>
      <c r="D1624" s="54">
        <f>IF(_imp!$C$1626="","",INDEX(_imp!$G$4:$G$4503,_imp!$C$1626))</f>
        <v/>
      </c>
      <c r="E1624" s="54">
        <f>IF(_imp!$C$1626="","",INDEX(_imp!$H$4:$H$4503,_imp!$C$1626))</f>
        <v/>
      </c>
      <c r="F1624" s="54">
        <f>IF(_imp!$C$1626="","",INDEX(_imp!$I$4:$I$4503,_imp!$C$1626))</f>
        <v/>
      </c>
      <c r="G1624" s="54">
        <f>IF(_imp!$C$1626="","",INDEX(_imp!$J$4:$J$4503,_imp!$C$1626))</f>
        <v/>
      </c>
      <c r="K1624" s="54">
        <f>IF(_imp!$C$1626="","",INDEX(_imp!$K$4:$K$4503,_imp!$C$1626))</f>
        <v/>
      </c>
    </row>
    <row r="1625">
      <c r="A1625" s="54">
        <f>IF(_imp!$C$1627="","",INDEX(_imp!$D$4:$D$4503,_imp!$C$1627))</f>
        <v/>
      </c>
      <c r="B1625" s="54">
        <f>IF(_imp!$C$1627="","",INDEX(_imp!$E$4:$E$4503,_imp!$C$1627))</f>
        <v/>
      </c>
      <c r="C1625" s="54">
        <f>IF(_imp!$C$1627="","",INDEX(_imp!$F$4:$F$4503,_imp!$C$1627))</f>
        <v/>
      </c>
      <c r="D1625" s="54">
        <f>IF(_imp!$C$1627="","",INDEX(_imp!$G$4:$G$4503,_imp!$C$1627))</f>
        <v/>
      </c>
      <c r="E1625" s="54">
        <f>IF(_imp!$C$1627="","",INDEX(_imp!$H$4:$H$4503,_imp!$C$1627))</f>
        <v/>
      </c>
      <c r="F1625" s="54">
        <f>IF(_imp!$C$1627="","",INDEX(_imp!$I$4:$I$4503,_imp!$C$1627))</f>
        <v/>
      </c>
      <c r="G1625" s="54">
        <f>IF(_imp!$C$1627="","",INDEX(_imp!$J$4:$J$4503,_imp!$C$1627))</f>
        <v/>
      </c>
      <c r="K1625" s="54">
        <f>IF(_imp!$C$1627="","",INDEX(_imp!$K$4:$K$4503,_imp!$C$1627))</f>
        <v/>
      </c>
    </row>
    <row r="1626">
      <c r="A1626" s="54">
        <f>IF(_imp!$C$1628="","",INDEX(_imp!$D$4:$D$4503,_imp!$C$1628))</f>
        <v/>
      </c>
      <c r="B1626" s="54">
        <f>IF(_imp!$C$1628="","",INDEX(_imp!$E$4:$E$4503,_imp!$C$1628))</f>
        <v/>
      </c>
      <c r="C1626" s="54">
        <f>IF(_imp!$C$1628="","",INDEX(_imp!$F$4:$F$4503,_imp!$C$1628))</f>
        <v/>
      </c>
      <c r="D1626" s="54">
        <f>IF(_imp!$C$1628="","",INDEX(_imp!$G$4:$G$4503,_imp!$C$1628))</f>
        <v/>
      </c>
      <c r="E1626" s="54">
        <f>IF(_imp!$C$1628="","",INDEX(_imp!$H$4:$H$4503,_imp!$C$1628))</f>
        <v/>
      </c>
      <c r="F1626" s="54">
        <f>IF(_imp!$C$1628="","",INDEX(_imp!$I$4:$I$4503,_imp!$C$1628))</f>
        <v/>
      </c>
      <c r="G1626" s="54">
        <f>IF(_imp!$C$1628="","",INDEX(_imp!$J$4:$J$4503,_imp!$C$1628))</f>
        <v/>
      </c>
      <c r="K1626" s="54">
        <f>IF(_imp!$C$1628="","",INDEX(_imp!$K$4:$K$4503,_imp!$C$1628))</f>
        <v/>
      </c>
    </row>
    <row r="1627">
      <c r="A1627" s="54">
        <f>IF(_imp!$C$1629="","",INDEX(_imp!$D$4:$D$4503,_imp!$C$1629))</f>
        <v/>
      </c>
      <c r="B1627" s="54">
        <f>IF(_imp!$C$1629="","",INDEX(_imp!$E$4:$E$4503,_imp!$C$1629))</f>
        <v/>
      </c>
      <c r="C1627" s="54">
        <f>IF(_imp!$C$1629="","",INDEX(_imp!$F$4:$F$4503,_imp!$C$1629))</f>
        <v/>
      </c>
      <c r="D1627" s="54">
        <f>IF(_imp!$C$1629="","",INDEX(_imp!$G$4:$G$4503,_imp!$C$1629))</f>
        <v/>
      </c>
      <c r="E1627" s="54">
        <f>IF(_imp!$C$1629="","",INDEX(_imp!$H$4:$H$4503,_imp!$C$1629))</f>
        <v/>
      </c>
      <c r="F1627" s="54">
        <f>IF(_imp!$C$1629="","",INDEX(_imp!$I$4:$I$4503,_imp!$C$1629))</f>
        <v/>
      </c>
      <c r="G1627" s="54">
        <f>IF(_imp!$C$1629="","",INDEX(_imp!$J$4:$J$4503,_imp!$C$1629))</f>
        <v/>
      </c>
      <c r="K1627" s="54">
        <f>IF(_imp!$C$1629="","",INDEX(_imp!$K$4:$K$4503,_imp!$C$1629))</f>
        <v/>
      </c>
    </row>
    <row r="1628">
      <c r="A1628" s="54">
        <f>IF(_imp!$C$1630="","",INDEX(_imp!$D$4:$D$4503,_imp!$C$1630))</f>
        <v/>
      </c>
      <c r="B1628" s="54">
        <f>IF(_imp!$C$1630="","",INDEX(_imp!$E$4:$E$4503,_imp!$C$1630))</f>
        <v/>
      </c>
      <c r="C1628" s="54">
        <f>IF(_imp!$C$1630="","",INDEX(_imp!$F$4:$F$4503,_imp!$C$1630))</f>
        <v/>
      </c>
      <c r="D1628" s="54">
        <f>IF(_imp!$C$1630="","",INDEX(_imp!$G$4:$G$4503,_imp!$C$1630))</f>
        <v/>
      </c>
      <c r="E1628" s="54">
        <f>IF(_imp!$C$1630="","",INDEX(_imp!$H$4:$H$4503,_imp!$C$1630))</f>
        <v/>
      </c>
      <c r="F1628" s="54">
        <f>IF(_imp!$C$1630="","",INDEX(_imp!$I$4:$I$4503,_imp!$C$1630))</f>
        <v/>
      </c>
      <c r="G1628" s="54">
        <f>IF(_imp!$C$1630="","",INDEX(_imp!$J$4:$J$4503,_imp!$C$1630))</f>
        <v/>
      </c>
      <c r="K1628" s="54">
        <f>IF(_imp!$C$1630="","",INDEX(_imp!$K$4:$K$4503,_imp!$C$1630))</f>
        <v/>
      </c>
    </row>
    <row r="1629">
      <c r="A1629" s="54">
        <f>IF(_imp!$C$1631="","",INDEX(_imp!$D$4:$D$4503,_imp!$C$1631))</f>
        <v/>
      </c>
      <c r="B1629" s="54">
        <f>IF(_imp!$C$1631="","",INDEX(_imp!$E$4:$E$4503,_imp!$C$1631))</f>
        <v/>
      </c>
      <c r="C1629" s="54">
        <f>IF(_imp!$C$1631="","",INDEX(_imp!$F$4:$F$4503,_imp!$C$1631))</f>
        <v/>
      </c>
      <c r="D1629" s="54">
        <f>IF(_imp!$C$1631="","",INDEX(_imp!$G$4:$G$4503,_imp!$C$1631))</f>
        <v/>
      </c>
      <c r="E1629" s="54">
        <f>IF(_imp!$C$1631="","",INDEX(_imp!$H$4:$H$4503,_imp!$C$1631))</f>
        <v/>
      </c>
      <c r="F1629" s="54">
        <f>IF(_imp!$C$1631="","",INDEX(_imp!$I$4:$I$4503,_imp!$C$1631))</f>
        <v/>
      </c>
      <c r="G1629" s="54">
        <f>IF(_imp!$C$1631="","",INDEX(_imp!$J$4:$J$4503,_imp!$C$1631))</f>
        <v/>
      </c>
      <c r="K1629" s="54">
        <f>IF(_imp!$C$1631="","",INDEX(_imp!$K$4:$K$4503,_imp!$C$1631))</f>
        <v/>
      </c>
    </row>
    <row r="1630">
      <c r="A1630" s="54">
        <f>IF(_imp!$C$1632="","",INDEX(_imp!$D$4:$D$4503,_imp!$C$1632))</f>
        <v/>
      </c>
      <c r="B1630" s="54">
        <f>IF(_imp!$C$1632="","",INDEX(_imp!$E$4:$E$4503,_imp!$C$1632))</f>
        <v/>
      </c>
      <c r="C1630" s="54">
        <f>IF(_imp!$C$1632="","",INDEX(_imp!$F$4:$F$4503,_imp!$C$1632))</f>
        <v/>
      </c>
      <c r="D1630" s="54">
        <f>IF(_imp!$C$1632="","",INDEX(_imp!$G$4:$G$4503,_imp!$C$1632))</f>
        <v/>
      </c>
      <c r="E1630" s="54">
        <f>IF(_imp!$C$1632="","",INDEX(_imp!$H$4:$H$4503,_imp!$C$1632))</f>
        <v/>
      </c>
      <c r="F1630" s="54">
        <f>IF(_imp!$C$1632="","",INDEX(_imp!$I$4:$I$4503,_imp!$C$1632))</f>
        <v/>
      </c>
      <c r="G1630" s="54">
        <f>IF(_imp!$C$1632="","",INDEX(_imp!$J$4:$J$4503,_imp!$C$1632))</f>
        <v/>
      </c>
      <c r="K1630" s="54">
        <f>IF(_imp!$C$1632="","",INDEX(_imp!$K$4:$K$4503,_imp!$C$1632))</f>
        <v/>
      </c>
    </row>
    <row r="1631">
      <c r="A1631" s="54">
        <f>IF(_imp!$C$1633="","",INDEX(_imp!$D$4:$D$4503,_imp!$C$1633))</f>
        <v/>
      </c>
      <c r="B1631" s="54">
        <f>IF(_imp!$C$1633="","",INDEX(_imp!$E$4:$E$4503,_imp!$C$1633))</f>
        <v/>
      </c>
      <c r="C1631" s="54">
        <f>IF(_imp!$C$1633="","",INDEX(_imp!$F$4:$F$4503,_imp!$C$1633))</f>
        <v/>
      </c>
      <c r="D1631" s="54">
        <f>IF(_imp!$C$1633="","",INDEX(_imp!$G$4:$G$4503,_imp!$C$1633))</f>
        <v/>
      </c>
      <c r="E1631" s="54">
        <f>IF(_imp!$C$1633="","",INDEX(_imp!$H$4:$H$4503,_imp!$C$1633))</f>
        <v/>
      </c>
      <c r="F1631" s="54">
        <f>IF(_imp!$C$1633="","",INDEX(_imp!$I$4:$I$4503,_imp!$C$1633))</f>
        <v/>
      </c>
      <c r="G1631" s="54">
        <f>IF(_imp!$C$1633="","",INDEX(_imp!$J$4:$J$4503,_imp!$C$1633))</f>
        <v/>
      </c>
      <c r="K1631" s="54">
        <f>IF(_imp!$C$1633="","",INDEX(_imp!$K$4:$K$4503,_imp!$C$1633))</f>
        <v/>
      </c>
    </row>
    <row r="1632">
      <c r="A1632" s="54">
        <f>IF(_imp!$C$1634="","",INDEX(_imp!$D$4:$D$4503,_imp!$C$1634))</f>
        <v/>
      </c>
      <c r="B1632" s="54">
        <f>IF(_imp!$C$1634="","",INDEX(_imp!$E$4:$E$4503,_imp!$C$1634))</f>
        <v/>
      </c>
      <c r="C1632" s="54">
        <f>IF(_imp!$C$1634="","",INDEX(_imp!$F$4:$F$4503,_imp!$C$1634))</f>
        <v/>
      </c>
      <c r="D1632" s="54">
        <f>IF(_imp!$C$1634="","",INDEX(_imp!$G$4:$G$4503,_imp!$C$1634))</f>
        <v/>
      </c>
      <c r="E1632" s="54">
        <f>IF(_imp!$C$1634="","",INDEX(_imp!$H$4:$H$4503,_imp!$C$1634))</f>
        <v/>
      </c>
      <c r="F1632" s="54">
        <f>IF(_imp!$C$1634="","",INDEX(_imp!$I$4:$I$4503,_imp!$C$1634))</f>
        <v/>
      </c>
      <c r="G1632" s="54">
        <f>IF(_imp!$C$1634="","",INDEX(_imp!$J$4:$J$4503,_imp!$C$1634))</f>
        <v/>
      </c>
      <c r="K1632" s="54">
        <f>IF(_imp!$C$1634="","",INDEX(_imp!$K$4:$K$4503,_imp!$C$1634))</f>
        <v/>
      </c>
    </row>
    <row r="1633">
      <c r="A1633" s="54">
        <f>IF(_imp!$C$1635="","",INDEX(_imp!$D$4:$D$4503,_imp!$C$1635))</f>
        <v/>
      </c>
      <c r="B1633" s="54">
        <f>IF(_imp!$C$1635="","",INDEX(_imp!$E$4:$E$4503,_imp!$C$1635))</f>
        <v/>
      </c>
      <c r="C1633" s="54">
        <f>IF(_imp!$C$1635="","",INDEX(_imp!$F$4:$F$4503,_imp!$C$1635))</f>
        <v/>
      </c>
      <c r="D1633" s="54">
        <f>IF(_imp!$C$1635="","",INDEX(_imp!$G$4:$G$4503,_imp!$C$1635))</f>
        <v/>
      </c>
      <c r="E1633" s="54">
        <f>IF(_imp!$C$1635="","",INDEX(_imp!$H$4:$H$4503,_imp!$C$1635))</f>
        <v/>
      </c>
      <c r="F1633" s="54">
        <f>IF(_imp!$C$1635="","",INDEX(_imp!$I$4:$I$4503,_imp!$C$1635))</f>
        <v/>
      </c>
      <c r="G1633" s="54">
        <f>IF(_imp!$C$1635="","",INDEX(_imp!$J$4:$J$4503,_imp!$C$1635))</f>
        <v/>
      </c>
      <c r="K1633" s="54">
        <f>IF(_imp!$C$1635="","",INDEX(_imp!$K$4:$K$4503,_imp!$C$1635))</f>
        <v/>
      </c>
    </row>
    <row r="1634">
      <c r="A1634" s="54">
        <f>IF(_imp!$C$1636="","",INDEX(_imp!$D$4:$D$4503,_imp!$C$1636))</f>
        <v/>
      </c>
      <c r="B1634" s="54">
        <f>IF(_imp!$C$1636="","",INDEX(_imp!$E$4:$E$4503,_imp!$C$1636))</f>
        <v/>
      </c>
      <c r="C1634" s="54">
        <f>IF(_imp!$C$1636="","",INDEX(_imp!$F$4:$F$4503,_imp!$C$1636))</f>
        <v/>
      </c>
      <c r="D1634" s="54">
        <f>IF(_imp!$C$1636="","",INDEX(_imp!$G$4:$G$4503,_imp!$C$1636))</f>
        <v/>
      </c>
      <c r="E1634" s="54">
        <f>IF(_imp!$C$1636="","",INDEX(_imp!$H$4:$H$4503,_imp!$C$1636))</f>
        <v/>
      </c>
      <c r="F1634" s="54">
        <f>IF(_imp!$C$1636="","",INDEX(_imp!$I$4:$I$4503,_imp!$C$1636))</f>
        <v/>
      </c>
      <c r="G1634" s="54">
        <f>IF(_imp!$C$1636="","",INDEX(_imp!$J$4:$J$4503,_imp!$C$1636))</f>
        <v/>
      </c>
      <c r="K1634" s="54">
        <f>IF(_imp!$C$1636="","",INDEX(_imp!$K$4:$K$4503,_imp!$C$1636))</f>
        <v/>
      </c>
    </row>
    <row r="1635">
      <c r="A1635" s="54">
        <f>IF(_imp!$C$1637="","",INDEX(_imp!$D$4:$D$4503,_imp!$C$1637))</f>
        <v/>
      </c>
      <c r="B1635" s="54">
        <f>IF(_imp!$C$1637="","",INDEX(_imp!$E$4:$E$4503,_imp!$C$1637))</f>
        <v/>
      </c>
      <c r="C1635" s="54">
        <f>IF(_imp!$C$1637="","",INDEX(_imp!$F$4:$F$4503,_imp!$C$1637))</f>
        <v/>
      </c>
      <c r="D1635" s="54">
        <f>IF(_imp!$C$1637="","",INDEX(_imp!$G$4:$G$4503,_imp!$C$1637))</f>
        <v/>
      </c>
      <c r="E1635" s="54">
        <f>IF(_imp!$C$1637="","",INDEX(_imp!$H$4:$H$4503,_imp!$C$1637))</f>
        <v/>
      </c>
      <c r="F1635" s="54">
        <f>IF(_imp!$C$1637="","",INDEX(_imp!$I$4:$I$4503,_imp!$C$1637))</f>
        <v/>
      </c>
      <c r="G1635" s="54">
        <f>IF(_imp!$C$1637="","",INDEX(_imp!$J$4:$J$4503,_imp!$C$1637))</f>
        <v/>
      </c>
      <c r="K1635" s="54">
        <f>IF(_imp!$C$1637="","",INDEX(_imp!$K$4:$K$4503,_imp!$C$1637))</f>
        <v/>
      </c>
    </row>
    <row r="1636">
      <c r="A1636" s="54">
        <f>IF(_imp!$C$1638="","",INDEX(_imp!$D$4:$D$4503,_imp!$C$1638))</f>
        <v/>
      </c>
      <c r="B1636" s="54">
        <f>IF(_imp!$C$1638="","",INDEX(_imp!$E$4:$E$4503,_imp!$C$1638))</f>
        <v/>
      </c>
      <c r="C1636" s="54">
        <f>IF(_imp!$C$1638="","",INDEX(_imp!$F$4:$F$4503,_imp!$C$1638))</f>
        <v/>
      </c>
      <c r="D1636" s="54">
        <f>IF(_imp!$C$1638="","",INDEX(_imp!$G$4:$G$4503,_imp!$C$1638))</f>
        <v/>
      </c>
      <c r="E1636" s="54">
        <f>IF(_imp!$C$1638="","",INDEX(_imp!$H$4:$H$4503,_imp!$C$1638))</f>
        <v/>
      </c>
      <c r="F1636" s="54">
        <f>IF(_imp!$C$1638="","",INDEX(_imp!$I$4:$I$4503,_imp!$C$1638))</f>
        <v/>
      </c>
      <c r="G1636" s="54">
        <f>IF(_imp!$C$1638="","",INDEX(_imp!$J$4:$J$4503,_imp!$C$1638))</f>
        <v/>
      </c>
      <c r="K1636" s="54">
        <f>IF(_imp!$C$1638="","",INDEX(_imp!$K$4:$K$4503,_imp!$C$1638))</f>
        <v/>
      </c>
    </row>
    <row r="1637">
      <c r="A1637" s="54">
        <f>IF(_imp!$C$1639="","",INDEX(_imp!$D$4:$D$4503,_imp!$C$1639))</f>
        <v/>
      </c>
      <c r="B1637" s="54">
        <f>IF(_imp!$C$1639="","",INDEX(_imp!$E$4:$E$4503,_imp!$C$1639))</f>
        <v/>
      </c>
      <c r="C1637" s="54">
        <f>IF(_imp!$C$1639="","",INDEX(_imp!$F$4:$F$4503,_imp!$C$1639))</f>
        <v/>
      </c>
      <c r="D1637" s="54">
        <f>IF(_imp!$C$1639="","",INDEX(_imp!$G$4:$G$4503,_imp!$C$1639))</f>
        <v/>
      </c>
      <c r="E1637" s="54">
        <f>IF(_imp!$C$1639="","",INDEX(_imp!$H$4:$H$4503,_imp!$C$1639))</f>
        <v/>
      </c>
      <c r="F1637" s="54">
        <f>IF(_imp!$C$1639="","",INDEX(_imp!$I$4:$I$4503,_imp!$C$1639))</f>
        <v/>
      </c>
      <c r="G1637" s="54">
        <f>IF(_imp!$C$1639="","",INDEX(_imp!$J$4:$J$4503,_imp!$C$1639))</f>
        <v/>
      </c>
      <c r="K1637" s="54">
        <f>IF(_imp!$C$1639="","",INDEX(_imp!$K$4:$K$4503,_imp!$C$1639))</f>
        <v/>
      </c>
    </row>
    <row r="1638">
      <c r="A1638" s="54">
        <f>IF(_imp!$C$1640="","",INDEX(_imp!$D$4:$D$4503,_imp!$C$1640))</f>
        <v/>
      </c>
      <c r="B1638" s="54">
        <f>IF(_imp!$C$1640="","",INDEX(_imp!$E$4:$E$4503,_imp!$C$1640))</f>
        <v/>
      </c>
      <c r="C1638" s="54">
        <f>IF(_imp!$C$1640="","",INDEX(_imp!$F$4:$F$4503,_imp!$C$1640))</f>
        <v/>
      </c>
      <c r="D1638" s="54">
        <f>IF(_imp!$C$1640="","",INDEX(_imp!$G$4:$G$4503,_imp!$C$1640))</f>
        <v/>
      </c>
      <c r="E1638" s="54">
        <f>IF(_imp!$C$1640="","",INDEX(_imp!$H$4:$H$4503,_imp!$C$1640))</f>
        <v/>
      </c>
      <c r="F1638" s="54">
        <f>IF(_imp!$C$1640="","",INDEX(_imp!$I$4:$I$4503,_imp!$C$1640))</f>
        <v/>
      </c>
      <c r="G1638" s="54">
        <f>IF(_imp!$C$1640="","",INDEX(_imp!$J$4:$J$4503,_imp!$C$1640))</f>
        <v/>
      </c>
      <c r="K1638" s="54">
        <f>IF(_imp!$C$1640="","",INDEX(_imp!$K$4:$K$4503,_imp!$C$1640))</f>
        <v/>
      </c>
    </row>
    <row r="1639">
      <c r="A1639" s="54">
        <f>IF(_imp!$C$1641="","",INDEX(_imp!$D$4:$D$4503,_imp!$C$1641))</f>
        <v/>
      </c>
      <c r="B1639" s="54">
        <f>IF(_imp!$C$1641="","",INDEX(_imp!$E$4:$E$4503,_imp!$C$1641))</f>
        <v/>
      </c>
      <c r="C1639" s="54">
        <f>IF(_imp!$C$1641="","",INDEX(_imp!$F$4:$F$4503,_imp!$C$1641))</f>
        <v/>
      </c>
      <c r="D1639" s="54">
        <f>IF(_imp!$C$1641="","",INDEX(_imp!$G$4:$G$4503,_imp!$C$1641))</f>
        <v/>
      </c>
      <c r="E1639" s="54">
        <f>IF(_imp!$C$1641="","",INDEX(_imp!$H$4:$H$4503,_imp!$C$1641))</f>
        <v/>
      </c>
      <c r="F1639" s="54">
        <f>IF(_imp!$C$1641="","",INDEX(_imp!$I$4:$I$4503,_imp!$C$1641))</f>
        <v/>
      </c>
      <c r="G1639" s="54">
        <f>IF(_imp!$C$1641="","",INDEX(_imp!$J$4:$J$4503,_imp!$C$1641))</f>
        <v/>
      </c>
      <c r="K1639" s="54">
        <f>IF(_imp!$C$1641="","",INDEX(_imp!$K$4:$K$4503,_imp!$C$1641))</f>
        <v/>
      </c>
    </row>
    <row r="1640">
      <c r="A1640" s="54">
        <f>IF(_imp!$C$1642="","",INDEX(_imp!$D$4:$D$4503,_imp!$C$1642))</f>
        <v/>
      </c>
      <c r="B1640" s="54">
        <f>IF(_imp!$C$1642="","",INDEX(_imp!$E$4:$E$4503,_imp!$C$1642))</f>
        <v/>
      </c>
      <c r="C1640" s="54">
        <f>IF(_imp!$C$1642="","",INDEX(_imp!$F$4:$F$4503,_imp!$C$1642))</f>
        <v/>
      </c>
      <c r="D1640" s="54">
        <f>IF(_imp!$C$1642="","",INDEX(_imp!$G$4:$G$4503,_imp!$C$1642))</f>
        <v/>
      </c>
      <c r="E1640" s="54">
        <f>IF(_imp!$C$1642="","",INDEX(_imp!$H$4:$H$4503,_imp!$C$1642))</f>
        <v/>
      </c>
      <c r="F1640" s="54">
        <f>IF(_imp!$C$1642="","",INDEX(_imp!$I$4:$I$4503,_imp!$C$1642))</f>
        <v/>
      </c>
      <c r="G1640" s="54">
        <f>IF(_imp!$C$1642="","",INDEX(_imp!$J$4:$J$4503,_imp!$C$1642))</f>
        <v/>
      </c>
      <c r="K1640" s="54">
        <f>IF(_imp!$C$1642="","",INDEX(_imp!$K$4:$K$4503,_imp!$C$1642))</f>
        <v/>
      </c>
    </row>
    <row r="1641">
      <c r="A1641" s="54">
        <f>IF(_imp!$C$1643="","",INDEX(_imp!$D$4:$D$4503,_imp!$C$1643))</f>
        <v/>
      </c>
      <c r="B1641" s="54">
        <f>IF(_imp!$C$1643="","",INDEX(_imp!$E$4:$E$4503,_imp!$C$1643))</f>
        <v/>
      </c>
      <c r="C1641" s="54">
        <f>IF(_imp!$C$1643="","",INDEX(_imp!$F$4:$F$4503,_imp!$C$1643))</f>
        <v/>
      </c>
      <c r="D1641" s="54">
        <f>IF(_imp!$C$1643="","",INDEX(_imp!$G$4:$G$4503,_imp!$C$1643))</f>
        <v/>
      </c>
      <c r="E1641" s="54">
        <f>IF(_imp!$C$1643="","",INDEX(_imp!$H$4:$H$4503,_imp!$C$1643))</f>
        <v/>
      </c>
      <c r="F1641" s="54">
        <f>IF(_imp!$C$1643="","",INDEX(_imp!$I$4:$I$4503,_imp!$C$1643))</f>
        <v/>
      </c>
      <c r="G1641" s="54">
        <f>IF(_imp!$C$1643="","",INDEX(_imp!$J$4:$J$4503,_imp!$C$1643))</f>
        <v/>
      </c>
      <c r="K1641" s="54">
        <f>IF(_imp!$C$1643="","",INDEX(_imp!$K$4:$K$4503,_imp!$C$1643))</f>
        <v/>
      </c>
    </row>
    <row r="1642">
      <c r="A1642" s="54">
        <f>IF(_imp!$C$1644="","",INDEX(_imp!$D$4:$D$4503,_imp!$C$1644))</f>
        <v/>
      </c>
      <c r="B1642" s="54">
        <f>IF(_imp!$C$1644="","",INDEX(_imp!$E$4:$E$4503,_imp!$C$1644))</f>
        <v/>
      </c>
      <c r="C1642" s="54">
        <f>IF(_imp!$C$1644="","",INDEX(_imp!$F$4:$F$4503,_imp!$C$1644))</f>
        <v/>
      </c>
      <c r="D1642" s="54">
        <f>IF(_imp!$C$1644="","",INDEX(_imp!$G$4:$G$4503,_imp!$C$1644))</f>
        <v/>
      </c>
      <c r="E1642" s="54">
        <f>IF(_imp!$C$1644="","",INDEX(_imp!$H$4:$H$4503,_imp!$C$1644))</f>
        <v/>
      </c>
      <c r="F1642" s="54">
        <f>IF(_imp!$C$1644="","",INDEX(_imp!$I$4:$I$4503,_imp!$C$1644))</f>
        <v/>
      </c>
      <c r="G1642" s="54">
        <f>IF(_imp!$C$1644="","",INDEX(_imp!$J$4:$J$4503,_imp!$C$1644))</f>
        <v/>
      </c>
      <c r="K1642" s="54">
        <f>IF(_imp!$C$1644="","",INDEX(_imp!$K$4:$K$4503,_imp!$C$1644))</f>
        <v/>
      </c>
    </row>
    <row r="1643">
      <c r="A1643" s="54">
        <f>IF(_imp!$C$1645="","",INDEX(_imp!$D$4:$D$4503,_imp!$C$1645))</f>
        <v/>
      </c>
      <c r="B1643" s="54">
        <f>IF(_imp!$C$1645="","",INDEX(_imp!$E$4:$E$4503,_imp!$C$1645))</f>
        <v/>
      </c>
      <c r="C1643" s="54">
        <f>IF(_imp!$C$1645="","",INDEX(_imp!$F$4:$F$4503,_imp!$C$1645))</f>
        <v/>
      </c>
      <c r="D1643" s="54">
        <f>IF(_imp!$C$1645="","",INDEX(_imp!$G$4:$G$4503,_imp!$C$1645))</f>
        <v/>
      </c>
      <c r="E1643" s="54">
        <f>IF(_imp!$C$1645="","",INDEX(_imp!$H$4:$H$4503,_imp!$C$1645))</f>
        <v/>
      </c>
      <c r="F1643" s="54">
        <f>IF(_imp!$C$1645="","",INDEX(_imp!$I$4:$I$4503,_imp!$C$1645))</f>
        <v/>
      </c>
      <c r="G1643" s="54">
        <f>IF(_imp!$C$1645="","",INDEX(_imp!$J$4:$J$4503,_imp!$C$1645))</f>
        <v/>
      </c>
      <c r="K1643" s="54">
        <f>IF(_imp!$C$1645="","",INDEX(_imp!$K$4:$K$4503,_imp!$C$1645))</f>
        <v/>
      </c>
    </row>
    <row r="1644">
      <c r="A1644" s="54">
        <f>IF(_imp!$C$1646="","",INDEX(_imp!$D$4:$D$4503,_imp!$C$1646))</f>
        <v/>
      </c>
      <c r="B1644" s="54">
        <f>IF(_imp!$C$1646="","",INDEX(_imp!$E$4:$E$4503,_imp!$C$1646))</f>
        <v/>
      </c>
      <c r="C1644" s="54">
        <f>IF(_imp!$C$1646="","",INDEX(_imp!$F$4:$F$4503,_imp!$C$1646))</f>
        <v/>
      </c>
      <c r="D1644" s="54">
        <f>IF(_imp!$C$1646="","",INDEX(_imp!$G$4:$G$4503,_imp!$C$1646))</f>
        <v/>
      </c>
      <c r="E1644" s="54">
        <f>IF(_imp!$C$1646="","",INDEX(_imp!$H$4:$H$4503,_imp!$C$1646))</f>
        <v/>
      </c>
      <c r="F1644" s="54">
        <f>IF(_imp!$C$1646="","",INDEX(_imp!$I$4:$I$4503,_imp!$C$1646))</f>
        <v/>
      </c>
      <c r="G1644" s="54">
        <f>IF(_imp!$C$1646="","",INDEX(_imp!$J$4:$J$4503,_imp!$C$1646))</f>
        <v/>
      </c>
      <c r="K1644" s="54">
        <f>IF(_imp!$C$1646="","",INDEX(_imp!$K$4:$K$4503,_imp!$C$1646))</f>
        <v/>
      </c>
    </row>
    <row r="1645">
      <c r="A1645" s="54">
        <f>IF(_imp!$C$1647="","",INDEX(_imp!$D$4:$D$4503,_imp!$C$1647))</f>
        <v/>
      </c>
      <c r="B1645" s="54">
        <f>IF(_imp!$C$1647="","",INDEX(_imp!$E$4:$E$4503,_imp!$C$1647))</f>
        <v/>
      </c>
      <c r="C1645" s="54">
        <f>IF(_imp!$C$1647="","",INDEX(_imp!$F$4:$F$4503,_imp!$C$1647))</f>
        <v/>
      </c>
      <c r="D1645" s="54">
        <f>IF(_imp!$C$1647="","",INDEX(_imp!$G$4:$G$4503,_imp!$C$1647))</f>
        <v/>
      </c>
      <c r="E1645" s="54">
        <f>IF(_imp!$C$1647="","",INDEX(_imp!$H$4:$H$4503,_imp!$C$1647))</f>
        <v/>
      </c>
      <c r="F1645" s="54">
        <f>IF(_imp!$C$1647="","",INDEX(_imp!$I$4:$I$4503,_imp!$C$1647))</f>
        <v/>
      </c>
      <c r="G1645" s="54">
        <f>IF(_imp!$C$1647="","",INDEX(_imp!$J$4:$J$4503,_imp!$C$1647))</f>
        <v/>
      </c>
      <c r="K1645" s="54">
        <f>IF(_imp!$C$1647="","",INDEX(_imp!$K$4:$K$4503,_imp!$C$1647))</f>
        <v/>
      </c>
    </row>
    <row r="1646">
      <c r="A1646" s="54">
        <f>IF(_imp!$C$1648="","",INDEX(_imp!$D$4:$D$4503,_imp!$C$1648))</f>
        <v/>
      </c>
      <c r="B1646" s="54">
        <f>IF(_imp!$C$1648="","",INDEX(_imp!$E$4:$E$4503,_imp!$C$1648))</f>
        <v/>
      </c>
      <c r="C1646" s="54">
        <f>IF(_imp!$C$1648="","",INDEX(_imp!$F$4:$F$4503,_imp!$C$1648))</f>
        <v/>
      </c>
      <c r="D1646" s="54">
        <f>IF(_imp!$C$1648="","",INDEX(_imp!$G$4:$G$4503,_imp!$C$1648))</f>
        <v/>
      </c>
      <c r="E1646" s="54">
        <f>IF(_imp!$C$1648="","",INDEX(_imp!$H$4:$H$4503,_imp!$C$1648))</f>
        <v/>
      </c>
      <c r="F1646" s="54">
        <f>IF(_imp!$C$1648="","",INDEX(_imp!$I$4:$I$4503,_imp!$C$1648))</f>
        <v/>
      </c>
      <c r="G1646" s="54">
        <f>IF(_imp!$C$1648="","",INDEX(_imp!$J$4:$J$4503,_imp!$C$1648))</f>
        <v/>
      </c>
      <c r="K1646" s="54">
        <f>IF(_imp!$C$1648="","",INDEX(_imp!$K$4:$K$4503,_imp!$C$1648))</f>
        <v/>
      </c>
    </row>
    <row r="1647">
      <c r="A1647" s="54">
        <f>IF(_imp!$C$1649="","",INDEX(_imp!$D$4:$D$4503,_imp!$C$1649))</f>
        <v/>
      </c>
      <c r="B1647" s="54">
        <f>IF(_imp!$C$1649="","",INDEX(_imp!$E$4:$E$4503,_imp!$C$1649))</f>
        <v/>
      </c>
      <c r="C1647" s="54">
        <f>IF(_imp!$C$1649="","",INDEX(_imp!$F$4:$F$4503,_imp!$C$1649))</f>
        <v/>
      </c>
      <c r="D1647" s="54">
        <f>IF(_imp!$C$1649="","",INDEX(_imp!$G$4:$G$4503,_imp!$C$1649))</f>
        <v/>
      </c>
      <c r="E1647" s="54">
        <f>IF(_imp!$C$1649="","",INDEX(_imp!$H$4:$H$4503,_imp!$C$1649))</f>
        <v/>
      </c>
      <c r="F1647" s="54">
        <f>IF(_imp!$C$1649="","",INDEX(_imp!$I$4:$I$4503,_imp!$C$1649))</f>
        <v/>
      </c>
      <c r="G1647" s="54">
        <f>IF(_imp!$C$1649="","",INDEX(_imp!$J$4:$J$4503,_imp!$C$1649))</f>
        <v/>
      </c>
      <c r="K1647" s="54">
        <f>IF(_imp!$C$1649="","",INDEX(_imp!$K$4:$K$4503,_imp!$C$1649))</f>
        <v/>
      </c>
    </row>
    <row r="1648">
      <c r="A1648" s="54">
        <f>IF(_imp!$C$1650="","",INDEX(_imp!$D$4:$D$4503,_imp!$C$1650))</f>
        <v/>
      </c>
      <c r="B1648" s="54">
        <f>IF(_imp!$C$1650="","",INDEX(_imp!$E$4:$E$4503,_imp!$C$1650))</f>
        <v/>
      </c>
      <c r="C1648" s="54">
        <f>IF(_imp!$C$1650="","",INDEX(_imp!$F$4:$F$4503,_imp!$C$1650))</f>
        <v/>
      </c>
      <c r="D1648" s="54">
        <f>IF(_imp!$C$1650="","",INDEX(_imp!$G$4:$G$4503,_imp!$C$1650))</f>
        <v/>
      </c>
      <c r="E1648" s="54">
        <f>IF(_imp!$C$1650="","",INDEX(_imp!$H$4:$H$4503,_imp!$C$1650))</f>
        <v/>
      </c>
      <c r="F1648" s="54">
        <f>IF(_imp!$C$1650="","",INDEX(_imp!$I$4:$I$4503,_imp!$C$1650))</f>
        <v/>
      </c>
      <c r="G1648" s="54">
        <f>IF(_imp!$C$1650="","",INDEX(_imp!$J$4:$J$4503,_imp!$C$1650))</f>
        <v/>
      </c>
      <c r="K1648" s="54">
        <f>IF(_imp!$C$1650="","",INDEX(_imp!$K$4:$K$4503,_imp!$C$1650))</f>
        <v/>
      </c>
    </row>
    <row r="1649">
      <c r="A1649" s="54">
        <f>IF(_imp!$C$1651="","",INDEX(_imp!$D$4:$D$4503,_imp!$C$1651))</f>
        <v/>
      </c>
      <c r="B1649" s="54">
        <f>IF(_imp!$C$1651="","",INDEX(_imp!$E$4:$E$4503,_imp!$C$1651))</f>
        <v/>
      </c>
      <c r="C1649" s="54">
        <f>IF(_imp!$C$1651="","",INDEX(_imp!$F$4:$F$4503,_imp!$C$1651))</f>
        <v/>
      </c>
      <c r="D1649" s="54">
        <f>IF(_imp!$C$1651="","",INDEX(_imp!$G$4:$G$4503,_imp!$C$1651))</f>
        <v/>
      </c>
      <c r="E1649" s="54">
        <f>IF(_imp!$C$1651="","",INDEX(_imp!$H$4:$H$4503,_imp!$C$1651))</f>
        <v/>
      </c>
      <c r="F1649" s="54">
        <f>IF(_imp!$C$1651="","",INDEX(_imp!$I$4:$I$4503,_imp!$C$1651))</f>
        <v/>
      </c>
      <c r="G1649" s="54">
        <f>IF(_imp!$C$1651="","",INDEX(_imp!$J$4:$J$4503,_imp!$C$1651))</f>
        <v/>
      </c>
      <c r="K1649" s="54">
        <f>IF(_imp!$C$1651="","",INDEX(_imp!$K$4:$K$4503,_imp!$C$1651))</f>
        <v/>
      </c>
    </row>
    <row r="1650">
      <c r="A1650" s="54">
        <f>IF(_imp!$C$1652="","",INDEX(_imp!$D$4:$D$4503,_imp!$C$1652))</f>
        <v/>
      </c>
      <c r="B1650" s="54">
        <f>IF(_imp!$C$1652="","",INDEX(_imp!$E$4:$E$4503,_imp!$C$1652))</f>
        <v/>
      </c>
      <c r="C1650" s="54">
        <f>IF(_imp!$C$1652="","",INDEX(_imp!$F$4:$F$4503,_imp!$C$1652))</f>
        <v/>
      </c>
      <c r="D1650" s="54">
        <f>IF(_imp!$C$1652="","",INDEX(_imp!$G$4:$G$4503,_imp!$C$1652))</f>
        <v/>
      </c>
      <c r="E1650" s="54">
        <f>IF(_imp!$C$1652="","",INDEX(_imp!$H$4:$H$4503,_imp!$C$1652))</f>
        <v/>
      </c>
      <c r="F1650" s="54">
        <f>IF(_imp!$C$1652="","",INDEX(_imp!$I$4:$I$4503,_imp!$C$1652))</f>
        <v/>
      </c>
      <c r="G1650" s="54">
        <f>IF(_imp!$C$1652="","",INDEX(_imp!$J$4:$J$4503,_imp!$C$1652))</f>
        <v/>
      </c>
      <c r="K1650" s="54">
        <f>IF(_imp!$C$1652="","",INDEX(_imp!$K$4:$K$4503,_imp!$C$1652))</f>
        <v/>
      </c>
    </row>
    <row r="1651">
      <c r="A1651" s="54">
        <f>IF(_imp!$C$1653="","",INDEX(_imp!$D$4:$D$4503,_imp!$C$1653))</f>
        <v/>
      </c>
      <c r="B1651" s="54">
        <f>IF(_imp!$C$1653="","",INDEX(_imp!$E$4:$E$4503,_imp!$C$1653))</f>
        <v/>
      </c>
      <c r="C1651" s="54">
        <f>IF(_imp!$C$1653="","",INDEX(_imp!$F$4:$F$4503,_imp!$C$1653))</f>
        <v/>
      </c>
      <c r="D1651" s="54">
        <f>IF(_imp!$C$1653="","",INDEX(_imp!$G$4:$G$4503,_imp!$C$1653))</f>
        <v/>
      </c>
      <c r="E1651" s="54">
        <f>IF(_imp!$C$1653="","",INDEX(_imp!$H$4:$H$4503,_imp!$C$1653))</f>
        <v/>
      </c>
      <c r="F1651" s="54">
        <f>IF(_imp!$C$1653="","",INDEX(_imp!$I$4:$I$4503,_imp!$C$1653))</f>
        <v/>
      </c>
      <c r="G1651" s="54">
        <f>IF(_imp!$C$1653="","",INDEX(_imp!$J$4:$J$4503,_imp!$C$1653))</f>
        <v/>
      </c>
      <c r="K1651" s="54">
        <f>IF(_imp!$C$1653="","",INDEX(_imp!$K$4:$K$4503,_imp!$C$1653))</f>
        <v/>
      </c>
    </row>
    <row r="1652">
      <c r="A1652" s="54">
        <f>IF(_imp!$C$1654="","",INDEX(_imp!$D$4:$D$4503,_imp!$C$1654))</f>
        <v/>
      </c>
      <c r="B1652" s="54">
        <f>IF(_imp!$C$1654="","",INDEX(_imp!$E$4:$E$4503,_imp!$C$1654))</f>
        <v/>
      </c>
      <c r="C1652" s="54">
        <f>IF(_imp!$C$1654="","",INDEX(_imp!$F$4:$F$4503,_imp!$C$1654))</f>
        <v/>
      </c>
      <c r="D1652" s="54">
        <f>IF(_imp!$C$1654="","",INDEX(_imp!$G$4:$G$4503,_imp!$C$1654))</f>
        <v/>
      </c>
      <c r="E1652" s="54">
        <f>IF(_imp!$C$1654="","",INDEX(_imp!$H$4:$H$4503,_imp!$C$1654))</f>
        <v/>
      </c>
      <c r="F1652" s="54">
        <f>IF(_imp!$C$1654="","",INDEX(_imp!$I$4:$I$4503,_imp!$C$1654))</f>
        <v/>
      </c>
      <c r="G1652" s="54">
        <f>IF(_imp!$C$1654="","",INDEX(_imp!$J$4:$J$4503,_imp!$C$1654))</f>
        <v/>
      </c>
      <c r="K1652" s="54">
        <f>IF(_imp!$C$1654="","",INDEX(_imp!$K$4:$K$4503,_imp!$C$1654))</f>
        <v/>
      </c>
    </row>
    <row r="1653">
      <c r="A1653" s="54">
        <f>IF(_imp!$C$1655="","",INDEX(_imp!$D$4:$D$4503,_imp!$C$1655))</f>
        <v/>
      </c>
      <c r="B1653" s="54">
        <f>IF(_imp!$C$1655="","",INDEX(_imp!$E$4:$E$4503,_imp!$C$1655))</f>
        <v/>
      </c>
      <c r="C1653" s="54">
        <f>IF(_imp!$C$1655="","",INDEX(_imp!$F$4:$F$4503,_imp!$C$1655))</f>
        <v/>
      </c>
      <c r="D1653" s="54">
        <f>IF(_imp!$C$1655="","",INDEX(_imp!$G$4:$G$4503,_imp!$C$1655))</f>
        <v/>
      </c>
      <c r="E1653" s="54">
        <f>IF(_imp!$C$1655="","",INDEX(_imp!$H$4:$H$4503,_imp!$C$1655))</f>
        <v/>
      </c>
      <c r="F1653" s="54">
        <f>IF(_imp!$C$1655="","",INDEX(_imp!$I$4:$I$4503,_imp!$C$1655))</f>
        <v/>
      </c>
      <c r="G1653" s="54">
        <f>IF(_imp!$C$1655="","",INDEX(_imp!$J$4:$J$4503,_imp!$C$1655))</f>
        <v/>
      </c>
      <c r="K1653" s="54">
        <f>IF(_imp!$C$1655="","",INDEX(_imp!$K$4:$K$4503,_imp!$C$1655))</f>
        <v/>
      </c>
    </row>
    <row r="1654">
      <c r="A1654" s="54">
        <f>IF(_imp!$C$1656="","",INDEX(_imp!$D$4:$D$4503,_imp!$C$1656))</f>
        <v/>
      </c>
      <c r="B1654" s="54">
        <f>IF(_imp!$C$1656="","",INDEX(_imp!$E$4:$E$4503,_imp!$C$1656))</f>
        <v/>
      </c>
      <c r="C1654" s="54">
        <f>IF(_imp!$C$1656="","",INDEX(_imp!$F$4:$F$4503,_imp!$C$1656))</f>
        <v/>
      </c>
      <c r="D1654" s="54">
        <f>IF(_imp!$C$1656="","",INDEX(_imp!$G$4:$G$4503,_imp!$C$1656))</f>
        <v/>
      </c>
      <c r="E1654" s="54">
        <f>IF(_imp!$C$1656="","",INDEX(_imp!$H$4:$H$4503,_imp!$C$1656))</f>
        <v/>
      </c>
      <c r="F1654" s="54">
        <f>IF(_imp!$C$1656="","",INDEX(_imp!$I$4:$I$4503,_imp!$C$1656))</f>
        <v/>
      </c>
      <c r="G1654" s="54">
        <f>IF(_imp!$C$1656="","",INDEX(_imp!$J$4:$J$4503,_imp!$C$1656))</f>
        <v/>
      </c>
      <c r="K1654" s="54">
        <f>IF(_imp!$C$1656="","",INDEX(_imp!$K$4:$K$4503,_imp!$C$1656))</f>
        <v/>
      </c>
    </row>
    <row r="1655">
      <c r="A1655" s="54">
        <f>IF(_imp!$C$1657="","",INDEX(_imp!$D$4:$D$4503,_imp!$C$1657))</f>
        <v/>
      </c>
      <c r="B1655" s="54">
        <f>IF(_imp!$C$1657="","",INDEX(_imp!$E$4:$E$4503,_imp!$C$1657))</f>
        <v/>
      </c>
      <c r="C1655" s="54">
        <f>IF(_imp!$C$1657="","",INDEX(_imp!$F$4:$F$4503,_imp!$C$1657))</f>
        <v/>
      </c>
      <c r="D1655" s="54">
        <f>IF(_imp!$C$1657="","",INDEX(_imp!$G$4:$G$4503,_imp!$C$1657))</f>
        <v/>
      </c>
      <c r="E1655" s="54">
        <f>IF(_imp!$C$1657="","",INDEX(_imp!$H$4:$H$4503,_imp!$C$1657))</f>
        <v/>
      </c>
      <c r="F1655" s="54">
        <f>IF(_imp!$C$1657="","",INDEX(_imp!$I$4:$I$4503,_imp!$C$1657))</f>
        <v/>
      </c>
      <c r="G1655" s="54">
        <f>IF(_imp!$C$1657="","",INDEX(_imp!$J$4:$J$4503,_imp!$C$1657))</f>
        <v/>
      </c>
      <c r="K1655" s="54">
        <f>IF(_imp!$C$1657="","",INDEX(_imp!$K$4:$K$4503,_imp!$C$1657))</f>
        <v/>
      </c>
    </row>
    <row r="1656">
      <c r="A1656" s="54">
        <f>IF(_imp!$C$1658="","",INDEX(_imp!$D$4:$D$4503,_imp!$C$1658))</f>
        <v/>
      </c>
      <c r="B1656" s="54">
        <f>IF(_imp!$C$1658="","",INDEX(_imp!$E$4:$E$4503,_imp!$C$1658))</f>
        <v/>
      </c>
      <c r="C1656" s="54">
        <f>IF(_imp!$C$1658="","",INDEX(_imp!$F$4:$F$4503,_imp!$C$1658))</f>
        <v/>
      </c>
      <c r="D1656" s="54">
        <f>IF(_imp!$C$1658="","",INDEX(_imp!$G$4:$G$4503,_imp!$C$1658))</f>
        <v/>
      </c>
      <c r="E1656" s="54">
        <f>IF(_imp!$C$1658="","",INDEX(_imp!$H$4:$H$4503,_imp!$C$1658))</f>
        <v/>
      </c>
      <c r="F1656" s="54">
        <f>IF(_imp!$C$1658="","",INDEX(_imp!$I$4:$I$4503,_imp!$C$1658))</f>
        <v/>
      </c>
      <c r="G1656" s="54">
        <f>IF(_imp!$C$1658="","",INDEX(_imp!$J$4:$J$4503,_imp!$C$1658))</f>
        <v/>
      </c>
      <c r="K1656" s="54">
        <f>IF(_imp!$C$1658="","",INDEX(_imp!$K$4:$K$4503,_imp!$C$1658))</f>
        <v/>
      </c>
    </row>
    <row r="1657">
      <c r="A1657" s="54">
        <f>IF(_imp!$C$1659="","",INDEX(_imp!$D$4:$D$4503,_imp!$C$1659))</f>
        <v/>
      </c>
      <c r="B1657" s="54">
        <f>IF(_imp!$C$1659="","",INDEX(_imp!$E$4:$E$4503,_imp!$C$1659))</f>
        <v/>
      </c>
      <c r="C1657" s="54">
        <f>IF(_imp!$C$1659="","",INDEX(_imp!$F$4:$F$4503,_imp!$C$1659))</f>
        <v/>
      </c>
      <c r="D1657" s="54">
        <f>IF(_imp!$C$1659="","",INDEX(_imp!$G$4:$G$4503,_imp!$C$1659))</f>
        <v/>
      </c>
      <c r="E1657" s="54">
        <f>IF(_imp!$C$1659="","",INDEX(_imp!$H$4:$H$4503,_imp!$C$1659))</f>
        <v/>
      </c>
      <c r="F1657" s="54">
        <f>IF(_imp!$C$1659="","",INDEX(_imp!$I$4:$I$4503,_imp!$C$1659))</f>
        <v/>
      </c>
      <c r="G1657" s="54">
        <f>IF(_imp!$C$1659="","",INDEX(_imp!$J$4:$J$4503,_imp!$C$1659))</f>
        <v/>
      </c>
      <c r="K1657" s="54">
        <f>IF(_imp!$C$1659="","",INDEX(_imp!$K$4:$K$4503,_imp!$C$1659))</f>
        <v/>
      </c>
    </row>
    <row r="1658">
      <c r="A1658" s="54">
        <f>IF(_imp!$C$1660="","",INDEX(_imp!$D$4:$D$4503,_imp!$C$1660))</f>
        <v/>
      </c>
      <c r="B1658" s="54">
        <f>IF(_imp!$C$1660="","",INDEX(_imp!$E$4:$E$4503,_imp!$C$1660))</f>
        <v/>
      </c>
      <c r="C1658" s="54">
        <f>IF(_imp!$C$1660="","",INDEX(_imp!$F$4:$F$4503,_imp!$C$1660))</f>
        <v/>
      </c>
      <c r="D1658" s="54">
        <f>IF(_imp!$C$1660="","",INDEX(_imp!$G$4:$G$4503,_imp!$C$1660))</f>
        <v/>
      </c>
      <c r="E1658" s="54">
        <f>IF(_imp!$C$1660="","",INDEX(_imp!$H$4:$H$4503,_imp!$C$1660))</f>
        <v/>
      </c>
      <c r="F1658" s="54">
        <f>IF(_imp!$C$1660="","",INDEX(_imp!$I$4:$I$4503,_imp!$C$1660))</f>
        <v/>
      </c>
      <c r="G1658" s="54">
        <f>IF(_imp!$C$1660="","",INDEX(_imp!$J$4:$J$4503,_imp!$C$1660))</f>
        <v/>
      </c>
      <c r="K1658" s="54">
        <f>IF(_imp!$C$1660="","",INDEX(_imp!$K$4:$K$4503,_imp!$C$1660))</f>
        <v/>
      </c>
    </row>
    <row r="1659">
      <c r="A1659" s="54">
        <f>IF(_imp!$C$1661="","",INDEX(_imp!$D$4:$D$4503,_imp!$C$1661))</f>
        <v/>
      </c>
      <c r="B1659" s="54">
        <f>IF(_imp!$C$1661="","",INDEX(_imp!$E$4:$E$4503,_imp!$C$1661))</f>
        <v/>
      </c>
      <c r="C1659" s="54">
        <f>IF(_imp!$C$1661="","",INDEX(_imp!$F$4:$F$4503,_imp!$C$1661))</f>
        <v/>
      </c>
      <c r="D1659" s="54">
        <f>IF(_imp!$C$1661="","",INDEX(_imp!$G$4:$G$4503,_imp!$C$1661))</f>
        <v/>
      </c>
      <c r="E1659" s="54">
        <f>IF(_imp!$C$1661="","",INDEX(_imp!$H$4:$H$4503,_imp!$C$1661))</f>
        <v/>
      </c>
      <c r="F1659" s="54">
        <f>IF(_imp!$C$1661="","",INDEX(_imp!$I$4:$I$4503,_imp!$C$1661))</f>
        <v/>
      </c>
      <c r="G1659" s="54">
        <f>IF(_imp!$C$1661="","",INDEX(_imp!$J$4:$J$4503,_imp!$C$1661))</f>
        <v/>
      </c>
      <c r="K1659" s="54">
        <f>IF(_imp!$C$1661="","",INDEX(_imp!$K$4:$K$4503,_imp!$C$1661))</f>
        <v/>
      </c>
    </row>
    <row r="1660">
      <c r="A1660" s="54">
        <f>IF(_imp!$C$1662="","",INDEX(_imp!$D$4:$D$4503,_imp!$C$1662))</f>
        <v/>
      </c>
      <c r="B1660" s="54">
        <f>IF(_imp!$C$1662="","",INDEX(_imp!$E$4:$E$4503,_imp!$C$1662))</f>
        <v/>
      </c>
      <c r="C1660" s="54">
        <f>IF(_imp!$C$1662="","",INDEX(_imp!$F$4:$F$4503,_imp!$C$1662))</f>
        <v/>
      </c>
      <c r="D1660" s="54">
        <f>IF(_imp!$C$1662="","",INDEX(_imp!$G$4:$G$4503,_imp!$C$1662))</f>
        <v/>
      </c>
      <c r="E1660" s="54">
        <f>IF(_imp!$C$1662="","",INDEX(_imp!$H$4:$H$4503,_imp!$C$1662))</f>
        <v/>
      </c>
      <c r="F1660" s="54">
        <f>IF(_imp!$C$1662="","",INDEX(_imp!$I$4:$I$4503,_imp!$C$1662))</f>
        <v/>
      </c>
      <c r="G1660" s="54">
        <f>IF(_imp!$C$1662="","",INDEX(_imp!$J$4:$J$4503,_imp!$C$1662))</f>
        <v/>
      </c>
      <c r="K1660" s="54">
        <f>IF(_imp!$C$1662="","",INDEX(_imp!$K$4:$K$4503,_imp!$C$1662))</f>
        <v/>
      </c>
    </row>
    <row r="1661">
      <c r="A1661" s="54">
        <f>IF(_imp!$C$1663="","",INDEX(_imp!$D$4:$D$4503,_imp!$C$1663))</f>
        <v/>
      </c>
      <c r="B1661" s="54">
        <f>IF(_imp!$C$1663="","",INDEX(_imp!$E$4:$E$4503,_imp!$C$1663))</f>
        <v/>
      </c>
      <c r="C1661" s="54">
        <f>IF(_imp!$C$1663="","",INDEX(_imp!$F$4:$F$4503,_imp!$C$1663))</f>
        <v/>
      </c>
      <c r="D1661" s="54">
        <f>IF(_imp!$C$1663="","",INDEX(_imp!$G$4:$G$4503,_imp!$C$1663))</f>
        <v/>
      </c>
      <c r="E1661" s="54">
        <f>IF(_imp!$C$1663="","",INDEX(_imp!$H$4:$H$4503,_imp!$C$1663))</f>
        <v/>
      </c>
      <c r="F1661" s="54">
        <f>IF(_imp!$C$1663="","",INDEX(_imp!$I$4:$I$4503,_imp!$C$1663))</f>
        <v/>
      </c>
      <c r="G1661" s="54">
        <f>IF(_imp!$C$1663="","",INDEX(_imp!$J$4:$J$4503,_imp!$C$1663))</f>
        <v/>
      </c>
      <c r="K1661" s="54">
        <f>IF(_imp!$C$1663="","",INDEX(_imp!$K$4:$K$4503,_imp!$C$1663))</f>
        <v/>
      </c>
    </row>
    <row r="1662">
      <c r="A1662" s="54">
        <f>IF(_imp!$C$1664="","",INDEX(_imp!$D$4:$D$4503,_imp!$C$1664))</f>
        <v/>
      </c>
      <c r="B1662" s="54">
        <f>IF(_imp!$C$1664="","",INDEX(_imp!$E$4:$E$4503,_imp!$C$1664))</f>
        <v/>
      </c>
      <c r="C1662" s="54">
        <f>IF(_imp!$C$1664="","",INDEX(_imp!$F$4:$F$4503,_imp!$C$1664))</f>
        <v/>
      </c>
      <c r="D1662" s="54">
        <f>IF(_imp!$C$1664="","",INDEX(_imp!$G$4:$G$4503,_imp!$C$1664))</f>
        <v/>
      </c>
      <c r="E1662" s="54">
        <f>IF(_imp!$C$1664="","",INDEX(_imp!$H$4:$H$4503,_imp!$C$1664))</f>
        <v/>
      </c>
      <c r="F1662" s="54">
        <f>IF(_imp!$C$1664="","",INDEX(_imp!$I$4:$I$4503,_imp!$C$1664))</f>
        <v/>
      </c>
      <c r="G1662" s="54">
        <f>IF(_imp!$C$1664="","",INDEX(_imp!$J$4:$J$4503,_imp!$C$1664))</f>
        <v/>
      </c>
      <c r="K1662" s="54">
        <f>IF(_imp!$C$1664="","",INDEX(_imp!$K$4:$K$4503,_imp!$C$1664))</f>
        <v/>
      </c>
    </row>
    <row r="1663">
      <c r="A1663" s="54">
        <f>IF(_imp!$C$1665="","",INDEX(_imp!$D$4:$D$4503,_imp!$C$1665))</f>
        <v/>
      </c>
      <c r="B1663" s="54">
        <f>IF(_imp!$C$1665="","",INDEX(_imp!$E$4:$E$4503,_imp!$C$1665))</f>
        <v/>
      </c>
      <c r="C1663" s="54">
        <f>IF(_imp!$C$1665="","",INDEX(_imp!$F$4:$F$4503,_imp!$C$1665))</f>
        <v/>
      </c>
      <c r="D1663" s="54">
        <f>IF(_imp!$C$1665="","",INDEX(_imp!$G$4:$G$4503,_imp!$C$1665))</f>
        <v/>
      </c>
      <c r="E1663" s="54">
        <f>IF(_imp!$C$1665="","",INDEX(_imp!$H$4:$H$4503,_imp!$C$1665))</f>
        <v/>
      </c>
      <c r="F1663" s="54">
        <f>IF(_imp!$C$1665="","",INDEX(_imp!$I$4:$I$4503,_imp!$C$1665))</f>
        <v/>
      </c>
      <c r="G1663" s="54">
        <f>IF(_imp!$C$1665="","",INDEX(_imp!$J$4:$J$4503,_imp!$C$1665))</f>
        <v/>
      </c>
      <c r="K1663" s="54">
        <f>IF(_imp!$C$1665="","",INDEX(_imp!$K$4:$K$4503,_imp!$C$1665))</f>
        <v/>
      </c>
    </row>
    <row r="1664">
      <c r="A1664" s="54">
        <f>IF(_imp!$C$1666="","",INDEX(_imp!$D$4:$D$4503,_imp!$C$1666))</f>
        <v/>
      </c>
      <c r="B1664" s="54">
        <f>IF(_imp!$C$1666="","",INDEX(_imp!$E$4:$E$4503,_imp!$C$1666))</f>
        <v/>
      </c>
      <c r="C1664" s="54">
        <f>IF(_imp!$C$1666="","",INDEX(_imp!$F$4:$F$4503,_imp!$C$1666))</f>
        <v/>
      </c>
      <c r="D1664" s="54">
        <f>IF(_imp!$C$1666="","",INDEX(_imp!$G$4:$G$4503,_imp!$C$1666))</f>
        <v/>
      </c>
      <c r="E1664" s="54">
        <f>IF(_imp!$C$1666="","",INDEX(_imp!$H$4:$H$4503,_imp!$C$1666))</f>
        <v/>
      </c>
      <c r="F1664" s="54">
        <f>IF(_imp!$C$1666="","",INDEX(_imp!$I$4:$I$4503,_imp!$C$1666))</f>
        <v/>
      </c>
      <c r="G1664" s="54">
        <f>IF(_imp!$C$1666="","",INDEX(_imp!$J$4:$J$4503,_imp!$C$1666))</f>
        <v/>
      </c>
      <c r="K1664" s="54">
        <f>IF(_imp!$C$1666="","",INDEX(_imp!$K$4:$K$4503,_imp!$C$1666))</f>
        <v/>
      </c>
    </row>
    <row r="1665">
      <c r="A1665" s="54">
        <f>IF(_imp!$C$1667="","",INDEX(_imp!$D$4:$D$4503,_imp!$C$1667))</f>
        <v/>
      </c>
      <c r="B1665" s="54">
        <f>IF(_imp!$C$1667="","",INDEX(_imp!$E$4:$E$4503,_imp!$C$1667))</f>
        <v/>
      </c>
      <c r="C1665" s="54">
        <f>IF(_imp!$C$1667="","",INDEX(_imp!$F$4:$F$4503,_imp!$C$1667))</f>
        <v/>
      </c>
      <c r="D1665" s="54">
        <f>IF(_imp!$C$1667="","",INDEX(_imp!$G$4:$G$4503,_imp!$C$1667))</f>
        <v/>
      </c>
      <c r="E1665" s="54">
        <f>IF(_imp!$C$1667="","",INDEX(_imp!$H$4:$H$4503,_imp!$C$1667))</f>
        <v/>
      </c>
      <c r="F1665" s="54">
        <f>IF(_imp!$C$1667="","",INDEX(_imp!$I$4:$I$4503,_imp!$C$1667))</f>
        <v/>
      </c>
      <c r="G1665" s="54">
        <f>IF(_imp!$C$1667="","",INDEX(_imp!$J$4:$J$4503,_imp!$C$1667))</f>
        <v/>
      </c>
      <c r="K1665" s="54">
        <f>IF(_imp!$C$1667="","",INDEX(_imp!$K$4:$K$4503,_imp!$C$1667))</f>
        <v/>
      </c>
    </row>
    <row r="1666">
      <c r="A1666" s="54">
        <f>IF(_imp!$C$1668="","",INDEX(_imp!$D$4:$D$4503,_imp!$C$1668))</f>
        <v/>
      </c>
      <c r="B1666" s="54">
        <f>IF(_imp!$C$1668="","",INDEX(_imp!$E$4:$E$4503,_imp!$C$1668))</f>
        <v/>
      </c>
      <c r="C1666" s="54">
        <f>IF(_imp!$C$1668="","",INDEX(_imp!$F$4:$F$4503,_imp!$C$1668))</f>
        <v/>
      </c>
      <c r="D1666" s="54">
        <f>IF(_imp!$C$1668="","",INDEX(_imp!$G$4:$G$4503,_imp!$C$1668))</f>
        <v/>
      </c>
      <c r="E1666" s="54">
        <f>IF(_imp!$C$1668="","",INDEX(_imp!$H$4:$H$4503,_imp!$C$1668))</f>
        <v/>
      </c>
      <c r="F1666" s="54">
        <f>IF(_imp!$C$1668="","",INDEX(_imp!$I$4:$I$4503,_imp!$C$1668))</f>
        <v/>
      </c>
      <c r="G1666" s="54">
        <f>IF(_imp!$C$1668="","",INDEX(_imp!$J$4:$J$4503,_imp!$C$1668))</f>
        <v/>
      </c>
      <c r="K1666" s="54">
        <f>IF(_imp!$C$1668="","",INDEX(_imp!$K$4:$K$4503,_imp!$C$1668))</f>
        <v/>
      </c>
    </row>
    <row r="1667">
      <c r="A1667" s="54">
        <f>IF(_imp!$C$1669="","",INDEX(_imp!$D$4:$D$4503,_imp!$C$1669))</f>
        <v/>
      </c>
      <c r="B1667" s="54">
        <f>IF(_imp!$C$1669="","",INDEX(_imp!$E$4:$E$4503,_imp!$C$1669))</f>
        <v/>
      </c>
      <c r="C1667" s="54">
        <f>IF(_imp!$C$1669="","",INDEX(_imp!$F$4:$F$4503,_imp!$C$1669))</f>
        <v/>
      </c>
      <c r="D1667" s="54">
        <f>IF(_imp!$C$1669="","",INDEX(_imp!$G$4:$G$4503,_imp!$C$1669))</f>
        <v/>
      </c>
      <c r="E1667" s="54">
        <f>IF(_imp!$C$1669="","",INDEX(_imp!$H$4:$H$4503,_imp!$C$1669))</f>
        <v/>
      </c>
      <c r="F1667" s="54">
        <f>IF(_imp!$C$1669="","",INDEX(_imp!$I$4:$I$4503,_imp!$C$1669))</f>
        <v/>
      </c>
      <c r="G1667" s="54">
        <f>IF(_imp!$C$1669="","",INDEX(_imp!$J$4:$J$4503,_imp!$C$1669))</f>
        <v/>
      </c>
      <c r="K1667" s="54">
        <f>IF(_imp!$C$1669="","",INDEX(_imp!$K$4:$K$4503,_imp!$C$1669))</f>
        <v/>
      </c>
    </row>
    <row r="1668">
      <c r="A1668" s="54">
        <f>IF(_imp!$C$1670="","",INDEX(_imp!$D$4:$D$4503,_imp!$C$1670))</f>
        <v/>
      </c>
      <c r="B1668" s="54">
        <f>IF(_imp!$C$1670="","",INDEX(_imp!$E$4:$E$4503,_imp!$C$1670))</f>
        <v/>
      </c>
      <c r="C1668" s="54">
        <f>IF(_imp!$C$1670="","",INDEX(_imp!$F$4:$F$4503,_imp!$C$1670))</f>
        <v/>
      </c>
      <c r="D1668" s="54">
        <f>IF(_imp!$C$1670="","",INDEX(_imp!$G$4:$G$4503,_imp!$C$1670))</f>
        <v/>
      </c>
      <c r="E1668" s="54">
        <f>IF(_imp!$C$1670="","",INDEX(_imp!$H$4:$H$4503,_imp!$C$1670))</f>
        <v/>
      </c>
      <c r="F1668" s="54">
        <f>IF(_imp!$C$1670="","",INDEX(_imp!$I$4:$I$4503,_imp!$C$1670))</f>
        <v/>
      </c>
      <c r="G1668" s="54">
        <f>IF(_imp!$C$1670="","",INDEX(_imp!$J$4:$J$4503,_imp!$C$1670))</f>
        <v/>
      </c>
      <c r="K1668" s="54">
        <f>IF(_imp!$C$1670="","",INDEX(_imp!$K$4:$K$4503,_imp!$C$1670))</f>
        <v/>
      </c>
    </row>
    <row r="1669">
      <c r="A1669" s="54">
        <f>IF(_imp!$C$1671="","",INDEX(_imp!$D$4:$D$4503,_imp!$C$1671))</f>
        <v/>
      </c>
      <c r="B1669" s="54">
        <f>IF(_imp!$C$1671="","",INDEX(_imp!$E$4:$E$4503,_imp!$C$1671))</f>
        <v/>
      </c>
      <c r="C1669" s="54">
        <f>IF(_imp!$C$1671="","",INDEX(_imp!$F$4:$F$4503,_imp!$C$1671))</f>
        <v/>
      </c>
      <c r="D1669" s="54">
        <f>IF(_imp!$C$1671="","",INDEX(_imp!$G$4:$G$4503,_imp!$C$1671))</f>
        <v/>
      </c>
      <c r="E1669" s="54">
        <f>IF(_imp!$C$1671="","",INDEX(_imp!$H$4:$H$4503,_imp!$C$1671))</f>
        <v/>
      </c>
      <c r="F1669" s="54">
        <f>IF(_imp!$C$1671="","",INDEX(_imp!$I$4:$I$4503,_imp!$C$1671))</f>
        <v/>
      </c>
      <c r="G1669" s="54">
        <f>IF(_imp!$C$1671="","",INDEX(_imp!$J$4:$J$4503,_imp!$C$1671))</f>
        <v/>
      </c>
      <c r="K1669" s="54">
        <f>IF(_imp!$C$1671="","",INDEX(_imp!$K$4:$K$4503,_imp!$C$1671))</f>
        <v/>
      </c>
    </row>
    <row r="1670">
      <c r="A1670" s="54">
        <f>IF(_imp!$C$1672="","",INDEX(_imp!$D$4:$D$4503,_imp!$C$1672))</f>
        <v/>
      </c>
      <c r="B1670" s="54">
        <f>IF(_imp!$C$1672="","",INDEX(_imp!$E$4:$E$4503,_imp!$C$1672))</f>
        <v/>
      </c>
      <c r="C1670" s="54">
        <f>IF(_imp!$C$1672="","",INDEX(_imp!$F$4:$F$4503,_imp!$C$1672))</f>
        <v/>
      </c>
      <c r="D1670" s="54">
        <f>IF(_imp!$C$1672="","",INDEX(_imp!$G$4:$G$4503,_imp!$C$1672))</f>
        <v/>
      </c>
      <c r="E1670" s="54">
        <f>IF(_imp!$C$1672="","",INDEX(_imp!$H$4:$H$4503,_imp!$C$1672))</f>
        <v/>
      </c>
      <c r="F1670" s="54">
        <f>IF(_imp!$C$1672="","",INDEX(_imp!$I$4:$I$4503,_imp!$C$1672))</f>
        <v/>
      </c>
      <c r="G1670" s="54">
        <f>IF(_imp!$C$1672="","",INDEX(_imp!$J$4:$J$4503,_imp!$C$1672))</f>
        <v/>
      </c>
      <c r="K1670" s="54">
        <f>IF(_imp!$C$1672="","",INDEX(_imp!$K$4:$K$4503,_imp!$C$1672))</f>
        <v/>
      </c>
    </row>
    <row r="1671">
      <c r="A1671" s="54">
        <f>IF(_imp!$C$1673="","",INDEX(_imp!$D$4:$D$4503,_imp!$C$1673))</f>
        <v/>
      </c>
      <c r="B1671" s="54">
        <f>IF(_imp!$C$1673="","",INDEX(_imp!$E$4:$E$4503,_imp!$C$1673))</f>
        <v/>
      </c>
      <c r="C1671" s="54">
        <f>IF(_imp!$C$1673="","",INDEX(_imp!$F$4:$F$4503,_imp!$C$1673))</f>
        <v/>
      </c>
      <c r="D1671" s="54">
        <f>IF(_imp!$C$1673="","",INDEX(_imp!$G$4:$G$4503,_imp!$C$1673))</f>
        <v/>
      </c>
      <c r="E1671" s="54">
        <f>IF(_imp!$C$1673="","",INDEX(_imp!$H$4:$H$4503,_imp!$C$1673))</f>
        <v/>
      </c>
      <c r="F1671" s="54">
        <f>IF(_imp!$C$1673="","",INDEX(_imp!$I$4:$I$4503,_imp!$C$1673))</f>
        <v/>
      </c>
      <c r="G1671" s="54">
        <f>IF(_imp!$C$1673="","",INDEX(_imp!$J$4:$J$4503,_imp!$C$1673))</f>
        <v/>
      </c>
      <c r="K1671" s="54">
        <f>IF(_imp!$C$1673="","",INDEX(_imp!$K$4:$K$4503,_imp!$C$1673))</f>
        <v/>
      </c>
    </row>
    <row r="1672">
      <c r="A1672" s="54">
        <f>IF(_imp!$C$1674="","",INDEX(_imp!$D$4:$D$4503,_imp!$C$1674))</f>
        <v/>
      </c>
      <c r="B1672" s="54">
        <f>IF(_imp!$C$1674="","",INDEX(_imp!$E$4:$E$4503,_imp!$C$1674))</f>
        <v/>
      </c>
      <c r="C1672" s="54">
        <f>IF(_imp!$C$1674="","",INDEX(_imp!$F$4:$F$4503,_imp!$C$1674))</f>
        <v/>
      </c>
      <c r="D1672" s="54">
        <f>IF(_imp!$C$1674="","",INDEX(_imp!$G$4:$G$4503,_imp!$C$1674))</f>
        <v/>
      </c>
      <c r="E1672" s="54">
        <f>IF(_imp!$C$1674="","",INDEX(_imp!$H$4:$H$4503,_imp!$C$1674))</f>
        <v/>
      </c>
      <c r="F1672" s="54">
        <f>IF(_imp!$C$1674="","",INDEX(_imp!$I$4:$I$4503,_imp!$C$1674))</f>
        <v/>
      </c>
      <c r="G1672" s="54">
        <f>IF(_imp!$C$1674="","",INDEX(_imp!$J$4:$J$4503,_imp!$C$1674))</f>
        <v/>
      </c>
      <c r="K1672" s="54">
        <f>IF(_imp!$C$1674="","",INDEX(_imp!$K$4:$K$4503,_imp!$C$1674))</f>
        <v/>
      </c>
    </row>
    <row r="1673">
      <c r="A1673" s="54">
        <f>IF(_imp!$C$1675="","",INDEX(_imp!$D$4:$D$4503,_imp!$C$1675))</f>
        <v/>
      </c>
      <c r="B1673" s="54">
        <f>IF(_imp!$C$1675="","",INDEX(_imp!$E$4:$E$4503,_imp!$C$1675))</f>
        <v/>
      </c>
      <c r="C1673" s="54">
        <f>IF(_imp!$C$1675="","",INDEX(_imp!$F$4:$F$4503,_imp!$C$1675))</f>
        <v/>
      </c>
      <c r="D1673" s="54">
        <f>IF(_imp!$C$1675="","",INDEX(_imp!$G$4:$G$4503,_imp!$C$1675))</f>
        <v/>
      </c>
      <c r="E1673" s="54">
        <f>IF(_imp!$C$1675="","",INDEX(_imp!$H$4:$H$4503,_imp!$C$1675))</f>
        <v/>
      </c>
      <c r="F1673" s="54">
        <f>IF(_imp!$C$1675="","",INDEX(_imp!$I$4:$I$4503,_imp!$C$1675))</f>
        <v/>
      </c>
      <c r="G1673" s="54">
        <f>IF(_imp!$C$1675="","",INDEX(_imp!$J$4:$J$4503,_imp!$C$1675))</f>
        <v/>
      </c>
      <c r="K1673" s="54">
        <f>IF(_imp!$C$1675="","",INDEX(_imp!$K$4:$K$4503,_imp!$C$1675))</f>
        <v/>
      </c>
    </row>
    <row r="1674">
      <c r="A1674" s="54">
        <f>IF(_imp!$C$1676="","",INDEX(_imp!$D$4:$D$4503,_imp!$C$1676))</f>
        <v/>
      </c>
      <c r="B1674" s="54">
        <f>IF(_imp!$C$1676="","",INDEX(_imp!$E$4:$E$4503,_imp!$C$1676))</f>
        <v/>
      </c>
      <c r="C1674" s="54">
        <f>IF(_imp!$C$1676="","",INDEX(_imp!$F$4:$F$4503,_imp!$C$1676))</f>
        <v/>
      </c>
      <c r="D1674" s="54">
        <f>IF(_imp!$C$1676="","",INDEX(_imp!$G$4:$G$4503,_imp!$C$1676))</f>
        <v/>
      </c>
      <c r="E1674" s="54">
        <f>IF(_imp!$C$1676="","",INDEX(_imp!$H$4:$H$4503,_imp!$C$1676))</f>
        <v/>
      </c>
      <c r="F1674" s="54">
        <f>IF(_imp!$C$1676="","",INDEX(_imp!$I$4:$I$4503,_imp!$C$1676))</f>
        <v/>
      </c>
      <c r="G1674" s="54">
        <f>IF(_imp!$C$1676="","",INDEX(_imp!$J$4:$J$4503,_imp!$C$1676))</f>
        <v/>
      </c>
      <c r="K1674" s="54">
        <f>IF(_imp!$C$1676="","",INDEX(_imp!$K$4:$K$4503,_imp!$C$1676))</f>
        <v/>
      </c>
    </row>
    <row r="1675">
      <c r="A1675" s="54">
        <f>IF(_imp!$C$1677="","",INDEX(_imp!$D$4:$D$4503,_imp!$C$1677))</f>
        <v/>
      </c>
      <c r="B1675" s="54">
        <f>IF(_imp!$C$1677="","",INDEX(_imp!$E$4:$E$4503,_imp!$C$1677))</f>
        <v/>
      </c>
      <c r="C1675" s="54">
        <f>IF(_imp!$C$1677="","",INDEX(_imp!$F$4:$F$4503,_imp!$C$1677))</f>
        <v/>
      </c>
      <c r="D1675" s="54">
        <f>IF(_imp!$C$1677="","",INDEX(_imp!$G$4:$G$4503,_imp!$C$1677))</f>
        <v/>
      </c>
      <c r="E1675" s="54">
        <f>IF(_imp!$C$1677="","",INDEX(_imp!$H$4:$H$4503,_imp!$C$1677))</f>
        <v/>
      </c>
      <c r="F1675" s="54">
        <f>IF(_imp!$C$1677="","",INDEX(_imp!$I$4:$I$4503,_imp!$C$1677))</f>
        <v/>
      </c>
      <c r="G1675" s="54">
        <f>IF(_imp!$C$1677="","",INDEX(_imp!$J$4:$J$4503,_imp!$C$1677))</f>
        <v/>
      </c>
      <c r="K1675" s="54">
        <f>IF(_imp!$C$1677="","",INDEX(_imp!$K$4:$K$4503,_imp!$C$1677))</f>
        <v/>
      </c>
    </row>
    <row r="1676">
      <c r="A1676" s="54">
        <f>IF(_imp!$C$1678="","",INDEX(_imp!$D$4:$D$4503,_imp!$C$1678))</f>
        <v/>
      </c>
      <c r="B1676" s="54">
        <f>IF(_imp!$C$1678="","",INDEX(_imp!$E$4:$E$4503,_imp!$C$1678))</f>
        <v/>
      </c>
      <c r="C1676" s="54">
        <f>IF(_imp!$C$1678="","",INDEX(_imp!$F$4:$F$4503,_imp!$C$1678))</f>
        <v/>
      </c>
      <c r="D1676" s="54">
        <f>IF(_imp!$C$1678="","",INDEX(_imp!$G$4:$G$4503,_imp!$C$1678))</f>
        <v/>
      </c>
      <c r="E1676" s="54">
        <f>IF(_imp!$C$1678="","",INDEX(_imp!$H$4:$H$4503,_imp!$C$1678))</f>
        <v/>
      </c>
      <c r="F1676" s="54">
        <f>IF(_imp!$C$1678="","",INDEX(_imp!$I$4:$I$4503,_imp!$C$1678))</f>
        <v/>
      </c>
      <c r="G1676" s="54">
        <f>IF(_imp!$C$1678="","",INDEX(_imp!$J$4:$J$4503,_imp!$C$1678))</f>
        <v/>
      </c>
      <c r="K1676" s="54">
        <f>IF(_imp!$C$1678="","",INDEX(_imp!$K$4:$K$4503,_imp!$C$1678))</f>
        <v/>
      </c>
    </row>
    <row r="1677">
      <c r="A1677" s="54">
        <f>IF(_imp!$C$1679="","",INDEX(_imp!$D$4:$D$4503,_imp!$C$1679))</f>
        <v/>
      </c>
      <c r="B1677" s="54">
        <f>IF(_imp!$C$1679="","",INDEX(_imp!$E$4:$E$4503,_imp!$C$1679))</f>
        <v/>
      </c>
      <c r="C1677" s="54">
        <f>IF(_imp!$C$1679="","",INDEX(_imp!$F$4:$F$4503,_imp!$C$1679))</f>
        <v/>
      </c>
      <c r="D1677" s="54">
        <f>IF(_imp!$C$1679="","",INDEX(_imp!$G$4:$G$4503,_imp!$C$1679))</f>
        <v/>
      </c>
      <c r="E1677" s="54">
        <f>IF(_imp!$C$1679="","",INDEX(_imp!$H$4:$H$4503,_imp!$C$1679))</f>
        <v/>
      </c>
      <c r="F1677" s="54">
        <f>IF(_imp!$C$1679="","",INDEX(_imp!$I$4:$I$4503,_imp!$C$1679))</f>
        <v/>
      </c>
      <c r="G1677" s="54">
        <f>IF(_imp!$C$1679="","",INDEX(_imp!$J$4:$J$4503,_imp!$C$1679))</f>
        <v/>
      </c>
      <c r="K1677" s="54">
        <f>IF(_imp!$C$1679="","",INDEX(_imp!$K$4:$K$4503,_imp!$C$1679))</f>
        <v/>
      </c>
    </row>
    <row r="1678">
      <c r="A1678" s="54">
        <f>IF(_imp!$C$1680="","",INDEX(_imp!$D$4:$D$4503,_imp!$C$1680))</f>
        <v/>
      </c>
      <c r="B1678" s="54">
        <f>IF(_imp!$C$1680="","",INDEX(_imp!$E$4:$E$4503,_imp!$C$1680))</f>
        <v/>
      </c>
      <c r="C1678" s="54">
        <f>IF(_imp!$C$1680="","",INDEX(_imp!$F$4:$F$4503,_imp!$C$1680))</f>
        <v/>
      </c>
      <c r="D1678" s="54">
        <f>IF(_imp!$C$1680="","",INDEX(_imp!$G$4:$G$4503,_imp!$C$1680))</f>
        <v/>
      </c>
      <c r="E1678" s="54">
        <f>IF(_imp!$C$1680="","",INDEX(_imp!$H$4:$H$4503,_imp!$C$1680))</f>
        <v/>
      </c>
      <c r="F1678" s="54">
        <f>IF(_imp!$C$1680="","",INDEX(_imp!$I$4:$I$4503,_imp!$C$1680))</f>
        <v/>
      </c>
      <c r="G1678" s="54">
        <f>IF(_imp!$C$1680="","",INDEX(_imp!$J$4:$J$4503,_imp!$C$1680))</f>
        <v/>
      </c>
      <c r="K1678" s="54">
        <f>IF(_imp!$C$1680="","",INDEX(_imp!$K$4:$K$4503,_imp!$C$1680))</f>
        <v/>
      </c>
    </row>
    <row r="1679">
      <c r="A1679" s="54">
        <f>IF(_imp!$C$1681="","",INDEX(_imp!$D$4:$D$4503,_imp!$C$1681))</f>
        <v/>
      </c>
      <c r="B1679" s="54">
        <f>IF(_imp!$C$1681="","",INDEX(_imp!$E$4:$E$4503,_imp!$C$1681))</f>
        <v/>
      </c>
      <c r="C1679" s="54">
        <f>IF(_imp!$C$1681="","",INDEX(_imp!$F$4:$F$4503,_imp!$C$1681))</f>
        <v/>
      </c>
      <c r="D1679" s="54">
        <f>IF(_imp!$C$1681="","",INDEX(_imp!$G$4:$G$4503,_imp!$C$1681))</f>
        <v/>
      </c>
      <c r="E1679" s="54">
        <f>IF(_imp!$C$1681="","",INDEX(_imp!$H$4:$H$4503,_imp!$C$1681))</f>
        <v/>
      </c>
      <c r="F1679" s="54">
        <f>IF(_imp!$C$1681="","",INDEX(_imp!$I$4:$I$4503,_imp!$C$1681))</f>
        <v/>
      </c>
      <c r="G1679" s="54">
        <f>IF(_imp!$C$1681="","",INDEX(_imp!$J$4:$J$4503,_imp!$C$1681))</f>
        <v/>
      </c>
      <c r="K1679" s="54">
        <f>IF(_imp!$C$1681="","",INDEX(_imp!$K$4:$K$4503,_imp!$C$1681))</f>
        <v/>
      </c>
    </row>
    <row r="1680">
      <c r="A1680" s="54">
        <f>IF(_imp!$C$1682="","",INDEX(_imp!$D$4:$D$4503,_imp!$C$1682))</f>
        <v/>
      </c>
      <c r="B1680" s="54">
        <f>IF(_imp!$C$1682="","",INDEX(_imp!$E$4:$E$4503,_imp!$C$1682))</f>
        <v/>
      </c>
      <c r="C1680" s="54">
        <f>IF(_imp!$C$1682="","",INDEX(_imp!$F$4:$F$4503,_imp!$C$1682))</f>
        <v/>
      </c>
      <c r="D1680" s="54">
        <f>IF(_imp!$C$1682="","",INDEX(_imp!$G$4:$G$4503,_imp!$C$1682))</f>
        <v/>
      </c>
      <c r="E1680" s="54">
        <f>IF(_imp!$C$1682="","",INDEX(_imp!$H$4:$H$4503,_imp!$C$1682))</f>
        <v/>
      </c>
      <c r="F1680" s="54">
        <f>IF(_imp!$C$1682="","",INDEX(_imp!$I$4:$I$4503,_imp!$C$1682))</f>
        <v/>
      </c>
      <c r="G1680" s="54">
        <f>IF(_imp!$C$1682="","",INDEX(_imp!$J$4:$J$4503,_imp!$C$1682))</f>
        <v/>
      </c>
      <c r="K1680" s="54">
        <f>IF(_imp!$C$1682="","",INDEX(_imp!$K$4:$K$4503,_imp!$C$1682))</f>
        <v/>
      </c>
    </row>
    <row r="1681">
      <c r="A1681" s="54">
        <f>IF(_imp!$C$1683="","",INDEX(_imp!$D$4:$D$4503,_imp!$C$1683))</f>
        <v/>
      </c>
      <c r="B1681" s="54">
        <f>IF(_imp!$C$1683="","",INDEX(_imp!$E$4:$E$4503,_imp!$C$1683))</f>
        <v/>
      </c>
      <c r="C1681" s="54">
        <f>IF(_imp!$C$1683="","",INDEX(_imp!$F$4:$F$4503,_imp!$C$1683))</f>
        <v/>
      </c>
      <c r="D1681" s="54">
        <f>IF(_imp!$C$1683="","",INDEX(_imp!$G$4:$G$4503,_imp!$C$1683))</f>
        <v/>
      </c>
      <c r="E1681" s="54">
        <f>IF(_imp!$C$1683="","",INDEX(_imp!$H$4:$H$4503,_imp!$C$1683))</f>
        <v/>
      </c>
      <c r="F1681" s="54">
        <f>IF(_imp!$C$1683="","",INDEX(_imp!$I$4:$I$4503,_imp!$C$1683))</f>
        <v/>
      </c>
      <c r="G1681" s="54">
        <f>IF(_imp!$C$1683="","",INDEX(_imp!$J$4:$J$4503,_imp!$C$1683))</f>
        <v/>
      </c>
      <c r="K1681" s="54">
        <f>IF(_imp!$C$1683="","",INDEX(_imp!$K$4:$K$4503,_imp!$C$1683))</f>
        <v/>
      </c>
    </row>
    <row r="1682">
      <c r="A1682" s="54">
        <f>IF(_imp!$C$1684="","",INDEX(_imp!$D$4:$D$4503,_imp!$C$1684))</f>
        <v/>
      </c>
      <c r="B1682" s="54">
        <f>IF(_imp!$C$1684="","",INDEX(_imp!$E$4:$E$4503,_imp!$C$1684))</f>
        <v/>
      </c>
      <c r="C1682" s="54">
        <f>IF(_imp!$C$1684="","",INDEX(_imp!$F$4:$F$4503,_imp!$C$1684))</f>
        <v/>
      </c>
      <c r="D1682" s="54">
        <f>IF(_imp!$C$1684="","",INDEX(_imp!$G$4:$G$4503,_imp!$C$1684))</f>
        <v/>
      </c>
      <c r="E1682" s="54">
        <f>IF(_imp!$C$1684="","",INDEX(_imp!$H$4:$H$4503,_imp!$C$1684))</f>
        <v/>
      </c>
      <c r="F1682" s="54">
        <f>IF(_imp!$C$1684="","",INDEX(_imp!$I$4:$I$4503,_imp!$C$1684))</f>
        <v/>
      </c>
      <c r="G1682" s="54">
        <f>IF(_imp!$C$1684="","",INDEX(_imp!$J$4:$J$4503,_imp!$C$1684))</f>
        <v/>
      </c>
      <c r="K1682" s="54">
        <f>IF(_imp!$C$1684="","",INDEX(_imp!$K$4:$K$4503,_imp!$C$1684))</f>
        <v/>
      </c>
    </row>
    <row r="1683">
      <c r="A1683" s="54">
        <f>IF(_imp!$C$1685="","",INDEX(_imp!$D$4:$D$4503,_imp!$C$1685))</f>
        <v/>
      </c>
      <c r="B1683" s="54">
        <f>IF(_imp!$C$1685="","",INDEX(_imp!$E$4:$E$4503,_imp!$C$1685))</f>
        <v/>
      </c>
      <c r="C1683" s="54">
        <f>IF(_imp!$C$1685="","",INDEX(_imp!$F$4:$F$4503,_imp!$C$1685))</f>
        <v/>
      </c>
      <c r="D1683" s="54">
        <f>IF(_imp!$C$1685="","",INDEX(_imp!$G$4:$G$4503,_imp!$C$1685))</f>
        <v/>
      </c>
      <c r="E1683" s="54">
        <f>IF(_imp!$C$1685="","",INDEX(_imp!$H$4:$H$4503,_imp!$C$1685))</f>
        <v/>
      </c>
      <c r="F1683" s="54">
        <f>IF(_imp!$C$1685="","",INDEX(_imp!$I$4:$I$4503,_imp!$C$1685))</f>
        <v/>
      </c>
      <c r="G1683" s="54">
        <f>IF(_imp!$C$1685="","",INDEX(_imp!$J$4:$J$4503,_imp!$C$1685))</f>
        <v/>
      </c>
      <c r="K1683" s="54">
        <f>IF(_imp!$C$1685="","",INDEX(_imp!$K$4:$K$4503,_imp!$C$1685))</f>
        <v/>
      </c>
    </row>
    <row r="1684">
      <c r="A1684" s="54">
        <f>IF(_imp!$C$1686="","",INDEX(_imp!$D$4:$D$4503,_imp!$C$1686))</f>
        <v/>
      </c>
      <c r="B1684" s="54">
        <f>IF(_imp!$C$1686="","",INDEX(_imp!$E$4:$E$4503,_imp!$C$1686))</f>
        <v/>
      </c>
      <c r="C1684" s="54">
        <f>IF(_imp!$C$1686="","",INDEX(_imp!$F$4:$F$4503,_imp!$C$1686))</f>
        <v/>
      </c>
      <c r="D1684" s="54">
        <f>IF(_imp!$C$1686="","",INDEX(_imp!$G$4:$G$4503,_imp!$C$1686))</f>
        <v/>
      </c>
      <c r="E1684" s="54">
        <f>IF(_imp!$C$1686="","",INDEX(_imp!$H$4:$H$4503,_imp!$C$1686))</f>
        <v/>
      </c>
      <c r="F1684" s="54">
        <f>IF(_imp!$C$1686="","",INDEX(_imp!$I$4:$I$4503,_imp!$C$1686))</f>
        <v/>
      </c>
      <c r="G1684" s="54">
        <f>IF(_imp!$C$1686="","",INDEX(_imp!$J$4:$J$4503,_imp!$C$1686))</f>
        <v/>
      </c>
      <c r="K1684" s="54">
        <f>IF(_imp!$C$1686="","",INDEX(_imp!$K$4:$K$4503,_imp!$C$1686))</f>
        <v/>
      </c>
    </row>
    <row r="1685">
      <c r="A1685" s="54">
        <f>IF(_imp!$C$1687="","",INDEX(_imp!$D$4:$D$4503,_imp!$C$1687))</f>
        <v/>
      </c>
      <c r="B1685" s="54">
        <f>IF(_imp!$C$1687="","",INDEX(_imp!$E$4:$E$4503,_imp!$C$1687))</f>
        <v/>
      </c>
      <c r="C1685" s="54">
        <f>IF(_imp!$C$1687="","",INDEX(_imp!$F$4:$F$4503,_imp!$C$1687))</f>
        <v/>
      </c>
      <c r="D1685" s="54">
        <f>IF(_imp!$C$1687="","",INDEX(_imp!$G$4:$G$4503,_imp!$C$1687))</f>
        <v/>
      </c>
      <c r="E1685" s="54">
        <f>IF(_imp!$C$1687="","",INDEX(_imp!$H$4:$H$4503,_imp!$C$1687))</f>
        <v/>
      </c>
      <c r="F1685" s="54">
        <f>IF(_imp!$C$1687="","",INDEX(_imp!$I$4:$I$4503,_imp!$C$1687))</f>
        <v/>
      </c>
      <c r="G1685" s="54">
        <f>IF(_imp!$C$1687="","",INDEX(_imp!$J$4:$J$4503,_imp!$C$1687))</f>
        <v/>
      </c>
      <c r="K1685" s="54">
        <f>IF(_imp!$C$1687="","",INDEX(_imp!$K$4:$K$4503,_imp!$C$1687))</f>
        <v/>
      </c>
    </row>
    <row r="1686">
      <c r="A1686" s="54">
        <f>IF(_imp!$C$1688="","",INDEX(_imp!$D$4:$D$4503,_imp!$C$1688))</f>
        <v/>
      </c>
      <c r="B1686" s="54">
        <f>IF(_imp!$C$1688="","",INDEX(_imp!$E$4:$E$4503,_imp!$C$1688))</f>
        <v/>
      </c>
      <c r="C1686" s="54">
        <f>IF(_imp!$C$1688="","",INDEX(_imp!$F$4:$F$4503,_imp!$C$1688))</f>
        <v/>
      </c>
      <c r="D1686" s="54">
        <f>IF(_imp!$C$1688="","",INDEX(_imp!$G$4:$G$4503,_imp!$C$1688))</f>
        <v/>
      </c>
      <c r="E1686" s="54">
        <f>IF(_imp!$C$1688="","",INDEX(_imp!$H$4:$H$4503,_imp!$C$1688))</f>
        <v/>
      </c>
      <c r="F1686" s="54">
        <f>IF(_imp!$C$1688="","",INDEX(_imp!$I$4:$I$4503,_imp!$C$1688))</f>
        <v/>
      </c>
      <c r="G1686" s="54">
        <f>IF(_imp!$C$1688="","",INDEX(_imp!$J$4:$J$4503,_imp!$C$1688))</f>
        <v/>
      </c>
      <c r="K1686" s="54">
        <f>IF(_imp!$C$1688="","",INDEX(_imp!$K$4:$K$4503,_imp!$C$1688))</f>
        <v/>
      </c>
    </row>
    <row r="1687">
      <c r="A1687" s="54">
        <f>IF(_imp!$C$1689="","",INDEX(_imp!$D$4:$D$4503,_imp!$C$1689))</f>
        <v/>
      </c>
      <c r="B1687" s="54">
        <f>IF(_imp!$C$1689="","",INDEX(_imp!$E$4:$E$4503,_imp!$C$1689))</f>
        <v/>
      </c>
      <c r="C1687" s="54">
        <f>IF(_imp!$C$1689="","",INDEX(_imp!$F$4:$F$4503,_imp!$C$1689))</f>
        <v/>
      </c>
      <c r="D1687" s="54">
        <f>IF(_imp!$C$1689="","",INDEX(_imp!$G$4:$G$4503,_imp!$C$1689))</f>
        <v/>
      </c>
      <c r="E1687" s="54">
        <f>IF(_imp!$C$1689="","",INDEX(_imp!$H$4:$H$4503,_imp!$C$1689))</f>
        <v/>
      </c>
      <c r="F1687" s="54">
        <f>IF(_imp!$C$1689="","",INDEX(_imp!$I$4:$I$4503,_imp!$C$1689))</f>
        <v/>
      </c>
      <c r="G1687" s="54">
        <f>IF(_imp!$C$1689="","",INDEX(_imp!$J$4:$J$4503,_imp!$C$1689))</f>
        <v/>
      </c>
      <c r="K1687" s="54">
        <f>IF(_imp!$C$1689="","",INDEX(_imp!$K$4:$K$4503,_imp!$C$1689))</f>
        <v/>
      </c>
    </row>
    <row r="1688">
      <c r="A1688" s="54">
        <f>IF(_imp!$C$1690="","",INDEX(_imp!$D$4:$D$4503,_imp!$C$1690))</f>
        <v/>
      </c>
      <c r="B1688" s="54">
        <f>IF(_imp!$C$1690="","",INDEX(_imp!$E$4:$E$4503,_imp!$C$1690))</f>
        <v/>
      </c>
      <c r="C1688" s="54">
        <f>IF(_imp!$C$1690="","",INDEX(_imp!$F$4:$F$4503,_imp!$C$1690))</f>
        <v/>
      </c>
      <c r="D1688" s="54">
        <f>IF(_imp!$C$1690="","",INDEX(_imp!$G$4:$G$4503,_imp!$C$1690))</f>
        <v/>
      </c>
      <c r="E1688" s="54">
        <f>IF(_imp!$C$1690="","",INDEX(_imp!$H$4:$H$4503,_imp!$C$1690))</f>
        <v/>
      </c>
      <c r="F1688" s="54">
        <f>IF(_imp!$C$1690="","",INDEX(_imp!$I$4:$I$4503,_imp!$C$1690))</f>
        <v/>
      </c>
      <c r="G1688" s="54">
        <f>IF(_imp!$C$1690="","",INDEX(_imp!$J$4:$J$4503,_imp!$C$1690))</f>
        <v/>
      </c>
      <c r="K1688" s="54">
        <f>IF(_imp!$C$1690="","",INDEX(_imp!$K$4:$K$4503,_imp!$C$1690))</f>
        <v/>
      </c>
    </row>
    <row r="1689">
      <c r="A1689" s="54">
        <f>IF(_imp!$C$1691="","",INDEX(_imp!$D$4:$D$4503,_imp!$C$1691))</f>
        <v/>
      </c>
      <c r="B1689" s="54">
        <f>IF(_imp!$C$1691="","",INDEX(_imp!$E$4:$E$4503,_imp!$C$1691))</f>
        <v/>
      </c>
      <c r="C1689" s="54">
        <f>IF(_imp!$C$1691="","",INDEX(_imp!$F$4:$F$4503,_imp!$C$1691))</f>
        <v/>
      </c>
      <c r="D1689" s="54">
        <f>IF(_imp!$C$1691="","",INDEX(_imp!$G$4:$G$4503,_imp!$C$1691))</f>
        <v/>
      </c>
      <c r="E1689" s="54">
        <f>IF(_imp!$C$1691="","",INDEX(_imp!$H$4:$H$4503,_imp!$C$1691))</f>
        <v/>
      </c>
      <c r="F1689" s="54">
        <f>IF(_imp!$C$1691="","",INDEX(_imp!$I$4:$I$4503,_imp!$C$1691))</f>
        <v/>
      </c>
      <c r="G1689" s="54">
        <f>IF(_imp!$C$1691="","",INDEX(_imp!$J$4:$J$4503,_imp!$C$1691))</f>
        <v/>
      </c>
      <c r="K1689" s="54">
        <f>IF(_imp!$C$1691="","",INDEX(_imp!$K$4:$K$4503,_imp!$C$1691))</f>
        <v/>
      </c>
    </row>
    <row r="1690">
      <c r="A1690" s="54">
        <f>IF(_imp!$C$1692="","",INDEX(_imp!$D$4:$D$4503,_imp!$C$1692))</f>
        <v/>
      </c>
      <c r="B1690" s="54">
        <f>IF(_imp!$C$1692="","",INDEX(_imp!$E$4:$E$4503,_imp!$C$1692))</f>
        <v/>
      </c>
      <c r="C1690" s="54">
        <f>IF(_imp!$C$1692="","",INDEX(_imp!$F$4:$F$4503,_imp!$C$1692))</f>
        <v/>
      </c>
      <c r="D1690" s="54">
        <f>IF(_imp!$C$1692="","",INDEX(_imp!$G$4:$G$4503,_imp!$C$1692))</f>
        <v/>
      </c>
      <c r="E1690" s="54">
        <f>IF(_imp!$C$1692="","",INDEX(_imp!$H$4:$H$4503,_imp!$C$1692))</f>
        <v/>
      </c>
      <c r="F1690" s="54">
        <f>IF(_imp!$C$1692="","",INDEX(_imp!$I$4:$I$4503,_imp!$C$1692))</f>
        <v/>
      </c>
      <c r="G1690" s="54">
        <f>IF(_imp!$C$1692="","",INDEX(_imp!$J$4:$J$4503,_imp!$C$1692))</f>
        <v/>
      </c>
      <c r="K1690" s="54">
        <f>IF(_imp!$C$1692="","",INDEX(_imp!$K$4:$K$4503,_imp!$C$1692))</f>
        <v/>
      </c>
    </row>
    <row r="1691">
      <c r="A1691" s="54">
        <f>IF(_imp!$C$1693="","",INDEX(_imp!$D$4:$D$4503,_imp!$C$1693))</f>
        <v/>
      </c>
      <c r="B1691" s="54">
        <f>IF(_imp!$C$1693="","",INDEX(_imp!$E$4:$E$4503,_imp!$C$1693))</f>
        <v/>
      </c>
      <c r="C1691" s="54">
        <f>IF(_imp!$C$1693="","",INDEX(_imp!$F$4:$F$4503,_imp!$C$1693))</f>
        <v/>
      </c>
      <c r="D1691" s="54">
        <f>IF(_imp!$C$1693="","",INDEX(_imp!$G$4:$G$4503,_imp!$C$1693))</f>
        <v/>
      </c>
      <c r="E1691" s="54">
        <f>IF(_imp!$C$1693="","",INDEX(_imp!$H$4:$H$4503,_imp!$C$1693))</f>
        <v/>
      </c>
      <c r="F1691" s="54">
        <f>IF(_imp!$C$1693="","",INDEX(_imp!$I$4:$I$4503,_imp!$C$1693))</f>
        <v/>
      </c>
      <c r="G1691" s="54">
        <f>IF(_imp!$C$1693="","",INDEX(_imp!$J$4:$J$4503,_imp!$C$1693))</f>
        <v/>
      </c>
      <c r="K1691" s="54">
        <f>IF(_imp!$C$1693="","",INDEX(_imp!$K$4:$K$4503,_imp!$C$1693))</f>
        <v/>
      </c>
    </row>
    <row r="1692">
      <c r="A1692" s="54">
        <f>IF(_imp!$C$1694="","",INDEX(_imp!$D$4:$D$4503,_imp!$C$1694))</f>
        <v/>
      </c>
      <c r="B1692" s="54">
        <f>IF(_imp!$C$1694="","",INDEX(_imp!$E$4:$E$4503,_imp!$C$1694))</f>
        <v/>
      </c>
      <c r="C1692" s="54">
        <f>IF(_imp!$C$1694="","",INDEX(_imp!$F$4:$F$4503,_imp!$C$1694))</f>
        <v/>
      </c>
      <c r="D1692" s="54">
        <f>IF(_imp!$C$1694="","",INDEX(_imp!$G$4:$G$4503,_imp!$C$1694))</f>
        <v/>
      </c>
      <c r="E1692" s="54">
        <f>IF(_imp!$C$1694="","",INDEX(_imp!$H$4:$H$4503,_imp!$C$1694))</f>
        <v/>
      </c>
      <c r="F1692" s="54">
        <f>IF(_imp!$C$1694="","",INDEX(_imp!$I$4:$I$4503,_imp!$C$1694))</f>
        <v/>
      </c>
      <c r="G1692" s="54">
        <f>IF(_imp!$C$1694="","",INDEX(_imp!$J$4:$J$4503,_imp!$C$1694))</f>
        <v/>
      </c>
      <c r="K1692" s="54">
        <f>IF(_imp!$C$1694="","",INDEX(_imp!$K$4:$K$4503,_imp!$C$1694))</f>
        <v/>
      </c>
    </row>
    <row r="1693">
      <c r="A1693" s="54">
        <f>IF(_imp!$C$1695="","",INDEX(_imp!$D$4:$D$4503,_imp!$C$1695))</f>
        <v/>
      </c>
      <c r="B1693" s="54">
        <f>IF(_imp!$C$1695="","",INDEX(_imp!$E$4:$E$4503,_imp!$C$1695))</f>
        <v/>
      </c>
      <c r="C1693" s="54">
        <f>IF(_imp!$C$1695="","",INDEX(_imp!$F$4:$F$4503,_imp!$C$1695))</f>
        <v/>
      </c>
      <c r="D1693" s="54">
        <f>IF(_imp!$C$1695="","",INDEX(_imp!$G$4:$G$4503,_imp!$C$1695))</f>
        <v/>
      </c>
      <c r="E1693" s="54">
        <f>IF(_imp!$C$1695="","",INDEX(_imp!$H$4:$H$4503,_imp!$C$1695))</f>
        <v/>
      </c>
      <c r="F1693" s="54">
        <f>IF(_imp!$C$1695="","",INDEX(_imp!$I$4:$I$4503,_imp!$C$1695))</f>
        <v/>
      </c>
      <c r="G1693" s="54">
        <f>IF(_imp!$C$1695="","",INDEX(_imp!$J$4:$J$4503,_imp!$C$1695))</f>
        <v/>
      </c>
      <c r="K1693" s="54">
        <f>IF(_imp!$C$1695="","",INDEX(_imp!$K$4:$K$4503,_imp!$C$1695))</f>
        <v/>
      </c>
    </row>
    <row r="1694">
      <c r="A1694" s="54">
        <f>IF(_imp!$C$1696="","",INDEX(_imp!$D$4:$D$4503,_imp!$C$1696))</f>
        <v/>
      </c>
      <c r="B1694" s="54">
        <f>IF(_imp!$C$1696="","",INDEX(_imp!$E$4:$E$4503,_imp!$C$1696))</f>
        <v/>
      </c>
      <c r="C1694" s="54">
        <f>IF(_imp!$C$1696="","",INDEX(_imp!$F$4:$F$4503,_imp!$C$1696))</f>
        <v/>
      </c>
      <c r="D1694" s="54">
        <f>IF(_imp!$C$1696="","",INDEX(_imp!$G$4:$G$4503,_imp!$C$1696))</f>
        <v/>
      </c>
      <c r="E1694" s="54">
        <f>IF(_imp!$C$1696="","",INDEX(_imp!$H$4:$H$4503,_imp!$C$1696))</f>
        <v/>
      </c>
      <c r="F1694" s="54">
        <f>IF(_imp!$C$1696="","",INDEX(_imp!$I$4:$I$4503,_imp!$C$1696))</f>
        <v/>
      </c>
      <c r="G1694" s="54">
        <f>IF(_imp!$C$1696="","",INDEX(_imp!$J$4:$J$4503,_imp!$C$1696))</f>
        <v/>
      </c>
      <c r="K1694" s="54">
        <f>IF(_imp!$C$1696="","",INDEX(_imp!$K$4:$K$4503,_imp!$C$1696))</f>
        <v/>
      </c>
    </row>
    <row r="1695">
      <c r="A1695" s="54">
        <f>IF(_imp!$C$1697="","",INDEX(_imp!$D$4:$D$4503,_imp!$C$1697))</f>
        <v/>
      </c>
      <c r="B1695" s="54">
        <f>IF(_imp!$C$1697="","",INDEX(_imp!$E$4:$E$4503,_imp!$C$1697))</f>
        <v/>
      </c>
      <c r="C1695" s="54">
        <f>IF(_imp!$C$1697="","",INDEX(_imp!$F$4:$F$4503,_imp!$C$1697))</f>
        <v/>
      </c>
      <c r="D1695" s="54">
        <f>IF(_imp!$C$1697="","",INDEX(_imp!$G$4:$G$4503,_imp!$C$1697))</f>
        <v/>
      </c>
      <c r="E1695" s="54">
        <f>IF(_imp!$C$1697="","",INDEX(_imp!$H$4:$H$4503,_imp!$C$1697))</f>
        <v/>
      </c>
      <c r="F1695" s="54">
        <f>IF(_imp!$C$1697="","",INDEX(_imp!$I$4:$I$4503,_imp!$C$1697))</f>
        <v/>
      </c>
      <c r="G1695" s="54">
        <f>IF(_imp!$C$1697="","",INDEX(_imp!$J$4:$J$4503,_imp!$C$1697))</f>
        <v/>
      </c>
      <c r="K1695" s="54">
        <f>IF(_imp!$C$1697="","",INDEX(_imp!$K$4:$K$4503,_imp!$C$1697))</f>
        <v/>
      </c>
    </row>
    <row r="1696">
      <c r="A1696" s="54">
        <f>IF(_imp!$C$1698="","",INDEX(_imp!$D$4:$D$4503,_imp!$C$1698))</f>
        <v/>
      </c>
      <c r="B1696" s="54">
        <f>IF(_imp!$C$1698="","",INDEX(_imp!$E$4:$E$4503,_imp!$C$1698))</f>
        <v/>
      </c>
      <c r="C1696" s="54">
        <f>IF(_imp!$C$1698="","",INDEX(_imp!$F$4:$F$4503,_imp!$C$1698))</f>
        <v/>
      </c>
      <c r="D1696" s="54">
        <f>IF(_imp!$C$1698="","",INDEX(_imp!$G$4:$G$4503,_imp!$C$1698))</f>
        <v/>
      </c>
      <c r="E1696" s="54">
        <f>IF(_imp!$C$1698="","",INDEX(_imp!$H$4:$H$4503,_imp!$C$1698))</f>
        <v/>
      </c>
      <c r="F1696" s="54">
        <f>IF(_imp!$C$1698="","",INDEX(_imp!$I$4:$I$4503,_imp!$C$1698))</f>
        <v/>
      </c>
      <c r="G1696" s="54">
        <f>IF(_imp!$C$1698="","",INDEX(_imp!$J$4:$J$4503,_imp!$C$1698))</f>
        <v/>
      </c>
      <c r="K1696" s="54">
        <f>IF(_imp!$C$1698="","",INDEX(_imp!$K$4:$K$4503,_imp!$C$1698))</f>
        <v/>
      </c>
    </row>
    <row r="1697">
      <c r="A1697" s="54">
        <f>IF(_imp!$C$1699="","",INDEX(_imp!$D$4:$D$4503,_imp!$C$1699))</f>
        <v/>
      </c>
      <c r="B1697" s="54">
        <f>IF(_imp!$C$1699="","",INDEX(_imp!$E$4:$E$4503,_imp!$C$1699))</f>
        <v/>
      </c>
      <c r="C1697" s="54">
        <f>IF(_imp!$C$1699="","",INDEX(_imp!$F$4:$F$4503,_imp!$C$1699))</f>
        <v/>
      </c>
      <c r="D1697" s="54">
        <f>IF(_imp!$C$1699="","",INDEX(_imp!$G$4:$G$4503,_imp!$C$1699))</f>
        <v/>
      </c>
      <c r="E1697" s="54">
        <f>IF(_imp!$C$1699="","",INDEX(_imp!$H$4:$H$4503,_imp!$C$1699))</f>
        <v/>
      </c>
      <c r="F1697" s="54">
        <f>IF(_imp!$C$1699="","",INDEX(_imp!$I$4:$I$4503,_imp!$C$1699))</f>
        <v/>
      </c>
      <c r="G1697" s="54">
        <f>IF(_imp!$C$1699="","",INDEX(_imp!$J$4:$J$4503,_imp!$C$1699))</f>
        <v/>
      </c>
      <c r="K1697" s="54">
        <f>IF(_imp!$C$1699="","",INDEX(_imp!$K$4:$K$4503,_imp!$C$1699))</f>
        <v/>
      </c>
    </row>
    <row r="1698">
      <c r="A1698" s="54">
        <f>IF(_imp!$C$1700="","",INDEX(_imp!$D$4:$D$4503,_imp!$C$1700))</f>
        <v/>
      </c>
      <c r="B1698" s="54">
        <f>IF(_imp!$C$1700="","",INDEX(_imp!$E$4:$E$4503,_imp!$C$1700))</f>
        <v/>
      </c>
      <c r="C1698" s="54">
        <f>IF(_imp!$C$1700="","",INDEX(_imp!$F$4:$F$4503,_imp!$C$1700))</f>
        <v/>
      </c>
      <c r="D1698" s="54">
        <f>IF(_imp!$C$1700="","",INDEX(_imp!$G$4:$G$4503,_imp!$C$1700))</f>
        <v/>
      </c>
      <c r="E1698" s="54">
        <f>IF(_imp!$C$1700="","",INDEX(_imp!$H$4:$H$4503,_imp!$C$1700))</f>
        <v/>
      </c>
      <c r="F1698" s="54">
        <f>IF(_imp!$C$1700="","",INDEX(_imp!$I$4:$I$4503,_imp!$C$1700))</f>
        <v/>
      </c>
      <c r="G1698" s="54">
        <f>IF(_imp!$C$1700="","",INDEX(_imp!$J$4:$J$4503,_imp!$C$1700))</f>
        <v/>
      </c>
      <c r="K1698" s="54">
        <f>IF(_imp!$C$1700="","",INDEX(_imp!$K$4:$K$4503,_imp!$C$1700))</f>
        <v/>
      </c>
    </row>
    <row r="1699">
      <c r="A1699" s="54">
        <f>IF(_imp!$C$1701="","",INDEX(_imp!$D$4:$D$4503,_imp!$C$1701))</f>
        <v/>
      </c>
      <c r="B1699" s="54">
        <f>IF(_imp!$C$1701="","",INDEX(_imp!$E$4:$E$4503,_imp!$C$1701))</f>
        <v/>
      </c>
      <c r="C1699" s="54">
        <f>IF(_imp!$C$1701="","",INDEX(_imp!$F$4:$F$4503,_imp!$C$1701))</f>
        <v/>
      </c>
      <c r="D1699" s="54">
        <f>IF(_imp!$C$1701="","",INDEX(_imp!$G$4:$G$4503,_imp!$C$1701))</f>
        <v/>
      </c>
      <c r="E1699" s="54">
        <f>IF(_imp!$C$1701="","",INDEX(_imp!$H$4:$H$4503,_imp!$C$1701))</f>
        <v/>
      </c>
      <c r="F1699" s="54">
        <f>IF(_imp!$C$1701="","",INDEX(_imp!$I$4:$I$4503,_imp!$C$1701))</f>
        <v/>
      </c>
      <c r="G1699" s="54">
        <f>IF(_imp!$C$1701="","",INDEX(_imp!$J$4:$J$4503,_imp!$C$1701))</f>
        <v/>
      </c>
      <c r="K1699" s="54">
        <f>IF(_imp!$C$1701="","",INDEX(_imp!$K$4:$K$4503,_imp!$C$1701))</f>
        <v/>
      </c>
    </row>
    <row r="1700">
      <c r="A1700" s="54">
        <f>IF(_imp!$C$1702="","",INDEX(_imp!$D$4:$D$4503,_imp!$C$1702))</f>
        <v/>
      </c>
      <c r="B1700" s="54">
        <f>IF(_imp!$C$1702="","",INDEX(_imp!$E$4:$E$4503,_imp!$C$1702))</f>
        <v/>
      </c>
      <c r="C1700" s="54">
        <f>IF(_imp!$C$1702="","",INDEX(_imp!$F$4:$F$4503,_imp!$C$1702))</f>
        <v/>
      </c>
      <c r="D1700" s="54">
        <f>IF(_imp!$C$1702="","",INDEX(_imp!$G$4:$G$4503,_imp!$C$1702))</f>
        <v/>
      </c>
      <c r="E1700" s="54">
        <f>IF(_imp!$C$1702="","",INDEX(_imp!$H$4:$H$4503,_imp!$C$1702))</f>
        <v/>
      </c>
      <c r="F1700" s="54">
        <f>IF(_imp!$C$1702="","",INDEX(_imp!$I$4:$I$4503,_imp!$C$1702))</f>
        <v/>
      </c>
      <c r="G1700" s="54">
        <f>IF(_imp!$C$1702="","",INDEX(_imp!$J$4:$J$4503,_imp!$C$1702))</f>
        <v/>
      </c>
      <c r="K1700" s="54">
        <f>IF(_imp!$C$1702="","",INDEX(_imp!$K$4:$K$4503,_imp!$C$1702))</f>
        <v/>
      </c>
    </row>
    <row r="1701">
      <c r="A1701" s="54">
        <f>IF(_imp!$C$1703="","",INDEX(_imp!$D$4:$D$4503,_imp!$C$1703))</f>
        <v/>
      </c>
      <c r="B1701" s="54">
        <f>IF(_imp!$C$1703="","",INDEX(_imp!$E$4:$E$4503,_imp!$C$1703))</f>
        <v/>
      </c>
      <c r="C1701" s="54">
        <f>IF(_imp!$C$1703="","",INDEX(_imp!$F$4:$F$4503,_imp!$C$1703))</f>
        <v/>
      </c>
      <c r="D1701" s="54">
        <f>IF(_imp!$C$1703="","",INDEX(_imp!$G$4:$G$4503,_imp!$C$1703))</f>
        <v/>
      </c>
      <c r="E1701" s="54">
        <f>IF(_imp!$C$1703="","",INDEX(_imp!$H$4:$H$4503,_imp!$C$1703))</f>
        <v/>
      </c>
      <c r="F1701" s="54">
        <f>IF(_imp!$C$1703="","",INDEX(_imp!$I$4:$I$4503,_imp!$C$1703))</f>
        <v/>
      </c>
      <c r="G1701" s="54">
        <f>IF(_imp!$C$1703="","",INDEX(_imp!$J$4:$J$4503,_imp!$C$1703))</f>
        <v/>
      </c>
      <c r="K1701" s="54">
        <f>IF(_imp!$C$1703="","",INDEX(_imp!$K$4:$K$4503,_imp!$C$1703))</f>
        <v/>
      </c>
    </row>
    <row r="1702">
      <c r="A1702" s="54">
        <f>IF(_imp!$C$1704="","",INDEX(_imp!$D$4:$D$4503,_imp!$C$1704))</f>
        <v/>
      </c>
      <c r="B1702" s="54">
        <f>IF(_imp!$C$1704="","",INDEX(_imp!$E$4:$E$4503,_imp!$C$1704))</f>
        <v/>
      </c>
      <c r="C1702" s="54">
        <f>IF(_imp!$C$1704="","",INDEX(_imp!$F$4:$F$4503,_imp!$C$1704))</f>
        <v/>
      </c>
      <c r="D1702" s="54">
        <f>IF(_imp!$C$1704="","",INDEX(_imp!$G$4:$G$4503,_imp!$C$1704))</f>
        <v/>
      </c>
      <c r="E1702" s="54">
        <f>IF(_imp!$C$1704="","",INDEX(_imp!$H$4:$H$4503,_imp!$C$1704))</f>
        <v/>
      </c>
      <c r="F1702" s="54">
        <f>IF(_imp!$C$1704="","",INDEX(_imp!$I$4:$I$4503,_imp!$C$1704))</f>
        <v/>
      </c>
      <c r="G1702" s="54">
        <f>IF(_imp!$C$1704="","",INDEX(_imp!$J$4:$J$4503,_imp!$C$1704))</f>
        <v/>
      </c>
      <c r="K1702" s="54">
        <f>IF(_imp!$C$1704="","",INDEX(_imp!$K$4:$K$4503,_imp!$C$1704))</f>
        <v/>
      </c>
    </row>
    <row r="1703">
      <c r="A1703" s="54">
        <f>IF(_imp!$C$1705="","",INDEX(_imp!$D$4:$D$4503,_imp!$C$1705))</f>
        <v/>
      </c>
      <c r="B1703" s="54">
        <f>IF(_imp!$C$1705="","",INDEX(_imp!$E$4:$E$4503,_imp!$C$1705))</f>
        <v/>
      </c>
      <c r="C1703" s="54">
        <f>IF(_imp!$C$1705="","",INDEX(_imp!$F$4:$F$4503,_imp!$C$1705))</f>
        <v/>
      </c>
      <c r="D1703" s="54">
        <f>IF(_imp!$C$1705="","",INDEX(_imp!$G$4:$G$4503,_imp!$C$1705))</f>
        <v/>
      </c>
      <c r="E1703" s="54">
        <f>IF(_imp!$C$1705="","",INDEX(_imp!$H$4:$H$4503,_imp!$C$1705))</f>
        <v/>
      </c>
      <c r="F1703" s="54">
        <f>IF(_imp!$C$1705="","",INDEX(_imp!$I$4:$I$4503,_imp!$C$1705))</f>
        <v/>
      </c>
      <c r="G1703" s="54">
        <f>IF(_imp!$C$1705="","",INDEX(_imp!$J$4:$J$4503,_imp!$C$1705))</f>
        <v/>
      </c>
      <c r="K1703" s="54">
        <f>IF(_imp!$C$1705="","",INDEX(_imp!$K$4:$K$4503,_imp!$C$1705))</f>
        <v/>
      </c>
    </row>
    <row r="1704">
      <c r="A1704" s="54">
        <f>IF(_imp!$C$1706="","",INDEX(_imp!$D$4:$D$4503,_imp!$C$1706))</f>
        <v/>
      </c>
      <c r="B1704" s="54">
        <f>IF(_imp!$C$1706="","",INDEX(_imp!$E$4:$E$4503,_imp!$C$1706))</f>
        <v/>
      </c>
      <c r="C1704" s="54">
        <f>IF(_imp!$C$1706="","",INDEX(_imp!$F$4:$F$4503,_imp!$C$1706))</f>
        <v/>
      </c>
      <c r="D1704" s="54">
        <f>IF(_imp!$C$1706="","",INDEX(_imp!$G$4:$G$4503,_imp!$C$1706))</f>
        <v/>
      </c>
      <c r="E1704" s="54">
        <f>IF(_imp!$C$1706="","",INDEX(_imp!$H$4:$H$4503,_imp!$C$1706))</f>
        <v/>
      </c>
      <c r="F1704" s="54">
        <f>IF(_imp!$C$1706="","",INDEX(_imp!$I$4:$I$4503,_imp!$C$1706))</f>
        <v/>
      </c>
      <c r="G1704" s="54">
        <f>IF(_imp!$C$1706="","",INDEX(_imp!$J$4:$J$4503,_imp!$C$1706))</f>
        <v/>
      </c>
      <c r="K1704" s="54">
        <f>IF(_imp!$C$1706="","",INDEX(_imp!$K$4:$K$4503,_imp!$C$1706))</f>
        <v/>
      </c>
    </row>
    <row r="1705">
      <c r="A1705" s="54">
        <f>IF(_imp!$C$1707="","",INDEX(_imp!$D$4:$D$4503,_imp!$C$1707))</f>
        <v/>
      </c>
      <c r="B1705" s="54">
        <f>IF(_imp!$C$1707="","",INDEX(_imp!$E$4:$E$4503,_imp!$C$1707))</f>
        <v/>
      </c>
      <c r="C1705" s="54">
        <f>IF(_imp!$C$1707="","",INDEX(_imp!$F$4:$F$4503,_imp!$C$1707))</f>
        <v/>
      </c>
      <c r="D1705" s="54">
        <f>IF(_imp!$C$1707="","",INDEX(_imp!$G$4:$G$4503,_imp!$C$1707))</f>
        <v/>
      </c>
      <c r="E1705" s="54">
        <f>IF(_imp!$C$1707="","",INDEX(_imp!$H$4:$H$4503,_imp!$C$1707))</f>
        <v/>
      </c>
      <c r="F1705" s="54">
        <f>IF(_imp!$C$1707="","",INDEX(_imp!$I$4:$I$4503,_imp!$C$1707))</f>
        <v/>
      </c>
      <c r="G1705" s="54">
        <f>IF(_imp!$C$1707="","",INDEX(_imp!$J$4:$J$4503,_imp!$C$1707))</f>
        <v/>
      </c>
      <c r="K1705" s="54">
        <f>IF(_imp!$C$1707="","",INDEX(_imp!$K$4:$K$4503,_imp!$C$1707))</f>
        <v/>
      </c>
    </row>
    <row r="1706">
      <c r="A1706" s="54">
        <f>IF(_imp!$C$1708="","",INDEX(_imp!$D$4:$D$4503,_imp!$C$1708))</f>
        <v/>
      </c>
      <c r="B1706" s="54">
        <f>IF(_imp!$C$1708="","",INDEX(_imp!$E$4:$E$4503,_imp!$C$1708))</f>
        <v/>
      </c>
      <c r="C1706" s="54">
        <f>IF(_imp!$C$1708="","",INDEX(_imp!$F$4:$F$4503,_imp!$C$1708))</f>
        <v/>
      </c>
      <c r="D1706" s="54">
        <f>IF(_imp!$C$1708="","",INDEX(_imp!$G$4:$G$4503,_imp!$C$1708))</f>
        <v/>
      </c>
      <c r="E1706" s="54">
        <f>IF(_imp!$C$1708="","",INDEX(_imp!$H$4:$H$4503,_imp!$C$1708))</f>
        <v/>
      </c>
      <c r="F1706" s="54">
        <f>IF(_imp!$C$1708="","",INDEX(_imp!$I$4:$I$4503,_imp!$C$1708))</f>
        <v/>
      </c>
      <c r="G1706" s="54">
        <f>IF(_imp!$C$1708="","",INDEX(_imp!$J$4:$J$4503,_imp!$C$1708))</f>
        <v/>
      </c>
      <c r="K1706" s="54">
        <f>IF(_imp!$C$1708="","",INDEX(_imp!$K$4:$K$4503,_imp!$C$1708))</f>
        <v/>
      </c>
    </row>
    <row r="1707">
      <c r="A1707" s="54">
        <f>IF(_imp!$C$1709="","",INDEX(_imp!$D$4:$D$4503,_imp!$C$1709))</f>
        <v/>
      </c>
      <c r="B1707" s="54">
        <f>IF(_imp!$C$1709="","",INDEX(_imp!$E$4:$E$4503,_imp!$C$1709))</f>
        <v/>
      </c>
      <c r="C1707" s="54">
        <f>IF(_imp!$C$1709="","",INDEX(_imp!$F$4:$F$4503,_imp!$C$1709))</f>
        <v/>
      </c>
      <c r="D1707" s="54">
        <f>IF(_imp!$C$1709="","",INDEX(_imp!$G$4:$G$4503,_imp!$C$1709))</f>
        <v/>
      </c>
      <c r="E1707" s="54">
        <f>IF(_imp!$C$1709="","",INDEX(_imp!$H$4:$H$4503,_imp!$C$1709))</f>
        <v/>
      </c>
      <c r="F1707" s="54">
        <f>IF(_imp!$C$1709="","",INDEX(_imp!$I$4:$I$4503,_imp!$C$1709))</f>
        <v/>
      </c>
      <c r="G1707" s="54">
        <f>IF(_imp!$C$1709="","",INDEX(_imp!$J$4:$J$4503,_imp!$C$1709))</f>
        <v/>
      </c>
      <c r="K1707" s="54">
        <f>IF(_imp!$C$1709="","",INDEX(_imp!$K$4:$K$4503,_imp!$C$1709))</f>
        <v/>
      </c>
    </row>
    <row r="1708">
      <c r="A1708" s="54">
        <f>IF(_imp!$C$1710="","",INDEX(_imp!$D$4:$D$4503,_imp!$C$1710))</f>
        <v/>
      </c>
      <c r="B1708" s="54">
        <f>IF(_imp!$C$1710="","",INDEX(_imp!$E$4:$E$4503,_imp!$C$1710))</f>
        <v/>
      </c>
      <c r="C1708" s="54">
        <f>IF(_imp!$C$1710="","",INDEX(_imp!$F$4:$F$4503,_imp!$C$1710))</f>
        <v/>
      </c>
      <c r="D1708" s="54">
        <f>IF(_imp!$C$1710="","",INDEX(_imp!$G$4:$G$4503,_imp!$C$1710))</f>
        <v/>
      </c>
      <c r="E1708" s="54">
        <f>IF(_imp!$C$1710="","",INDEX(_imp!$H$4:$H$4503,_imp!$C$1710))</f>
        <v/>
      </c>
      <c r="F1708" s="54">
        <f>IF(_imp!$C$1710="","",INDEX(_imp!$I$4:$I$4503,_imp!$C$1710))</f>
        <v/>
      </c>
      <c r="G1708" s="54">
        <f>IF(_imp!$C$1710="","",INDEX(_imp!$J$4:$J$4503,_imp!$C$1710))</f>
        <v/>
      </c>
      <c r="K1708" s="54">
        <f>IF(_imp!$C$1710="","",INDEX(_imp!$K$4:$K$4503,_imp!$C$1710))</f>
        <v/>
      </c>
    </row>
    <row r="1709">
      <c r="A1709" s="54">
        <f>IF(_imp!$C$1711="","",INDEX(_imp!$D$4:$D$4503,_imp!$C$1711))</f>
        <v/>
      </c>
      <c r="B1709" s="54">
        <f>IF(_imp!$C$1711="","",INDEX(_imp!$E$4:$E$4503,_imp!$C$1711))</f>
        <v/>
      </c>
      <c r="C1709" s="54">
        <f>IF(_imp!$C$1711="","",INDEX(_imp!$F$4:$F$4503,_imp!$C$1711))</f>
        <v/>
      </c>
      <c r="D1709" s="54">
        <f>IF(_imp!$C$1711="","",INDEX(_imp!$G$4:$G$4503,_imp!$C$1711))</f>
        <v/>
      </c>
      <c r="E1709" s="54">
        <f>IF(_imp!$C$1711="","",INDEX(_imp!$H$4:$H$4503,_imp!$C$1711))</f>
        <v/>
      </c>
      <c r="F1709" s="54">
        <f>IF(_imp!$C$1711="","",INDEX(_imp!$I$4:$I$4503,_imp!$C$1711))</f>
        <v/>
      </c>
      <c r="G1709" s="54">
        <f>IF(_imp!$C$1711="","",INDEX(_imp!$J$4:$J$4503,_imp!$C$1711))</f>
        <v/>
      </c>
      <c r="K1709" s="54">
        <f>IF(_imp!$C$1711="","",INDEX(_imp!$K$4:$K$4503,_imp!$C$1711))</f>
        <v/>
      </c>
    </row>
    <row r="1710">
      <c r="A1710" s="54">
        <f>IF(_imp!$C$1712="","",INDEX(_imp!$D$4:$D$4503,_imp!$C$1712))</f>
        <v/>
      </c>
      <c r="B1710" s="54">
        <f>IF(_imp!$C$1712="","",INDEX(_imp!$E$4:$E$4503,_imp!$C$1712))</f>
        <v/>
      </c>
      <c r="C1710" s="54">
        <f>IF(_imp!$C$1712="","",INDEX(_imp!$F$4:$F$4503,_imp!$C$1712))</f>
        <v/>
      </c>
      <c r="D1710" s="54">
        <f>IF(_imp!$C$1712="","",INDEX(_imp!$G$4:$G$4503,_imp!$C$1712))</f>
        <v/>
      </c>
      <c r="E1710" s="54">
        <f>IF(_imp!$C$1712="","",INDEX(_imp!$H$4:$H$4503,_imp!$C$1712))</f>
        <v/>
      </c>
      <c r="F1710" s="54">
        <f>IF(_imp!$C$1712="","",INDEX(_imp!$I$4:$I$4503,_imp!$C$1712))</f>
        <v/>
      </c>
      <c r="G1710" s="54">
        <f>IF(_imp!$C$1712="","",INDEX(_imp!$J$4:$J$4503,_imp!$C$1712))</f>
        <v/>
      </c>
      <c r="K1710" s="54">
        <f>IF(_imp!$C$1712="","",INDEX(_imp!$K$4:$K$4503,_imp!$C$1712))</f>
        <v/>
      </c>
    </row>
    <row r="1711">
      <c r="A1711" s="54">
        <f>IF(_imp!$C$1713="","",INDEX(_imp!$D$4:$D$4503,_imp!$C$1713))</f>
        <v/>
      </c>
      <c r="B1711" s="54">
        <f>IF(_imp!$C$1713="","",INDEX(_imp!$E$4:$E$4503,_imp!$C$1713))</f>
        <v/>
      </c>
      <c r="C1711" s="54">
        <f>IF(_imp!$C$1713="","",INDEX(_imp!$F$4:$F$4503,_imp!$C$1713))</f>
        <v/>
      </c>
      <c r="D1711" s="54">
        <f>IF(_imp!$C$1713="","",INDEX(_imp!$G$4:$G$4503,_imp!$C$1713))</f>
        <v/>
      </c>
      <c r="E1711" s="54">
        <f>IF(_imp!$C$1713="","",INDEX(_imp!$H$4:$H$4503,_imp!$C$1713))</f>
        <v/>
      </c>
      <c r="F1711" s="54">
        <f>IF(_imp!$C$1713="","",INDEX(_imp!$I$4:$I$4503,_imp!$C$1713))</f>
        <v/>
      </c>
      <c r="G1711" s="54">
        <f>IF(_imp!$C$1713="","",INDEX(_imp!$J$4:$J$4503,_imp!$C$1713))</f>
        <v/>
      </c>
      <c r="K1711" s="54">
        <f>IF(_imp!$C$1713="","",INDEX(_imp!$K$4:$K$4503,_imp!$C$1713))</f>
        <v/>
      </c>
    </row>
    <row r="1712">
      <c r="A1712" s="54">
        <f>IF(_imp!$C$1714="","",INDEX(_imp!$D$4:$D$4503,_imp!$C$1714))</f>
        <v/>
      </c>
      <c r="B1712" s="54">
        <f>IF(_imp!$C$1714="","",INDEX(_imp!$E$4:$E$4503,_imp!$C$1714))</f>
        <v/>
      </c>
      <c r="C1712" s="54">
        <f>IF(_imp!$C$1714="","",INDEX(_imp!$F$4:$F$4503,_imp!$C$1714))</f>
        <v/>
      </c>
      <c r="D1712" s="54">
        <f>IF(_imp!$C$1714="","",INDEX(_imp!$G$4:$G$4503,_imp!$C$1714))</f>
        <v/>
      </c>
      <c r="E1712" s="54">
        <f>IF(_imp!$C$1714="","",INDEX(_imp!$H$4:$H$4503,_imp!$C$1714))</f>
        <v/>
      </c>
      <c r="F1712" s="54">
        <f>IF(_imp!$C$1714="","",INDEX(_imp!$I$4:$I$4503,_imp!$C$1714))</f>
        <v/>
      </c>
      <c r="G1712" s="54">
        <f>IF(_imp!$C$1714="","",INDEX(_imp!$J$4:$J$4503,_imp!$C$1714))</f>
        <v/>
      </c>
      <c r="K1712" s="54">
        <f>IF(_imp!$C$1714="","",INDEX(_imp!$K$4:$K$4503,_imp!$C$1714))</f>
        <v/>
      </c>
    </row>
    <row r="1713">
      <c r="A1713" s="54">
        <f>IF(_imp!$C$1715="","",INDEX(_imp!$D$4:$D$4503,_imp!$C$1715))</f>
        <v/>
      </c>
      <c r="B1713" s="54">
        <f>IF(_imp!$C$1715="","",INDEX(_imp!$E$4:$E$4503,_imp!$C$1715))</f>
        <v/>
      </c>
      <c r="C1713" s="54">
        <f>IF(_imp!$C$1715="","",INDEX(_imp!$F$4:$F$4503,_imp!$C$1715))</f>
        <v/>
      </c>
      <c r="D1713" s="54">
        <f>IF(_imp!$C$1715="","",INDEX(_imp!$G$4:$G$4503,_imp!$C$1715))</f>
        <v/>
      </c>
      <c r="E1713" s="54">
        <f>IF(_imp!$C$1715="","",INDEX(_imp!$H$4:$H$4503,_imp!$C$1715))</f>
        <v/>
      </c>
      <c r="F1713" s="54">
        <f>IF(_imp!$C$1715="","",INDEX(_imp!$I$4:$I$4503,_imp!$C$1715))</f>
        <v/>
      </c>
      <c r="G1713" s="54">
        <f>IF(_imp!$C$1715="","",INDEX(_imp!$J$4:$J$4503,_imp!$C$1715))</f>
        <v/>
      </c>
      <c r="K1713" s="54">
        <f>IF(_imp!$C$1715="","",INDEX(_imp!$K$4:$K$4503,_imp!$C$1715))</f>
        <v/>
      </c>
    </row>
    <row r="1714">
      <c r="A1714" s="54">
        <f>IF(_imp!$C$1716="","",INDEX(_imp!$D$4:$D$4503,_imp!$C$1716))</f>
        <v/>
      </c>
      <c r="B1714" s="54">
        <f>IF(_imp!$C$1716="","",INDEX(_imp!$E$4:$E$4503,_imp!$C$1716))</f>
        <v/>
      </c>
      <c r="C1714" s="54">
        <f>IF(_imp!$C$1716="","",INDEX(_imp!$F$4:$F$4503,_imp!$C$1716))</f>
        <v/>
      </c>
      <c r="D1714" s="54">
        <f>IF(_imp!$C$1716="","",INDEX(_imp!$G$4:$G$4503,_imp!$C$1716))</f>
        <v/>
      </c>
      <c r="E1714" s="54">
        <f>IF(_imp!$C$1716="","",INDEX(_imp!$H$4:$H$4503,_imp!$C$1716))</f>
        <v/>
      </c>
      <c r="F1714" s="54">
        <f>IF(_imp!$C$1716="","",INDEX(_imp!$I$4:$I$4503,_imp!$C$1716))</f>
        <v/>
      </c>
      <c r="G1714" s="54">
        <f>IF(_imp!$C$1716="","",INDEX(_imp!$J$4:$J$4503,_imp!$C$1716))</f>
        <v/>
      </c>
      <c r="K1714" s="54">
        <f>IF(_imp!$C$1716="","",INDEX(_imp!$K$4:$K$4503,_imp!$C$1716))</f>
        <v/>
      </c>
    </row>
    <row r="1715">
      <c r="A1715" s="54">
        <f>IF(_imp!$C$1717="","",INDEX(_imp!$D$4:$D$4503,_imp!$C$1717))</f>
        <v/>
      </c>
      <c r="B1715" s="54">
        <f>IF(_imp!$C$1717="","",INDEX(_imp!$E$4:$E$4503,_imp!$C$1717))</f>
        <v/>
      </c>
      <c r="C1715" s="54">
        <f>IF(_imp!$C$1717="","",INDEX(_imp!$F$4:$F$4503,_imp!$C$1717))</f>
        <v/>
      </c>
      <c r="D1715" s="54">
        <f>IF(_imp!$C$1717="","",INDEX(_imp!$G$4:$G$4503,_imp!$C$1717))</f>
        <v/>
      </c>
      <c r="E1715" s="54">
        <f>IF(_imp!$C$1717="","",INDEX(_imp!$H$4:$H$4503,_imp!$C$1717))</f>
        <v/>
      </c>
      <c r="F1715" s="54">
        <f>IF(_imp!$C$1717="","",INDEX(_imp!$I$4:$I$4503,_imp!$C$1717))</f>
        <v/>
      </c>
      <c r="G1715" s="54">
        <f>IF(_imp!$C$1717="","",INDEX(_imp!$J$4:$J$4503,_imp!$C$1717))</f>
        <v/>
      </c>
      <c r="K1715" s="54">
        <f>IF(_imp!$C$1717="","",INDEX(_imp!$K$4:$K$4503,_imp!$C$1717))</f>
        <v/>
      </c>
    </row>
    <row r="1716">
      <c r="A1716" s="54">
        <f>IF(_imp!$C$1718="","",INDEX(_imp!$D$4:$D$4503,_imp!$C$1718))</f>
        <v/>
      </c>
      <c r="B1716" s="54">
        <f>IF(_imp!$C$1718="","",INDEX(_imp!$E$4:$E$4503,_imp!$C$1718))</f>
        <v/>
      </c>
      <c r="C1716" s="54">
        <f>IF(_imp!$C$1718="","",INDEX(_imp!$F$4:$F$4503,_imp!$C$1718))</f>
        <v/>
      </c>
      <c r="D1716" s="54">
        <f>IF(_imp!$C$1718="","",INDEX(_imp!$G$4:$G$4503,_imp!$C$1718))</f>
        <v/>
      </c>
      <c r="E1716" s="54">
        <f>IF(_imp!$C$1718="","",INDEX(_imp!$H$4:$H$4503,_imp!$C$1718))</f>
        <v/>
      </c>
      <c r="F1716" s="54">
        <f>IF(_imp!$C$1718="","",INDEX(_imp!$I$4:$I$4503,_imp!$C$1718))</f>
        <v/>
      </c>
      <c r="G1716" s="54">
        <f>IF(_imp!$C$1718="","",INDEX(_imp!$J$4:$J$4503,_imp!$C$1718))</f>
        <v/>
      </c>
      <c r="K1716" s="54">
        <f>IF(_imp!$C$1718="","",INDEX(_imp!$K$4:$K$4503,_imp!$C$1718))</f>
        <v/>
      </c>
    </row>
    <row r="1717">
      <c r="A1717" s="54">
        <f>IF(_imp!$C$1719="","",INDEX(_imp!$D$4:$D$4503,_imp!$C$1719))</f>
        <v/>
      </c>
      <c r="B1717" s="54">
        <f>IF(_imp!$C$1719="","",INDEX(_imp!$E$4:$E$4503,_imp!$C$1719))</f>
        <v/>
      </c>
      <c r="C1717" s="54">
        <f>IF(_imp!$C$1719="","",INDEX(_imp!$F$4:$F$4503,_imp!$C$1719))</f>
        <v/>
      </c>
      <c r="D1717" s="54">
        <f>IF(_imp!$C$1719="","",INDEX(_imp!$G$4:$G$4503,_imp!$C$1719))</f>
        <v/>
      </c>
      <c r="E1717" s="54">
        <f>IF(_imp!$C$1719="","",INDEX(_imp!$H$4:$H$4503,_imp!$C$1719))</f>
        <v/>
      </c>
      <c r="F1717" s="54">
        <f>IF(_imp!$C$1719="","",INDEX(_imp!$I$4:$I$4503,_imp!$C$1719))</f>
        <v/>
      </c>
      <c r="G1717" s="54">
        <f>IF(_imp!$C$1719="","",INDEX(_imp!$J$4:$J$4503,_imp!$C$1719))</f>
        <v/>
      </c>
      <c r="K1717" s="54">
        <f>IF(_imp!$C$1719="","",INDEX(_imp!$K$4:$K$4503,_imp!$C$1719))</f>
        <v/>
      </c>
    </row>
    <row r="1718">
      <c r="A1718" s="54">
        <f>IF(_imp!$C$1720="","",INDEX(_imp!$D$4:$D$4503,_imp!$C$1720))</f>
        <v/>
      </c>
      <c r="B1718" s="54">
        <f>IF(_imp!$C$1720="","",INDEX(_imp!$E$4:$E$4503,_imp!$C$1720))</f>
        <v/>
      </c>
      <c r="C1718" s="54">
        <f>IF(_imp!$C$1720="","",INDEX(_imp!$F$4:$F$4503,_imp!$C$1720))</f>
        <v/>
      </c>
      <c r="D1718" s="54">
        <f>IF(_imp!$C$1720="","",INDEX(_imp!$G$4:$G$4503,_imp!$C$1720))</f>
        <v/>
      </c>
      <c r="E1718" s="54">
        <f>IF(_imp!$C$1720="","",INDEX(_imp!$H$4:$H$4503,_imp!$C$1720))</f>
        <v/>
      </c>
      <c r="F1718" s="54">
        <f>IF(_imp!$C$1720="","",INDEX(_imp!$I$4:$I$4503,_imp!$C$1720))</f>
        <v/>
      </c>
      <c r="G1718" s="54">
        <f>IF(_imp!$C$1720="","",INDEX(_imp!$J$4:$J$4503,_imp!$C$1720))</f>
        <v/>
      </c>
      <c r="K1718" s="54">
        <f>IF(_imp!$C$1720="","",INDEX(_imp!$K$4:$K$4503,_imp!$C$1720))</f>
        <v/>
      </c>
    </row>
    <row r="1719">
      <c r="A1719" s="54">
        <f>IF(_imp!$C$1721="","",INDEX(_imp!$D$4:$D$4503,_imp!$C$1721))</f>
        <v/>
      </c>
      <c r="B1719" s="54">
        <f>IF(_imp!$C$1721="","",INDEX(_imp!$E$4:$E$4503,_imp!$C$1721))</f>
        <v/>
      </c>
      <c r="C1719" s="54">
        <f>IF(_imp!$C$1721="","",INDEX(_imp!$F$4:$F$4503,_imp!$C$1721))</f>
        <v/>
      </c>
      <c r="D1719" s="54">
        <f>IF(_imp!$C$1721="","",INDEX(_imp!$G$4:$G$4503,_imp!$C$1721))</f>
        <v/>
      </c>
      <c r="E1719" s="54">
        <f>IF(_imp!$C$1721="","",INDEX(_imp!$H$4:$H$4503,_imp!$C$1721))</f>
        <v/>
      </c>
      <c r="F1719" s="54">
        <f>IF(_imp!$C$1721="","",INDEX(_imp!$I$4:$I$4503,_imp!$C$1721))</f>
        <v/>
      </c>
      <c r="G1719" s="54">
        <f>IF(_imp!$C$1721="","",INDEX(_imp!$J$4:$J$4503,_imp!$C$1721))</f>
        <v/>
      </c>
      <c r="K1719" s="54">
        <f>IF(_imp!$C$1721="","",INDEX(_imp!$K$4:$K$4503,_imp!$C$1721))</f>
        <v/>
      </c>
    </row>
    <row r="1720">
      <c r="A1720" s="54">
        <f>IF(_imp!$C$1722="","",INDEX(_imp!$D$4:$D$4503,_imp!$C$1722))</f>
        <v/>
      </c>
      <c r="B1720" s="54">
        <f>IF(_imp!$C$1722="","",INDEX(_imp!$E$4:$E$4503,_imp!$C$1722))</f>
        <v/>
      </c>
      <c r="C1720" s="54">
        <f>IF(_imp!$C$1722="","",INDEX(_imp!$F$4:$F$4503,_imp!$C$1722))</f>
        <v/>
      </c>
      <c r="D1720" s="54">
        <f>IF(_imp!$C$1722="","",INDEX(_imp!$G$4:$G$4503,_imp!$C$1722))</f>
        <v/>
      </c>
      <c r="E1720" s="54">
        <f>IF(_imp!$C$1722="","",INDEX(_imp!$H$4:$H$4503,_imp!$C$1722))</f>
        <v/>
      </c>
      <c r="F1720" s="54">
        <f>IF(_imp!$C$1722="","",INDEX(_imp!$I$4:$I$4503,_imp!$C$1722))</f>
        <v/>
      </c>
      <c r="G1720" s="54">
        <f>IF(_imp!$C$1722="","",INDEX(_imp!$J$4:$J$4503,_imp!$C$1722))</f>
        <v/>
      </c>
      <c r="K1720" s="54">
        <f>IF(_imp!$C$1722="","",INDEX(_imp!$K$4:$K$4503,_imp!$C$1722))</f>
        <v/>
      </c>
    </row>
    <row r="1721">
      <c r="A1721" s="54">
        <f>IF(_imp!$C$1723="","",INDEX(_imp!$D$4:$D$4503,_imp!$C$1723))</f>
        <v/>
      </c>
      <c r="B1721" s="54">
        <f>IF(_imp!$C$1723="","",INDEX(_imp!$E$4:$E$4503,_imp!$C$1723))</f>
        <v/>
      </c>
      <c r="C1721" s="54">
        <f>IF(_imp!$C$1723="","",INDEX(_imp!$F$4:$F$4503,_imp!$C$1723))</f>
        <v/>
      </c>
      <c r="D1721" s="54">
        <f>IF(_imp!$C$1723="","",INDEX(_imp!$G$4:$G$4503,_imp!$C$1723))</f>
        <v/>
      </c>
      <c r="E1721" s="54">
        <f>IF(_imp!$C$1723="","",INDEX(_imp!$H$4:$H$4503,_imp!$C$1723))</f>
        <v/>
      </c>
      <c r="F1721" s="54">
        <f>IF(_imp!$C$1723="","",INDEX(_imp!$I$4:$I$4503,_imp!$C$1723))</f>
        <v/>
      </c>
      <c r="G1721" s="54">
        <f>IF(_imp!$C$1723="","",INDEX(_imp!$J$4:$J$4503,_imp!$C$1723))</f>
        <v/>
      </c>
      <c r="K1721" s="54">
        <f>IF(_imp!$C$1723="","",INDEX(_imp!$K$4:$K$4503,_imp!$C$1723))</f>
        <v/>
      </c>
    </row>
    <row r="1722">
      <c r="A1722" s="54">
        <f>IF(_imp!$C$1724="","",INDEX(_imp!$D$4:$D$4503,_imp!$C$1724))</f>
        <v/>
      </c>
      <c r="B1722" s="54">
        <f>IF(_imp!$C$1724="","",INDEX(_imp!$E$4:$E$4503,_imp!$C$1724))</f>
        <v/>
      </c>
      <c r="C1722" s="54">
        <f>IF(_imp!$C$1724="","",INDEX(_imp!$F$4:$F$4503,_imp!$C$1724))</f>
        <v/>
      </c>
      <c r="D1722" s="54">
        <f>IF(_imp!$C$1724="","",INDEX(_imp!$G$4:$G$4503,_imp!$C$1724))</f>
        <v/>
      </c>
      <c r="E1722" s="54">
        <f>IF(_imp!$C$1724="","",INDEX(_imp!$H$4:$H$4503,_imp!$C$1724))</f>
        <v/>
      </c>
      <c r="F1722" s="54">
        <f>IF(_imp!$C$1724="","",INDEX(_imp!$I$4:$I$4503,_imp!$C$1724))</f>
        <v/>
      </c>
      <c r="G1722" s="54">
        <f>IF(_imp!$C$1724="","",INDEX(_imp!$J$4:$J$4503,_imp!$C$1724))</f>
        <v/>
      </c>
      <c r="K1722" s="54">
        <f>IF(_imp!$C$1724="","",INDEX(_imp!$K$4:$K$4503,_imp!$C$1724))</f>
        <v/>
      </c>
    </row>
    <row r="1723">
      <c r="A1723" s="54">
        <f>IF(_imp!$C$1725="","",INDEX(_imp!$D$4:$D$4503,_imp!$C$1725))</f>
        <v/>
      </c>
      <c r="B1723" s="54">
        <f>IF(_imp!$C$1725="","",INDEX(_imp!$E$4:$E$4503,_imp!$C$1725))</f>
        <v/>
      </c>
      <c r="C1723" s="54">
        <f>IF(_imp!$C$1725="","",INDEX(_imp!$F$4:$F$4503,_imp!$C$1725))</f>
        <v/>
      </c>
      <c r="D1723" s="54">
        <f>IF(_imp!$C$1725="","",INDEX(_imp!$G$4:$G$4503,_imp!$C$1725))</f>
        <v/>
      </c>
      <c r="E1723" s="54">
        <f>IF(_imp!$C$1725="","",INDEX(_imp!$H$4:$H$4503,_imp!$C$1725))</f>
        <v/>
      </c>
      <c r="F1723" s="54">
        <f>IF(_imp!$C$1725="","",INDEX(_imp!$I$4:$I$4503,_imp!$C$1725))</f>
        <v/>
      </c>
      <c r="G1723" s="54">
        <f>IF(_imp!$C$1725="","",INDEX(_imp!$J$4:$J$4503,_imp!$C$1725))</f>
        <v/>
      </c>
      <c r="K1723" s="54">
        <f>IF(_imp!$C$1725="","",INDEX(_imp!$K$4:$K$4503,_imp!$C$1725))</f>
        <v/>
      </c>
    </row>
    <row r="1724">
      <c r="A1724" s="54">
        <f>IF(_imp!$C$1726="","",INDEX(_imp!$D$4:$D$4503,_imp!$C$1726))</f>
        <v/>
      </c>
      <c r="B1724" s="54">
        <f>IF(_imp!$C$1726="","",INDEX(_imp!$E$4:$E$4503,_imp!$C$1726))</f>
        <v/>
      </c>
      <c r="C1724" s="54">
        <f>IF(_imp!$C$1726="","",INDEX(_imp!$F$4:$F$4503,_imp!$C$1726))</f>
        <v/>
      </c>
      <c r="D1724" s="54">
        <f>IF(_imp!$C$1726="","",INDEX(_imp!$G$4:$G$4503,_imp!$C$1726))</f>
        <v/>
      </c>
      <c r="E1724" s="54">
        <f>IF(_imp!$C$1726="","",INDEX(_imp!$H$4:$H$4503,_imp!$C$1726))</f>
        <v/>
      </c>
      <c r="F1724" s="54">
        <f>IF(_imp!$C$1726="","",INDEX(_imp!$I$4:$I$4503,_imp!$C$1726))</f>
        <v/>
      </c>
      <c r="G1724" s="54">
        <f>IF(_imp!$C$1726="","",INDEX(_imp!$J$4:$J$4503,_imp!$C$1726))</f>
        <v/>
      </c>
      <c r="K1724" s="54">
        <f>IF(_imp!$C$1726="","",INDEX(_imp!$K$4:$K$4503,_imp!$C$1726))</f>
        <v/>
      </c>
    </row>
    <row r="1725">
      <c r="A1725" s="54">
        <f>IF(_imp!$C$1727="","",INDEX(_imp!$D$4:$D$4503,_imp!$C$1727))</f>
        <v/>
      </c>
      <c r="B1725" s="54">
        <f>IF(_imp!$C$1727="","",INDEX(_imp!$E$4:$E$4503,_imp!$C$1727))</f>
        <v/>
      </c>
      <c r="C1725" s="54">
        <f>IF(_imp!$C$1727="","",INDEX(_imp!$F$4:$F$4503,_imp!$C$1727))</f>
        <v/>
      </c>
      <c r="D1725" s="54">
        <f>IF(_imp!$C$1727="","",INDEX(_imp!$G$4:$G$4503,_imp!$C$1727))</f>
        <v/>
      </c>
      <c r="E1725" s="54">
        <f>IF(_imp!$C$1727="","",INDEX(_imp!$H$4:$H$4503,_imp!$C$1727))</f>
        <v/>
      </c>
      <c r="F1725" s="54">
        <f>IF(_imp!$C$1727="","",INDEX(_imp!$I$4:$I$4503,_imp!$C$1727))</f>
        <v/>
      </c>
      <c r="G1725" s="54">
        <f>IF(_imp!$C$1727="","",INDEX(_imp!$J$4:$J$4503,_imp!$C$1727))</f>
        <v/>
      </c>
      <c r="K1725" s="54">
        <f>IF(_imp!$C$1727="","",INDEX(_imp!$K$4:$K$4503,_imp!$C$1727))</f>
        <v/>
      </c>
    </row>
    <row r="1726">
      <c r="A1726" s="54">
        <f>IF(_imp!$C$1728="","",INDEX(_imp!$D$4:$D$4503,_imp!$C$1728))</f>
        <v/>
      </c>
      <c r="B1726" s="54">
        <f>IF(_imp!$C$1728="","",INDEX(_imp!$E$4:$E$4503,_imp!$C$1728))</f>
        <v/>
      </c>
      <c r="C1726" s="54">
        <f>IF(_imp!$C$1728="","",INDEX(_imp!$F$4:$F$4503,_imp!$C$1728))</f>
        <v/>
      </c>
      <c r="D1726" s="54">
        <f>IF(_imp!$C$1728="","",INDEX(_imp!$G$4:$G$4503,_imp!$C$1728))</f>
        <v/>
      </c>
      <c r="E1726" s="54">
        <f>IF(_imp!$C$1728="","",INDEX(_imp!$H$4:$H$4503,_imp!$C$1728))</f>
        <v/>
      </c>
      <c r="F1726" s="54">
        <f>IF(_imp!$C$1728="","",INDEX(_imp!$I$4:$I$4503,_imp!$C$1728))</f>
        <v/>
      </c>
      <c r="G1726" s="54">
        <f>IF(_imp!$C$1728="","",INDEX(_imp!$J$4:$J$4503,_imp!$C$1728))</f>
        <v/>
      </c>
      <c r="K1726" s="54">
        <f>IF(_imp!$C$1728="","",INDEX(_imp!$K$4:$K$4503,_imp!$C$1728))</f>
        <v/>
      </c>
    </row>
    <row r="1727">
      <c r="A1727" s="54">
        <f>IF(_imp!$C$1729="","",INDEX(_imp!$D$4:$D$4503,_imp!$C$1729))</f>
        <v/>
      </c>
      <c r="B1727" s="54">
        <f>IF(_imp!$C$1729="","",INDEX(_imp!$E$4:$E$4503,_imp!$C$1729))</f>
        <v/>
      </c>
      <c r="C1727" s="54">
        <f>IF(_imp!$C$1729="","",INDEX(_imp!$F$4:$F$4503,_imp!$C$1729))</f>
        <v/>
      </c>
      <c r="D1727" s="54">
        <f>IF(_imp!$C$1729="","",INDEX(_imp!$G$4:$G$4503,_imp!$C$1729))</f>
        <v/>
      </c>
      <c r="E1727" s="54">
        <f>IF(_imp!$C$1729="","",INDEX(_imp!$H$4:$H$4503,_imp!$C$1729))</f>
        <v/>
      </c>
      <c r="F1727" s="54">
        <f>IF(_imp!$C$1729="","",INDEX(_imp!$I$4:$I$4503,_imp!$C$1729))</f>
        <v/>
      </c>
      <c r="G1727" s="54">
        <f>IF(_imp!$C$1729="","",INDEX(_imp!$J$4:$J$4503,_imp!$C$1729))</f>
        <v/>
      </c>
      <c r="K1727" s="54">
        <f>IF(_imp!$C$1729="","",INDEX(_imp!$K$4:$K$4503,_imp!$C$1729))</f>
        <v/>
      </c>
    </row>
    <row r="1728">
      <c r="A1728" s="54">
        <f>IF(_imp!$C$1730="","",INDEX(_imp!$D$4:$D$4503,_imp!$C$1730))</f>
        <v/>
      </c>
      <c r="B1728" s="54">
        <f>IF(_imp!$C$1730="","",INDEX(_imp!$E$4:$E$4503,_imp!$C$1730))</f>
        <v/>
      </c>
      <c r="C1728" s="54">
        <f>IF(_imp!$C$1730="","",INDEX(_imp!$F$4:$F$4503,_imp!$C$1730))</f>
        <v/>
      </c>
      <c r="D1728" s="54">
        <f>IF(_imp!$C$1730="","",INDEX(_imp!$G$4:$G$4503,_imp!$C$1730))</f>
        <v/>
      </c>
      <c r="E1728" s="54">
        <f>IF(_imp!$C$1730="","",INDEX(_imp!$H$4:$H$4503,_imp!$C$1730))</f>
        <v/>
      </c>
      <c r="F1728" s="54">
        <f>IF(_imp!$C$1730="","",INDEX(_imp!$I$4:$I$4503,_imp!$C$1730))</f>
        <v/>
      </c>
      <c r="G1728" s="54">
        <f>IF(_imp!$C$1730="","",INDEX(_imp!$J$4:$J$4503,_imp!$C$1730))</f>
        <v/>
      </c>
      <c r="K1728" s="54">
        <f>IF(_imp!$C$1730="","",INDEX(_imp!$K$4:$K$4503,_imp!$C$1730))</f>
        <v/>
      </c>
    </row>
    <row r="1729">
      <c r="A1729" s="54">
        <f>IF(_imp!$C$1731="","",INDEX(_imp!$D$4:$D$4503,_imp!$C$1731))</f>
        <v/>
      </c>
      <c r="B1729" s="54">
        <f>IF(_imp!$C$1731="","",INDEX(_imp!$E$4:$E$4503,_imp!$C$1731))</f>
        <v/>
      </c>
      <c r="C1729" s="54">
        <f>IF(_imp!$C$1731="","",INDEX(_imp!$F$4:$F$4503,_imp!$C$1731))</f>
        <v/>
      </c>
      <c r="D1729" s="54">
        <f>IF(_imp!$C$1731="","",INDEX(_imp!$G$4:$G$4503,_imp!$C$1731))</f>
        <v/>
      </c>
      <c r="E1729" s="54">
        <f>IF(_imp!$C$1731="","",INDEX(_imp!$H$4:$H$4503,_imp!$C$1731))</f>
        <v/>
      </c>
      <c r="F1729" s="54">
        <f>IF(_imp!$C$1731="","",INDEX(_imp!$I$4:$I$4503,_imp!$C$1731))</f>
        <v/>
      </c>
      <c r="G1729" s="54">
        <f>IF(_imp!$C$1731="","",INDEX(_imp!$J$4:$J$4503,_imp!$C$1731))</f>
        <v/>
      </c>
      <c r="K1729" s="54">
        <f>IF(_imp!$C$1731="","",INDEX(_imp!$K$4:$K$4503,_imp!$C$1731))</f>
        <v/>
      </c>
    </row>
    <row r="1730">
      <c r="A1730" s="54">
        <f>IF(_imp!$C$1732="","",INDEX(_imp!$D$4:$D$4503,_imp!$C$1732))</f>
        <v/>
      </c>
      <c r="B1730" s="54">
        <f>IF(_imp!$C$1732="","",INDEX(_imp!$E$4:$E$4503,_imp!$C$1732))</f>
        <v/>
      </c>
      <c r="C1730" s="54">
        <f>IF(_imp!$C$1732="","",INDEX(_imp!$F$4:$F$4503,_imp!$C$1732))</f>
        <v/>
      </c>
      <c r="D1730" s="54">
        <f>IF(_imp!$C$1732="","",INDEX(_imp!$G$4:$G$4503,_imp!$C$1732))</f>
        <v/>
      </c>
      <c r="E1730" s="54">
        <f>IF(_imp!$C$1732="","",INDEX(_imp!$H$4:$H$4503,_imp!$C$1732))</f>
        <v/>
      </c>
      <c r="F1730" s="54">
        <f>IF(_imp!$C$1732="","",INDEX(_imp!$I$4:$I$4503,_imp!$C$1732))</f>
        <v/>
      </c>
      <c r="G1730" s="54">
        <f>IF(_imp!$C$1732="","",INDEX(_imp!$J$4:$J$4503,_imp!$C$1732))</f>
        <v/>
      </c>
      <c r="K1730" s="54">
        <f>IF(_imp!$C$1732="","",INDEX(_imp!$K$4:$K$4503,_imp!$C$1732))</f>
        <v/>
      </c>
    </row>
    <row r="1731">
      <c r="A1731" s="54">
        <f>IF(_imp!$C$1733="","",INDEX(_imp!$D$4:$D$4503,_imp!$C$1733))</f>
        <v/>
      </c>
      <c r="B1731" s="54">
        <f>IF(_imp!$C$1733="","",INDEX(_imp!$E$4:$E$4503,_imp!$C$1733))</f>
        <v/>
      </c>
      <c r="C1731" s="54">
        <f>IF(_imp!$C$1733="","",INDEX(_imp!$F$4:$F$4503,_imp!$C$1733))</f>
        <v/>
      </c>
      <c r="D1731" s="54">
        <f>IF(_imp!$C$1733="","",INDEX(_imp!$G$4:$G$4503,_imp!$C$1733))</f>
        <v/>
      </c>
      <c r="E1731" s="54">
        <f>IF(_imp!$C$1733="","",INDEX(_imp!$H$4:$H$4503,_imp!$C$1733))</f>
        <v/>
      </c>
      <c r="F1731" s="54">
        <f>IF(_imp!$C$1733="","",INDEX(_imp!$I$4:$I$4503,_imp!$C$1733))</f>
        <v/>
      </c>
      <c r="G1731" s="54">
        <f>IF(_imp!$C$1733="","",INDEX(_imp!$J$4:$J$4503,_imp!$C$1733))</f>
        <v/>
      </c>
      <c r="K1731" s="54">
        <f>IF(_imp!$C$1733="","",INDEX(_imp!$K$4:$K$4503,_imp!$C$1733))</f>
        <v/>
      </c>
    </row>
    <row r="1732">
      <c r="A1732" s="54">
        <f>IF(_imp!$C$1734="","",INDEX(_imp!$D$4:$D$4503,_imp!$C$1734))</f>
        <v/>
      </c>
      <c r="B1732" s="54">
        <f>IF(_imp!$C$1734="","",INDEX(_imp!$E$4:$E$4503,_imp!$C$1734))</f>
        <v/>
      </c>
      <c r="C1732" s="54">
        <f>IF(_imp!$C$1734="","",INDEX(_imp!$F$4:$F$4503,_imp!$C$1734))</f>
        <v/>
      </c>
      <c r="D1732" s="54">
        <f>IF(_imp!$C$1734="","",INDEX(_imp!$G$4:$G$4503,_imp!$C$1734))</f>
        <v/>
      </c>
      <c r="E1732" s="54">
        <f>IF(_imp!$C$1734="","",INDEX(_imp!$H$4:$H$4503,_imp!$C$1734))</f>
        <v/>
      </c>
      <c r="F1732" s="54">
        <f>IF(_imp!$C$1734="","",INDEX(_imp!$I$4:$I$4503,_imp!$C$1734))</f>
        <v/>
      </c>
      <c r="G1732" s="54">
        <f>IF(_imp!$C$1734="","",INDEX(_imp!$J$4:$J$4503,_imp!$C$1734))</f>
        <v/>
      </c>
      <c r="K1732" s="54">
        <f>IF(_imp!$C$1734="","",INDEX(_imp!$K$4:$K$4503,_imp!$C$1734))</f>
        <v/>
      </c>
    </row>
    <row r="1733">
      <c r="A1733" s="54">
        <f>IF(_imp!$C$1735="","",INDEX(_imp!$D$4:$D$4503,_imp!$C$1735))</f>
        <v/>
      </c>
      <c r="B1733" s="54">
        <f>IF(_imp!$C$1735="","",INDEX(_imp!$E$4:$E$4503,_imp!$C$1735))</f>
        <v/>
      </c>
      <c r="C1733" s="54">
        <f>IF(_imp!$C$1735="","",INDEX(_imp!$F$4:$F$4503,_imp!$C$1735))</f>
        <v/>
      </c>
      <c r="D1733" s="54">
        <f>IF(_imp!$C$1735="","",INDEX(_imp!$G$4:$G$4503,_imp!$C$1735))</f>
        <v/>
      </c>
      <c r="E1733" s="54">
        <f>IF(_imp!$C$1735="","",INDEX(_imp!$H$4:$H$4503,_imp!$C$1735))</f>
        <v/>
      </c>
      <c r="F1733" s="54">
        <f>IF(_imp!$C$1735="","",INDEX(_imp!$I$4:$I$4503,_imp!$C$1735))</f>
        <v/>
      </c>
      <c r="G1733" s="54">
        <f>IF(_imp!$C$1735="","",INDEX(_imp!$J$4:$J$4503,_imp!$C$1735))</f>
        <v/>
      </c>
      <c r="K1733" s="54">
        <f>IF(_imp!$C$1735="","",INDEX(_imp!$K$4:$K$4503,_imp!$C$1735))</f>
        <v/>
      </c>
    </row>
    <row r="1734">
      <c r="A1734" s="54">
        <f>IF(_imp!$C$1736="","",INDEX(_imp!$D$4:$D$4503,_imp!$C$1736))</f>
        <v/>
      </c>
      <c r="B1734" s="54">
        <f>IF(_imp!$C$1736="","",INDEX(_imp!$E$4:$E$4503,_imp!$C$1736))</f>
        <v/>
      </c>
      <c r="C1734" s="54">
        <f>IF(_imp!$C$1736="","",INDEX(_imp!$F$4:$F$4503,_imp!$C$1736))</f>
        <v/>
      </c>
      <c r="D1734" s="54">
        <f>IF(_imp!$C$1736="","",INDEX(_imp!$G$4:$G$4503,_imp!$C$1736))</f>
        <v/>
      </c>
      <c r="E1734" s="54">
        <f>IF(_imp!$C$1736="","",INDEX(_imp!$H$4:$H$4503,_imp!$C$1736))</f>
        <v/>
      </c>
      <c r="F1734" s="54">
        <f>IF(_imp!$C$1736="","",INDEX(_imp!$I$4:$I$4503,_imp!$C$1736))</f>
        <v/>
      </c>
      <c r="G1734" s="54">
        <f>IF(_imp!$C$1736="","",INDEX(_imp!$J$4:$J$4503,_imp!$C$1736))</f>
        <v/>
      </c>
      <c r="K1734" s="54">
        <f>IF(_imp!$C$1736="","",INDEX(_imp!$K$4:$K$4503,_imp!$C$1736))</f>
        <v/>
      </c>
    </row>
    <row r="1735">
      <c r="A1735" s="54">
        <f>IF(_imp!$C$1737="","",INDEX(_imp!$D$4:$D$4503,_imp!$C$1737))</f>
        <v/>
      </c>
      <c r="B1735" s="54">
        <f>IF(_imp!$C$1737="","",INDEX(_imp!$E$4:$E$4503,_imp!$C$1737))</f>
        <v/>
      </c>
      <c r="C1735" s="54">
        <f>IF(_imp!$C$1737="","",INDEX(_imp!$F$4:$F$4503,_imp!$C$1737))</f>
        <v/>
      </c>
      <c r="D1735" s="54">
        <f>IF(_imp!$C$1737="","",INDEX(_imp!$G$4:$G$4503,_imp!$C$1737))</f>
        <v/>
      </c>
      <c r="E1735" s="54">
        <f>IF(_imp!$C$1737="","",INDEX(_imp!$H$4:$H$4503,_imp!$C$1737))</f>
        <v/>
      </c>
      <c r="F1735" s="54">
        <f>IF(_imp!$C$1737="","",INDEX(_imp!$I$4:$I$4503,_imp!$C$1737))</f>
        <v/>
      </c>
      <c r="G1735" s="54">
        <f>IF(_imp!$C$1737="","",INDEX(_imp!$J$4:$J$4503,_imp!$C$1737))</f>
        <v/>
      </c>
      <c r="K1735" s="54">
        <f>IF(_imp!$C$1737="","",INDEX(_imp!$K$4:$K$4503,_imp!$C$1737))</f>
        <v/>
      </c>
    </row>
    <row r="1736">
      <c r="A1736" s="54">
        <f>IF(_imp!$C$1738="","",INDEX(_imp!$D$4:$D$4503,_imp!$C$1738))</f>
        <v/>
      </c>
      <c r="B1736" s="54">
        <f>IF(_imp!$C$1738="","",INDEX(_imp!$E$4:$E$4503,_imp!$C$1738))</f>
        <v/>
      </c>
      <c r="C1736" s="54">
        <f>IF(_imp!$C$1738="","",INDEX(_imp!$F$4:$F$4503,_imp!$C$1738))</f>
        <v/>
      </c>
      <c r="D1736" s="54">
        <f>IF(_imp!$C$1738="","",INDEX(_imp!$G$4:$G$4503,_imp!$C$1738))</f>
        <v/>
      </c>
      <c r="E1736" s="54">
        <f>IF(_imp!$C$1738="","",INDEX(_imp!$H$4:$H$4503,_imp!$C$1738))</f>
        <v/>
      </c>
      <c r="F1736" s="54">
        <f>IF(_imp!$C$1738="","",INDEX(_imp!$I$4:$I$4503,_imp!$C$1738))</f>
        <v/>
      </c>
      <c r="G1736" s="54">
        <f>IF(_imp!$C$1738="","",INDEX(_imp!$J$4:$J$4503,_imp!$C$1738))</f>
        <v/>
      </c>
      <c r="K1736" s="54">
        <f>IF(_imp!$C$1738="","",INDEX(_imp!$K$4:$K$4503,_imp!$C$1738))</f>
        <v/>
      </c>
    </row>
    <row r="1737">
      <c r="A1737" s="54">
        <f>IF(_imp!$C$1739="","",INDEX(_imp!$D$4:$D$4503,_imp!$C$1739))</f>
        <v/>
      </c>
      <c r="B1737" s="54">
        <f>IF(_imp!$C$1739="","",INDEX(_imp!$E$4:$E$4503,_imp!$C$1739))</f>
        <v/>
      </c>
      <c r="C1737" s="54">
        <f>IF(_imp!$C$1739="","",INDEX(_imp!$F$4:$F$4503,_imp!$C$1739))</f>
        <v/>
      </c>
      <c r="D1737" s="54">
        <f>IF(_imp!$C$1739="","",INDEX(_imp!$G$4:$G$4503,_imp!$C$1739))</f>
        <v/>
      </c>
      <c r="E1737" s="54">
        <f>IF(_imp!$C$1739="","",INDEX(_imp!$H$4:$H$4503,_imp!$C$1739))</f>
        <v/>
      </c>
      <c r="F1737" s="54">
        <f>IF(_imp!$C$1739="","",INDEX(_imp!$I$4:$I$4503,_imp!$C$1739))</f>
        <v/>
      </c>
      <c r="G1737" s="54">
        <f>IF(_imp!$C$1739="","",INDEX(_imp!$J$4:$J$4503,_imp!$C$1739))</f>
        <v/>
      </c>
      <c r="K1737" s="54">
        <f>IF(_imp!$C$1739="","",INDEX(_imp!$K$4:$K$4503,_imp!$C$1739))</f>
        <v/>
      </c>
    </row>
    <row r="1738">
      <c r="A1738" s="54">
        <f>IF(_imp!$C$1740="","",INDEX(_imp!$D$4:$D$4503,_imp!$C$1740))</f>
        <v/>
      </c>
      <c r="B1738" s="54">
        <f>IF(_imp!$C$1740="","",INDEX(_imp!$E$4:$E$4503,_imp!$C$1740))</f>
        <v/>
      </c>
      <c r="C1738" s="54">
        <f>IF(_imp!$C$1740="","",INDEX(_imp!$F$4:$F$4503,_imp!$C$1740))</f>
        <v/>
      </c>
      <c r="D1738" s="54">
        <f>IF(_imp!$C$1740="","",INDEX(_imp!$G$4:$G$4503,_imp!$C$1740))</f>
        <v/>
      </c>
      <c r="E1738" s="54">
        <f>IF(_imp!$C$1740="","",INDEX(_imp!$H$4:$H$4503,_imp!$C$1740))</f>
        <v/>
      </c>
      <c r="F1738" s="54">
        <f>IF(_imp!$C$1740="","",INDEX(_imp!$I$4:$I$4503,_imp!$C$1740))</f>
        <v/>
      </c>
      <c r="G1738" s="54">
        <f>IF(_imp!$C$1740="","",INDEX(_imp!$J$4:$J$4503,_imp!$C$1740))</f>
        <v/>
      </c>
      <c r="K1738" s="54">
        <f>IF(_imp!$C$1740="","",INDEX(_imp!$K$4:$K$4503,_imp!$C$1740))</f>
        <v/>
      </c>
    </row>
    <row r="1739">
      <c r="A1739" s="54">
        <f>IF(_imp!$C$1741="","",INDEX(_imp!$D$4:$D$4503,_imp!$C$1741))</f>
        <v/>
      </c>
      <c r="B1739" s="54">
        <f>IF(_imp!$C$1741="","",INDEX(_imp!$E$4:$E$4503,_imp!$C$1741))</f>
        <v/>
      </c>
      <c r="C1739" s="54">
        <f>IF(_imp!$C$1741="","",INDEX(_imp!$F$4:$F$4503,_imp!$C$1741))</f>
        <v/>
      </c>
      <c r="D1739" s="54">
        <f>IF(_imp!$C$1741="","",INDEX(_imp!$G$4:$G$4503,_imp!$C$1741))</f>
        <v/>
      </c>
      <c r="E1739" s="54">
        <f>IF(_imp!$C$1741="","",INDEX(_imp!$H$4:$H$4503,_imp!$C$1741))</f>
        <v/>
      </c>
      <c r="F1739" s="54">
        <f>IF(_imp!$C$1741="","",INDEX(_imp!$I$4:$I$4503,_imp!$C$1741))</f>
        <v/>
      </c>
      <c r="G1739" s="54">
        <f>IF(_imp!$C$1741="","",INDEX(_imp!$J$4:$J$4503,_imp!$C$1741))</f>
        <v/>
      </c>
      <c r="K1739" s="54">
        <f>IF(_imp!$C$1741="","",INDEX(_imp!$K$4:$K$4503,_imp!$C$1741))</f>
        <v/>
      </c>
    </row>
    <row r="1740">
      <c r="A1740" s="54">
        <f>IF(_imp!$C$1742="","",INDEX(_imp!$D$4:$D$4503,_imp!$C$1742))</f>
        <v/>
      </c>
      <c r="B1740" s="54">
        <f>IF(_imp!$C$1742="","",INDEX(_imp!$E$4:$E$4503,_imp!$C$1742))</f>
        <v/>
      </c>
      <c r="C1740" s="54">
        <f>IF(_imp!$C$1742="","",INDEX(_imp!$F$4:$F$4503,_imp!$C$1742))</f>
        <v/>
      </c>
      <c r="D1740" s="54">
        <f>IF(_imp!$C$1742="","",INDEX(_imp!$G$4:$G$4503,_imp!$C$1742))</f>
        <v/>
      </c>
      <c r="E1740" s="54">
        <f>IF(_imp!$C$1742="","",INDEX(_imp!$H$4:$H$4503,_imp!$C$1742))</f>
        <v/>
      </c>
      <c r="F1740" s="54">
        <f>IF(_imp!$C$1742="","",INDEX(_imp!$I$4:$I$4503,_imp!$C$1742))</f>
        <v/>
      </c>
      <c r="G1740" s="54">
        <f>IF(_imp!$C$1742="","",INDEX(_imp!$J$4:$J$4503,_imp!$C$1742))</f>
        <v/>
      </c>
      <c r="K1740" s="54">
        <f>IF(_imp!$C$1742="","",INDEX(_imp!$K$4:$K$4503,_imp!$C$1742))</f>
        <v/>
      </c>
    </row>
    <row r="1741">
      <c r="A1741" s="54">
        <f>IF(_imp!$C$1743="","",INDEX(_imp!$D$4:$D$4503,_imp!$C$1743))</f>
        <v/>
      </c>
      <c r="B1741" s="54">
        <f>IF(_imp!$C$1743="","",INDEX(_imp!$E$4:$E$4503,_imp!$C$1743))</f>
        <v/>
      </c>
      <c r="C1741" s="54">
        <f>IF(_imp!$C$1743="","",INDEX(_imp!$F$4:$F$4503,_imp!$C$1743))</f>
        <v/>
      </c>
      <c r="D1741" s="54">
        <f>IF(_imp!$C$1743="","",INDEX(_imp!$G$4:$G$4503,_imp!$C$1743))</f>
        <v/>
      </c>
      <c r="E1741" s="54">
        <f>IF(_imp!$C$1743="","",INDEX(_imp!$H$4:$H$4503,_imp!$C$1743))</f>
        <v/>
      </c>
      <c r="F1741" s="54">
        <f>IF(_imp!$C$1743="","",INDEX(_imp!$I$4:$I$4503,_imp!$C$1743))</f>
        <v/>
      </c>
      <c r="G1741" s="54">
        <f>IF(_imp!$C$1743="","",INDEX(_imp!$J$4:$J$4503,_imp!$C$1743))</f>
        <v/>
      </c>
      <c r="K1741" s="54">
        <f>IF(_imp!$C$1743="","",INDEX(_imp!$K$4:$K$4503,_imp!$C$1743))</f>
        <v/>
      </c>
    </row>
    <row r="1742">
      <c r="A1742" s="54">
        <f>IF(_imp!$C$1744="","",INDEX(_imp!$D$4:$D$4503,_imp!$C$1744))</f>
        <v/>
      </c>
      <c r="B1742" s="54">
        <f>IF(_imp!$C$1744="","",INDEX(_imp!$E$4:$E$4503,_imp!$C$1744))</f>
        <v/>
      </c>
      <c r="C1742" s="54">
        <f>IF(_imp!$C$1744="","",INDEX(_imp!$F$4:$F$4503,_imp!$C$1744))</f>
        <v/>
      </c>
      <c r="D1742" s="54">
        <f>IF(_imp!$C$1744="","",INDEX(_imp!$G$4:$G$4503,_imp!$C$1744))</f>
        <v/>
      </c>
      <c r="E1742" s="54">
        <f>IF(_imp!$C$1744="","",INDEX(_imp!$H$4:$H$4503,_imp!$C$1744))</f>
        <v/>
      </c>
      <c r="F1742" s="54">
        <f>IF(_imp!$C$1744="","",INDEX(_imp!$I$4:$I$4503,_imp!$C$1744))</f>
        <v/>
      </c>
      <c r="G1742" s="54">
        <f>IF(_imp!$C$1744="","",INDEX(_imp!$J$4:$J$4503,_imp!$C$1744))</f>
        <v/>
      </c>
      <c r="K1742" s="54">
        <f>IF(_imp!$C$1744="","",INDEX(_imp!$K$4:$K$4503,_imp!$C$1744))</f>
        <v/>
      </c>
    </row>
    <row r="1743">
      <c r="A1743" s="54">
        <f>IF(_imp!$C$1745="","",INDEX(_imp!$D$4:$D$4503,_imp!$C$1745))</f>
        <v/>
      </c>
      <c r="B1743" s="54">
        <f>IF(_imp!$C$1745="","",INDEX(_imp!$E$4:$E$4503,_imp!$C$1745))</f>
        <v/>
      </c>
      <c r="C1743" s="54">
        <f>IF(_imp!$C$1745="","",INDEX(_imp!$F$4:$F$4503,_imp!$C$1745))</f>
        <v/>
      </c>
      <c r="D1743" s="54">
        <f>IF(_imp!$C$1745="","",INDEX(_imp!$G$4:$G$4503,_imp!$C$1745))</f>
        <v/>
      </c>
      <c r="E1743" s="54">
        <f>IF(_imp!$C$1745="","",INDEX(_imp!$H$4:$H$4503,_imp!$C$1745))</f>
        <v/>
      </c>
      <c r="F1743" s="54">
        <f>IF(_imp!$C$1745="","",INDEX(_imp!$I$4:$I$4503,_imp!$C$1745))</f>
        <v/>
      </c>
      <c r="G1743" s="54">
        <f>IF(_imp!$C$1745="","",INDEX(_imp!$J$4:$J$4503,_imp!$C$1745))</f>
        <v/>
      </c>
      <c r="K1743" s="54">
        <f>IF(_imp!$C$1745="","",INDEX(_imp!$K$4:$K$4503,_imp!$C$1745))</f>
        <v/>
      </c>
    </row>
    <row r="1744">
      <c r="A1744" s="54">
        <f>IF(_imp!$C$1746="","",INDEX(_imp!$D$4:$D$4503,_imp!$C$1746))</f>
        <v/>
      </c>
      <c r="B1744" s="54">
        <f>IF(_imp!$C$1746="","",INDEX(_imp!$E$4:$E$4503,_imp!$C$1746))</f>
        <v/>
      </c>
      <c r="C1744" s="54">
        <f>IF(_imp!$C$1746="","",INDEX(_imp!$F$4:$F$4503,_imp!$C$1746))</f>
        <v/>
      </c>
      <c r="D1744" s="54">
        <f>IF(_imp!$C$1746="","",INDEX(_imp!$G$4:$G$4503,_imp!$C$1746))</f>
        <v/>
      </c>
      <c r="E1744" s="54">
        <f>IF(_imp!$C$1746="","",INDEX(_imp!$H$4:$H$4503,_imp!$C$1746))</f>
        <v/>
      </c>
      <c r="F1744" s="54">
        <f>IF(_imp!$C$1746="","",INDEX(_imp!$I$4:$I$4503,_imp!$C$1746))</f>
        <v/>
      </c>
      <c r="G1744" s="54">
        <f>IF(_imp!$C$1746="","",INDEX(_imp!$J$4:$J$4503,_imp!$C$1746))</f>
        <v/>
      </c>
      <c r="K1744" s="54">
        <f>IF(_imp!$C$1746="","",INDEX(_imp!$K$4:$K$4503,_imp!$C$1746))</f>
        <v/>
      </c>
    </row>
    <row r="1745">
      <c r="A1745" s="54">
        <f>IF(_imp!$C$1747="","",INDEX(_imp!$D$4:$D$4503,_imp!$C$1747))</f>
        <v/>
      </c>
      <c r="B1745" s="54">
        <f>IF(_imp!$C$1747="","",INDEX(_imp!$E$4:$E$4503,_imp!$C$1747))</f>
        <v/>
      </c>
      <c r="C1745" s="54">
        <f>IF(_imp!$C$1747="","",INDEX(_imp!$F$4:$F$4503,_imp!$C$1747))</f>
        <v/>
      </c>
      <c r="D1745" s="54">
        <f>IF(_imp!$C$1747="","",INDEX(_imp!$G$4:$G$4503,_imp!$C$1747))</f>
        <v/>
      </c>
      <c r="E1745" s="54">
        <f>IF(_imp!$C$1747="","",INDEX(_imp!$H$4:$H$4503,_imp!$C$1747))</f>
        <v/>
      </c>
      <c r="F1745" s="54">
        <f>IF(_imp!$C$1747="","",INDEX(_imp!$I$4:$I$4503,_imp!$C$1747))</f>
        <v/>
      </c>
      <c r="G1745" s="54">
        <f>IF(_imp!$C$1747="","",INDEX(_imp!$J$4:$J$4503,_imp!$C$1747))</f>
        <v/>
      </c>
      <c r="K1745" s="54">
        <f>IF(_imp!$C$1747="","",INDEX(_imp!$K$4:$K$4503,_imp!$C$1747))</f>
        <v/>
      </c>
    </row>
    <row r="1746">
      <c r="A1746" s="54">
        <f>IF(_imp!$C$1748="","",INDEX(_imp!$D$4:$D$4503,_imp!$C$1748))</f>
        <v/>
      </c>
      <c r="B1746" s="54">
        <f>IF(_imp!$C$1748="","",INDEX(_imp!$E$4:$E$4503,_imp!$C$1748))</f>
        <v/>
      </c>
      <c r="C1746" s="54">
        <f>IF(_imp!$C$1748="","",INDEX(_imp!$F$4:$F$4503,_imp!$C$1748))</f>
        <v/>
      </c>
      <c r="D1746" s="54">
        <f>IF(_imp!$C$1748="","",INDEX(_imp!$G$4:$G$4503,_imp!$C$1748))</f>
        <v/>
      </c>
      <c r="E1746" s="54">
        <f>IF(_imp!$C$1748="","",INDEX(_imp!$H$4:$H$4503,_imp!$C$1748))</f>
        <v/>
      </c>
      <c r="F1746" s="54">
        <f>IF(_imp!$C$1748="","",INDEX(_imp!$I$4:$I$4503,_imp!$C$1748))</f>
        <v/>
      </c>
      <c r="G1746" s="54">
        <f>IF(_imp!$C$1748="","",INDEX(_imp!$J$4:$J$4503,_imp!$C$1748))</f>
        <v/>
      </c>
      <c r="K1746" s="54">
        <f>IF(_imp!$C$1748="","",INDEX(_imp!$K$4:$K$4503,_imp!$C$1748))</f>
        <v/>
      </c>
    </row>
    <row r="1747">
      <c r="A1747" s="54">
        <f>IF(_imp!$C$1749="","",INDEX(_imp!$D$4:$D$4503,_imp!$C$1749))</f>
        <v/>
      </c>
      <c r="B1747" s="54">
        <f>IF(_imp!$C$1749="","",INDEX(_imp!$E$4:$E$4503,_imp!$C$1749))</f>
        <v/>
      </c>
      <c r="C1747" s="54">
        <f>IF(_imp!$C$1749="","",INDEX(_imp!$F$4:$F$4503,_imp!$C$1749))</f>
        <v/>
      </c>
      <c r="D1747" s="54">
        <f>IF(_imp!$C$1749="","",INDEX(_imp!$G$4:$G$4503,_imp!$C$1749))</f>
        <v/>
      </c>
      <c r="E1747" s="54">
        <f>IF(_imp!$C$1749="","",INDEX(_imp!$H$4:$H$4503,_imp!$C$1749))</f>
        <v/>
      </c>
      <c r="F1747" s="54">
        <f>IF(_imp!$C$1749="","",INDEX(_imp!$I$4:$I$4503,_imp!$C$1749))</f>
        <v/>
      </c>
      <c r="G1747" s="54">
        <f>IF(_imp!$C$1749="","",INDEX(_imp!$J$4:$J$4503,_imp!$C$1749))</f>
        <v/>
      </c>
      <c r="K1747" s="54">
        <f>IF(_imp!$C$1749="","",INDEX(_imp!$K$4:$K$4503,_imp!$C$1749))</f>
        <v/>
      </c>
    </row>
    <row r="1748">
      <c r="A1748" s="54">
        <f>IF(_imp!$C$1750="","",INDEX(_imp!$D$4:$D$4503,_imp!$C$1750))</f>
        <v/>
      </c>
      <c r="B1748" s="54">
        <f>IF(_imp!$C$1750="","",INDEX(_imp!$E$4:$E$4503,_imp!$C$1750))</f>
        <v/>
      </c>
      <c r="C1748" s="54">
        <f>IF(_imp!$C$1750="","",INDEX(_imp!$F$4:$F$4503,_imp!$C$1750))</f>
        <v/>
      </c>
      <c r="D1748" s="54">
        <f>IF(_imp!$C$1750="","",INDEX(_imp!$G$4:$G$4503,_imp!$C$1750))</f>
        <v/>
      </c>
      <c r="E1748" s="54">
        <f>IF(_imp!$C$1750="","",INDEX(_imp!$H$4:$H$4503,_imp!$C$1750))</f>
        <v/>
      </c>
      <c r="F1748" s="54">
        <f>IF(_imp!$C$1750="","",INDEX(_imp!$I$4:$I$4503,_imp!$C$1750))</f>
        <v/>
      </c>
      <c r="G1748" s="54">
        <f>IF(_imp!$C$1750="","",INDEX(_imp!$J$4:$J$4503,_imp!$C$1750))</f>
        <v/>
      </c>
      <c r="K1748" s="54">
        <f>IF(_imp!$C$1750="","",INDEX(_imp!$K$4:$K$4503,_imp!$C$1750))</f>
        <v/>
      </c>
    </row>
    <row r="1749">
      <c r="A1749" s="54">
        <f>IF(_imp!$C$1751="","",INDEX(_imp!$D$4:$D$4503,_imp!$C$1751))</f>
        <v/>
      </c>
      <c r="B1749" s="54">
        <f>IF(_imp!$C$1751="","",INDEX(_imp!$E$4:$E$4503,_imp!$C$1751))</f>
        <v/>
      </c>
      <c r="C1749" s="54">
        <f>IF(_imp!$C$1751="","",INDEX(_imp!$F$4:$F$4503,_imp!$C$1751))</f>
        <v/>
      </c>
      <c r="D1749" s="54">
        <f>IF(_imp!$C$1751="","",INDEX(_imp!$G$4:$G$4503,_imp!$C$1751))</f>
        <v/>
      </c>
      <c r="E1749" s="54">
        <f>IF(_imp!$C$1751="","",INDEX(_imp!$H$4:$H$4503,_imp!$C$1751))</f>
        <v/>
      </c>
      <c r="F1749" s="54">
        <f>IF(_imp!$C$1751="","",INDEX(_imp!$I$4:$I$4503,_imp!$C$1751))</f>
        <v/>
      </c>
      <c r="G1749" s="54">
        <f>IF(_imp!$C$1751="","",INDEX(_imp!$J$4:$J$4503,_imp!$C$1751))</f>
        <v/>
      </c>
      <c r="K1749" s="54">
        <f>IF(_imp!$C$1751="","",INDEX(_imp!$K$4:$K$4503,_imp!$C$1751))</f>
        <v/>
      </c>
    </row>
    <row r="1750">
      <c r="A1750" s="54">
        <f>IF(_imp!$C$1752="","",INDEX(_imp!$D$4:$D$4503,_imp!$C$1752))</f>
        <v/>
      </c>
      <c r="B1750" s="54">
        <f>IF(_imp!$C$1752="","",INDEX(_imp!$E$4:$E$4503,_imp!$C$1752))</f>
        <v/>
      </c>
      <c r="C1750" s="54">
        <f>IF(_imp!$C$1752="","",INDEX(_imp!$F$4:$F$4503,_imp!$C$1752))</f>
        <v/>
      </c>
      <c r="D1750" s="54">
        <f>IF(_imp!$C$1752="","",INDEX(_imp!$G$4:$G$4503,_imp!$C$1752))</f>
        <v/>
      </c>
      <c r="E1750" s="54">
        <f>IF(_imp!$C$1752="","",INDEX(_imp!$H$4:$H$4503,_imp!$C$1752))</f>
        <v/>
      </c>
      <c r="F1750" s="54">
        <f>IF(_imp!$C$1752="","",INDEX(_imp!$I$4:$I$4503,_imp!$C$1752))</f>
        <v/>
      </c>
      <c r="G1750" s="54">
        <f>IF(_imp!$C$1752="","",INDEX(_imp!$J$4:$J$4503,_imp!$C$1752))</f>
        <v/>
      </c>
      <c r="K1750" s="54">
        <f>IF(_imp!$C$1752="","",INDEX(_imp!$K$4:$K$4503,_imp!$C$1752))</f>
        <v/>
      </c>
    </row>
    <row r="1751">
      <c r="A1751" s="54">
        <f>IF(_imp!$C$1753="","",INDEX(_imp!$D$4:$D$4503,_imp!$C$1753))</f>
        <v/>
      </c>
      <c r="B1751" s="54">
        <f>IF(_imp!$C$1753="","",INDEX(_imp!$E$4:$E$4503,_imp!$C$1753))</f>
        <v/>
      </c>
      <c r="C1751" s="54">
        <f>IF(_imp!$C$1753="","",INDEX(_imp!$F$4:$F$4503,_imp!$C$1753))</f>
        <v/>
      </c>
      <c r="D1751" s="54">
        <f>IF(_imp!$C$1753="","",INDEX(_imp!$G$4:$G$4503,_imp!$C$1753))</f>
        <v/>
      </c>
      <c r="E1751" s="54">
        <f>IF(_imp!$C$1753="","",INDEX(_imp!$H$4:$H$4503,_imp!$C$1753))</f>
        <v/>
      </c>
      <c r="F1751" s="54">
        <f>IF(_imp!$C$1753="","",INDEX(_imp!$I$4:$I$4503,_imp!$C$1753))</f>
        <v/>
      </c>
      <c r="G1751" s="54">
        <f>IF(_imp!$C$1753="","",INDEX(_imp!$J$4:$J$4503,_imp!$C$1753))</f>
        <v/>
      </c>
      <c r="K1751" s="54">
        <f>IF(_imp!$C$1753="","",INDEX(_imp!$K$4:$K$4503,_imp!$C$1753))</f>
        <v/>
      </c>
    </row>
    <row r="1752">
      <c r="A1752" s="54">
        <f>IF(_imp!$C$1754="","",INDEX(_imp!$D$4:$D$4503,_imp!$C$1754))</f>
        <v/>
      </c>
      <c r="B1752" s="54">
        <f>IF(_imp!$C$1754="","",INDEX(_imp!$E$4:$E$4503,_imp!$C$1754))</f>
        <v/>
      </c>
      <c r="C1752" s="54">
        <f>IF(_imp!$C$1754="","",INDEX(_imp!$F$4:$F$4503,_imp!$C$1754))</f>
        <v/>
      </c>
      <c r="D1752" s="54">
        <f>IF(_imp!$C$1754="","",INDEX(_imp!$G$4:$G$4503,_imp!$C$1754))</f>
        <v/>
      </c>
      <c r="E1752" s="54">
        <f>IF(_imp!$C$1754="","",INDEX(_imp!$H$4:$H$4503,_imp!$C$1754))</f>
        <v/>
      </c>
      <c r="F1752" s="54">
        <f>IF(_imp!$C$1754="","",INDEX(_imp!$I$4:$I$4503,_imp!$C$1754))</f>
        <v/>
      </c>
      <c r="G1752" s="54">
        <f>IF(_imp!$C$1754="","",INDEX(_imp!$J$4:$J$4503,_imp!$C$1754))</f>
        <v/>
      </c>
      <c r="K1752" s="54">
        <f>IF(_imp!$C$1754="","",INDEX(_imp!$K$4:$K$4503,_imp!$C$1754))</f>
        <v/>
      </c>
    </row>
    <row r="1753">
      <c r="A1753" s="54">
        <f>IF(_imp!$C$1755="","",INDEX(_imp!$D$4:$D$4503,_imp!$C$1755))</f>
        <v/>
      </c>
      <c r="B1753" s="54">
        <f>IF(_imp!$C$1755="","",INDEX(_imp!$E$4:$E$4503,_imp!$C$1755))</f>
        <v/>
      </c>
      <c r="C1753" s="54">
        <f>IF(_imp!$C$1755="","",INDEX(_imp!$F$4:$F$4503,_imp!$C$1755))</f>
        <v/>
      </c>
      <c r="D1753" s="54">
        <f>IF(_imp!$C$1755="","",INDEX(_imp!$G$4:$G$4503,_imp!$C$1755))</f>
        <v/>
      </c>
      <c r="E1753" s="54">
        <f>IF(_imp!$C$1755="","",INDEX(_imp!$H$4:$H$4503,_imp!$C$1755))</f>
        <v/>
      </c>
      <c r="F1753" s="54">
        <f>IF(_imp!$C$1755="","",INDEX(_imp!$I$4:$I$4503,_imp!$C$1755))</f>
        <v/>
      </c>
      <c r="G1753" s="54">
        <f>IF(_imp!$C$1755="","",INDEX(_imp!$J$4:$J$4503,_imp!$C$1755))</f>
        <v/>
      </c>
      <c r="K1753" s="54">
        <f>IF(_imp!$C$1755="","",INDEX(_imp!$K$4:$K$4503,_imp!$C$1755))</f>
        <v/>
      </c>
    </row>
    <row r="1754">
      <c r="A1754" s="54">
        <f>IF(_imp!$C$1756="","",INDEX(_imp!$D$4:$D$4503,_imp!$C$1756))</f>
        <v/>
      </c>
      <c r="B1754" s="54">
        <f>IF(_imp!$C$1756="","",INDEX(_imp!$E$4:$E$4503,_imp!$C$1756))</f>
        <v/>
      </c>
      <c r="C1754" s="54">
        <f>IF(_imp!$C$1756="","",INDEX(_imp!$F$4:$F$4503,_imp!$C$1756))</f>
        <v/>
      </c>
      <c r="D1754" s="54">
        <f>IF(_imp!$C$1756="","",INDEX(_imp!$G$4:$G$4503,_imp!$C$1756))</f>
        <v/>
      </c>
      <c r="E1754" s="54">
        <f>IF(_imp!$C$1756="","",INDEX(_imp!$H$4:$H$4503,_imp!$C$1756))</f>
        <v/>
      </c>
      <c r="F1754" s="54">
        <f>IF(_imp!$C$1756="","",INDEX(_imp!$I$4:$I$4503,_imp!$C$1756))</f>
        <v/>
      </c>
      <c r="G1754" s="54">
        <f>IF(_imp!$C$1756="","",INDEX(_imp!$J$4:$J$4503,_imp!$C$1756))</f>
        <v/>
      </c>
      <c r="K1754" s="54">
        <f>IF(_imp!$C$1756="","",INDEX(_imp!$K$4:$K$4503,_imp!$C$1756))</f>
        <v/>
      </c>
    </row>
    <row r="1755">
      <c r="A1755" s="54">
        <f>IF(_imp!$C$1757="","",INDEX(_imp!$D$4:$D$4503,_imp!$C$1757))</f>
        <v/>
      </c>
      <c r="B1755" s="54">
        <f>IF(_imp!$C$1757="","",INDEX(_imp!$E$4:$E$4503,_imp!$C$1757))</f>
        <v/>
      </c>
      <c r="C1755" s="54">
        <f>IF(_imp!$C$1757="","",INDEX(_imp!$F$4:$F$4503,_imp!$C$1757))</f>
        <v/>
      </c>
      <c r="D1755" s="54">
        <f>IF(_imp!$C$1757="","",INDEX(_imp!$G$4:$G$4503,_imp!$C$1757))</f>
        <v/>
      </c>
      <c r="E1755" s="54">
        <f>IF(_imp!$C$1757="","",INDEX(_imp!$H$4:$H$4503,_imp!$C$1757))</f>
        <v/>
      </c>
      <c r="F1755" s="54">
        <f>IF(_imp!$C$1757="","",INDEX(_imp!$I$4:$I$4503,_imp!$C$1757))</f>
        <v/>
      </c>
      <c r="G1755" s="54">
        <f>IF(_imp!$C$1757="","",INDEX(_imp!$J$4:$J$4503,_imp!$C$1757))</f>
        <v/>
      </c>
      <c r="K1755" s="54">
        <f>IF(_imp!$C$1757="","",INDEX(_imp!$K$4:$K$4503,_imp!$C$1757))</f>
        <v/>
      </c>
    </row>
    <row r="1756">
      <c r="A1756" s="54">
        <f>IF(_imp!$C$1758="","",INDEX(_imp!$D$4:$D$4503,_imp!$C$1758))</f>
        <v/>
      </c>
      <c r="B1756" s="54">
        <f>IF(_imp!$C$1758="","",INDEX(_imp!$E$4:$E$4503,_imp!$C$1758))</f>
        <v/>
      </c>
      <c r="C1756" s="54">
        <f>IF(_imp!$C$1758="","",INDEX(_imp!$F$4:$F$4503,_imp!$C$1758))</f>
        <v/>
      </c>
      <c r="D1756" s="54">
        <f>IF(_imp!$C$1758="","",INDEX(_imp!$G$4:$G$4503,_imp!$C$1758))</f>
        <v/>
      </c>
      <c r="E1756" s="54">
        <f>IF(_imp!$C$1758="","",INDEX(_imp!$H$4:$H$4503,_imp!$C$1758))</f>
        <v/>
      </c>
      <c r="F1756" s="54">
        <f>IF(_imp!$C$1758="","",INDEX(_imp!$I$4:$I$4503,_imp!$C$1758))</f>
        <v/>
      </c>
      <c r="G1756" s="54">
        <f>IF(_imp!$C$1758="","",INDEX(_imp!$J$4:$J$4503,_imp!$C$1758))</f>
        <v/>
      </c>
      <c r="K1756" s="54">
        <f>IF(_imp!$C$1758="","",INDEX(_imp!$K$4:$K$4503,_imp!$C$1758))</f>
        <v/>
      </c>
    </row>
    <row r="1757">
      <c r="A1757" s="54">
        <f>IF(_imp!$C$1759="","",INDEX(_imp!$D$4:$D$4503,_imp!$C$1759))</f>
        <v/>
      </c>
      <c r="B1757" s="54">
        <f>IF(_imp!$C$1759="","",INDEX(_imp!$E$4:$E$4503,_imp!$C$1759))</f>
        <v/>
      </c>
      <c r="C1757" s="54">
        <f>IF(_imp!$C$1759="","",INDEX(_imp!$F$4:$F$4503,_imp!$C$1759))</f>
        <v/>
      </c>
      <c r="D1757" s="54">
        <f>IF(_imp!$C$1759="","",INDEX(_imp!$G$4:$G$4503,_imp!$C$1759))</f>
        <v/>
      </c>
      <c r="E1757" s="54">
        <f>IF(_imp!$C$1759="","",INDEX(_imp!$H$4:$H$4503,_imp!$C$1759))</f>
        <v/>
      </c>
      <c r="F1757" s="54">
        <f>IF(_imp!$C$1759="","",INDEX(_imp!$I$4:$I$4503,_imp!$C$1759))</f>
        <v/>
      </c>
      <c r="G1757" s="54">
        <f>IF(_imp!$C$1759="","",INDEX(_imp!$J$4:$J$4503,_imp!$C$1759))</f>
        <v/>
      </c>
      <c r="K1757" s="54">
        <f>IF(_imp!$C$1759="","",INDEX(_imp!$K$4:$K$4503,_imp!$C$1759))</f>
        <v/>
      </c>
    </row>
    <row r="1758">
      <c r="A1758" s="54">
        <f>IF(_imp!$C$1760="","",INDEX(_imp!$D$4:$D$4503,_imp!$C$1760))</f>
        <v/>
      </c>
      <c r="B1758" s="54">
        <f>IF(_imp!$C$1760="","",INDEX(_imp!$E$4:$E$4503,_imp!$C$1760))</f>
        <v/>
      </c>
      <c r="C1758" s="54">
        <f>IF(_imp!$C$1760="","",INDEX(_imp!$F$4:$F$4503,_imp!$C$1760))</f>
        <v/>
      </c>
      <c r="D1758" s="54">
        <f>IF(_imp!$C$1760="","",INDEX(_imp!$G$4:$G$4503,_imp!$C$1760))</f>
        <v/>
      </c>
      <c r="E1758" s="54">
        <f>IF(_imp!$C$1760="","",INDEX(_imp!$H$4:$H$4503,_imp!$C$1760))</f>
        <v/>
      </c>
      <c r="F1758" s="54">
        <f>IF(_imp!$C$1760="","",INDEX(_imp!$I$4:$I$4503,_imp!$C$1760))</f>
        <v/>
      </c>
      <c r="G1758" s="54">
        <f>IF(_imp!$C$1760="","",INDEX(_imp!$J$4:$J$4503,_imp!$C$1760))</f>
        <v/>
      </c>
      <c r="K1758" s="54">
        <f>IF(_imp!$C$1760="","",INDEX(_imp!$K$4:$K$4503,_imp!$C$1760))</f>
        <v/>
      </c>
    </row>
    <row r="1759">
      <c r="A1759" s="54">
        <f>IF(_imp!$C$1761="","",INDEX(_imp!$D$4:$D$4503,_imp!$C$1761))</f>
        <v/>
      </c>
      <c r="B1759" s="54">
        <f>IF(_imp!$C$1761="","",INDEX(_imp!$E$4:$E$4503,_imp!$C$1761))</f>
        <v/>
      </c>
      <c r="C1759" s="54">
        <f>IF(_imp!$C$1761="","",INDEX(_imp!$F$4:$F$4503,_imp!$C$1761))</f>
        <v/>
      </c>
      <c r="D1759" s="54">
        <f>IF(_imp!$C$1761="","",INDEX(_imp!$G$4:$G$4503,_imp!$C$1761))</f>
        <v/>
      </c>
      <c r="E1759" s="54">
        <f>IF(_imp!$C$1761="","",INDEX(_imp!$H$4:$H$4503,_imp!$C$1761))</f>
        <v/>
      </c>
      <c r="F1759" s="54">
        <f>IF(_imp!$C$1761="","",INDEX(_imp!$I$4:$I$4503,_imp!$C$1761))</f>
        <v/>
      </c>
      <c r="G1759" s="54">
        <f>IF(_imp!$C$1761="","",INDEX(_imp!$J$4:$J$4503,_imp!$C$1761))</f>
        <v/>
      </c>
      <c r="K1759" s="54">
        <f>IF(_imp!$C$1761="","",INDEX(_imp!$K$4:$K$4503,_imp!$C$1761))</f>
        <v/>
      </c>
    </row>
    <row r="1760">
      <c r="A1760" s="54">
        <f>IF(_imp!$C$1762="","",INDEX(_imp!$D$4:$D$4503,_imp!$C$1762))</f>
        <v/>
      </c>
      <c r="B1760" s="54">
        <f>IF(_imp!$C$1762="","",INDEX(_imp!$E$4:$E$4503,_imp!$C$1762))</f>
        <v/>
      </c>
      <c r="C1760" s="54">
        <f>IF(_imp!$C$1762="","",INDEX(_imp!$F$4:$F$4503,_imp!$C$1762))</f>
        <v/>
      </c>
      <c r="D1760" s="54">
        <f>IF(_imp!$C$1762="","",INDEX(_imp!$G$4:$G$4503,_imp!$C$1762))</f>
        <v/>
      </c>
      <c r="E1760" s="54">
        <f>IF(_imp!$C$1762="","",INDEX(_imp!$H$4:$H$4503,_imp!$C$1762))</f>
        <v/>
      </c>
      <c r="F1760" s="54">
        <f>IF(_imp!$C$1762="","",INDEX(_imp!$I$4:$I$4503,_imp!$C$1762))</f>
        <v/>
      </c>
      <c r="G1760" s="54">
        <f>IF(_imp!$C$1762="","",INDEX(_imp!$J$4:$J$4503,_imp!$C$1762))</f>
        <v/>
      </c>
      <c r="K1760" s="54">
        <f>IF(_imp!$C$1762="","",INDEX(_imp!$K$4:$K$4503,_imp!$C$1762))</f>
        <v/>
      </c>
    </row>
    <row r="1761">
      <c r="A1761" s="54">
        <f>IF(_imp!$C$1763="","",INDEX(_imp!$D$4:$D$4503,_imp!$C$1763))</f>
        <v/>
      </c>
      <c r="B1761" s="54">
        <f>IF(_imp!$C$1763="","",INDEX(_imp!$E$4:$E$4503,_imp!$C$1763))</f>
        <v/>
      </c>
      <c r="C1761" s="54">
        <f>IF(_imp!$C$1763="","",INDEX(_imp!$F$4:$F$4503,_imp!$C$1763))</f>
        <v/>
      </c>
      <c r="D1761" s="54">
        <f>IF(_imp!$C$1763="","",INDEX(_imp!$G$4:$G$4503,_imp!$C$1763))</f>
        <v/>
      </c>
      <c r="E1761" s="54">
        <f>IF(_imp!$C$1763="","",INDEX(_imp!$H$4:$H$4503,_imp!$C$1763))</f>
        <v/>
      </c>
      <c r="F1761" s="54">
        <f>IF(_imp!$C$1763="","",INDEX(_imp!$I$4:$I$4503,_imp!$C$1763))</f>
        <v/>
      </c>
      <c r="G1761" s="54">
        <f>IF(_imp!$C$1763="","",INDEX(_imp!$J$4:$J$4503,_imp!$C$1763))</f>
        <v/>
      </c>
      <c r="K1761" s="54">
        <f>IF(_imp!$C$1763="","",INDEX(_imp!$K$4:$K$4503,_imp!$C$1763))</f>
        <v/>
      </c>
    </row>
    <row r="1762">
      <c r="A1762" s="54">
        <f>IF(_imp!$C$1764="","",INDEX(_imp!$D$4:$D$4503,_imp!$C$1764))</f>
        <v/>
      </c>
      <c r="B1762" s="54">
        <f>IF(_imp!$C$1764="","",INDEX(_imp!$E$4:$E$4503,_imp!$C$1764))</f>
        <v/>
      </c>
      <c r="C1762" s="54">
        <f>IF(_imp!$C$1764="","",INDEX(_imp!$F$4:$F$4503,_imp!$C$1764))</f>
        <v/>
      </c>
      <c r="D1762" s="54">
        <f>IF(_imp!$C$1764="","",INDEX(_imp!$G$4:$G$4503,_imp!$C$1764))</f>
        <v/>
      </c>
      <c r="E1762" s="54">
        <f>IF(_imp!$C$1764="","",INDEX(_imp!$H$4:$H$4503,_imp!$C$1764))</f>
        <v/>
      </c>
      <c r="F1762" s="54">
        <f>IF(_imp!$C$1764="","",INDEX(_imp!$I$4:$I$4503,_imp!$C$1764))</f>
        <v/>
      </c>
      <c r="G1762" s="54">
        <f>IF(_imp!$C$1764="","",INDEX(_imp!$J$4:$J$4503,_imp!$C$1764))</f>
        <v/>
      </c>
      <c r="K1762" s="54">
        <f>IF(_imp!$C$1764="","",INDEX(_imp!$K$4:$K$4503,_imp!$C$1764))</f>
        <v/>
      </c>
    </row>
    <row r="1763">
      <c r="A1763" s="54">
        <f>IF(_imp!$C$1765="","",INDEX(_imp!$D$4:$D$4503,_imp!$C$1765))</f>
        <v/>
      </c>
      <c r="B1763" s="54">
        <f>IF(_imp!$C$1765="","",INDEX(_imp!$E$4:$E$4503,_imp!$C$1765))</f>
        <v/>
      </c>
      <c r="C1763" s="54">
        <f>IF(_imp!$C$1765="","",INDEX(_imp!$F$4:$F$4503,_imp!$C$1765))</f>
        <v/>
      </c>
      <c r="D1763" s="54">
        <f>IF(_imp!$C$1765="","",INDEX(_imp!$G$4:$G$4503,_imp!$C$1765))</f>
        <v/>
      </c>
      <c r="E1763" s="54">
        <f>IF(_imp!$C$1765="","",INDEX(_imp!$H$4:$H$4503,_imp!$C$1765))</f>
        <v/>
      </c>
      <c r="F1763" s="54">
        <f>IF(_imp!$C$1765="","",INDEX(_imp!$I$4:$I$4503,_imp!$C$1765))</f>
        <v/>
      </c>
      <c r="G1763" s="54">
        <f>IF(_imp!$C$1765="","",INDEX(_imp!$J$4:$J$4503,_imp!$C$1765))</f>
        <v/>
      </c>
      <c r="K1763" s="54">
        <f>IF(_imp!$C$1765="","",INDEX(_imp!$K$4:$K$4503,_imp!$C$1765))</f>
        <v/>
      </c>
    </row>
    <row r="1764">
      <c r="A1764" s="54">
        <f>IF(_imp!$C$1766="","",INDEX(_imp!$D$4:$D$4503,_imp!$C$1766))</f>
        <v/>
      </c>
      <c r="B1764" s="54">
        <f>IF(_imp!$C$1766="","",INDEX(_imp!$E$4:$E$4503,_imp!$C$1766))</f>
        <v/>
      </c>
      <c r="C1764" s="54">
        <f>IF(_imp!$C$1766="","",INDEX(_imp!$F$4:$F$4503,_imp!$C$1766))</f>
        <v/>
      </c>
      <c r="D1764" s="54">
        <f>IF(_imp!$C$1766="","",INDEX(_imp!$G$4:$G$4503,_imp!$C$1766))</f>
        <v/>
      </c>
      <c r="E1764" s="54">
        <f>IF(_imp!$C$1766="","",INDEX(_imp!$H$4:$H$4503,_imp!$C$1766))</f>
        <v/>
      </c>
      <c r="F1764" s="54">
        <f>IF(_imp!$C$1766="","",INDEX(_imp!$I$4:$I$4503,_imp!$C$1766))</f>
        <v/>
      </c>
      <c r="G1764" s="54">
        <f>IF(_imp!$C$1766="","",INDEX(_imp!$J$4:$J$4503,_imp!$C$1766))</f>
        <v/>
      </c>
      <c r="K1764" s="54">
        <f>IF(_imp!$C$1766="","",INDEX(_imp!$K$4:$K$4503,_imp!$C$1766))</f>
        <v/>
      </c>
    </row>
    <row r="1765">
      <c r="A1765" s="54">
        <f>IF(_imp!$C$1767="","",INDEX(_imp!$D$4:$D$4503,_imp!$C$1767))</f>
        <v/>
      </c>
      <c r="B1765" s="54">
        <f>IF(_imp!$C$1767="","",INDEX(_imp!$E$4:$E$4503,_imp!$C$1767))</f>
        <v/>
      </c>
      <c r="C1765" s="54">
        <f>IF(_imp!$C$1767="","",INDEX(_imp!$F$4:$F$4503,_imp!$C$1767))</f>
        <v/>
      </c>
      <c r="D1765" s="54">
        <f>IF(_imp!$C$1767="","",INDEX(_imp!$G$4:$G$4503,_imp!$C$1767))</f>
        <v/>
      </c>
      <c r="E1765" s="54">
        <f>IF(_imp!$C$1767="","",INDEX(_imp!$H$4:$H$4503,_imp!$C$1767))</f>
        <v/>
      </c>
      <c r="F1765" s="54">
        <f>IF(_imp!$C$1767="","",INDEX(_imp!$I$4:$I$4503,_imp!$C$1767))</f>
        <v/>
      </c>
      <c r="G1765" s="54">
        <f>IF(_imp!$C$1767="","",INDEX(_imp!$J$4:$J$4503,_imp!$C$1767))</f>
        <v/>
      </c>
      <c r="K1765" s="54">
        <f>IF(_imp!$C$1767="","",INDEX(_imp!$K$4:$K$4503,_imp!$C$1767))</f>
        <v/>
      </c>
    </row>
    <row r="1766">
      <c r="A1766" s="54">
        <f>IF(_imp!$C$1768="","",INDEX(_imp!$D$4:$D$4503,_imp!$C$1768))</f>
        <v/>
      </c>
      <c r="B1766" s="54">
        <f>IF(_imp!$C$1768="","",INDEX(_imp!$E$4:$E$4503,_imp!$C$1768))</f>
        <v/>
      </c>
      <c r="C1766" s="54">
        <f>IF(_imp!$C$1768="","",INDEX(_imp!$F$4:$F$4503,_imp!$C$1768))</f>
        <v/>
      </c>
      <c r="D1766" s="54">
        <f>IF(_imp!$C$1768="","",INDEX(_imp!$G$4:$G$4503,_imp!$C$1768))</f>
        <v/>
      </c>
      <c r="E1766" s="54">
        <f>IF(_imp!$C$1768="","",INDEX(_imp!$H$4:$H$4503,_imp!$C$1768))</f>
        <v/>
      </c>
      <c r="F1766" s="54">
        <f>IF(_imp!$C$1768="","",INDEX(_imp!$I$4:$I$4503,_imp!$C$1768))</f>
        <v/>
      </c>
      <c r="G1766" s="54">
        <f>IF(_imp!$C$1768="","",INDEX(_imp!$J$4:$J$4503,_imp!$C$1768))</f>
        <v/>
      </c>
      <c r="K1766" s="54">
        <f>IF(_imp!$C$1768="","",INDEX(_imp!$K$4:$K$4503,_imp!$C$1768))</f>
        <v/>
      </c>
    </row>
    <row r="1767">
      <c r="A1767" s="54">
        <f>IF(_imp!$C$1769="","",INDEX(_imp!$D$4:$D$4503,_imp!$C$1769))</f>
        <v/>
      </c>
      <c r="B1767" s="54">
        <f>IF(_imp!$C$1769="","",INDEX(_imp!$E$4:$E$4503,_imp!$C$1769))</f>
        <v/>
      </c>
      <c r="C1767" s="54">
        <f>IF(_imp!$C$1769="","",INDEX(_imp!$F$4:$F$4503,_imp!$C$1769))</f>
        <v/>
      </c>
      <c r="D1767" s="54">
        <f>IF(_imp!$C$1769="","",INDEX(_imp!$G$4:$G$4503,_imp!$C$1769))</f>
        <v/>
      </c>
      <c r="E1767" s="54">
        <f>IF(_imp!$C$1769="","",INDEX(_imp!$H$4:$H$4503,_imp!$C$1769))</f>
        <v/>
      </c>
      <c r="F1767" s="54">
        <f>IF(_imp!$C$1769="","",INDEX(_imp!$I$4:$I$4503,_imp!$C$1769))</f>
        <v/>
      </c>
      <c r="G1767" s="54">
        <f>IF(_imp!$C$1769="","",INDEX(_imp!$J$4:$J$4503,_imp!$C$1769))</f>
        <v/>
      </c>
      <c r="K1767" s="54">
        <f>IF(_imp!$C$1769="","",INDEX(_imp!$K$4:$K$4503,_imp!$C$1769))</f>
        <v/>
      </c>
    </row>
    <row r="1768">
      <c r="A1768" s="54">
        <f>IF(_imp!$C$1770="","",INDEX(_imp!$D$4:$D$4503,_imp!$C$1770))</f>
        <v/>
      </c>
      <c r="B1768" s="54">
        <f>IF(_imp!$C$1770="","",INDEX(_imp!$E$4:$E$4503,_imp!$C$1770))</f>
        <v/>
      </c>
      <c r="C1768" s="54">
        <f>IF(_imp!$C$1770="","",INDEX(_imp!$F$4:$F$4503,_imp!$C$1770))</f>
        <v/>
      </c>
      <c r="D1768" s="54">
        <f>IF(_imp!$C$1770="","",INDEX(_imp!$G$4:$G$4503,_imp!$C$1770))</f>
        <v/>
      </c>
      <c r="E1768" s="54">
        <f>IF(_imp!$C$1770="","",INDEX(_imp!$H$4:$H$4503,_imp!$C$1770))</f>
        <v/>
      </c>
      <c r="F1768" s="54">
        <f>IF(_imp!$C$1770="","",INDEX(_imp!$I$4:$I$4503,_imp!$C$1770))</f>
        <v/>
      </c>
      <c r="G1768" s="54">
        <f>IF(_imp!$C$1770="","",INDEX(_imp!$J$4:$J$4503,_imp!$C$1770))</f>
        <v/>
      </c>
      <c r="K1768" s="54">
        <f>IF(_imp!$C$1770="","",INDEX(_imp!$K$4:$K$4503,_imp!$C$1770))</f>
        <v/>
      </c>
    </row>
    <row r="1769">
      <c r="A1769" s="54">
        <f>IF(_imp!$C$1771="","",INDEX(_imp!$D$4:$D$4503,_imp!$C$1771))</f>
        <v/>
      </c>
      <c r="B1769" s="54">
        <f>IF(_imp!$C$1771="","",INDEX(_imp!$E$4:$E$4503,_imp!$C$1771))</f>
        <v/>
      </c>
      <c r="C1769" s="54">
        <f>IF(_imp!$C$1771="","",INDEX(_imp!$F$4:$F$4503,_imp!$C$1771))</f>
        <v/>
      </c>
      <c r="D1769" s="54">
        <f>IF(_imp!$C$1771="","",INDEX(_imp!$G$4:$G$4503,_imp!$C$1771))</f>
        <v/>
      </c>
      <c r="E1769" s="54">
        <f>IF(_imp!$C$1771="","",INDEX(_imp!$H$4:$H$4503,_imp!$C$1771))</f>
        <v/>
      </c>
      <c r="F1769" s="54">
        <f>IF(_imp!$C$1771="","",INDEX(_imp!$I$4:$I$4503,_imp!$C$1771))</f>
        <v/>
      </c>
      <c r="G1769" s="54">
        <f>IF(_imp!$C$1771="","",INDEX(_imp!$J$4:$J$4503,_imp!$C$1771))</f>
        <v/>
      </c>
      <c r="K1769" s="54">
        <f>IF(_imp!$C$1771="","",INDEX(_imp!$K$4:$K$4503,_imp!$C$1771))</f>
        <v/>
      </c>
    </row>
    <row r="1770">
      <c r="A1770" s="54">
        <f>IF(_imp!$C$1772="","",INDEX(_imp!$D$4:$D$4503,_imp!$C$1772))</f>
        <v/>
      </c>
      <c r="B1770" s="54">
        <f>IF(_imp!$C$1772="","",INDEX(_imp!$E$4:$E$4503,_imp!$C$1772))</f>
        <v/>
      </c>
      <c r="C1770" s="54">
        <f>IF(_imp!$C$1772="","",INDEX(_imp!$F$4:$F$4503,_imp!$C$1772))</f>
        <v/>
      </c>
      <c r="D1770" s="54">
        <f>IF(_imp!$C$1772="","",INDEX(_imp!$G$4:$G$4503,_imp!$C$1772))</f>
        <v/>
      </c>
      <c r="E1770" s="54">
        <f>IF(_imp!$C$1772="","",INDEX(_imp!$H$4:$H$4503,_imp!$C$1772))</f>
        <v/>
      </c>
      <c r="F1770" s="54">
        <f>IF(_imp!$C$1772="","",INDEX(_imp!$I$4:$I$4503,_imp!$C$1772))</f>
        <v/>
      </c>
      <c r="G1770" s="54">
        <f>IF(_imp!$C$1772="","",INDEX(_imp!$J$4:$J$4503,_imp!$C$1772))</f>
        <v/>
      </c>
      <c r="K1770" s="54">
        <f>IF(_imp!$C$1772="","",INDEX(_imp!$K$4:$K$4503,_imp!$C$1772))</f>
        <v/>
      </c>
    </row>
    <row r="1771">
      <c r="A1771" s="54">
        <f>IF(_imp!$C$1773="","",INDEX(_imp!$D$4:$D$4503,_imp!$C$1773))</f>
        <v/>
      </c>
      <c r="B1771" s="54">
        <f>IF(_imp!$C$1773="","",INDEX(_imp!$E$4:$E$4503,_imp!$C$1773))</f>
        <v/>
      </c>
      <c r="C1771" s="54">
        <f>IF(_imp!$C$1773="","",INDEX(_imp!$F$4:$F$4503,_imp!$C$1773))</f>
        <v/>
      </c>
      <c r="D1771" s="54">
        <f>IF(_imp!$C$1773="","",INDEX(_imp!$G$4:$G$4503,_imp!$C$1773))</f>
        <v/>
      </c>
      <c r="E1771" s="54">
        <f>IF(_imp!$C$1773="","",INDEX(_imp!$H$4:$H$4503,_imp!$C$1773))</f>
        <v/>
      </c>
      <c r="F1771" s="54">
        <f>IF(_imp!$C$1773="","",INDEX(_imp!$I$4:$I$4503,_imp!$C$1773))</f>
        <v/>
      </c>
      <c r="G1771" s="54">
        <f>IF(_imp!$C$1773="","",INDEX(_imp!$J$4:$J$4503,_imp!$C$1773))</f>
        <v/>
      </c>
      <c r="K1771" s="54">
        <f>IF(_imp!$C$1773="","",INDEX(_imp!$K$4:$K$4503,_imp!$C$1773))</f>
        <v/>
      </c>
    </row>
    <row r="1772">
      <c r="A1772" s="54">
        <f>IF(_imp!$C$1774="","",INDEX(_imp!$D$4:$D$4503,_imp!$C$1774))</f>
        <v/>
      </c>
      <c r="B1772" s="54">
        <f>IF(_imp!$C$1774="","",INDEX(_imp!$E$4:$E$4503,_imp!$C$1774))</f>
        <v/>
      </c>
      <c r="C1772" s="54">
        <f>IF(_imp!$C$1774="","",INDEX(_imp!$F$4:$F$4503,_imp!$C$1774))</f>
        <v/>
      </c>
      <c r="D1772" s="54">
        <f>IF(_imp!$C$1774="","",INDEX(_imp!$G$4:$G$4503,_imp!$C$1774))</f>
        <v/>
      </c>
      <c r="E1772" s="54">
        <f>IF(_imp!$C$1774="","",INDEX(_imp!$H$4:$H$4503,_imp!$C$1774))</f>
        <v/>
      </c>
      <c r="F1772" s="54">
        <f>IF(_imp!$C$1774="","",INDEX(_imp!$I$4:$I$4503,_imp!$C$1774))</f>
        <v/>
      </c>
      <c r="G1772" s="54">
        <f>IF(_imp!$C$1774="","",INDEX(_imp!$J$4:$J$4503,_imp!$C$1774))</f>
        <v/>
      </c>
      <c r="K1772" s="54">
        <f>IF(_imp!$C$1774="","",INDEX(_imp!$K$4:$K$4503,_imp!$C$1774))</f>
        <v/>
      </c>
    </row>
    <row r="1773">
      <c r="A1773" s="54">
        <f>IF(_imp!$C$1775="","",INDEX(_imp!$D$4:$D$4503,_imp!$C$1775))</f>
        <v/>
      </c>
      <c r="B1773" s="54">
        <f>IF(_imp!$C$1775="","",INDEX(_imp!$E$4:$E$4503,_imp!$C$1775))</f>
        <v/>
      </c>
      <c r="C1773" s="54">
        <f>IF(_imp!$C$1775="","",INDEX(_imp!$F$4:$F$4503,_imp!$C$1775))</f>
        <v/>
      </c>
      <c r="D1773" s="54">
        <f>IF(_imp!$C$1775="","",INDEX(_imp!$G$4:$G$4503,_imp!$C$1775))</f>
        <v/>
      </c>
      <c r="E1773" s="54">
        <f>IF(_imp!$C$1775="","",INDEX(_imp!$H$4:$H$4503,_imp!$C$1775))</f>
        <v/>
      </c>
      <c r="F1773" s="54">
        <f>IF(_imp!$C$1775="","",INDEX(_imp!$I$4:$I$4503,_imp!$C$1775))</f>
        <v/>
      </c>
      <c r="G1773" s="54">
        <f>IF(_imp!$C$1775="","",INDEX(_imp!$J$4:$J$4503,_imp!$C$1775))</f>
        <v/>
      </c>
      <c r="K1773" s="54">
        <f>IF(_imp!$C$1775="","",INDEX(_imp!$K$4:$K$4503,_imp!$C$1775))</f>
        <v/>
      </c>
    </row>
    <row r="1774">
      <c r="A1774" s="54">
        <f>IF(_imp!$C$1776="","",INDEX(_imp!$D$4:$D$4503,_imp!$C$1776))</f>
        <v/>
      </c>
      <c r="B1774" s="54">
        <f>IF(_imp!$C$1776="","",INDEX(_imp!$E$4:$E$4503,_imp!$C$1776))</f>
        <v/>
      </c>
      <c r="C1774" s="54">
        <f>IF(_imp!$C$1776="","",INDEX(_imp!$F$4:$F$4503,_imp!$C$1776))</f>
        <v/>
      </c>
      <c r="D1774" s="54">
        <f>IF(_imp!$C$1776="","",INDEX(_imp!$G$4:$G$4503,_imp!$C$1776))</f>
        <v/>
      </c>
      <c r="E1774" s="54">
        <f>IF(_imp!$C$1776="","",INDEX(_imp!$H$4:$H$4503,_imp!$C$1776))</f>
        <v/>
      </c>
      <c r="F1774" s="54">
        <f>IF(_imp!$C$1776="","",INDEX(_imp!$I$4:$I$4503,_imp!$C$1776))</f>
        <v/>
      </c>
      <c r="G1774" s="54">
        <f>IF(_imp!$C$1776="","",INDEX(_imp!$J$4:$J$4503,_imp!$C$1776))</f>
        <v/>
      </c>
      <c r="K1774" s="54">
        <f>IF(_imp!$C$1776="","",INDEX(_imp!$K$4:$K$4503,_imp!$C$1776))</f>
        <v/>
      </c>
    </row>
    <row r="1775">
      <c r="A1775" s="54">
        <f>IF(_imp!$C$1777="","",INDEX(_imp!$D$4:$D$4503,_imp!$C$1777))</f>
        <v/>
      </c>
      <c r="B1775" s="54">
        <f>IF(_imp!$C$1777="","",INDEX(_imp!$E$4:$E$4503,_imp!$C$1777))</f>
        <v/>
      </c>
      <c r="C1775" s="54">
        <f>IF(_imp!$C$1777="","",INDEX(_imp!$F$4:$F$4503,_imp!$C$1777))</f>
        <v/>
      </c>
      <c r="D1775" s="54">
        <f>IF(_imp!$C$1777="","",INDEX(_imp!$G$4:$G$4503,_imp!$C$1777))</f>
        <v/>
      </c>
      <c r="E1775" s="54">
        <f>IF(_imp!$C$1777="","",INDEX(_imp!$H$4:$H$4503,_imp!$C$1777))</f>
        <v/>
      </c>
      <c r="F1775" s="54">
        <f>IF(_imp!$C$1777="","",INDEX(_imp!$I$4:$I$4503,_imp!$C$1777))</f>
        <v/>
      </c>
      <c r="G1775" s="54">
        <f>IF(_imp!$C$1777="","",INDEX(_imp!$J$4:$J$4503,_imp!$C$1777))</f>
        <v/>
      </c>
      <c r="K1775" s="54">
        <f>IF(_imp!$C$1777="","",INDEX(_imp!$K$4:$K$4503,_imp!$C$1777))</f>
        <v/>
      </c>
    </row>
    <row r="1776">
      <c r="A1776" s="54">
        <f>IF(_imp!$C$1778="","",INDEX(_imp!$D$4:$D$4503,_imp!$C$1778))</f>
        <v/>
      </c>
      <c r="B1776" s="54">
        <f>IF(_imp!$C$1778="","",INDEX(_imp!$E$4:$E$4503,_imp!$C$1778))</f>
        <v/>
      </c>
      <c r="C1776" s="54">
        <f>IF(_imp!$C$1778="","",INDEX(_imp!$F$4:$F$4503,_imp!$C$1778))</f>
        <v/>
      </c>
      <c r="D1776" s="54">
        <f>IF(_imp!$C$1778="","",INDEX(_imp!$G$4:$G$4503,_imp!$C$1778))</f>
        <v/>
      </c>
      <c r="E1776" s="54">
        <f>IF(_imp!$C$1778="","",INDEX(_imp!$H$4:$H$4503,_imp!$C$1778))</f>
        <v/>
      </c>
      <c r="F1776" s="54">
        <f>IF(_imp!$C$1778="","",INDEX(_imp!$I$4:$I$4503,_imp!$C$1778))</f>
        <v/>
      </c>
      <c r="G1776" s="54">
        <f>IF(_imp!$C$1778="","",INDEX(_imp!$J$4:$J$4503,_imp!$C$1778))</f>
        <v/>
      </c>
      <c r="K1776" s="54">
        <f>IF(_imp!$C$1778="","",INDEX(_imp!$K$4:$K$4503,_imp!$C$1778))</f>
        <v/>
      </c>
    </row>
    <row r="1777">
      <c r="A1777" s="54">
        <f>IF(_imp!$C$1779="","",INDEX(_imp!$D$4:$D$4503,_imp!$C$1779))</f>
        <v/>
      </c>
      <c r="B1777" s="54">
        <f>IF(_imp!$C$1779="","",INDEX(_imp!$E$4:$E$4503,_imp!$C$1779))</f>
        <v/>
      </c>
      <c r="C1777" s="54">
        <f>IF(_imp!$C$1779="","",INDEX(_imp!$F$4:$F$4503,_imp!$C$1779))</f>
        <v/>
      </c>
      <c r="D1777" s="54">
        <f>IF(_imp!$C$1779="","",INDEX(_imp!$G$4:$G$4503,_imp!$C$1779))</f>
        <v/>
      </c>
      <c r="E1777" s="54">
        <f>IF(_imp!$C$1779="","",INDEX(_imp!$H$4:$H$4503,_imp!$C$1779))</f>
        <v/>
      </c>
      <c r="F1777" s="54">
        <f>IF(_imp!$C$1779="","",INDEX(_imp!$I$4:$I$4503,_imp!$C$1779))</f>
        <v/>
      </c>
      <c r="G1777" s="54">
        <f>IF(_imp!$C$1779="","",INDEX(_imp!$J$4:$J$4503,_imp!$C$1779))</f>
        <v/>
      </c>
      <c r="K1777" s="54">
        <f>IF(_imp!$C$1779="","",INDEX(_imp!$K$4:$K$4503,_imp!$C$1779))</f>
        <v/>
      </c>
    </row>
    <row r="1778">
      <c r="A1778" s="54">
        <f>IF(_imp!$C$1780="","",INDEX(_imp!$D$4:$D$4503,_imp!$C$1780))</f>
        <v/>
      </c>
      <c r="B1778" s="54">
        <f>IF(_imp!$C$1780="","",INDEX(_imp!$E$4:$E$4503,_imp!$C$1780))</f>
        <v/>
      </c>
      <c r="C1778" s="54">
        <f>IF(_imp!$C$1780="","",INDEX(_imp!$F$4:$F$4503,_imp!$C$1780))</f>
        <v/>
      </c>
      <c r="D1778" s="54">
        <f>IF(_imp!$C$1780="","",INDEX(_imp!$G$4:$G$4503,_imp!$C$1780))</f>
        <v/>
      </c>
      <c r="E1778" s="54">
        <f>IF(_imp!$C$1780="","",INDEX(_imp!$H$4:$H$4503,_imp!$C$1780))</f>
        <v/>
      </c>
      <c r="F1778" s="54">
        <f>IF(_imp!$C$1780="","",INDEX(_imp!$I$4:$I$4503,_imp!$C$1780))</f>
        <v/>
      </c>
      <c r="G1778" s="54">
        <f>IF(_imp!$C$1780="","",INDEX(_imp!$J$4:$J$4503,_imp!$C$1780))</f>
        <v/>
      </c>
      <c r="K1778" s="54">
        <f>IF(_imp!$C$1780="","",INDEX(_imp!$K$4:$K$4503,_imp!$C$1780))</f>
        <v/>
      </c>
    </row>
    <row r="1779">
      <c r="A1779" s="54">
        <f>IF(_imp!$C$1781="","",INDEX(_imp!$D$4:$D$4503,_imp!$C$1781))</f>
        <v/>
      </c>
      <c r="B1779" s="54">
        <f>IF(_imp!$C$1781="","",INDEX(_imp!$E$4:$E$4503,_imp!$C$1781))</f>
        <v/>
      </c>
      <c r="C1779" s="54">
        <f>IF(_imp!$C$1781="","",INDEX(_imp!$F$4:$F$4503,_imp!$C$1781))</f>
        <v/>
      </c>
      <c r="D1779" s="54">
        <f>IF(_imp!$C$1781="","",INDEX(_imp!$G$4:$G$4503,_imp!$C$1781))</f>
        <v/>
      </c>
      <c r="E1779" s="54">
        <f>IF(_imp!$C$1781="","",INDEX(_imp!$H$4:$H$4503,_imp!$C$1781))</f>
        <v/>
      </c>
      <c r="F1779" s="54">
        <f>IF(_imp!$C$1781="","",INDEX(_imp!$I$4:$I$4503,_imp!$C$1781))</f>
        <v/>
      </c>
      <c r="G1779" s="54">
        <f>IF(_imp!$C$1781="","",INDEX(_imp!$J$4:$J$4503,_imp!$C$1781))</f>
        <v/>
      </c>
      <c r="K1779" s="54">
        <f>IF(_imp!$C$1781="","",INDEX(_imp!$K$4:$K$4503,_imp!$C$1781))</f>
        <v/>
      </c>
    </row>
    <row r="1780">
      <c r="A1780" s="54">
        <f>IF(_imp!$C$1782="","",INDEX(_imp!$D$4:$D$4503,_imp!$C$1782))</f>
        <v/>
      </c>
      <c r="B1780" s="54">
        <f>IF(_imp!$C$1782="","",INDEX(_imp!$E$4:$E$4503,_imp!$C$1782))</f>
        <v/>
      </c>
      <c r="C1780" s="54">
        <f>IF(_imp!$C$1782="","",INDEX(_imp!$F$4:$F$4503,_imp!$C$1782))</f>
        <v/>
      </c>
      <c r="D1780" s="54">
        <f>IF(_imp!$C$1782="","",INDEX(_imp!$G$4:$G$4503,_imp!$C$1782))</f>
        <v/>
      </c>
      <c r="E1780" s="54">
        <f>IF(_imp!$C$1782="","",INDEX(_imp!$H$4:$H$4503,_imp!$C$1782))</f>
        <v/>
      </c>
      <c r="F1780" s="54">
        <f>IF(_imp!$C$1782="","",INDEX(_imp!$I$4:$I$4503,_imp!$C$1782))</f>
        <v/>
      </c>
      <c r="G1780" s="54">
        <f>IF(_imp!$C$1782="","",INDEX(_imp!$J$4:$J$4503,_imp!$C$1782))</f>
        <v/>
      </c>
      <c r="K1780" s="54">
        <f>IF(_imp!$C$1782="","",INDEX(_imp!$K$4:$K$4503,_imp!$C$1782))</f>
        <v/>
      </c>
    </row>
    <row r="1781">
      <c r="A1781" s="54">
        <f>IF(_imp!$C$1783="","",INDEX(_imp!$D$4:$D$4503,_imp!$C$1783))</f>
        <v/>
      </c>
      <c r="B1781" s="54">
        <f>IF(_imp!$C$1783="","",INDEX(_imp!$E$4:$E$4503,_imp!$C$1783))</f>
        <v/>
      </c>
      <c r="C1781" s="54">
        <f>IF(_imp!$C$1783="","",INDEX(_imp!$F$4:$F$4503,_imp!$C$1783))</f>
        <v/>
      </c>
      <c r="D1781" s="54">
        <f>IF(_imp!$C$1783="","",INDEX(_imp!$G$4:$G$4503,_imp!$C$1783))</f>
        <v/>
      </c>
      <c r="E1781" s="54">
        <f>IF(_imp!$C$1783="","",INDEX(_imp!$H$4:$H$4503,_imp!$C$1783))</f>
        <v/>
      </c>
      <c r="F1781" s="54">
        <f>IF(_imp!$C$1783="","",INDEX(_imp!$I$4:$I$4503,_imp!$C$1783))</f>
        <v/>
      </c>
      <c r="G1781" s="54">
        <f>IF(_imp!$C$1783="","",INDEX(_imp!$J$4:$J$4503,_imp!$C$1783))</f>
        <v/>
      </c>
      <c r="K1781" s="54">
        <f>IF(_imp!$C$1783="","",INDEX(_imp!$K$4:$K$4503,_imp!$C$1783))</f>
        <v/>
      </c>
    </row>
    <row r="1782">
      <c r="A1782" s="54">
        <f>IF(_imp!$C$1784="","",INDEX(_imp!$D$4:$D$4503,_imp!$C$1784))</f>
        <v/>
      </c>
      <c r="B1782" s="54">
        <f>IF(_imp!$C$1784="","",INDEX(_imp!$E$4:$E$4503,_imp!$C$1784))</f>
        <v/>
      </c>
      <c r="C1782" s="54">
        <f>IF(_imp!$C$1784="","",INDEX(_imp!$F$4:$F$4503,_imp!$C$1784))</f>
        <v/>
      </c>
      <c r="D1782" s="54">
        <f>IF(_imp!$C$1784="","",INDEX(_imp!$G$4:$G$4503,_imp!$C$1784))</f>
        <v/>
      </c>
      <c r="E1782" s="54">
        <f>IF(_imp!$C$1784="","",INDEX(_imp!$H$4:$H$4503,_imp!$C$1784))</f>
        <v/>
      </c>
      <c r="F1782" s="54">
        <f>IF(_imp!$C$1784="","",INDEX(_imp!$I$4:$I$4503,_imp!$C$1784))</f>
        <v/>
      </c>
      <c r="G1782" s="54">
        <f>IF(_imp!$C$1784="","",INDEX(_imp!$J$4:$J$4503,_imp!$C$1784))</f>
        <v/>
      </c>
      <c r="K1782" s="54">
        <f>IF(_imp!$C$1784="","",INDEX(_imp!$K$4:$K$4503,_imp!$C$1784))</f>
        <v/>
      </c>
    </row>
    <row r="1783">
      <c r="A1783" s="54">
        <f>IF(_imp!$C$1785="","",INDEX(_imp!$D$4:$D$4503,_imp!$C$1785))</f>
        <v/>
      </c>
      <c r="B1783" s="54">
        <f>IF(_imp!$C$1785="","",INDEX(_imp!$E$4:$E$4503,_imp!$C$1785))</f>
        <v/>
      </c>
      <c r="C1783" s="54">
        <f>IF(_imp!$C$1785="","",INDEX(_imp!$F$4:$F$4503,_imp!$C$1785))</f>
        <v/>
      </c>
      <c r="D1783" s="54">
        <f>IF(_imp!$C$1785="","",INDEX(_imp!$G$4:$G$4503,_imp!$C$1785))</f>
        <v/>
      </c>
      <c r="E1783" s="54">
        <f>IF(_imp!$C$1785="","",INDEX(_imp!$H$4:$H$4503,_imp!$C$1785))</f>
        <v/>
      </c>
      <c r="F1783" s="54">
        <f>IF(_imp!$C$1785="","",INDEX(_imp!$I$4:$I$4503,_imp!$C$1785))</f>
        <v/>
      </c>
      <c r="G1783" s="54">
        <f>IF(_imp!$C$1785="","",INDEX(_imp!$J$4:$J$4503,_imp!$C$1785))</f>
        <v/>
      </c>
      <c r="K1783" s="54">
        <f>IF(_imp!$C$1785="","",INDEX(_imp!$K$4:$K$4503,_imp!$C$1785))</f>
        <v/>
      </c>
    </row>
    <row r="1784">
      <c r="A1784" s="54">
        <f>IF(_imp!$C$1786="","",INDEX(_imp!$D$4:$D$4503,_imp!$C$1786))</f>
        <v/>
      </c>
      <c r="B1784" s="54">
        <f>IF(_imp!$C$1786="","",INDEX(_imp!$E$4:$E$4503,_imp!$C$1786))</f>
        <v/>
      </c>
      <c r="C1784" s="54">
        <f>IF(_imp!$C$1786="","",INDEX(_imp!$F$4:$F$4503,_imp!$C$1786))</f>
        <v/>
      </c>
      <c r="D1784" s="54">
        <f>IF(_imp!$C$1786="","",INDEX(_imp!$G$4:$G$4503,_imp!$C$1786))</f>
        <v/>
      </c>
      <c r="E1784" s="54">
        <f>IF(_imp!$C$1786="","",INDEX(_imp!$H$4:$H$4503,_imp!$C$1786))</f>
        <v/>
      </c>
      <c r="F1784" s="54">
        <f>IF(_imp!$C$1786="","",INDEX(_imp!$I$4:$I$4503,_imp!$C$1786))</f>
        <v/>
      </c>
      <c r="G1784" s="54">
        <f>IF(_imp!$C$1786="","",INDEX(_imp!$J$4:$J$4503,_imp!$C$1786))</f>
        <v/>
      </c>
      <c r="K1784" s="54">
        <f>IF(_imp!$C$1786="","",INDEX(_imp!$K$4:$K$4503,_imp!$C$1786))</f>
        <v/>
      </c>
    </row>
    <row r="1785">
      <c r="A1785" s="54">
        <f>IF(_imp!$C$1787="","",INDEX(_imp!$D$4:$D$4503,_imp!$C$1787))</f>
        <v/>
      </c>
      <c r="B1785" s="54">
        <f>IF(_imp!$C$1787="","",INDEX(_imp!$E$4:$E$4503,_imp!$C$1787))</f>
        <v/>
      </c>
      <c r="C1785" s="54">
        <f>IF(_imp!$C$1787="","",INDEX(_imp!$F$4:$F$4503,_imp!$C$1787))</f>
        <v/>
      </c>
      <c r="D1785" s="54">
        <f>IF(_imp!$C$1787="","",INDEX(_imp!$G$4:$G$4503,_imp!$C$1787))</f>
        <v/>
      </c>
      <c r="E1785" s="54">
        <f>IF(_imp!$C$1787="","",INDEX(_imp!$H$4:$H$4503,_imp!$C$1787))</f>
        <v/>
      </c>
      <c r="F1785" s="54">
        <f>IF(_imp!$C$1787="","",INDEX(_imp!$I$4:$I$4503,_imp!$C$1787))</f>
        <v/>
      </c>
      <c r="G1785" s="54">
        <f>IF(_imp!$C$1787="","",INDEX(_imp!$J$4:$J$4503,_imp!$C$1787))</f>
        <v/>
      </c>
      <c r="K1785" s="54">
        <f>IF(_imp!$C$1787="","",INDEX(_imp!$K$4:$K$4503,_imp!$C$1787))</f>
        <v/>
      </c>
    </row>
    <row r="1786">
      <c r="A1786" s="54">
        <f>IF(_imp!$C$1788="","",INDEX(_imp!$D$4:$D$4503,_imp!$C$1788))</f>
        <v/>
      </c>
      <c r="B1786" s="54">
        <f>IF(_imp!$C$1788="","",INDEX(_imp!$E$4:$E$4503,_imp!$C$1788))</f>
        <v/>
      </c>
      <c r="C1786" s="54">
        <f>IF(_imp!$C$1788="","",INDEX(_imp!$F$4:$F$4503,_imp!$C$1788))</f>
        <v/>
      </c>
      <c r="D1786" s="54">
        <f>IF(_imp!$C$1788="","",INDEX(_imp!$G$4:$G$4503,_imp!$C$1788))</f>
        <v/>
      </c>
      <c r="E1786" s="54">
        <f>IF(_imp!$C$1788="","",INDEX(_imp!$H$4:$H$4503,_imp!$C$1788))</f>
        <v/>
      </c>
      <c r="F1786" s="54">
        <f>IF(_imp!$C$1788="","",INDEX(_imp!$I$4:$I$4503,_imp!$C$1788))</f>
        <v/>
      </c>
      <c r="G1786" s="54">
        <f>IF(_imp!$C$1788="","",INDEX(_imp!$J$4:$J$4503,_imp!$C$1788))</f>
        <v/>
      </c>
      <c r="K1786" s="54">
        <f>IF(_imp!$C$1788="","",INDEX(_imp!$K$4:$K$4503,_imp!$C$1788))</f>
        <v/>
      </c>
    </row>
    <row r="1787">
      <c r="A1787" s="54">
        <f>IF(_imp!$C$1789="","",INDEX(_imp!$D$4:$D$4503,_imp!$C$1789))</f>
        <v/>
      </c>
      <c r="B1787" s="54">
        <f>IF(_imp!$C$1789="","",INDEX(_imp!$E$4:$E$4503,_imp!$C$1789))</f>
        <v/>
      </c>
      <c r="C1787" s="54">
        <f>IF(_imp!$C$1789="","",INDEX(_imp!$F$4:$F$4503,_imp!$C$1789))</f>
        <v/>
      </c>
      <c r="D1787" s="54">
        <f>IF(_imp!$C$1789="","",INDEX(_imp!$G$4:$G$4503,_imp!$C$1789))</f>
        <v/>
      </c>
      <c r="E1787" s="54">
        <f>IF(_imp!$C$1789="","",INDEX(_imp!$H$4:$H$4503,_imp!$C$1789))</f>
        <v/>
      </c>
      <c r="F1787" s="54">
        <f>IF(_imp!$C$1789="","",INDEX(_imp!$I$4:$I$4503,_imp!$C$1789))</f>
        <v/>
      </c>
      <c r="G1787" s="54">
        <f>IF(_imp!$C$1789="","",INDEX(_imp!$J$4:$J$4503,_imp!$C$1789))</f>
        <v/>
      </c>
      <c r="K1787" s="54">
        <f>IF(_imp!$C$1789="","",INDEX(_imp!$K$4:$K$4503,_imp!$C$1789))</f>
        <v/>
      </c>
    </row>
    <row r="1788">
      <c r="A1788" s="54">
        <f>IF(_imp!$C$1790="","",INDEX(_imp!$D$4:$D$4503,_imp!$C$1790))</f>
        <v/>
      </c>
      <c r="B1788" s="54">
        <f>IF(_imp!$C$1790="","",INDEX(_imp!$E$4:$E$4503,_imp!$C$1790))</f>
        <v/>
      </c>
      <c r="C1788" s="54">
        <f>IF(_imp!$C$1790="","",INDEX(_imp!$F$4:$F$4503,_imp!$C$1790))</f>
        <v/>
      </c>
      <c r="D1788" s="54">
        <f>IF(_imp!$C$1790="","",INDEX(_imp!$G$4:$G$4503,_imp!$C$1790))</f>
        <v/>
      </c>
      <c r="E1788" s="54">
        <f>IF(_imp!$C$1790="","",INDEX(_imp!$H$4:$H$4503,_imp!$C$1790))</f>
        <v/>
      </c>
      <c r="F1788" s="54">
        <f>IF(_imp!$C$1790="","",INDEX(_imp!$I$4:$I$4503,_imp!$C$1790))</f>
        <v/>
      </c>
      <c r="G1788" s="54">
        <f>IF(_imp!$C$1790="","",INDEX(_imp!$J$4:$J$4503,_imp!$C$1790))</f>
        <v/>
      </c>
      <c r="K1788" s="54">
        <f>IF(_imp!$C$1790="","",INDEX(_imp!$K$4:$K$4503,_imp!$C$1790))</f>
        <v/>
      </c>
    </row>
    <row r="1789">
      <c r="A1789" s="54">
        <f>IF(_imp!$C$1791="","",INDEX(_imp!$D$4:$D$4503,_imp!$C$1791))</f>
        <v/>
      </c>
      <c r="B1789" s="54">
        <f>IF(_imp!$C$1791="","",INDEX(_imp!$E$4:$E$4503,_imp!$C$1791))</f>
        <v/>
      </c>
      <c r="C1789" s="54">
        <f>IF(_imp!$C$1791="","",INDEX(_imp!$F$4:$F$4503,_imp!$C$1791))</f>
        <v/>
      </c>
      <c r="D1789" s="54">
        <f>IF(_imp!$C$1791="","",INDEX(_imp!$G$4:$G$4503,_imp!$C$1791))</f>
        <v/>
      </c>
      <c r="E1789" s="54">
        <f>IF(_imp!$C$1791="","",INDEX(_imp!$H$4:$H$4503,_imp!$C$1791))</f>
        <v/>
      </c>
      <c r="F1789" s="54">
        <f>IF(_imp!$C$1791="","",INDEX(_imp!$I$4:$I$4503,_imp!$C$1791))</f>
        <v/>
      </c>
      <c r="G1789" s="54">
        <f>IF(_imp!$C$1791="","",INDEX(_imp!$J$4:$J$4503,_imp!$C$1791))</f>
        <v/>
      </c>
      <c r="K1789" s="54">
        <f>IF(_imp!$C$1791="","",INDEX(_imp!$K$4:$K$4503,_imp!$C$1791))</f>
        <v/>
      </c>
    </row>
    <row r="1790">
      <c r="A1790" s="54">
        <f>IF(_imp!$C$1792="","",INDEX(_imp!$D$4:$D$4503,_imp!$C$1792))</f>
        <v/>
      </c>
      <c r="B1790" s="54">
        <f>IF(_imp!$C$1792="","",INDEX(_imp!$E$4:$E$4503,_imp!$C$1792))</f>
        <v/>
      </c>
      <c r="C1790" s="54">
        <f>IF(_imp!$C$1792="","",INDEX(_imp!$F$4:$F$4503,_imp!$C$1792))</f>
        <v/>
      </c>
      <c r="D1790" s="54">
        <f>IF(_imp!$C$1792="","",INDEX(_imp!$G$4:$G$4503,_imp!$C$1792))</f>
        <v/>
      </c>
      <c r="E1790" s="54">
        <f>IF(_imp!$C$1792="","",INDEX(_imp!$H$4:$H$4503,_imp!$C$1792))</f>
        <v/>
      </c>
      <c r="F1790" s="54">
        <f>IF(_imp!$C$1792="","",INDEX(_imp!$I$4:$I$4503,_imp!$C$1792))</f>
        <v/>
      </c>
      <c r="G1790" s="54">
        <f>IF(_imp!$C$1792="","",INDEX(_imp!$J$4:$J$4503,_imp!$C$1792))</f>
        <v/>
      </c>
      <c r="K1790" s="54">
        <f>IF(_imp!$C$1792="","",INDEX(_imp!$K$4:$K$4503,_imp!$C$1792))</f>
        <v/>
      </c>
    </row>
    <row r="1791">
      <c r="A1791" s="54">
        <f>IF(_imp!$C$1793="","",INDEX(_imp!$D$4:$D$4503,_imp!$C$1793))</f>
        <v/>
      </c>
      <c r="B1791" s="54">
        <f>IF(_imp!$C$1793="","",INDEX(_imp!$E$4:$E$4503,_imp!$C$1793))</f>
        <v/>
      </c>
      <c r="C1791" s="54">
        <f>IF(_imp!$C$1793="","",INDEX(_imp!$F$4:$F$4503,_imp!$C$1793))</f>
        <v/>
      </c>
      <c r="D1791" s="54">
        <f>IF(_imp!$C$1793="","",INDEX(_imp!$G$4:$G$4503,_imp!$C$1793))</f>
        <v/>
      </c>
      <c r="E1791" s="54">
        <f>IF(_imp!$C$1793="","",INDEX(_imp!$H$4:$H$4503,_imp!$C$1793))</f>
        <v/>
      </c>
      <c r="F1791" s="54">
        <f>IF(_imp!$C$1793="","",INDEX(_imp!$I$4:$I$4503,_imp!$C$1793))</f>
        <v/>
      </c>
      <c r="G1791" s="54">
        <f>IF(_imp!$C$1793="","",INDEX(_imp!$J$4:$J$4503,_imp!$C$1793))</f>
        <v/>
      </c>
      <c r="K1791" s="54">
        <f>IF(_imp!$C$1793="","",INDEX(_imp!$K$4:$K$4503,_imp!$C$1793))</f>
        <v/>
      </c>
    </row>
    <row r="1792">
      <c r="A1792" s="54">
        <f>IF(_imp!$C$1794="","",INDEX(_imp!$D$4:$D$4503,_imp!$C$1794))</f>
        <v/>
      </c>
      <c r="B1792" s="54">
        <f>IF(_imp!$C$1794="","",INDEX(_imp!$E$4:$E$4503,_imp!$C$1794))</f>
        <v/>
      </c>
      <c r="C1792" s="54">
        <f>IF(_imp!$C$1794="","",INDEX(_imp!$F$4:$F$4503,_imp!$C$1794))</f>
        <v/>
      </c>
      <c r="D1792" s="54">
        <f>IF(_imp!$C$1794="","",INDEX(_imp!$G$4:$G$4503,_imp!$C$1794))</f>
        <v/>
      </c>
      <c r="E1792" s="54">
        <f>IF(_imp!$C$1794="","",INDEX(_imp!$H$4:$H$4503,_imp!$C$1794))</f>
        <v/>
      </c>
      <c r="F1792" s="54">
        <f>IF(_imp!$C$1794="","",INDEX(_imp!$I$4:$I$4503,_imp!$C$1794))</f>
        <v/>
      </c>
      <c r="G1792" s="54">
        <f>IF(_imp!$C$1794="","",INDEX(_imp!$J$4:$J$4503,_imp!$C$1794))</f>
        <v/>
      </c>
      <c r="K1792" s="54">
        <f>IF(_imp!$C$1794="","",INDEX(_imp!$K$4:$K$4503,_imp!$C$1794))</f>
        <v/>
      </c>
    </row>
    <row r="1793">
      <c r="A1793" s="54">
        <f>IF(_imp!$C$1795="","",INDEX(_imp!$D$4:$D$4503,_imp!$C$1795))</f>
        <v/>
      </c>
      <c r="B1793" s="54">
        <f>IF(_imp!$C$1795="","",INDEX(_imp!$E$4:$E$4503,_imp!$C$1795))</f>
        <v/>
      </c>
      <c r="C1793" s="54">
        <f>IF(_imp!$C$1795="","",INDEX(_imp!$F$4:$F$4503,_imp!$C$1795))</f>
        <v/>
      </c>
      <c r="D1793" s="54">
        <f>IF(_imp!$C$1795="","",INDEX(_imp!$G$4:$G$4503,_imp!$C$1795))</f>
        <v/>
      </c>
      <c r="E1793" s="54">
        <f>IF(_imp!$C$1795="","",INDEX(_imp!$H$4:$H$4503,_imp!$C$1795))</f>
        <v/>
      </c>
      <c r="F1793" s="54">
        <f>IF(_imp!$C$1795="","",INDEX(_imp!$I$4:$I$4503,_imp!$C$1795))</f>
        <v/>
      </c>
      <c r="G1793" s="54">
        <f>IF(_imp!$C$1795="","",INDEX(_imp!$J$4:$J$4503,_imp!$C$1795))</f>
        <v/>
      </c>
      <c r="K1793" s="54">
        <f>IF(_imp!$C$1795="","",INDEX(_imp!$K$4:$K$4503,_imp!$C$1795))</f>
        <v/>
      </c>
    </row>
    <row r="1794">
      <c r="A1794" s="54">
        <f>IF(_imp!$C$1796="","",INDEX(_imp!$D$4:$D$4503,_imp!$C$1796))</f>
        <v/>
      </c>
      <c r="B1794" s="54">
        <f>IF(_imp!$C$1796="","",INDEX(_imp!$E$4:$E$4503,_imp!$C$1796))</f>
        <v/>
      </c>
      <c r="C1794" s="54">
        <f>IF(_imp!$C$1796="","",INDEX(_imp!$F$4:$F$4503,_imp!$C$1796))</f>
        <v/>
      </c>
      <c r="D1794" s="54">
        <f>IF(_imp!$C$1796="","",INDEX(_imp!$G$4:$G$4503,_imp!$C$1796))</f>
        <v/>
      </c>
      <c r="E1794" s="54">
        <f>IF(_imp!$C$1796="","",INDEX(_imp!$H$4:$H$4503,_imp!$C$1796))</f>
        <v/>
      </c>
      <c r="F1794" s="54">
        <f>IF(_imp!$C$1796="","",INDEX(_imp!$I$4:$I$4503,_imp!$C$1796))</f>
        <v/>
      </c>
      <c r="G1794" s="54">
        <f>IF(_imp!$C$1796="","",INDEX(_imp!$J$4:$J$4503,_imp!$C$1796))</f>
        <v/>
      </c>
      <c r="K1794" s="54">
        <f>IF(_imp!$C$1796="","",INDEX(_imp!$K$4:$K$4503,_imp!$C$1796))</f>
        <v/>
      </c>
    </row>
    <row r="1795">
      <c r="A1795" s="54">
        <f>IF(_imp!$C$1797="","",INDEX(_imp!$D$4:$D$4503,_imp!$C$1797))</f>
        <v/>
      </c>
      <c r="B1795" s="54">
        <f>IF(_imp!$C$1797="","",INDEX(_imp!$E$4:$E$4503,_imp!$C$1797))</f>
        <v/>
      </c>
      <c r="C1795" s="54">
        <f>IF(_imp!$C$1797="","",INDEX(_imp!$F$4:$F$4503,_imp!$C$1797))</f>
        <v/>
      </c>
      <c r="D1795" s="54">
        <f>IF(_imp!$C$1797="","",INDEX(_imp!$G$4:$G$4503,_imp!$C$1797))</f>
        <v/>
      </c>
      <c r="E1795" s="54">
        <f>IF(_imp!$C$1797="","",INDEX(_imp!$H$4:$H$4503,_imp!$C$1797))</f>
        <v/>
      </c>
      <c r="F1795" s="54">
        <f>IF(_imp!$C$1797="","",INDEX(_imp!$I$4:$I$4503,_imp!$C$1797))</f>
        <v/>
      </c>
      <c r="G1795" s="54">
        <f>IF(_imp!$C$1797="","",INDEX(_imp!$J$4:$J$4503,_imp!$C$1797))</f>
        <v/>
      </c>
      <c r="K1795" s="54">
        <f>IF(_imp!$C$1797="","",INDEX(_imp!$K$4:$K$4503,_imp!$C$1797))</f>
        <v/>
      </c>
    </row>
    <row r="1796">
      <c r="A1796" s="54">
        <f>IF(_imp!$C$1798="","",INDEX(_imp!$D$4:$D$4503,_imp!$C$1798))</f>
        <v/>
      </c>
      <c r="B1796" s="54">
        <f>IF(_imp!$C$1798="","",INDEX(_imp!$E$4:$E$4503,_imp!$C$1798))</f>
        <v/>
      </c>
      <c r="C1796" s="54">
        <f>IF(_imp!$C$1798="","",INDEX(_imp!$F$4:$F$4503,_imp!$C$1798))</f>
        <v/>
      </c>
      <c r="D1796" s="54">
        <f>IF(_imp!$C$1798="","",INDEX(_imp!$G$4:$G$4503,_imp!$C$1798))</f>
        <v/>
      </c>
      <c r="E1796" s="54">
        <f>IF(_imp!$C$1798="","",INDEX(_imp!$H$4:$H$4503,_imp!$C$1798))</f>
        <v/>
      </c>
      <c r="F1796" s="54">
        <f>IF(_imp!$C$1798="","",INDEX(_imp!$I$4:$I$4503,_imp!$C$1798))</f>
        <v/>
      </c>
      <c r="G1796" s="54">
        <f>IF(_imp!$C$1798="","",INDEX(_imp!$J$4:$J$4503,_imp!$C$1798))</f>
        <v/>
      </c>
      <c r="K1796" s="54">
        <f>IF(_imp!$C$1798="","",INDEX(_imp!$K$4:$K$4503,_imp!$C$1798))</f>
        <v/>
      </c>
    </row>
    <row r="1797">
      <c r="A1797" s="54">
        <f>IF(_imp!$C$1799="","",INDEX(_imp!$D$4:$D$4503,_imp!$C$1799))</f>
        <v/>
      </c>
      <c r="B1797" s="54">
        <f>IF(_imp!$C$1799="","",INDEX(_imp!$E$4:$E$4503,_imp!$C$1799))</f>
        <v/>
      </c>
      <c r="C1797" s="54">
        <f>IF(_imp!$C$1799="","",INDEX(_imp!$F$4:$F$4503,_imp!$C$1799))</f>
        <v/>
      </c>
      <c r="D1797" s="54">
        <f>IF(_imp!$C$1799="","",INDEX(_imp!$G$4:$G$4503,_imp!$C$1799))</f>
        <v/>
      </c>
      <c r="E1797" s="54">
        <f>IF(_imp!$C$1799="","",INDEX(_imp!$H$4:$H$4503,_imp!$C$1799))</f>
        <v/>
      </c>
      <c r="F1797" s="54">
        <f>IF(_imp!$C$1799="","",INDEX(_imp!$I$4:$I$4503,_imp!$C$1799))</f>
        <v/>
      </c>
      <c r="G1797" s="54">
        <f>IF(_imp!$C$1799="","",INDEX(_imp!$J$4:$J$4503,_imp!$C$1799))</f>
        <v/>
      </c>
      <c r="K1797" s="54">
        <f>IF(_imp!$C$1799="","",INDEX(_imp!$K$4:$K$4503,_imp!$C$1799))</f>
        <v/>
      </c>
    </row>
    <row r="1798">
      <c r="A1798" s="54">
        <f>IF(_imp!$C$1800="","",INDEX(_imp!$D$4:$D$4503,_imp!$C$1800))</f>
        <v/>
      </c>
      <c r="B1798" s="54">
        <f>IF(_imp!$C$1800="","",INDEX(_imp!$E$4:$E$4503,_imp!$C$1800))</f>
        <v/>
      </c>
      <c r="C1798" s="54">
        <f>IF(_imp!$C$1800="","",INDEX(_imp!$F$4:$F$4503,_imp!$C$1800))</f>
        <v/>
      </c>
      <c r="D1798" s="54">
        <f>IF(_imp!$C$1800="","",INDEX(_imp!$G$4:$G$4503,_imp!$C$1800))</f>
        <v/>
      </c>
      <c r="E1798" s="54">
        <f>IF(_imp!$C$1800="","",INDEX(_imp!$H$4:$H$4503,_imp!$C$1800))</f>
        <v/>
      </c>
      <c r="F1798" s="54">
        <f>IF(_imp!$C$1800="","",INDEX(_imp!$I$4:$I$4503,_imp!$C$1800))</f>
        <v/>
      </c>
      <c r="G1798" s="54">
        <f>IF(_imp!$C$1800="","",INDEX(_imp!$J$4:$J$4503,_imp!$C$1800))</f>
        <v/>
      </c>
      <c r="K1798" s="54">
        <f>IF(_imp!$C$1800="","",INDEX(_imp!$K$4:$K$4503,_imp!$C$1800))</f>
        <v/>
      </c>
    </row>
    <row r="1799">
      <c r="A1799" s="54">
        <f>IF(_imp!$C$1801="","",INDEX(_imp!$D$4:$D$4503,_imp!$C$1801))</f>
        <v/>
      </c>
      <c r="B1799" s="54">
        <f>IF(_imp!$C$1801="","",INDEX(_imp!$E$4:$E$4503,_imp!$C$1801))</f>
        <v/>
      </c>
      <c r="C1799" s="54">
        <f>IF(_imp!$C$1801="","",INDEX(_imp!$F$4:$F$4503,_imp!$C$1801))</f>
        <v/>
      </c>
      <c r="D1799" s="54">
        <f>IF(_imp!$C$1801="","",INDEX(_imp!$G$4:$G$4503,_imp!$C$1801))</f>
        <v/>
      </c>
      <c r="E1799" s="54">
        <f>IF(_imp!$C$1801="","",INDEX(_imp!$H$4:$H$4503,_imp!$C$1801))</f>
        <v/>
      </c>
      <c r="F1799" s="54">
        <f>IF(_imp!$C$1801="","",INDEX(_imp!$I$4:$I$4503,_imp!$C$1801))</f>
        <v/>
      </c>
      <c r="G1799" s="54">
        <f>IF(_imp!$C$1801="","",INDEX(_imp!$J$4:$J$4503,_imp!$C$1801))</f>
        <v/>
      </c>
      <c r="K1799" s="54">
        <f>IF(_imp!$C$1801="","",INDEX(_imp!$K$4:$K$4503,_imp!$C$1801))</f>
        <v/>
      </c>
    </row>
    <row r="1800">
      <c r="A1800" s="54">
        <f>IF(_imp!$C$1802="","",INDEX(_imp!$D$4:$D$4503,_imp!$C$1802))</f>
        <v/>
      </c>
      <c r="B1800" s="54">
        <f>IF(_imp!$C$1802="","",INDEX(_imp!$E$4:$E$4503,_imp!$C$1802))</f>
        <v/>
      </c>
      <c r="C1800" s="54">
        <f>IF(_imp!$C$1802="","",INDEX(_imp!$F$4:$F$4503,_imp!$C$1802))</f>
        <v/>
      </c>
      <c r="D1800" s="54">
        <f>IF(_imp!$C$1802="","",INDEX(_imp!$G$4:$G$4503,_imp!$C$1802))</f>
        <v/>
      </c>
      <c r="E1800" s="54">
        <f>IF(_imp!$C$1802="","",INDEX(_imp!$H$4:$H$4503,_imp!$C$1802))</f>
        <v/>
      </c>
      <c r="F1800" s="54">
        <f>IF(_imp!$C$1802="","",INDEX(_imp!$I$4:$I$4503,_imp!$C$1802))</f>
        <v/>
      </c>
      <c r="G1800" s="54">
        <f>IF(_imp!$C$1802="","",INDEX(_imp!$J$4:$J$4503,_imp!$C$1802))</f>
        <v/>
      </c>
      <c r="K1800" s="54">
        <f>IF(_imp!$C$1802="","",INDEX(_imp!$K$4:$K$4503,_imp!$C$1802))</f>
        <v/>
      </c>
    </row>
    <row r="1801">
      <c r="A1801" s="54">
        <f>IF(_imp!$C$1803="","",INDEX(_imp!$D$4:$D$4503,_imp!$C$1803))</f>
        <v/>
      </c>
      <c r="B1801" s="54">
        <f>IF(_imp!$C$1803="","",INDEX(_imp!$E$4:$E$4503,_imp!$C$1803))</f>
        <v/>
      </c>
      <c r="C1801" s="54">
        <f>IF(_imp!$C$1803="","",INDEX(_imp!$F$4:$F$4503,_imp!$C$1803))</f>
        <v/>
      </c>
      <c r="D1801" s="54">
        <f>IF(_imp!$C$1803="","",INDEX(_imp!$G$4:$G$4503,_imp!$C$1803))</f>
        <v/>
      </c>
      <c r="E1801" s="54">
        <f>IF(_imp!$C$1803="","",INDEX(_imp!$H$4:$H$4503,_imp!$C$1803))</f>
        <v/>
      </c>
      <c r="F1801" s="54">
        <f>IF(_imp!$C$1803="","",INDEX(_imp!$I$4:$I$4503,_imp!$C$1803))</f>
        <v/>
      </c>
      <c r="G1801" s="54">
        <f>IF(_imp!$C$1803="","",INDEX(_imp!$J$4:$J$4503,_imp!$C$1803))</f>
        <v/>
      </c>
      <c r="K1801" s="54">
        <f>IF(_imp!$C$1803="","",INDEX(_imp!$K$4:$K$4503,_imp!$C$1803))</f>
        <v/>
      </c>
    </row>
    <row r="1802">
      <c r="A1802" s="54">
        <f>IF(_imp!$C$1804="","",INDEX(_imp!$D$4:$D$4503,_imp!$C$1804))</f>
        <v/>
      </c>
      <c r="B1802" s="54">
        <f>IF(_imp!$C$1804="","",INDEX(_imp!$E$4:$E$4503,_imp!$C$1804))</f>
        <v/>
      </c>
      <c r="C1802" s="54">
        <f>IF(_imp!$C$1804="","",INDEX(_imp!$F$4:$F$4503,_imp!$C$1804))</f>
        <v/>
      </c>
      <c r="D1802" s="54">
        <f>IF(_imp!$C$1804="","",INDEX(_imp!$G$4:$G$4503,_imp!$C$1804))</f>
        <v/>
      </c>
      <c r="E1802" s="54">
        <f>IF(_imp!$C$1804="","",INDEX(_imp!$H$4:$H$4503,_imp!$C$1804))</f>
        <v/>
      </c>
      <c r="F1802" s="54">
        <f>IF(_imp!$C$1804="","",INDEX(_imp!$I$4:$I$4503,_imp!$C$1804))</f>
        <v/>
      </c>
      <c r="G1802" s="54">
        <f>IF(_imp!$C$1804="","",INDEX(_imp!$J$4:$J$4503,_imp!$C$1804))</f>
        <v/>
      </c>
      <c r="K1802" s="54">
        <f>IF(_imp!$C$1804="","",INDEX(_imp!$K$4:$K$4503,_imp!$C$1804))</f>
        <v/>
      </c>
    </row>
    <row r="1803">
      <c r="A1803" s="54">
        <f>IF(_imp!$C$1805="","",INDEX(_imp!$D$4:$D$4503,_imp!$C$1805))</f>
        <v/>
      </c>
      <c r="B1803" s="54">
        <f>IF(_imp!$C$1805="","",INDEX(_imp!$E$4:$E$4503,_imp!$C$1805))</f>
        <v/>
      </c>
      <c r="C1803" s="54">
        <f>IF(_imp!$C$1805="","",INDEX(_imp!$F$4:$F$4503,_imp!$C$1805))</f>
        <v/>
      </c>
      <c r="D1803" s="54">
        <f>IF(_imp!$C$1805="","",INDEX(_imp!$G$4:$G$4503,_imp!$C$1805))</f>
        <v/>
      </c>
      <c r="E1803" s="54">
        <f>IF(_imp!$C$1805="","",INDEX(_imp!$H$4:$H$4503,_imp!$C$1805))</f>
        <v/>
      </c>
      <c r="F1803" s="54">
        <f>IF(_imp!$C$1805="","",INDEX(_imp!$I$4:$I$4503,_imp!$C$1805))</f>
        <v/>
      </c>
      <c r="G1803" s="54">
        <f>IF(_imp!$C$1805="","",INDEX(_imp!$J$4:$J$4503,_imp!$C$1805))</f>
        <v/>
      </c>
      <c r="K1803" s="54">
        <f>IF(_imp!$C$1805="","",INDEX(_imp!$K$4:$K$4503,_imp!$C$1805))</f>
        <v/>
      </c>
    </row>
    <row r="1804">
      <c r="A1804" s="54">
        <f>IF(_imp!$C$1806="","",INDEX(_imp!$D$4:$D$4503,_imp!$C$1806))</f>
        <v/>
      </c>
      <c r="B1804" s="54">
        <f>IF(_imp!$C$1806="","",INDEX(_imp!$E$4:$E$4503,_imp!$C$1806))</f>
        <v/>
      </c>
      <c r="C1804" s="54">
        <f>IF(_imp!$C$1806="","",INDEX(_imp!$F$4:$F$4503,_imp!$C$1806))</f>
        <v/>
      </c>
      <c r="D1804" s="54">
        <f>IF(_imp!$C$1806="","",INDEX(_imp!$G$4:$G$4503,_imp!$C$1806))</f>
        <v/>
      </c>
      <c r="E1804" s="54">
        <f>IF(_imp!$C$1806="","",INDEX(_imp!$H$4:$H$4503,_imp!$C$1806))</f>
        <v/>
      </c>
      <c r="F1804" s="54">
        <f>IF(_imp!$C$1806="","",INDEX(_imp!$I$4:$I$4503,_imp!$C$1806))</f>
        <v/>
      </c>
      <c r="G1804" s="54">
        <f>IF(_imp!$C$1806="","",INDEX(_imp!$J$4:$J$4503,_imp!$C$1806))</f>
        <v/>
      </c>
      <c r="K1804" s="54">
        <f>IF(_imp!$C$1806="","",INDEX(_imp!$K$4:$K$4503,_imp!$C$1806))</f>
        <v/>
      </c>
    </row>
    <row r="1805">
      <c r="A1805" s="54">
        <f>IF(_imp!$C$1807="","",INDEX(_imp!$D$4:$D$4503,_imp!$C$1807))</f>
        <v/>
      </c>
      <c r="B1805" s="54">
        <f>IF(_imp!$C$1807="","",INDEX(_imp!$E$4:$E$4503,_imp!$C$1807))</f>
        <v/>
      </c>
      <c r="C1805" s="54">
        <f>IF(_imp!$C$1807="","",INDEX(_imp!$F$4:$F$4503,_imp!$C$1807))</f>
        <v/>
      </c>
      <c r="D1805" s="54">
        <f>IF(_imp!$C$1807="","",INDEX(_imp!$G$4:$G$4503,_imp!$C$1807))</f>
        <v/>
      </c>
      <c r="E1805" s="54">
        <f>IF(_imp!$C$1807="","",INDEX(_imp!$H$4:$H$4503,_imp!$C$1807))</f>
        <v/>
      </c>
      <c r="F1805" s="54">
        <f>IF(_imp!$C$1807="","",INDEX(_imp!$I$4:$I$4503,_imp!$C$1807))</f>
        <v/>
      </c>
      <c r="G1805" s="54">
        <f>IF(_imp!$C$1807="","",INDEX(_imp!$J$4:$J$4503,_imp!$C$1807))</f>
        <v/>
      </c>
      <c r="K1805" s="54">
        <f>IF(_imp!$C$1807="","",INDEX(_imp!$K$4:$K$4503,_imp!$C$1807))</f>
        <v/>
      </c>
    </row>
    <row r="1806">
      <c r="A1806" s="54">
        <f>IF(_imp!$C$1808="","",INDEX(_imp!$D$4:$D$4503,_imp!$C$1808))</f>
        <v/>
      </c>
      <c r="B1806" s="54">
        <f>IF(_imp!$C$1808="","",INDEX(_imp!$E$4:$E$4503,_imp!$C$1808))</f>
        <v/>
      </c>
      <c r="C1806" s="54">
        <f>IF(_imp!$C$1808="","",INDEX(_imp!$F$4:$F$4503,_imp!$C$1808))</f>
        <v/>
      </c>
      <c r="D1806" s="54">
        <f>IF(_imp!$C$1808="","",INDEX(_imp!$G$4:$G$4503,_imp!$C$1808))</f>
        <v/>
      </c>
      <c r="E1806" s="54">
        <f>IF(_imp!$C$1808="","",INDEX(_imp!$H$4:$H$4503,_imp!$C$1808))</f>
        <v/>
      </c>
      <c r="F1806" s="54">
        <f>IF(_imp!$C$1808="","",INDEX(_imp!$I$4:$I$4503,_imp!$C$1808))</f>
        <v/>
      </c>
      <c r="G1806" s="54">
        <f>IF(_imp!$C$1808="","",INDEX(_imp!$J$4:$J$4503,_imp!$C$1808))</f>
        <v/>
      </c>
      <c r="K1806" s="54">
        <f>IF(_imp!$C$1808="","",INDEX(_imp!$K$4:$K$4503,_imp!$C$1808))</f>
        <v/>
      </c>
    </row>
    <row r="1807">
      <c r="A1807" s="54">
        <f>IF(_imp!$C$1809="","",INDEX(_imp!$D$4:$D$4503,_imp!$C$1809))</f>
        <v/>
      </c>
      <c r="B1807" s="54">
        <f>IF(_imp!$C$1809="","",INDEX(_imp!$E$4:$E$4503,_imp!$C$1809))</f>
        <v/>
      </c>
      <c r="C1807" s="54">
        <f>IF(_imp!$C$1809="","",INDEX(_imp!$F$4:$F$4503,_imp!$C$1809))</f>
        <v/>
      </c>
      <c r="D1807" s="54">
        <f>IF(_imp!$C$1809="","",INDEX(_imp!$G$4:$G$4503,_imp!$C$1809))</f>
        <v/>
      </c>
      <c r="E1807" s="54">
        <f>IF(_imp!$C$1809="","",INDEX(_imp!$H$4:$H$4503,_imp!$C$1809))</f>
        <v/>
      </c>
      <c r="F1807" s="54">
        <f>IF(_imp!$C$1809="","",INDEX(_imp!$I$4:$I$4503,_imp!$C$1809))</f>
        <v/>
      </c>
      <c r="G1807" s="54">
        <f>IF(_imp!$C$1809="","",INDEX(_imp!$J$4:$J$4503,_imp!$C$1809))</f>
        <v/>
      </c>
      <c r="K1807" s="54">
        <f>IF(_imp!$C$1809="","",INDEX(_imp!$K$4:$K$4503,_imp!$C$1809))</f>
        <v/>
      </c>
    </row>
    <row r="1808">
      <c r="A1808" s="54">
        <f>IF(_imp!$C$1810="","",INDEX(_imp!$D$4:$D$4503,_imp!$C$1810))</f>
        <v/>
      </c>
      <c r="B1808" s="54">
        <f>IF(_imp!$C$1810="","",INDEX(_imp!$E$4:$E$4503,_imp!$C$1810))</f>
        <v/>
      </c>
      <c r="C1808" s="54">
        <f>IF(_imp!$C$1810="","",INDEX(_imp!$F$4:$F$4503,_imp!$C$1810))</f>
        <v/>
      </c>
      <c r="D1808" s="54">
        <f>IF(_imp!$C$1810="","",INDEX(_imp!$G$4:$G$4503,_imp!$C$1810))</f>
        <v/>
      </c>
      <c r="E1808" s="54">
        <f>IF(_imp!$C$1810="","",INDEX(_imp!$H$4:$H$4503,_imp!$C$1810))</f>
        <v/>
      </c>
      <c r="F1808" s="54">
        <f>IF(_imp!$C$1810="","",INDEX(_imp!$I$4:$I$4503,_imp!$C$1810))</f>
        <v/>
      </c>
      <c r="G1808" s="54">
        <f>IF(_imp!$C$1810="","",INDEX(_imp!$J$4:$J$4503,_imp!$C$1810))</f>
        <v/>
      </c>
      <c r="K1808" s="54">
        <f>IF(_imp!$C$1810="","",INDEX(_imp!$K$4:$K$4503,_imp!$C$1810))</f>
        <v/>
      </c>
    </row>
    <row r="1809">
      <c r="A1809" s="54">
        <f>IF(_imp!$C$1811="","",INDEX(_imp!$D$4:$D$4503,_imp!$C$1811))</f>
        <v/>
      </c>
      <c r="B1809" s="54">
        <f>IF(_imp!$C$1811="","",INDEX(_imp!$E$4:$E$4503,_imp!$C$1811))</f>
        <v/>
      </c>
      <c r="C1809" s="54">
        <f>IF(_imp!$C$1811="","",INDEX(_imp!$F$4:$F$4503,_imp!$C$1811))</f>
        <v/>
      </c>
      <c r="D1809" s="54">
        <f>IF(_imp!$C$1811="","",INDEX(_imp!$G$4:$G$4503,_imp!$C$1811))</f>
        <v/>
      </c>
      <c r="E1809" s="54">
        <f>IF(_imp!$C$1811="","",INDEX(_imp!$H$4:$H$4503,_imp!$C$1811))</f>
        <v/>
      </c>
      <c r="F1809" s="54">
        <f>IF(_imp!$C$1811="","",INDEX(_imp!$I$4:$I$4503,_imp!$C$1811))</f>
        <v/>
      </c>
      <c r="G1809" s="54">
        <f>IF(_imp!$C$1811="","",INDEX(_imp!$J$4:$J$4503,_imp!$C$1811))</f>
        <v/>
      </c>
      <c r="K1809" s="54">
        <f>IF(_imp!$C$1811="","",INDEX(_imp!$K$4:$K$4503,_imp!$C$1811))</f>
        <v/>
      </c>
    </row>
    <row r="1810">
      <c r="A1810" s="54">
        <f>IF(_imp!$C$1812="","",INDEX(_imp!$D$4:$D$4503,_imp!$C$1812))</f>
        <v/>
      </c>
      <c r="B1810" s="54">
        <f>IF(_imp!$C$1812="","",INDEX(_imp!$E$4:$E$4503,_imp!$C$1812))</f>
        <v/>
      </c>
      <c r="C1810" s="54">
        <f>IF(_imp!$C$1812="","",INDEX(_imp!$F$4:$F$4503,_imp!$C$1812))</f>
        <v/>
      </c>
      <c r="D1810" s="54">
        <f>IF(_imp!$C$1812="","",INDEX(_imp!$G$4:$G$4503,_imp!$C$1812))</f>
        <v/>
      </c>
      <c r="E1810" s="54">
        <f>IF(_imp!$C$1812="","",INDEX(_imp!$H$4:$H$4503,_imp!$C$1812))</f>
        <v/>
      </c>
      <c r="F1810" s="54">
        <f>IF(_imp!$C$1812="","",INDEX(_imp!$I$4:$I$4503,_imp!$C$1812))</f>
        <v/>
      </c>
      <c r="G1810" s="54">
        <f>IF(_imp!$C$1812="","",INDEX(_imp!$J$4:$J$4503,_imp!$C$1812))</f>
        <v/>
      </c>
      <c r="K1810" s="54">
        <f>IF(_imp!$C$1812="","",INDEX(_imp!$K$4:$K$4503,_imp!$C$1812))</f>
        <v/>
      </c>
    </row>
    <row r="1811">
      <c r="A1811" s="54">
        <f>IF(_imp!$C$1813="","",INDEX(_imp!$D$4:$D$4503,_imp!$C$1813))</f>
        <v/>
      </c>
      <c r="B1811" s="54">
        <f>IF(_imp!$C$1813="","",INDEX(_imp!$E$4:$E$4503,_imp!$C$1813))</f>
        <v/>
      </c>
      <c r="C1811" s="54">
        <f>IF(_imp!$C$1813="","",INDEX(_imp!$F$4:$F$4503,_imp!$C$1813))</f>
        <v/>
      </c>
      <c r="D1811" s="54">
        <f>IF(_imp!$C$1813="","",INDEX(_imp!$G$4:$G$4503,_imp!$C$1813))</f>
        <v/>
      </c>
      <c r="E1811" s="54">
        <f>IF(_imp!$C$1813="","",INDEX(_imp!$H$4:$H$4503,_imp!$C$1813))</f>
        <v/>
      </c>
      <c r="F1811" s="54">
        <f>IF(_imp!$C$1813="","",INDEX(_imp!$I$4:$I$4503,_imp!$C$1813))</f>
        <v/>
      </c>
      <c r="G1811" s="54">
        <f>IF(_imp!$C$1813="","",INDEX(_imp!$J$4:$J$4503,_imp!$C$1813))</f>
        <v/>
      </c>
      <c r="K1811" s="54">
        <f>IF(_imp!$C$1813="","",INDEX(_imp!$K$4:$K$4503,_imp!$C$1813))</f>
        <v/>
      </c>
    </row>
    <row r="1812">
      <c r="A1812" s="54">
        <f>IF(_imp!$C$1814="","",INDEX(_imp!$D$4:$D$4503,_imp!$C$1814))</f>
        <v/>
      </c>
      <c r="B1812" s="54">
        <f>IF(_imp!$C$1814="","",INDEX(_imp!$E$4:$E$4503,_imp!$C$1814))</f>
        <v/>
      </c>
      <c r="C1812" s="54">
        <f>IF(_imp!$C$1814="","",INDEX(_imp!$F$4:$F$4503,_imp!$C$1814))</f>
        <v/>
      </c>
      <c r="D1812" s="54">
        <f>IF(_imp!$C$1814="","",INDEX(_imp!$G$4:$G$4503,_imp!$C$1814))</f>
        <v/>
      </c>
      <c r="E1812" s="54">
        <f>IF(_imp!$C$1814="","",INDEX(_imp!$H$4:$H$4503,_imp!$C$1814))</f>
        <v/>
      </c>
      <c r="F1812" s="54">
        <f>IF(_imp!$C$1814="","",INDEX(_imp!$I$4:$I$4503,_imp!$C$1814))</f>
        <v/>
      </c>
      <c r="G1812" s="54">
        <f>IF(_imp!$C$1814="","",INDEX(_imp!$J$4:$J$4503,_imp!$C$1814))</f>
        <v/>
      </c>
      <c r="K1812" s="54">
        <f>IF(_imp!$C$1814="","",INDEX(_imp!$K$4:$K$4503,_imp!$C$1814))</f>
        <v/>
      </c>
    </row>
    <row r="1813">
      <c r="A1813" s="54">
        <f>IF(_imp!$C$1815="","",INDEX(_imp!$D$4:$D$4503,_imp!$C$1815))</f>
        <v/>
      </c>
      <c r="B1813" s="54">
        <f>IF(_imp!$C$1815="","",INDEX(_imp!$E$4:$E$4503,_imp!$C$1815))</f>
        <v/>
      </c>
      <c r="C1813" s="54">
        <f>IF(_imp!$C$1815="","",INDEX(_imp!$F$4:$F$4503,_imp!$C$1815))</f>
        <v/>
      </c>
      <c r="D1813" s="54">
        <f>IF(_imp!$C$1815="","",INDEX(_imp!$G$4:$G$4503,_imp!$C$1815))</f>
        <v/>
      </c>
      <c r="E1813" s="54">
        <f>IF(_imp!$C$1815="","",INDEX(_imp!$H$4:$H$4503,_imp!$C$1815))</f>
        <v/>
      </c>
      <c r="F1813" s="54">
        <f>IF(_imp!$C$1815="","",INDEX(_imp!$I$4:$I$4503,_imp!$C$1815))</f>
        <v/>
      </c>
      <c r="G1813" s="54">
        <f>IF(_imp!$C$1815="","",INDEX(_imp!$J$4:$J$4503,_imp!$C$1815))</f>
        <v/>
      </c>
      <c r="K1813" s="54">
        <f>IF(_imp!$C$1815="","",INDEX(_imp!$K$4:$K$4503,_imp!$C$1815))</f>
        <v/>
      </c>
    </row>
    <row r="1814">
      <c r="A1814" s="54">
        <f>IF(_imp!$C$1816="","",INDEX(_imp!$D$4:$D$4503,_imp!$C$1816))</f>
        <v/>
      </c>
      <c r="B1814" s="54">
        <f>IF(_imp!$C$1816="","",INDEX(_imp!$E$4:$E$4503,_imp!$C$1816))</f>
        <v/>
      </c>
      <c r="C1814" s="54">
        <f>IF(_imp!$C$1816="","",INDEX(_imp!$F$4:$F$4503,_imp!$C$1816))</f>
        <v/>
      </c>
      <c r="D1814" s="54">
        <f>IF(_imp!$C$1816="","",INDEX(_imp!$G$4:$G$4503,_imp!$C$1816))</f>
        <v/>
      </c>
      <c r="E1814" s="54">
        <f>IF(_imp!$C$1816="","",INDEX(_imp!$H$4:$H$4503,_imp!$C$1816))</f>
        <v/>
      </c>
      <c r="F1814" s="54">
        <f>IF(_imp!$C$1816="","",INDEX(_imp!$I$4:$I$4503,_imp!$C$1816))</f>
        <v/>
      </c>
      <c r="G1814" s="54">
        <f>IF(_imp!$C$1816="","",INDEX(_imp!$J$4:$J$4503,_imp!$C$1816))</f>
        <v/>
      </c>
      <c r="K1814" s="54">
        <f>IF(_imp!$C$1816="","",INDEX(_imp!$K$4:$K$4503,_imp!$C$1816))</f>
        <v/>
      </c>
    </row>
    <row r="1815">
      <c r="A1815" s="54">
        <f>IF(_imp!$C$1817="","",INDEX(_imp!$D$4:$D$4503,_imp!$C$1817))</f>
        <v/>
      </c>
      <c r="B1815" s="54">
        <f>IF(_imp!$C$1817="","",INDEX(_imp!$E$4:$E$4503,_imp!$C$1817))</f>
        <v/>
      </c>
      <c r="C1815" s="54">
        <f>IF(_imp!$C$1817="","",INDEX(_imp!$F$4:$F$4503,_imp!$C$1817))</f>
        <v/>
      </c>
      <c r="D1815" s="54">
        <f>IF(_imp!$C$1817="","",INDEX(_imp!$G$4:$G$4503,_imp!$C$1817))</f>
        <v/>
      </c>
      <c r="E1815" s="54">
        <f>IF(_imp!$C$1817="","",INDEX(_imp!$H$4:$H$4503,_imp!$C$1817))</f>
        <v/>
      </c>
      <c r="F1815" s="54">
        <f>IF(_imp!$C$1817="","",INDEX(_imp!$I$4:$I$4503,_imp!$C$1817))</f>
        <v/>
      </c>
      <c r="G1815" s="54">
        <f>IF(_imp!$C$1817="","",INDEX(_imp!$J$4:$J$4503,_imp!$C$1817))</f>
        <v/>
      </c>
      <c r="K1815" s="54">
        <f>IF(_imp!$C$1817="","",INDEX(_imp!$K$4:$K$4503,_imp!$C$1817))</f>
        <v/>
      </c>
    </row>
    <row r="1816">
      <c r="A1816" s="54">
        <f>IF(_imp!$C$1818="","",INDEX(_imp!$D$4:$D$4503,_imp!$C$1818))</f>
        <v/>
      </c>
      <c r="B1816" s="54">
        <f>IF(_imp!$C$1818="","",INDEX(_imp!$E$4:$E$4503,_imp!$C$1818))</f>
        <v/>
      </c>
      <c r="C1816" s="54">
        <f>IF(_imp!$C$1818="","",INDEX(_imp!$F$4:$F$4503,_imp!$C$1818))</f>
        <v/>
      </c>
      <c r="D1816" s="54">
        <f>IF(_imp!$C$1818="","",INDEX(_imp!$G$4:$G$4503,_imp!$C$1818))</f>
        <v/>
      </c>
      <c r="E1816" s="54">
        <f>IF(_imp!$C$1818="","",INDEX(_imp!$H$4:$H$4503,_imp!$C$1818))</f>
        <v/>
      </c>
      <c r="F1816" s="54">
        <f>IF(_imp!$C$1818="","",INDEX(_imp!$I$4:$I$4503,_imp!$C$1818))</f>
        <v/>
      </c>
      <c r="G1816" s="54">
        <f>IF(_imp!$C$1818="","",INDEX(_imp!$J$4:$J$4503,_imp!$C$1818))</f>
        <v/>
      </c>
      <c r="K1816" s="54">
        <f>IF(_imp!$C$1818="","",INDEX(_imp!$K$4:$K$4503,_imp!$C$1818))</f>
        <v/>
      </c>
    </row>
    <row r="1817">
      <c r="A1817" s="54">
        <f>IF(_imp!$C$1819="","",INDEX(_imp!$D$4:$D$4503,_imp!$C$1819))</f>
        <v/>
      </c>
      <c r="B1817" s="54">
        <f>IF(_imp!$C$1819="","",INDEX(_imp!$E$4:$E$4503,_imp!$C$1819))</f>
        <v/>
      </c>
      <c r="C1817" s="54">
        <f>IF(_imp!$C$1819="","",INDEX(_imp!$F$4:$F$4503,_imp!$C$1819))</f>
        <v/>
      </c>
      <c r="D1817" s="54">
        <f>IF(_imp!$C$1819="","",INDEX(_imp!$G$4:$G$4503,_imp!$C$1819))</f>
        <v/>
      </c>
      <c r="E1817" s="54">
        <f>IF(_imp!$C$1819="","",INDEX(_imp!$H$4:$H$4503,_imp!$C$1819))</f>
        <v/>
      </c>
      <c r="F1817" s="54">
        <f>IF(_imp!$C$1819="","",INDEX(_imp!$I$4:$I$4503,_imp!$C$1819))</f>
        <v/>
      </c>
      <c r="G1817" s="54">
        <f>IF(_imp!$C$1819="","",INDEX(_imp!$J$4:$J$4503,_imp!$C$1819))</f>
        <v/>
      </c>
      <c r="K1817" s="54">
        <f>IF(_imp!$C$1819="","",INDEX(_imp!$K$4:$K$4503,_imp!$C$1819))</f>
        <v/>
      </c>
    </row>
    <row r="1818">
      <c r="A1818" s="54">
        <f>IF(_imp!$C$1820="","",INDEX(_imp!$D$4:$D$4503,_imp!$C$1820))</f>
        <v/>
      </c>
      <c r="B1818" s="54">
        <f>IF(_imp!$C$1820="","",INDEX(_imp!$E$4:$E$4503,_imp!$C$1820))</f>
        <v/>
      </c>
      <c r="C1818" s="54">
        <f>IF(_imp!$C$1820="","",INDEX(_imp!$F$4:$F$4503,_imp!$C$1820))</f>
        <v/>
      </c>
      <c r="D1818" s="54">
        <f>IF(_imp!$C$1820="","",INDEX(_imp!$G$4:$G$4503,_imp!$C$1820))</f>
        <v/>
      </c>
      <c r="E1818" s="54">
        <f>IF(_imp!$C$1820="","",INDEX(_imp!$H$4:$H$4503,_imp!$C$1820))</f>
        <v/>
      </c>
      <c r="F1818" s="54">
        <f>IF(_imp!$C$1820="","",INDEX(_imp!$I$4:$I$4503,_imp!$C$1820))</f>
        <v/>
      </c>
      <c r="G1818" s="54">
        <f>IF(_imp!$C$1820="","",INDEX(_imp!$J$4:$J$4503,_imp!$C$1820))</f>
        <v/>
      </c>
      <c r="K1818" s="54">
        <f>IF(_imp!$C$1820="","",INDEX(_imp!$K$4:$K$4503,_imp!$C$1820))</f>
        <v/>
      </c>
    </row>
    <row r="1819">
      <c r="A1819" s="54">
        <f>IF(_imp!$C$1821="","",INDEX(_imp!$D$4:$D$4503,_imp!$C$1821))</f>
        <v/>
      </c>
      <c r="B1819" s="54">
        <f>IF(_imp!$C$1821="","",INDEX(_imp!$E$4:$E$4503,_imp!$C$1821))</f>
        <v/>
      </c>
      <c r="C1819" s="54">
        <f>IF(_imp!$C$1821="","",INDEX(_imp!$F$4:$F$4503,_imp!$C$1821))</f>
        <v/>
      </c>
      <c r="D1819" s="54">
        <f>IF(_imp!$C$1821="","",INDEX(_imp!$G$4:$G$4503,_imp!$C$1821))</f>
        <v/>
      </c>
      <c r="E1819" s="54">
        <f>IF(_imp!$C$1821="","",INDEX(_imp!$H$4:$H$4503,_imp!$C$1821))</f>
        <v/>
      </c>
      <c r="F1819" s="54">
        <f>IF(_imp!$C$1821="","",INDEX(_imp!$I$4:$I$4503,_imp!$C$1821))</f>
        <v/>
      </c>
      <c r="G1819" s="54">
        <f>IF(_imp!$C$1821="","",INDEX(_imp!$J$4:$J$4503,_imp!$C$1821))</f>
        <v/>
      </c>
      <c r="K1819" s="54">
        <f>IF(_imp!$C$1821="","",INDEX(_imp!$K$4:$K$4503,_imp!$C$1821))</f>
        <v/>
      </c>
    </row>
    <row r="1820">
      <c r="A1820" s="54">
        <f>IF(_imp!$C$1822="","",INDEX(_imp!$D$4:$D$4503,_imp!$C$1822))</f>
        <v/>
      </c>
      <c r="B1820" s="54">
        <f>IF(_imp!$C$1822="","",INDEX(_imp!$E$4:$E$4503,_imp!$C$1822))</f>
        <v/>
      </c>
      <c r="C1820" s="54">
        <f>IF(_imp!$C$1822="","",INDEX(_imp!$F$4:$F$4503,_imp!$C$1822))</f>
        <v/>
      </c>
      <c r="D1820" s="54">
        <f>IF(_imp!$C$1822="","",INDEX(_imp!$G$4:$G$4503,_imp!$C$1822))</f>
        <v/>
      </c>
      <c r="E1820" s="54">
        <f>IF(_imp!$C$1822="","",INDEX(_imp!$H$4:$H$4503,_imp!$C$1822))</f>
        <v/>
      </c>
      <c r="F1820" s="54">
        <f>IF(_imp!$C$1822="","",INDEX(_imp!$I$4:$I$4503,_imp!$C$1822))</f>
        <v/>
      </c>
      <c r="G1820" s="54">
        <f>IF(_imp!$C$1822="","",INDEX(_imp!$J$4:$J$4503,_imp!$C$1822))</f>
        <v/>
      </c>
      <c r="K1820" s="54">
        <f>IF(_imp!$C$1822="","",INDEX(_imp!$K$4:$K$4503,_imp!$C$1822))</f>
        <v/>
      </c>
    </row>
    <row r="1821">
      <c r="A1821" s="54">
        <f>IF(_imp!$C$1823="","",INDEX(_imp!$D$4:$D$4503,_imp!$C$1823))</f>
        <v/>
      </c>
      <c r="B1821" s="54">
        <f>IF(_imp!$C$1823="","",INDEX(_imp!$E$4:$E$4503,_imp!$C$1823))</f>
        <v/>
      </c>
      <c r="C1821" s="54">
        <f>IF(_imp!$C$1823="","",INDEX(_imp!$F$4:$F$4503,_imp!$C$1823))</f>
        <v/>
      </c>
      <c r="D1821" s="54">
        <f>IF(_imp!$C$1823="","",INDEX(_imp!$G$4:$G$4503,_imp!$C$1823))</f>
        <v/>
      </c>
      <c r="E1821" s="54">
        <f>IF(_imp!$C$1823="","",INDEX(_imp!$H$4:$H$4503,_imp!$C$1823))</f>
        <v/>
      </c>
      <c r="F1821" s="54">
        <f>IF(_imp!$C$1823="","",INDEX(_imp!$I$4:$I$4503,_imp!$C$1823))</f>
        <v/>
      </c>
      <c r="G1821" s="54">
        <f>IF(_imp!$C$1823="","",INDEX(_imp!$J$4:$J$4503,_imp!$C$1823))</f>
        <v/>
      </c>
      <c r="K1821" s="54">
        <f>IF(_imp!$C$1823="","",INDEX(_imp!$K$4:$K$4503,_imp!$C$1823))</f>
        <v/>
      </c>
    </row>
    <row r="1822">
      <c r="A1822" s="54">
        <f>IF(_imp!$C$1824="","",INDEX(_imp!$D$4:$D$4503,_imp!$C$1824))</f>
        <v/>
      </c>
      <c r="B1822" s="54">
        <f>IF(_imp!$C$1824="","",INDEX(_imp!$E$4:$E$4503,_imp!$C$1824))</f>
        <v/>
      </c>
      <c r="C1822" s="54">
        <f>IF(_imp!$C$1824="","",INDEX(_imp!$F$4:$F$4503,_imp!$C$1824))</f>
        <v/>
      </c>
      <c r="D1822" s="54">
        <f>IF(_imp!$C$1824="","",INDEX(_imp!$G$4:$G$4503,_imp!$C$1824))</f>
        <v/>
      </c>
      <c r="E1822" s="54">
        <f>IF(_imp!$C$1824="","",INDEX(_imp!$H$4:$H$4503,_imp!$C$1824))</f>
        <v/>
      </c>
      <c r="F1822" s="54">
        <f>IF(_imp!$C$1824="","",INDEX(_imp!$I$4:$I$4503,_imp!$C$1824))</f>
        <v/>
      </c>
      <c r="G1822" s="54">
        <f>IF(_imp!$C$1824="","",INDEX(_imp!$J$4:$J$4503,_imp!$C$1824))</f>
        <v/>
      </c>
      <c r="K1822" s="54">
        <f>IF(_imp!$C$1824="","",INDEX(_imp!$K$4:$K$4503,_imp!$C$1824))</f>
        <v/>
      </c>
    </row>
    <row r="1823">
      <c r="A1823" s="54">
        <f>IF(_imp!$C$1825="","",INDEX(_imp!$D$4:$D$4503,_imp!$C$1825))</f>
        <v/>
      </c>
      <c r="B1823" s="54">
        <f>IF(_imp!$C$1825="","",INDEX(_imp!$E$4:$E$4503,_imp!$C$1825))</f>
        <v/>
      </c>
      <c r="C1823" s="54">
        <f>IF(_imp!$C$1825="","",INDEX(_imp!$F$4:$F$4503,_imp!$C$1825))</f>
        <v/>
      </c>
      <c r="D1823" s="54">
        <f>IF(_imp!$C$1825="","",INDEX(_imp!$G$4:$G$4503,_imp!$C$1825))</f>
        <v/>
      </c>
      <c r="E1823" s="54">
        <f>IF(_imp!$C$1825="","",INDEX(_imp!$H$4:$H$4503,_imp!$C$1825))</f>
        <v/>
      </c>
      <c r="F1823" s="54">
        <f>IF(_imp!$C$1825="","",INDEX(_imp!$I$4:$I$4503,_imp!$C$1825))</f>
        <v/>
      </c>
      <c r="G1823" s="54">
        <f>IF(_imp!$C$1825="","",INDEX(_imp!$J$4:$J$4503,_imp!$C$1825))</f>
        <v/>
      </c>
      <c r="K1823" s="54">
        <f>IF(_imp!$C$1825="","",INDEX(_imp!$K$4:$K$4503,_imp!$C$1825))</f>
        <v/>
      </c>
    </row>
    <row r="1824">
      <c r="A1824" s="54">
        <f>IF(_imp!$C$1826="","",INDEX(_imp!$D$4:$D$4503,_imp!$C$1826))</f>
        <v/>
      </c>
      <c r="B1824" s="54">
        <f>IF(_imp!$C$1826="","",INDEX(_imp!$E$4:$E$4503,_imp!$C$1826))</f>
        <v/>
      </c>
      <c r="C1824" s="54">
        <f>IF(_imp!$C$1826="","",INDEX(_imp!$F$4:$F$4503,_imp!$C$1826))</f>
        <v/>
      </c>
      <c r="D1824" s="54">
        <f>IF(_imp!$C$1826="","",INDEX(_imp!$G$4:$G$4503,_imp!$C$1826))</f>
        <v/>
      </c>
      <c r="E1824" s="54">
        <f>IF(_imp!$C$1826="","",INDEX(_imp!$H$4:$H$4503,_imp!$C$1826))</f>
        <v/>
      </c>
      <c r="F1824" s="54">
        <f>IF(_imp!$C$1826="","",INDEX(_imp!$I$4:$I$4503,_imp!$C$1826))</f>
        <v/>
      </c>
      <c r="G1824" s="54">
        <f>IF(_imp!$C$1826="","",INDEX(_imp!$J$4:$J$4503,_imp!$C$1826))</f>
        <v/>
      </c>
      <c r="K1824" s="54">
        <f>IF(_imp!$C$1826="","",INDEX(_imp!$K$4:$K$4503,_imp!$C$1826))</f>
        <v/>
      </c>
    </row>
    <row r="1825">
      <c r="A1825" s="54">
        <f>IF(_imp!$C$1827="","",INDEX(_imp!$D$4:$D$4503,_imp!$C$1827))</f>
        <v/>
      </c>
      <c r="B1825" s="54">
        <f>IF(_imp!$C$1827="","",INDEX(_imp!$E$4:$E$4503,_imp!$C$1827))</f>
        <v/>
      </c>
      <c r="C1825" s="54">
        <f>IF(_imp!$C$1827="","",INDEX(_imp!$F$4:$F$4503,_imp!$C$1827))</f>
        <v/>
      </c>
      <c r="D1825" s="54">
        <f>IF(_imp!$C$1827="","",INDEX(_imp!$G$4:$G$4503,_imp!$C$1827))</f>
        <v/>
      </c>
      <c r="E1825" s="54">
        <f>IF(_imp!$C$1827="","",INDEX(_imp!$H$4:$H$4503,_imp!$C$1827))</f>
        <v/>
      </c>
      <c r="F1825" s="54">
        <f>IF(_imp!$C$1827="","",INDEX(_imp!$I$4:$I$4503,_imp!$C$1827))</f>
        <v/>
      </c>
      <c r="G1825" s="54">
        <f>IF(_imp!$C$1827="","",INDEX(_imp!$J$4:$J$4503,_imp!$C$1827))</f>
        <v/>
      </c>
      <c r="K1825" s="54">
        <f>IF(_imp!$C$1827="","",INDEX(_imp!$K$4:$K$4503,_imp!$C$1827))</f>
        <v/>
      </c>
    </row>
    <row r="1826">
      <c r="A1826" s="54">
        <f>IF(_imp!$C$1828="","",INDEX(_imp!$D$4:$D$4503,_imp!$C$1828))</f>
        <v/>
      </c>
      <c r="B1826" s="54">
        <f>IF(_imp!$C$1828="","",INDEX(_imp!$E$4:$E$4503,_imp!$C$1828))</f>
        <v/>
      </c>
      <c r="C1826" s="54">
        <f>IF(_imp!$C$1828="","",INDEX(_imp!$F$4:$F$4503,_imp!$C$1828))</f>
        <v/>
      </c>
      <c r="D1826" s="54">
        <f>IF(_imp!$C$1828="","",INDEX(_imp!$G$4:$G$4503,_imp!$C$1828))</f>
        <v/>
      </c>
      <c r="E1826" s="54">
        <f>IF(_imp!$C$1828="","",INDEX(_imp!$H$4:$H$4503,_imp!$C$1828))</f>
        <v/>
      </c>
      <c r="F1826" s="54">
        <f>IF(_imp!$C$1828="","",INDEX(_imp!$I$4:$I$4503,_imp!$C$1828))</f>
        <v/>
      </c>
      <c r="G1826" s="54">
        <f>IF(_imp!$C$1828="","",INDEX(_imp!$J$4:$J$4503,_imp!$C$1828))</f>
        <v/>
      </c>
      <c r="K1826" s="54">
        <f>IF(_imp!$C$1828="","",INDEX(_imp!$K$4:$K$4503,_imp!$C$1828))</f>
        <v/>
      </c>
    </row>
    <row r="1827">
      <c r="A1827" s="54">
        <f>IF(_imp!$C$1829="","",INDEX(_imp!$D$4:$D$4503,_imp!$C$1829))</f>
        <v/>
      </c>
      <c r="B1827" s="54">
        <f>IF(_imp!$C$1829="","",INDEX(_imp!$E$4:$E$4503,_imp!$C$1829))</f>
        <v/>
      </c>
      <c r="C1827" s="54">
        <f>IF(_imp!$C$1829="","",INDEX(_imp!$F$4:$F$4503,_imp!$C$1829))</f>
        <v/>
      </c>
      <c r="D1827" s="54">
        <f>IF(_imp!$C$1829="","",INDEX(_imp!$G$4:$G$4503,_imp!$C$1829))</f>
        <v/>
      </c>
      <c r="E1827" s="54">
        <f>IF(_imp!$C$1829="","",INDEX(_imp!$H$4:$H$4503,_imp!$C$1829))</f>
        <v/>
      </c>
      <c r="F1827" s="54">
        <f>IF(_imp!$C$1829="","",INDEX(_imp!$I$4:$I$4503,_imp!$C$1829))</f>
        <v/>
      </c>
      <c r="G1827" s="54">
        <f>IF(_imp!$C$1829="","",INDEX(_imp!$J$4:$J$4503,_imp!$C$1829))</f>
        <v/>
      </c>
      <c r="K1827" s="54">
        <f>IF(_imp!$C$1829="","",INDEX(_imp!$K$4:$K$4503,_imp!$C$1829))</f>
        <v/>
      </c>
    </row>
    <row r="1828">
      <c r="A1828" s="54">
        <f>IF(_imp!$C$1830="","",INDEX(_imp!$D$4:$D$4503,_imp!$C$1830))</f>
        <v/>
      </c>
      <c r="B1828" s="54">
        <f>IF(_imp!$C$1830="","",INDEX(_imp!$E$4:$E$4503,_imp!$C$1830))</f>
        <v/>
      </c>
      <c r="C1828" s="54">
        <f>IF(_imp!$C$1830="","",INDEX(_imp!$F$4:$F$4503,_imp!$C$1830))</f>
        <v/>
      </c>
      <c r="D1828" s="54">
        <f>IF(_imp!$C$1830="","",INDEX(_imp!$G$4:$G$4503,_imp!$C$1830))</f>
        <v/>
      </c>
      <c r="E1828" s="54">
        <f>IF(_imp!$C$1830="","",INDEX(_imp!$H$4:$H$4503,_imp!$C$1830))</f>
        <v/>
      </c>
      <c r="F1828" s="54">
        <f>IF(_imp!$C$1830="","",INDEX(_imp!$I$4:$I$4503,_imp!$C$1830))</f>
        <v/>
      </c>
      <c r="G1828" s="54">
        <f>IF(_imp!$C$1830="","",INDEX(_imp!$J$4:$J$4503,_imp!$C$1830))</f>
        <v/>
      </c>
      <c r="K1828" s="54">
        <f>IF(_imp!$C$1830="","",INDEX(_imp!$K$4:$K$4503,_imp!$C$1830))</f>
        <v/>
      </c>
    </row>
    <row r="1829">
      <c r="A1829" s="54">
        <f>IF(_imp!$C$1831="","",INDEX(_imp!$D$4:$D$4503,_imp!$C$1831))</f>
        <v/>
      </c>
      <c r="B1829" s="54">
        <f>IF(_imp!$C$1831="","",INDEX(_imp!$E$4:$E$4503,_imp!$C$1831))</f>
        <v/>
      </c>
      <c r="C1829" s="54">
        <f>IF(_imp!$C$1831="","",INDEX(_imp!$F$4:$F$4503,_imp!$C$1831))</f>
        <v/>
      </c>
      <c r="D1829" s="54">
        <f>IF(_imp!$C$1831="","",INDEX(_imp!$G$4:$G$4503,_imp!$C$1831))</f>
        <v/>
      </c>
      <c r="E1829" s="54">
        <f>IF(_imp!$C$1831="","",INDEX(_imp!$H$4:$H$4503,_imp!$C$1831))</f>
        <v/>
      </c>
      <c r="F1829" s="54">
        <f>IF(_imp!$C$1831="","",INDEX(_imp!$I$4:$I$4503,_imp!$C$1831))</f>
        <v/>
      </c>
      <c r="G1829" s="54">
        <f>IF(_imp!$C$1831="","",INDEX(_imp!$J$4:$J$4503,_imp!$C$1831))</f>
        <v/>
      </c>
      <c r="K1829" s="54">
        <f>IF(_imp!$C$1831="","",INDEX(_imp!$K$4:$K$4503,_imp!$C$1831))</f>
        <v/>
      </c>
    </row>
    <row r="1830">
      <c r="A1830" s="54">
        <f>IF(_imp!$C$1832="","",INDEX(_imp!$D$4:$D$4503,_imp!$C$1832))</f>
        <v/>
      </c>
      <c r="B1830" s="54">
        <f>IF(_imp!$C$1832="","",INDEX(_imp!$E$4:$E$4503,_imp!$C$1832))</f>
        <v/>
      </c>
      <c r="C1830" s="54">
        <f>IF(_imp!$C$1832="","",INDEX(_imp!$F$4:$F$4503,_imp!$C$1832))</f>
        <v/>
      </c>
      <c r="D1830" s="54">
        <f>IF(_imp!$C$1832="","",INDEX(_imp!$G$4:$G$4503,_imp!$C$1832))</f>
        <v/>
      </c>
      <c r="E1830" s="54">
        <f>IF(_imp!$C$1832="","",INDEX(_imp!$H$4:$H$4503,_imp!$C$1832))</f>
        <v/>
      </c>
      <c r="F1830" s="54">
        <f>IF(_imp!$C$1832="","",INDEX(_imp!$I$4:$I$4503,_imp!$C$1832))</f>
        <v/>
      </c>
      <c r="G1830" s="54">
        <f>IF(_imp!$C$1832="","",INDEX(_imp!$J$4:$J$4503,_imp!$C$1832))</f>
        <v/>
      </c>
      <c r="K1830" s="54">
        <f>IF(_imp!$C$1832="","",INDEX(_imp!$K$4:$K$4503,_imp!$C$1832))</f>
        <v/>
      </c>
    </row>
    <row r="1831">
      <c r="A1831" s="54">
        <f>IF(_imp!$C$1833="","",INDEX(_imp!$D$4:$D$4503,_imp!$C$1833))</f>
        <v/>
      </c>
      <c r="B1831" s="54">
        <f>IF(_imp!$C$1833="","",INDEX(_imp!$E$4:$E$4503,_imp!$C$1833))</f>
        <v/>
      </c>
      <c r="C1831" s="54">
        <f>IF(_imp!$C$1833="","",INDEX(_imp!$F$4:$F$4503,_imp!$C$1833))</f>
        <v/>
      </c>
      <c r="D1831" s="54">
        <f>IF(_imp!$C$1833="","",INDEX(_imp!$G$4:$G$4503,_imp!$C$1833))</f>
        <v/>
      </c>
      <c r="E1831" s="54">
        <f>IF(_imp!$C$1833="","",INDEX(_imp!$H$4:$H$4503,_imp!$C$1833))</f>
        <v/>
      </c>
      <c r="F1831" s="54">
        <f>IF(_imp!$C$1833="","",INDEX(_imp!$I$4:$I$4503,_imp!$C$1833))</f>
        <v/>
      </c>
      <c r="G1831" s="54">
        <f>IF(_imp!$C$1833="","",INDEX(_imp!$J$4:$J$4503,_imp!$C$1833))</f>
        <v/>
      </c>
      <c r="K1831" s="54">
        <f>IF(_imp!$C$1833="","",INDEX(_imp!$K$4:$K$4503,_imp!$C$1833))</f>
        <v/>
      </c>
    </row>
    <row r="1832">
      <c r="A1832" s="54">
        <f>IF(_imp!$C$1834="","",INDEX(_imp!$D$4:$D$4503,_imp!$C$1834))</f>
        <v/>
      </c>
      <c r="B1832" s="54">
        <f>IF(_imp!$C$1834="","",INDEX(_imp!$E$4:$E$4503,_imp!$C$1834))</f>
        <v/>
      </c>
      <c r="C1832" s="54">
        <f>IF(_imp!$C$1834="","",INDEX(_imp!$F$4:$F$4503,_imp!$C$1834))</f>
        <v/>
      </c>
      <c r="D1832" s="54">
        <f>IF(_imp!$C$1834="","",INDEX(_imp!$G$4:$G$4503,_imp!$C$1834))</f>
        <v/>
      </c>
      <c r="E1832" s="54">
        <f>IF(_imp!$C$1834="","",INDEX(_imp!$H$4:$H$4503,_imp!$C$1834))</f>
        <v/>
      </c>
      <c r="F1832" s="54">
        <f>IF(_imp!$C$1834="","",INDEX(_imp!$I$4:$I$4503,_imp!$C$1834))</f>
        <v/>
      </c>
      <c r="G1832" s="54">
        <f>IF(_imp!$C$1834="","",INDEX(_imp!$J$4:$J$4503,_imp!$C$1834))</f>
        <v/>
      </c>
      <c r="K1832" s="54">
        <f>IF(_imp!$C$1834="","",INDEX(_imp!$K$4:$K$4503,_imp!$C$1834))</f>
        <v/>
      </c>
    </row>
    <row r="1833">
      <c r="A1833" s="54">
        <f>IF(_imp!$C$1835="","",INDEX(_imp!$D$4:$D$4503,_imp!$C$1835))</f>
        <v/>
      </c>
      <c r="B1833" s="54">
        <f>IF(_imp!$C$1835="","",INDEX(_imp!$E$4:$E$4503,_imp!$C$1835))</f>
        <v/>
      </c>
      <c r="C1833" s="54">
        <f>IF(_imp!$C$1835="","",INDEX(_imp!$F$4:$F$4503,_imp!$C$1835))</f>
        <v/>
      </c>
      <c r="D1833" s="54">
        <f>IF(_imp!$C$1835="","",INDEX(_imp!$G$4:$G$4503,_imp!$C$1835))</f>
        <v/>
      </c>
      <c r="E1833" s="54">
        <f>IF(_imp!$C$1835="","",INDEX(_imp!$H$4:$H$4503,_imp!$C$1835))</f>
        <v/>
      </c>
      <c r="F1833" s="54">
        <f>IF(_imp!$C$1835="","",INDEX(_imp!$I$4:$I$4503,_imp!$C$1835))</f>
        <v/>
      </c>
      <c r="G1833" s="54">
        <f>IF(_imp!$C$1835="","",INDEX(_imp!$J$4:$J$4503,_imp!$C$1835))</f>
        <v/>
      </c>
      <c r="K1833" s="54">
        <f>IF(_imp!$C$1835="","",INDEX(_imp!$K$4:$K$4503,_imp!$C$1835))</f>
        <v/>
      </c>
    </row>
    <row r="1834">
      <c r="A1834" s="54">
        <f>IF(_imp!$C$1836="","",INDEX(_imp!$D$4:$D$4503,_imp!$C$1836))</f>
        <v/>
      </c>
      <c r="B1834" s="54">
        <f>IF(_imp!$C$1836="","",INDEX(_imp!$E$4:$E$4503,_imp!$C$1836))</f>
        <v/>
      </c>
      <c r="C1834" s="54">
        <f>IF(_imp!$C$1836="","",INDEX(_imp!$F$4:$F$4503,_imp!$C$1836))</f>
        <v/>
      </c>
      <c r="D1834" s="54">
        <f>IF(_imp!$C$1836="","",INDEX(_imp!$G$4:$G$4503,_imp!$C$1836))</f>
        <v/>
      </c>
      <c r="E1834" s="54">
        <f>IF(_imp!$C$1836="","",INDEX(_imp!$H$4:$H$4503,_imp!$C$1836))</f>
        <v/>
      </c>
      <c r="F1834" s="54">
        <f>IF(_imp!$C$1836="","",INDEX(_imp!$I$4:$I$4503,_imp!$C$1836))</f>
        <v/>
      </c>
      <c r="G1834" s="54">
        <f>IF(_imp!$C$1836="","",INDEX(_imp!$J$4:$J$4503,_imp!$C$1836))</f>
        <v/>
      </c>
      <c r="K1834" s="54">
        <f>IF(_imp!$C$1836="","",INDEX(_imp!$K$4:$K$4503,_imp!$C$1836))</f>
        <v/>
      </c>
    </row>
    <row r="1835">
      <c r="A1835" s="54">
        <f>IF(_imp!$C$1837="","",INDEX(_imp!$D$4:$D$4503,_imp!$C$1837))</f>
        <v/>
      </c>
      <c r="B1835" s="54">
        <f>IF(_imp!$C$1837="","",INDEX(_imp!$E$4:$E$4503,_imp!$C$1837))</f>
        <v/>
      </c>
      <c r="C1835" s="54">
        <f>IF(_imp!$C$1837="","",INDEX(_imp!$F$4:$F$4503,_imp!$C$1837))</f>
        <v/>
      </c>
      <c r="D1835" s="54">
        <f>IF(_imp!$C$1837="","",INDEX(_imp!$G$4:$G$4503,_imp!$C$1837))</f>
        <v/>
      </c>
      <c r="E1835" s="54">
        <f>IF(_imp!$C$1837="","",INDEX(_imp!$H$4:$H$4503,_imp!$C$1837))</f>
        <v/>
      </c>
      <c r="F1835" s="54">
        <f>IF(_imp!$C$1837="","",INDEX(_imp!$I$4:$I$4503,_imp!$C$1837))</f>
        <v/>
      </c>
      <c r="G1835" s="54">
        <f>IF(_imp!$C$1837="","",INDEX(_imp!$J$4:$J$4503,_imp!$C$1837))</f>
        <v/>
      </c>
      <c r="K1835" s="54">
        <f>IF(_imp!$C$1837="","",INDEX(_imp!$K$4:$K$4503,_imp!$C$1837))</f>
        <v/>
      </c>
    </row>
    <row r="1836">
      <c r="A1836" s="54">
        <f>IF(_imp!$C$1838="","",INDEX(_imp!$D$4:$D$4503,_imp!$C$1838))</f>
        <v/>
      </c>
      <c r="B1836" s="54">
        <f>IF(_imp!$C$1838="","",INDEX(_imp!$E$4:$E$4503,_imp!$C$1838))</f>
        <v/>
      </c>
      <c r="C1836" s="54">
        <f>IF(_imp!$C$1838="","",INDEX(_imp!$F$4:$F$4503,_imp!$C$1838))</f>
        <v/>
      </c>
      <c r="D1836" s="54">
        <f>IF(_imp!$C$1838="","",INDEX(_imp!$G$4:$G$4503,_imp!$C$1838))</f>
        <v/>
      </c>
      <c r="E1836" s="54">
        <f>IF(_imp!$C$1838="","",INDEX(_imp!$H$4:$H$4503,_imp!$C$1838))</f>
        <v/>
      </c>
      <c r="F1836" s="54">
        <f>IF(_imp!$C$1838="","",INDEX(_imp!$I$4:$I$4503,_imp!$C$1838))</f>
        <v/>
      </c>
      <c r="G1836" s="54">
        <f>IF(_imp!$C$1838="","",INDEX(_imp!$J$4:$J$4503,_imp!$C$1838))</f>
        <v/>
      </c>
      <c r="K1836" s="54">
        <f>IF(_imp!$C$1838="","",INDEX(_imp!$K$4:$K$4503,_imp!$C$1838))</f>
        <v/>
      </c>
    </row>
    <row r="1837">
      <c r="A1837" s="54">
        <f>IF(_imp!$C$1839="","",INDEX(_imp!$D$4:$D$4503,_imp!$C$1839))</f>
        <v/>
      </c>
      <c r="B1837" s="54">
        <f>IF(_imp!$C$1839="","",INDEX(_imp!$E$4:$E$4503,_imp!$C$1839))</f>
        <v/>
      </c>
      <c r="C1837" s="54">
        <f>IF(_imp!$C$1839="","",INDEX(_imp!$F$4:$F$4503,_imp!$C$1839))</f>
        <v/>
      </c>
      <c r="D1837" s="54">
        <f>IF(_imp!$C$1839="","",INDEX(_imp!$G$4:$G$4503,_imp!$C$1839))</f>
        <v/>
      </c>
      <c r="E1837" s="54">
        <f>IF(_imp!$C$1839="","",INDEX(_imp!$H$4:$H$4503,_imp!$C$1839))</f>
        <v/>
      </c>
      <c r="F1837" s="54">
        <f>IF(_imp!$C$1839="","",INDEX(_imp!$I$4:$I$4503,_imp!$C$1839))</f>
        <v/>
      </c>
      <c r="G1837" s="54">
        <f>IF(_imp!$C$1839="","",INDEX(_imp!$J$4:$J$4503,_imp!$C$1839))</f>
        <v/>
      </c>
      <c r="K1837" s="54">
        <f>IF(_imp!$C$1839="","",INDEX(_imp!$K$4:$K$4503,_imp!$C$1839))</f>
        <v/>
      </c>
    </row>
    <row r="1838">
      <c r="A1838" s="54">
        <f>IF(_imp!$C$1840="","",INDEX(_imp!$D$4:$D$4503,_imp!$C$1840))</f>
        <v/>
      </c>
      <c r="B1838" s="54">
        <f>IF(_imp!$C$1840="","",INDEX(_imp!$E$4:$E$4503,_imp!$C$1840))</f>
        <v/>
      </c>
      <c r="C1838" s="54">
        <f>IF(_imp!$C$1840="","",INDEX(_imp!$F$4:$F$4503,_imp!$C$1840))</f>
        <v/>
      </c>
      <c r="D1838" s="54">
        <f>IF(_imp!$C$1840="","",INDEX(_imp!$G$4:$G$4503,_imp!$C$1840))</f>
        <v/>
      </c>
      <c r="E1838" s="54">
        <f>IF(_imp!$C$1840="","",INDEX(_imp!$H$4:$H$4503,_imp!$C$1840))</f>
        <v/>
      </c>
      <c r="F1838" s="54">
        <f>IF(_imp!$C$1840="","",INDEX(_imp!$I$4:$I$4503,_imp!$C$1840))</f>
        <v/>
      </c>
      <c r="G1838" s="54">
        <f>IF(_imp!$C$1840="","",INDEX(_imp!$J$4:$J$4503,_imp!$C$1840))</f>
        <v/>
      </c>
      <c r="K1838" s="54">
        <f>IF(_imp!$C$1840="","",INDEX(_imp!$K$4:$K$4503,_imp!$C$1840))</f>
        <v/>
      </c>
    </row>
    <row r="1839">
      <c r="A1839" s="54">
        <f>IF(_imp!$C$1841="","",INDEX(_imp!$D$4:$D$4503,_imp!$C$1841))</f>
        <v/>
      </c>
      <c r="B1839" s="54">
        <f>IF(_imp!$C$1841="","",INDEX(_imp!$E$4:$E$4503,_imp!$C$1841))</f>
        <v/>
      </c>
      <c r="C1839" s="54">
        <f>IF(_imp!$C$1841="","",INDEX(_imp!$F$4:$F$4503,_imp!$C$1841))</f>
        <v/>
      </c>
      <c r="D1839" s="54">
        <f>IF(_imp!$C$1841="","",INDEX(_imp!$G$4:$G$4503,_imp!$C$1841))</f>
        <v/>
      </c>
      <c r="E1839" s="54">
        <f>IF(_imp!$C$1841="","",INDEX(_imp!$H$4:$H$4503,_imp!$C$1841))</f>
        <v/>
      </c>
      <c r="F1839" s="54">
        <f>IF(_imp!$C$1841="","",INDEX(_imp!$I$4:$I$4503,_imp!$C$1841))</f>
        <v/>
      </c>
      <c r="G1839" s="54">
        <f>IF(_imp!$C$1841="","",INDEX(_imp!$J$4:$J$4503,_imp!$C$1841))</f>
        <v/>
      </c>
      <c r="K1839" s="54">
        <f>IF(_imp!$C$1841="","",INDEX(_imp!$K$4:$K$4503,_imp!$C$1841))</f>
        <v/>
      </c>
    </row>
    <row r="1840">
      <c r="A1840" s="54">
        <f>IF(_imp!$C$1842="","",INDEX(_imp!$D$4:$D$4503,_imp!$C$1842))</f>
        <v/>
      </c>
      <c r="B1840" s="54">
        <f>IF(_imp!$C$1842="","",INDEX(_imp!$E$4:$E$4503,_imp!$C$1842))</f>
        <v/>
      </c>
      <c r="C1840" s="54">
        <f>IF(_imp!$C$1842="","",INDEX(_imp!$F$4:$F$4503,_imp!$C$1842))</f>
        <v/>
      </c>
      <c r="D1840" s="54">
        <f>IF(_imp!$C$1842="","",INDEX(_imp!$G$4:$G$4503,_imp!$C$1842))</f>
        <v/>
      </c>
      <c r="E1840" s="54">
        <f>IF(_imp!$C$1842="","",INDEX(_imp!$H$4:$H$4503,_imp!$C$1842))</f>
        <v/>
      </c>
      <c r="F1840" s="54">
        <f>IF(_imp!$C$1842="","",INDEX(_imp!$I$4:$I$4503,_imp!$C$1842))</f>
        <v/>
      </c>
      <c r="G1840" s="54">
        <f>IF(_imp!$C$1842="","",INDEX(_imp!$J$4:$J$4503,_imp!$C$1842))</f>
        <v/>
      </c>
      <c r="K1840" s="54">
        <f>IF(_imp!$C$1842="","",INDEX(_imp!$K$4:$K$4503,_imp!$C$1842))</f>
        <v/>
      </c>
    </row>
    <row r="1841">
      <c r="A1841" s="54">
        <f>IF(_imp!$C$1843="","",INDEX(_imp!$D$4:$D$4503,_imp!$C$1843))</f>
        <v/>
      </c>
      <c r="B1841" s="54">
        <f>IF(_imp!$C$1843="","",INDEX(_imp!$E$4:$E$4503,_imp!$C$1843))</f>
        <v/>
      </c>
      <c r="C1841" s="54">
        <f>IF(_imp!$C$1843="","",INDEX(_imp!$F$4:$F$4503,_imp!$C$1843))</f>
        <v/>
      </c>
      <c r="D1841" s="54">
        <f>IF(_imp!$C$1843="","",INDEX(_imp!$G$4:$G$4503,_imp!$C$1843))</f>
        <v/>
      </c>
      <c r="E1841" s="54">
        <f>IF(_imp!$C$1843="","",INDEX(_imp!$H$4:$H$4503,_imp!$C$1843))</f>
        <v/>
      </c>
      <c r="F1841" s="54">
        <f>IF(_imp!$C$1843="","",INDEX(_imp!$I$4:$I$4503,_imp!$C$1843))</f>
        <v/>
      </c>
      <c r="G1841" s="54">
        <f>IF(_imp!$C$1843="","",INDEX(_imp!$J$4:$J$4503,_imp!$C$1843))</f>
        <v/>
      </c>
      <c r="K1841" s="54">
        <f>IF(_imp!$C$1843="","",INDEX(_imp!$K$4:$K$4503,_imp!$C$1843))</f>
        <v/>
      </c>
    </row>
    <row r="1842">
      <c r="A1842" s="54">
        <f>IF(_imp!$C$1844="","",INDEX(_imp!$D$4:$D$4503,_imp!$C$1844))</f>
        <v/>
      </c>
      <c r="B1842" s="54">
        <f>IF(_imp!$C$1844="","",INDEX(_imp!$E$4:$E$4503,_imp!$C$1844))</f>
        <v/>
      </c>
      <c r="C1842" s="54">
        <f>IF(_imp!$C$1844="","",INDEX(_imp!$F$4:$F$4503,_imp!$C$1844))</f>
        <v/>
      </c>
      <c r="D1842" s="54">
        <f>IF(_imp!$C$1844="","",INDEX(_imp!$G$4:$G$4503,_imp!$C$1844))</f>
        <v/>
      </c>
      <c r="E1842" s="54">
        <f>IF(_imp!$C$1844="","",INDEX(_imp!$H$4:$H$4503,_imp!$C$1844))</f>
        <v/>
      </c>
      <c r="F1842" s="54">
        <f>IF(_imp!$C$1844="","",INDEX(_imp!$I$4:$I$4503,_imp!$C$1844))</f>
        <v/>
      </c>
      <c r="G1842" s="54">
        <f>IF(_imp!$C$1844="","",INDEX(_imp!$J$4:$J$4503,_imp!$C$1844))</f>
        <v/>
      </c>
      <c r="K1842" s="54">
        <f>IF(_imp!$C$1844="","",INDEX(_imp!$K$4:$K$4503,_imp!$C$1844))</f>
        <v/>
      </c>
    </row>
    <row r="1843">
      <c r="A1843" s="54">
        <f>IF(_imp!$C$1845="","",INDEX(_imp!$D$4:$D$4503,_imp!$C$1845))</f>
        <v/>
      </c>
      <c r="B1843" s="54">
        <f>IF(_imp!$C$1845="","",INDEX(_imp!$E$4:$E$4503,_imp!$C$1845))</f>
        <v/>
      </c>
      <c r="C1843" s="54">
        <f>IF(_imp!$C$1845="","",INDEX(_imp!$F$4:$F$4503,_imp!$C$1845))</f>
        <v/>
      </c>
      <c r="D1843" s="54">
        <f>IF(_imp!$C$1845="","",INDEX(_imp!$G$4:$G$4503,_imp!$C$1845))</f>
        <v/>
      </c>
      <c r="E1843" s="54">
        <f>IF(_imp!$C$1845="","",INDEX(_imp!$H$4:$H$4503,_imp!$C$1845))</f>
        <v/>
      </c>
      <c r="F1843" s="54">
        <f>IF(_imp!$C$1845="","",INDEX(_imp!$I$4:$I$4503,_imp!$C$1845))</f>
        <v/>
      </c>
      <c r="G1843" s="54">
        <f>IF(_imp!$C$1845="","",INDEX(_imp!$J$4:$J$4503,_imp!$C$1845))</f>
        <v/>
      </c>
      <c r="K1843" s="54">
        <f>IF(_imp!$C$1845="","",INDEX(_imp!$K$4:$K$4503,_imp!$C$1845))</f>
        <v/>
      </c>
    </row>
    <row r="1844">
      <c r="A1844" s="54">
        <f>IF(_imp!$C$1846="","",INDEX(_imp!$D$4:$D$4503,_imp!$C$1846))</f>
        <v/>
      </c>
      <c r="B1844" s="54">
        <f>IF(_imp!$C$1846="","",INDEX(_imp!$E$4:$E$4503,_imp!$C$1846))</f>
        <v/>
      </c>
      <c r="C1844" s="54">
        <f>IF(_imp!$C$1846="","",INDEX(_imp!$F$4:$F$4503,_imp!$C$1846))</f>
        <v/>
      </c>
      <c r="D1844" s="54">
        <f>IF(_imp!$C$1846="","",INDEX(_imp!$G$4:$G$4503,_imp!$C$1846))</f>
        <v/>
      </c>
      <c r="E1844" s="54">
        <f>IF(_imp!$C$1846="","",INDEX(_imp!$H$4:$H$4503,_imp!$C$1846))</f>
        <v/>
      </c>
      <c r="F1844" s="54">
        <f>IF(_imp!$C$1846="","",INDEX(_imp!$I$4:$I$4503,_imp!$C$1846))</f>
        <v/>
      </c>
      <c r="G1844" s="54">
        <f>IF(_imp!$C$1846="","",INDEX(_imp!$J$4:$J$4503,_imp!$C$1846))</f>
        <v/>
      </c>
      <c r="K1844" s="54">
        <f>IF(_imp!$C$1846="","",INDEX(_imp!$K$4:$K$4503,_imp!$C$1846))</f>
        <v/>
      </c>
    </row>
    <row r="1845">
      <c r="A1845" s="54">
        <f>IF(_imp!$C$1847="","",INDEX(_imp!$D$4:$D$4503,_imp!$C$1847))</f>
        <v/>
      </c>
      <c r="B1845" s="54">
        <f>IF(_imp!$C$1847="","",INDEX(_imp!$E$4:$E$4503,_imp!$C$1847))</f>
        <v/>
      </c>
      <c r="C1845" s="54">
        <f>IF(_imp!$C$1847="","",INDEX(_imp!$F$4:$F$4503,_imp!$C$1847))</f>
        <v/>
      </c>
      <c r="D1845" s="54">
        <f>IF(_imp!$C$1847="","",INDEX(_imp!$G$4:$G$4503,_imp!$C$1847))</f>
        <v/>
      </c>
      <c r="E1845" s="54">
        <f>IF(_imp!$C$1847="","",INDEX(_imp!$H$4:$H$4503,_imp!$C$1847))</f>
        <v/>
      </c>
      <c r="F1845" s="54">
        <f>IF(_imp!$C$1847="","",INDEX(_imp!$I$4:$I$4503,_imp!$C$1847))</f>
        <v/>
      </c>
      <c r="G1845" s="54">
        <f>IF(_imp!$C$1847="","",INDEX(_imp!$J$4:$J$4503,_imp!$C$1847))</f>
        <v/>
      </c>
      <c r="K1845" s="54">
        <f>IF(_imp!$C$1847="","",INDEX(_imp!$K$4:$K$4503,_imp!$C$1847))</f>
        <v/>
      </c>
    </row>
    <row r="1846">
      <c r="A1846" s="54">
        <f>IF(_imp!$C$1848="","",INDEX(_imp!$D$4:$D$4503,_imp!$C$1848))</f>
        <v/>
      </c>
      <c r="B1846" s="54">
        <f>IF(_imp!$C$1848="","",INDEX(_imp!$E$4:$E$4503,_imp!$C$1848))</f>
        <v/>
      </c>
      <c r="C1846" s="54">
        <f>IF(_imp!$C$1848="","",INDEX(_imp!$F$4:$F$4503,_imp!$C$1848))</f>
        <v/>
      </c>
      <c r="D1846" s="54">
        <f>IF(_imp!$C$1848="","",INDEX(_imp!$G$4:$G$4503,_imp!$C$1848))</f>
        <v/>
      </c>
      <c r="E1846" s="54">
        <f>IF(_imp!$C$1848="","",INDEX(_imp!$H$4:$H$4503,_imp!$C$1848))</f>
        <v/>
      </c>
      <c r="F1846" s="54">
        <f>IF(_imp!$C$1848="","",INDEX(_imp!$I$4:$I$4503,_imp!$C$1848))</f>
        <v/>
      </c>
      <c r="G1846" s="54">
        <f>IF(_imp!$C$1848="","",INDEX(_imp!$J$4:$J$4503,_imp!$C$1848))</f>
        <v/>
      </c>
      <c r="K1846" s="54">
        <f>IF(_imp!$C$1848="","",INDEX(_imp!$K$4:$K$4503,_imp!$C$1848))</f>
        <v/>
      </c>
    </row>
    <row r="1847">
      <c r="A1847" s="54">
        <f>IF(_imp!$C$1849="","",INDEX(_imp!$D$4:$D$4503,_imp!$C$1849))</f>
        <v/>
      </c>
      <c r="B1847" s="54">
        <f>IF(_imp!$C$1849="","",INDEX(_imp!$E$4:$E$4503,_imp!$C$1849))</f>
        <v/>
      </c>
      <c r="C1847" s="54">
        <f>IF(_imp!$C$1849="","",INDEX(_imp!$F$4:$F$4503,_imp!$C$1849))</f>
        <v/>
      </c>
      <c r="D1847" s="54">
        <f>IF(_imp!$C$1849="","",INDEX(_imp!$G$4:$G$4503,_imp!$C$1849))</f>
        <v/>
      </c>
      <c r="E1847" s="54">
        <f>IF(_imp!$C$1849="","",INDEX(_imp!$H$4:$H$4503,_imp!$C$1849))</f>
        <v/>
      </c>
      <c r="F1847" s="54">
        <f>IF(_imp!$C$1849="","",INDEX(_imp!$I$4:$I$4503,_imp!$C$1849))</f>
        <v/>
      </c>
      <c r="G1847" s="54">
        <f>IF(_imp!$C$1849="","",INDEX(_imp!$J$4:$J$4503,_imp!$C$1849))</f>
        <v/>
      </c>
      <c r="K1847" s="54">
        <f>IF(_imp!$C$1849="","",INDEX(_imp!$K$4:$K$4503,_imp!$C$1849))</f>
        <v/>
      </c>
    </row>
    <row r="1848">
      <c r="A1848" s="54">
        <f>IF(_imp!$C$1850="","",INDEX(_imp!$D$4:$D$4503,_imp!$C$1850))</f>
        <v/>
      </c>
      <c r="B1848" s="54">
        <f>IF(_imp!$C$1850="","",INDEX(_imp!$E$4:$E$4503,_imp!$C$1850))</f>
        <v/>
      </c>
      <c r="C1848" s="54">
        <f>IF(_imp!$C$1850="","",INDEX(_imp!$F$4:$F$4503,_imp!$C$1850))</f>
        <v/>
      </c>
      <c r="D1848" s="54">
        <f>IF(_imp!$C$1850="","",INDEX(_imp!$G$4:$G$4503,_imp!$C$1850))</f>
        <v/>
      </c>
      <c r="E1848" s="54">
        <f>IF(_imp!$C$1850="","",INDEX(_imp!$H$4:$H$4503,_imp!$C$1850))</f>
        <v/>
      </c>
      <c r="F1848" s="54">
        <f>IF(_imp!$C$1850="","",INDEX(_imp!$I$4:$I$4503,_imp!$C$1850))</f>
        <v/>
      </c>
      <c r="G1848" s="54">
        <f>IF(_imp!$C$1850="","",INDEX(_imp!$J$4:$J$4503,_imp!$C$1850))</f>
        <v/>
      </c>
      <c r="K1848" s="54">
        <f>IF(_imp!$C$1850="","",INDEX(_imp!$K$4:$K$4503,_imp!$C$1850))</f>
        <v/>
      </c>
    </row>
    <row r="1849">
      <c r="A1849" s="54">
        <f>IF(_imp!$C$1851="","",INDEX(_imp!$D$4:$D$4503,_imp!$C$1851))</f>
        <v/>
      </c>
      <c r="B1849" s="54">
        <f>IF(_imp!$C$1851="","",INDEX(_imp!$E$4:$E$4503,_imp!$C$1851))</f>
        <v/>
      </c>
      <c r="C1849" s="54">
        <f>IF(_imp!$C$1851="","",INDEX(_imp!$F$4:$F$4503,_imp!$C$1851))</f>
        <v/>
      </c>
      <c r="D1849" s="54">
        <f>IF(_imp!$C$1851="","",INDEX(_imp!$G$4:$G$4503,_imp!$C$1851))</f>
        <v/>
      </c>
      <c r="E1849" s="54">
        <f>IF(_imp!$C$1851="","",INDEX(_imp!$H$4:$H$4503,_imp!$C$1851))</f>
        <v/>
      </c>
      <c r="F1849" s="54">
        <f>IF(_imp!$C$1851="","",INDEX(_imp!$I$4:$I$4503,_imp!$C$1851))</f>
        <v/>
      </c>
      <c r="G1849" s="54">
        <f>IF(_imp!$C$1851="","",INDEX(_imp!$J$4:$J$4503,_imp!$C$1851))</f>
        <v/>
      </c>
      <c r="K1849" s="54">
        <f>IF(_imp!$C$1851="","",INDEX(_imp!$K$4:$K$4503,_imp!$C$1851))</f>
        <v/>
      </c>
    </row>
    <row r="1850">
      <c r="A1850" s="54">
        <f>IF(_imp!$C$1852="","",INDEX(_imp!$D$4:$D$4503,_imp!$C$1852))</f>
        <v/>
      </c>
      <c r="B1850" s="54">
        <f>IF(_imp!$C$1852="","",INDEX(_imp!$E$4:$E$4503,_imp!$C$1852))</f>
        <v/>
      </c>
      <c r="C1850" s="54">
        <f>IF(_imp!$C$1852="","",INDEX(_imp!$F$4:$F$4503,_imp!$C$1852))</f>
        <v/>
      </c>
      <c r="D1850" s="54">
        <f>IF(_imp!$C$1852="","",INDEX(_imp!$G$4:$G$4503,_imp!$C$1852))</f>
        <v/>
      </c>
      <c r="E1850" s="54">
        <f>IF(_imp!$C$1852="","",INDEX(_imp!$H$4:$H$4503,_imp!$C$1852))</f>
        <v/>
      </c>
      <c r="F1850" s="54">
        <f>IF(_imp!$C$1852="","",INDEX(_imp!$I$4:$I$4503,_imp!$C$1852))</f>
        <v/>
      </c>
      <c r="G1850" s="54">
        <f>IF(_imp!$C$1852="","",INDEX(_imp!$J$4:$J$4503,_imp!$C$1852))</f>
        <v/>
      </c>
      <c r="K1850" s="54">
        <f>IF(_imp!$C$1852="","",INDEX(_imp!$K$4:$K$4503,_imp!$C$1852))</f>
        <v/>
      </c>
    </row>
    <row r="1851">
      <c r="A1851" s="54">
        <f>IF(_imp!$C$1853="","",INDEX(_imp!$D$4:$D$4503,_imp!$C$1853))</f>
        <v/>
      </c>
      <c r="B1851" s="54">
        <f>IF(_imp!$C$1853="","",INDEX(_imp!$E$4:$E$4503,_imp!$C$1853))</f>
        <v/>
      </c>
      <c r="C1851" s="54">
        <f>IF(_imp!$C$1853="","",INDEX(_imp!$F$4:$F$4503,_imp!$C$1853))</f>
        <v/>
      </c>
      <c r="D1851" s="54">
        <f>IF(_imp!$C$1853="","",INDEX(_imp!$G$4:$G$4503,_imp!$C$1853))</f>
        <v/>
      </c>
      <c r="E1851" s="54">
        <f>IF(_imp!$C$1853="","",INDEX(_imp!$H$4:$H$4503,_imp!$C$1853))</f>
        <v/>
      </c>
      <c r="F1851" s="54">
        <f>IF(_imp!$C$1853="","",INDEX(_imp!$I$4:$I$4503,_imp!$C$1853))</f>
        <v/>
      </c>
      <c r="G1851" s="54">
        <f>IF(_imp!$C$1853="","",INDEX(_imp!$J$4:$J$4503,_imp!$C$1853))</f>
        <v/>
      </c>
      <c r="K1851" s="54">
        <f>IF(_imp!$C$1853="","",INDEX(_imp!$K$4:$K$4503,_imp!$C$1853))</f>
        <v/>
      </c>
    </row>
    <row r="1852">
      <c r="A1852" s="54">
        <f>IF(_imp!$C$1854="","",INDEX(_imp!$D$4:$D$4503,_imp!$C$1854))</f>
        <v/>
      </c>
      <c r="B1852" s="54">
        <f>IF(_imp!$C$1854="","",INDEX(_imp!$E$4:$E$4503,_imp!$C$1854))</f>
        <v/>
      </c>
      <c r="C1852" s="54">
        <f>IF(_imp!$C$1854="","",INDEX(_imp!$F$4:$F$4503,_imp!$C$1854))</f>
        <v/>
      </c>
      <c r="D1852" s="54">
        <f>IF(_imp!$C$1854="","",INDEX(_imp!$G$4:$G$4503,_imp!$C$1854))</f>
        <v/>
      </c>
      <c r="E1852" s="54">
        <f>IF(_imp!$C$1854="","",INDEX(_imp!$H$4:$H$4503,_imp!$C$1854))</f>
        <v/>
      </c>
      <c r="F1852" s="54">
        <f>IF(_imp!$C$1854="","",INDEX(_imp!$I$4:$I$4503,_imp!$C$1854))</f>
        <v/>
      </c>
      <c r="G1852" s="54">
        <f>IF(_imp!$C$1854="","",INDEX(_imp!$J$4:$J$4503,_imp!$C$1854))</f>
        <v/>
      </c>
      <c r="K1852" s="54">
        <f>IF(_imp!$C$1854="","",INDEX(_imp!$K$4:$K$4503,_imp!$C$1854))</f>
        <v/>
      </c>
    </row>
    <row r="1853">
      <c r="A1853" s="54">
        <f>IF(_imp!$C$1855="","",INDEX(_imp!$D$4:$D$4503,_imp!$C$1855))</f>
        <v/>
      </c>
      <c r="B1853" s="54">
        <f>IF(_imp!$C$1855="","",INDEX(_imp!$E$4:$E$4503,_imp!$C$1855))</f>
        <v/>
      </c>
      <c r="C1853" s="54">
        <f>IF(_imp!$C$1855="","",INDEX(_imp!$F$4:$F$4503,_imp!$C$1855))</f>
        <v/>
      </c>
      <c r="D1853" s="54">
        <f>IF(_imp!$C$1855="","",INDEX(_imp!$G$4:$G$4503,_imp!$C$1855))</f>
        <v/>
      </c>
      <c r="E1853" s="54">
        <f>IF(_imp!$C$1855="","",INDEX(_imp!$H$4:$H$4503,_imp!$C$1855))</f>
        <v/>
      </c>
      <c r="F1853" s="54">
        <f>IF(_imp!$C$1855="","",INDEX(_imp!$I$4:$I$4503,_imp!$C$1855))</f>
        <v/>
      </c>
      <c r="G1853" s="54">
        <f>IF(_imp!$C$1855="","",INDEX(_imp!$J$4:$J$4503,_imp!$C$1855))</f>
        <v/>
      </c>
      <c r="K1853" s="54">
        <f>IF(_imp!$C$1855="","",INDEX(_imp!$K$4:$K$4503,_imp!$C$1855))</f>
        <v/>
      </c>
    </row>
    <row r="1854">
      <c r="A1854" s="54">
        <f>IF(_imp!$C$1856="","",INDEX(_imp!$D$4:$D$4503,_imp!$C$1856))</f>
        <v/>
      </c>
      <c r="B1854" s="54">
        <f>IF(_imp!$C$1856="","",INDEX(_imp!$E$4:$E$4503,_imp!$C$1856))</f>
        <v/>
      </c>
      <c r="C1854" s="54">
        <f>IF(_imp!$C$1856="","",INDEX(_imp!$F$4:$F$4503,_imp!$C$1856))</f>
        <v/>
      </c>
      <c r="D1854" s="54">
        <f>IF(_imp!$C$1856="","",INDEX(_imp!$G$4:$G$4503,_imp!$C$1856))</f>
        <v/>
      </c>
      <c r="E1854" s="54">
        <f>IF(_imp!$C$1856="","",INDEX(_imp!$H$4:$H$4503,_imp!$C$1856))</f>
        <v/>
      </c>
      <c r="F1854" s="54">
        <f>IF(_imp!$C$1856="","",INDEX(_imp!$I$4:$I$4503,_imp!$C$1856))</f>
        <v/>
      </c>
      <c r="G1854" s="54">
        <f>IF(_imp!$C$1856="","",INDEX(_imp!$J$4:$J$4503,_imp!$C$1856))</f>
        <v/>
      </c>
      <c r="K1854" s="54">
        <f>IF(_imp!$C$1856="","",INDEX(_imp!$K$4:$K$4503,_imp!$C$1856))</f>
        <v/>
      </c>
    </row>
    <row r="1855">
      <c r="A1855" s="54">
        <f>IF(_imp!$C$1857="","",INDEX(_imp!$D$4:$D$4503,_imp!$C$1857))</f>
        <v/>
      </c>
      <c r="B1855" s="54">
        <f>IF(_imp!$C$1857="","",INDEX(_imp!$E$4:$E$4503,_imp!$C$1857))</f>
        <v/>
      </c>
      <c r="C1855" s="54">
        <f>IF(_imp!$C$1857="","",INDEX(_imp!$F$4:$F$4503,_imp!$C$1857))</f>
        <v/>
      </c>
      <c r="D1855" s="54">
        <f>IF(_imp!$C$1857="","",INDEX(_imp!$G$4:$G$4503,_imp!$C$1857))</f>
        <v/>
      </c>
      <c r="E1855" s="54">
        <f>IF(_imp!$C$1857="","",INDEX(_imp!$H$4:$H$4503,_imp!$C$1857))</f>
        <v/>
      </c>
      <c r="F1855" s="54">
        <f>IF(_imp!$C$1857="","",INDEX(_imp!$I$4:$I$4503,_imp!$C$1857))</f>
        <v/>
      </c>
      <c r="G1855" s="54">
        <f>IF(_imp!$C$1857="","",INDEX(_imp!$J$4:$J$4503,_imp!$C$1857))</f>
        <v/>
      </c>
      <c r="K1855" s="54">
        <f>IF(_imp!$C$1857="","",INDEX(_imp!$K$4:$K$4503,_imp!$C$1857))</f>
        <v/>
      </c>
    </row>
    <row r="1856">
      <c r="A1856" s="54">
        <f>IF(_imp!$C$1858="","",INDEX(_imp!$D$4:$D$4503,_imp!$C$1858))</f>
        <v/>
      </c>
      <c r="B1856" s="54">
        <f>IF(_imp!$C$1858="","",INDEX(_imp!$E$4:$E$4503,_imp!$C$1858))</f>
        <v/>
      </c>
      <c r="C1856" s="54">
        <f>IF(_imp!$C$1858="","",INDEX(_imp!$F$4:$F$4503,_imp!$C$1858))</f>
        <v/>
      </c>
      <c r="D1856" s="54">
        <f>IF(_imp!$C$1858="","",INDEX(_imp!$G$4:$G$4503,_imp!$C$1858))</f>
        <v/>
      </c>
      <c r="E1856" s="54">
        <f>IF(_imp!$C$1858="","",INDEX(_imp!$H$4:$H$4503,_imp!$C$1858))</f>
        <v/>
      </c>
      <c r="F1856" s="54">
        <f>IF(_imp!$C$1858="","",INDEX(_imp!$I$4:$I$4503,_imp!$C$1858))</f>
        <v/>
      </c>
      <c r="G1856" s="54">
        <f>IF(_imp!$C$1858="","",INDEX(_imp!$J$4:$J$4503,_imp!$C$1858))</f>
        <v/>
      </c>
      <c r="K1856" s="54">
        <f>IF(_imp!$C$1858="","",INDEX(_imp!$K$4:$K$4503,_imp!$C$1858))</f>
        <v/>
      </c>
    </row>
    <row r="1857">
      <c r="A1857" s="54">
        <f>IF(_imp!$C$1859="","",INDEX(_imp!$D$4:$D$4503,_imp!$C$1859))</f>
        <v/>
      </c>
      <c r="B1857" s="54">
        <f>IF(_imp!$C$1859="","",INDEX(_imp!$E$4:$E$4503,_imp!$C$1859))</f>
        <v/>
      </c>
      <c r="C1857" s="54">
        <f>IF(_imp!$C$1859="","",INDEX(_imp!$F$4:$F$4503,_imp!$C$1859))</f>
        <v/>
      </c>
      <c r="D1857" s="54">
        <f>IF(_imp!$C$1859="","",INDEX(_imp!$G$4:$G$4503,_imp!$C$1859))</f>
        <v/>
      </c>
      <c r="E1857" s="54">
        <f>IF(_imp!$C$1859="","",INDEX(_imp!$H$4:$H$4503,_imp!$C$1859))</f>
        <v/>
      </c>
      <c r="F1857" s="54">
        <f>IF(_imp!$C$1859="","",INDEX(_imp!$I$4:$I$4503,_imp!$C$1859))</f>
        <v/>
      </c>
      <c r="G1857" s="54">
        <f>IF(_imp!$C$1859="","",INDEX(_imp!$J$4:$J$4503,_imp!$C$1859))</f>
        <v/>
      </c>
      <c r="K1857" s="54">
        <f>IF(_imp!$C$1859="","",INDEX(_imp!$K$4:$K$4503,_imp!$C$1859))</f>
        <v/>
      </c>
    </row>
    <row r="1858">
      <c r="A1858" s="54">
        <f>IF(_imp!$C$1860="","",INDEX(_imp!$D$4:$D$4503,_imp!$C$1860))</f>
        <v/>
      </c>
      <c r="B1858" s="54">
        <f>IF(_imp!$C$1860="","",INDEX(_imp!$E$4:$E$4503,_imp!$C$1860))</f>
        <v/>
      </c>
      <c r="C1858" s="54">
        <f>IF(_imp!$C$1860="","",INDEX(_imp!$F$4:$F$4503,_imp!$C$1860))</f>
        <v/>
      </c>
      <c r="D1858" s="54">
        <f>IF(_imp!$C$1860="","",INDEX(_imp!$G$4:$G$4503,_imp!$C$1860))</f>
        <v/>
      </c>
      <c r="E1858" s="54">
        <f>IF(_imp!$C$1860="","",INDEX(_imp!$H$4:$H$4503,_imp!$C$1860))</f>
        <v/>
      </c>
      <c r="F1858" s="54">
        <f>IF(_imp!$C$1860="","",INDEX(_imp!$I$4:$I$4503,_imp!$C$1860))</f>
        <v/>
      </c>
      <c r="G1858" s="54">
        <f>IF(_imp!$C$1860="","",INDEX(_imp!$J$4:$J$4503,_imp!$C$1860))</f>
        <v/>
      </c>
      <c r="K1858" s="54">
        <f>IF(_imp!$C$1860="","",INDEX(_imp!$K$4:$K$4503,_imp!$C$1860))</f>
        <v/>
      </c>
    </row>
    <row r="1859">
      <c r="A1859" s="54">
        <f>IF(_imp!$C$1861="","",INDEX(_imp!$D$4:$D$4503,_imp!$C$1861))</f>
        <v/>
      </c>
      <c r="B1859" s="54">
        <f>IF(_imp!$C$1861="","",INDEX(_imp!$E$4:$E$4503,_imp!$C$1861))</f>
        <v/>
      </c>
      <c r="C1859" s="54">
        <f>IF(_imp!$C$1861="","",INDEX(_imp!$F$4:$F$4503,_imp!$C$1861))</f>
        <v/>
      </c>
      <c r="D1859" s="54">
        <f>IF(_imp!$C$1861="","",INDEX(_imp!$G$4:$G$4503,_imp!$C$1861))</f>
        <v/>
      </c>
      <c r="E1859" s="54">
        <f>IF(_imp!$C$1861="","",INDEX(_imp!$H$4:$H$4503,_imp!$C$1861))</f>
        <v/>
      </c>
      <c r="F1859" s="54">
        <f>IF(_imp!$C$1861="","",INDEX(_imp!$I$4:$I$4503,_imp!$C$1861))</f>
        <v/>
      </c>
      <c r="G1859" s="54">
        <f>IF(_imp!$C$1861="","",INDEX(_imp!$J$4:$J$4503,_imp!$C$1861))</f>
        <v/>
      </c>
      <c r="K1859" s="54">
        <f>IF(_imp!$C$1861="","",INDEX(_imp!$K$4:$K$4503,_imp!$C$1861))</f>
        <v/>
      </c>
    </row>
    <row r="1860">
      <c r="A1860" s="54">
        <f>IF(_imp!$C$1862="","",INDEX(_imp!$D$4:$D$4503,_imp!$C$1862))</f>
        <v/>
      </c>
      <c r="B1860" s="54">
        <f>IF(_imp!$C$1862="","",INDEX(_imp!$E$4:$E$4503,_imp!$C$1862))</f>
        <v/>
      </c>
      <c r="C1860" s="54">
        <f>IF(_imp!$C$1862="","",INDEX(_imp!$F$4:$F$4503,_imp!$C$1862))</f>
        <v/>
      </c>
      <c r="D1860" s="54">
        <f>IF(_imp!$C$1862="","",INDEX(_imp!$G$4:$G$4503,_imp!$C$1862))</f>
        <v/>
      </c>
      <c r="E1860" s="54">
        <f>IF(_imp!$C$1862="","",INDEX(_imp!$H$4:$H$4503,_imp!$C$1862))</f>
        <v/>
      </c>
      <c r="F1860" s="54">
        <f>IF(_imp!$C$1862="","",INDEX(_imp!$I$4:$I$4503,_imp!$C$1862))</f>
        <v/>
      </c>
      <c r="G1860" s="54">
        <f>IF(_imp!$C$1862="","",INDEX(_imp!$J$4:$J$4503,_imp!$C$1862))</f>
        <v/>
      </c>
      <c r="K1860" s="54">
        <f>IF(_imp!$C$1862="","",INDEX(_imp!$K$4:$K$4503,_imp!$C$1862))</f>
        <v/>
      </c>
    </row>
    <row r="1861">
      <c r="A1861" s="54">
        <f>IF(_imp!$C$1863="","",INDEX(_imp!$D$4:$D$4503,_imp!$C$1863))</f>
        <v/>
      </c>
      <c r="B1861" s="54">
        <f>IF(_imp!$C$1863="","",INDEX(_imp!$E$4:$E$4503,_imp!$C$1863))</f>
        <v/>
      </c>
      <c r="C1861" s="54">
        <f>IF(_imp!$C$1863="","",INDEX(_imp!$F$4:$F$4503,_imp!$C$1863))</f>
        <v/>
      </c>
      <c r="D1861" s="54">
        <f>IF(_imp!$C$1863="","",INDEX(_imp!$G$4:$G$4503,_imp!$C$1863))</f>
        <v/>
      </c>
      <c r="E1861" s="54">
        <f>IF(_imp!$C$1863="","",INDEX(_imp!$H$4:$H$4503,_imp!$C$1863))</f>
        <v/>
      </c>
      <c r="F1861" s="54">
        <f>IF(_imp!$C$1863="","",INDEX(_imp!$I$4:$I$4503,_imp!$C$1863))</f>
        <v/>
      </c>
      <c r="G1861" s="54">
        <f>IF(_imp!$C$1863="","",INDEX(_imp!$J$4:$J$4503,_imp!$C$1863))</f>
        <v/>
      </c>
      <c r="K1861" s="54">
        <f>IF(_imp!$C$1863="","",INDEX(_imp!$K$4:$K$4503,_imp!$C$1863))</f>
        <v/>
      </c>
    </row>
    <row r="1862">
      <c r="A1862" s="54">
        <f>IF(_imp!$C$1864="","",INDEX(_imp!$D$4:$D$4503,_imp!$C$1864))</f>
        <v/>
      </c>
      <c r="B1862" s="54">
        <f>IF(_imp!$C$1864="","",INDEX(_imp!$E$4:$E$4503,_imp!$C$1864))</f>
        <v/>
      </c>
      <c r="C1862" s="54">
        <f>IF(_imp!$C$1864="","",INDEX(_imp!$F$4:$F$4503,_imp!$C$1864))</f>
        <v/>
      </c>
      <c r="D1862" s="54">
        <f>IF(_imp!$C$1864="","",INDEX(_imp!$G$4:$G$4503,_imp!$C$1864))</f>
        <v/>
      </c>
      <c r="E1862" s="54">
        <f>IF(_imp!$C$1864="","",INDEX(_imp!$H$4:$H$4503,_imp!$C$1864))</f>
        <v/>
      </c>
      <c r="F1862" s="54">
        <f>IF(_imp!$C$1864="","",INDEX(_imp!$I$4:$I$4503,_imp!$C$1864))</f>
        <v/>
      </c>
      <c r="G1862" s="54">
        <f>IF(_imp!$C$1864="","",INDEX(_imp!$J$4:$J$4503,_imp!$C$1864))</f>
        <v/>
      </c>
      <c r="K1862" s="54">
        <f>IF(_imp!$C$1864="","",INDEX(_imp!$K$4:$K$4503,_imp!$C$1864))</f>
        <v/>
      </c>
    </row>
    <row r="1863">
      <c r="A1863" s="54">
        <f>IF(_imp!$C$1865="","",INDEX(_imp!$D$4:$D$4503,_imp!$C$1865))</f>
        <v/>
      </c>
      <c r="B1863" s="54">
        <f>IF(_imp!$C$1865="","",INDEX(_imp!$E$4:$E$4503,_imp!$C$1865))</f>
        <v/>
      </c>
      <c r="C1863" s="54">
        <f>IF(_imp!$C$1865="","",INDEX(_imp!$F$4:$F$4503,_imp!$C$1865))</f>
        <v/>
      </c>
      <c r="D1863" s="54">
        <f>IF(_imp!$C$1865="","",INDEX(_imp!$G$4:$G$4503,_imp!$C$1865))</f>
        <v/>
      </c>
      <c r="E1863" s="54">
        <f>IF(_imp!$C$1865="","",INDEX(_imp!$H$4:$H$4503,_imp!$C$1865))</f>
        <v/>
      </c>
      <c r="F1863" s="54">
        <f>IF(_imp!$C$1865="","",INDEX(_imp!$I$4:$I$4503,_imp!$C$1865))</f>
        <v/>
      </c>
      <c r="G1863" s="54">
        <f>IF(_imp!$C$1865="","",INDEX(_imp!$J$4:$J$4503,_imp!$C$1865))</f>
        <v/>
      </c>
      <c r="K1863" s="54">
        <f>IF(_imp!$C$1865="","",INDEX(_imp!$K$4:$K$4503,_imp!$C$1865))</f>
        <v/>
      </c>
    </row>
    <row r="1864">
      <c r="A1864" s="54">
        <f>IF(_imp!$C$1866="","",INDEX(_imp!$D$4:$D$4503,_imp!$C$1866))</f>
        <v/>
      </c>
      <c r="B1864" s="54">
        <f>IF(_imp!$C$1866="","",INDEX(_imp!$E$4:$E$4503,_imp!$C$1866))</f>
        <v/>
      </c>
      <c r="C1864" s="54">
        <f>IF(_imp!$C$1866="","",INDEX(_imp!$F$4:$F$4503,_imp!$C$1866))</f>
        <v/>
      </c>
      <c r="D1864" s="54">
        <f>IF(_imp!$C$1866="","",INDEX(_imp!$G$4:$G$4503,_imp!$C$1866))</f>
        <v/>
      </c>
      <c r="E1864" s="54">
        <f>IF(_imp!$C$1866="","",INDEX(_imp!$H$4:$H$4503,_imp!$C$1866))</f>
        <v/>
      </c>
      <c r="F1864" s="54">
        <f>IF(_imp!$C$1866="","",INDEX(_imp!$I$4:$I$4503,_imp!$C$1866))</f>
        <v/>
      </c>
      <c r="G1864" s="54">
        <f>IF(_imp!$C$1866="","",INDEX(_imp!$J$4:$J$4503,_imp!$C$1866))</f>
        <v/>
      </c>
      <c r="K1864" s="54">
        <f>IF(_imp!$C$1866="","",INDEX(_imp!$K$4:$K$4503,_imp!$C$1866))</f>
        <v/>
      </c>
    </row>
    <row r="1865">
      <c r="A1865" s="54">
        <f>IF(_imp!$C$1867="","",INDEX(_imp!$D$4:$D$4503,_imp!$C$1867))</f>
        <v/>
      </c>
      <c r="B1865" s="54">
        <f>IF(_imp!$C$1867="","",INDEX(_imp!$E$4:$E$4503,_imp!$C$1867))</f>
        <v/>
      </c>
      <c r="C1865" s="54">
        <f>IF(_imp!$C$1867="","",INDEX(_imp!$F$4:$F$4503,_imp!$C$1867))</f>
        <v/>
      </c>
      <c r="D1865" s="54">
        <f>IF(_imp!$C$1867="","",INDEX(_imp!$G$4:$G$4503,_imp!$C$1867))</f>
        <v/>
      </c>
      <c r="E1865" s="54">
        <f>IF(_imp!$C$1867="","",INDEX(_imp!$H$4:$H$4503,_imp!$C$1867))</f>
        <v/>
      </c>
      <c r="F1865" s="54">
        <f>IF(_imp!$C$1867="","",INDEX(_imp!$I$4:$I$4503,_imp!$C$1867))</f>
        <v/>
      </c>
      <c r="G1865" s="54">
        <f>IF(_imp!$C$1867="","",INDEX(_imp!$J$4:$J$4503,_imp!$C$1867))</f>
        <v/>
      </c>
      <c r="K1865" s="54">
        <f>IF(_imp!$C$1867="","",INDEX(_imp!$K$4:$K$4503,_imp!$C$1867))</f>
        <v/>
      </c>
    </row>
    <row r="1866">
      <c r="A1866" s="54">
        <f>IF(_imp!$C$1868="","",INDEX(_imp!$D$4:$D$4503,_imp!$C$1868))</f>
        <v/>
      </c>
      <c r="B1866" s="54">
        <f>IF(_imp!$C$1868="","",INDEX(_imp!$E$4:$E$4503,_imp!$C$1868))</f>
        <v/>
      </c>
      <c r="C1866" s="54">
        <f>IF(_imp!$C$1868="","",INDEX(_imp!$F$4:$F$4503,_imp!$C$1868))</f>
        <v/>
      </c>
      <c r="D1866" s="54">
        <f>IF(_imp!$C$1868="","",INDEX(_imp!$G$4:$G$4503,_imp!$C$1868))</f>
        <v/>
      </c>
      <c r="E1866" s="54">
        <f>IF(_imp!$C$1868="","",INDEX(_imp!$H$4:$H$4503,_imp!$C$1868))</f>
        <v/>
      </c>
      <c r="F1866" s="54">
        <f>IF(_imp!$C$1868="","",INDEX(_imp!$I$4:$I$4503,_imp!$C$1868))</f>
        <v/>
      </c>
      <c r="G1866" s="54">
        <f>IF(_imp!$C$1868="","",INDEX(_imp!$J$4:$J$4503,_imp!$C$1868))</f>
        <v/>
      </c>
      <c r="K1866" s="54">
        <f>IF(_imp!$C$1868="","",INDEX(_imp!$K$4:$K$4503,_imp!$C$1868))</f>
        <v/>
      </c>
    </row>
    <row r="1867">
      <c r="A1867" s="54">
        <f>IF(_imp!$C$1869="","",INDEX(_imp!$D$4:$D$4503,_imp!$C$1869))</f>
        <v/>
      </c>
      <c r="B1867" s="54">
        <f>IF(_imp!$C$1869="","",INDEX(_imp!$E$4:$E$4503,_imp!$C$1869))</f>
        <v/>
      </c>
      <c r="C1867" s="54">
        <f>IF(_imp!$C$1869="","",INDEX(_imp!$F$4:$F$4503,_imp!$C$1869))</f>
        <v/>
      </c>
      <c r="D1867" s="54">
        <f>IF(_imp!$C$1869="","",INDEX(_imp!$G$4:$G$4503,_imp!$C$1869))</f>
        <v/>
      </c>
      <c r="E1867" s="54">
        <f>IF(_imp!$C$1869="","",INDEX(_imp!$H$4:$H$4503,_imp!$C$1869))</f>
        <v/>
      </c>
      <c r="F1867" s="54">
        <f>IF(_imp!$C$1869="","",INDEX(_imp!$I$4:$I$4503,_imp!$C$1869))</f>
        <v/>
      </c>
      <c r="G1867" s="54">
        <f>IF(_imp!$C$1869="","",INDEX(_imp!$J$4:$J$4503,_imp!$C$1869))</f>
        <v/>
      </c>
      <c r="K1867" s="54">
        <f>IF(_imp!$C$1869="","",INDEX(_imp!$K$4:$K$4503,_imp!$C$1869))</f>
        <v/>
      </c>
    </row>
    <row r="1868">
      <c r="A1868" s="54">
        <f>IF(_imp!$C$1870="","",INDEX(_imp!$D$4:$D$4503,_imp!$C$1870))</f>
        <v/>
      </c>
      <c r="B1868" s="54">
        <f>IF(_imp!$C$1870="","",INDEX(_imp!$E$4:$E$4503,_imp!$C$1870))</f>
        <v/>
      </c>
      <c r="C1868" s="54">
        <f>IF(_imp!$C$1870="","",INDEX(_imp!$F$4:$F$4503,_imp!$C$1870))</f>
        <v/>
      </c>
      <c r="D1868" s="54">
        <f>IF(_imp!$C$1870="","",INDEX(_imp!$G$4:$G$4503,_imp!$C$1870))</f>
        <v/>
      </c>
      <c r="E1868" s="54">
        <f>IF(_imp!$C$1870="","",INDEX(_imp!$H$4:$H$4503,_imp!$C$1870))</f>
        <v/>
      </c>
      <c r="F1868" s="54">
        <f>IF(_imp!$C$1870="","",INDEX(_imp!$I$4:$I$4503,_imp!$C$1870))</f>
        <v/>
      </c>
      <c r="G1868" s="54">
        <f>IF(_imp!$C$1870="","",INDEX(_imp!$J$4:$J$4503,_imp!$C$1870))</f>
        <v/>
      </c>
      <c r="K1868" s="54">
        <f>IF(_imp!$C$1870="","",INDEX(_imp!$K$4:$K$4503,_imp!$C$1870))</f>
        <v/>
      </c>
    </row>
    <row r="1869">
      <c r="A1869" s="54">
        <f>IF(_imp!$C$1871="","",INDEX(_imp!$D$4:$D$4503,_imp!$C$1871))</f>
        <v/>
      </c>
      <c r="B1869" s="54">
        <f>IF(_imp!$C$1871="","",INDEX(_imp!$E$4:$E$4503,_imp!$C$1871))</f>
        <v/>
      </c>
      <c r="C1869" s="54">
        <f>IF(_imp!$C$1871="","",INDEX(_imp!$F$4:$F$4503,_imp!$C$1871))</f>
        <v/>
      </c>
      <c r="D1869" s="54">
        <f>IF(_imp!$C$1871="","",INDEX(_imp!$G$4:$G$4503,_imp!$C$1871))</f>
        <v/>
      </c>
      <c r="E1869" s="54">
        <f>IF(_imp!$C$1871="","",INDEX(_imp!$H$4:$H$4503,_imp!$C$1871))</f>
        <v/>
      </c>
      <c r="F1869" s="54">
        <f>IF(_imp!$C$1871="","",INDEX(_imp!$I$4:$I$4503,_imp!$C$1871))</f>
        <v/>
      </c>
      <c r="G1869" s="54">
        <f>IF(_imp!$C$1871="","",INDEX(_imp!$J$4:$J$4503,_imp!$C$1871))</f>
        <v/>
      </c>
      <c r="K1869" s="54">
        <f>IF(_imp!$C$1871="","",INDEX(_imp!$K$4:$K$4503,_imp!$C$1871))</f>
        <v/>
      </c>
    </row>
    <row r="1870">
      <c r="A1870" s="54">
        <f>IF(_imp!$C$1872="","",INDEX(_imp!$D$4:$D$4503,_imp!$C$1872))</f>
        <v/>
      </c>
      <c r="B1870" s="54">
        <f>IF(_imp!$C$1872="","",INDEX(_imp!$E$4:$E$4503,_imp!$C$1872))</f>
        <v/>
      </c>
      <c r="C1870" s="54">
        <f>IF(_imp!$C$1872="","",INDEX(_imp!$F$4:$F$4503,_imp!$C$1872))</f>
        <v/>
      </c>
      <c r="D1870" s="54">
        <f>IF(_imp!$C$1872="","",INDEX(_imp!$G$4:$G$4503,_imp!$C$1872))</f>
        <v/>
      </c>
      <c r="E1870" s="54">
        <f>IF(_imp!$C$1872="","",INDEX(_imp!$H$4:$H$4503,_imp!$C$1872))</f>
        <v/>
      </c>
      <c r="F1870" s="54">
        <f>IF(_imp!$C$1872="","",INDEX(_imp!$I$4:$I$4503,_imp!$C$1872))</f>
        <v/>
      </c>
      <c r="G1870" s="54">
        <f>IF(_imp!$C$1872="","",INDEX(_imp!$J$4:$J$4503,_imp!$C$1872))</f>
        <v/>
      </c>
      <c r="K1870" s="54">
        <f>IF(_imp!$C$1872="","",INDEX(_imp!$K$4:$K$4503,_imp!$C$1872))</f>
        <v/>
      </c>
    </row>
    <row r="1871">
      <c r="A1871" s="54">
        <f>IF(_imp!$C$1873="","",INDEX(_imp!$D$4:$D$4503,_imp!$C$1873))</f>
        <v/>
      </c>
      <c r="B1871" s="54">
        <f>IF(_imp!$C$1873="","",INDEX(_imp!$E$4:$E$4503,_imp!$C$1873))</f>
        <v/>
      </c>
      <c r="C1871" s="54">
        <f>IF(_imp!$C$1873="","",INDEX(_imp!$F$4:$F$4503,_imp!$C$1873))</f>
        <v/>
      </c>
      <c r="D1871" s="54">
        <f>IF(_imp!$C$1873="","",INDEX(_imp!$G$4:$G$4503,_imp!$C$1873))</f>
        <v/>
      </c>
      <c r="E1871" s="54">
        <f>IF(_imp!$C$1873="","",INDEX(_imp!$H$4:$H$4503,_imp!$C$1873))</f>
        <v/>
      </c>
      <c r="F1871" s="54">
        <f>IF(_imp!$C$1873="","",INDEX(_imp!$I$4:$I$4503,_imp!$C$1873))</f>
        <v/>
      </c>
      <c r="G1871" s="54">
        <f>IF(_imp!$C$1873="","",INDEX(_imp!$J$4:$J$4503,_imp!$C$1873))</f>
        <v/>
      </c>
      <c r="K1871" s="54">
        <f>IF(_imp!$C$1873="","",INDEX(_imp!$K$4:$K$4503,_imp!$C$1873))</f>
        <v/>
      </c>
    </row>
    <row r="1872">
      <c r="A1872" s="54">
        <f>IF(_imp!$C$1874="","",INDEX(_imp!$D$4:$D$4503,_imp!$C$1874))</f>
        <v/>
      </c>
      <c r="B1872" s="54">
        <f>IF(_imp!$C$1874="","",INDEX(_imp!$E$4:$E$4503,_imp!$C$1874))</f>
        <v/>
      </c>
      <c r="C1872" s="54">
        <f>IF(_imp!$C$1874="","",INDEX(_imp!$F$4:$F$4503,_imp!$C$1874))</f>
        <v/>
      </c>
      <c r="D1872" s="54">
        <f>IF(_imp!$C$1874="","",INDEX(_imp!$G$4:$G$4503,_imp!$C$1874))</f>
        <v/>
      </c>
      <c r="E1872" s="54">
        <f>IF(_imp!$C$1874="","",INDEX(_imp!$H$4:$H$4503,_imp!$C$1874))</f>
        <v/>
      </c>
      <c r="F1872" s="54">
        <f>IF(_imp!$C$1874="","",INDEX(_imp!$I$4:$I$4503,_imp!$C$1874))</f>
        <v/>
      </c>
      <c r="G1872" s="54">
        <f>IF(_imp!$C$1874="","",INDEX(_imp!$J$4:$J$4503,_imp!$C$1874))</f>
        <v/>
      </c>
      <c r="K1872" s="54">
        <f>IF(_imp!$C$1874="","",INDEX(_imp!$K$4:$K$4503,_imp!$C$1874))</f>
        <v/>
      </c>
    </row>
    <row r="1873">
      <c r="A1873" s="54">
        <f>IF(_imp!$C$1875="","",INDEX(_imp!$D$4:$D$4503,_imp!$C$1875))</f>
        <v/>
      </c>
      <c r="B1873" s="54">
        <f>IF(_imp!$C$1875="","",INDEX(_imp!$E$4:$E$4503,_imp!$C$1875))</f>
        <v/>
      </c>
      <c r="C1873" s="54">
        <f>IF(_imp!$C$1875="","",INDEX(_imp!$F$4:$F$4503,_imp!$C$1875))</f>
        <v/>
      </c>
      <c r="D1873" s="54">
        <f>IF(_imp!$C$1875="","",INDEX(_imp!$G$4:$G$4503,_imp!$C$1875))</f>
        <v/>
      </c>
      <c r="E1873" s="54">
        <f>IF(_imp!$C$1875="","",INDEX(_imp!$H$4:$H$4503,_imp!$C$1875))</f>
        <v/>
      </c>
      <c r="F1873" s="54">
        <f>IF(_imp!$C$1875="","",INDEX(_imp!$I$4:$I$4503,_imp!$C$1875))</f>
        <v/>
      </c>
      <c r="G1873" s="54">
        <f>IF(_imp!$C$1875="","",INDEX(_imp!$J$4:$J$4503,_imp!$C$1875))</f>
        <v/>
      </c>
      <c r="K1873" s="54">
        <f>IF(_imp!$C$1875="","",INDEX(_imp!$K$4:$K$4503,_imp!$C$1875))</f>
        <v/>
      </c>
    </row>
    <row r="1874">
      <c r="A1874" s="54">
        <f>IF(_imp!$C$1876="","",INDEX(_imp!$D$4:$D$4503,_imp!$C$1876))</f>
        <v/>
      </c>
      <c r="B1874" s="54">
        <f>IF(_imp!$C$1876="","",INDEX(_imp!$E$4:$E$4503,_imp!$C$1876))</f>
        <v/>
      </c>
      <c r="C1874" s="54">
        <f>IF(_imp!$C$1876="","",INDEX(_imp!$F$4:$F$4503,_imp!$C$1876))</f>
        <v/>
      </c>
      <c r="D1874" s="54">
        <f>IF(_imp!$C$1876="","",INDEX(_imp!$G$4:$G$4503,_imp!$C$1876))</f>
        <v/>
      </c>
      <c r="E1874" s="54">
        <f>IF(_imp!$C$1876="","",INDEX(_imp!$H$4:$H$4503,_imp!$C$1876))</f>
        <v/>
      </c>
      <c r="F1874" s="54">
        <f>IF(_imp!$C$1876="","",INDEX(_imp!$I$4:$I$4503,_imp!$C$1876))</f>
        <v/>
      </c>
      <c r="G1874" s="54">
        <f>IF(_imp!$C$1876="","",INDEX(_imp!$J$4:$J$4503,_imp!$C$1876))</f>
        <v/>
      </c>
      <c r="K1874" s="54">
        <f>IF(_imp!$C$1876="","",INDEX(_imp!$K$4:$K$4503,_imp!$C$1876))</f>
        <v/>
      </c>
    </row>
    <row r="1875">
      <c r="A1875" s="54">
        <f>IF(_imp!$C$1877="","",INDEX(_imp!$D$4:$D$4503,_imp!$C$1877))</f>
        <v/>
      </c>
      <c r="B1875" s="54">
        <f>IF(_imp!$C$1877="","",INDEX(_imp!$E$4:$E$4503,_imp!$C$1877))</f>
        <v/>
      </c>
      <c r="C1875" s="54">
        <f>IF(_imp!$C$1877="","",INDEX(_imp!$F$4:$F$4503,_imp!$C$1877))</f>
        <v/>
      </c>
      <c r="D1875" s="54">
        <f>IF(_imp!$C$1877="","",INDEX(_imp!$G$4:$G$4503,_imp!$C$1877))</f>
        <v/>
      </c>
      <c r="E1875" s="54">
        <f>IF(_imp!$C$1877="","",INDEX(_imp!$H$4:$H$4503,_imp!$C$1877))</f>
        <v/>
      </c>
      <c r="F1875" s="54">
        <f>IF(_imp!$C$1877="","",INDEX(_imp!$I$4:$I$4503,_imp!$C$1877))</f>
        <v/>
      </c>
      <c r="G1875" s="54">
        <f>IF(_imp!$C$1877="","",INDEX(_imp!$J$4:$J$4503,_imp!$C$1877))</f>
        <v/>
      </c>
      <c r="K1875" s="54">
        <f>IF(_imp!$C$1877="","",INDEX(_imp!$K$4:$K$4503,_imp!$C$1877))</f>
        <v/>
      </c>
    </row>
    <row r="1876">
      <c r="A1876" s="54">
        <f>IF(_imp!$C$1878="","",INDEX(_imp!$D$4:$D$4503,_imp!$C$1878))</f>
        <v/>
      </c>
      <c r="B1876" s="54">
        <f>IF(_imp!$C$1878="","",INDEX(_imp!$E$4:$E$4503,_imp!$C$1878))</f>
        <v/>
      </c>
      <c r="C1876" s="54">
        <f>IF(_imp!$C$1878="","",INDEX(_imp!$F$4:$F$4503,_imp!$C$1878))</f>
        <v/>
      </c>
      <c r="D1876" s="54">
        <f>IF(_imp!$C$1878="","",INDEX(_imp!$G$4:$G$4503,_imp!$C$1878))</f>
        <v/>
      </c>
      <c r="E1876" s="54">
        <f>IF(_imp!$C$1878="","",INDEX(_imp!$H$4:$H$4503,_imp!$C$1878))</f>
        <v/>
      </c>
      <c r="F1876" s="54">
        <f>IF(_imp!$C$1878="","",INDEX(_imp!$I$4:$I$4503,_imp!$C$1878))</f>
        <v/>
      </c>
      <c r="G1876" s="54">
        <f>IF(_imp!$C$1878="","",INDEX(_imp!$J$4:$J$4503,_imp!$C$1878))</f>
        <v/>
      </c>
      <c r="K1876" s="54">
        <f>IF(_imp!$C$1878="","",INDEX(_imp!$K$4:$K$4503,_imp!$C$1878))</f>
        <v/>
      </c>
    </row>
    <row r="1877">
      <c r="A1877" s="54">
        <f>IF(_imp!$C$1879="","",INDEX(_imp!$D$4:$D$4503,_imp!$C$1879))</f>
        <v/>
      </c>
      <c r="B1877" s="54">
        <f>IF(_imp!$C$1879="","",INDEX(_imp!$E$4:$E$4503,_imp!$C$1879))</f>
        <v/>
      </c>
      <c r="C1877" s="54">
        <f>IF(_imp!$C$1879="","",INDEX(_imp!$F$4:$F$4503,_imp!$C$1879))</f>
        <v/>
      </c>
      <c r="D1877" s="54">
        <f>IF(_imp!$C$1879="","",INDEX(_imp!$G$4:$G$4503,_imp!$C$1879))</f>
        <v/>
      </c>
      <c r="E1877" s="54">
        <f>IF(_imp!$C$1879="","",INDEX(_imp!$H$4:$H$4503,_imp!$C$1879))</f>
        <v/>
      </c>
      <c r="F1877" s="54">
        <f>IF(_imp!$C$1879="","",INDEX(_imp!$I$4:$I$4503,_imp!$C$1879))</f>
        <v/>
      </c>
      <c r="G1877" s="54">
        <f>IF(_imp!$C$1879="","",INDEX(_imp!$J$4:$J$4503,_imp!$C$1879))</f>
        <v/>
      </c>
      <c r="K1877" s="54">
        <f>IF(_imp!$C$1879="","",INDEX(_imp!$K$4:$K$4503,_imp!$C$1879))</f>
        <v/>
      </c>
    </row>
    <row r="1878">
      <c r="A1878" s="54">
        <f>IF(_imp!$C$1880="","",INDEX(_imp!$D$4:$D$4503,_imp!$C$1880))</f>
        <v/>
      </c>
      <c r="B1878" s="54">
        <f>IF(_imp!$C$1880="","",INDEX(_imp!$E$4:$E$4503,_imp!$C$1880))</f>
        <v/>
      </c>
      <c r="C1878" s="54">
        <f>IF(_imp!$C$1880="","",INDEX(_imp!$F$4:$F$4503,_imp!$C$1880))</f>
        <v/>
      </c>
      <c r="D1878" s="54">
        <f>IF(_imp!$C$1880="","",INDEX(_imp!$G$4:$G$4503,_imp!$C$1880))</f>
        <v/>
      </c>
      <c r="E1878" s="54">
        <f>IF(_imp!$C$1880="","",INDEX(_imp!$H$4:$H$4503,_imp!$C$1880))</f>
        <v/>
      </c>
      <c r="F1878" s="54">
        <f>IF(_imp!$C$1880="","",INDEX(_imp!$I$4:$I$4503,_imp!$C$1880))</f>
        <v/>
      </c>
      <c r="G1878" s="54">
        <f>IF(_imp!$C$1880="","",INDEX(_imp!$J$4:$J$4503,_imp!$C$1880))</f>
        <v/>
      </c>
      <c r="K1878" s="54">
        <f>IF(_imp!$C$1880="","",INDEX(_imp!$K$4:$K$4503,_imp!$C$1880))</f>
        <v/>
      </c>
    </row>
    <row r="1879">
      <c r="A1879" s="54">
        <f>IF(_imp!$C$1881="","",INDEX(_imp!$D$4:$D$4503,_imp!$C$1881))</f>
        <v/>
      </c>
      <c r="B1879" s="54">
        <f>IF(_imp!$C$1881="","",INDEX(_imp!$E$4:$E$4503,_imp!$C$1881))</f>
        <v/>
      </c>
      <c r="C1879" s="54">
        <f>IF(_imp!$C$1881="","",INDEX(_imp!$F$4:$F$4503,_imp!$C$1881))</f>
        <v/>
      </c>
      <c r="D1879" s="54">
        <f>IF(_imp!$C$1881="","",INDEX(_imp!$G$4:$G$4503,_imp!$C$1881))</f>
        <v/>
      </c>
      <c r="E1879" s="54">
        <f>IF(_imp!$C$1881="","",INDEX(_imp!$H$4:$H$4503,_imp!$C$1881))</f>
        <v/>
      </c>
      <c r="F1879" s="54">
        <f>IF(_imp!$C$1881="","",INDEX(_imp!$I$4:$I$4503,_imp!$C$1881))</f>
        <v/>
      </c>
      <c r="G1879" s="54">
        <f>IF(_imp!$C$1881="","",INDEX(_imp!$J$4:$J$4503,_imp!$C$1881))</f>
        <v/>
      </c>
      <c r="K1879" s="54">
        <f>IF(_imp!$C$1881="","",INDEX(_imp!$K$4:$K$4503,_imp!$C$1881))</f>
        <v/>
      </c>
    </row>
    <row r="1880">
      <c r="A1880" s="54">
        <f>IF(_imp!$C$1882="","",INDEX(_imp!$D$4:$D$4503,_imp!$C$1882))</f>
        <v/>
      </c>
      <c r="B1880" s="54">
        <f>IF(_imp!$C$1882="","",INDEX(_imp!$E$4:$E$4503,_imp!$C$1882))</f>
        <v/>
      </c>
      <c r="C1880" s="54">
        <f>IF(_imp!$C$1882="","",INDEX(_imp!$F$4:$F$4503,_imp!$C$1882))</f>
        <v/>
      </c>
      <c r="D1880" s="54">
        <f>IF(_imp!$C$1882="","",INDEX(_imp!$G$4:$G$4503,_imp!$C$1882))</f>
        <v/>
      </c>
      <c r="E1880" s="54">
        <f>IF(_imp!$C$1882="","",INDEX(_imp!$H$4:$H$4503,_imp!$C$1882))</f>
        <v/>
      </c>
      <c r="F1880" s="54">
        <f>IF(_imp!$C$1882="","",INDEX(_imp!$I$4:$I$4503,_imp!$C$1882))</f>
        <v/>
      </c>
      <c r="G1880" s="54">
        <f>IF(_imp!$C$1882="","",INDEX(_imp!$J$4:$J$4503,_imp!$C$1882))</f>
        <v/>
      </c>
      <c r="K1880" s="54">
        <f>IF(_imp!$C$1882="","",INDEX(_imp!$K$4:$K$4503,_imp!$C$1882))</f>
        <v/>
      </c>
    </row>
    <row r="1881">
      <c r="A1881" s="54">
        <f>IF(_imp!$C$1883="","",INDEX(_imp!$D$4:$D$4503,_imp!$C$1883))</f>
        <v/>
      </c>
      <c r="B1881" s="54">
        <f>IF(_imp!$C$1883="","",INDEX(_imp!$E$4:$E$4503,_imp!$C$1883))</f>
        <v/>
      </c>
      <c r="C1881" s="54">
        <f>IF(_imp!$C$1883="","",INDEX(_imp!$F$4:$F$4503,_imp!$C$1883))</f>
        <v/>
      </c>
      <c r="D1881" s="54">
        <f>IF(_imp!$C$1883="","",INDEX(_imp!$G$4:$G$4503,_imp!$C$1883))</f>
        <v/>
      </c>
      <c r="E1881" s="54">
        <f>IF(_imp!$C$1883="","",INDEX(_imp!$H$4:$H$4503,_imp!$C$1883))</f>
        <v/>
      </c>
      <c r="F1881" s="54">
        <f>IF(_imp!$C$1883="","",INDEX(_imp!$I$4:$I$4503,_imp!$C$1883))</f>
        <v/>
      </c>
      <c r="G1881" s="54">
        <f>IF(_imp!$C$1883="","",INDEX(_imp!$J$4:$J$4503,_imp!$C$1883))</f>
        <v/>
      </c>
      <c r="K1881" s="54">
        <f>IF(_imp!$C$1883="","",INDEX(_imp!$K$4:$K$4503,_imp!$C$1883))</f>
        <v/>
      </c>
    </row>
    <row r="1882">
      <c r="A1882" s="54">
        <f>IF(_imp!$C$1884="","",INDEX(_imp!$D$4:$D$4503,_imp!$C$1884))</f>
        <v/>
      </c>
      <c r="B1882" s="54">
        <f>IF(_imp!$C$1884="","",INDEX(_imp!$E$4:$E$4503,_imp!$C$1884))</f>
        <v/>
      </c>
      <c r="C1882" s="54">
        <f>IF(_imp!$C$1884="","",INDEX(_imp!$F$4:$F$4503,_imp!$C$1884))</f>
        <v/>
      </c>
      <c r="D1882" s="54">
        <f>IF(_imp!$C$1884="","",INDEX(_imp!$G$4:$G$4503,_imp!$C$1884))</f>
        <v/>
      </c>
      <c r="E1882" s="54">
        <f>IF(_imp!$C$1884="","",INDEX(_imp!$H$4:$H$4503,_imp!$C$1884))</f>
        <v/>
      </c>
      <c r="F1882" s="54">
        <f>IF(_imp!$C$1884="","",INDEX(_imp!$I$4:$I$4503,_imp!$C$1884))</f>
        <v/>
      </c>
      <c r="G1882" s="54">
        <f>IF(_imp!$C$1884="","",INDEX(_imp!$J$4:$J$4503,_imp!$C$1884))</f>
        <v/>
      </c>
      <c r="K1882" s="54">
        <f>IF(_imp!$C$1884="","",INDEX(_imp!$K$4:$K$4503,_imp!$C$1884))</f>
        <v/>
      </c>
    </row>
    <row r="1883">
      <c r="A1883" s="54">
        <f>IF(_imp!$C$1885="","",INDEX(_imp!$D$4:$D$4503,_imp!$C$1885))</f>
        <v/>
      </c>
      <c r="B1883" s="54">
        <f>IF(_imp!$C$1885="","",INDEX(_imp!$E$4:$E$4503,_imp!$C$1885))</f>
        <v/>
      </c>
      <c r="C1883" s="54">
        <f>IF(_imp!$C$1885="","",INDEX(_imp!$F$4:$F$4503,_imp!$C$1885))</f>
        <v/>
      </c>
      <c r="D1883" s="54">
        <f>IF(_imp!$C$1885="","",INDEX(_imp!$G$4:$G$4503,_imp!$C$1885))</f>
        <v/>
      </c>
      <c r="E1883" s="54">
        <f>IF(_imp!$C$1885="","",INDEX(_imp!$H$4:$H$4503,_imp!$C$1885))</f>
        <v/>
      </c>
      <c r="F1883" s="54">
        <f>IF(_imp!$C$1885="","",INDEX(_imp!$I$4:$I$4503,_imp!$C$1885))</f>
        <v/>
      </c>
      <c r="G1883" s="54">
        <f>IF(_imp!$C$1885="","",INDEX(_imp!$J$4:$J$4503,_imp!$C$1885))</f>
        <v/>
      </c>
      <c r="K1883" s="54">
        <f>IF(_imp!$C$1885="","",INDEX(_imp!$K$4:$K$4503,_imp!$C$1885))</f>
        <v/>
      </c>
    </row>
    <row r="1884">
      <c r="A1884" s="54">
        <f>IF(_imp!$C$1886="","",INDEX(_imp!$D$4:$D$4503,_imp!$C$1886))</f>
        <v/>
      </c>
      <c r="B1884" s="54">
        <f>IF(_imp!$C$1886="","",INDEX(_imp!$E$4:$E$4503,_imp!$C$1886))</f>
        <v/>
      </c>
      <c r="C1884" s="54">
        <f>IF(_imp!$C$1886="","",INDEX(_imp!$F$4:$F$4503,_imp!$C$1886))</f>
        <v/>
      </c>
      <c r="D1884" s="54">
        <f>IF(_imp!$C$1886="","",INDEX(_imp!$G$4:$G$4503,_imp!$C$1886))</f>
        <v/>
      </c>
      <c r="E1884" s="54">
        <f>IF(_imp!$C$1886="","",INDEX(_imp!$H$4:$H$4503,_imp!$C$1886))</f>
        <v/>
      </c>
      <c r="F1884" s="54">
        <f>IF(_imp!$C$1886="","",INDEX(_imp!$I$4:$I$4503,_imp!$C$1886))</f>
        <v/>
      </c>
      <c r="G1884" s="54">
        <f>IF(_imp!$C$1886="","",INDEX(_imp!$J$4:$J$4503,_imp!$C$1886))</f>
        <v/>
      </c>
      <c r="K1884" s="54">
        <f>IF(_imp!$C$1886="","",INDEX(_imp!$K$4:$K$4503,_imp!$C$1886))</f>
        <v/>
      </c>
    </row>
    <row r="1885">
      <c r="A1885" s="54">
        <f>IF(_imp!$C$1887="","",INDEX(_imp!$D$4:$D$4503,_imp!$C$1887))</f>
        <v/>
      </c>
      <c r="B1885" s="54">
        <f>IF(_imp!$C$1887="","",INDEX(_imp!$E$4:$E$4503,_imp!$C$1887))</f>
        <v/>
      </c>
      <c r="C1885" s="54">
        <f>IF(_imp!$C$1887="","",INDEX(_imp!$F$4:$F$4503,_imp!$C$1887))</f>
        <v/>
      </c>
      <c r="D1885" s="54">
        <f>IF(_imp!$C$1887="","",INDEX(_imp!$G$4:$G$4503,_imp!$C$1887))</f>
        <v/>
      </c>
      <c r="E1885" s="54">
        <f>IF(_imp!$C$1887="","",INDEX(_imp!$H$4:$H$4503,_imp!$C$1887))</f>
        <v/>
      </c>
      <c r="F1885" s="54">
        <f>IF(_imp!$C$1887="","",INDEX(_imp!$I$4:$I$4503,_imp!$C$1887))</f>
        <v/>
      </c>
      <c r="G1885" s="54">
        <f>IF(_imp!$C$1887="","",INDEX(_imp!$J$4:$J$4503,_imp!$C$1887))</f>
        <v/>
      </c>
      <c r="K1885" s="54">
        <f>IF(_imp!$C$1887="","",INDEX(_imp!$K$4:$K$4503,_imp!$C$1887))</f>
        <v/>
      </c>
    </row>
    <row r="1886">
      <c r="A1886" s="54">
        <f>IF(_imp!$C$1888="","",INDEX(_imp!$D$4:$D$4503,_imp!$C$1888))</f>
        <v/>
      </c>
      <c r="B1886" s="54">
        <f>IF(_imp!$C$1888="","",INDEX(_imp!$E$4:$E$4503,_imp!$C$1888))</f>
        <v/>
      </c>
      <c r="C1886" s="54">
        <f>IF(_imp!$C$1888="","",INDEX(_imp!$F$4:$F$4503,_imp!$C$1888))</f>
        <v/>
      </c>
      <c r="D1886" s="54">
        <f>IF(_imp!$C$1888="","",INDEX(_imp!$G$4:$G$4503,_imp!$C$1888))</f>
        <v/>
      </c>
      <c r="E1886" s="54">
        <f>IF(_imp!$C$1888="","",INDEX(_imp!$H$4:$H$4503,_imp!$C$1888))</f>
        <v/>
      </c>
      <c r="F1886" s="54">
        <f>IF(_imp!$C$1888="","",INDEX(_imp!$I$4:$I$4503,_imp!$C$1888))</f>
        <v/>
      </c>
      <c r="G1886" s="54">
        <f>IF(_imp!$C$1888="","",INDEX(_imp!$J$4:$J$4503,_imp!$C$1888))</f>
        <v/>
      </c>
      <c r="K1886" s="54">
        <f>IF(_imp!$C$1888="","",INDEX(_imp!$K$4:$K$4503,_imp!$C$1888))</f>
        <v/>
      </c>
    </row>
    <row r="1887">
      <c r="A1887" s="54">
        <f>IF(_imp!$C$1889="","",INDEX(_imp!$D$4:$D$4503,_imp!$C$1889))</f>
        <v/>
      </c>
      <c r="B1887" s="54">
        <f>IF(_imp!$C$1889="","",INDEX(_imp!$E$4:$E$4503,_imp!$C$1889))</f>
        <v/>
      </c>
      <c r="C1887" s="54">
        <f>IF(_imp!$C$1889="","",INDEX(_imp!$F$4:$F$4503,_imp!$C$1889))</f>
        <v/>
      </c>
      <c r="D1887" s="54">
        <f>IF(_imp!$C$1889="","",INDEX(_imp!$G$4:$G$4503,_imp!$C$1889))</f>
        <v/>
      </c>
      <c r="E1887" s="54">
        <f>IF(_imp!$C$1889="","",INDEX(_imp!$H$4:$H$4503,_imp!$C$1889))</f>
        <v/>
      </c>
      <c r="F1887" s="54">
        <f>IF(_imp!$C$1889="","",INDEX(_imp!$I$4:$I$4503,_imp!$C$1889))</f>
        <v/>
      </c>
      <c r="G1887" s="54">
        <f>IF(_imp!$C$1889="","",INDEX(_imp!$J$4:$J$4503,_imp!$C$1889))</f>
        <v/>
      </c>
      <c r="K1887" s="54">
        <f>IF(_imp!$C$1889="","",INDEX(_imp!$K$4:$K$4503,_imp!$C$1889))</f>
        <v/>
      </c>
    </row>
    <row r="1888">
      <c r="A1888" s="54">
        <f>IF(_imp!$C$1890="","",INDEX(_imp!$D$4:$D$4503,_imp!$C$1890))</f>
        <v/>
      </c>
      <c r="B1888" s="54">
        <f>IF(_imp!$C$1890="","",INDEX(_imp!$E$4:$E$4503,_imp!$C$1890))</f>
        <v/>
      </c>
      <c r="C1888" s="54">
        <f>IF(_imp!$C$1890="","",INDEX(_imp!$F$4:$F$4503,_imp!$C$1890))</f>
        <v/>
      </c>
      <c r="D1888" s="54">
        <f>IF(_imp!$C$1890="","",INDEX(_imp!$G$4:$G$4503,_imp!$C$1890))</f>
        <v/>
      </c>
      <c r="E1888" s="54">
        <f>IF(_imp!$C$1890="","",INDEX(_imp!$H$4:$H$4503,_imp!$C$1890))</f>
        <v/>
      </c>
      <c r="F1888" s="54">
        <f>IF(_imp!$C$1890="","",INDEX(_imp!$I$4:$I$4503,_imp!$C$1890))</f>
        <v/>
      </c>
      <c r="G1888" s="54">
        <f>IF(_imp!$C$1890="","",INDEX(_imp!$J$4:$J$4503,_imp!$C$1890))</f>
        <v/>
      </c>
      <c r="K1888" s="54">
        <f>IF(_imp!$C$1890="","",INDEX(_imp!$K$4:$K$4503,_imp!$C$1890))</f>
        <v/>
      </c>
    </row>
    <row r="1889">
      <c r="A1889" s="54">
        <f>IF(_imp!$C$1891="","",INDEX(_imp!$D$4:$D$4503,_imp!$C$1891))</f>
        <v/>
      </c>
      <c r="B1889" s="54">
        <f>IF(_imp!$C$1891="","",INDEX(_imp!$E$4:$E$4503,_imp!$C$1891))</f>
        <v/>
      </c>
      <c r="C1889" s="54">
        <f>IF(_imp!$C$1891="","",INDEX(_imp!$F$4:$F$4503,_imp!$C$1891))</f>
        <v/>
      </c>
      <c r="D1889" s="54">
        <f>IF(_imp!$C$1891="","",INDEX(_imp!$G$4:$G$4503,_imp!$C$1891))</f>
        <v/>
      </c>
      <c r="E1889" s="54">
        <f>IF(_imp!$C$1891="","",INDEX(_imp!$H$4:$H$4503,_imp!$C$1891))</f>
        <v/>
      </c>
      <c r="F1889" s="54">
        <f>IF(_imp!$C$1891="","",INDEX(_imp!$I$4:$I$4503,_imp!$C$1891))</f>
        <v/>
      </c>
      <c r="G1889" s="54">
        <f>IF(_imp!$C$1891="","",INDEX(_imp!$J$4:$J$4503,_imp!$C$1891))</f>
        <v/>
      </c>
      <c r="K1889" s="54">
        <f>IF(_imp!$C$1891="","",INDEX(_imp!$K$4:$K$4503,_imp!$C$1891))</f>
        <v/>
      </c>
    </row>
    <row r="1890">
      <c r="A1890" s="54">
        <f>IF(_imp!$C$1892="","",INDEX(_imp!$D$4:$D$4503,_imp!$C$1892))</f>
        <v/>
      </c>
      <c r="B1890" s="54">
        <f>IF(_imp!$C$1892="","",INDEX(_imp!$E$4:$E$4503,_imp!$C$1892))</f>
        <v/>
      </c>
      <c r="C1890" s="54">
        <f>IF(_imp!$C$1892="","",INDEX(_imp!$F$4:$F$4503,_imp!$C$1892))</f>
        <v/>
      </c>
      <c r="D1890" s="54">
        <f>IF(_imp!$C$1892="","",INDEX(_imp!$G$4:$G$4503,_imp!$C$1892))</f>
        <v/>
      </c>
      <c r="E1890" s="54">
        <f>IF(_imp!$C$1892="","",INDEX(_imp!$H$4:$H$4503,_imp!$C$1892))</f>
        <v/>
      </c>
      <c r="F1890" s="54">
        <f>IF(_imp!$C$1892="","",INDEX(_imp!$I$4:$I$4503,_imp!$C$1892))</f>
        <v/>
      </c>
      <c r="G1890" s="54">
        <f>IF(_imp!$C$1892="","",INDEX(_imp!$J$4:$J$4503,_imp!$C$1892))</f>
        <v/>
      </c>
      <c r="K1890" s="54">
        <f>IF(_imp!$C$1892="","",INDEX(_imp!$K$4:$K$4503,_imp!$C$1892))</f>
        <v/>
      </c>
    </row>
    <row r="1891">
      <c r="A1891" s="54">
        <f>IF(_imp!$C$1893="","",INDEX(_imp!$D$4:$D$4503,_imp!$C$1893))</f>
        <v/>
      </c>
      <c r="B1891" s="54">
        <f>IF(_imp!$C$1893="","",INDEX(_imp!$E$4:$E$4503,_imp!$C$1893))</f>
        <v/>
      </c>
      <c r="C1891" s="54">
        <f>IF(_imp!$C$1893="","",INDEX(_imp!$F$4:$F$4503,_imp!$C$1893))</f>
        <v/>
      </c>
      <c r="D1891" s="54">
        <f>IF(_imp!$C$1893="","",INDEX(_imp!$G$4:$G$4503,_imp!$C$1893))</f>
        <v/>
      </c>
      <c r="E1891" s="54">
        <f>IF(_imp!$C$1893="","",INDEX(_imp!$H$4:$H$4503,_imp!$C$1893))</f>
        <v/>
      </c>
      <c r="F1891" s="54">
        <f>IF(_imp!$C$1893="","",INDEX(_imp!$I$4:$I$4503,_imp!$C$1893))</f>
        <v/>
      </c>
      <c r="G1891" s="54">
        <f>IF(_imp!$C$1893="","",INDEX(_imp!$J$4:$J$4503,_imp!$C$1893))</f>
        <v/>
      </c>
      <c r="K1891" s="54">
        <f>IF(_imp!$C$1893="","",INDEX(_imp!$K$4:$K$4503,_imp!$C$1893))</f>
        <v/>
      </c>
    </row>
    <row r="1892">
      <c r="A1892" s="54">
        <f>IF(_imp!$C$1894="","",INDEX(_imp!$D$4:$D$4503,_imp!$C$1894))</f>
        <v/>
      </c>
      <c r="B1892" s="54">
        <f>IF(_imp!$C$1894="","",INDEX(_imp!$E$4:$E$4503,_imp!$C$1894))</f>
        <v/>
      </c>
      <c r="C1892" s="54">
        <f>IF(_imp!$C$1894="","",INDEX(_imp!$F$4:$F$4503,_imp!$C$1894))</f>
        <v/>
      </c>
      <c r="D1892" s="54">
        <f>IF(_imp!$C$1894="","",INDEX(_imp!$G$4:$G$4503,_imp!$C$1894))</f>
        <v/>
      </c>
      <c r="E1892" s="54">
        <f>IF(_imp!$C$1894="","",INDEX(_imp!$H$4:$H$4503,_imp!$C$1894))</f>
        <v/>
      </c>
      <c r="F1892" s="54">
        <f>IF(_imp!$C$1894="","",INDEX(_imp!$I$4:$I$4503,_imp!$C$1894))</f>
        <v/>
      </c>
      <c r="G1892" s="54">
        <f>IF(_imp!$C$1894="","",INDEX(_imp!$J$4:$J$4503,_imp!$C$1894))</f>
        <v/>
      </c>
      <c r="K1892" s="54">
        <f>IF(_imp!$C$1894="","",INDEX(_imp!$K$4:$K$4503,_imp!$C$1894))</f>
        <v/>
      </c>
    </row>
    <row r="1893">
      <c r="A1893" s="54">
        <f>IF(_imp!$C$1895="","",INDEX(_imp!$D$4:$D$4503,_imp!$C$1895))</f>
        <v/>
      </c>
      <c r="B1893" s="54">
        <f>IF(_imp!$C$1895="","",INDEX(_imp!$E$4:$E$4503,_imp!$C$1895))</f>
        <v/>
      </c>
      <c r="C1893" s="54">
        <f>IF(_imp!$C$1895="","",INDEX(_imp!$F$4:$F$4503,_imp!$C$1895))</f>
        <v/>
      </c>
      <c r="D1893" s="54">
        <f>IF(_imp!$C$1895="","",INDEX(_imp!$G$4:$G$4503,_imp!$C$1895))</f>
        <v/>
      </c>
      <c r="E1893" s="54">
        <f>IF(_imp!$C$1895="","",INDEX(_imp!$H$4:$H$4503,_imp!$C$1895))</f>
        <v/>
      </c>
      <c r="F1893" s="54">
        <f>IF(_imp!$C$1895="","",INDEX(_imp!$I$4:$I$4503,_imp!$C$1895))</f>
        <v/>
      </c>
      <c r="G1893" s="54">
        <f>IF(_imp!$C$1895="","",INDEX(_imp!$J$4:$J$4503,_imp!$C$1895))</f>
        <v/>
      </c>
      <c r="K1893" s="54">
        <f>IF(_imp!$C$1895="","",INDEX(_imp!$K$4:$K$4503,_imp!$C$1895))</f>
        <v/>
      </c>
    </row>
    <row r="1894">
      <c r="A1894" s="54">
        <f>IF(_imp!$C$1896="","",INDEX(_imp!$D$4:$D$4503,_imp!$C$1896))</f>
        <v/>
      </c>
      <c r="B1894" s="54">
        <f>IF(_imp!$C$1896="","",INDEX(_imp!$E$4:$E$4503,_imp!$C$1896))</f>
        <v/>
      </c>
      <c r="C1894" s="54">
        <f>IF(_imp!$C$1896="","",INDEX(_imp!$F$4:$F$4503,_imp!$C$1896))</f>
        <v/>
      </c>
      <c r="D1894" s="54">
        <f>IF(_imp!$C$1896="","",INDEX(_imp!$G$4:$G$4503,_imp!$C$1896))</f>
        <v/>
      </c>
      <c r="E1894" s="54">
        <f>IF(_imp!$C$1896="","",INDEX(_imp!$H$4:$H$4503,_imp!$C$1896))</f>
        <v/>
      </c>
      <c r="F1894" s="54">
        <f>IF(_imp!$C$1896="","",INDEX(_imp!$I$4:$I$4503,_imp!$C$1896))</f>
        <v/>
      </c>
      <c r="G1894" s="54">
        <f>IF(_imp!$C$1896="","",INDEX(_imp!$J$4:$J$4503,_imp!$C$1896))</f>
        <v/>
      </c>
      <c r="K1894" s="54">
        <f>IF(_imp!$C$1896="","",INDEX(_imp!$K$4:$K$4503,_imp!$C$1896))</f>
        <v/>
      </c>
    </row>
    <row r="1895">
      <c r="A1895" s="54">
        <f>IF(_imp!$C$1897="","",INDEX(_imp!$D$4:$D$4503,_imp!$C$1897))</f>
        <v/>
      </c>
      <c r="B1895" s="54">
        <f>IF(_imp!$C$1897="","",INDEX(_imp!$E$4:$E$4503,_imp!$C$1897))</f>
        <v/>
      </c>
      <c r="C1895" s="54">
        <f>IF(_imp!$C$1897="","",INDEX(_imp!$F$4:$F$4503,_imp!$C$1897))</f>
        <v/>
      </c>
      <c r="D1895" s="54">
        <f>IF(_imp!$C$1897="","",INDEX(_imp!$G$4:$G$4503,_imp!$C$1897))</f>
        <v/>
      </c>
      <c r="E1895" s="54">
        <f>IF(_imp!$C$1897="","",INDEX(_imp!$H$4:$H$4503,_imp!$C$1897))</f>
        <v/>
      </c>
      <c r="F1895" s="54">
        <f>IF(_imp!$C$1897="","",INDEX(_imp!$I$4:$I$4503,_imp!$C$1897))</f>
        <v/>
      </c>
      <c r="G1895" s="54">
        <f>IF(_imp!$C$1897="","",INDEX(_imp!$J$4:$J$4503,_imp!$C$1897))</f>
        <v/>
      </c>
      <c r="K1895" s="54">
        <f>IF(_imp!$C$1897="","",INDEX(_imp!$K$4:$K$4503,_imp!$C$1897))</f>
        <v/>
      </c>
    </row>
    <row r="1896">
      <c r="A1896" s="54">
        <f>IF(_imp!$C$1898="","",INDEX(_imp!$D$4:$D$4503,_imp!$C$1898))</f>
        <v/>
      </c>
      <c r="B1896" s="54">
        <f>IF(_imp!$C$1898="","",INDEX(_imp!$E$4:$E$4503,_imp!$C$1898))</f>
        <v/>
      </c>
      <c r="C1896" s="54">
        <f>IF(_imp!$C$1898="","",INDEX(_imp!$F$4:$F$4503,_imp!$C$1898))</f>
        <v/>
      </c>
      <c r="D1896" s="54">
        <f>IF(_imp!$C$1898="","",INDEX(_imp!$G$4:$G$4503,_imp!$C$1898))</f>
        <v/>
      </c>
      <c r="E1896" s="54">
        <f>IF(_imp!$C$1898="","",INDEX(_imp!$H$4:$H$4503,_imp!$C$1898))</f>
        <v/>
      </c>
      <c r="F1896" s="54">
        <f>IF(_imp!$C$1898="","",INDEX(_imp!$I$4:$I$4503,_imp!$C$1898))</f>
        <v/>
      </c>
      <c r="G1896" s="54">
        <f>IF(_imp!$C$1898="","",INDEX(_imp!$J$4:$J$4503,_imp!$C$1898))</f>
        <v/>
      </c>
      <c r="K1896" s="54">
        <f>IF(_imp!$C$1898="","",INDEX(_imp!$K$4:$K$4503,_imp!$C$1898))</f>
        <v/>
      </c>
    </row>
    <row r="1897">
      <c r="A1897" s="54">
        <f>IF(_imp!$C$1899="","",INDEX(_imp!$D$4:$D$4503,_imp!$C$1899))</f>
        <v/>
      </c>
      <c r="B1897" s="54">
        <f>IF(_imp!$C$1899="","",INDEX(_imp!$E$4:$E$4503,_imp!$C$1899))</f>
        <v/>
      </c>
      <c r="C1897" s="54">
        <f>IF(_imp!$C$1899="","",INDEX(_imp!$F$4:$F$4503,_imp!$C$1899))</f>
        <v/>
      </c>
      <c r="D1897" s="54">
        <f>IF(_imp!$C$1899="","",INDEX(_imp!$G$4:$G$4503,_imp!$C$1899))</f>
        <v/>
      </c>
      <c r="E1897" s="54">
        <f>IF(_imp!$C$1899="","",INDEX(_imp!$H$4:$H$4503,_imp!$C$1899))</f>
        <v/>
      </c>
      <c r="F1897" s="54">
        <f>IF(_imp!$C$1899="","",INDEX(_imp!$I$4:$I$4503,_imp!$C$1899))</f>
        <v/>
      </c>
      <c r="G1897" s="54">
        <f>IF(_imp!$C$1899="","",INDEX(_imp!$J$4:$J$4503,_imp!$C$1899))</f>
        <v/>
      </c>
      <c r="K1897" s="54">
        <f>IF(_imp!$C$1899="","",INDEX(_imp!$K$4:$K$4503,_imp!$C$1899))</f>
        <v/>
      </c>
    </row>
    <row r="1898">
      <c r="A1898" s="54">
        <f>IF(_imp!$C$1900="","",INDEX(_imp!$D$4:$D$4503,_imp!$C$1900))</f>
        <v/>
      </c>
      <c r="B1898" s="54">
        <f>IF(_imp!$C$1900="","",INDEX(_imp!$E$4:$E$4503,_imp!$C$1900))</f>
        <v/>
      </c>
      <c r="C1898" s="54">
        <f>IF(_imp!$C$1900="","",INDEX(_imp!$F$4:$F$4503,_imp!$C$1900))</f>
        <v/>
      </c>
      <c r="D1898" s="54">
        <f>IF(_imp!$C$1900="","",INDEX(_imp!$G$4:$G$4503,_imp!$C$1900))</f>
        <v/>
      </c>
      <c r="E1898" s="54">
        <f>IF(_imp!$C$1900="","",INDEX(_imp!$H$4:$H$4503,_imp!$C$1900))</f>
        <v/>
      </c>
      <c r="F1898" s="54">
        <f>IF(_imp!$C$1900="","",INDEX(_imp!$I$4:$I$4503,_imp!$C$1900))</f>
        <v/>
      </c>
      <c r="G1898" s="54">
        <f>IF(_imp!$C$1900="","",INDEX(_imp!$J$4:$J$4503,_imp!$C$1900))</f>
        <v/>
      </c>
      <c r="K1898" s="54">
        <f>IF(_imp!$C$1900="","",INDEX(_imp!$K$4:$K$4503,_imp!$C$1900))</f>
        <v/>
      </c>
    </row>
    <row r="1899">
      <c r="A1899" s="54">
        <f>IF(_imp!$C$1901="","",INDEX(_imp!$D$4:$D$4503,_imp!$C$1901))</f>
        <v/>
      </c>
      <c r="B1899" s="54">
        <f>IF(_imp!$C$1901="","",INDEX(_imp!$E$4:$E$4503,_imp!$C$1901))</f>
        <v/>
      </c>
      <c r="C1899" s="54">
        <f>IF(_imp!$C$1901="","",INDEX(_imp!$F$4:$F$4503,_imp!$C$1901))</f>
        <v/>
      </c>
      <c r="D1899" s="54">
        <f>IF(_imp!$C$1901="","",INDEX(_imp!$G$4:$G$4503,_imp!$C$1901))</f>
        <v/>
      </c>
      <c r="E1899" s="54">
        <f>IF(_imp!$C$1901="","",INDEX(_imp!$H$4:$H$4503,_imp!$C$1901))</f>
        <v/>
      </c>
      <c r="F1899" s="54">
        <f>IF(_imp!$C$1901="","",INDEX(_imp!$I$4:$I$4503,_imp!$C$1901))</f>
        <v/>
      </c>
      <c r="G1899" s="54">
        <f>IF(_imp!$C$1901="","",INDEX(_imp!$J$4:$J$4503,_imp!$C$1901))</f>
        <v/>
      </c>
      <c r="K1899" s="54">
        <f>IF(_imp!$C$1901="","",INDEX(_imp!$K$4:$K$4503,_imp!$C$1901))</f>
        <v/>
      </c>
    </row>
    <row r="1900">
      <c r="A1900" s="54">
        <f>IF(_imp!$C$1902="","",INDEX(_imp!$D$4:$D$4503,_imp!$C$1902))</f>
        <v/>
      </c>
      <c r="B1900" s="54">
        <f>IF(_imp!$C$1902="","",INDEX(_imp!$E$4:$E$4503,_imp!$C$1902))</f>
        <v/>
      </c>
      <c r="C1900" s="54">
        <f>IF(_imp!$C$1902="","",INDEX(_imp!$F$4:$F$4503,_imp!$C$1902))</f>
        <v/>
      </c>
      <c r="D1900" s="54">
        <f>IF(_imp!$C$1902="","",INDEX(_imp!$G$4:$G$4503,_imp!$C$1902))</f>
        <v/>
      </c>
      <c r="E1900" s="54">
        <f>IF(_imp!$C$1902="","",INDEX(_imp!$H$4:$H$4503,_imp!$C$1902))</f>
        <v/>
      </c>
      <c r="F1900" s="54">
        <f>IF(_imp!$C$1902="","",INDEX(_imp!$I$4:$I$4503,_imp!$C$1902))</f>
        <v/>
      </c>
      <c r="G1900" s="54">
        <f>IF(_imp!$C$1902="","",INDEX(_imp!$J$4:$J$4503,_imp!$C$1902))</f>
        <v/>
      </c>
      <c r="K1900" s="54">
        <f>IF(_imp!$C$1902="","",INDEX(_imp!$K$4:$K$4503,_imp!$C$1902))</f>
        <v/>
      </c>
    </row>
    <row r="1901">
      <c r="A1901" s="54">
        <f>IF(_imp!$C$1903="","",INDEX(_imp!$D$4:$D$4503,_imp!$C$1903))</f>
        <v/>
      </c>
      <c r="B1901" s="54">
        <f>IF(_imp!$C$1903="","",INDEX(_imp!$E$4:$E$4503,_imp!$C$1903))</f>
        <v/>
      </c>
      <c r="C1901" s="54">
        <f>IF(_imp!$C$1903="","",INDEX(_imp!$F$4:$F$4503,_imp!$C$1903))</f>
        <v/>
      </c>
      <c r="D1901" s="54">
        <f>IF(_imp!$C$1903="","",INDEX(_imp!$G$4:$G$4503,_imp!$C$1903))</f>
        <v/>
      </c>
      <c r="E1901" s="54">
        <f>IF(_imp!$C$1903="","",INDEX(_imp!$H$4:$H$4503,_imp!$C$1903))</f>
        <v/>
      </c>
      <c r="F1901" s="54">
        <f>IF(_imp!$C$1903="","",INDEX(_imp!$I$4:$I$4503,_imp!$C$1903))</f>
        <v/>
      </c>
      <c r="G1901" s="54">
        <f>IF(_imp!$C$1903="","",INDEX(_imp!$J$4:$J$4503,_imp!$C$1903))</f>
        <v/>
      </c>
      <c r="K1901" s="54">
        <f>IF(_imp!$C$1903="","",INDEX(_imp!$K$4:$K$4503,_imp!$C$1903))</f>
        <v/>
      </c>
    </row>
    <row r="1902">
      <c r="A1902" s="54">
        <f>IF(_imp!$C$1904="","",INDEX(_imp!$D$4:$D$4503,_imp!$C$1904))</f>
        <v/>
      </c>
      <c r="B1902" s="54">
        <f>IF(_imp!$C$1904="","",INDEX(_imp!$E$4:$E$4503,_imp!$C$1904))</f>
        <v/>
      </c>
      <c r="C1902" s="54">
        <f>IF(_imp!$C$1904="","",INDEX(_imp!$F$4:$F$4503,_imp!$C$1904))</f>
        <v/>
      </c>
      <c r="D1902" s="54">
        <f>IF(_imp!$C$1904="","",INDEX(_imp!$G$4:$G$4503,_imp!$C$1904))</f>
        <v/>
      </c>
      <c r="E1902" s="54">
        <f>IF(_imp!$C$1904="","",INDEX(_imp!$H$4:$H$4503,_imp!$C$1904))</f>
        <v/>
      </c>
      <c r="F1902" s="54">
        <f>IF(_imp!$C$1904="","",INDEX(_imp!$I$4:$I$4503,_imp!$C$1904))</f>
        <v/>
      </c>
      <c r="G1902" s="54">
        <f>IF(_imp!$C$1904="","",INDEX(_imp!$J$4:$J$4503,_imp!$C$1904))</f>
        <v/>
      </c>
      <c r="K1902" s="54">
        <f>IF(_imp!$C$1904="","",INDEX(_imp!$K$4:$K$4503,_imp!$C$1904))</f>
        <v/>
      </c>
    </row>
    <row r="1903">
      <c r="A1903" s="54">
        <f>IF(_imp!$C$1905="","",INDEX(_imp!$D$4:$D$4503,_imp!$C$1905))</f>
        <v/>
      </c>
      <c r="B1903" s="54">
        <f>IF(_imp!$C$1905="","",INDEX(_imp!$E$4:$E$4503,_imp!$C$1905))</f>
        <v/>
      </c>
      <c r="C1903" s="54">
        <f>IF(_imp!$C$1905="","",INDEX(_imp!$F$4:$F$4503,_imp!$C$1905))</f>
        <v/>
      </c>
      <c r="D1903" s="54">
        <f>IF(_imp!$C$1905="","",INDEX(_imp!$G$4:$G$4503,_imp!$C$1905))</f>
        <v/>
      </c>
      <c r="E1903" s="54">
        <f>IF(_imp!$C$1905="","",INDEX(_imp!$H$4:$H$4503,_imp!$C$1905))</f>
        <v/>
      </c>
      <c r="F1903" s="54">
        <f>IF(_imp!$C$1905="","",INDEX(_imp!$I$4:$I$4503,_imp!$C$1905))</f>
        <v/>
      </c>
      <c r="G1903" s="54">
        <f>IF(_imp!$C$1905="","",INDEX(_imp!$J$4:$J$4503,_imp!$C$1905))</f>
        <v/>
      </c>
      <c r="K1903" s="54">
        <f>IF(_imp!$C$1905="","",INDEX(_imp!$K$4:$K$4503,_imp!$C$1905))</f>
        <v/>
      </c>
    </row>
    <row r="1904">
      <c r="A1904" s="54">
        <f>IF(_imp!$C$1906="","",INDEX(_imp!$D$4:$D$4503,_imp!$C$1906))</f>
        <v/>
      </c>
      <c r="B1904" s="54">
        <f>IF(_imp!$C$1906="","",INDEX(_imp!$E$4:$E$4503,_imp!$C$1906))</f>
        <v/>
      </c>
      <c r="C1904" s="54">
        <f>IF(_imp!$C$1906="","",INDEX(_imp!$F$4:$F$4503,_imp!$C$1906))</f>
        <v/>
      </c>
      <c r="D1904" s="54">
        <f>IF(_imp!$C$1906="","",INDEX(_imp!$G$4:$G$4503,_imp!$C$1906))</f>
        <v/>
      </c>
      <c r="E1904" s="54">
        <f>IF(_imp!$C$1906="","",INDEX(_imp!$H$4:$H$4503,_imp!$C$1906))</f>
        <v/>
      </c>
      <c r="F1904" s="54">
        <f>IF(_imp!$C$1906="","",INDEX(_imp!$I$4:$I$4503,_imp!$C$1906))</f>
        <v/>
      </c>
      <c r="G1904" s="54">
        <f>IF(_imp!$C$1906="","",INDEX(_imp!$J$4:$J$4503,_imp!$C$1906))</f>
        <v/>
      </c>
      <c r="K1904" s="54">
        <f>IF(_imp!$C$1906="","",INDEX(_imp!$K$4:$K$4503,_imp!$C$1906))</f>
        <v/>
      </c>
    </row>
    <row r="1905">
      <c r="A1905" s="54">
        <f>IF(_imp!$C$1907="","",INDEX(_imp!$D$4:$D$4503,_imp!$C$1907))</f>
        <v/>
      </c>
      <c r="B1905" s="54">
        <f>IF(_imp!$C$1907="","",INDEX(_imp!$E$4:$E$4503,_imp!$C$1907))</f>
        <v/>
      </c>
      <c r="C1905" s="54">
        <f>IF(_imp!$C$1907="","",INDEX(_imp!$F$4:$F$4503,_imp!$C$1907))</f>
        <v/>
      </c>
      <c r="D1905" s="54">
        <f>IF(_imp!$C$1907="","",INDEX(_imp!$G$4:$G$4503,_imp!$C$1907))</f>
        <v/>
      </c>
      <c r="E1905" s="54">
        <f>IF(_imp!$C$1907="","",INDEX(_imp!$H$4:$H$4503,_imp!$C$1907))</f>
        <v/>
      </c>
      <c r="F1905" s="54">
        <f>IF(_imp!$C$1907="","",INDEX(_imp!$I$4:$I$4503,_imp!$C$1907))</f>
        <v/>
      </c>
      <c r="G1905" s="54">
        <f>IF(_imp!$C$1907="","",INDEX(_imp!$J$4:$J$4503,_imp!$C$1907))</f>
        <v/>
      </c>
      <c r="K1905" s="54">
        <f>IF(_imp!$C$1907="","",INDEX(_imp!$K$4:$K$4503,_imp!$C$1907))</f>
        <v/>
      </c>
    </row>
    <row r="1906">
      <c r="A1906" s="54">
        <f>IF(_imp!$C$1908="","",INDEX(_imp!$D$4:$D$4503,_imp!$C$1908))</f>
        <v/>
      </c>
      <c r="B1906" s="54">
        <f>IF(_imp!$C$1908="","",INDEX(_imp!$E$4:$E$4503,_imp!$C$1908))</f>
        <v/>
      </c>
      <c r="C1906" s="54">
        <f>IF(_imp!$C$1908="","",INDEX(_imp!$F$4:$F$4503,_imp!$C$1908))</f>
        <v/>
      </c>
      <c r="D1906" s="54">
        <f>IF(_imp!$C$1908="","",INDEX(_imp!$G$4:$G$4503,_imp!$C$1908))</f>
        <v/>
      </c>
      <c r="E1906" s="54">
        <f>IF(_imp!$C$1908="","",INDEX(_imp!$H$4:$H$4503,_imp!$C$1908))</f>
        <v/>
      </c>
      <c r="F1906" s="54">
        <f>IF(_imp!$C$1908="","",INDEX(_imp!$I$4:$I$4503,_imp!$C$1908))</f>
        <v/>
      </c>
      <c r="G1906" s="54">
        <f>IF(_imp!$C$1908="","",INDEX(_imp!$J$4:$J$4503,_imp!$C$1908))</f>
        <v/>
      </c>
      <c r="K1906" s="54">
        <f>IF(_imp!$C$1908="","",INDEX(_imp!$K$4:$K$4503,_imp!$C$1908))</f>
        <v/>
      </c>
    </row>
    <row r="1907">
      <c r="A1907" s="54">
        <f>IF(_imp!$C$1909="","",INDEX(_imp!$D$4:$D$4503,_imp!$C$1909))</f>
        <v/>
      </c>
      <c r="B1907" s="54">
        <f>IF(_imp!$C$1909="","",INDEX(_imp!$E$4:$E$4503,_imp!$C$1909))</f>
        <v/>
      </c>
      <c r="C1907" s="54">
        <f>IF(_imp!$C$1909="","",INDEX(_imp!$F$4:$F$4503,_imp!$C$1909))</f>
        <v/>
      </c>
      <c r="D1907" s="54">
        <f>IF(_imp!$C$1909="","",INDEX(_imp!$G$4:$G$4503,_imp!$C$1909))</f>
        <v/>
      </c>
      <c r="E1907" s="54">
        <f>IF(_imp!$C$1909="","",INDEX(_imp!$H$4:$H$4503,_imp!$C$1909))</f>
        <v/>
      </c>
      <c r="F1907" s="54">
        <f>IF(_imp!$C$1909="","",INDEX(_imp!$I$4:$I$4503,_imp!$C$1909))</f>
        <v/>
      </c>
      <c r="G1907" s="54">
        <f>IF(_imp!$C$1909="","",INDEX(_imp!$J$4:$J$4503,_imp!$C$1909))</f>
        <v/>
      </c>
      <c r="K1907" s="54">
        <f>IF(_imp!$C$1909="","",INDEX(_imp!$K$4:$K$4503,_imp!$C$1909))</f>
        <v/>
      </c>
    </row>
    <row r="1908">
      <c r="A1908" s="54">
        <f>IF(_imp!$C$1910="","",INDEX(_imp!$D$4:$D$4503,_imp!$C$1910))</f>
        <v/>
      </c>
      <c r="B1908" s="54">
        <f>IF(_imp!$C$1910="","",INDEX(_imp!$E$4:$E$4503,_imp!$C$1910))</f>
        <v/>
      </c>
      <c r="C1908" s="54">
        <f>IF(_imp!$C$1910="","",INDEX(_imp!$F$4:$F$4503,_imp!$C$1910))</f>
        <v/>
      </c>
      <c r="D1908" s="54">
        <f>IF(_imp!$C$1910="","",INDEX(_imp!$G$4:$G$4503,_imp!$C$1910))</f>
        <v/>
      </c>
      <c r="E1908" s="54">
        <f>IF(_imp!$C$1910="","",INDEX(_imp!$H$4:$H$4503,_imp!$C$1910))</f>
        <v/>
      </c>
      <c r="F1908" s="54">
        <f>IF(_imp!$C$1910="","",INDEX(_imp!$I$4:$I$4503,_imp!$C$1910))</f>
        <v/>
      </c>
      <c r="G1908" s="54">
        <f>IF(_imp!$C$1910="","",INDEX(_imp!$J$4:$J$4503,_imp!$C$1910))</f>
        <v/>
      </c>
      <c r="K1908" s="54">
        <f>IF(_imp!$C$1910="","",INDEX(_imp!$K$4:$K$4503,_imp!$C$1910))</f>
        <v/>
      </c>
    </row>
    <row r="1909">
      <c r="A1909" s="54">
        <f>IF(_imp!$C$1911="","",INDEX(_imp!$D$4:$D$4503,_imp!$C$1911))</f>
        <v/>
      </c>
      <c r="B1909" s="54">
        <f>IF(_imp!$C$1911="","",INDEX(_imp!$E$4:$E$4503,_imp!$C$1911))</f>
        <v/>
      </c>
      <c r="C1909" s="54">
        <f>IF(_imp!$C$1911="","",INDEX(_imp!$F$4:$F$4503,_imp!$C$1911))</f>
        <v/>
      </c>
      <c r="D1909" s="54">
        <f>IF(_imp!$C$1911="","",INDEX(_imp!$G$4:$G$4503,_imp!$C$1911))</f>
        <v/>
      </c>
      <c r="E1909" s="54">
        <f>IF(_imp!$C$1911="","",INDEX(_imp!$H$4:$H$4503,_imp!$C$1911))</f>
        <v/>
      </c>
      <c r="F1909" s="54">
        <f>IF(_imp!$C$1911="","",INDEX(_imp!$I$4:$I$4503,_imp!$C$1911))</f>
        <v/>
      </c>
      <c r="G1909" s="54">
        <f>IF(_imp!$C$1911="","",INDEX(_imp!$J$4:$J$4503,_imp!$C$1911))</f>
        <v/>
      </c>
      <c r="K1909" s="54">
        <f>IF(_imp!$C$1911="","",INDEX(_imp!$K$4:$K$4503,_imp!$C$1911))</f>
        <v/>
      </c>
    </row>
    <row r="1910">
      <c r="A1910" s="54">
        <f>IF(_imp!$C$1912="","",INDEX(_imp!$D$4:$D$4503,_imp!$C$1912))</f>
        <v/>
      </c>
      <c r="B1910" s="54">
        <f>IF(_imp!$C$1912="","",INDEX(_imp!$E$4:$E$4503,_imp!$C$1912))</f>
        <v/>
      </c>
      <c r="C1910" s="54">
        <f>IF(_imp!$C$1912="","",INDEX(_imp!$F$4:$F$4503,_imp!$C$1912))</f>
        <v/>
      </c>
      <c r="D1910" s="54">
        <f>IF(_imp!$C$1912="","",INDEX(_imp!$G$4:$G$4503,_imp!$C$1912))</f>
        <v/>
      </c>
      <c r="E1910" s="54">
        <f>IF(_imp!$C$1912="","",INDEX(_imp!$H$4:$H$4503,_imp!$C$1912))</f>
        <v/>
      </c>
      <c r="F1910" s="54">
        <f>IF(_imp!$C$1912="","",INDEX(_imp!$I$4:$I$4503,_imp!$C$1912))</f>
        <v/>
      </c>
      <c r="G1910" s="54">
        <f>IF(_imp!$C$1912="","",INDEX(_imp!$J$4:$J$4503,_imp!$C$1912))</f>
        <v/>
      </c>
      <c r="K1910" s="54">
        <f>IF(_imp!$C$1912="","",INDEX(_imp!$K$4:$K$4503,_imp!$C$1912))</f>
        <v/>
      </c>
    </row>
    <row r="1911">
      <c r="A1911" s="54">
        <f>IF(_imp!$C$1913="","",INDEX(_imp!$D$4:$D$4503,_imp!$C$1913))</f>
        <v/>
      </c>
      <c r="B1911" s="54">
        <f>IF(_imp!$C$1913="","",INDEX(_imp!$E$4:$E$4503,_imp!$C$1913))</f>
        <v/>
      </c>
      <c r="C1911" s="54">
        <f>IF(_imp!$C$1913="","",INDEX(_imp!$F$4:$F$4503,_imp!$C$1913))</f>
        <v/>
      </c>
      <c r="D1911" s="54">
        <f>IF(_imp!$C$1913="","",INDEX(_imp!$G$4:$G$4503,_imp!$C$1913))</f>
        <v/>
      </c>
      <c r="E1911" s="54">
        <f>IF(_imp!$C$1913="","",INDEX(_imp!$H$4:$H$4503,_imp!$C$1913))</f>
        <v/>
      </c>
      <c r="F1911" s="54">
        <f>IF(_imp!$C$1913="","",INDEX(_imp!$I$4:$I$4503,_imp!$C$1913))</f>
        <v/>
      </c>
      <c r="G1911" s="54">
        <f>IF(_imp!$C$1913="","",INDEX(_imp!$J$4:$J$4503,_imp!$C$1913))</f>
        <v/>
      </c>
      <c r="K1911" s="54">
        <f>IF(_imp!$C$1913="","",INDEX(_imp!$K$4:$K$4503,_imp!$C$1913))</f>
        <v/>
      </c>
    </row>
    <row r="1912">
      <c r="A1912" s="54">
        <f>IF(_imp!$C$1914="","",INDEX(_imp!$D$4:$D$4503,_imp!$C$1914))</f>
        <v/>
      </c>
      <c r="B1912" s="54">
        <f>IF(_imp!$C$1914="","",INDEX(_imp!$E$4:$E$4503,_imp!$C$1914))</f>
        <v/>
      </c>
      <c r="C1912" s="54">
        <f>IF(_imp!$C$1914="","",INDEX(_imp!$F$4:$F$4503,_imp!$C$1914))</f>
        <v/>
      </c>
      <c r="D1912" s="54">
        <f>IF(_imp!$C$1914="","",INDEX(_imp!$G$4:$G$4503,_imp!$C$1914))</f>
        <v/>
      </c>
      <c r="E1912" s="54">
        <f>IF(_imp!$C$1914="","",INDEX(_imp!$H$4:$H$4503,_imp!$C$1914))</f>
        <v/>
      </c>
      <c r="F1912" s="54">
        <f>IF(_imp!$C$1914="","",INDEX(_imp!$I$4:$I$4503,_imp!$C$1914))</f>
        <v/>
      </c>
      <c r="G1912" s="54">
        <f>IF(_imp!$C$1914="","",INDEX(_imp!$J$4:$J$4503,_imp!$C$1914))</f>
        <v/>
      </c>
      <c r="K1912" s="54">
        <f>IF(_imp!$C$1914="","",INDEX(_imp!$K$4:$K$4503,_imp!$C$1914))</f>
        <v/>
      </c>
    </row>
    <row r="1913">
      <c r="A1913" s="54">
        <f>IF(_imp!$C$1915="","",INDEX(_imp!$D$4:$D$4503,_imp!$C$1915))</f>
        <v/>
      </c>
      <c r="B1913" s="54">
        <f>IF(_imp!$C$1915="","",INDEX(_imp!$E$4:$E$4503,_imp!$C$1915))</f>
        <v/>
      </c>
      <c r="C1913" s="54">
        <f>IF(_imp!$C$1915="","",INDEX(_imp!$F$4:$F$4503,_imp!$C$1915))</f>
        <v/>
      </c>
      <c r="D1913" s="54">
        <f>IF(_imp!$C$1915="","",INDEX(_imp!$G$4:$G$4503,_imp!$C$1915))</f>
        <v/>
      </c>
      <c r="E1913" s="54">
        <f>IF(_imp!$C$1915="","",INDEX(_imp!$H$4:$H$4503,_imp!$C$1915))</f>
        <v/>
      </c>
      <c r="F1913" s="54">
        <f>IF(_imp!$C$1915="","",INDEX(_imp!$I$4:$I$4503,_imp!$C$1915))</f>
        <v/>
      </c>
      <c r="G1913" s="54">
        <f>IF(_imp!$C$1915="","",INDEX(_imp!$J$4:$J$4503,_imp!$C$1915))</f>
        <v/>
      </c>
      <c r="K1913" s="54">
        <f>IF(_imp!$C$1915="","",INDEX(_imp!$K$4:$K$4503,_imp!$C$1915))</f>
        <v/>
      </c>
    </row>
    <row r="1914">
      <c r="A1914" s="54">
        <f>IF(_imp!$C$1916="","",INDEX(_imp!$D$4:$D$4503,_imp!$C$1916))</f>
        <v/>
      </c>
      <c r="B1914" s="54">
        <f>IF(_imp!$C$1916="","",INDEX(_imp!$E$4:$E$4503,_imp!$C$1916))</f>
        <v/>
      </c>
      <c r="C1914" s="54">
        <f>IF(_imp!$C$1916="","",INDEX(_imp!$F$4:$F$4503,_imp!$C$1916))</f>
        <v/>
      </c>
      <c r="D1914" s="54">
        <f>IF(_imp!$C$1916="","",INDEX(_imp!$G$4:$G$4503,_imp!$C$1916))</f>
        <v/>
      </c>
      <c r="E1914" s="54">
        <f>IF(_imp!$C$1916="","",INDEX(_imp!$H$4:$H$4503,_imp!$C$1916))</f>
        <v/>
      </c>
      <c r="F1914" s="54">
        <f>IF(_imp!$C$1916="","",INDEX(_imp!$I$4:$I$4503,_imp!$C$1916))</f>
        <v/>
      </c>
      <c r="G1914" s="54">
        <f>IF(_imp!$C$1916="","",INDEX(_imp!$J$4:$J$4503,_imp!$C$1916))</f>
        <v/>
      </c>
      <c r="K1914" s="54">
        <f>IF(_imp!$C$1916="","",INDEX(_imp!$K$4:$K$4503,_imp!$C$1916))</f>
        <v/>
      </c>
    </row>
    <row r="1915">
      <c r="A1915" s="54">
        <f>IF(_imp!$C$1917="","",INDEX(_imp!$D$4:$D$4503,_imp!$C$1917))</f>
        <v/>
      </c>
      <c r="B1915" s="54">
        <f>IF(_imp!$C$1917="","",INDEX(_imp!$E$4:$E$4503,_imp!$C$1917))</f>
        <v/>
      </c>
      <c r="C1915" s="54">
        <f>IF(_imp!$C$1917="","",INDEX(_imp!$F$4:$F$4503,_imp!$C$1917))</f>
        <v/>
      </c>
      <c r="D1915" s="54">
        <f>IF(_imp!$C$1917="","",INDEX(_imp!$G$4:$G$4503,_imp!$C$1917))</f>
        <v/>
      </c>
      <c r="E1915" s="54">
        <f>IF(_imp!$C$1917="","",INDEX(_imp!$H$4:$H$4503,_imp!$C$1917))</f>
        <v/>
      </c>
      <c r="F1915" s="54">
        <f>IF(_imp!$C$1917="","",INDEX(_imp!$I$4:$I$4503,_imp!$C$1917))</f>
        <v/>
      </c>
      <c r="G1915" s="54">
        <f>IF(_imp!$C$1917="","",INDEX(_imp!$J$4:$J$4503,_imp!$C$1917))</f>
        <v/>
      </c>
      <c r="K1915" s="54">
        <f>IF(_imp!$C$1917="","",INDEX(_imp!$K$4:$K$4503,_imp!$C$1917))</f>
        <v/>
      </c>
    </row>
    <row r="1916">
      <c r="A1916" s="54">
        <f>IF(_imp!$C$1918="","",INDEX(_imp!$D$4:$D$4503,_imp!$C$1918))</f>
        <v/>
      </c>
      <c r="B1916" s="54">
        <f>IF(_imp!$C$1918="","",INDEX(_imp!$E$4:$E$4503,_imp!$C$1918))</f>
        <v/>
      </c>
      <c r="C1916" s="54">
        <f>IF(_imp!$C$1918="","",INDEX(_imp!$F$4:$F$4503,_imp!$C$1918))</f>
        <v/>
      </c>
      <c r="D1916" s="54">
        <f>IF(_imp!$C$1918="","",INDEX(_imp!$G$4:$G$4503,_imp!$C$1918))</f>
        <v/>
      </c>
      <c r="E1916" s="54">
        <f>IF(_imp!$C$1918="","",INDEX(_imp!$H$4:$H$4503,_imp!$C$1918))</f>
        <v/>
      </c>
      <c r="F1916" s="54">
        <f>IF(_imp!$C$1918="","",INDEX(_imp!$I$4:$I$4503,_imp!$C$1918))</f>
        <v/>
      </c>
      <c r="G1916" s="54">
        <f>IF(_imp!$C$1918="","",INDEX(_imp!$J$4:$J$4503,_imp!$C$1918))</f>
        <v/>
      </c>
      <c r="K1916" s="54">
        <f>IF(_imp!$C$1918="","",INDEX(_imp!$K$4:$K$4503,_imp!$C$1918))</f>
        <v/>
      </c>
    </row>
    <row r="1917">
      <c r="A1917" s="54">
        <f>IF(_imp!$C$1919="","",INDEX(_imp!$D$4:$D$4503,_imp!$C$1919))</f>
        <v/>
      </c>
      <c r="B1917" s="54">
        <f>IF(_imp!$C$1919="","",INDEX(_imp!$E$4:$E$4503,_imp!$C$1919))</f>
        <v/>
      </c>
      <c r="C1917" s="54">
        <f>IF(_imp!$C$1919="","",INDEX(_imp!$F$4:$F$4503,_imp!$C$1919))</f>
        <v/>
      </c>
      <c r="D1917" s="54">
        <f>IF(_imp!$C$1919="","",INDEX(_imp!$G$4:$G$4503,_imp!$C$1919))</f>
        <v/>
      </c>
      <c r="E1917" s="54">
        <f>IF(_imp!$C$1919="","",INDEX(_imp!$H$4:$H$4503,_imp!$C$1919))</f>
        <v/>
      </c>
      <c r="F1917" s="54">
        <f>IF(_imp!$C$1919="","",INDEX(_imp!$I$4:$I$4503,_imp!$C$1919))</f>
        <v/>
      </c>
      <c r="G1917" s="54">
        <f>IF(_imp!$C$1919="","",INDEX(_imp!$J$4:$J$4503,_imp!$C$1919))</f>
        <v/>
      </c>
      <c r="K1917" s="54">
        <f>IF(_imp!$C$1919="","",INDEX(_imp!$K$4:$K$4503,_imp!$C$1919))</f>
        <v/>
      </c>
    </row>
    <row r="1918">
      <c r="A1918" s="54">
        <f>IF(_imp!$C$1920="","",INDEX(_imp!$D$4:$D$4503,_imp!$C$1920))</f>
        <v/>
      </c>
      <c r="B1918" s="54">
        <f>IF(_imp!$C$1920="","",INDEX(_imp!$E$4:$E$4503,_imp!$C$1920))</f>
        <v/>
      </c>
      <c r="C1918" s="54">
        <f>IF(_imp!$C$1920="","",INDEX(_imp!$F$4:$F$4503,_imp!$C$1920))</f>
        <v/>
      </c>
      <c r="D1918" s="54">
        <f>IF(_imp!$C$1920="","",INDEX(_imp!$G$4:$G$4503,_imp!$C$1920))</f>
        <v/>
      </c>
      <c r="E1918" s="54">
        <f>IF(_imp!$C$1920="","",INDEX(_imp!$H$4:$H$4503,_imp!$C$1920))</f>
        <v/>
      </c>
      <c r="F1918" s="54">
        <f>IF(_imp!$C$1920="","",INDEX(_imp!$I$4:$I$4503,_imp!$C$1920))</f>
        <v/>
      </c>
      <c r="G1918" s="54">
        <f>IF(_imp!$C$1920="","",INDEX(_imp!$J$4:$J$4503,_imp!$C$1920))</f>
        <v/>
      </c>
      <c r="K1918" s="54">
        <f>IF(_imp!$C$1920="","",INDEX(_imp!$K$4:$K$4503,_imp!$C$1920))</f>
        <v/>
      </c>
    </row>
    <row r="1919">
      <c r="A1919" s="54">
        <f>IF(_imp!$C$1921="","",INDEX(_imp!$D$4:$D$4503,_imp!$C$1921))</f>
        <v/>
      </c>
      <c r="B1919" s="54">
        <f>IF(_imp!$C$1921="","",INDEX(_imp!$E$4:$E$4503,_imp!$C$1921))</f>
        <v/>
      </c>
      <c r="C1919" s="54">
        <f>IF(_imp!$C$1921="","",INDEX(_imp!$F$4:$F$4503,_imp!$C$1921))</f>
        <v/>
      </c>
      <c r="D1919" s="54">
        <f>IF(_imp!$C$1921="","",INDEX(_imp!$G$4:$G$4503,_imp!$C$1921))</f>
        <v/>
      </c>
      <c r="E1919" s="54">
        <f>IF(_imp!$C$1921="","",INDEX(_imp!$H$4:$H$4503,_imp!$C$1921))</f>
        <v/>
      </c>
      <c r="F1919" s="54">
        <f>IF(_imp!$C$1921="","",INDEX(_imp!$I$4:$I$4503,_imp!$C$1921))</f>
        <v/>
      </c>
      <c r="G1919" s="54">
        <f>IF(_imp!$C$1921="","",INDEX(_imp!$J$4:$J$4503,_imp!$C$1921))</f>
        <v/>
      </c>
      <c r="K1919" s="54">
        <f>IF(_imp!$C$1921="","",INDEX(_imp!$K$4:$K$4503,_imp!$C$1921))</f>
        <v/>
      </c>
    </row>
    <row r="1920">
      <c r="A1920" s="54">
        <f>IF(_imp!$C$1922="","",INDEX(_imp!$D$4:$D$4503,_imp!$C$1922))</f>
        <v/>
      </c>
      <c r="B1920" s="54">
        <f>IF(_imp!$C$1922="","",INDEX(_imp!$E$4:$E$4503,_imp!$C$1922))</f>
        <v/>
      </c>
      <c r="C1920" s="54">
        <f>IF(_imp!$C$1922="","",INDEX(_imp!$F$4:$F$4503,_imp!$C$1922))</f>
        <v/>
      </c>
      <c r="D1920" s="54">
        <f>IF(_imp!$C$1922="","",INDEX(_imp!$G$4:$G$4503,_imp!$C$1922))</f>
        <v/>
      </c>
      <c r="E1920" s="54">
        <f>IF(_imp!$C$1922="","",INDEX(_imp!$H$4:$H$4503,_imp!$C$1922))</f>
        <v/>
      </c>
      <c r="F1920" s="54">
        <f>IF(_imp!$C$1922="","",INDEX(_imp!$I$4:$I$4503,_imp!$C$1922))</f>
        <v/>
      </c>
      <c r="G1920" s="54">
        <f>IF(_imp!$C$1922="","",INDEX(_imp!$J$4:$J$4503,_imp!$C$1922))</f>
        <v/>
      </c>
      <c r="K1920" s="54">
        <f>IF(_imp!$C$1922="","",INDEX(_imp!$K$4:$K$4503,_imp!$C$1922))</f>
        <v/>
      </c>
    </row>
    <row r="1921">
      <c r="A1921" s="54">
        <f>IF(_imp!$C$1923="","",INDEX(_imp!$D$4:$D$4503,_imp!$C$1923))</f>
        <v/>
      </c>
      <c r="B1921" s="54">
        <f>IF(_imp!$C$1923="","",INDEX(_imp!$E$4:$E$4503,_imp!$C$1923))</f>
        <v/>
      </c>
      <c r="C1921" s="54">
        <f>IF(_imp!$C$1923="","",INDEX(_imp!$F$4:$F$4503,_imp!$C$1923))</f>
        <v/>
      </c>
      <c r="D1921" s="54">
        <f>IF(_imp!$C$1923="","",INDEX(_imp!$G$4:$G$4503,_imp!$C$1923))</f>
        <v/>
      </c>
      <c r="E1921" s="54">
        <f>IF(_imp!$C$1923="","",INDEX(_imp!$H$4:$H$4503,_imp!$C$1923))</f>
        <v/>
      </c>
      <c r="F1921" s="54">
        <f>IF(_imp!$C$1923="","",INDEX(_imp!$I$4:$I$4503,_imp!$C$1923))</f>
        <v/>
      </c>
      <c r="G1921" s="54">
        <f>IF(_imp!$C$1923="","",INDEX(_imp!$J$4:$J$4503,_imp!$C$1923))</f>
        <v/>
      </c>
      <c r="K1921" s="54">
        <f>IF(_imp!$C$1923="","",INDEX(_imp!$K$4:$K$4503,_imp!$C$1923))</f>
        <v/>
      </c>
    </row>
    <row r="1922">
      <c r="A1922" s="54">
        <f>IF(_imp!$C$1924="","",INDEX(_imp!$D$4:$D$4503,_imp!$C$1924))</f>
        <v/>
      </c>
      <c r="B1922" s="54">
        <f>IF(_imp!$C$1924="","",INDEX(_imp!$E$4:$E$4503,_imp!$C$1924))</f>
        <v/>
      </c>
      <c r="C1922" s="54">
        <f>IF(_imp!$C$1924="","",INDEX(_imp!$F$4:$F$4503,_imp!$C$1924))</f>
        <v/>
      </c>
      <c r="D1922" s="54">
        <f>IF(_imp!$C$1924="","",INDEX(_imp!$G$4:$G$4503,_imp!$C$1924))</f>
        <v/>
      </c>
      <c r="E1922" s="54">
        <f>IF(_imp!$C$1924="","",INDEX(_imp!$H$4:$H$4503,_imp!$C$1924))</f>
        <v/>
      </c>
      <c r="F1922" s="54">
        <f>IF(_imp!$C$1924="","",INDEX(_imp!$I$4:$I$4503,_imp!$C$1924))</f>
        <v/>
      </c>
      <c r="G1922" s="54">
        <f>IF(_imp!$C$1924="","",INDEX(_imp!$J$4:$J$4503,_imp!$C$1924))</f>
        <v/>
      </c>
      <c r="K1922" s="54">
        <f>IF(_imp!$C$1924="","",INDEX(_imp!$K$4:$K$4503,_imp!$C$1924))</f>
        <v/>
      </c>
    </row>
    <row r="1923">
      <c r="A1923" s="54">
        <f>IF(_imp!$C$1925="","",INDEX(_imp!$D$4:$D$4503,_imp!$C$1925))</f>
        <v/>
      </c>
      <c r="B1923" s="54">
        <f>IF(_imp!$C$1925="","",INDEX(_imp!$E$4:$E$4503,_imp!$C$1925))</f>
        <v/>
      </c>
      <c r="C1923" s="54">
        <f>IF(_imp!$C$1925="","",INDEX(_imp!$F$4:$F$4503,_imp!$C$1925))</f>
        <v/>
      </c>
      <c r="D1923" s="54">
        <f>IF(_imp!$C$1925="","",INDEX(_imp!$G$4:$G$4503,_imp!$C$1925))</f>
        <v/>
      </c>
      <c r="E1923" s="54">
        <f>IF(_imp!$C$1925="","",INDEX(_imp!$H$4:$H$4503,_imp!$C$1925))</f>
        <v/>
      </c>
      <c r="F1923" s="54">
        <f>IF(_imp!$C$1925="","",INDEX(_imp!$I$4:$I$4503,_imp!$C$1925))</f>
        <v/>
      </c>
      <c r="G1923" s="54">
        <f>IF(_imp!$C$1925="","",INDEX(_imp!$J$4:$J$4503,_imp!$C$1925))</f>
        <v/>
      </c>
      <c r="K1923" s="54">
        <f>IF(_imp!$C$1925="","",INDEX(_imp!$K$4:$K$4503,_imp!$C$1925))</f>
        <v/>
      </c>
    </row>
    <row r="1924">
      <c r="A1924" s="54">
        <f>IF(_imp!$C$1926="","",INDEX(_imp!$D$4:$D$4503,_imp!$C$1926))</f>
        <v/>
      </c>
      <c r="B1924" s="54">
        <f>IF(_imp!$C$1926="","",INDEX(_imp!$E$4:$E$4503,_imp!$C$1926))</f>
        <v/>
      </c>
      <c r="C1924" s="54">
        <f>IF(_imp!$C$1926="","",INDEX(_imp!$F$4:$F$4503,_imp!$C$1926))</f>
        <v/>
      </c>
      <c r="D1924" s="54">
        <f>IF(_imp!$C$1926="","",INDEX(_imp!$G$4:$G$4503,_imp!$C$1926))</f>
        <v/>
      </c>
      <c r="E1924" s="54">
        <f>IF(_imp!$C$1926="","",INDEX(_imp!$H$4:$H$4503,_imp!$C$1926))</f>
        <v/>
      </c>
      <c r="F1924" s="54">
        <f>IF(_imp!$C$1926="","",INDEX(_imp!$I$4:$I$4503,_imp!$C$1926))</f>
        <v/>
      </c>
      <c r="G1924" s="54">
        <f>IF(_imp!$C$1926="","",INDEX(_imp!$J$4:$J$4503,_imp!$C$1926))</f>
        <v/>
      </c>
      <c r="K1924" s="54">
        <f>IF(_imp!$C$1926="","",INDEX(_imp!$K$4:$K$4503,_imp!$C$1926))</f>
        <v/>
      </c>
    </row>
    <row r="1925">
      <c r="A1925" s="54">
        <f>IF(_imp!$C$1927="","",INDEX(_imp!$D$4:$D$4503,_imp!$C$1927))</f>
        <v/>
      </c>
      <c r="B1925" s="54">
        <f>IF(_imp!$C$1927="","",INDEX(_imp!$E$4:$E$4503,_imp!$C$1927))</f>
        <v/>
      </c>
      <c r="C1925" s="54">
        <f>IF(_imp!$C$1927="","",INDEX(_imp!$F$4:$F$4503,_imp!$C$1927))</f>
        <v/>
      </c>
      <c r="D1925" s="54">
        <f>IF(_imp!$C$1927="","",INDEX(_imp!$G$4:$G$4503,_imp!$C$1927))</f>
        <v/>
      </c>
      <c r="E1925" s="54">
        <f>IF(_imp!$C$1927="","",INDEX(_imp!$H$4:$H$4503,_imp!$C$1927))</f>
        <v/>
      </c>
      <c r="F1925" s="54">
        <f>IF(_imp!$C$1927="","",INDEX(_imp!$I$4:$I$4503,_imp!$C$1927))</f>
        <v/>
      </c>
      <c r="G1925" s="54">
        <f>IF(_imp!$C$1927="","",INDEX(_imp!$J$4:$J$4503,_imp!$C$1927))</f>
        <v/>
      </c>
      <c r="K1925" s="54">
        <f>IF(_imp!$C$1927="","",INDEX(_imp!$K$4:$K$4503,_imp!$C$1927))</f>
        <v/>
      </c>
    </row>
    <row r="1926">
      <c r="A1926" s="54">
        <f>IF(_imp!$C$1928="","",INDEX(_imp!$D$4:$D$4503,_imp!$C$1928))</f>
        <v/>
      </c>
      <c r="B1926" s="54">
        <f>IF(_imp!$C$1928="","",INDEX(_imp!$E$4:$E$4503,_imp!$C$1928))</f>
        <v/>
      </c>
      <c r="C1926" s="54">
        <f>IF(_imp!$C$1928="","",INDEX(_imp!$F$4:$F$4503,_imp!$C$1928))</f>
        <v/>
      </c>
      <c r="D1926" s="54">
        <f>IF(_imp!$C$1928="","",INDEX(_imp!$G$4:$G$4503,_imp!$C$1928))</f>
        <v/>
      </c>
      <c r="E1926" s="54">
        <f>IF(_imp!$C$1928="","",INDEX(_imp!$H$4:$H$4503,_imp!$C$1928))</f>
        <v/>
      </c>
      <c r="F1926" s="54">
        <f>IF(_imp!$C$1928="","",INDEX(_imp!$I$4:$I$4503,_imp!$C$1928))</f>
        <v/>
      </c>
      <c r="G1926" s="54">
        <f>IF(_imp!$C$1928="","",INDEX(_imp!$J$4:$J$4503,_imp!$C$1928))</f>
        <v/>
      </c>
      <c r="K1926" s="54">
        <f>IF(_imp!$C$1928="","",INDEX(_imp!$K$4:$K$4503,_imp!$C$1928))</f>
        <v/>
      </c>
    </row>
    <row r="1927">
      <c r="A1927" s="54">
        <f>IF(_imp!$C$1929="","",INDEX(_imp!$D$4:$D$4503,_imp!$C$1929))</f>
        <v/>
      </c>
      <c r="B1927" s="54">
        <f>IF(_imp!$C$1929="","",INDEX(_imp!$E$4:$E$4503,_imp!$C$1929))</f>
        <v/>
      </c>
      <c r="C1927" s="54">
        <f>IF(_imp!$C$1929="","",INDEX(_imp!$F$4:$F$4503,_imp!$C$1929))</f>
        <v/>
      </c>
      <c r="D1927" s="54">
        <f>IF(_imp!$C$1929="","",INDEX(_imp!$G$4:$G$4503,_imp!$C$1929))</f>
        <v/>
      </c>
      <c r="E1927" s="54">
        <f>IF(_imp!$C$1929="","",INDEX(_imp!$H$4:$H$4503,_imp!$C$1929))</f>
        <v/>
      </c>
      <c r="F1927" s="54">
        <f>IF(_imp!$C$1929="","",INDEX(_imp!$I$4:$I$4503,_imp!$C$1929))</f>
        <v/>
      </c>
      <c r="G1927" s="54">
        <f>IF(_imp!$C$1929="","",INDEX(_imp!$J$4:$J$4503,_imp!$C$1929))</f>
        <v/>
      </c>
      <c r="K1927" s="54">
        <f>IF(_imp!$C$1929="","",INDEX(_imp!$K$4:$K$4503,_imp!$C$1929))</f>
        <v/>
      </c>
    </row>
    <row r="1928">
      <c r="A1928" s="54">
        <f>IF(_imp!$C$1930="","",INDEX(_imp!$D$4:$D$4503,_imp!$C$1930))</f>
        <v/>
      </c>
      <c r="B1928" s="54">
        <f>IF(_imp!$C$1930="","",INDEX(_imp!$E$4:$E$4503,_imp!$C$1930))</f>
        <v/>
      </c>
      <c r="C1928" s="54">
        <f>IF(_imp!$C$1930="","",INDEX(_imp!$F$4:$F$4503,_imp!$C$1930))</f>
        <v/>
      </c>
      <c r="D1928" s="54">
        <f>IF(_imp!$C$1930="","",INDEX(_imp!$G$4:$G$4503,_imp!$C$1930))</f>
        <v/>
      </c>
      <c r="E1928" s="54">
        <f>IF(_imp!$C$1930="","",INDEX(_imp!$H$4:$H$4503,_imp!$C$1930))</f>
        <v/>
      </c>
      <c r="F1928" s="54">
        <f>IF(_imp!$C$1930="","",INDEX(_imp!$I$4:$I$4503,_imp!$C$1930))</f>
        <v/>
      </c>
      <c r="G1928" s="54">
        <f>IF(_imp!$C$1930="","",INDEX(_imp!$J$4:$J$4503,_imp!$C$1930))</f>
        <v/>
      </c>
      <c r="K1928" s="54">
        <f>IF(_imp!$C$1930="","",INDEX(_imp!$K$4:$K$4503,_imp!$C$1930))</f>
        <v/>
      </c>
    </row>
    <row r="1929">
      <c r="A1929" s="54">
        <f>IF(_imp!$C$1931="","",INDEX(_imp!$D$4:$D$4503,_imp!$C$1931))</f>
        <v/>
      </c>
      <c r="B1929" s="54">
        <f>IF(_imp!$C$1931="","",INDEX(_imp!$E$4:$E$4503,_imp!$C$1931))</f>
        <v/>
      </c>
      <c r="C1929" s="54">
        <f>IF(_imp!$C$1931="","",INDEX(_imp!$F$4:$F$4503,_imp!$C$1931))</f>
        <v/>
      </c>
      <c r="D1929" s="54">
        <f>IF(_imp!$C$1931="","",INDEX(_imp!$G$4:$G$4503,_imp!$C$1931))</f>
        <v/>
      </c>
      <c r="E1929" s="54">
        <f>IF(_imp!$C$1931="","",INDEX(_imp!$H$4:$H$4503,_imp!$C$1931))</f>
        <v/>
      </c>
      <c r="F1929" s="54">
        <f>IF(_imp!$C$1931="","",INDEX(_imp!$I$4:$I$4503,_imp!$C$1931))</f>
        <v/>
      </c>
      <c r="G1929" s="54">
        <f>IF(_imp!$C$1931="","",INDEX(_imp!$J$4:$J$4503,_imp!$C$1931))</f>
        <v/>
      </c>
      <c r="K1929" s="54">
        <f>IF(_imp!$C$1931="","",INDEX(_imp!$K$4:$K$4503,_imp!$C$1931))</f>
        <v/>
      </c>
    </row>
    <row r="1930">
      <c r="A1930" s="54">
        <f>IF(_imp!$C$1932="","",INDEX(_imp!$D$4:$D$4503,_imp!$C$1932))</f>
        <v/>
      </c>
      <c r="B1930" s="54">
        <f>IF(_imp!$C$1932="","",INDEX(_imp!$E$4:$E$4503,_imp!$C$1932))</f>
        <v/>
      </c>
      <c r="C1930" s="54">
        <f>IF(_imp!$C$1932="","",INDEX(_imp!$F$4:$F$4503,_imp!$C$1932))</f>
        <v/>
      </c>
      <c r="D1930" s="54">
        <f>IF(_imp!$C$1932="","",INDEX(_imp!$G$4:$G$4503,_imp!$C$1932))</f>
        <v/>
      </c>
      <c r="E1930" s="54">
        <f>IF(_imp!$C$1932="","",INDEX(_imp!$H$4:$H$4503,_imp!$C$1932))</f>
        <v/>
      </c>
      <c r="F1930" s="54">
        <f>IF(_imp!$C$1932="","",INDEX(_imp!$I$4:$I$4503,_imp!$C$1932))</f>
        <v/>
      </c>
      <c r="G1930" s="54">
        <f>IF(_imp!$C$1932="","",INDEX(_imp!$J$4:$J$4503,_imp!$C$1932))</f>
        <v/>
      </c>
      <c r="K1930" s="54">
        <f>IF(_imp!$C$1932="","",INDEX(_imp!$K$4:$K$4503,_imp!$C$1932))</f>
        <v/>
      </c>
    </row>
    <row r="1931">
      <c r="A1931" s="54">
        <f>IF(_imp!$C$1933="","",INDEX(_imp!$D$4:$D$4503,_imp!$C$1933))</f>
        <v/>
      </c>
      <c r="B1931" s="54">
        <f>IF(_imp!$C$1933="","",INDEX(_imp!$E$4:$E$4503,_imp!$C$1933))</f>
        <v/>
      </c>
      <c r="C1931" s="54">
        <f>IF(_imp!$C$1933="","",INDEX(_imp!$F$4:$F$4503,_imp!$C$1933))</f>
        <v/>
      </c>
      <c r="D1931" s="54">
        <f>IF(_imp!$C$1933="","",INDEX(_imp!$G$4:$G$4503,_imp!$C$1933))</f>
        <v/>
      </c>
      <c r="E1931" s="54">
        <f>IF(_imp!$C$1933="","",INDEX(_imp!$H$4:$H$4503,_imp!$C$1933))</f>
        <v/>
      </c>
      <c r="F1931" s="54">
        <f>IF(_imp!$C$1933="","",INDEX(_imp!$I$4:$I$4503,_imp!$C$1933))</f>
        <v/>
      </c>
      <c r="G1931" s="54">
        <f>IF(_imp!$C$1933="","",INDEX(_imp!$J$4:$J$4503,_imp!$C$1933))</f>
        <v/>
      </c>
      <c r="K1931" s="54">
        <f>IF(_imp!$C$1933="","",INDEX(_imp!$K$4:$K$4503,_imp!$C$1933))</f>
        <v/>
      </c>
    </row>
    <row r="1932">
      <c r="A1932" s="54">
        <f>IF(_imp!$C$1934="","",INDEX(_imp!$D$4:$D$4503,_imp!$C$1934))</f>
        <v/>
      </c>
      <c r="B1932" s="54">
        <f>IF(_imp!$C$1934="","",INDEX(_imp!$E$4:$E$4503,_imp!$C$1934))</f>
        <v/>
      </c>
      <c r="C1932" s="54">
        <f>IF(_imp!$C$1934="","",INDEX(_imp!$F$4:$F$4503,_imp!$C$1934))</f>
        <v/>
      </c>
      <c r="D1932" s="54">
        <f>IF(_imp!$C$1934="","",INDEX(_imp!$G$4:$G$4503,_imp!$C$1934))</f>
        <v/>
      </c>
      <c r="E1932" s="54">
        <f>IF(_imp!$C$1934="","",INDEX(_imp!$H$4:$H$4503,_imp!$C$1934))</f>
        <v/>
      </c>
      <c r="F1932" s="54">
        <f>IF(_imp!$C$1934="","",INDEX(_imp!$I$4:$I$4503,_imp!$C$1934))</f>
        <v/>
      </c>
      <c r="G1932" s="54">
        <f>IF(_imp!$C$1934="","",INDEX(_imp!$J$4:$J$4503,_imp!$C$1934))</f>
        <v/>
      </c>
      <c r="K1932" s="54">
        <f>IF(_imp!$C$1934="","",INDEX(_imp!$K$4:$K$4503,_imp!$C$1934))</f>
        <v/>
      </c>
    </row>
    <row r="1933">
      <c r="A1933" s="54">
        <f>IF(_imp!$C$1935="","",INDEX(_imp!$D$4:$D$4503,_imp!$C$1935))</f>
        <v/>
      </c>
      <c r="B1933" s="54">
        <f>IF(_imp!$C$1935="","",INDEX(_imp!$E$4:$E$4503,_imp!$C$1935))</f>
        <v/>
      </c>
      <c r="C1933" s="54">
        <f>IF(_imp!$C$1935="","",INDEX(_imp!$F$4:$F$4503,_imp!$C$1935))</f>
        <v/>
      </c>
      <c r="D1933" s="54">
        <f>IF(_imp!$C$1935="","",INDEX(_imp!$G$4:$G$4503,_imp!$C$1935))</f>
        <v/>
      </c>
      <c r="E1933" s="54">
        <f>IF(_imp!$C$1935="","",INDEX(_imp!$H$4:$H$4503,_imp!$C$1935))</f>
        <v/>
      </c>
      <c r="F1933" s="54">
        <f>IF(_imp!$C$1935="","",INDEX(_imp!$I$4:$I$4503,_imp!$C$1935))</f>
        <v/>
      </c>
      <c r="G1933" s="54">
        <f>IF(_imp!$C$1935="","",INDEX(_imp!$J$4:$J$4503,_imp!$C$1935))</f>
        <v/>
      </c>
      <c r="K1933" s="54">
        <f>IF(_imp!$C$1935="","",INDEX(_imp!$K$4:$K$4503,_imp!$C$1935))</f>
        <v/>
      </c>
    </row>
    <row r="1934">
      <c r="A1934" s="54">
        <f>IF(_imp!$C$1936="","",INDEX(_imp!$D$4:$D$4503,_imp!$C$1936))</f>
        <v/>
      </c>
      <c r="B1934" s="54">
        <f>IF(_imp!$C$1936="","",INDEX(_imp!$E$4:$E$4503,_imp!$C$1936))</f>
        <v/>
      </c>
      <c r="C1934" s="54">
        <f>IF(_imp!$C$1936="","",INDEX(_imp!$F$4:$F$4503,_imp!$C$1936))</f>
        <v/>
      </c>
      <c r="D1934" s="54">
        <f>IF(_imp!$C$1936="","",INDEX(_imp!$G$4:$G$4503,_imp!$C$1936))</f>
        <v/>
      </c>
      <c r="E1934" s="54">
        <f>IF(_imp!$C$1936="","",INDEX(_imp!$H$4:$H$4503,_imp!$C$1936))</f>
        <v/>
      </c>
      <c r="F1934" s="54">
        <f>IF(_imp!$C$1936="","",INDEX(_imp!$I$4:$I$4503,_imp!$C$1936))</f>
        <v/>
      </c>
      <c r="G1934" s="54">
        <f>IF(_imp!$C$1936="","",INDEX(_imp!$J$4:$J$4503,_imp!$C$1936))</f>
        <v/>
      </c>
      <c r="K1934" s="54">
        <f>IF(_imp!$C$1936="","",INDEX(_imp!$K$4:$K$4503,_imp!$C$1936))</f>
        <v/>
      </c>
    </row>
    <row r="1935">
      <c r="A1935" s="54">
        <f>IF(_imp!$C$1937="","",INDEX(_imp!$D$4:$D$4503,_imp!$C$1937))</f>
        <v/>
      </c>
      <c r="B1935" s="54">
        <f>IF(_imp!$C$1937="","",INDEX(_imp!$E$4:$E$4503,_imp!$C$1937))</f>
        <v/>
      </c>
      <c r="C1935" s="54">
        <f>IF(_imp!$C$1937="","",INDEX(_imp!$F$4:$F$4503,_imp!$C$1937))</f>
        <v/>
      </c>
      <c r="D1935" s="54">
        <f>IF(_imp!$C$1937="","",INDEX(_imp!$G$4:$G$4503,_imp!$C$1937))</f>
        <v/>
      </c>
      <c r="E1935" s="54">
        <f>IF(_imp!$C$1937="","",INDEX(_imp!$H$4:$H$4503,_imp!$C$1937))</f>
        <v/>
      </c>
      <c r="F1935" s="54">
        <f>IF(_imp!$C$1937="","",INDEX(_imp!$I$4:$I$4503,_imp!$C$1937))</f>
        <v/>
      </c>
      <c r="G1935" s="54">
        <f>IF(_imp!$C$1937="","",INDEX(_imp!$J$4:$J$4503,_imp!$C$1937))</f>
        <v/>
      </c>
      <c r="K1935" s="54">
        <f>IF(_imp!$C$1937="","",INDEX(_imp!$K$4:$K$4503,_imp!$C$1937))</f>
        <v/>
      </c>
    </row>
    <row r="1936">
      <c r="A1936" s="54">
        <f>IF(_imp!$C$1938="","",INDEX(_imp!$D$4:$D$4503,_imp!$C$1938))</f>
        <v/>
      </c>
      <c r="B1936" s="54">
        <f>IF(_imp!$C$1938="","",INDEX(_imp!$E$4:$E$4503,_imp!$C$1938))</f>
        <v/>
      </c>
      <c r="C1936" s="54">
        <f>IF(_imp!$C$1938="","",INDEX(_imp!$F$4:$F$4503,_imp!$C$1938))</f>
        <v/>
      </c>
      <c r="D1936" s="54">
        <f>IF(_imp!$C$1938="","",INDEX(_imp!$G$4:$G$4503,_imp!$C$1938))</f>
        <v/>
      </c>
      <c r="E1936" s="54">
        <f>IF(_imp!$C$1938="","",INDEX(_imp!$H$4:$H$4503,_imp!$C$1938))</f>
        <v/>
      </c>
      <c r="F1936" s="54">
        <f>IF(_imp!$C$1938="","",INDEX(_imp!$I$4:$I$4503,_imp!$C$1938))</f>
        <v/>
      </c>
      <c r="G1936" s="54">
        <f>IF(_imp!$C$1938="","",INDEX(_imp!$J$4:$J$4503,_imp!$C$1938))</f>
        <v/>
      </c>
      <c r="K1936" s="54">
        <f>IF(_imp!$C$1938="","",INDEX(_imp!$K$4:$K$4503,_imp!$C$1938))</f>
        <v/>
      </c>
    </row>
    <row r="1937">
      <c r="A1937" s="54">
        <f>IF(_imp!$C$1939="","",INDEX(_imp!$D$4:$D$4503,_imp!$C$1939))</f>
        <v/>
      </c>
      <c r="B1937" s="54">
        <f>IF(_imp!$C$1939="","",INDEX(_imp!$E$4:$E$4503,_imp!$C$1939))</f>
        <v/>
      </c>
      <c r="C1937" s="54">
        <f>IF(_imp!$C$1939="","",INDEX(_imp!$F$4:$F$4503,_imp!$C$1939))</f>
        <v/>
      </c>
      <c r="D1937" s="54">
        <f>IF(_imp!$C$1939="","",INDEX(_imp!$G$4:$G$4503,_imp!$C$1939))</f>
        <v/>
      </c>
      <c r="E1937" s="54">
        <f>IF(_imp!$C$1939="","",INDEX(_imp!$H$4:$H$4503,_imp!$C$1939))</f>
        <v/>
      </c>
      <c r="F1937" s="54">
        <f>IF(_imp!$C$1939="","",INDEX(_imp!$I$4:$I$4503,_imp!$C$1939))</f>
        <v/>
      </c>
      <c r="G1937" s="54">
        <f>IF(_imp!$C$1939="","",INDEX(_imp!$J$4:$J$4503,_imp!$C$1939))</f>
        <v/>
      </c>
      <c r="K1937" s="54">
        <f>IF(_imp!$C$1939="","",INDEX(_imp!$K$4:$K$4503,_imp!$C$1939))</f>
        <v/>
      </c>
    </row>
    <row r="1938">
      <c r="A1938" s="54">
        <f>IF(_imp!$C$1940="","",INDEX(_imp!$D$4:$D$4503,_imp!$C$1940))</f>
        <v/>
      </c>
      <c r="B1938" s="54">
        <f>IF(_imp!$C$1940="","",INDEX(_imp!$E$4:$E$4503,_imp!$C$1940))</f>
        <v/>
      </c>
      <c r="C1938" s="54">
        <f>IF(_imp!$C$1940="","",INDEX(_imp!$F$4:$F$4503,_imp!$C$1940))</f>
        <v/>
      </c>
      <c r="D1938" s="54">
        <f>IF(_imp!$C$1940="","",INDEX(_imp!$G$4:$G$4503,_imp!$C$1940))</f>
        <v/>
      </c>
      <c r="E1938" s="54">
        <f>IF(_imp!$C$1940="","",INDEX(_imp!$H$4:$H$4503,_imp!$C$1940))</f>
        <v/>
      </c>
      <c r="F1938" s="54">
        <f>IF(_imp!$C$1940="","",INDEX(_imp!$I$4:$I$4503,_imp!$C$1940))</f>
        <v/>
      </c>
      <c r="G1938" s="54">
        <f>IF(_imp!$C$1940="","",INDEX(_imp!$J$4:$J$4503,_imp!$C$1940))</f>
        <v/>
      </c>
      <c r="K1938" s="54">
        <f>IF(_imp!$C$1940="","",INDEX(_imp!$K$4:$K$4503,_imp!$C$1940))</f>
        <v/>
      </c>
    </row>
    <row r="1939">
      <c r="A1939" s="54">
        <f>IF(_imp!$C$1941="","",INDEX(_imp!$D$4:$D$4503,_imp!$C$1941))</f>
        <v/>
      </c>
      <c r="B1939" s="54">
        <f>IF(_imp!$C$1941="","",INDEX(_imp!$E$4:$E$4503,_imp!$C$1941))</f>
        <v/>
      </c>
      <c r="C1939" s="54">
        <f>IF(_imp!$C$1941="","",INDEX(_imp!$F$4:$F$4503,_imp!$C$1941))</f>
        <v/>
      </c>
      <c r="D1939" s="54">
        <f>IF(_imp!$C$1941="","",INDEX(_imp!$G$4:$G$4503,_imp!$C$1941))</f>
        <v/>
      </c>
      <c r="E1939" s="54">
        <f>IF(_imp!$C$1941="","",INDEX(_imp!$H$4:$H$4503,_imp!$C$1941))</f>
        <v/>
      </c>
      <c r="F1939" s="54">
        <f>IF(_imp!$C$1941="","",INDEX(_imp!$I$4:$I$4503,_imp!$C$1941))</f>
        <v/>
      </c>
      <c r="G1939" s="54">
        <f>IF(_imp!$C$1941="","",INDEX(_imp!$J$4:$J$4503,_imp!$C$1941))</f>
        <v/>
      </c>
      <c r="K1939" s="54">
        <f>IF(_imp!$C$1941="","",INDEX(_imp!$K$4:$K$4503,_imp!$C$1941))</f>
        <v/>
      </c>
    </row>
    <row r="1940">
      <c r="A1940" s="54">
        <f>IF(_imp!$C$1942="","",INDEX(_imp!$D$4:$D$4503,_imp!$C$1942))</f>
        <v/>
      </c>
      <c r="B1940" s="54">
        <f>IF(_imp!$C$1942="","",INDEX(_imp!$E$4:$E$4503,_imp!$C$1942))</f>
        <v/>
      </c>
      <c r="C1940" s="54">
        <f>IF(_imp!$C$1942="","",INDEX(_imp!$F$4:$F$4503,_imp!$C$1942))</f>
        <v/>
      </c>
      <c r="D1940" s="54">
        <f>IF(_imp!$C$1942="","",INDEX(_imp!$G$4:$G$4503,_imp!$C$1942))</f>
        <v/>
      </c>
      <c r="E1940" s="54">
        <f>IF(_imp!$C$1942="","",INDEX(_imp!$H$4:$H$4503,_imp!$C$1942))</f>
        <v/>
      </c>
      <c r="F1940" s="54">
        <f>IF(_imp!$C$1942="","",INDEX(_imp!$I$4:$I$4503,_imp!$C$1942))</f>
        <v/>
      </c>
      <c r="G1940" s="54">
        <f>IF(_imp!$C$1942="","",INDEX(_imp!$J$4:$J$4503,_imp!$C$1942))</f>
        <v/>
      </c>
      <c r="K1940" s="54">
        <f>IF(_imp!$C$1942="","",INDEX(_imp!$K$4:$K$4503,_imp!$C$1942))</f>
        <v/>
      </c>
    </row>
    <row r="1941">
      <c r="A1941" s="54">
        <f>IF(_imp!$C$1943="","",INDEX(_imp!$D$4:$D$4503,_imp!$C$1943))</f>
        <v/>
      </c>
      <c r="B1941" s="54">
        <f>IF(_imp!$C$1943="","",INDEX(_imp!$E$4:$E$4503,_imp!$C$1943))</f>
        <v/>
      </c>
      <c r="C1941" s="54">
        <f>IF(_imp!$C$1943="","",INDEX(_imp!$F$4:$F$4503,_imp!$C$1943))</f>
        <v/>
      </c>
      <c r="D1941" s="54">
        <f>IF(_imp!$C$1943="","",INDEX(_imp!$G$4:$G$4503,_imp!$C$1943))</f>
        <v/>
      </c>
      <c r="E1941" s="54">
        <f>IF(_imp!$C$1943="","",INDEX(_imp!$H$4:$H$4503,_imp!$C$1943))</f>
        <v/>
      </c>
      <c r="F1941" s="54">
        <f>IF(_imp!$C$1943="","",INDEX(_imp!$I$4:$I$4503,_imp!$C$1943))</f>
        <v/>
      </c>
      <c r="G1941" s="54">
        <f>IF(_imp!$C$1943="","",INDEX(_imp!$J$4:$J$4503,_imp!$C$1943))</f>
        <v/>
      </c>
      <c r="K1941" s="54">
        <f>IF(_imp!$C$1943="","",INDEX(_imp!$K$4:$K$4503,_imp!$C$1943))</f>
        <v/>
      </c>
    </row>
    <row r="1942">
      <c r="A1942" s="54">
        <f>IF(_imp!$C$1944="","",INDEX(_imp!$D$4:$D$4503,_imp!$C$1944))</f>
        <v/>
      </c>
      <c r="B1942" s="54">
        <f>IF(_imp!$C$1944="","",INDEX(_imp!$E$4:$E$4503,_imp!$C$1944))</f>
        <v/>
      </c>
      <c r="C1942" s="54">
        <f>IF(_imp!$C$1944="","",INDEX(_imp!$F$4:$F$4503,_imp!$C$1944))</f>
        <v/>
      </c>
      <c r="D1942" s="54">
        <f>IF(_imp!$C$1944="","",INDEX(_imp!$G$4:$G$4503,_imp!$C$1944))</f>
        <v/>
      </c>
      <c r="E1942" s="54">
        <f>IF(_imp!$C$1944="","",INDEX(_imp!$H$4:$H$4503,_imp!$C$1944))</f>
        <v/>
      </c>
      <c r="F1942" s="54">
        <f>IF(_imp!$C$1944="","",INDEX(_imp!$I$4:$I$4503,_imp!$C$1944))</f>
        <v/>
      </c>
      <c r="G1942" s="54">
        <f>IF(_imp!$C$1944="","",INDEX(_imp!$J$4:$J$4503,_imp!$C$1944))</f>
        <v/>
      </c>
      <c r="K1942" s="54">
        <f>IF(_imp!$C$1944="","",INDEX(_imp!$K$4:$K$4503,_imp!$C$1944))</f>
        <v/>
      </c>
    </row>
    <row r="1943">
      <c r="A1943" s="54">
        <f>IF(_imp!$C$1945="","",INDEX(_imp!$D$4:$D$4503,_imp!$C$1945))</f>
        <v/>
      </c>
      <c r="B1943" s="54">
        <f>IF(_imp!$C$1945="","",INDEX(_imp!$E$4:$E$4503,_imp!$C$1945))</f>
        <v/>
      </c>
      <c r="C1943" s="54">
        <f>IF(_imp!$C$1945="","",INDEX(_imp!$F$4:$F$4503,_imp!$C$1945))</f>
        <v/>
      </c>
      <c r="D1943" s="54">
        <f>IF(_imp!$C$1945="","",INDEX(_imp!$G$4:$G$4503,_imp!$C$1945))</f>
        <v/>
      </c>
      <c r="E1943" s="54">
        <f>IF(_imp!$C$1945="","",INDEX(_imp!$H$4:$H$4503,_imp!$C$1945))</f>
        <v/>
      </c>
      <c r="F1943" s="54">
        <f>IF(_imp!$C$1945="","",INDEX(_imp!$I$4:$I$4503,_imp!$C$1945))</f>
        <v/>
      </c>
      <c r="G1943" s="54">
        <f>IF(_imp!$C$1945="","",INDEX(_imp!$J$4:$J$4503,_imp!$C$1945))</f>
        <v/>
      </c>
      <c r="K1943" s="54">
        <f>IF(_imp!$C$1945="","",INDEX(_imp!$K$4:$K$4503,_imp!$C$1945))</f>
        <v/>
      </c>
    </row>
    <row r="1944">
      <c r="A1944" s="54">
        <f>IF(_imp!$C$1946="","",INDEX(_imp!$D$4:$D$4503,_imp!$C$1946))</f>
        <v/>
      </c>
      <c r="B1944" s="54">
        <f>IF(_imp!$C$1946="","",INDEX(_imp!$E$4:$E$4503,_imp!$C$1946))</f>
        <v/>
      </c>
      <c r="C1944" s="54">
        <f>IF(_imp!$C$1946="","",INDEX(_imp!$F$4:$F$4503,_imp!$C$1946))</f>
        <v/>
      </c>
      <c r="D1944" s="54">
        <f>IF(_imp!$C$1946="","",INDEX(_imp!$G$4:$G$4503,_imp!$C$1946))</f>
        <v/>
      </c>
      <c r="E1944" s="54">
        <f>IF(_imp!$C$1946="","",INDEX(_imp!$H$4:$H$4503,_imp!$C$1946))</f>
        <v/>
      </c>
      <c r="F1944" s="54">
        <f>IF(_imp!$C$1946="","",INDEX(_imp!$I$4:$I$4503,_imp!$C$1946))</f>
        <v/>
      </c>
      <c r="G1944" s="54">
        <f>IF(_imp!$C$1946="","",INDEX(_imp!$J$4:$J$4503,_imp!$C$1946))</f>
        <v/>
      </c>
      <c r="K1944" s="54">
        <f>IF(_imp!$C$1946="","",INDEX(_imp!$K$4:$K$4503,_imp!$C$1946))</f>
        <v/>
      </c>
    </row>
    <row r="1945">
      <c r="A1945" s="54">
        <f>IF(_imp!$C$1947="","",INDEX(_imp!$D$4:$D$4503,_imp!$C$1947))</f>
        <v/>
      </c>
      <c r="B1945" s="54">
        <f>IF(_imp!$C$1947="","",INDEX(_imp!$E$4:$E$4503,_imp!$C$1947))</f>
        <v/>
      </c>
      <c r="C1945" s="54">
        <f>IF(_imp!$C$1947="","",INDEX(_imp!$F$4:$F$4503,_imp!$C$1947))</f>
        <v/>
      </c>
      <c r="D1945" s="54">
        <f>IF(_imp!$C$1947="","",INDEX(_imp!$G$4:$G$4503,_imp!$C$1947))</f>
        <v/>
      </c>
      <c r="E1945" s="54">
        <f>IF(_imp!$C$1947="","",INDEX(_imp!$H$4:$H$4503,_imp!$C$1947))</f>
        <v/>
      </c>
      <c r="F1945" s="54">
        <f>IF(_imp!$C$1947="","",INDEX(_imp!$I$4:$I$4503,_imp!$C$1947))</f>
        <v/>
      </c>
      <c r="G1945" s="54">
        <f>IF(_imp!$C$1947="","",INDEX(_imp!$J$4:$J$4503,_imp!$C$1947))</f>
        <v/>
      </c>
      <c r="K1945" s="54">
        <f>IF(_imp!$C$1947="","",INDEX(_imp!$K$4:$K$4503,_imp!$C$1947))</f>
        <v/>
      </c>
    </row>
    <row r="1946">
      <c r="A1946" s="54">
        <f>IF(_imp!$C$1948="","",INDEX(_imp!$D$4:$D$4503,_imp!$C$1948))</f>
        <v/>
      </c>
      <c r="B1946" s="54">
        <f>IF(_imp!$C$1948="","",INDEX(_imp!$E$4:$E$4503,_imp!$C$1948))</f>
        <v/>
      </c>
      <c r="C1946" s="54">
        <f>IF(_imp!$C$1948="","",INDEX(_imp!$F$4:$F$4503,_imp!$C$1948))</f>
        <v/>
      </c>
      <c r="D1946" s="54">
        <f>IF(_imp!$C$1948="","",INDEX(_imp!$G$4:$G$4503,_imp!$C$1948))</f>
        <v/>
      </c>
      <c r="E1946" s="54">
        <f>IF(_imp!$C$1948="","",INDEX(_imp!$H$4:$H$4503,_imp!$C$1948))</f>
        <v/>
      </c>
      <c r="F1946" s="54">
        <f>IF(_imp!$C$1948="","",INDEX(_imp!$I$4:$I$4503,_imp!$C$1948))</f>
        <v/>
      </c>
      <c r="G1946" s="54">
        <f>IF(_imp!$C$1948="","",INDEX(_imp!$J$4:$J$4503,_imp!$C$1948))</f>
        <v/>
      </c>
      <c r="K1946" s="54">
        <f>IF(_imp!$C$1948="","",INDEX(_imp!$K$4:$K$4503,_imp!$C$1948))</f>
        <v/>
      </c>
    </row>
    <row r="1947">
      <c r="A1947" s="54">
        <f>IF(_imp!$C$1949="","",INDEX(_imp!$D$4:$D$4503,_imp!$C$1949))</f>
        <v/>
      </c>
      <c r="B1947" s="54">
        <f>IF(_imp!$C$1949="","",INDEX(_imp!$E$4:$E$4503,_imp!$C$1949))</f>
        <v/>
      </c>
      <c r="C1947" s="54">
        <f>IF(_imp!$C$1949="","",INDEX(_imp!$F$4:$F$4503,_imp!$C$1949))</f>
        <v/>
      </c>
      <c r="D1947" s="54">
        <f>IF(_imp!$C$1949="","",INDEX(_imp!$G$4:$G$4503,_imp!$C$1949))</f>
        <v/>
      </c>
      <c r="E1947" s="54">
        <f>IF(_imp!$C$1949="","",INDEX(_imp!$H$4:$H$4503,_imp!$C$1949))</f>
        <v/>
      </c>
      <c r="F1947" s="54">
        <f>IF(_imp!$C$1949="","",INDEX(_imp!$I$4:$I$4503,_imp!$C$1949))</f>
        <v/>
      </c>
      <c r="G1947" s="54">
        <f>IF(_imp!$C$1949="","",INDEX(_imp!$J$4:$J$4503,_imp!$C$1949))</f>
        <v/>
      </c>
      <c r="K1947" s="54">
        <f>IF(_imp!$C$1949="","",INDEX(_imp!$K$4:$K$4503,_imp!$C$1949))</f>
        <v/>
      </c>
    </row>
    <row r="1948">
      <c r="A1948" s="54">
        <f>IF(_imp!$C$1950="","",INDEX(_imp!$D$4:$D$4503,_imp!$C$1950))</f>
        <v/>
      </c>
      <c r="B1948" s="54">
        <f>IF(_imp!$C$1950="","",INDEX(_imp!$E$4:$E$4503,_imp!$C$1950))</f>
        <v/>
      </c>
      <c r="C1948" s="54">
        <f>IF(_imp!$C$1950="","",INDEX(_imp!$F$4:$F$4503,_imp!$C$1950))</f>
        <v/>
      </c>
      <c r="D1948" s="54">
        <f>IF(_imp!$C$1950="","",INDEX(_imp!$G$4:$G$4503,_imp!$C$1950))</f>
        <v/>
      </c>
      <c r="E1948" s="54">
        <f>IF(_imp!$C$1950="","",INDEX(_imp!$H$4:$H$4503,_imp!$C$1950))</f>
        <v/>
      </c>
      <c r="F1948" s="54">
        <f>IF(_imp!$C$1950="","",INDEX(_imp!$I$4:$I$4503,_imp!$C$1950))</f>
        <v/>
      </c>
      <c r="G1948" s="54">
        <f>IF(_imp!$C$1950="","",INDEX(_imp!$J$4:$J$4503,_imp!$C$1950))</f>
        <v/>
      </c>
      <c r="K1948" s="54">
        <f>IF(_imp!$C$1950="","",INDEX(_imp!$K$4:$K$4503,_imp!$C$1950))</f>
        <v/>
      </c>
    </row>
    <row r="1949">
      <c r="A1949" s="54">
        <f>IF(_imp!$C$1951="","",INDEX(_imp!$D$4:$D$4503,_imp!$C$1951))</f>
        <v/>
      </c>
      <c r="B1949" s="54">
        <f>IF(_imp!$C$1951="","",INDEX(_imp!$E$4:$E$4503,_imp!$C$1951))</f>
        <v/>
      </c>
      <c r="C1949" s="54">
        <f>IF(_imp!$C$1951="","",INDEX(_imp!$F$4:$F$4503,_imp!$C$1951))</f>
        <v/>
      </c>
      <c r="D1949" s="54">
        <f>IF(_imp!$C$1951="","",INDEX(_imp!$G$4:$G$4503,_imp!$C$1951))</f>
        <v/>
      </c>
      <c r="E1949" s="54">
        <f>IF(_imp!$C$1951="","",INDEX(_imp!$H$4:$H$4503,_imp!$C$1951))</f>
        <v/>
      </c>
      <c r="F1949" s="54">
        <f>IF(_imp!$C$1951="","",INDEX(_imp!$I$4:$I$4503,_imp!$C$1951))</f>
        <v/>
      </c>
      <c r="G1949" s="54">
        <f>IF(_imp!$C$1951="","",INDEX(_imp!$J$4:$J$4503,_imp!$C$1951))</f>
        <v/>
      </c>
      <c r="K1949" s="54">
        <f>IF(_imp!$C$1951="","",INDEX(_imp!$K$4:$K$4503,_imp!$C$1951))</f>
        <v/>
      </c>
    </row>
    <row r="1950">
      <c r="A1950" s="54">
        <f>IF(_imp!$C$1952="","",INDEX(_imp!$D$4:$D$4503,_imp!$C$1952))</f>
        <v/>
      </c>
      <c r="B1950" s="54">
        <f>IF(_imp!$C$1952="","",INDEX(_imp!$E$4:$E$4503,_imp!$C$1952))</f>
        <v/>
      </c>
      <c r="C1950" s="54">
        <f>IF(_imp!$C$1952="","",INDEX(_imp!$F$4:$F$4503,_imp!$C$1952))</f>
        <v/>
      </c>
      <c r="D1950" s="54">
        <f>IF(_imp!$C$1952="","",INDEX(_imp!$G$4:$G$4503,_imp!$C$1952))</f>
        <v/>
      </c>
      <c r="E1950" s="54">
        <f>IF(_imp!$C$1952="","",INDEX(_imp!$H$4:$H$4503,_imp!$C$1952))</f>
        <v/>
      </c>
      <c r="F1950" s="54">
        <f>IF(_imp!$C$1952="","",INDEX(_imp!$I$4:$I$4503,_imp!$C$1952))</f>
        <v/>
      </c>
      <c r="G1950" s="54">
        <f>IF(_imp!$C$1952="","",INDEX(_imp!$J$4:$J$4503,_imp!$C$1952))</f>
        <v/>
      </c>
      <c r="K1950" s="54">
        <f>IF(_imp!$C$1952="","",INDEX(_imp!$K$4:$K$4503,_imp!$C$1952))</f>
        <v/>
      </c>
    </row>
    <row r="1951">
      <c r="A1951" s="54">
        <f>IF(_imp!$C$1953="","",INDEX(_imp!$D$4:$D$4503,_imp!$C$1953))</f>
        <v/>
      </c>
      <c r="B1951" s="54">
        <f>IF(_imp!$C$1953="","",INDEX(_imp!$E$4:$E$4503,_imp!$C$1953))</f>
        <v/>
      </c>
      <c r="C1951" s="54">
        <f>IF(_imp!$C$1953="","",INDEX(_imp!$F$4:$F$4503,_imp!$C$1953))</f>
        <v/>
      </c>
      <c r="D1951" s="54">
        <f>IF(_imp!$C$1953="","",INDEX(_imp!$G$4:$G$4503,_imp!$C$1953))</f>
        <v/>
      </c>
      <c r="E1951" s="54">
        <f>IF(_imp!$C$1953="","",INDEX(_imp!$H$4:$H$4503,_imp!$C$1953))</f>
        <v/>
      </c>
      <c r="F1951" s="54">
        <f>IF(_imp!$C$1953="","",INDEX(_imp!$I$4:$I$4503,_imp!$C$1953))</f>
        <v/>
      </c>
      <c r="G1951" s="54">
        <f>IF(_imp!$C$1953="","",INDEX(_imp!$J$4:$J$4503,_imp!$C$1953))</f>
        <v/>
      </c>
      <c r="K1951" s="54">
        <f>IF(_imp!$C$1953="","",INDEX(_imp!$K$4:$K$4503,_imp!$C$1953))</f>
        <v/>
      </c>
    </row>
    <row r="1952">
      <c r="A1952" s="54">
        <f>IF(_imp!$C$1954="","",INDEX(_imp!$D$4:$D$4503,_imp!$C$1954))</f>
        <v/>
      </c>
      <c r="B1952" s="54">
        <f>IF(_imp!$C$1954="","",INDEX(_imp!$E$4:$E$4503,_imp!$C$1954))</f>
        <v/>
      </c>
      <c r="C1952" s="54">
        <f>IF(_imp!$C$1954="","",INDEX(_imp!$F$4:$F$4503,_imp!$C$1954))</f>
        <v/>
      </c>
      <c r="D1952" s="54">
        <f>IF(_imp!$C$1954="","",INDEX(_imp!$G$4:$G$4503,_imp!$C$1954))</f>
        <v/>
      </c>
      <c r="E1952" s="54">
        <f>IF(_imp!$C$1954="","",INDEX(_imp!$H$4:$H$4503,_imp!$C$1954))</f>
        <v/>
      </c>
      <c r="F1952" s="54">
        <f>IF(_imp!$C$1954="","",INDEX(_imp!$I$4:$I$4503,_imp!$C$1954))</f>
        <v/>
      </c>
      <c r="G1952" s="54">
        <f>IF(_imp!$C$1954="","",INDEX(_imp!$J$4:$J$4503,_imp!$C$1954))</f>
        <v/>
      </c>
      <c r="K1952" s="54">
        <f>IF(_imp!$C$1954="","",INDEX(_imp!$K$4:$K$4503,_imp!$C$1954))</f>
        <v/>
      </c>
    </row>
    <row r="1953">
      <c r="A1953" s="54">
        <f>IF(_imp!$C$1955="","",INDEX(_imp!$D$4:$D$4503,_imp!$C$1955))</f>
        <v/>
      </c>
      <c r="B1953" s="54">
        <f>IF(_imp!$C$1955="","",INDEX(_imp!$E$4:$E$4503,_imp!$C$1955))</f>
        <v/>
      </c>
      <c r="C1953" s="54">
        <f>IF(_imp!$C$1955="","",INDEX(_imp!$F$4:$F$4503,_imp!$C$1955))</f>
        <v/>
      </c>
      <c r="D1953" s="54">
        <f>IF(_imp!$C$1955="","",INDEX(_imp!$G$4:$G$4503,_imp!$C$1955))</f>
        <v/>
      </c>
      <c r="E1953" s="54">
        <f>IF(_imp!$C$1955="","",INDEX(_imp!$H$4:$H$4503,_imp!$C$1955))</f>
        <v/>
      </c>
      <c r="F1953" s="54">
        <f>IF(_imp!$C$1955="","",INDEX(_imp!$I$4:$I$4503,_imp!$C$1955))</f>
        <v/>
      </c>
      <c r="G1953" s="54">
        <f>IF(_imp!$C$1955="","",INDEX(_imp!$J$4:$J$4503,_imp!$C$1955))</f>
        <v/>
      </c>
      <c r="K1953" s="54">
        <f>IF(_imp!$C$1955="","",INDEX(_imp!$K$4:$K$4503,_imp!$C$1955))</f>
        <v/>
      </c>
    </row>
    <row r="1954">
      <c r="A1954" s="54">
        <f>IF(_imp!$C$1956="","",INDEX(_imp!$D$4:$D$4503,_imp!$C$1956))</f>
        <v/>
      </c>
      <c r="B1954" s="54">
        <f>IF(_imp!$C$1956="","",INDEX(_imp!$E$4:$E$4503,_imp!$C$1956))</f>
        <v/>
      </c>
      <c r="C1954" s="54">
        <f>IF(_imp!$C$1956="","",INDEX(_imp!$F$4:$F$4503,_imp!$C$1956))</f>
        <v/>
      </c>
      <c r="D1954" s="54">
        <f>IF(_imp!$C$1956="","",INDEX(_imp!$G$4:$G$4503,_imp!$C$1956))</f>
        <v/>
      </c>
      <c r="E1954" s="54">
        <f>IF(_imp!$C$1956="","",INDEX(_imp!$H$4:$H$4503,_imp!$C$1956))</f>
        <v/>
      </c>
      <c r="F1954" s="54">
        <f>IF(_imp!$C$1956="","",INDEX(_imp!$I$4:$I$4503,_imp!$C$1956))</f>
        <v/>
      </c>
      <c r="G1954" s="54">
        <f>IF(_imp!$C$1956="","",INDEX(_imp!$J$4:$J$4503,_imp!$C$1956))</f>
        <v/>
      </c>
      <c r="K1954" s="54">
        <f>IF(_imp!$C$1956="","",INDEX(_imp!$K$4:$K$4503,_imp!$C$1956))</f>
        <v/>
      </c>
    </row>
    <row r="1955">
      <c r="A1955" s="54">
        <f>IF(_imp!$C$1957="","",INDEX(_imp!$D$4:$D$4503,_imp!$C$1957))</f>
        <v/>
      </c>
      <c r="B1955" s="54">
        <f>IF(_imp!$C$1957="","",INDEX(_imp!$E$4:$E$4503,_imp!$C$1957))</f>
        <v/>
      </c>
      <c r="C1955" s="54">
        <f>IF(_imp!$C$1957="","",INDEX(_imp!$F$4:$F$4503,_imp!$C$1957))</f>
        <v/>
      </c>
      <c r="D1955" s="54">
        <f>IF(_imp!$C$1957="","",INDEX(_imp!$G$4:$G$4503,_imp!$C$1957))</f>
        <v/>
      </c>
      <c r="E1955" s="54">
        <f>IF(_imp!$C$1957="","",INDEX(_imp!$H$4:$H$4503,_imp!$C$1957))</f>
        <v/>
      </c>
      <c r="F1955" s="54">
        <f>IF(_imp!$C$1957="","",INDEX(_imp!$I$4:$I$4503,_imp!$C$1957))</f>
        <v/>
      </c>
      <c r="G1955" s="54">
        <f>IF(_imp!$C$1957="","",INDEX(_imp!$J$4:$J$4503,_imp!$C$1957))</f>
        <v/>
      </c>
      <c r="K1955" s="54">
        <f>IF(_imp!$C$1957="","",INDEX(_imp!$K$4:$K$4503,_imp!$C$1957))</f>
        <v/>
      </c>
    </row>
    <row r="1956">
      <c r="A1956" s="54">
        <f>IF(_imp!$C$1958="","",INDEX(_imp!$D$4:$D$4503,_imp!$C$1958))</f>
        <v/>
      </c>
      <c r="B1956" s="54">
        <f>IF(_imp!$C$1958="","",INDEX(_imp!$E$4:$E$4503,_imp!$C$1958))</f>
        <v/>
      </c>
      <c r="C1956" s="54">
        <f>IF(_imp!$C$1958="","",INDEX(_imp!$F$4:$F$4503,_imp!$C$1958))</f>
        <v/>
      </c>
      <c r="D1956" s="54">
        <f>IF(_imp!$C$1958="","",INDEX(_imp!$G$4:$G$4503,_imp!$C$1958))</f>
        <v/>
      </c>
      <c r="E1956" s="54">
        <f>IF(_imp!$C$1958="","",INDEX(_imp!$H$4:$H$4503,_imp!$C$1958))</f>
        <v/>
      </c>
      <c r="F1956" s="54">
        <f>IF(_imp!$C$1958="","",INDEX(_imp!$I$4:$I$4503,_imp!$C$1958))</f>
        <v/>
      </c>
      <c r="G1956" s="54">
        <f>IF(_imp!$C$1958="","",INDEX(_imp!$J$4:$J$4503,_imp!$C$1958))</f>
        <v/>
      </c>
      <c r="K1956" s="54">
        <f>IF(_imp!$C$1958="","",INDEX(_imp!$K$4:$K$4503,_imp!$C$1958))</f>
        <v/>
      </c>
    </row>
    <row r="1957">
      <c r="A1957" s="54">
        <f>IF(_imp!$C$1959="","",INDEX(_imp!$D$4:$D$4503,_imp!$C$1959))</f>
        <v/>
      </c>
      <c r="B1957" s="54">
        <f>IF(_imp!$C$1959="","",INDEX(_imp!$E$4:$E$4503,_imp!$C$1959))</f>
        <v/>
      </c>
      <c r="C1957" s="54">
        <f>IF(_imp!$C$1959="","",INDEX(_imp!$F$4:$F$4503,_imp!$C$1959))</f>
        <v/>
      </c>
      <c r="D1957" s="54">
        <f>IF(_imp!$C$1959="","",INDEX(_imp!$G$4:$G$4503,_imp!$C$1959))</f>
        <v/>
      </c>
      <c r="E1957" s="54">
        <f>IF(_imp!$C$1959="","",INDEX(_imp!$H$4:$H$4503,_imp!$C$1959))</f>
        <v/>
      </c>
      <c r="F1957" s="54">
        <f>IF(_imp!$C$1959="","",INDEX(_imp!$I$4:$I$4503,_imp!$C$1959))</f>
        <v/>
      </c>
      <c r="G1957" s="54">
        <f>IF(_imp!$C$1959="","",INDEX(_imp!$J$4:$J$4503,_imp!$C$1959))</f>
        <v/>
      </c>
      <c r="K1957" s="54">
        <f>IF(_imp!$C$1959="","",INDEX(_imp!$K$4:$K$4503,_imp!$C$1959))</f>
        <v/>
      </c>
    </row>
    <row r="1958">
      <c r="A1958" s="54">
        <f>IF(_imp!$C$1960="","",INDEX(_imp!$D$4:$D$4503,_imp!$C$1960))</f>
        <v/>
      </c>
      <c r="B1958" s="54">
        <f>IF(_imp!$C$1960="","",INDEX(_imp!$E$4:$E$4503,_imp!$C$1960))</f>
        <v/>
      </c>
      <c r="C1958" s="54">
        <f>IF(_imp!$C$1960="","",INDEX(_imp!$F$4:$F$4503,_imp!$C$1960))</f>
        <v/>
      </c>
      <c r="D1958" s="54">
        <f>IF(_imp!$C$1960="","",INDEX(_imp!$G$4:$G$4503,_imp!$C$1960))</f>
        <v/>
      </c>
      <c r="E1958" s="54">
        <f>IF(_imp!$C$1960="","",INDEX(_imp!$H$4:$H$4503,_imp!$C$1960))</f>
        <v/>
      </c>
      <c r="F1958" s="54">
        <f>IF(_imp!$C$1960="","",INDEX(_imp!$I$4:$I$4503,_imp!$C$1960))</f>
        <v/>
      </c>
      <c r="G1958" s="54">
        <f>IF(_imp!$C$1960="","",INDEX(_imp!$J$4:$J$4503,_imp!$C$1960))</f>
        <v/>
      </c>
      <c r="K1958" s="54">
        <f>IF(_imp!$C$1960="","",INDEX(_imp!$K$4:$K$4503,_imp!$C$1960))</f>
        <v/>
      </c>
    </row>
    <row r="1959">
      <c r="A1959" s="54">
        <f>IF(_imp!$C$1961="","",INDEX(_imp!$D$4:$D$4503,_imp!$C$1961))</f>
        <v/>
      </c>
      <c r="B1959" s="54">
        <f>IF(_imp!$C$1961="","",INDEX(_imp!$E$4:$E$4503,_imp!$C$1961))</f>
        <v/>
      </c>
      <c r="C1959" s="54">
        <f>IF(_imp!$C$1961="","",INDEX(_imp!$F$4:$F$4503,_imp!$C$1961))</f>
        <v/>
      </c>
      <c r="D1959" s="54">
        <f>IF(_imp!$C$1961="","",INDEX(_imp!$G$4:$G$4503,_imp!$C$1961))</f>
        <v/>
      </c>
      <c r="E1959" s="54">
        <f>IF(_imp!$C$1961="","",INDEX(_imp!$H$4:$H$4503,_imp!$C$1961))</f>
        <v/>
      </c>
      <c r="F1959" s="54">
        <f>IF(_imp!$C$1961="","",INDEX(_imp!$I$4:$I$4503,_imp!$C$1961))</f>
        <v/>
      </c>
      <c r="G1959" s="54">
        <f>IF(_imp!$C$1961="","",INDEX(_imp!$J$4:$J$4503,_imp!$C$1961))</f>
        <v/>
      </c>
      <c r="K1959" s="54">
        <f>IF(_imp!$C$1961="","",INDEX(_imp!$K$4:$K$4503,_imp!$C$1961))</f>
        <v/>
      </c>
    </row>
    <row r="1960">
      <c r="A1960" s="54">
        <f>IF(_imp!$C$1962="","",INDEX(_imp!$D$4:$D$4503,_imp!$C$1962))</f>
        <v/>
      </c>
      <c r="B1960" s="54">
        <f>IF(_imp!$C$1962="","",INDEX(_imp!$E$4:$E$4503,_imp!$C$1962))</f>
        <v/>
      </c>
      <c r="C1960" s="54">
        <f>IF(_imp!$C$1962="","",INDEX(_imp!$F$4:$F$4503,_imp!$C$1962))</f>
        <v/>
      </c>
      <c r="D1960" s="54">
        <f>IF(_imp!$C$1962="","",INDEX(_imp!$G$4:$G$4503,_imp!$C$1962))</f>
        <v/>
      </c>
      <c r="E1960" s="54">
        <f>IF(_imp!$C$1962="","",INDEX(_imp!$H$4:$H$4503,_imp!$C$1962))</f>
        <v/>
      </c>
      <c r="F1960" s="54">
        <f>IF(_imp!$C$1962="","",INDEX(_imp!$I$4:$I$4503,_imp!$C$1962))</f>
        <v/>
      </c>
      <c r="G1960" s="54">
        <f>IF(_imp!$C$1962="","",INDEX(_imp!$J$4:$J$4503,_imp!$C$1962))</f>
        <v/>
      </c>
      <c r="K1960" s="54">
        <f>IF(_imp!$C$1962="","",INDEX(_imp!$K$4:$K$4503,_imp!$C$1962))</f>
        <v/>
      </c>
    </row>
    <row r="1961">
      <c r="A1961" s="54">
        <f>IF(_imp!$C$1963="","",INDEX(_imp!$D$4:$D$4503,_imp!$C$1963))</f>
        <v/>
      </c>
      <c r="B1961" s="54">
        <f>IF(_imp!$C$1963="","",INDEX(_imp!$E$4:$E$4503,_imp!$C$1963))</f>
        <v/>
      </c>
      <c r="C1961" s="54">
        <f>IF(_imp!$C$1963="","",INDEX(_imp!$F$4:$F$4503,_imp!$C$1963))</f>
        <v/>
      </c>
      <c r="D1961" s="54">
        <f>IF(_imp!$C$1963="","",INDEX(_imp!$G$4:$G$4503,_imp!$C$1963))</f>
        <v/>
      </c>
      <c r="E1961" s="54">
        <f>IF(_imp!$C$1963="","",INDEX(_imp!$H$4:$H$4503,_imp!$C$1963))</f>
        <v/>
      </c>
      <c r="F1961" s="54">
        <f>IF(_imp!$C$1963="","",INDEX(_imp!$I$4:$I$4503,_imp!$C$1963))</f>
        <v/>
      </c>
      <c r="G1961" s="54">
        <f>IF(_imp!$C$1963="","",INDEX(_imp!$J$4:$J$4503,_imp!$C$1963))</f>
        <v/>
      </c>
      <c r="K1961" s="54">
        <f>IF(_imp!$C$1963="","",INDEX(_imp!$K$4:$K$4503,_imp!$C$1963))</f>
        <v/>
      </c>
    </row>
    <row r="1962">
      <c r="A1962" s="54">
        <f>IF(_imp!$C$1964="","",INDEX(_imp!$D$4:$D$4503,_imp!$C$1964))</f>
        <v/>
      </c>
      <c r="B1962" s="54">
        <f>IF(_imp!$C$1964="","",INDEX(_imp!$E$4:$E$4503,_imp!$C$1964))</f>
        <v/>
      </c>
      <c r="C1962" s="54">
        <f>IF(_imp!$C$1964="","",INDEX(_imp!$F$4:$F$4503,_imp!$C$1964))</f>
        <v/>
      </c>
      <c r="D1962" s="54">
        <f>IF(_imp!$C$1964="","",INDEX(_imp!$G$4:$G$4503,_imp!$C$1964))</f>
        <v/>
      </c>
      <c r="E1962" s="54">
        <f>IF(_imp!$C$1964="","",INDEX(_imp!$H$4:$H$4503,_imp!$C$1964))</f>
        <v/>
      </c>
      <c r="F1962" s="54">
        <f>IF(_imp!$C$1964="","",INDEX(_imp!$I$4:$I$4503,_imp!$C$1964))</f>
        <v/>
      </c>
      <c r="G1962" s="54">
        <f>IF(_imp!$C$1964="","",INDEX(_imp!$J$4:$J$4503,_imp!$C$1964))</f>
        <v/>
      </c>
      <c r="K1962" s="54">
        <f>IF(_imp!$C$1964="","",INDEX(_imp!$K$4:$K$4503,_imp!$C$1964))</f>
        <v/>
      </c>
    </row>
    <row r="1963">
      <c r="A1963" s="54">
        <f>IF(_imp!$C$1965="","",INDEX(_imp!$D$4:$D$4503,_imp!$C$1965))</f>
        <v/>
      </c>
      <c r="B1963" s="54">
        <f>IF(_imp!$C$1965="","",INDEX(_imp!$E$4:$E$4503,_imp!$C$1965))</f>
        <v/>
      </c>
      <c r="C1963" s="54">
        <f>IF(_imp!$C$1965="","",INDEX(_imp!$F$4:$F$4503,_imp!$C$1965))</f>
        <v/>
      </c>
      <c r="D1963" s="54">
        <f>IF(_imp!$C$1965="","",INDEX(_imp!$G$4:$G$4503,_imp!$C$1965))</f>
        <v/>
      </c>
      <c r="E1963" s="54">
        <f>IF(_imp!$C$1965="","",INDEX(_imp!$H$4:$H$4503,_imp!$C$1965))</f>
        <v/>
      </c>
      <c r="F1963" s="54">
        <f>IF(_imp!$C$1965="","",INDEX(_imp!$I$4:$I$4503,_imp!$C$1965))</f>
        <v/>
      </c>
      <c r="G1963" s="54">
        <f>IF(_imp!$C$1965="","",INDEX(_imp!$J$4:$J$4503,_imp!$C$1965))</f>
        <v/>
      </c>
      <c r="K1963" s="54">
        <f>IF(_imp!$C$1965="","",INDEX(_imp!$K$4:$K$4503,_imp!$C$1965))</f>
        <v/>
      </c>
    </row>
    <row r="1964">
      <c r="A1964" s="54">
        <f>IF(_imp!$C$1966="","",INDEX(_imp!$D$4:$D$4503,_imp!$C$1966))</f>
        <v/>
      </c>
      <c r="B1964" s="54">
        <f>IF(_imp!$C$1966="","",INDEX(_imp!$E$4:$E$4503,_imp!$C$1966))</f>
        <v/>
      </c>
      <c r="C1964" s="54">
        <f>IF(_imp!$C$1966="","",INDEX(_imp!$F$4:$F$4503,_imp!$C$1966))</f>
        <v/>
      </c>
      <c r="D1964" s="54">
        <f>IF(_imp!$C$1966="","",INDEX(_imp!$G$4:$G$4503,_imp!$C$1966))</f>
        <v/>
      </c>
      <c r="E1964" s="54">
        <f>IF(_imp!$C$1966="","",INDEX(_imp!$H$4:$H$4503,_imp!$C$1966))</f>
        <v/>
      </c>
      <c r="F1964" s="54">
        <f>IF(_imp!$C$1966="","",INDEX(_imp!$I$4:$I$4503,_imp!$C$1966))</f>
        <v/>
      </c>
      <c r="G1964" s="54">
        <f>IF(_imp!$C$1966="","",INDEX(_imp!$J$4:$J$4503,_imp!$C$1966))</f>
        <v/>
      </c>
      <c r="K1964" s="54">
        <f>IF(_imp!$C$1966="","",INDEX(_imp!$K$4:$K$4503,_imp!$C$1966))</f>
        <v/>
      </c>
    </row>
    <row r="1965">
      <c r="A1965" s="54">
        <f>IF(_imp!$C$1967="","",INDEX(_imp!$D$4:$D$4503,_imp!$C$1967))</f>
        <v/>
      </c>
      <c r="B1965" s="54">
        <f>IF(_imp!$C$1967="","",INDEX(_imp!$E$4:$E$4503,_imp!$C$1967))</f>
        <v/>
      </c>
      <c r="C1965" s="54">
        <f>IF(_imp!$C$1967="","",INDEX(_imp!$F$4:$F$4503,_imp!$C$1967))</f>
        <v/>
      </c>
      <c r="D1965" s="54">
        <f>IF(_imp!$C$1967="","",INDEX(_imp!$G$4:$G$4503,_imp!$C$1967))</f>
        <v/>
      </c>
      <c r="E1965" s="54">
        <f>IF(_imp!$C$1967="","",INDEX(_imp!$H$4:$H$4503,_imp!$C$1967))</f>
        <v/>
      </c>
      <c r="F1965" s="54">
        <f>IF(_imp!$C$1967="","",INDEX(_imp!$I$4:$I$4503,_imp!$C$1967))</f>
        <v/>
      </c>
      <c r="G1965" s="54">
        <f>IF(_imp!$C$1967="","",INDEX(_imp!$J$4:$J$4503,_imp!$C$1967))</f>
        <v/>
      </c>
      <c r="K1965" s="54">
        <f>IF(_imp!$C$1967="","",INDEX(_imp!$K$4:$K$4503,_imp!$C$1967))</f>
        <v/>
      </c>
    </row>
    <row r="1966">
      <c r="A1966" s="54">
        <f>IF(_imp!$C$1968="","",INDEX(_imp!$D$4:$D$4503,_imp!$C$1968))</f>
        <v/>
      </c>
      <c r="B1966" s="54">
        <f>IF(_imp!$C$1968="","",INDEX(_imp!$E$4:$E$4503,_imp!$C$1968))</f>
        <v/>
      </c>
      <c r="C1966" s="54">
        <f>IF(_imp!$C$1968="","",INDEX(_imp!$F$4:$F$4503,_imp!$C$1968))</f>
        <v/>
      </c>
      <c r="D1966" s="54">
        <f>IF(_imp!$C$1968="","",INDEX(_imp!$G$4:$G$4503,_imp!$C$1968))</f>
        <v/>
      </c>
      <c r="E1966" s="54">
        <f>IF(_imp!$C$1968="","",INDEX(_imp!$H$4:$H$4503,_imp!$C$1968))</f>
        <v/>
      </c>
      <c r="F1966" s="54">
        <f>IF(_imp!$C$1968="","",INDEX(_imp!$I$4:$I$4503,_imp!$C$1968))</f>
        <v/>
      </c>
      <c r="G1966" s="54">
        <f>IF(_imp!$C$1968="","",INDEX(_imp!$J$4:$J$4503,_imp!$C$1968))</f>
        <v/>
      </c>
      <c r="K1966" s="54">
        <f>IF(_imp!$C$1968="","",INDEX(_imp!$K$4:$K$4503,_imp!$C$1968))</f>
        <v/>
      </c>
    </row>
    <row r="1967">
      <c r="A1967" s="54">
        <f>IF(_imp!$C$1969="","",INDEX(_imp!$D$4:$D$4503,_imp!$C$1969))</f>
        <v/>
      </c>
      <c r="B1967" s="54">
        <f>IF(_imp!$C$1969="","",INDEX(_imp!$E$4:$E$4503,_imp!$C$1969))</f>
        <v/>
      </c>
      <c r="C1967" s="54">
        <f>IF(_imp!$C$1969="","",INDEX(_imp!$F$4:$F$4503,_imp!$C$1969))</f>
        <v/>
      </c>
      <c r="D1967" s="54">
        <f>IF(_imp!$C$1969="","",INDEX(_imp!$G$4:$G$4503,_imp!$C$1969))</f>
        <v/>
      </c>
      <c r="E1967" s="54">
        <f>IF(_imp!$C$1969="","",INDEX(_imp!$H$4:$H$4503,_imp!$C$1969))</f>
        <v/>
      </c>
      <c r="F1967" s="54">
        <f>IF(_imp!$C$1969="","",INDEX(_imp!$I$4:$I$4503,_imp!$C$1969))</f>
        <v/>
      </c>
      <c r="G1967" s="54">
        <f>IF(_imp!$C$1969="","",INDEX(_imp!$J$4:$J$4503,_imp!$C$1969))</f>
        <v/>
      </c>
      <c r="K1967" s="54">
        <f>IF(_imp!$C$1969="","",INDEX(_imp!$K$4:$K$4503,_imp!$C$1969))</f>
        <v/>
      </c>
    </row>
    <row r="1968">
      <c r="A1968" s="54">
        <f>IF(_imp!$C$1970="","",INDEX(_imp!$D$4:$D$4503,_imp!$C$1970))</f>
        <v/>
      </c>
      <c r="B1968" s="54">
        <f>IF(_imp!$C$1970="","",INDEX(_imp!$E$4:$E$4503,_imp!$C$1970))</f>
        <v/>
      </c>
      <c r="C1968" s="54">
        <f>IF(_imp!$C$1970="","",INDEX(_imp!$F$4:$F$4503,_imp!$C$1970))</f>
        <v/>
      </c>
      <c r="D1968" s="54">
        <f>IF(_imp!$C$1970="","",INDEX(_imp!$G$4:$G$4503,_imp!$C$1970))</f>
        <v/>
      </c>
      <c r="E1968" s="54">
        <f>IF(_imp!$C$1970="","",INDEX(_imp!$H$4:$H$4503,_imp!$C$1970))</f>
        <v/>
      </c>
      <c r="F1968" s="54">
        <f>IF(_imp!$C$1970="","",INDEX(_imp!$I$4:$I$4503,_imp!$C$1970))</f>
        <v/>
      </c>
      <c r="G1968" s="54">
        <f>IF(_imp!$C$1970="","",INDEX(_imp!$J$4:$J$4503,_imp!$C$1970))</f>
        <v/>
      </c>
      <c r="K1968" s="54">
        <f>IF(_imp!$C$1970="","",INDEX(_imp!$K$4:$K$4503,_imp!$C$1970))</f>
        <v/>
      </c>
    </row>
    <row r="1969">
      <c r="A1969" s="54">
        <f>IF(_imp!$C$1971="","",INDEX(_imp!$D$4:$D$4503,_imp!$C$1971))</f>
        <v/>
      </c>
      <c r="B1969" s="54">
        <f>IF(_imp!$C$1971="","",INDEX(_imp!$E$4:$E$4503,_imp!$C$1971))</f>
        <v/>
      </c>
      <c r="C1969" s="54">
        <f>IF(_imp!$C$1971="","",INDEX(_imp!$F$4:$F$4503,_imp!$C$1971))</f>
        <v/>
      </c>
      <c r="D1969" s="54">
        <f>IF(_imp!$C$1971="","",INDEX(_imp!$G$4:$G$4503,_imp!$C$1971))</f>
        <v/>
      </c>
      <c r="E1969" s="54">
        <f>IF(_imp!$C$1971="","",INDEX(_imp!$H$4:$H$4503,_imp!$C$1971))</f>
        <v/>
      </c>
      <c r="F1969" s="54">
        <f>IF(_imp!$C$1971="","",INDEX(_imp!$I$4:$I$4503,_imp!$C$1971))</f>
        <v/>
      </c>
      <c r="G1969" s="54">
        <f>IF(_imp!$C$1971="","",INDEX(_imp!$J$4:$J$4503,_imp!$C$1971))</f>
        <v/>
      </c>
      <c r="K1969" s="54">
        <f>IF(_imp!$C$1971="","",INDEX(_imp!$K$4:$K$4503,_imp!$C$1971))</f>
        <v/>
      </c>
    </row>
    <row r="1970">
      <c r="A1970" s="54">
        <f>IF(_imp!$C$1972="","",INDEX(_imp!$D$4:$D$4503,_imp!$C$1972))</f>
        <v/>
      </c>
      <c r="B1970" s="54">
        <f>IF(_imp!$C$1972="","",INDEX(_imp!$E$4:$E$4503,_imp!$C$1972))</f>
        <v/>
      </c>
      <c r="C1970" s="54">
        <f>IF(_imp!$C$1972="","",INDEX(_imp!$F$4:$F$4503,_imp!$C$1972))</f>
        <v/>
      </c>
      <c r="D1970" s="54">
        <f>IF(_imp!$C$1972="","",INDEX(_imp!$G$4:$G$4503,_imp!$C$1972))</f>
        <v/>
      </c>
      <c r="E1970" s="54">
        <f>IF(_imp!$C$1972="","",INDEX(_imp!$H$4:$H$4503,_imp!$C$1972))</f>
        <v/>
      </c>
      <c r="F1970" s="54">
        <f>IF(_imp!$C$1972="","",INDEX(_imp!$I$4:$I$4503,_imp!$C$1972))</f>
        <v/>
      </c>
      <c r="G1970" s="54">
        <f>IF(_imp!$C$1972="","",INDEX(_imp!$J$4:$J$4503,_imp!$C$1972))</f>
        <v/>
      </c>
      <c r="K1970" s="54">
        <f>IF(_imp!$C$1972="","",INDEX(_imp!$K$4:$K$4503,_imp!$C$1972))</f>
        <v/>
      </c>
    </row>
    <row r="1971">
      <c r="A1971" s="54">
        <f>IF(_imp!$C$1973="","",INDEX(_imp!$D$4:$D$4503,_imp!$C$1973))</f>
        <v/>
      </c>
      <c r="B1971" s="54">
        <f>IF(_imp!$C$1973="","",INDEX(_imp!$E$4:$E$4503,_imp!$C$1973))</f>
        <v/>
      </c>
      <c r="C1971" s="54">
        <f>IF(_imp!$C$1973="","",INDEX(_imp!$F$4:$F$4503,_imp!$C$1973))</f>
        <v/>
      </c>
      <c r="D1971" s="54">
        <f>IF(_imp!$C$1973="","",INDEX(_imp!$G$4:$G$4503,_imp!$C$1973))</f>
        <v/>
      </c>
      <c r="E1971" s="54">
        <f>IF(_imp!$C$1973="","",INDEX(_imp!$H$4:$H$4503,_imp!$C$1973))</f>
        <v/>
      </c>
      <c r="F1971" s="54">
        <f>IF(_imp!$C$1973="","",INDEX(_imp!$I$4:$I$4503,_imp!$C$1973))</f>
        <v/>
      </c>
      <c r="G1971" s="54">
        <f>IF(_imp!$C$1973="","",INDEX(_imp!$J$4:$J$4503,_imp!$C$1973))</f>
        <v/>
      </c>
      <c r="K1971" s="54">
        <f>IF(_imp!$C$1973="","",INDEX(_imp!$K$4:$K$4503,_imp!$C$1973))</f>
        <v/>
      </c>
    </row>
    <row r="1972">
      <c r="A1972" s="54">
        <f>IF(_imp!$C$1974="","",INDEX(_imp!$D$4:$D$4503,_imp!$C$1974))</f>
        <v/>
      </c>
      <c r="B1972" s="54">
        <f>IF(_imp!$C$1974="","",INDEX(_imp!$E$4:$E$4503,_imp!$C$1974))</f>
        <v/>
      </c>
      <c r="C1972" s="54">
        <f>IF(_imp!$C$1974="","",INDEX(_imp!$F$4:$F$4503,_imp!$C$1974))</f>
        <v/>
      </c>
      <c r="D1972" s="54">
        <f>IF(_imp!$C$1974="","",INDEX(_imp!$G$4:$G$4503,_imp!$C$1974))</f>
        <v/>
      </c>
      <c r="E1972" s="54">
        <f>IF(_imp!$C$1974="","",INDEX(_imp!$H$4:$H$4503,_imp!$C$1974))</f>
        <v/>
      </c>
      <c r="F1972" s="54">
        <f>IF(_imp!$C$1974="","",INDEX(_imp!$I$4:$I$4503,_imp!$C$1974))</f>
        <v/>
      </c>
      <c r="G1972" s="54">
        <f>IF(_imp!$C$1974="","",INDEX(_imp!$J$4:$J$4503,_imp!$C$1974))</f>
        <v/>
      </c>
      <c r="K1972" s="54">
        <f>IF(_imp!$C$1974="","",INDEX(_imp!$K$4:$K$4503,_imp!$C$1974))</f>
        <v/>
      </c>
    </row>
    <row r="1973">
      <c r="A1973" s="54">
        <f>IF(_imp!$C$1975="","",INDEX(_imp!$D$4:$D$4503,_imp!$C$1975))</f>
        <v/>
      </c>
      <c r="B1973" s="54">
        <f>IF(_imp!$C$1975="","",INDEX(_imp!$E$4:$E$4503,_imp!$C$1975))</f>
        <v/>
      </c>
      <c r="C1973" s="54">
        <f>IF(_imp!$C$1975="","",INDEX(_imp!$F$4:$F$4503,_imp!$C$1975))</f>
        <v/>
      </c>
      <c r="D1973" s="54">
        <f>IF(_imp!$C$1975="","",INDEX(_imp!$G$4:$G$4503,_imp!$C$1975))</f>
        <v/>
      </c>
      <c r="E1973" s="54">
        <f>IF(_imp!$C$1975="","",INDEX(_imp!$H$4:$H$4503,_imp!$C$1975))</f>
        <v/>
      </c>
      <c r="F1973" s="54">
        <f>IF(_imp!$C$1975="","",INDEX(_imp!$I$4:$I$4503,_imp!$C$1975))</f>
        <v/>
      </c>
      <c r="G1973" s="54">
        <f>IF(_imp!$C$1975="","",INDEX(_imp!$J$4:$J$4503,_imp!$C$1975))</f>
        <v/>
      </c>
      <c r="K1973" s="54">
        <f>IF(_imp!$C$1975="","",INDEX(_imp!$K$4:$K$4503,_imp!$C$1975))</f>
        <v/>
      </c>
    </row>
    <row r="1974">
      <c r="A1974" s="54">
        <f>IF(_imp!$C$1976="","",INDEX(_imp!$D$4:$D$4503,_imp!$C$1976))</f>
        <v/>
      </c>
      <c r="B1974" s="54">
        <f>IF(_imp!$C$1976="","",INDEX(_imp!$E$4:$E$4503,_imp!$C$1976))</f>
        <v/>
      </c>
      <c r="C1974" s="54">
        <f>IF(_imp!$C$1976="","",INDEX(_imp!$F$4:$F$4503,_imp!$C$1976))</f>
        <v/>
      </c>
      <c r="D1974" s="54">
        <f>IF(_imp!$C$1976="","",INDEX(_imp!$G$4:$G$4503,_imp!$C$1976))</f>
        <v/>
      </c>
      <c r="E1974" s="54">
        <f>IF(_imp!$C$1976="","",INDEX(_imp!$H$4:$H$4503,_imp!$C$1976))</f>
        <v/>
      </c>
      <c r="F1974" s="54">
        <f>IF(_imp!$C$1976="","",INDEX(_imp!$I$4:$I$4503,_imp!$C$1976))</f>
        <v/>
      </c>
      <c r="G1974" s="54">
        <f>IF(_imp!$C$1976="","",INDEX(_imp!$J$4:$J$4503,_imp!$C$1976))</f>
        <v/>
      </c>
      <c r="K1974" s="54">
        <f>IF(_imp!$C$1976="","",INDEX(_imp!$K$4:$K$4503,_imp!$C$1976))</f>
        <v/>
      </c>
    </row>
    <row r="1975">
      <c r="A1975" s="54">
        <f>IF(_imp!$C$1977="","",INDEX(_imp!$D$4:$D$4503,_imp!$C$1977))</f>
        <v/>
      </c>
      <c r="B1975" s="54">
        <f>IF(_imp!$C$1977="","",INDEX(_imp!$E$4:$E$4503,_imp!$C$1977))</f>
        <v/>
      </c>
      <c r="C1975" s="54">
        <f>IF(_imp!$C$1977="","",INDEX(_imp!$F$4:$F$4503,_imp!$C$1977))</f>
        <v/>
      </c>
      <c r="D1975" s="54">
        <f>IF(_imp!$C$1977="","",INDEX(_imp!$G$4:$G$4503,_imp!$C$1977))</f>
        <v/>
      </c>
      <c r="E1975" s="54">
        <f>IF(_imp!$C$1977="","",INDEX(_imp!$H$4:$H$4503,_imp!$C$1977))</f>
        <v/>
      </c>
      <c r="F1975" s="54">
        <f>IF(_imp!$C$1977="","",INDEX(_imp!$I$4:$I$4503,_imp!$C$1977))</f>
        <v/>
      </c>
      <c r="G1975" s="54">
        <f>IF(_imp!$C$1977="","",INDEX(_imp!$J$4:$J$4503,_imp!$C$1977))</f>
        <v/>
      </c>
      <c r="K1975" s="54">
        <f>IF(_imp!$C$1977="","",INDEX(_imp!$K$4:$K$4503,_imp!$C$1977))</f>
        <v/>
      </c>
    </row>
    <row r="1976">
      <c r="A1976" s="54">
        <f>IF(_imp!$C$1978="","",INDEX(_imp!$D$4:$D$4503,_imp!$C$1978))</f>
        <v/>
      </c>
      <c r="B1976" s="54">
        <f>IF(_imp!$C$1978="","",INDEX(_imp!$E$4:$E$4503,_imp!$C$1978))</f>
        <v/>
      </c>
      <c r="C1976" s="54">
        <f>IF(_imp!$C$1978="","",INDEX(_imp!$F$4:$F$4503,_imp!$C$1978))</f>
        <v/>
      </c>
      <c r="D1976" s="54">
        <f>IF(_imp!$C$1978="","",INDEX(_imp!$G$4:$G$4503,_imp!$C$1978))</f>
        <v/>
      </c>
      <c r="E1976" s="54">
        <f>IF(_imp!$C$1978="","",INDEX(_imp!$H$4:$H$4503,_imp!$C$1978))</f>
        <v/>
      </c>
      <c r="F1976" s="54">
        <f>IF(_imp!$C$1978="","",INDEX(_imp!$I$4:$I$4503,_imp!$C$1978))</f>
        <v/>
      </c>
      <c r="G1976" s="54">
        <f>IF(_imp!$C$1978="","",INDEX(_imp!$J$4:$J$4503,_imp!$C$1978))</f>
        <v/>
      </c>
      <c r="K1976" s="54">
        <f>IF(_imp!$C$1978="","",INDEX(_imp!$K$4:$K$4503,_imp!$C$1978))</f>
        <v/>
      </c>
    </row>
    <row r="1977">
      <c r="A1977" s="54">
        <f>IF(_imp!$C$1979="","",INDEX(_imp!$D$4:$D$4503,_imp!$C$1979))</f>
        <v/>
      </c>
      <c r="B1977" s="54">
        <f>IF(_imp!$C$1979="","",INDEX(_imp!$E$4:$E$4503,_imp!$C$1979))</f>
        <v/>
      </c>
      <c r="C1977" s="54">
        <f>IF(_imp!$C$1979="","",INDEX(_imp!$F$4:$F$4503,_imp!$C$1979))</f>
        <v/>
      </c>
      <c r="D1977" s="54">
        <f>IF(_imp!$C$1979="","",INDEX(_imp!$G$4:$G$4503,_imp!$C$1979))</f>
        <v/>
      </c>
      <c r="E1977" s="54">
        <f>IF(_imp!$C$1979="","",INDEX(_imp!$H$4:$H$4503,_imp!$C$1979))</f>
        <v/>
      </c>
      <c r="F1977" s="54">
        <f>IF(_imp!$C$1979="","",INDEX(_imp!$I$4:$I$4503,_imp!$C$1979))</f>
        <v/>
      </c>
      <c r="G1977" s="54">
        <f>IF(_imp!$C$1979="","",INDEX(_imp!$J$4:$J$4503,_imp!$C$1979))</f>
        <v/>
      </c>
      <c r="K1977" s="54">
        <f>IF(_imp!$C$1979="","",INDEX(_imp!$K$4:$K$4503,_imp!$C$1979))</f>
        <v/>
      </c>
    </row>
    <row r="1978">
      <c r="A1978" s="54">
        <f>IF(_imp!$C$1980="","",INDEX(_imp!$D$4:$D$4503,_imp!$C$1980))</f>
        <v/>
      </c>
      <c r="B1978" s="54">
        <f>IF(_imp!$C$1980="","",INDEX(_imp!$E$4:$E$4503,_imp!$C$1980))</f>
        <v/>
      </c>
      <c r="C1978" s="54">
        <f>IF(_imp!$C$1980="","",INDEX(_imp!$F$4:$F$4503,_imp!$C$1980))</f>
        <v/>
      </c>
      <c r="D1978" s="54">
        <f>IF(_imp!$C$1980="","",INDEX(_imp!$G$4:$G$4503,_imp!$C$1980))</f>
        <v/>
      </c>
      <c r="E1978" s="54">
        <f>IF(_imp!$C$1980="","",INDEX(_imp!$H$4:$H$4503,_imp!$C$1980))</f>
        <v/>
      </c>
      <c r="F1978" s="54">
        <f>IF(_imp!$C$1980="","",INDEX(_imp!$I$4:$I$4503,_imp!$C$1980))</f>
        <v/>
      </c>
      <c r="G1978" s="54">
        <f>IF(_imp!$C$1980="","",INDEX(_imp!$J$4:$J$4503,_imp!$C$1980))</f>
        <v/>
      </c>
      <c r="K1978" s="54">
        <f>IF(_imp!$C$1980="","",INDEX(_imp!$K$4:$K$4503,_imp!$C$1980))</f>
        <v/>
      </c>
    </row>
    <row r="1979">
      <c r="A1979" s="54">
        <f>IF(_imp!$C$1981="","",INDEX(_imp!$D$4:$D$4503,_imp!$C$1981))</f>
        <v/>
      </c>
      <c r="B1979" s="54">
        <f>IF(_imp!$C$1981="","",INDEX(_imp!$E$4:$E$4503,_imp!$C$1981))</f>
        <v/>
      </c>
      <c r="C1979" s="54">
        <f>IF(_imp!$C$1981="","",INDEX(_imp!$F$4:$F$4503,_imp!$C$1981))</f>
        <v/>
      </c>
      <c r="D1979" s="54">
        <f>IF(_imp!$C$1981="","",INDEX(_imp!$G$4:$G$4503,_imp!$C$1981))</f>
        <v/>
      </c>
      <c r="E1979" s="54">
        <f>IF(_imp!$C$1981="","",INDEX(_imp!$H$4:$H$4503,_imp!$C$1981))</f>
        <v/>
      </c>
      <c r="F1979" s="54">
        <f>IF(_imp!$C$1981="","",INDEX(_imp!$I$4:$I$4503,_imp!$C$1981))</f>
        <v/>
      </c>
      <c r="G1979" s="54">
        <f>IF(_imp!$C$1981="","",INDEX(_imp!$J$4:$J$4503,_imp!$C$1981))</f>
        <v/>
      </c>
      <c r="K1979" s="54">
        <f>IF(_imp!$C$1981="","",INDEX(_imp!$K$4:$K$4503,_imp!$C$1981))</f>
        <v/>
      </c>
    </row>
    <row r="1980">
      <c r="A1980" s="54">
        <f>IF(_imp!$C$1982="","",INDEX(_imp!$D$4:$D$4503,_imp!$C$1982))</f>
        <v/>
      </c>
      <c r="B1980" s="54">
        <f>IF(_imp!$C$1982="","",INDEX(_imp!$E$4:$E$4503,_imp!$C$1982))</f>
        <v/>
      </c>
      <c r="C1980" s="54">
        <f>IF(_imp!$C$1982="","",INDEX(_imp!$F$4:$F$4503,_imp!$C$1982))</f>
        <v/>
      </c>
      <c r="D1980" s="54">
        <f>IF(_imp!$C$1982="","",INDEX(_imp!$G$4:$G$4503,_imp!$C$1982))</f>
        <v/>
      </c>
      <c r="E1980" s="54">
        <f>IF(_imp!$C$1982="","",INDEX(_imp!$H$4:$H$4503,_imp!$C$1982))</f>
        <v/>
      </c>
      <c r="F1980" s="54">
        <f>IF(_imp!$C$1982="","",INDEX(_imp!$I$4:$I$4503,_imp!$C$1982))</f>
        <v/>
      </c>
      <c r="G1980" s="54">
        <f>IF(_imp!$C$1982="","",INDEX(_imp!$J$4:$J$4503,_imp!$C$1982))</f>
        <v/>
      </c>
      <c r="K1980" s="54">
        <f>IF(_imp!$C$1982="","",INDEX(_imp!$K$4:$K$4503,_imp!$C$1982))</f>
        <v/>
      </c>
    </row>
    <row r="1981">
      <c r="A1981" s="54">
        <f>IF(_imp!$C$1983="","",INDEX(_imp!$D$4:$D$4503,_imp!$C$1983))</f>
        <v/>
      </c>
      <c r="B1981" s="54">
        <f>IF(_imp!$C$1983="","",INDEX(_imp!$E$4:$E$4503,_imp!$C$1983))</f>
        <v/>
      </c>
      <c r="C1981" s="54">
        <f>IF(_imp!$C$1983="","",INDEX(_imp!$F$4:$F$4503,_imp!$C$1983))</f>
        <v/>
      </c>
      <c r="D1981" s="54">
        <f>IF(_imp!$C$1983="","",INDEX(_imp!$G$4:$G$4503,_imp!$C$1983))</f>
        <v/>
      </c>
      <c r="E1981" s="54">
        <f>IF(_imp!$C$1983="","",INDEX(_imp!$H$4:$H$4503,_imp!$C$1983))</f>
        <v/>
      </c>
      <c r="F1981" s="54">
        <f>IF(_imp!$C$1983="","",INDEX(_imp!$I$4:$I$4503,_imp!$C$1983))</f>
        <v/>
      </c>
      <c r="G1981" s="54">
        <f>IF(_imp!$C$1983="","",INDEX(_imp!$J$4:$J$4503,_imp!$C$1983))</f>
        <v/>
      </c>
      <c r="K1981" s="54">
        <f>IF(_imp!$C$1983="","",INDEX(_imp!$K$4:$K$4503,_imp!$C$1983))</f>
        <v/>
      </c>
    </row>
    <row r="1982">
      <c r="A1982" s="54">
        <f>IF(_imp!$C$1984="","",INDEX(_imp!$D$4:$D$4503,_imp!$C$1984))</f>
        <v/>
      </c>
      <c r="B1982" s="54">
        <f>IF(_imp!$C$1984="","",INDEX(_imp!$E$4:$E$4503,_imp!$C$1984))</f>
        <v/>
      </c>
      <c r="C1982" s="54">
        <f>IF(_imp!$C$1984="","",INDEX(_imp!$F$4:$F$4503,_imp!$C$1984))</f>
        <v/>
      </c>
      <c r="D1982" s="54">
        <f>IF(_imp!$C$1984="","",INDEX(_imp!$G$4:$G$4503,_imp!$C$1984))</f>
        <v/>
      </c>
      <c r="E1982" s="54">
        <f>IF(_imp!$C$1984="","",INDEX(_imp!$H$4:$H$4503,_imp!$C$1984))</f>
        <v/>
      </c>
      <c r="F1982" s="54">
        <f>IF(_imp!$C$1984="","",INDEX(_imp!$I$4:$I$4503,_imp!$C$1984))</f>
        <v/>
      </c>
      <c r="G1982" s="54">
        <f>IF(_imp!$C$1984="","",INDEX(_imp!$J$4:$J$4503,_imp!$C$1984))</f>
        <v/>
      </c>
      <c r="K1982" s="54">
        <f>IF(_imp!$C$1984="","",INDEX(_imp!$K$4:$K$4503,_imp!$C$1984))</f>
        <v/>
      </c>
    </row>
    <row r="1983">
      <c r="A1983" s="54">
        <f>IF(_imp!$C$1985="","",INDEX(_imp!$D$4:$D$4503,_imp!$C$1985))</f>
        <v/>
      </c>
      <c r="B1983" s="54">
        <f>IF(_imp!$C$1985="","",INDEX(_imp!$E$4:$E$4503,_imp!$C$1985))</f>
        <v/>
      </c>
      <c r="C1983" s="54">
        <f>IF(_imp!$C$1985="","",INDEX(_imp!$F$4:$F$4503,_imp!$C$1985))</f>
        <v/>
      </c>
      <c r="D1983" s="54">
        <f>IF(_imp!$C$1985="","",INDEX(_imp!$G$4:$G$4503,_imp!$C$1985))</f>
        <v/>
      </c>
      <c r="E1983" s="54">
        <f>IF(_imp!$C$1985="","",INDEX(_imp!$H$4:$H$4503,_imp!$C$1985))</f>
        <v/>
      </c>
      <c r="F1983" s="54">
        <f>IF(_imp!$C$1985="","",INDEX(_imp!$I$4:$I$4503,_imp!$C$1985))</f>
        <v/>
      </c>
      <c r="G1983" s="54">
        <f>IF(_imp!$C$1985="","",INDEX(_imp!$J$4:$J$4503,_imp!$C$1985))</f>
        <v/>
      </c>
      <c r="K1983" s="54">
        <f>IF(_imp!$C$1985="","",INDEX(_imp!$K$4:$K$4503,_imp!$C$1985))</f>
        <v/>
      </c>
    </row>
    <row r="1984">
      <c r="A1984" s="54">
        <f>IF(_imp!$C$1986="","",INDEX(_imp!$D$4:$D$4503,_imp!$C$1986))</f>
        <v/>
      </c>
      <c r="B1984" s="54">
        <f>IF(_imp!$C$1986="","",INDEX(_imp!$E$4:$E$4503,_imp!$C$1986))</f>
        <v/>
      </c>
      <c r="C1984" s="54">
        <f>IF(_imp!$C$1986="","",INDEX(_imp!$F$4:$F$4503,_imp!$C$1986))</f>
        <v/>
      </c>
      <c r="D1984" s="54">
        <f>IF(_imp!$C$1986="","",INDEX(_imp!$G$4:$G$4503,_imp!$C$1986))</f>
        <v/>
      </c>
      <c r="E1984" s="54">
        <f>IF(_imp!$C$1986="","",INDEX(_imp!$H$4:$H$4503,_imp!$C$1986))</f>
        <v/>
      </c>
      <c r="F1984" s="54">
        <f>IF(_imp!$C$1986="","",INDEX(_imp!$I$4:$I$4503,_imp!$C$1986))</f>
        <v/>
      </c>
      <c r="G1984" s="54">
        <f>IF(_imp!$C$1986="","",INDEX(_imp!$J$4:$J$4503,_imp!$C$1986))</f>
        <v/>
      </c>
      <c r="K1984" s="54">
        <f>IF(_imp!$C$1986="","",INDEX(_imp!$K$4:$K$4503,_imp!$C$1986))</f>
        <v/>
      </c>
    </row>
    <row r="1985">
      <c r="A1985" s="54">
        <f>IF(_imp!$C$1987="","",INDEX(_imp!$D$4:$D$4503,_imp!$C$1987))</f>
        <v/>
      </c>
      <c r="B1985" s="54">
        <f>IF(_imp!$C$1987="","",INDEX(_imp!$E$4:$E$4503,_imp!$C$1987))</f>
        <v/>
      </c>
      <c r="C1985" s="54">
        <f>IF(_imp!$C$1987="","",INDEX(_imp!$F$4:$F$4503,_imp!$C$1987))</f>
        <v/>
      </c>
      <c r="D1985" s="54">
        <f>IF(_imp!$C$1987="","",INDEX(_imp!$G$4:$G$4503,_imp!$C$1987))</f>
        <v/>
      </c>
      <c r="E1985" s="54">
        <f>IF(_imp!$C$1987="","",INDEX(_imp!$H$4:$H$4503,_imp!$C$1987))</f>
        <v/>
      </c>
      <c r="F1985" s="54">
        <f>IF(_imp!$C$1987="","",INDEX(_imp!$I$4:$I$4503,_imp!$C$1987))</f>
        <v/>
      </c>
      <c r="G1985" s="54">
        <f>IF(_imp!$C$1987="","",INDEX(_imp!$J$4:$J$4503,_imp!$C$1987))</f>
        <v/>
      </c>
      <c r="K1985" s="54">
        <f>IF(_imp!$C$1987="","",INDEX(_imp!$K$4:$K$4503,_imp!$C$1987))</f>
        <v/>
      </c>
    </row>
    <row r="1986">
      <c r="A1986" s="54">
        <f>IF(_imp!$C$1988="","",INDEX(_imp!$D$4:$D$4503,_imp!$C$1988))</f>
        <v/>
      </c>
      <c r="B1986" s="54">
        <f>IF(_imp!$C$1988="","",INDEX(_imp!$E$4:$E$4503,_imp!$C$1988))</f>
        <v/>
      </c>
      <c r="C1986" s="54">
        <f>IF(_imp!$C$1988="","",INDEX(_imp!$F$4:$F$4503,_imp!$C$1988))</f>
        <v/>
      </c>
      <c r="D1986" s="54">
        <f>IF(_imp!$C$1988="","",INDEX(_imp!$G$4:$G$4503,_imp!$C$1988))</f>
        <v/>
      </c>
      <c r="E1986" s="54">
        <f>IF(_imp!$C$1988="","",INDEX(_imp!$H$4:$H$4503,_imp!$C$1988))</f>
        <v/>
      </c>
      <c r="F1986" s="54">
        <f>IF(_imp!$C$1988="","",INDEX(_imp!$I$4:$I$4503,_imp!$C$1988))</f>
        <v/>
      </c>
      <c r="G1986" s="54">
        <f>IF(_imp!$C$1988="","",INDEX(_imp!$J$4:$J$4503,_imp!$C$1988))</f>
        <v/>
      </c>
      <c r="K1986" s="54">
        <f>IF(_imp!$C$1988="","",INDEX(_imp!$K$4:$K$4503,_imp!$C$1988))</f>
        <v/>
      </c>
    </row>
    <row r="1987">
      <c r="A1987" s="54">
        <f>IF(_imp!$C$1989="","",INDEX(_imp!$D$4:$D$4503,_imp!$C$1989))</f>
        <v/>
      </c>
      <c r="B1987" s="54">
        <f>IF(_imp!$C$1989="","",INDEX(_imp!$E$4:$E$4503,_imp!$C$1989))</f>
        <v/>
      </c>
      <c r="C1987" s="54">
        <f>IF(_imp!$C$1989="","",INDEX(_imp!$F$4:$F$4503,_imp!$C$1989))</f>
        <v/>
      </c>
      <c r="D1987" s="54">
        <f>IF(_imp!$C$1989="","",INDEX(_imp!$G$4:$G$4503,_imp!$C$1989))</f>
        <v/>
      </c>
      <c r="E1987" s="54">
        <f>IF(_imp!$C$1989="","",INDEX(_imp!$H$4:$H$4503,_imp!$C$1989))</f>
        <v/>
      </c>
      <c r="F1987" s="54">
        <f>IF(_imp!$C$1989="","",INDEX(_imp!$I$4:$I$4503,_imp!$C$1989))</f>
        <v/>
      </c>
      <c r="G1987" s="54">
        <f>IF(_imp!$C$1989="","",INDEX(_imp!$J$4:$J$4503,_imp!$C$1989))</f>
        <v/>
      </c>
      <c r="K1987" s="54">
        <f>IF(_imp!$C$1989="","",INDEX(_imp!$K$4:$K$4503,_imp!$C$1989))</f>
        <v/>
      </c>
    </row>
    <row r="1988">
      <c r="A1988" s="54">
        <f>IF(_imp!$C$1990="","",INDEX(_imp!$D$4:$D$4503,_imp!$C$1990))</f>
        <v/>
      </c>
      <c r="B1988" s="54">
        <f>IF(_imp!$C$1990="","",INDEX(_imp!$E$4:$E$4503,_imp!$C$1990))</f>
        <v/>
      </c>
      <c r="C1988" s="54">
        <f>IF(_imp!$C$1990="","",INDEX(_imp!$F$4:$F$4503,_imp!$C$1990))</f>
        <v/>
      </c>
      <c r="D1988" s="54">
        <f>IF(_imp!$C$1990="","",INDEX(_imp!$G$4:$G$4503,_imp!$C$1990))</f>
        <v/>
      </c>
      <c r="E1988" s="54">
        <f>IF(_imp!$C$1990="","",INDEX(_imp!$H$4:$H$4503,_imp!$C$1990))</f>
        <v/>
      </c>
      <c r="F1988" s="54">
        <f>IF(_imp!$C$1990="","",INDEX(_imp!$I$4:$I$4503,_imp!$C$1990))</f>
        <v/>
      </c>
      <c r="G1988" s="54">
        <f>IF(_imp!$C$1990="","",INDEX(_imp!$J$4:$J$4503,_imp!$C$1990))</f>
        <v/>
      </c>
      <c r="K1988" s="54">
        <f>IF(_imp!$C$1990="","",INDEX(_imp!$K$4:$K$4503,_imp!$C$1990))</f>
        <v/>
      </c>
    </row>
    <row r="1989">
      <c r="A1989" s="54">
        <f>IF(_imp!$C$1991="","",INDEX(_imp!$D$4:$D$4503,_imp!$C$1991))</f>
        <v/>
      </c>
      <c r="B1989" s="54">
        <f>IF(_imp!$C$1991="","",INDEX(_imp!$E$4:$E$4503,_imp!$C$1991))</f>
        <v/>
      </c>
      <c r="C1989" s="54">
        <f>IF(_imp!$C$1991="","",INDEX(_imp!$F$4:$F$4503,_imp!$C$1991))</f>
        <v/>
      </c>
      <c r="D1989" s="54">
        <f>IF(_imp!$C$1991="","",INDEX(_imp!$G$4:$G$4503,_imp!$C$1991))</f>
        <v/>
      </c>
      <c r="E1989" s="54">
        <f>IF(_imp!$C$1991="","",INDEX(_imp!$H$4:$H$4503,_imp!$C$1991))</f>
        <v/>
      </c>
      <c r="F1989" s="54">
        <f>IF(_imp!$C$1991="","",INDEX(_imp!$I$4:$I$4503,_imp!$C$1991))</f>
        <v/>
      </c>
      <c r="G1989" s="54">
        <f>IF(_imp!$C$1991="","",INDEX(_imp!$J$4:$J$4503,_imp!$C$1991))</f>
        <v/>
      </c>
      <c r="K1989" s="54">
        <f>IF(_imp!$C$1991="","",INDEX(_imp!$K$4:$K$4503,_imp!$C$1991))</f>
        <v/>
      </c>
    </row>
    <row r="1990">
      <c r="A1990" s="54">
        <f>IF(_imp!$C$1992="","",INDEX(_imp!$D$4:$D$4503,_imp!$C$1992))</f>
        <v/>
      </c>
      <c r="B1990" s="54">
        <f>IF(_imp!$C$1992="","",INDEX(_imp!$E$4:$E$4503,_imp!$C$1992))</f>
        <v/>
      </c>
      <c r="C1990" s="54">
        <f>IF(_imp!$C$1992="","",INDEX(_imp!$F$4:$F$4503,_imp!$C$1992))</f>
        <v/>
      </c>
      <c r="D1990" s="54">
        <f>IF(_imp!$C$1992="","",INDEX(_imp!$G$4:$G$4503,_imp!$C$1992))</f>
        <v/>
      </c>
      <c r="E1990" s="54">
        <f>IF(_imp!$C$1992="","",INDEX(_imp!$H$4:$H$4503,_imp!$C$1992))</f>
        <v/>
      </c>
      <c r="F1990" s="54">
        <f>IF(_imp!$C$1992="","",INDEX(_imp!$I$4:$I$4503,_imp!$C$1992))</f>
        <v/>
      </c>
      <c r="G1990" s="54">
        <f>IF(_imp!$C$1992="","",INDEX(_imp!$J$4:$J$4503,_imp!$C$1992))</f>
        <v/>
      </c>
      <c r="K1990" s="54">
        <f>IF(_imp!$C$1992="","",INDEX(_imp!$K$4:$K$4503,_imp!$C$1992))</f>
        <v/>
      </c>
    </row>
    <row r="1991">
      <c r="A1991" s="54">
        <f>IF(_imp!$C$1993="","",INDEX(_imp!$D$4:$D$4503,_imp!$C$1993))</f>
        <v/>
      </c>
      <c r="B1991" s="54">
        <f>IF(_imp!$C$1993="","",INDEX(_imp!$E$4:$E$4503,_imp!$C$1993))</f>
        <v/>
      </c>
      <c r="C1991" s="54">
        <f>IF(_imp!$C$1993="","",INDEX(_imp!$F$4:$F$4503,_imp!$C$1993))</f>
        <v/>
      </c>
      <c r="D1991" s="54">
        <f>IF(_imp!$C$1993="","",INDEX(_imp!$G$4:$G$4503,_imp!$C$1993))</f>
        <v/>
      </c>
      <c r="E1991" s="54">
        <f>IF(_imp!$C$1993="","",INDEX(_imp!$H$4:$H$4503,_imp!$C$1993))</f>
        <v/>
      </c>
      <c r="F1991" s="54">
        <f>IF(_imp!$C$1993="","",INDEX(_imp!$I$4:$I$4503,_imp!$C$1993))</f>
        <v/>
      </c>
      <c r="G1991" s="54">
        <f>IF(_imp!$C$1993="","",INDEX(_imp!$J$4:$J$4503,_imp!$C$1993))</f>
        <v/>
      </c>
      <c r="K1991" s="54">
        <f>IF(_imp!$C$1993="","",INDEX(_imp!$K$4:$K$4503,_imp!$C$1993))</f>
        <v/>
      </c>
    </row>
    <row r="1992">
      <c r="A1992" s="54">
        <f>IF(_imp!$C$1994="","",INDEX(_imp!$D$4:$D$4503,_imp!$C$1994))</f>
        <v/>
      </c>
      <c r="B1992" s="54">
        <f>IF(_imp!$C$1994="","",INDEX(_imp!$E$4:$E$4503,_imp!$C$1994))</f>
        <v/>
      </c>
      <c r="C1992" s="54">
        <f>IF(_imp!$C$1994="","",INDEX(_imp!$F$4:$F$4503,_imp!$C$1994))</f>
        <v/>
      </c>
      <c r="D1992" s="54">
        <f>IF(_imp!$C$1994="","",INDEX(_imp!$G$4:$G$4503,_imp!$C$1994))</f>
        <v/>
      </c>
      <c r="E1992" s="54">
        <f>IF(_imp!$C$1994="","",INDEX(_imp!$H$4:$H$4503,_imp!$C$1994))</f>
        <v/>
      </c>
      <c r="F1992" s="54">
        <f>IF(_imp!$C$1994="","",INDEX(_imp!$I$4:$I$4503,_imp!$C$1994))</f>
        <v/>
      </c>
      <c r="G1992" s="54">
        <f>IF(_imp!$C$1994="","",INDEX(_imp!$J$4:$J$4503,_imp!$C$1994))</f>
        <v/>
      </c>
      <c r="K1992" s="54">
        <f>IF(_imp!$C$1994="","",INDEX(_imp!$K$4:$K$4503,_imp!$C$1994))</f>
        <v/>
      </c>
    </row>
    <row r="1993">
      <c r="A1993" s="54">
        <f>IF(_imp!$C$1995="","",INDEX(_imp!$D$4:$D$4503,_imp!$C$1995))</f>
        <v/>
      </c>
      <c r="B1993" s="54">
        <f>IF(_imp!$C$1995="","",INDEX(_imp!$E$4:$E$4503,_imp!$C$1995))</f>
        <v/>
      </c>
      <c r="C1993" s="54">
        <f>IF(_imp!$C$1995="","",INDEX(_imp!$F$4:$F$4503,_imp!$C$1995))</f>
        <v/>
      </c>
      <c r="D1993" s="54">
        <f>IF(_imp!$C$1995="","",INDEX(_imp!$G$4:$G$4503,_imp!$C$1995))</f>
        <v/>
      </c>
      <c r="E1993" s="54">
        <f>IF(_imp!$C$1995="","",INDEX(_imp!$H$4:$H$4503,_imp!$C$1995))</f>
        <v/>
      </c>
      <c r="F1993" s="54">
        <f>IF(_imp!$C$1995="","",INDEX(_imp!$I$4:$I$4503,_imp!$C$1995))</f>
        <v/>
      </c>
      <c r="G1993" s="54">
        <f>IF(_imp!$C$1995="","",INDEX(_imp!$J$4:$J$4503,_imp!$C$1995))</f>
        <v/>
      </c>
      <c r="K1993" s="54">
        <f>IF(_imp!$C$1995="","",INDEX(_imp!$K$4:$K$4503,_imp!$C$1995))</f>
        <v/>
      </c>
    </row>
    <row r="1994">
      <c r="A1994" s="54">
        <f>IF(_imp!$C$1996="","",INDEX(_imp!$D$4:$D$4503,_imp!$C$1996))</f>
        <v/>
      </c>
      <c r="B1994" s="54">
        <f>IF(_imp!$C$1996="","",INDEX(_imp!$E$4:$E$4503,_imp!$C$1996))</f>
        <v/>
      </c>
      <c r="C1994" s="54">
        <f>IF(_imp!$C$1996="","",INDEX(_imp!$F$4:$F$4503,_imp!$C$1996))</f>
        <v/>
      </c>
      <c r="D1994" s="54">
        <f>IF(_imp!$C$1996="","",INDEX(_imp!$G$4:$G$4503,_imp!$C$1996))</f>
        <v/>
      </c>
      <c r="E1994" s="54">
        <f>IF(_imp!$C$1996="","",INDEX(_imp!$H$4:$H$4503,_imp!$C$1996))</f>
        <v/>
      </c>
      <c r="F1994" s="54">
        <f>IF(_imp!$C$1996="","",INDEX(_imp!$I$4:$I$4503,_imp!$C$1996))</f>
        <v/>
      </c>
      <c r="G1994" s="54">
        <f>IF(_imp!$C$1996="","",INDEX(_imp!$J$4:$J$4503,_imp!$C$1996))</f>
        <v/>
      </c>
      <c r="K1994" s="54">
        <f>IF(_imp!$C$1996="","",INDEX(_imp!$K$4:$K$4503,_imp!$C$1996))</f>
        <v/>
      </c>
    </row>
    <row r="1995">
      <c r="A1995" s="54">
        <f>IF(_imp!$C$1997="","",INDEX(_imp!$D$4:$D$4503,_imp!$C$1997))</f>
        <v/>
      </c>
      <c r="B1995" s="54">
        <f>IF(_imp!$C$1997="","",INDEX(_imp!$E$4:$E$4503,_imp!$C$1997))</f>
        <v/>
      </c>
      <c r="C1995" s="54">
        <f>IF(_imp!$C$1997="","",INDEX(_imp!$F$4:$F$4503,_imp!$C$1997))</f>
        <v/>
      </c>
      <c r="D1995" s="54">
        <f>IF(_imp!$C$1997="","",INDEX(_imp!$G$4:$G$4503,_imp!$C$1997))</f>
        <v/>
      </c>
      <c r="E1995" s="54">
        <f>IF(_imp!$C$1997="","",INDEX(_imp!$H$4:$H$4503,_imp!$C$1997))</f>
        <v/>
      </c>
      <c r="F1995" s="54">
        <f>IF(_imp!$C$1997="","",INDEX(_imp!$I$4:$I$4503,_imp!$C$1997))</f>
        <v/>
      </c>
      <c r="G1995" s="54">
        <f>IF(_imp!$C$1997="","",INDEX(_imp!$J$4:$J$4503,_imp!$C$1997))</f>
        <v/>
      </c>
      <c r="K1995" s="54">
        <f>IF(_imp!$C$1997="","",INDEX(_imp!$K$4:$K$4503,_imp!$C$1997))</f>
        <v/>
      </c>
    </row>
    <row r="1996">
      <c r="A1996" s="54">
        <f>IF(_imp!$C$1998="","",INDEX(_imp!$D$4:$D$4503,_imp!$C$1998))</f>
        <v/>
      </c>
      <c r="B1996" s="54">
        <f>IF(_imp!$C$1998="","",INDEX(_imp!$E$4:$E$4503,_imp!$C$1998))</f>
        <v/>
      </c>
      <c r="C1996" s="54">
        <f>IF(_imp!$C$1998="","",INDEX(_imp!$F$4:$F$4503,_imp!$C$1998))</f>
        <v/>
      </c>
      <c r="D1996" s="54">
        <f>IF(_imp!$C$1998="","",INDEX(_imp!$G$4:$G$4503,_imp!$C$1998))</f>
        <v/>
      </c>
      <c r="E1996" s="54">
        <f>IF(_imp!$C$1998="","",INDEX(_imp!$H$4:$H$4503,_imp!$C$1998))</f>
        <v/>
      </c>
      <c r="F1996" s="54">
        <f>IF(_imp!$C$1998="","",INDEX(_imp!$I$4:$I$4503,_imp!$C$1998))</f>
        <v/>
      </c>
      <c r="G1996" s="54">
        <f>IF(_imp!$C$1998="","",INDEX(_imp!$J$4:$J$4503,_imp!$C$1998))</f>
        <v/>
      </c>
      <c r="K1996" s="54">
        <f>IF(_imp!$C$1998="","",INDEX(_imp!$K$4:$K$4503,_imp!$C$1998))</f>
        <v/>
      </c>
    </row>
    <row r="1997">
      <c r="A1997" s="54">
        <f>IF(_imp!$C$1999="","",INDEX(_imp!$D$4:$D$4503,_imp!$C$1999))</f>
        <v/>
      </c>
      <c r="B1997" s="54">
        <f>IF(_imp!$C$1999="","",INDEX(_imp!$E$4:$E$4503,_imp!$C$1999))</f>
        <v/>
      </c>
      <c r="C1997" s="54">
        <f>IF(_imp!$C$1999="","",INDEX(_imp!$F$4:$F$4503,_imp!$C$1999))</f>
        <v/>
      </c>
      <c r="D1997" s="54">
        <f>IF(_imp!$C$1999="","",INDEX(_imp!$G$4:$G$4503,_imp!$C$1999))</f>
        <v/>
      </c>
      <c r="E1997" s="54">
        <f>IF(_imp!$C$1999="","",INDEX(_imp!$H$4:$H$4503,_imp!$C$1999))</f>
        <v/>
      </c>
      <c r="F1997" s="54">
        <f>IF(_imp!$C$1999="","",INDEX(_imp!$I$4:$I$4503,_imp!$C$1999))</f>
        <v/>
      </c>
      <c r="G1997" s="54">
        <f>IF(_imp!$C$1999="","",INDEX(_imp!$J$4:$J$4503,_imp!$C$1999))</f>
        <v/>
      </c>
      <c r="K1997" s="54">
        <f>IF(_imp!$C$1999="","",INDEX(_imp!$K$4:$K$4503,_imp!$C$1999))</f>
        <v/>
      </c>
    </row>
    <row r="1998">
      <c r="A1998" s="54">
        <f>IF(_imp!$C$2000="","",INDEX(_imp!$D$4:$D$4503,_imp!$C$2000))</f>
        <v/>
      </c>
      <c r="B1998" s="54">
        <f>IF(_imp!$C$2000="","",INDEX(_imp!$E$4:$E$4503,_imp!$C$2000))</f>
        <v/>
      </c>
      <c r="C1998" s="54">
        <f>IF(_imp!$C$2000="","",INDEX(_imp!$F$4:$F$4503,_imp!$C$2000))</f>
        <v/>
      </c>
      <c r="D1998" s="54">
        <f>IF(_imp!$C$2000="","",INDEX(_imp!$G$4:$G$4503,_imp!$C$2000))</f>
        <v/>
      </c>
      <c r="E1998" s="54">
        <f>IF(_imp!$C$2000="","",INDEX(_imp!$H$4:$H$4503,_imp!$C$2000))</f>
        <v/>
      </c>
      <c r="F1998" s="54">
        <f>IF(_imp!$C$2000="","",INDEX(_imp!$I$4:$I$4503,_imp!$C$2000))</f>
        <v/>
      </c>
      <c r="G1998" s="54">
        <f>IF(_imp!$C$2000="","",INDEX(_imp!$J$4:$J$4503,_imp!$C$2000))</f>
        <v/>
      </c>
      <c r="K1998" s="54">
        <f>IF(_imp!$C$2000="","",INDEX(_imp!$K$4:$K$4503,_imp!$C$2000))</f>
        <v/>
      </c>
    </row>
    <row r="1999">
      <c r="A1999" s="54">
        <f>IF(_imp!$C$2001="","",INDEX(_imp!$D$4:$D$4503,_imp!$C$2001))</f>
        <v/>
      </c>
      <c r="B1999" s="54">
        <f>IF(_imp!$C$2001="","",INDEX(_imp!$E$4:$E$4503,_imp!$C$2001))</f>
        <v/>
      </c>
      <c r="C1999" s="54">
        <f>IF(_imp!$C$2001="","",INDEX(_imp!$F$4:$F$4503,_imp!$C$2001))</f>
        <v/>
      </c>
      <c r="D1999" s="54">
        <f>IF(_imp!$C$2001="","",INDEX(_imp!$G$4:$G$4503,_imp!$C$2001))</f>
        <v/>
      </c>
      <c r="E1999" s="54">
        <f>IF(_imp!$C$2001="","",INDEX(_imp!$H$4:$H$4503,_imp!$C$2001))</f>
        <v/>
      </c>
      <c r="F1999" s="54">
        <f>IF(_imp!$C$2001="","",INDEX(_imp!$I$4:$I$4503,_imp!$C$2001))</f>
        <v/>
      </c>
      <c r="G1999" s="54">
        <f>IF(_imp!$C$2001="","",INDEX(_imp!$J$4:$J$4503,_imp!$C$2001))</f>
        <v/>
      </c>
      <c r="K1999" s="54">
        <f>IF(_imp!$C$2001="","",INDEX(_imp!$K$4:$K$4503,_imp!$C$2001))</f>
        <v/>
      </c>
    </row>
    <row r="2000">
      <c r="A2000" s="54">
        <f>IF(_imp!$C$2002="","",INDEX(_imp!$D$4:$D$4503,_imp!$C$2002))</f>
        <v/>
      </c>
      <c r="B2000" s="54">
        <f>IF(_imp!$C$2002="","",INDEX(_imp!$E$4:$E$4503,_imp!$C$2002))</f>
        <v/>
      </c>
      <c r="C2000" s="54">
        <f>IF(_imp!$C$2002="","",INDEX(_imp!$F$4:$F$4503,_imp!$C$2002))</f>
        <v/>
      </c>
      <c r="D2000" s="54">
        <f>IF(_imp!$C$2002="","",INDEX(_imp!$G$4:$G$4503,_imp!$C$2002))</f>
        <v/>
      </c>
      <c r="E2000" s="54">
        <f>IF(_imp!$C$2002="","",INDEX(_imp!$H$4:$H$4503,_imp!$C$2002))</f>
        <v/>
      </c>
      <c r="F2000" s="54">
        <f>IF(_imp!$C$2002="","",INDEX(_imp!$I$4:$I$4503,_imp!$C$2002))</f>
        <v/>
      </c>
      <c r="G2000" s="54">
        <f>IF(_imp!$C$2002="","",INDEX(_imp!$J$4:$J$4503,_imp!$C$2002))</f>
        <v/>
      </c>
      <c r="K2000" s="54">
        <f>IF(_imp!$C$2002="","",INDEX(_imp!$K$4:$K$4503,_imp!$C$2002))</f>
        <v/>
      </c>
    </row>
    <row r="2001">
      <c r="A2001" s="54">
        <f>IF(_imp!$C$2003="","",INDEX(_imp!$D$4:$D$4503,_imp!$C$2003))</f>
        <v/>
      </c>
      <c r="B2001" s="54">
        <f>IF(_imp!$C$2003="","",INDEX(_imp!$E$4:$E$4503,_imp!$C$2003))</f>
        <v/>
      </c>
      <c r="C2001" s="54">
        <f>IF(_imp!$C$2003="","",INDEX(_imp!$F$4:$F$4503,_imp!$C$2003))</f>
        <v/>
      </c>
      <c r="D2001" s="54">
        <f>IF(_imp!$C$2003="","",INDEX(_imp!$G$4:$G$4503,_imp!$C$2003))</f>
        <v/>
      </c>
      <c r="E2001" s="54">
        <f>IF(_imp!$C$2003="","",INDEX(_imp!$H$4:$H$4503,_imp!$C$2003))</f>
        <v/>
      </c>
      <c r="F2001" s="54">
        <f>IF(_imp!$C$2003="","",INDEX(_imp!$I$4:$I$4503,_imp!$C$2003))</f>
        <v/>
      </c>
      <c r="G2001" s="54">
        <f>IF(_imp!$C$2003="","",INDEX(_imp!$J$4:$J$4503,_imp!$C$2003))</f>
        <v/>
      </c>
      <c r="K2001" s="54">
        <f>IF(_imp!$C$2003="","",INDEX(_imp!$K$4:$K$4503,_imp!$C$2003))</f>
        <v/>
      </c>
    </row>
    <row r="2002">
      <c r="A2002" s="54">
        <f>IF(_imp!$C$2004="","",INDEX(_imp!$D$4:$D$4503,_imp!$C$2004))</f>
        <v/>
      </c>
      <c r="B2002" s="54">
        <f>IF(_imp!$C$2004="","",INDEX(_imp!$E$4:$E$4503,_imp!$C$2004))</f>
        <v/>
      </c>
      <c r="C2002" s="54">
        <f>IF(_imp!$C$2004="","",INDEX(_imp!$F$4:$F$4503,_imp!$C$2004))</f>
        <v/>
      </c>
      <c r="D2002" s="54">
        <f>IF(_imp!$C$2004="","",INDEX(_imp!$G$4:$G$4503,_imp!$C$2004))</f>
        <v/>
      </c>
      <c r="E2002" s="54">
        <f>IF(_imp!$C$2004="","",INDEX(_imp!$H$4:$H$4503,_imp!$C$2004))</f>
        <v/>
      </c>
      <c r="F2002" s="54">
        <f>IF(_imp!$C$2004="","",INDEX(_imp!$I$4:$I$4503,_imp!$C$2004))</f>
        <v/>
      </c>
      <c r="G2002" s="54">
        <f>IF(_imp!$C$2004="","",INDEX(_imp!$J$4:$J$4503,_imp!$C$2004))</f>
        <v/>
      </c>
      <c r="K2002" s="54">
        <f>IF(_imp!$C$2004="","",INDEX(_imp!$K$4:$K$4503,_imp!$C$2004))</f>
        <v/>
      </c>
    </row>
    <row r="2003">
      <c r="A2003" s="54">
        <f>IF(_imp!$C$2005="","",INDEX(_imp!$D$4:$D$4503,_imp!$C$2005))</f>
        <v/>
      </c>
      <c r="B2003" s="54">
        <f>IF(_imp!$C$2005="","",INDEX(_imp!$E$4:$E$4503,_imp!$C$2005))</f>
        <v/>
      </c>
      <c r="C2003" s="54">
        <f>IF(_imp!$C$2005="","",INDEX(_imp!$F$4:$F$4503,_imp!$C$2005))</f>
        <v/>
      </c>
      <c r="D2003" s="54">
        <f>IF(_imp!$C$2005="","",INDEX(_imp!$G$4:$G$4503,_imp!$C$2005))</f>
        <v/>
      </c>
      <c r="E2003" s="54">
        <f>IF(_imp!$C$2005="","",INDEX(_imp!$H$4:$H$4503,_imp!$C$2005))</f>
        <v/>
      </c>
      <c r="F2003" s="54">
        <f>IF(_imp!$C$2005="","",INDEX(_imp!$I$4:$I$4503,_imp!$C$2005))</f>
        <v/>
      </c>
      <c r="G2003" s="54">
        <f>IF(_imp!$C$2005="","",INDEX(_imp!$J$4:$J$4503,_imp!$C$2005))</f>
        <v/>
      </c>
      <c r="K2003" s="54">
        <f>IF(_imp!$C$2005="","",INDEX(_imp!$K$4:$K$4503,_imp!$C$2005))</f>
        <v/>
      </c>
    </row>
    <row r="2004">
      <c r="A2004" s="54">
        <f>IF(_imp!$C$2006="","",INDEX(_imp!$D$4:$D$4503,_imp!$C$2006))</f>
        <v/>
      </c>
      <c r="B2004" s="54">
        <f>IF(_imp!$C$2006="","",INDEX(_imp!$E$4:$E$4503,_imp!$C$2006))</f>
        <v/>
      </c>
      <c r="C2004" s="54">
        <f>IF(_imp!$C$2006="","",INDEX(_imp!$F$4:$F$4503,_imp!$C$2006))</f>
        <v/>
      </c>
      <c r="D2004" s="54">
        <f>IF(_imp!$C$2006="","",INDEX(_imp!$G$4:$G$4503,_imp!$C$2006))</f>
        <v/>
      </c>
      <c r="E2004" s="54">
        <f>IF(_imp!$C$2006="","",INDEX(_imp!$H$4:$H$4503,_imp!$C$2006))</f>
        <v/>
      </c>
      <c r="F2004" s="54">
        <f>IF(_imp!$C$2006="","",INDEX(_imp!$I$4:$I$4503,_imp!$C$2006))</f>
        <v/>
      </c>
      <c r="G2004" s="54">
        <f>IF(_imp!$C$2006="","",INDEX(_imp!$J$4:$J$4503,_imp!$C$2006))</f>
        <v/>
      </c>
      <c r="K2004" s="54">
        <f>IF(_imp!$C$2006="","",INDEX(_imp!$K$4:$K$4503,_imp!$C$2006))</f>
        <v/>
      </c>
    </row>
    <row r="2005">
      <c r="A2005" s="54">
        <f>IF(_imp!$C$2007="","",INDEX(_imp!$D$4:$D$4503,_imp!$C$2007))</f>
        <v/>
      </c>
      <c r="B2005" s="54">
        <f>IF(_imp!$C$2007="","",INDEX(_imp!$E$4:$E$4503,_imp!$C$2007))</f>
        <v/>
      </c>
      <c r="C2005" s="54">
        <f>IF(_imp!$C$2007="","",INDEX(_imp!$F$4:$F$4503,_imp!$C$2007))</f>
        <v/>
      </c>
      <c r="D2005" s="54">
        <f>IF(_imp!$C$2007="","",INDEX(_imp!$G$4:$G$4503,_imp!$C$2007))</f>
        <v/>
      </c>
      <c r="E2005" s="54">
        <f>IF(_imp!$C$2007="","",INDEX(_imp!$H$4:$H$4503,_imp!$C$2007))</f>
        <v/>
      </c>
      <c r="F2005" s="54">
        <f>IF(_imp!$C$2007="","",INDEX(_imp!$I$4:$I$4503,_imp!$C$2007))</f>
        <v/>
      </c>
      <c r="G2005" s="54">
        <f>IF(_imp!$C$2007="","",INDEX(_imp!$J$4:$J$4503,_imp!$C$2007))</f>
        <v/>
      </c>
      <c r="K2005" s="54">
        <f>IF(_imp!$C$2007="","",INDEX(_imp!$K$4:$K$4503,_imp!$C$2007))</f>
        <v/>
      </c>
    </row>
    <row r="2006">
      <c r="A2006" s="54">
        <f>IF(_imp!$C$2008="","",INDEX(_imp!$D$4:$D$4503,_imp!$C$2008))</f>
        <v/>
      </c>
      <c r="B2006" s="54">
        <f>IF(_imp!$C$2008="","",INDEX(_imp!$E$4:$E$4503,_imp!$C$2008))</f>
        <v/>
      </c>
      <c r="C2006" s="54">
        <f>IF(_imp!$C$2008="","",INDEX(_imp!$F$4:$F$4503,_imp!$C$2008))</f>
        <v/>
      </c>
      <c r="D2006" s="54">
        <f>IF(_imp!$C$2008="","",INDEX(_imp!$G$4:$G$4503,_imp!$C$2008))</f>
        <v/>
      </c>
      <c r="E2006" s="54">
        <f>IF(_imp!$C$2008="","",INDEX(_imp!$H$4:$H$4503,_imp!$C$2008))</f>
        <v/>
      </c>
      <c r="F2006" s="54">
        <f>IF(_imp!$C$2008="","",INDEX(_imp!$I$4:$I$4503,_imp!$C$2008))</f>
        <v/>
      </c>
      <c r="G2006" s="54">
        <f>IF(_imp!$C$2008="","",INDEX(_imp!$J$4:$J$4503,_imp!$C$2008))</f>
        <v/>
      </c>
      <c r="K2006" s="54">
        <f>IF(_imp!$C$2008="","",INDEX(_imp!$K$4:$K$4503,_imp!$C$2008))</f>
        <v/>
      </c>
    </row>
    <row r="2007">
      <c r="A2007" s="54">
        <f>IF(_imp!$C$2009="","",INDEX(_imp!$D$4:$D$4503,_imp!$C$2009))</f>
        <v/>
      </c>
      <c r="B2007" s="54">
        <f>IF(_imp!$C$2009="","",INDEX(_imp!$E$4:$E$4503,_imp!$C$2009))</f>
        <v/>
      </c>
      <c r="C2007" s="54">
        <f>IF(_imp!$C$2009="","",INDEX(_imp!$F$4:$F$4503,_imp!$C$2009))</f>
        <v/>
      </c>
      <c r="D2007" s="54">
        <f>IF(_imp!$C$2009="","",INDEX(_imp!$G$4:$G$4503,_imp!$C$2009))</f>
        <v/>
      </c>
      <c r="E2007" s="54">
        <f>IF(_imp!$C$2009="","",INDEX(_imp!$H$4:$H$4503,_imp!$C$2009))</f>
        <v/>
      </c>
      <c r="F2007" s="54">
        <f>IF(_imp!$C$2009="","",INDEX(_imp!$I$4:$I$4503,_imp!$C$2009))</f>
        <v/>
      </c>
      <c r="G2007" s="54">
        <f>IF(_imp!$C$2009="","",INDEX(_imp!$J$4:$J$4503,_imp!$C$2009))</f>
        <v/>
      </c>
      <c r="K2007" s="54">
        <f>IF(_imp!$C$2009="","",INDEX(_imp!$K$4:$K$4503,_imp!$C$2009))</f>
        <v/>
      </c>
    </row>
    <row r="2008">
      <c r="A2008" s="54">
        <f>IF(_imp!$C$2010="","",INDEX(_imp!$D$4:$D$4503,_imp!$C$2010))</f>
        <v/>
      </c>
      <c r="B2008" s="54">
        <f>IF(_imp!$C$2010="","",INDEX(_imp!$E$4:$E$4503,_imp!$C$2010))</f>
        <v/>
      </c>
      <c r="C2008" s="54">
        <f>IF(_imp!$C$2010="","",INDEX(_imp!$F$4:$F$4503,_imp!$C$2010))</f>
        <v/>
      </c>
      <c r="D2008" s="54">
        <f>IF(_imp!$C$2010="","",INDEX(_imp!$G$4:$G$4503,_imp!$C$2010))</f>
        <v/>
      </c>
      <c r="E2008" s="54">
        <f>IF(_imp!$C$2010="","",INDEX(_imp!$H$4:$H$4503,_imp!$C$2010))</f>
        <v/>
      </c>
      <c r="F2008" s="54">
        <f>IF(_imp!$C$2010="","",INDEX(_imp!$I$4:$I$4503,_imp!$C$2010))</f>
        <v/>
      </c>
      <c r="G2008" s="54">
        <f>IF(_imp!$C$2010="","",INDEX(_imp!$J$4:$J$4503,_imp!$C$2010))</f>
        <v/>
      </c>
      <c r="K2008" s="54">
        <f>IF(_imp!$C$2010="","",INDEX(_imp!$K$4:$K$4503,_imp!$C$2010))</f>
        <v/>
      </c>
    </row>
    <row r="2009">
      <c r="A2009" s="54">
        <f>IF(_imp!$C$2011="","",INDEX(_imp!$D$4:$D$4503,_imp!$C$2011))</f>
        <v/>
      </c>
      <c r="B2009" s="54">
        <f>IF(_imp!$C$2011="","",INDEX(_imp!$E$4:$E$4503,_imp!$C$2011))</f>
        <v/>
      </c>
      <c r="C2009" s="54">
        <f>IF(_imp!$C$2011="","",INDEX(_imp!$F$4:$F$4503,_imp!$C$2011))</f>
        <v/>
      </c>
      <c r="D2009" s="54">
        <f>IF(_imp!$C$2011="","",INDEX(_imp!$G$4:$G$4503,_imp!$C$2011))</f>
        <v/>
      </c>
      <c r="E2009" s="54">
        <f>IF(_imp!$C$2011="","",INDEX(_imp!$H$4:$H$4503,_imp!$C$2011))</f>
        <v/>
      </c>
      <c r="F2009" s="54">
        <f>IF(_imp!$C$2011="","",INDEX(_imp!$I$4:$I$4503,_imp!$C$2011))</f>
        <v/>
      </c>
      <c r="G2009" s="54">
        <f>IF(_imp!$C$2011="","",INDEX(_imp!$J$4:$J$4503,_imp!$C$2011))</f>
        <v/>
      </c>
      <c r="K2009" s="54">
        <f>IF(_imp!$C$2011="","",INDEX(_imp!$K$4:$K$4503,_imp!$C$2011))</f>
        <v/>
      </c>
    </row>
    <row r="2010">
      <c r="A2010" s="54">
        <f>IF(_imp!$C$2012="","",INDEX(_imp!$D$4:$D$4503,_imp!$C$2012))</f>
        <v/>
      </c>
      <c r="B2010" s="54">
        <f>IF(_imp!$C$2012="","",INDEX(_imp!$E$4:$E$4503,_imp!$C$2012))</f>
        <v/>
      </c>
      <c r="C2010" s="54">
        <f>IF(_imp!$C$2012="","",INDEX(_imp!$F$4:$F$4503,_imp!$C$2012))</f>
        <v/>
      </c>
      <c r="D2010" s="54">
        <f>IF(_imp!$C$2012="","",INDEX(_imp!$G$4:$G$4503,_imp!$C$2012))</f>
        <v/>
      </c>
      <c r="E2010" s="54">
        <f>IF(_imp!$C$2012="","",INDEX(_imp!$H$4:$H$4503,_imp!$C$2012))</f>
        <v/>
      </c>
      <c r="F2010" s="54">
        <f>IF(_imp!$C$2012="","",INDEX(_imp!$I$4:$I$4503,_imp!$C$2012))</f>
        <v/>
      </c>
      <c r="G2010" s="54">
        <f>IF(_imp!$C$2012="","",INDEX(_imp!$J$4:$J$4503,_imp!$C$2012))</f>
        <v/>
      </c>
      <c r="K2010" s="54">
        <f>IF(_imp!$C$2012="","",INDEX(_imp!$K$4:$K$4503,_imp!$C$2012))</f>
        <v/>
      </c>
    </row>
    <row r="2011">
      <c r="A2011" s="54">
        <f>IF(_imp!$C$2013="","",INDEX(_imp!$D$4:$D$4503,_imp!$C$2013))</f>
        <v/>
      </c>
      <c r="B2011" s="54">
        <f>IF(_imp!$C$2013="","",INDEX(_imp!$E$4:$E$4503,_imp!$C$2013))</f>
        <v/>
      </c>
      <c r="C2011" s="54">
        <f>IF(_imp!$C$2013="","",INDEX(_imp!$F$4:$F$4503,_imp!$C$2013))</f>
        <v/>
      </c>
      <c r="D2011" s="54">
        <f>IF(_imp!$C$2013="","",INDEX(_imp!$G$4:$G$4503,_imp!$C$2013))</f>
        <v/>
      </c>
      <c r="E2011" s="54">
        <f>IF(_imp!$C$2013="","",INDEX(_imp!$H$4:$H$4503,_imp!$C$2013))</f>
        <v/>
      </c>
      <c r="F2011" s="54">
        <f>IF(_imp!$C$2013="","",INDEX(_imp!$I$4:$I$4503,_imp!$C$2013))</f>
        <v/>
      </c>
      <c r="G2011" s="54">
        <f>IF(_imp!$C$2013="","",INDEX(_imp!$J$4:$J$4503,_imp!$C$2013))</f>
        <v/>
      </c>
      <c r="K2011" s="54">
        <f>IF(_imp!$C$2013="","",INDEX(_imp!$K$4:$K$4503,_imp!$C$2013))</f>
        <v/>
      </c>
    </row>
    <row r="2012">
      <c r="A2012" s="54">
        <f>IF(_imp!$C$2014="","",INDEX(_imp!$D$4:$D$4503,_imp!$C$2014))</f>
        <v/>
      </c>
      <c r="B2012" s="54">
        <f>IF(_imp!$C$2014="","",INDEX(_imp!$E$4:$E$4503,_imp!$C$2014))</f>
        <v/>
      </c>
      <c r="C2012" s="54">
        <f>IF(_imp!$C$2014="","",INDEX(_imp!$F$4:$F$4503,_imp!$C$2014))</f>
        <v/>
      </c>
      <c r="D2012" s="54">
        <f>IF(_imp!$C$2014="","",INDEX(_imp!$G$4:$G$4503,_imp!$C$2014))</f>
        <v/>
      </c>
      <c r="E2012" s="54">
        <f>IF(_imp!$C$2014="","",INDEX(_imp!$H$4:$H$4503,_imp!$C$2014))</f>
        <v/>
      </c>
      <c r="F2012" s="54">
        <f>IF(_imp!$C$2014="","",INDEX(_imp!$I$4:$I$4503,_imp!$C$2014))</f>
        <v/>
      </c>
      <c r="G2012" s="54">
        <f>IF(_imp!$C$2014="","",INDEX(_imp!$J$4:$J$4503,_imp!$C$2014))</f>
        <v/>
      </c>
      <c r="K2012" s="54">
        <f>IF(_imp!$C$2014="","",INDEX(_imp!$K$4:$K$4503,_imp!$C$2014))</f>
        <v/>
      </c>
    </row>
    <row r="2013">
      <c r="A2013" s="54">
        <f>IF(_imp!$C$2015="","",INDEX(_imp!$D$4:$D$4503,_imp!$C$2015))</f>
        <v/>
      </c>
      <c r="B2013" s="54">
        <f>IF(_imp!$C$2015="","",INDEX(_imp!$E$4:$E$4503,_imp!$C$2015))</f>
        <v/>
      </c>
      <c r="C2013" s="54">
        <f>IF(_imp!$C$2015="","",INDEX(_imp!$F$4:$F$4503,_imp!$C$2015))</f>
        <v/>
      </c>
      <c r="D2013" s="54">
        <f>IF(_imp!$C$2015="","",INDEX(_imp!$G$4:$G$4503,_imp!$C$2015))</f>
        <v/>
      </c>
      <c r="E2013" s="54">
        <f>IF(_imp!$C$2015="","",INDEX(_imp!$H$4:$H$4503,_imp!$C$2015))</f>
        <v/>
      </c>
      <c r="F2013" s="54">
        <f>IF(_imp!$C$2015="","",INDEX(_imp!$I$4:$I$4503,_imp!$C$2015))</f>
        <v/>
      </c>
      <c r="G2013" s="54">
        <f>IF(_imp!$C$2015="","",INDEX(_imp!$J$4:$J$4503,_imp!$C$2015))</f>
        <v/>
      </c>
      <c r="K2013" s="54">
        <f>IF(_imp!$C$2015="","",INDEX(_imp!$K$4:$K$4503,_imp!$C$2015))</f>
        <v/>
      </c>
    </row>
    <row r="2014">
      <c r="A2014" s="54">
        <f>IF(_imp!$C$2016="","",INDEX(_imp!$D$4:$D$4503,_imp!$C$2016))</f>
        <v/>
      </c>
      <c r="B2014" s="54">
        <f>IF(_imp!$C$2016="","",INDEX(_imp!$E$4:$E$4503,_imp!$C$2016))</f>
        <v/>
      </c>
      <c r="C2014" s="54">
        <f>IF(_imp!$C$2016="","",INDEX(_imp!$F$4:$F$4503,_imp!$C$2016))</f>
        <v/>
      </c>
      <c r="D2014" s="54">
        <f>IF(_imp!$C$2016="","",INDEX(_imp!$G$4:$G$4503,_imp!$C$2016))</f>
        <v/>
      </c>
      <c r="E2014" s="54">
        <f>IF(_imp!$C$2016="","",INDEX(_imp!$H$4:$H$4503,_imp!$C$2016))</f>
        <v/>
      </c>
      <c r="F2014" s="54">
        <f>IF(_imp!$C$2016="","",INDEX(_imp!$I$4:$I$4503,_imp!$C$2016))</f>
        <v/>
      </c>
      <c r="G2014" s="54">
        <f>IF(_imp!$C$2016="","",INDEX(_imp!$J$4:$J$4503,_imp!$C$2016))</f>
        <v/>
      </c>
      <c r="K2014" s="54">
        <f>IF(_imp!$C$2016="","",INDEX(_imp!$K$4:$K$4503,_imp!$C$2016))</f>
        <v/>
      </c>
    </row>
    <row r="2015">
      <c r="A2015" s="54">
        <f>IF(_imp!$C$2017="","",INDEX(_imp!$D$4:$D$4503,_imp!$C$2017))</f>
        <v/>
      </c>
      <c r="B2015" s="54">
        <f>IF(_imp!$C$2017="","",INDEX(_imp!$E$4:$E$4503,_imp!$C$2017))</f>
        <v/>
      </c>
      <c r="C2015" s="54">
        <f>IF(_imp!$C$2017="","",INDEX(_imp!$F$4:$F$4503,_imp!$C$2017))</f>
        <v/>
      </c>
      <c r="D2015" s="54">
        <f>IF(_imp!$C$2017="","",INDEX(_imp!$G$4:$G$4503,_imp!$C$2017))</f>
        <v/>
      </c>
      <c r="E2015" s="54">
        <f>IF(_imp!$C$2017="","",INDEX(_imp!$H$4:$H$4503,_imp!$C$2017))</f>
        <v/>
      </c>
      <c r="F2015" s="54">
        <f>IF(_imp!$C$2017="","",INDEX(_imp!$I$4:$I$4503,_imp!$C$2017))</f>
        <v/>
      </c>
      <c r="G2015" s="54">
        <f>IF(_imp!$C$2017="","",INDEX(_imp!$J$4:$J$4503,_imp!$C$2017))</f>
        <v/>
      </c>
      <c r="K2015" s="54">
        <f>IF(_imp!$C$2017="","",INDEX(_imp!$K$4:$K$4503,_imp!$C$2017))</f>
        <v/>
      </c>
    </row>
    <row r="2016">
      <c r="A2016" s="54">
        <f>IF(_imp!$C$2018="","",INDEX(_imp!$D$4:$D$4503,_imp!$C$2018))</f>
        <v/>
      </c>
      <c r="B2016" s="54">
        <f>IF(_imp!$C$2018="","",INDEX(_imp!$E$4:$E$4503,_imp!$C$2018))</f>
        <v/>
      </c>
      <c r="C2016" s="54">
        <f>IF(_imp!$C$2018="","",INDEX(_imp!$F$4:$F$4503,_imp!$C$2018))</f>
        <v/>
      </c>
      <c r="D2016" s="54">
        <f>IF(_imp!$C$2018="","",INDEX(_imp!$G$4:$G$4503,_imp!$C$2018))</f>
        <v/>
      </c>
      <c r="E2016" s="54">
        <f>IF(_imp!$C$2018="","",INDEX(_imp!$H$4:$H$4503,_imp!$C$2018))</f>
        <v/>
      </c>
      <c r="F2016" s="54">
        <f>IF(_imp!$C$2018="","",INDEX(_imp!$I$4:$I$4503,_imp!$C$2018))</f>
        <v/>
      </c>
      <c r="G2016" s="54">
        <f>IF(_imp!$C$2018="","",INDEX(_imp!$J$4:$J$4503,_imp!$C$2018))</f>
        <v/>
      </c>
      <c r="K2016" s="54">
        <f>IF(_imp!$C$2018="","",INDEX(_imp!$K$4:$K$4503,_imp!$C$2018))</f>
        <v/>
      </c>
    </row>
    <row r="2017">
      <c r="A2017" s="54">
        <f>IF(_imp!$C$2019="","",INDEX(_imp!$D$4:$D$4503,_imp!$C$2019))</f>
        <v/>
      </c>
      <c r="B2017" s="54">
        <f>IF(_imp!$C$2019="","",INDEX(_imp!$E$4:$E$4503,_imp!$C$2019))</f>
        <v/>
      </c>
      <c r="C2017" s="54">
        <f>IF(_imp!$C$2019="","",INDEX(_imp!$F$4:$F$4503,_imp!$C$2019))</f>
        <v/>
      </c>
      <c r="D2017" s="54">
        <f>IF(_imp!$C$2019="","",INDEX(_imp!$G$4:$G$4503,_imp!$C$2019))</f>
        <v/>
      </c>
      <c r="E2017" s="54">
        <f>IF(_imp!$C$2019="","",INDEX(_imp!$H$4:$H$4503,_imp!$C$2019))</f>
        <v/>
      </c>
      <c r="F2017" s="54">
        <f>IF(_imp!$C$2019="","",INDEX(_imp!$I$4:$I$4503,_imp!$C$2019))</f>
        <v/>
      </c>
      <c r="G2017" s="54">
        <f>IF(_imp!$C$2019="","",INDEX(_imp!$J$4:$J$4503,_imp!$C$2019))</f>
        <v/>
      </c>
      <c r="K2017" s="54">
        <f>IF(_imp!$C$2019="","",INDEX(_imp!$K$4:$K$4503,_imp!$C$2019))</f>
        <v/>
      </c>
    </row>
    <row r="2018">
      <c r="A2018" s="54">
        <f>IF(_imp!$C$2020="","",INDEX(_imp!$D$4:$D$4503,_imp!$C$2020))</f>
        <v/>
      </c>
      <c r="B2018" s="54">
        <f>IF(_imp!$C$2020="","",INDEX(_imp!$E$4:$E$4503,_imp!$C$2020))</f>
        <v/>
      </c>
      <c r="C2018" s="54">
        <f>IF(_imp!$C$2020="","",INDEX(_imp!$F$4:$F$4503,_imp!$C$2020))</f>
        <v/>
      </c>
      <c r="D2018" s="54">
        <f>IF(_imp!$C$2020="","",INDEX(_imp!$G$4:$G$4503,_imp!$C$2020))</f>
        <v/>
      </c>
      <c r="E2018" s="54">
        <f>IF(_imp!$C$2020="","",INDEX(_imp!$H$4:$H$4503,_imp!$C$2020))</f>
        <v/>
      </c>
      <c r="F2018" s="54">
        <f>IF(_imp!$C$2020="","",INDEX(_imp!$I$4:$I$4503,_imp!$C$2020))</f>
        <v/>
      </c>
      <c r="G2018" s="54">
        <f>IF(_imp!$C$2020="","",INDEX(_imp!$J$4:$J$4503,_imp!$C$2020))</f>
        <v/>
      </c>
      <c r="K2018" s="54">
        <f>IF(_imp!$C$2020="","",INDEX(_imp!$K$4:$K$4503,_imp!$C$2020))</f>
        <v/>
      </c>
    </row>
    <row r="2019">
      <c r="A2019" s="54">
        <f>IF(_imp!$C$2021="","",INDEX(_imp!$D$4:$D$4503,_imp!$C$2021))</f>
        <v/>
      </c>
      <c r="B2019" s="54">
        <f>IF(_imp!$C$2021="","",INDEX(_imp!$E$4:$E$4503,_imp!$C$2021))</f>
        <v/>
      </c>
      <c r="C2019" s="54">
        <f>IF(_imp!$C$2021="","",INDEX(_imp!$F$4:$F$4503,_imp!$C$2021))</f>
        <v/>
      </c>
      <c r="D2019" s="54">
        <f>IF(_imp!$C$2021="","",INDEX(_imp!$G$4:$G$4503,_imp!$C$2021))</f>
        <v/>
      </c>
      <c r="E2019" s="54">
        <f>IF(_imp!$C$2021="","",INDEX(_imp!$H$4:$H$4503,_imp!$C$2021))</f>
        <v/>
      </c>
      <c r="F2019" s="54">
        <f>IF(_imp!$C$2021="","",INDEX(_imp!$I$4:$I$4503,_imp!$C$2021))</f>
        <v/>
      </c>
      <c r="G2019" s="54">
        <f>IF(_imp!$C$2021="","",INDEX(_imp!$J$4:$J$4503,_imp!$C$2021))</f>
        <v/>
      </c>
      <c r="K2019" s="54">
        <f>IF(_imp!$C$2021="","",INDEX(_imp!$K$4:$K$4503,_imp!$C$2021))</f>
        <v/>
      </c>
    </row>
    <row r="2020">
      <c r="A2020" s="54">
        <f>IF(_imp!$C$2022="","",INDEX(_imp!$D$4:$D$4503,_imp!$C$2022))</f>
        <v/>
      </c>
      <c r="B2020" s="54">
        <f>IF(_imp!$C$2022="","",INDEX(_imp!$E$4:$E$4503,_imp!$C$2022))</f>
        <v/>
      </c>
      <c r="C2020" s="54">
        <f>IF(_imp!$C$2022="","",INDEX(_imp!$F$4:$F$4503,_imp!$C$2022))</f>
        <v/>
      </c>
      <c r="D2020" s="54">
        <f>IF(_imp!$C$2022="","",INDEX(_imp!$G$4:$G$4503,_imp!$C$2022))</f>
        <v/>
      </c>
      <c r="E2020" s="54">
        <f>IF(_imp!$C$2022="","",INDEX(_imp!$H$4:$H$4503,_imp!$C$2022))</f>
        <v/>
      </c>
      <c r="F2020" s="54">
        <f>IF(_imp!$C$2022="","",INDEX(_imp!$I$4:$I$4503,_imp!$C$2022))</f>
        <v/>
      </c>
      <c r="G2020" s="54">
        <f>IF(_imp!$C$2022="","",INDEX(_imp!$J$4:$J$4503,_imp!$C$2022))</f>
        <v/>
      </c>
      <c r="K2020" s="54">
        <f>IF(_imp!$C$2022="","",INDEX(_imp!$K$4:$K$4503,_imp!$C$2022))</f>
        <v/>
      </c>
    </row>
    <row r="2021">
      <c r="A2021" s="54">
        <f>IF(_imp!$C$2023="","",INDEX(_imp!$D$4:$D$4503,_imp!$C$2023))</f>
        <v/>
      </c>
      <c r="B2021" s="54">
        <f>IF(_imp!$C$2023="","",INDEX(_imp!$E$4:$E$4503,_imp!$C$2023))</f>
        <v/>
      </c>
      <c r="C2021" s="54">
        <f>IF(_imp!$C$2023="","",INDEX(_imp!$F$4:$F$4503,_imp!$C$2023))</f>
        <v/>
      </c>
      <c r="D2021" s="54">
        <f>IF(_imp!$C$2023="","",INDEX(_imp!$G$4:$G$4503,_imp!$C$2023))</f>
        <v/>
      </c>
      <c r="E2021" s="54">
        <f>IF(_imp!$C$2023="","",INDEX(_imp!$H$4:$H$4503,_imp!$C$2023))</f>
        <v/>
      </c>
      <c r="F2021" s="54">
        <f>IF(_imp!$C$2023="","",INDEX(_imp!$I$4:$I$4503,_imp!$C$2023))</f>
        <v/>
      </c>
      <c r="G2021" s="54">
        <f>IF(_imp!$C$2023="","",INDEX(_imp!$J$4:$J$4503,_imp!$C$2023))</f>
        <v/>
      </c>
      <c r="K2021" s="54">
        <f>IF(_imp!$C$2023="","",INDEX(_imp!$K$4:$K$4503,_imp!$C$2023))</f>
        <v/>
      </c>
    </row>
    <row r="2022">
      <c r="A2022" s="54">
        <f>IF(_imp!$C$2024="","",INDEX(_imp!$D$4:$D$4503,_imp!$C$2024))</f>
        <v/>
      </c>
      <c r="B2022" s="54">
        <f>IF(_imp!$C$2024="","",INDEX(_imp!$E$4:$E$4503,_imp!$C$2024))</f>
        <v/>
      </c>
      <c r="C2022" s="54">
        <f>IF(_imp!$C$2024="","",INDEX(_imp!$F$4:$F$4503,_imp!$C$2024))</f>
        <v/>
      </c>
      <c r="D2022" s="54">
        <f>IF(_imp!$C$2024="","",INDEX(_imp!$G$4:$G$4503,_imp!$C$2024))</f>
        <v/>
      </c>
      <c r="E2022" s="54">
        <f>IF(_imp!$C$2024="","",INDEX(_imp!$H$4:$H$4503,_imp!$C$2024))</f>
        <v/>
      </c>
      <c r="F2022" s="54">
        <f>IF(_imp!$C$2024="","",INDEX(_imp!$I$4:$I$4503,_imp!$C$2024))</f>
        <v/>
      </c>
      <c r="G2022" s="54">
        <f>IF(_imp!$C$2024="","",INDEX(_imp!$J$4:$J$4503,_imp!$C$2024))</f>
        <v/>
      </c>
      <c r="K2022" s="54">
        <f>IF(_imp!$C$2024="","",INDEX(_imp!$K$4:$K$4503,_imp!$C$2024))</f>
        <v/>
      </c>
    </row>
    <row r="2023">
      <c r="A2023" s="54">
        <f>IF(_imp!$C$2025="","",INDEX(_imp!$D$4:$D$4503,_imp!$C$2025))</f>
        <v/>
      </c>
      <c r="B2023" s="54">
        <f>IF(_imp!$C$2025="","",INDEX(_imp!$E$4:$E$4503,_imp!$C$2025))</f>
        <v/>
      </c>
      <c r="C2023" s="54">
        <f>IF(_imp!$C$2025="","",INDEX(_imp!$F$4:$F$4503,_imp!$C$2025))</f>
        <v/>
      </c>
      <c r="D2023" s="54">
        <f>IF(_imp!$C$2025="","",INDEX(_imp!$G$4:$G$4503,_imp!$C$2025))</f>
        <v/>
      </c>
      <c r="E2023" s="54">
        <f>IF(_imp!$C$2025="","",INDEX(_imp!$H$4:$H$4503,_imp!$C$2025))</f>
        <v/>
      </c>
      <c r="F2023" s="54">
        <f>IF(_imp!$C$2025="","",INDEX(_imp!$I$4:$I$4503,_imp!$C$2025))</f>
        <v/>
      </c>
      <c r="G2023" s="54">
        <f>IF(_imp!$C$2025="","",INDEX(_imp!$J$4:$J$4503,_imp!$C$2025))</f>
        <v/>
      </c>
      <c r="K2023" s="54">
        <f>IF(_imp!$C$2025="","",INDEX(_imp!$K$4:$K$4503,_imp!$C$2025))</f>
        <v/>
      </c>
    </row>
    <row r="2024">
      <c r="A2024" s="54">
        <f>IF(_imp!$C$2026="","",INDEX(_imp!$D$4:$D$4503,_imp!$C$2026))</f>
        <v/>
      </c>
      <c r="B2024" s="54">
        <f>IF(_imp!$C$2026="","",INDEX(_imp!$E$4:$E$4503,_imp!$C$2026))</f>
        <v/>
      </c>
      <c r="C2024" s="54">
        <f>IF(_imp!$C$2026="","",INDEX(_imp!$F$4:$F$4503,_imp!$C$2026))</f>
        <v/>
      </c>
      <c r="D2024" s="54">
        <f>IF(_imp!$C$2026="","",INDEX(_imp!$G$4:$G$4503,_imp!$C$2026))</f>
        <v/>
      </c>
      <c r="E2024" s="54">
        <f>IF(_imp!$C$2026="","",INDEX(_imp!$H$4:$H$4503,_imp!$C$2026))</f>
        <v/>
      </c>
      <c r="F2024" s="54">
        <f>IF(_imp!$C$2026="","",INDEX(_imp!$I$4:$I$4503,_imp!$C$2026))</f>
        <v/>
      </c>
      <c r="G2024" s="54">
        <f>IF(_imp!$C$2026="","",INDEX(_imp!$J$4:$J$4503,_imp!$C$2026))</f>
        <v/>
      </c>
      <c r="K2024" s="54">
        <f>IF(_imp!$C$2026="","",INDEX(_imp!$K$4:$K$4503,_imp!$C$2026))</f>
        <v/>
      </c>
    </row>
    <row r="2025">
      <c r="A2025" s="54">
        <f>IF(_imp!$C$2027="","",INDEX(_imp!$D$4:$D$4503,_imp!$C$2027))</f>
        <v/>
      </c>
      <c r="B2025" s="54">
        <f>IF(_imp!$C$2027="","",INDEX(_imp!$E$4:$E$4503,_imp!$C$2027))</f>
        <v/>
      </c>
      <c r="C2025" s="54">
        <f>IF(_imp!$C$2027="","",INDEX(_imp!$F$4:$F$4503,_imp!$C$2027))</f>
        <v/>
      </c>
      <c r="D2025" s="54">
        <f>IF(_imp!$C$2027="","",INDEX(_imp!$G$4:$G$4503,_imp!$C$2027))</f>
        <v/>
      </c>
      <c r="E2025" s="54">
        <f>IF(_imp!$C$2027="","",INDEX(_imp!$H$4:$H$4503,_imp!$C$2027))</f>
        <v/>
      </c>
      <c r="F2025" s="54">
        <f>IF(_imp!$C$2027="","",INDEX(_imp!$I$4:$I$4503,_imp!$C$2027))</f>
        <v/>
      </c>
      <c r="G2025" s="54">
        <f>IF(_imp!$C$2027="","",INDEX(_imp!$J$4:$J$4503,_imp!$C$2027))</f>
        <v/>
      </c>
      <c r="K2025" s="54">
        <f>IF(_imp!$C$2027="","",INDEX(_imp!$K$4:$K$4503,_imp!$C$2027))</f>
        <v/>
      </c>
    </row>
    <row r="2026">
      <c r="A2026" s="54">
        <f>IF(_imp!$C$2028="","",INDEX(_imp!$D$4:$D$4503,_imp!$C$2028))</f>
        <v/>
      </c>
      <c r="B2026" s="54">
        <f>IF(_imp!$C$2028="","",INDEX(_imp!$E$4:$E$4503,_imp!$C$2028))</f>
        <v/>
      </c>
      <c r="C2026" s="54">
        <f>IF(_imp!$C$2028="","",INDEX(_imp!$F$4:$F$4503,_imp!$C$2028))</f>
        <v/>
      </c>
      <c r="D2026" s="54">
        <f>IF(_imp!$C$2028="","",INDEX(_imp!$G$4:$G$4503,_imp!$C$2028))</f>
        <v/>
      </c>
      <c r="E2026" s="54">
        <f>IF(_imp!$C$2028="","",INDEX(_imp!$H$4:$H$4503,_imp!$C$2028))</f>
        <v/>
      </c>
      <c r="F2026" s="54">
        <f>IF(_imp!$C$2028="","",INDEX(_imp!$I$4:$I$4503,_imp!$C$2028))</f>
        <v/>
      </c>
      <c r="G2026" s="54">
        <f>IF(_imp!$C$2028="","",INDEX(_imp!$J$4:$J$4503,_imp!$C$2028))</f>
        <v/>
      </c>
      <c r="K2026" s="54">
        <f>IF(_imp!$C$2028="","",INDEX(_imp!$K$4:$K$4503,_imp!$C$2028))</f>
        <v/>
      </c>
    </row>
    <row r="2027">
      <c r="A2027" s="54">
        <f>IF(_imp!$C$2029="","",INDEX(_imp!$D$4:$D$4503,_imp!$C$2029))</f>
        <v/>
      </c>
      <c r="B2027" s="54">
        <f>IF(_imp!$C$2029="","",INDEX(_imp!$E$4:$E$4503,_imp!$C$2029))</f>
        <v/>
      </c>
      <c r="C2027" s="54">
        <f>IF(_imp!$C$2029="","",INDEX(_imp!$F$4:$F$4503,_imp!$C$2029))</f>
        <v/>
      </c>
      <c r="D2027" s="54">
        <f>IF(_imp!$C$2029="","",INDEX(_imp!$G$4:$G$4503,_imp!$C$2029))</f>
        <v/>
      </c>
      <c r="E2027" s="54">
        <f>IF(_imp!$C$2029="","",INDEX(_imp!$H$4:$H$4503,_imp!$C$2029))</f>
        <v/>
      </c>
      <c r="F2027" s="54">
        <f>IF(_imp!$C$2029="","",INDEX(_imp!$I$4:$I$4503,_imp!$C$2029))</f>
        <v/>
      </c>
      <c r="G2027" s="54">
        <f>IF(_imp!$C$2029="","",INDEX(_imp!$J$4:$J$4503,_imp!$C$2029))</f>
        <v/>
      </c>
      <c r="K2027" s="54">
        <f>IF(_imp!$C$2029="","",INDEX(_imp!$K$4:$K$4503,_imp!$C$2029))</f>
        <v/>
      </c>
    </row>
    <row r="2028">
      <c r="A2028" s="54">
        <f>IF(_imp!$C$2030="","",INDEX(_imp!$D$4:$D$4503,_imp!$C$2030))</f>
        <v/>
      </c>
      <c r="B2028" s="54">
        <f>IF(_imp!$C$2030="","",INDEX(_imp!$E$4:$E$4503,_imp!$C$2030))</f>
        <v/>
      </c>
      <c r="C2028" s="54">
        <f>IF(_imp!$C$2030="","",INDEX(_imp!$F$4:$F$4503,_imp!$C$2030))</f>
        <v/>
      </c>
      <c r="D2028" s="54">
        <f>IF(_imp!$C$2030="","",INDEX(_imp!$G$4:$G$4503,_imp!$C$2030))</f>
        <v/>
      </c>
      <c r="E2028" s="54">
        <f>IF(_imp!$C$2030="","",INDEX(_imp!$H$4:$H$4503,_imp!$C$2030))</f>
        <v/>
      </c>
      <c r="F2028" s="54">
        <f>IF(_imp!$C$2030="","",INDEX(_imp!$I$4:$I$4503,_imp!$C$2030))</f>
        <v/>
      </c>
      <c r="G2028" s="54">
        <f>IF(_imp!$C$2030="","",INDEX(_imp!$J$4:$J$4503,_imp!$C$2030))</f>
        <v/>
      </c>
      <c r="K2028" s="54">
        <f>IF(_imp!$C$2030="","",INDEX(_imp!$K$4:$K$4503,_imp!$C$2030))</f>
        <v/>
      </c>
    </row>
    <row r="2029">
      <c r="A2029" s="54">
        <f>IF(_imp!$C$2031="","",INDEX(_imp!$D$4:$D$4503,_imp!$C$2031))</f>
        <v/>
      </c>
      <c r="B2029" s="54">
        <f>IF(_imp!$C$2031="","",INDEX(_imp!$E$4:$E$4503,_imp!$C$2031))</f>
        <v/>
      </c>
      <c r="C2029" s="54">
        <f>IF(_imp!$C$2031="","",INDEX(_imp!$F$4:$F$4503,_imp!$C$2031))</f>
        <v/>
      </c>
      <c r="D2029" s="54">
        <f>IF(_imp!$C$2031="","",INDEX(_imp!$G$4:$G$4503,_imp!$C$2031))</f>
        <v/>
      </c>
      <c r="E2029" s="54">
        <f>IF(_imp!$C$2031="","",INDEX(_imp!$H$4:$H$4503,_imp!$C$2031))</f>
        <v/>
      </c>
      <c r="F2029" s="54">
        <f>IF(_imp!$C$2031="","",INDEX(_imp!$I$4:$I$4503,_imp!$C$2031))</f>
        <v/>
      </c>
      <c r="G2029" s="54">
        <f>IF(_imp!$C$2031="","",INDEX(_imp!$J$4:$J$4503,_imp!$C$2031))</f>
        <v/>
      </c>
      <c r="K2029" s="54">
        <f>IF(_imp!$C$2031="","",INDEX(_imp!$K$4:$K$4503,_imp!$C$2031))</f>
        <v/>
      </c>
    </row>
    <row r="2030">
      <c r="A2030" s="54">
        <f>IF(_imp!$C$2032="","",INDEX(_imp!$D$4:$D$4503,_imp!$C$2032))</f>
        <v/>
      </c>
      <c r="B2030" s="54">
        <f>IF(_imp!$C$2032="","",INDEX(_imp!$E$4:$E$4503,_imp!$C$2032))</f>
        <v/>
      </c>
      <c r="C2030" s="54">
        <f>IF(_imp!$C$2032="","",INDEX(_imp!$F$4:$F$4503,_imp!$C$2032))</f>
        <v/>
      </c>
      <c r="D2030" s="54">
        <f>IF(_imp!$C$2032="","",INDEX(_imp!$G$4:$G$4503,_imp!$C$2032))</f>
        <v/>
      </c>
      <c r="E2030" s="54">
        <f>IF(_imp!$C$2032="","",INDEX(_imp!$H$4:$H$4503,_imp!$C$2032))</f>
        <v/>
      </c>
      <c r="F2030" s="54">
        <f>IF(_imp!$C$2032="","",INDEX(_imp!$I$4:$I$4503,_imp!$C$2032))</f>
        <v/>
      </c>
      <c r="G2030" s="54">
        <f>IF(_imp!$C$2032="","",INDEX(_imp!$J$4:$J$4503,_imp!$C$2032))</f>
        <v/>
      </c>
      <c r="K2030" s="54">
        <f>IF(_imp!$C$2032="","",INDEX(_imp!$K$4:$K$4503,_imp!$C$2032))</f>
        <v/>
      </c>
    </row>
    <row r="2031">
      <c r="A2031" s="54">
        <f>IF(_imp!$C$2033="","",INDEX(_imp!$D$4:$D$4503,_imp!$C$2033))</f>
        <v/>
      </c>
      <c r="B2031" s="54">
        <f>IF(_imp!$C$2033="","",INDEX(_imp!$E$4:$E$4503,_imp!$C$2033))</f>
        <v/>
      </c>
      <c r="C2031" s="54">
        <f>IF(_imp!$C$2033="","",INDEX(_imp!$F$4:$F$4503,_imp!$C$2033))</f>
        <v/>
      </c>
      <c r="D2031" s="54">
        <f>IF(_imp!$C$2033="","",INDEX(_imp!$G$4:$G$4503,_imp!$C$2033))</f>
        <v/>
      </c>
      <c r="E2031" s="54">
        <f>IF(_imp!$C$2033="","",INDEX(_imp!$H$4:$H$4503,_imp!$C$2033))</f>
        <v/>
      </c>
      <c r="F2031" s="54">
        <f>IF(_imp!$C$2033="","",INDEX(_imp!$I$4:$I$4503,_imp!$C$2033))</f>
        <v/>
      </c>
      <c r="G2031" s="54">
        <f>IF(_imp!$C$2033="","",INDEX(_imp!$J$4:$J$4503,_imp!$C$2033))</f>
        <v/>
      </c>
      <c r="K2031" s="54">
        <f>IF(_imp!$C$2033="","",INDEX(_imp!$K$4:$K$4503,_imp!$C$2033))</f>
        <v/>
      </c>
    </row>
    <row r="2032">
      <c r="A2032" s="54">
        <f>IF(_imp!$C$2034="","",INDEX(_imp!$D$4:$D$4503,_imp!$C$2034))</f>
        <v/>
      </c>
      <c r="B2032" s="54">
        <f>IF(_imp!$C$2034="","",INDEX(_imp!$E$4:$E$4503,_imp!$C$2034))</f>
        <v/>
      </c>
      <c r="C2032" s="54">
        <f>IF(_imp!$C$2034="","",INDEX(_imp!$F$4:$F$4503,_imp!$C$2034))</f>
        <v/>
      </c>
      <c r="D2032" s="54">
        <f>IF(_imp!$C$2034="","",INDEX(_imp!$G$4:$G$4503,_imp!$C$2034))</f>
        <v/>
      </c>
      <c r="E2032" s="54">
        <f>IF(_imp!$C$2034="","",INDEX(_imp!$H$4:$H$4503,_imp!$C$2034))</f>
        <v/>
      </c>
      <c r="F2032" s="54">
        <f>IF(_imp!$C$2034="","",INDEX(_imp!$I$4:$I$4503,_imp!$C$2034))</f>
        <v/>
      </c>
      <c r="G2032" s="54">
        <f>IF(_imp!$C$2034="","",INDEX(_imp!$J$4:$J$4503,_imp!$C$2034))</f>
        <v/>
      </c>
      <c r="K2032" s="54">
        <f>IF(_imp!$C$2034="","",INDEX(_imp!$K$4:$K$4503,_imp!$C$2034))</f>
        <v/>
      </c>
    </row>
    <row r="2033">
      <c r="A2033" s="54">
        <f>IF(_imp!$C$2035="","",INDEX(_imp!$D$4:$D$4503,_imp!$C$2035))</f>
        <v/>
      </c>
      <c r="B2033" s="54">
        <f>IF(_imp!$C$2035="","",INDEX(_imp!$E$4:$E$4503,_imp!$C$2035))</f>
        <v/>
      </c>
      <c r="C2033" s="54">
        <f>IF(_imp!$C$2035="","",INDEX(_imp!$F$4:$F$4503,_imp!$C$2035))</f>
        <v/>
      </c>
      <c r="D2033" s="54">
        <f>IF(_imp!$C$2035="","",INDEX(_imp!$G$4:$G$4503,_imp!$C$2035))</f>
        <v/>
      </c>
      <c r="E2033" s="54">
        <f>IF(_imp!$C$2035="","",INDEX(_imp!$H$4:$H$4503,_imp!$C$2035))</f>
        <v/>
      </c>
      <c r="F2033" s="54">
        <f>IF(_imp!$C$2035="","",INDEX(_imp!$I$4:$I$4503,_imp!$C$2035))</f>
        <v/>
      </c>
      <c r="G2033" s="54">
        <f>IF(_imp!$C$2035="","",INDEX(_imp!$J$4:$J$4503,_imp!$C$2035))</f>
        <v/>
      </c>
      <c r="K2033" s="54">
        <f>IF(_imp!$C$2035="","",INDEX(_imp!$K$4:$K$4503,_imp!$C$2035))</f>
        <v/>
      </c>
    </row>
    <row r="2034">
      <c r="A2034" s="54">
        <f>IF(_imp!$C$2036="","",INDEX(_imp!$D$4:$D$4503,_imp!$C$2036))</f>
        <v/>
      </c>
      <c r="B2034" s="54">
        <f>IF(_imp!$C$2036="","",INDEX(_imp!$E$4:$E$4503,_imp!$C$2036))</f>
        <v/>
      </c>
      <c r="C2034" s="54">
        <f>IF(_imp!$C$2036="","",INDEX(_imp!$F$4:$F$4503,_imp!$C$2036))</f>
        <v/>
      </c>
      <c r="D2034" s="54">
        <f>IF(_imp!$C$2036="","",INDEX(_imp!$G$4:$G$4503,_imp!$C$2036))</f>
        <v/>
      </c>
      <c r="E2034" s="54">
        <f>IF(_imp!$C$2036="","",INDEX(_imp!$H$4:$H$4503,_imp!$C$2036))</f>
        <v/>
      </c>
      <c r="F2034" s="54">
        <f>IF(_imp!$C$2036="","",INDEX(_imp!$I$4:$I$4503,_imp!$C$2036))</f>
        <v/>
      </c>
      <c r="G2034" s="54">
        <f>IF(_imp!$C$2036="","",INDEX(_imp!$J$4:$J$4503,_imp!$C$2036))</f>
        <v/>
      </c>
      <c r="K2034" s="54">
        <f>IF(_imp!$C$2036="","",INDEX(_imp!$K$4:$K$4503,_imp!$C$2036))</f>
        <v/>
      </c>
    </row>
    <row r="2035">
      <c r="A2035" s="54">
        <f>IF(_imp!$C$2037="","",INDEX(_imp!$D$4:$D$4503,_imp!$C$2037))</f>
        <v/>
      </c>
      <c r="B2035" s="54">
        <f>IF(_imp!$C$2037="","",INDEX(_imp!$E$4:$E$4503,_imp!$C$2037))</f>
        <v/>
      </c>
      <c r="C2035" s="54">
        <f>IF(_imp!$C$2037="","",INDEX(_imp!$F$4:$F$4503,_imp!$C$2037))</f>
        <v/>
      </c>
      <c r="D2035" s="54">
        <f>IF(_imp!$C$2037="","",INDEX(_imp!$G$4:$G$4503,_imp!$C$2037))</f>
        <v/>
      </c>
      <c r="E2035" s="54">
        <f>IF(_imp!$C$2037="","",INDEX(_imp!$H$4:$H$4503,_imp!$C$2037))</f>
        <v/>
      </c>
      <c r="F2035" s="54">
        <f>IF(_imp!$C$2037="","",INDEX(_imp!$I$4:$I$4503,_imp!$C$2037))</f>
        <v/>
      </c>
      <c r="G2035" s="54">
        <f>IF(_imp!$C$2037="","",INDEX(_imp!$J$4:$J$4503,_imp!$C$2037))</f>
        <v/>
      </c>
      <c r="K2035" s="54">
        <f>IF(_imp!$C$2037="","",INDEX(_imp!$K$4:$K$4503,_imp!$C$2037))</f>
        <v/>
      </c>
    </row>
    <row r="2036">
      <c r="A2036" s="54">
        <f>IF(_imp!$C$2038="","",INDEX(_imp!$D$4:$D$4503,_imp!$C$2038))</f>
        <v/>
      </c>
      <c r="B2036" s="54">
        <f>IF(_imp!$C$2038="","",INDEX(_imp!$E$4:$E$4503,_imp!$C$2038))</f>
        <v/>
      </c>
      <c r="C2036" s="54">
        <f>IF(_imp!$C$2038="","",INDEX(_imp!$F$4:$F$4503,_imp!$C$2038))</f>
        <v/>
      </c>
      <c r="D2036" s="54">
        <f>IF(_imp!$C$2038="","",INDEX(_imp!$G$4:$G$4503,_imp!$C$2038))</f>
        <v/>
      </c>
      <c r="E2036" s="54">
        <f>IF(_imp!$C$2038="","",INDEX(_imp!$H$4:$H$4503,_imp!$C$2038))</f>
        <v/>
      </c>
      <c r="F2036" s="54">
        <f>IF(_imp!$C$2038="","",INDEX(_imp!$I$4:$I$4503,_imp!$C$2038))</f>
        <v/>
      </c>
      <c r="G2036" s="54">
        <f>IF(_imp!$C$2038="","",INDEX(_imp!$J$4:$J$4503,_imp!$C$2038))</f>
        <v/>
      </c>
      <c r="K2036" s="54">
        <f>IF(_imp!$C$2038="","",INDEX(_imp!$K$4:$K$4503,_imp!$C$2038))</f>
        <v/>
      </c>
    </row>
    <row r="2037">
      <c r="A2037" s="54">
        <f>IF(_imp!$C$2039="","",INDEX(_imp!$D$4:$D$4503,_imp!$C$2039))</f>
        <v/>
      </c>
      <c r="B2037" s="54">
        <f>IF(_imp!$C$2039="","",INDEX(_imp!$E$4:$E$4503,_imp!$C$2039))</f>
        <v/>
      </c>
      <c r="C2037" s="54">
        <f>IF(_imp!$C$2039="","",INDEX(_imp!$F$4:$F$4503,_imp!$C$2039))</f>
        <v/>
      </c>
      <c r="D2037" s="54">
        <f>IF(_imp!$C$2039="","",INDEX(_imp!$G$4:$G$4503,_imp!$C$2039))</f>
        <v/>
      </c>
      <c r="E2037" s="54">
        <f>IF(_imp!$C$2039="","",INDEX(_imp!$H$4:$H$4503,_imp!$C$2039))</f>
        <v/>
      </c>
      <c r="F2037" s="54">
        <f>IF(_imp!$C$2039="","",INDEX(_imp!$I$4:$I$4503,_imp!$C$2039))</f>
        <v/>
      </c>
      <c r="G2037" s="54">
        <f>IF(_imp!$C$2039="","",INDEX(_imp!$J$4:$J$4503,_imp!$C$2039))</f>
        <v/>
      </c>
      <c r="K2037" s="54">
        <f>IF(_imp!$C$2039="","",INDEX(_imp!$K$4:$K$4503,_imp!$C$2039))</f>
        <v/>
      </c>
    </row>
    <row r="2038">
      <c r="A2038" s="54">
        <f>IF(_imp!$C$2040="","",INDEX(_imp!$D$4:$D$4503,_imp!$C$2040))</f>
        <v/>
      </c>
      <c r="B2038" s="54">
        <f>IF(_imp!$C$2040="","",INDEX(_imp!$E$4:$E$4503,_imp!$C$2040))</f>
        <v/>
      </c>
      <c r="C2038" s="54">
        <f>IF(_imp!$C$2040="","",INDEX(_imp!$F$4:$F$4503,_imp!$C$2040))</f>
        <v/>
      </c>
      <c r="D2038" s="54">
        <f>IF(_imp!$C$2040="","",INDEX(_imp!$G$4:$G$4503,_imp!$C$2040))</f>
        <v/>
      </c>
      <c r="E2038" s="54">
        <f>IF(_imp!$C$2040="","",INDEX(_imp!$H$4:$H$4503,_imp!$C$2040))</f>
        <v/>
      </c>
      <c r="F2038" s="54">
        <f>IF(_imp!$C$2040="","",INDEX(_imp!$I$4:$I$4503,_imp!$C$2040))</f>
        <v/>
      </c>
      <c r="G2038" s="54">
        <f>IF(_imp!$C$2040="","",INDEX(_imp!$J$4:$J$4503,_imp!$C$2040))</f>
        <v/>
      </c>
      <c r="K2038" s="54">
        <f>IF(_imp!$C$2040="","",INDEX(_imp!$K$4:$K$4503,_imp!$C$2040))</f>
        <v/>
      </c>
    </row>
    <row r="2039">
      <c r="A2039" s="54">
        <f>IF(_imp!$C$2041="","",INDEX(_imp!$D$4:$D$4503,_imp!$C$2041))</f>
        <v/>
      </c>
      <c r="B2039" s="54">
        <f>IF(_imp!$C$2041="","",INDEX(_imp!$E$4:$E$4503,_imp!$C$2041))</f>
        <v/>
      </c>
      <c r="C2039" s="54">
        <f>IF(_imp!$C$2041="","",INDEX(_imp!$F$4:$F$4503,_imp!$C$2041))</f>
        <v/>
      </c>
      <c r="D2039" s="54">
        <f>IF(_imp!$C$2041="","",INDEX(_imp!$G$4:$G$4503,_imp!$C$2041))</f>
        <v/>
      </c>
      <c r="E2039" s="54">
        <f>IF(_imp!$C$2041="","",INDEX(_imp!$H$4:$H$4503,_imp!$C$2041))</f>
        <v/>
      </c>
      <c r="F2039" s="54">
        <f>IF(_imp!$C$2041="","",INDEX(_imp!$I$4:$I$4503,_imp!$C$2041))</f>
        <v/>
      </c>
      <c r="G2039" s="54">
        <f>IF(_imp!$C$2041="","",INDEX(_imp!$J$4:$J$4503,_imp!$C$2041))</f>
        <v/>
      </c>
      <c r="K2039" s="54">
        <f>IF(_imp!$C$2041="","",INDEX(_imp!$K$4:$K$4503,_imp!$C$2041))</f>
        <v/>
      </c>
    </row>
    <row r="2040">
      <c r="A2040" s="54">
        <f>IF(_imp!$C$2042="","",INDEX(_imp!$D$4:$D$4503,_imp!$C$2042))</f>
        <v/>
      </c>
      <c r="B2040" s="54">
        <f>IF(_imp!$C$2042="","",INDEX(_imp!$E$4:$E$4503,_imp!$C$2042))</f>
        <v/>
      </c>
      <c r="C2040" s="54">
        <f>IF(_imp!$C$2042="","",INDEX(_imp!$F$4:$F$4503,_imp!$C$2042))</f>
        <v/>
      </c>
      <c r="D2040" s="54">
        <f>IF(_imp!$C$2042="","",INDEX(_imp!$G$4:$G$4503,_imp!$C$2042))</f>
        <v/>
      </c>
      <c r="E2040" s="54">
        <f>IF(_imp!$C$2042="","",INDEX(_imp!$H$4:$H$4503,_imp!$C$2042))</f>
        <v/>
      </c>
      <c r="F2040" s="54">
        <f>IF(_imp!$C$2042="","",INDEX(_imp!$I$4:$I$4503,_imp!$C$2042))</f>
        <v/>
      </c>
      <c r="G2040" s="54">
        <f>IF(_imp!$C$2042="","",INDEX(_imp!$J$4:$J$4503,_imp!$C$2042))</f>
        <v/>
      </c>
      <c r="K2040" s="54">
        <f>IF(_imp!$C$2042="","",INDEX(_imp!$K$4:$K$4503,_imp!$C$2042))</f>
        <v/>
      </c>
    </row>
    <row r="2041">
      <c r="A2041" s="54">
        <f>IF(_imp!$C$2043="","",INDEX(_imp!$D$4:$D$4503,_imp!$C$2043))</f>
        <v/>
      </c>
      <c r="B2041" s="54">
        <f>IF(_imp!$C$2043="","",INDEX(_imp!$E$4:$E$4503,_imp!$C$2043))</f>
        <v/>
      </c>
      <c r="C2041" s="54">
        <f>IF(_imp!$C$2043="","",INDEX(_imp!$F$4:$F$4503,_imp!$C$2043))</f>
        <v/>
      </c>
      <c r="D2041" s="54">
        <f>IF(_imp!$C$2043="","",INDEX(_imp!$G$4:$G$4503,_imp!$C$2043))</f>
        <v/>
      </c>
      <c r="E2041" s="54">
        <f>IF(_imp!$C$2043="","",INDEX(_imp!$H$4:$H$4503,_imp!$C$2043))</f>
        <v/>
      </c>
      <c r="F2041" s="54">
        <f>IF(_imp!$C$2043="","",INDEX(_imp!$I$4:$I$4503,_imp!$C$2043))</f>
        <v/>
      </c>
      <c r="G2041" s="54">
        <f>IF(_imp!$C$2043="","",INDEX(_imp!$J$4:$J$4503,_imp!$C$2043))</f>
        <v/>
      </c>
      <c r="K2041" s="54">
        <f>IF(_imp!$C$2043="","",INDEX(_imp!$K$4:$K$4503,_imp!$C$2043))</f>
        <v/>
      </c>
    </row>
    <row r="2042">
      <c r="A2042" s="54">
        <f>IF(_imp!$C$2044="","",INDEX(_imp!$D$4:$D$4503,_imp!$C$2044))</f>
        <v/>
      </c>
      <c r="B2042" s="54">
        <f>IF(_imp!$C$2044="","",INDEX(_imp!$E$4:$E$4503,_imp!$C$2044))</f>
        <v/>
      </c>
      <c r="C2042" s="54">
        <f>IF(_imp!$C$2044="","",INDEX(_imp!$F$4:$F$4503,_imp!$C$2044))</f>
        <v/>
      </c>
      <c r="D2042" s="54">
        <f>IF(_imp!$C$2044="","",INDEX(_imp!$G$4:$G$4503,_imp!$C$2044))</f>
        <v/>
      </c>
      <c r="E2042" s="54">
        <f>IF(_imp!$C$2044="","",INDEX(_imp!$H$4:$H$4503,_imp!$C$2044))</f>
        <v/>
      </c>
      <c r="F2042" s="54">
        <f>IF(_imp!$C$2044="","",INDEX(_imp!$I$4:$I$4503,_imp!$C$2044))</f>
        <v/>
      </c>
      <c r="G2042" s="54">
        <f>IF(_imp!$C$2044="","",INDEX(_imp!$J$4:$J$4503,_imp!$C$2044))</f>
        <v/>
      </c>
      <c r="K2042" s="54">
        <f>IF(_imp!$C$2044="","",INDEX(_imp!$K$4:$K$4503,_imp!$C$2044))</f>
        <v/>
      </c>
    </row>
    <row r="2043">
      <c r="A2043" s="54">
        <f>IF(_imp!$C$2045="","",INDEX(_imp!$D$4:$D$4503,_imp!$C$2045))</f>
        <v/>
      </c>
      <c r="B2043" s="54">
        <f>IF(_imp!$C$2045="","",INDEX(_imp!$E$4:$E$4503,_imp!$C$2045))</f>
        <v/>
      </c>
      <c r="C2043" s="54">
        <f>IF(_imp!$C$2045="","",INDEX(_imp!$F$4:$F$4503,_imp!$C$2045))</f>
        <v/>
      </c>
      <c r="D2043" s="54">
        <f>IF(_imp!$C$2045="","",INDEX(_imp!$G$4:$G$4503,_imp!$C$2045))</f>
        <v/>
      </c>
      <c r="E2043" s="54">
        <f>IF(_imp!$C$2045="","",INDEX(_imp!$H$4:$H$4503,_imp!$C$2045))</f>
        <v/>
      </c>
      <c r="F2043" s="54">
        <f>IF(_imp!$C$2045="","",INDEX(_imp!$I$4:$I$4503,_imp!$C$2045))</f>
        <v/>
      </c>
      <c r="G2043" s="54">
        <f>IF(_imp!$C$2045="","",INDEX(_imp!$J$4:$J$4503,_imp!$C$2045))</f>
        <v/>
      </c>
      <c r="K2043" s="54">
        <f>IF(_imp!$C$2045="","",INDEX(_imp!$K$4:$K$4503,_imp!$C$2045))</f>
        <v/>
      </c>
    </row>
    <row r="2044">
      <c r="A2044" s="54">
        <f>IF(_imp!$C$2046="","",INDEX(_imp!$D$4:$D$4503,_imp!$C$2046))</f>
        <v/>
      </c>
      <c r="B2044" s="54">
        <f>IF(_imp!$C$2046="","",INDEX(_imp!$E$4:$E$4503,_imp!$C$2046))</f>
        <v/>
      </c>
      <c r="C2044" s="54">
        <f>IF(_imp!$C$2046="","",INDEX(_imp!$F$4:$F$4503,_imp!$C$2046))</f>
        <v/>
      </c>
      <c r="D2044" s="54">
        <f>IF(_imp!$C$2046="","",INDEX(_imp!$G$4:$G$4503,_imp!$C$2046))</f>
        <v/>
      </c>
      <c r="E2044" s="54">
        <f>IF(_imp!$C$2046="","",INDEX(_imp!$H$4:$H$4503,_imp!$C$2046))</f>
        <v/>
      </c>
      <c r="F2044" s="54">
        <f>IF(_imp!$C$2046="","",INDEX(_imp!$I$4:$I$4503,_imp!$C$2046))</f>
        <v/>
      </c>
      <c r="G2044" s="54">
        <f>IF(_imp!$C$2046="","",INDEX(_imp!$J$4:$J$4503,_imp!$C$2046))</f>
        <v/>
      </c>
      <c r="K2044" s="54">
        <f>IF(_imp!$C$2046="","",INDEX(_imp!$K$4:$K$4503,_imp!$C$2046))</f>
        <v/>
      </c>
    </row>
    <row r="2045">
      <c r="A2045" s="54">
        <f>IF(_imp!$C$2047="","",INDEX(_imp!$D$4:$D$4503,_imp!$C$2047))</f>
        <v/>
      </c>
      <c r="B2045" s="54">
        <f>IF(_imp!$C$2047="","",INDEX(_imp!$E$4:$E$4503,_imp!$C$2047))</f>
        <v/>
      </c>
      <c r="C2045" s="54">
        <f>IF(_imp!$C$2047="","",INDEX(_imp!$F$4:$F$4503,_imp!$C$2047))</f>
        <v/>
      </c>
      <c r="D2045" s="54">
        <f>IF(_imp!$C$2047="","",INDEX(_imp!$G$4:$G$4503,_imp!$C$2047))</f>
        <v/>
      </c>
      <c r="E2045" s="54">
        <f>IF(_imp!$C$2047="","",INDEX(_imp!$H$4:$H$4503,_imp!$C$2047))</f>
        <v/>
      </c>
      <c r="F2045" s="54">
        <f>IF(_imp!$C$2047="","",INDEX(_imp!$I$4:$I$4503,_imp!$C$2047))</f>
        <v/>
      </c>
      <c r="G2045" s="54">
        <f>IF(_imp!$C$2047="","",INDEX(_imp!$J$4:$J$4503,_imp!$C$2047))</f>
        <v/>
      </c>
      <c r="K2045" s="54">
        <f>IF(_imp!$C$2047="","",INDEX(_imp!$K$4:$K$4503,_imp!$C$2047))</f>
        <v/>
      </c>
    </row>
    <row r="2046">
      <c r="A2046" s="54">
        <f>IF(_imp!$C$2048="","",INDEX(_imp!$D$4:$D$4503,_imp!$C$2048))</f>
        <v/>
      </c>
      <c r="B2046" s="54">
        <f>IF(_imp!$C$2048="","",INDEX(_imp!$E$4:$E$4503,_imp!$C$2048))</f>
        <v/>
      </c>
      <c r="C2046" s="54">
        <f>IF(_imp!$C$2048="","",INDEX(_imp!$F$4:$F$4503,_imp!$C$2048))</f>
        <v/>
      </c>
      <c r="D2046" s="54">
        <f>IF(_imp!$C$2048="","",INDEX(_imp!$G$4:$G$4503,_imp!$C$2048))</f>
        <v/>
      </c>
      <c r="E2046" s="54">
        <f>IF(_imp!$C$2048="","",INDEX(_imp!$H$4:$H$4503,_imp!$C$2048))</f>
        <v/>
      </c>
      <c r="F2046" s="54">
        <f>IF(_imp!$C$2048="","",INDEX(_imp!$I$4:$I$4503,_imp!$C$2048))</f>
        <v/>
      </c>
      <c r="G2046" s="54">
        <f>IF(_imp!$C$2048="","",INDEX(_imp!$J$4:$J$4503,_imp!$C$2048))</f>
        <v/>
      </c>
      <c r="K2046" s="54">
        <f>IF(_imp!$C$2048="","",INDEX(_imp!$K$4:$K$4503,_imp!$C$2048))</f>
        <v/>
      </c>
    </row>
    <row r="2047">
      <c r="A2047" s="54">
        <f>IF(_imp!$C$2049="","",INDEX(_imp!$D$4:$D$4503,_imp!$C$2049))</f>
        <v/>
      </c>
      <c r="B2047" s="54">
        <f>IF(_imp!$C$2049="","",INDEX(_imp!$E$4:$E$4503,_imp!$C$2049))</f>
        <v/>
      </c>
      <c r="C2047" s="54">
        <f>IF(_imp!$C$2049="","",INDEX(_imp!$F$4:$F$4503,_imp!$C$2049))</f>
        <v/>
      </c>
      <c r="D2047" s="54">
        <f>IF(_imp!$C$2049="","",INDEX(_imp!$G$4:$G$4503,_imp!$C$2049))</f>
        <v/>
      </c>
      <c r="E2047" s="54">
        <f>IF(_imp!$C$2049="","",INDEX(_imp!$H$4:$H$4503,_imp!$C$2049))</f>
        <v/>
      </c>
      <c r="F2047" s="54">
        <f>IF(_imp!$C$2049="","",INDEX(_imp!$I$4:$I$4503,_imp!$C$2049))</f>
        <v/>
      </c>
      <c r="G2047" s="54">
        <f>IF(_imp!$C$2049="","",INDEX(_imp!$J$4:$J$4503,_imp!$C$2049))</f>
        <v/>
      </c>
      <c r="K2047" s="54">
        <f>IF(_imp!$C$2049="","",INDEX(_imp!$K$4:$K$4503,_imp!$C$2049))</f>
        <v/>
      </c>
    </row>
    <row r="2048">
      <c r="A2048" s="54">
        <f>IF(_imp!$C$2050="","",INDEX(_imp!$D$4:$D$4503,_imp!$C$2050))</f>
        <v/>
      </c>
      <c r="B2048" s="54">
        <f>IF(_imp!$C$2050="","",INDEX(_imp!$E$4:$E$4503,_imp!$C$2050))</f>
        <v/>
      </c>
      <c r="C2048" s="54">
        <f>IF(_imp!$C$2050="","",INDEX(_imp!$F$4:$F$4503,_imp!$C$2050))</f>
        <v/>
      </c>
      <c r="D2048" s="54">
        <f>IF(_imp!$C$2050="","",INDEX(_imp!$G$4:$G$4503,_imp!$C$2050))</f>
        <v/>
      </c>
      <c r="E2048" s="54">
        <f>IF(_imp!$C$2050="","",INDEX(_imp!$H$4:$H$4503,_imp!$C$2050))</f>
        <v/>
      </c>
      <c r="F2048" s="54">
        <f>IF(_imp!$C$2050="","",INDEX(_imp!$I$4:$I$4503,_imp!$C$2050))</f>
        <v/>
      </c>
      <c r="G2048" s="54">
        <f>IF(_imp!$C$2050="","",INDEX(_imp!$J$4:$J$4503,_imp!$C$2050))</f>
        <v/>
      </c>
      <c r="K2048" s="54">
        <f>IF(_imp!$C$2050="","",INDEX(_imp!$K$4:$K$4503,_imp!$C$2050))</f>
        <v/>
      </c>
    </row>
    <row r="2049">
      <c r="A2049" s="54">
        <f>IF(_imp!$C$2051="","",INDEX(_imp!$D$4:$D$4503,_imp!$C$2051))</f>
        <v/>
      </c>
      <c r="B2049" s="54">
        <f>IF(_imp!$C$2051="","",INDEX(_imp!$E$4:$E$4503,_imp!$C$2051))</f>
        <v/>
      </c>
      <c r="C2049" s="54">
        <f>IF(_imp!$C$2051="","",INDEX(_imp!$F$4:$F$4503,_imp!$C$2051))</f>
        <v/>
      </c>
      <c r="D2049" s="54">
        <f>IF(_imp!$C$2051="","",INDEX(_imp!$G$4:$G$4503,_imp!$C$2051))</f>
        <v/>
      </c>
      <c r="E2049" s="54">
        <f>IF(_imp!$C$2051="","",INDEX(_imp!$H$4:$H$4503,_imp!$C$2051))</f>
        <v/>
      </c>
      <c r="F2049" s="54">
        <f>IF(_imp!$C$2051="","",INDEX(_imp!$I$4:$I$4503,_imp!$C$2051))</f>
        <v/>
      </c>
      <c r="G2049" s="54">
        <f>IF(_imp!$C$2051="","",INDEX(_imp!$J$4:$J$4503,_imp!$C$2051))</f>
        <v/>
      </c>
      <c r="K2049" s="54">
        <f>IF(_imp!$C$2051="","",INDEX(_imp!$K$4:$K$4503,_imp!$C$2051))</f>
        <v/>
      </c>
    </row>
    <row r="2050">
      <c r="A2050" s="54">
        <f>IF(_imp!$C$2052="","",INDEX(_imp!$D$4:$D$4503,_imp!$C$2052))</f>
        <v/>
      </c>
      <c r="B2050" s="54">
        <f>IF(_imp!$C$2052="","",INDEX(_imp!$E$4:$E$4503,_imp!$C$2052))</f>
        <v/>
      </c>
      <c r="C2050" s="54">
        <f>IF(_imp!$C$2052="","",INDEX(_imp!$F$4:$F$4503,_imp!$C$2052))</f>
        <v/>
      </c>
      <c r="D2050" s="54">
        <f>IF(_imp!$C$2052="","",INDEX(_imp!$G$4:$G$4503,_imp!$C$2052))</f>
        <v/>
      </c>
      <c r="E2050" s="54">
        <f>IF(_imp!$C$2052="","",INDEX(_imp!$H$4:$H$4503,_imp!$C$2052))</f>
        <v/>
      </c>
      <c r="F2050" s="54">
        <f>IF(_imp!$C$2052="","",INDEX(_imp!$I$4:$I$4503,_imp!$C$2052))</f>
        <v/>
      </c>
      <c r="G2050" s="54">
        <f>IF(_imp!$C$2052="","",INDEX(_imp!$J$4:$J$4503,_imp!$C$2052))</f>
        <v/>
      </c>
      <c r="K2050" s="54">
        <f>IF(_imp!$C$2052="","",INDEX(_imp!$K$4:$K$4503,_imp!$C$2052))</f>
        <v/>
      </c>
    </row>
    <row r="2051">
      <c r="A2051" s="54">
        <f>IF(_imp!$C$2053="","",INDEX(_imp!$D$4:$D$4503,_imp!$C$2053))</f>
        <v/>
      </c>
      <c r="B2051" s="54">
        <f>IF(_imp!$C$2053="","",INDEX(_imp!$E$4:$E$4503,_imp!$C$2053))</f>
        <v/>
      </c>
      <c r="C2051" s="54">
        <f>IF(_imp!$C$2053="","",INDEX(_imp!$F$4:$F$4503,_imp!$C$2053))</f>
        <v/>
      </c>
      <c r="D2051" s="54">
        <f>IF(_imp!$C$2053="","",INDEX(_imp!$G$4:$G$4503,_imp!$C$2053))</f>
        <v/>
      </c>
      <c r="E2051" s="54">
        <f>IF(_imp!$C$2053="","",INDEX(_imp!$H$4:$H$4503,_imp!$C$2053))</f>
        <v/>
      </c>
      <c r="F2051" s="54">
        <f>IF(_imp!$C$2053="","",INDEX(_imp!$I$4:$I$4503,_imp!$C$2053))</f>
        <v/>
      </c>
      <c r="G2051" s="54">
        <f>IF(_imp!$C$2053="","",INDEX(_imp!$J$4:$J$4503,_imp!$C$2053))</f>
        <v/>
      </c>
      <c r="K2051" s="54">
        <f>IF(_imp!$C$2053="","",INDEX(_imp!$K$4:$K$4503,_imp!$C$2053))</f>
        <v/>
      </c>
    </row>
    <row r="2052">
      <c r="A2052" s="54">
        <f>IF(_imp!$C$2054="","",INDEX(_imp!$D$4:$D$4503,_imp!$C$2054))</f>
        <v/>
      </c>
      <c r="B2052" s="54">
        <f>IF(_imp!$C$2054="","",INDEX(_imp!$E$4:$E$4503,_imp!$C$2054))</f>
        <v/>
      </c>
      <c r="C2052" s="54">
        <f>IF(_imp!$C$2054="","",INDEX(_imp!$F$4:$F$4503,_imp!$C$2054))</f>
        <v/>
      </c>
      <c r="D2052" s="54">
        <f>IF(_imp!$C$2054="","",INDEX(_imp!$G$4:$G$4503,_imp!$C$2054))</f>
        <v/>
      </c>
      <c r="E2052" s="54">
        <f>IF(_imp!$C$2054="","",INDEX(_imp!$H$4:$H$4503,_imp!$C$2054))</f>
        <v/>
      </c>
      <c r="F2052" s="54">
        <f>IF(_imp!$C$2054="","",INDEX(_imp!$I$4:$I$4503,_imp!$C$2054))</f>
        <v/>
      </c>
      <c r="G2052" s="54">
        <f>IF(_imp!$C$2054="","",INDEX(_imp!$J$4:$J$4503,_imp!$C$2054))</f>
        <v/>
      </c>
      <c r="K2052" s="54">
        <f>IF(_imp!$C$2054="","",INDEX(_imp!$K$4:$K$4503,_imp!$C$2054))</f>
        <v/>
      </c>
    </row>
    <row r="2053">
      <c r="A2053" s="54">
        <f>IF(_imp!$C$2055="","",INDEX(_imp!$D$4:$D$4503,_imp!$C$2055))</f>
        <v/>
      </c>
      <c r="B2053" s="54">
        <f>IF(_imp!$C$2055="","",INDEX(_imp!$E$4:$E$4503,_imp!$C$2055))</f>
        <v/>
      </c>
      <c r="C2053" s="54">
        <f>IF(_imp!$C$2055="","",INDEX(_imp!$F$4:$F$4503,_imp!$C$2055))</f>
        <v/>
      </c>
      <c r="D2053" s="54">
        <f>IF(_imp!$C$2055="","",INDEX(_imp!$G$4:$G$4503,_imp!$C$2055))</f>
        <v/>
      </c>
      <c r="E2053" s="54">
        <f>IF(_imp!$C$2055="","",INDEX(_imp!$H$4:$H$4503,_imp!$C$2055))</f>
        <v/>
      </c>
      <c r="F2053" s="54">
        <f>IF(_imp!$C$2055="","",INDEX(_imp!$I$4:$I$4503,_imp!$C$2055))</f>
        <v/>
      </c>
      <c r="G2053" s="54">
        <f>IF(_imp!$C$2055="","",INDEX(_imp!$J$4:$J$4503,_imp!$C$2055))</f>
        <v/>
      </c>
      <c r="K2053" s="54">
        <f>IF(_imp!$C$2055="","",INDEX(_imp!$K$4:$K$4503,_imp!$C$2055))</f>
        <v/>
      </c>
    </row>
    <row r="2054">
      <c r="A2054" s="54">
        <f>IF(_imp!$C$2056="","",INDEX(_imp!$D$4:$D$4503,_imp!$C$2056))</f>
        <v/>
      </c>
      <c r="B2054" s="54">
        <f>IF(_imp!$C$2056="","",INDEX(_imp!$E$4:$E$4503,_imp!$C$2056))</f>
        <v/>
      </c>
      <c r="C2054" s="54">
        <f>IF(_imp!$C$2056="","",INDEX(_imp!$F$4:$F$4503,_imp!$C$2056))</f>
        <v/>
      </c>
      <c r="D2054" s="54">
        <f>IF(_imp!$C$2056="","",INDEX(_imp!$G$4:$G$4503,_imp!$C$2056))</f>
        <v/>
      </c>
      <c r="E2054" s="54">
        <f>IF(_imp!$C$2056="","",INDEX(_imp!$H$4:$H$4503,_imp!$C$2056))</f>
        <v/>
      </c>
      <c r="F2054" s="54">
        <f>IF(_imp!$C$2056="","",INDEX(_imp!$I$4:$I$4503,_imp!$C$2056))</f>
        <v/>
      </c>
      <c r="G2054" s="54">
        <f>IF(_imp!$C$2056="","",INDEX(_imp!$J$4:$J$4503,_imp!$C$2056))</f>
        <v/>
      </c>
      <c r="K2054" s="54">
        <f>IF(_imp!$C$2056="","",INDEX(_imp!$K$4:$K$4503,_imp!$C$2056))</f>
        <v/>
      </c>
    </row>
    <row r="2055">
      <c r="A2055" s="54">
        <f>IF(_imp!$C$2057="","",INDEX(_imp!$D$4:$D$4503,_imp!$C$2057))</f>
        <v/>
      </c>
      <c r="B2055" s="54">
        <f>IF(_imp!$C$2057="","",INDEX(_imp!$E$4:$E$4503,_imp!$C$2057))</f>
        <v/>
      </c>
      <c r="C2055" s="54">
        <f>IF(_imp!$C$2057="","",INDEX(_imp!$F$4:$F$4503,_imp!$C$2057))</f>
        <v/>
      </c>
      <c r="D2055" s="54">
        <f>IF(_imp!$C$2057="","",INDEX(_imp!$G$4:$G$4503,_imp!$C$2057))</f>
        <v/>
      </c>
      <c r="E2055" s="54">
        <f>IF(_imp!$C$2057="","",INDEX(_imp!$H$4:$H$4503,_imp!$C$2057))</f>
        <v/>
      </c>
      <c r="F2055" s="54">
        <f>IF(_imp!$C$2057="","",INDEX(_imp!$I$4:$I$4503,_imp!$C$2057))</f>
        <v/>
      </c>
      <c r="G2055" s="54">
        <f>IF(_imp!$C$2057="","",INDEX(_imp!$J$4:$J$4503,_imp!$C$2057))</f>
        <v/>
      </c>
      <c r="K2055" s="54">
        <f>IF(_imp!$C$2057="","",INDEX(_imp!$K$4:$K$4503,_imp!$C$2057))</f>
        <v/>
      </c>
    </row>
    <row r="2056">
      <c r="A2056" s="54">
        <f>IF(_imp!$C$2058="","",INDEX(_imp!$D$4:$D$4503,_imp!$C$2058))</f>
        <v/>
      </c>
      <c r="B2056" s="54">
        <f>IF(_imp!$C$2058="","",INDEX(_imp!$E$4:$E$4503,_imp!$C$2058))</f>
        <v/>
      </c>
      <c r="C2056" s="54">
        <f>IF(_imp!$C$2058="","",INDEX(_imp!$F$4:$F$4503,_imp!$C$2058))</f>
        <v/>
      </c>
      <c r="D2056" s="54">
        <f>IF(_imp!$C$2058="","",INDEX(_imp!$G$4:$G$4503,_imp!$C$2058))</f>
        <v/>
      </c>
      <c r="E2056" s="54">
        <f>IF(_imp!$C$2058="","",INDEX(_imp!$H$4:$H$4503,_imp!$C$2058))</f>
        <v/>
      </c>
      <c r="F2056" s="54">
        <f>IF(_imp!$C$2058="","",INDEX(_imp!$I$4:$I$4503,_imp!$C$2058))</f>
        <v/>
      </c>
      <c r="G2056" s="54">
        <f>IF(_imp!$C$2058="","",INDEX(_imp!$J$4:$J$4503,_imp!$C$2058))</f>
        <v/>
      </c>
      <c r="K2056" s="54">
        <f>IF(_imp!$C$2058="","",INDEX(_imp!$K$4:$K$4503,_imp!$C$2058))</f>
        <v/>
      </c>
    </row>
    <row r="2057">
      <c r="A2057" s="54">
        <f>IF(_imp!$C$2059="","",INDEX(_imp!$D$4:$D$4503,_imp!$C$2059))</f>
        <v/>
      </c>
      <c r="B2057" s="54">
        <f>IF(_imp!$C$2059="","",INDEX(_imp!$E$4:$E$4503,_imp!$C$2059))</f>
        <v/>
      </c>
      <c r="C2057" s="54">
        <f>IF(_imp!$C$2059="","",INDEX(_imp!$F$4:$F$4503,_imp!$C$2059))</f>
        <v/>
      </c>
      <c r="D2057" s="54">
        <f>IF(_imp!$C$2059="","",INDEX(_imp!$G$4:$G$4503,_imp!$C$2059))</f>
        <v/>
      </c>
      <c r="E2057" s="54">
        <f>IF(_imp!$C$2059="","",INDEX(_imp!$H$4:$H$4503,_imp!$C$2059))</f>
        <v/>
      </c>
      <c r="F2057" s="54">
        <f>IF(_imp!$C$2059="","",INDEX(_imp!$I$4:$I$4503,_imp!$C$2059))</f>
        <v/>
      </c>
      <c r="G2057" s="54">
        <f>IF(_imp!$C$2059="","",INDEX(_imp!$J$4:$J$4503,_imp!$C$2059))</f>
        <v/>
      </c>
      <c r="K2057" s="54">
        <f>IF(_imp!$C$2059="","",INDEX(_imp!$K$4:$K$4503,_imp!$C$2059))</f>
        <v/>
      </c>
    </row>
    <row r="2058">
      <c r="A2058" s="54">
        <f>IF(_imp!$C$2060="","",INDEX(_imp!$D$4:$D$4503,_imp!$C$2060))</f>
        <v/>
      </c>
      <c r="B2058" s="54">
        <f>IF(_imp!$C$2060="","",INDEX(_imp!$E$4:$E$4503,_imp!$C$2060))</f>
        <v/>
      </c>
      <c r="C2058" s="54">
        <f>IF(_imp!$C$2060="","",INDEX(_imp!$F$4:$F$4503,_imp!$C$2060))</f>
        <v/>
      </c>
      <c r="D2058" s="54">
        <f>IF(_imp!$C$2060="","",INDEX(_imp!$G$4:$G$4503,_imp!$C$2060))</f>
        <v/>
      </c>
      <c r="E2058" s="54">
        <f>IF(_imp!$C$2060="","",INDEX(_imp!$H$4:$H$4503,_imp!$C$2060))</f>
        <v/>
      </c>
      <c r="F2058" s="54">
        <f>IF(_imp!$C$2060="","",INDEX(_imp!$I$4:$I$4503,_imp!$C$2060))</f>
        <v/>
      </c>
      <c r="G2058" s="54">
        <f>IF(_imp!$C$2060="","",INDEX(_imp!$J$4:$J$4503,_imp!$C$2060))</f>
        <v/>
      </c>
      <c r="K2058" s="54">
        <f>IF(_imp!$C$2060="","",INDEX(_imp!$K$4:$K$4503,_imp!$C$2060))</f>
        <v/>
      </c>
    </row>
    <row r="2059">
      <c r="A2059" s="54">
        <f>IF(_imp!$C$2061="","",INDEX(_imp!$D$4:$D$4503,_imp!$C$2061))</f>
        <v/>
      </c>
      <c r="B2059" s="54">
        <f>IF(_imp!$C$2061="","",INDEX(_imp!$E$4:$E$4503,_imp!$C$2061))</f>
        <v/>
      </c>
      <c r="C2059" s="54">
        <f>IF(_imp!$C$2061="","",INDEX(_imp!$F$4:$F$4503,_imp!$C$2061))</f>
        <v/>
      </c>
      <c r="D2059" s="54">
        <f>IF(_imp!$C$2061="","",INDEX(_imp!$G$4:$G$4503,_imp!$C$2061))</f>
        <v/>
      </c>
      <c r="E2059" s="54">
        <f>IF(_imp!$C$2061="","",INDEX(_imp!$H$4:$H$4503,_imp!$C$2061))</f>
        <v/>
      </c>
      <c r="F2059" s="54">
        <f>IF(_imp!$C$2061="","",INDEX(_imp!$I$4:$I$4503,_imp!$C$2061))</f>
        <v/>
      </c>
      <c r="G2059" s="54">
        <f>IF(_imp!$C$2061="","",INDEX(_imp!$J$4:$J$4503,_imp!$C$2061))</f>
        <v/>
      </c>
      <c r="K2059" s="54">
        <f>IF(_imp!$C$2061="","",INDEX(_imp!$K$4:$K$4503,_imp!$C$2061))</f>
        <v/>
      </c>
    </row>
    <row r="2060">
      <c r="A2060" s="54">
        <f>IF(_imp!$C$2062="","",INDEX(_imp!$D$4:$D$4503,_imp!$C$2062))</f>
        <v/>
      </c>
      <c r="B2060" s="54">
        <f>IF(_imp!$C$2062="","",INDEX(_imp!$E$4:$E$4503,_imp!$C$2062))</f>
        <v/>
      </c>
      <c r="C2060" s="54">
        <f>IF(_imp!$C$2062="","",INDEX(_imp!$F$4:$F$4503,_imp!$C$2062))</f>
        <v/>
      </c>
      <c r="D2060" s="54">
        <f>IF(_imp!$C$2062="","",INDEX(_imp!$G$4:$G$4503,_imp!$C$2062))</f>
        <v/>
      </c>
      <c r="E2060" s="54">
        <f>IF(_imp!$C$2062="","",INDEX(_imp!$H$4:$H$4503,_imp!$C$2062))</f>
        <v/>
      </c>
      <c r="F2060" s="54">
        <f>IF(_imp!$C$2062="","",INDEX(_imp!$I$4:$I$4503,_imp!$C$2062))</f>
        <v/>
      </c>
      <c r="G2060" s="54">
        <f>IF(_imp!$C$2062="","",INDEX(_imp!$J$4:$J$4503,_imp!$C$2062))</f>
        <v/>
      </c>
      <c r="K2060" s="54">
        <f>IF(_imp!$C$2062="","",INDEX(_imp!$K$4:$K$4503,_imp!$C$2062))</f>
        <v/>
      </c>
    </row>
    <row r="2061">
      <c r="A2061" s="54">
        <f>IF(_imp!$C$2063="","",INDEX(_imp!$D$4:$D$4503,_imp!$C$2063))</f>
        <v/>
      </c>
      <c r="B2061" s="54">
        <f>IF(_imp!$C$2063="","",INDEX(_imp!$E$4:$E$4503,_imp!$C$2063))</f>
        <v/>
      </c>
      <c r="C2061" s="54">
        <f>IF(_imp!$C$2063="","",INDEX(_imp!$F$4:$F$4503,_imp!$C$2063))</f>
        <v/>
      </c>
      <c r="D2061" s="54">
        <f>IF(_imp!$C$2063="","",INDEX(_imp!$G$4:$G$4503,_imp!$C$2063))</f>
        <v/>
      </c>
      <c r="E2061" s="54">
        <f>IF(_imp!$C$2063="","",INDEX(_imp!$H$4:$H$4503,_imp!$C$2063))</f>
        <v/>
      </c>
      <c r="F2061" s="54">
        <f>IF(_imp!$C$2063="","",INDEX(_imp!$I$4:$I$4503,_imp!$C$2063))</f>
        <v/>
      </c>
      <c r="G2061" s="54">
        <f>IF(_imp!$C$2063="","",INDEX(_imp!$J$4:$J$4503,_imp!$C$2063))</f>
        <v/>
      </c>
      <c r="K2061" s="54">
        <f>IF(_imp!$C$2063="","",INDEX(_imp!$K$4:$K$4503,_imp!$C$2063))</f>
        <v/>
      </c>
    </row>
    <row r="2062">
      <c r="A2062" s="54">
        <f>IF(_imp!$C$2064="","",INDEX(_imp!$D$4:$D$4503,_imp!$C$2064))</f>
        <v/>
      </c>
      <c r="B2062" s="54">
        <f>IF(_imp!$C$2064="","",INDEX(_imp!$E$4:$E$4503,_imp!$C$2064))</f>
        <v/>
      </c>
      <c r="C2062" s="54">
        <f>IF(_imp!$C$2064="","",INDEX(_imp!$F$4:$F$4503,_imp!$C$2064))</f>
        <v/>
      </c>
      <c r="D2062" s="54">
        <f>IF(_imp!$C$2064="","",INDEX(_imp!$G$4:$G$4503,_imp!$C$2064))</f>
        <v/>
      </c>
      <c r="E2062" s="54">
        <f>IF(_imp!$C$2064="","",INDEX(_imp!$H$4:$H$4503,_imp!$C$2064))</f>
        <v/>
      </c>
      <c r="F2062" s="54">
        <f>IF(_imp!$C$2064="","",INDEX(_imp!$I$4:$I$4503,_imp!$C$2064))</f>
        <v/>
      </c>
      <c r="G2062" s="54">
        <f>IF(_imp!$C$2064="","",INDEX(_imp!$J$4:$J$4503,_imp!$C$2064))</f>
        <v/>
      </c>
      <c r="K2062" s="54">
        <f>IF(_imp!$C$2064="","",INDEX(_imp!$K$4:$K$4503,_imp!$C$2064))</f>
        <v/>
      </c>
    </row>
    <row r="2063">
      <c r="A2063" s="54">
        <f>IF(_imp!$C$2065="","",INDEX(_imp!$D$4:$D$4503,_imp!$C$2065))</f>
        <v/>
      </c>
      <c r="B2063" s="54">
        <f>IF(_imp!$C$2065="","",INDEX(_imp!$E$4:$E$4503,_imp!$C$2065))</f>
        <v/>
      </c>
      <c r="C2063" s="54">
        <f>IF(_imp!$C$2065="","",INDEX(_imp!$F$4:$F$4503,_imp!$C$2065))</f>
        <v/>
      </c>
      <c r="D2063" s="54">
        <f>IF(_imp!$C$2065="","",INDEX(_imp!$G$4:$G$4503,_imp!$C$2065))</f>
        <v/>
      </c>
      <c r="E2063" s="54">
        <f>IF(_imp!$C$2065="","",INDEX(_imp!$H$4:$H$4503,_imp!$C$2065))</f>
        <v/>
      </c>
      <c r="F2063" s="54">
        <f>IF(_imp!$C$2065="","",INDEX(_imp!$I$4:$I$4503,_imp!$C$2065))</f>
        <v/>
      </c>
      <c r="G2063" s="54">
        <f>IF(_imp!$C$2065="","",INDEX(_imp!$J$4:$J$4503,_imp!$C$2065))</f>
        <v/>
      </c>
      <c r="K2063" s="54">
        <f>IF(_imp!$C$2065="","",INDEX(_imp!$K$4:$K$4503,_imp!$C$2065))</f>
        <v/>
      </c>
    </row>
    <row r="2064">
      <c r="A2064" s="54">
        <f>IF(_imp!$C$2066="","",INDEX(_imp!$D$4:$D$4503,_imp!$C$2066))</f>
        <v/>
      </c>
      <c r="B2064" s="54">
        <f>IF(_imp!$C$2066="","",INDEX(_imp!$E$4:$E$4503,_imp!$C$2066))</f>
        <v/>
      </c>
      <c r="C2064" s="54">
        <f>IF(_imp!$C$2066="","",INDEX(_imp!$F$4:$F$4503,_imp!$C$2066))</f>
        <v/>
      </c>
      <c r="D2064" s="54">
        <f>IF(_imp!$C$2066="","",INDEX(_imp!$G$4:$G$4503,_imp!$C$2066))</f>
        <v/>
      </c>
      <c r="E2064" s="54">
        <f>IF(_imp!$C$2066="","",INDEX(_imp!$H$4:$H$4503,_imp!$C$2066))</f>
        <v/>
      </c>
      <c r="F2064" s="54">
        <f>IF(_imp!$C$2066="","",INDEX(_imp!$I$4:$I$4503,_imp!$C$2066))</f>
        <v/>
      </c>
      <c r="G2064" s="54">
        <f>IF(_imp!$C$2066="","",INDEX(_imp!$J$4:$J$4503,_imp!$C$2066))</f>
        <v/>
      </c>
      <c r="K2064" s="54">
        <f>IF(_imp!$C$2066="","",INDEX(_imp!$K$4:$K$4503,_imp!$C$2066))</f>
        <v/>
      </c>
    </row>
    <row r="2065">
      <c r="A2065" s="54">
        <f>IF(_imp!$C$2067="","",INDEX(_imp!$D$4:$D$4503,_imp!$C$2067))</f>
        <v/>
      </c>
      <c r="B2065" s="54">
        <f>IF(_imp!$C$2067="","",INDEX(_imp!$E$4:$E$4503,_imp!$C$2067))</f>
        <v/>
      </c>
      <c r="C2065" s="54">
        <f>IF(_imp!$C$2067="","",INDEX(_imp!$F$4:$F$4503,_imp!$C$2067))</f>
        <v/>
      </c>
      <c r="D2065" s="54">
        <f>IF(_imp!$C$2067="","",INDEX(_imp!$G$4:$G$4503,_imp!$C$2067))</f>
        <v/>
      </c>
      <c r="E2065" s="54">
        <f>IF(_imp!$C$2067="","",INDEX(_imp!$H$4:$H$4503,_imp!$C$2067))</f>
        <v/>
      </c>
      <c r="F2065" s="54">
        <f>IF(_imp!$C$2067="","",INDEX(_imp!$I$4:$I$4503,_imp!$C$2067))</f>
        <v/>
      </c>
      <c r="G2065" s="54">
        <f>IF(_imp!$C$2067="","",INDEX(_imp!$J$4:$J$4503,_imp!$C$2067))</f>
        <v/>
      </c>
      <c r="K2065" s="54">
        <f>IF(_imp!$C$2067="","",INDEX(_imp!$K$4:$K$4503,_imp!$C$2067))</f>
        <v/>
      </c>
    </row>
    <row r="2066">
      <c r="A2066" s="54">
        <f>IF(_imp!$C$2068="","",INDEX(_imp!$D$4:$D$4503,_imp!$C$2068))</f>
        <v/>
      </c>
      <c r="B2066" s="54">
        <f>IF(_imp!$C$2068="","",INDEX(_imp!$E$4:$E$4503,_imp!$C$2068))</f>
        <v/>
      </c>
      <c r="C2066" s="54">
        <f>IF(_imp!$C$2068="","",INDEX(_imp!$F$4:$F$4503,_imp!$C$2068))</f>
        <v/>
      </c>
      <c r="D2066" s="54">
        <f>IF(_imp!$C$2068="","",INDEX(_imp!$G$4:$G$4503,_imp!$C$2068))</f>
        <v/>
      </c>
      <c r="E2066" s="54">
        <f>IF(_imp!$C$2068="","",INDEX(_imp!$H$4:$H$4503,_imp!$C$2068))</f>
        <v/>
      </c>
      <c r="F2066" s="54">
        <f>IF(_imp!$C$2068="","",INDEX(_imp!$I$4:$I$4503,_imp!$C$2068))</f>
        <v/>
      </c>
      <c r="G2066" s="54">
        <f>IF(_imp!$C$2068="","",INDEX(_imp!$J$4:$J$4503,_imp!$C$2068))</f>
        <v/>
      </c>
      <c r="K2066" s="54">
        <f>IF(_imp!$C$2068="","",INDEX(_imp!$K$4:$K$4503,_imp!$C$2068))</f>
        <v/>
      </c>
    </row>
    <row r="2067">
      <c r="A2067" s="54">
        <f>IF(_imp!$C$2069="","",INDEX(_imp!$D$4:$D$4503,_imp!$C$2069))</f>
        <v/>
      </c>
      <c r="B2067" s="54">
        <f>IF(_imp!$C$2069="","",INDEX(_imp!$E$4:$E$4503,_imp!$C$2069))</f>
        <v/>
      </c>
      <c r="C2067" s="54">
        <f>IF(_imp!$C$2069="","",INDEX(_imp!$F$4:$F$4503,_imp!$C$2069))</f>
        <v/>
      </c>
      <c r="D2067" s="54">
        <f>IF(_imp!$C$2069="","",INDEX(_imp!$G$4:$G$4503,_imp!$C$2069))</f>
        <v/>
      </c>
      <c r="E2067" s="54">
        <f>IF(_imp!$C$2069="","",INDEX(_imp!$H$4:$H$4503,_imp!$C$2069))</f>
        <v/>
      </c>
      <c r="F2067" s="54">
        <f>IF(_imp!$C$2069="","",INDEX(_imp!$I$4:$I$4503,_imp!$C$2069))</f>
        <v/>
      </c>
      <c r="G2067" s="54">
        <f>IF(_imp!$C$2069="","",INDEX(_imp!$J$4:$J$4503,_imp!$C$2069))</f>
        <v/>
      </c>
      <c r="K2067" s="54">
        <f>IF(_imp!$C$2069="","",INDEX(_imp!$K$4:$K$4503,_imp!$C$2069))</f>
        <v/>
      </c>
    </row>
    <row r="2068">
      <c r="A2068" s="54">
        <f>IF(_imp!$C$2070="","",INDEX(_imp!$D$4:$D$4503,_imp!$C$2070))</f>
        <v/>
      </c>
      <c r="B2068" s="54">
        <f>IF(_imp!$C$2070="","",INDEX(_imp!$E$4:$E$4503,_imp!$C$2070))</f>
        <v/>
      </c>
      <c r="C2068" s="54">
        <f>IF(_imp!$C$2070="","",INDEX(_imp!$F$4:$F$4503,_imp!$C$2070))</f>
        <v/>
      </c>
      <c r="D2068" s="54">
        <f>IF(_imp!$C$2070="","",INDEX(_imp!$G$4:$G$4503,_imp!$C$2070))</f>
        <v/>
      </c>
      <c r="E2068" s="54">
        <f>IF(_imp!$C$2070="","",INDEX(_imp!$H$4:$H$4503,_imp!$C$2070))</f>
        <v/>
      </c>
      <c r="F2068" s="54">
        <f>IF(_imp!$C$2070="","",INDEX(_imp!$I$4:$I$4503,_imp!$C$2070))</f>
        <v/>
      </c>
      <c r="G2068" s="54">
        <f>IF(_imp!$C$2070="","",INDEX(_imp!$J$4:$J$4503,_imp!$C$2070))</f>
        <v/>
      </c>
      <c r="K2068" s="54">
        <f>IF(_imp!$C$2070="","",INDEX(_imp!$K$4:$K$4503,_imp!$C$2070))</f>
        <v/>
      </c>
    </row>
    <row r="2069">
      <c r="A2069" s="54">
        <f>IF(_imp!$C$2071="","",INDEX(_imp!$D$4:$D$4503,_imp!$C$2071))</f>
        <v/>
      </c>
      <c r="B2069" s="54">
        <f>IF(_imp!$C$2071="","",INDEX(_imp!$E$4:$E$4503,_imp!$C$2071))</f>
        <v/>
      </c>
      <c r="C2069" s="54">
        <f>IF(_imp!$C$2071="","",INDEX(_imp!$F$4:$F$4503,_imp!$C$2071))</f>
        <v/>
      </c>
      <c r="D2069" s="54">
        <f>IF(_imp!$C$2071="","",INDEX(_imp!$G$4:$G$4503,_imp!$C$2071))</f>
        <v/>
      </c>
      <c r="E2069" s="54">
        <f>IF(_imp!$C$2071="","",INDEX(_imp!$H$4:$H$4503,_imp!$C$2071))</f>
        <v/>
      </c>
      <c r="F2069" s="54">
        <f>IF(_imp!$C$2071="","",INDEX(_imp!$I$4:$I$4503,_imp!$C$2071))</f>
        <v/>
      </c>
      <c r="G2069" s="54">
        <f>IF(_imp!$C$2071="","",INDEX(_imp!$J$4:$J$4503,_imp!$C$2071))</f>
        <v/>
      </c>
      <c r="K2069" s="54">
        <f>IF(_imp!$C$2071="","",INDEX(_imp!$K$4:$K$4503,_imp!$C$2071))</f>
        <v/>
      </c>
    </row>
    <row r="2070">
      <c r="A2070" s="54">
        <f>IF(_imp!$C$2072="","",INDEX(_imp!$D$4:$D$4503,_imp!$C$2072))</f>
        <v/>
      </c>
      <c r="B2070" s="54">
        <f>IF(_imp!$C$2072="","",INDEX(_imp!$E$4:$E$4503,_imp!$C$2072))</f>
        <v/>
      </c>
      <c r="C2070" s="54">
        <f>IF(_imp!$C$2072="","",INDEX(_imp!$F$4:$F$4503,_imp!$C$2072))</f>
        <v/>
      </c>
      <c r="D2070" s="54">
        <f>IF(_imp!$C$2072="","",INDEX(_imp!$G$4:$G$4503,_imp!$C$2072))</f>
        <v/>
      </c>
      <c r="E2070" s="54">
        <f>IF(_imp!$C$2072="","",INDEX(_imp!$H$4:$H$4503,_imp!$C$2072))</f>
        <v/>
      </c>
      <c r="F2070" s="54">
        <f>IF(_imp!$C$2072="","",INDEX(_imp!$I$4:$I$4503,_imp!$C$2072))</f>
        <v/>
      </c>
      <c r="G2070" s="54">
        <f>IF(_imp!$C$2072="","",INDEX(_imp!$J$4:$J$4503,_imp!$C$2072))</f>
        <v/>
      </c>
      <c r="K2070" s="54">
        <f>IF(_imp!$C$2072="","",INDEX(_imp!$K$4:$K$4503,_imp!$C$2072))</f>
        <v/>
      </c>
    </row>
    <row r="2071">
      <c r="A2071" s="54">
        <f>IF(_imp!$C$2073="","",INDEX(_imp!$D$4:$D$4503,_imp!$C$2073))</f>
        <v/>
      </c>
      <c r="B2071" s="54">
        <f>IF(_imp!$C$2073="","",INDEX(_imp!$E$4:$E$4503,_imp!$C$2073))</f>
        <v/>
      </c>
      <c r="C2071" s="54">
        <f>IF(_imp!$C$2073="","",INDEX(_imp!$F$4:$F$4503,_imp!$C$2073))</f>
        <v/>
      </c>
      <c r="D2071" s="54">
        <f>IF(_imp!$C$2073="","",INDEX(_imp!$G$4:$G$4503,_imp!$C$2073))</f>
        <v/>
      </c>
      <c r="E2071" s="54">
        <f>IF(_imp!$C$2073="","",INDEX(_imp!$H$4:$H$4503,_imp!$C$2073))</f>
        <v/>
      </c>
      <c r="F2071" s="54">
        <f>IF(_imp!$C$2073="","",INDEX(_imp!$I$4:$I$4503,_imp!$C$2073))</f>
        <v/>
      </c>
      <c r="G2071" s="54">
        <f>IF(_imp!$C$2073="","",INDEX(_imp!$J$4:$J$4503,_imp!$C$2073))</f>
        <v/>
      </c>
      <c r="K2071" s="54">
        <f>IF(_imp!$C$2073="","",INDEX(_imp!$K$4:$K$4503,_imp!$C$2073))</f>
        <v/>
      </c>
    </row>
    <row r="2072">
      <c r="A2072" s="54">
        <f>IF(_imp!$C$2074="","",INDEX(_imp!$D$4:$D$4503,_imp!$C$2074))</f>
        <v/>
      </c>
      <c r="B2072" s="54">
        <f>IF(_imp!$C$2074="","",INDEX(_imp!$E$4:$E$4503,_imp!$C$2074))</f>
        <v/>
      </c>
      <c r="C2072" s="54">
        <f>IF(_imp!$C$2074="","",INDEX(_imp!$F$4:$F$4503,_imp!$C$2074))</f>
        <v/>
      </c>
      <c r="D2072" s="54">
        <f>IF(_imp!$C$2074="","",INDEX(_imp!$G$4:$G$4503,_imp!$C$2074))</f>
        <v/>
      </c>
      <c r="E2072" s="54">
        <f>IF(_imp!$C$2074="","",INDEX(_imp!$H$4:$H$4503,_imp!$C$2074))</f>
        <v/>
      </c>
      <c r="F2072" s="54">
        <f>IF(_imp!$C$2074="","",INDEX(_imp!$I$4:$I$4503,_imp!$C$2074))</f>
        <v/>
      </c>
      <c r="G2072" s="54">
        <f>IF(_imp!$C$2074="","",INDEX(_imp!$J$4:$J$4503,_imp!$C$2074))</f>
        <v/>
      </c>
      <c r="K2072" s="54">
        <f>IF(_imp!$C$2074="","",INDEX(_imp!$K$4:$K$4503,_imp!$C$2074))</f>
        <v/>
      </c>
    </row>
    <row r="2073">
      <c r="A2073" s="54">
        <f>IF(_imp!$C$2075="","",INDEX(_imp!$D$4:$D$4503,_imp!$C$2075))</f>
        <v/>
      </c>
      <c r="B2073" s="54">
        <f>IF(_imp!$C$2075="","",INDEX(_imp!$E$4:$E$4503,_imp!$C$2075))</f>
        <v/>
      </c>
      <c r="C2073" s="54">
        <f>IF(_imp!$C$2075="","",INDEX(_imp!$F$4:$F$4503,_imp!$C$2075))</f>
        <v/>
      </c>
      <c r="D2073" s="54">
        <f>IF(_imp!$C$2075="","",INDEX(_imp!$G$4:$G$4503,_imp!$C$2075))</f>
        <v/>
      </c>
      <c r="E2073" s="54">
        <f>IF(_imp!$C$2075="","",INDEX(_imp!$H$4:$H$4503,_imp!$C$2075))</f>
        <v/>
      </c>
      <c r="F2073" s="54">
        <f>IF(_imp!$C$2075="","",INDEX(_imp!$I$4:$I$4503,_imp!$C$2075))</f>
        <v/>
      </c>
      <c r="G2073" s="54">
        <f>IF(_imp!$C$2075="","",INDEX(_imp!$J$4:$J$4503,_imp!$C$2075))</f>
        <v/>
      </c>
      <c r="K2073" s="54">
        <f>IF(_imp!$C$2075="","",INDEX(_imp!$K$4:$K$4503,_imp!$C$2075))</f>
        <v/>
      </c>
    </row>
    <row r="2074">
      <c r="A2074" s="54">
        <f>IF(_imp!$C$2076="","",INDEX(_imp!$D$4:$D$4503,_imp!$C$2076))</f>
        <v/>
      </c>
      <c r="B2074" s="54">
        <f>IF(_imp!$C$2076="","",INDEX(_imp!$E$4:$E$4503,_imp!$C$2076))</f>
        <v/>
      </c>
      <c r="C2074" s="54">
        <f>IF(_imp!$C$2076="","",INDEX(_imp!$F$4:$F$4503,_imp!$C$2076))</f>
        <v/>
      </c>
      <c r="D2074" s="54">
        <f>IF(_imp!$C$2076="","",INDEX(_imp!$G$4:$G$4503,_imp!$C$2076))</f>
        <v/>
      </c>
      <c r="E2074" s="54">
        <f>IF(_imp!$C$2076="","",INDEX(_imp!$H$4:$H$4503,_imp!$C$2076))</f>
        <v/>
      </c>
      <c r="F2074" s="54">
        <f>IF(_imp!$C$2076="","",INDEX(_imp!$I$4:$I$4503,_imp!$C$2076))</f>
        <v/>
      </c>
      <c r="G2074" s="54">
        <f>IF(_imp!$C$2076="","",INDEX(_imp!$J$4:$J$4503,_imp!$C$2076))</f>
        <v/>
      </c>
      <c r="K2074" s="54">
        <f>IF(_imp!$C$2076="","",INDEX(_imp!$K$4:$K$4503,_imp!$C$2076))</f>
        <v/>
      </c>
    </row>
    <row r="2075">
      <c r="A2075" s="54">
        <f>IF(_imp!$C$2077="","",INDEX(_imp!$D$4:$D$4503,_imp!$C$2077))</f>
        <v/>
      </c>
      <c r="B2075" s="54">
        <f>IF(_imp!$C$2077="","",INDEX(_imp!$E$4:$E$4503,_imp!$C$2077))</f>
        <v/>
      </c>
      <c r="C2075" s="54">
        <f>IF(_imp!$C$2077="","",INDEX(_imp!$F$4:$F$4503,_imp!$C$2077))</f>
        <v/>
      </c>
      <c r="D2075" s="54">
        <f>IF(_imp!$C$2077="","",INDEX(_imp!$G$4:$G$4503,_imp!$C$2077))</f>
        <v/>
      </c>
      <c r="E2075" s="54">
        <f>IF(_imp!$C$2077="","",INDEX(_imp!$H$4:$H$4503,_imp!$C$2077))</f>
        <v/>
      </c>
      <c r="F2075" s="54">
        <f>IF(_imp!$C$2077="","",INDEX(_imp!$I$4:$I$4503,_imp!$C$2077))</f>
        <v/>
      </c>
      <c r="G2075" s="54">
        <f>IF(_imp!$C$2077="","",INDEX(_imp!$J$4:$J$4503,_imp!$C$2077))</f>
        <v/>
      </c>
      <c r="K2075" s="54">
        <f>IF(_imp!$C$2077="","",INDEX(_imp!$K$4:$K$4503,_imp!$C$2077))</f>
        <v/>
      </c>
    </row>
    <row r="2076">
      <c r="A2076" s="54">
        <f>IF(_imp!$C$2078="","",INDEX(_imp!$D$4:$D$4503,_imp!$C$2078))</f>
        <v/>
      </c>
      <c r="B2076" s="54">
        <f>IF(_imp!$C$2078="","",INDEX(_imp!$E$4:$E$4503,_imp!$C$2078))</f>
        <v/>
      </c>
      <c r="C2076" s="54">
        <f>IF(_imp!$C$2078="","",INDEX(_imp!$F$4:$F$4503,_imp!$C$2078))</f>
        <v/>
      </c>
      <c r="D2076" s="54">
        <f>IF(_imp!$C$2078="","",INDEX(_imp!$G$4:$G$4503,_imp!$C$2078))</f>
        <v/>
      </c>
      <c r="E2076" s="54">
        <f>IF(_imp!$C$2078="","",INDEX(_imp!$H$4:$H$4503,_imp!$C$2078))</f>
        <v/>
      </c>
      <c r="F2076" s="54">
        <f>IF(_imp!$C$2078="","",INDEX(_imp!$I$4:$I$4503,_imp!$C$2078))</f>
        <v/>
      </c>
      <c r="G2076" s="54">
        <f>IF(_imp!$C$2078="","",INDEX(_imp!$J$4:$J$4503,_imp!$C$2078))</f>
        <v/>
      </c>
      <c r="K2076" s="54">
        <f>IF(_imp!$C$2078="","",INDEX(_imp!$K$4:$K$4503,_imp!$C$2078))</f>
        <v/>
      </c>
    </row>
    <row r="2077">
      <c r="A2077" s="54">
        <f>IF(_imp!$C$2079="","",INDEX(_imp!$D$4:$D$4503,_imp!$C$2079))</f>
        <v/>
      </c>
      <c r="B2077" s="54">
        <f>IF(_imp!$C$2079="","",INDEX(_imp!$E$4:$E$4503,_imp!$C$2079))</f>
        <v/>
      </c>
      <c r="C2077" s="54">
        <f>IF(_imp!$C$2079="","",INDEX(_imp!$F$4:$F$4503,_imp!$C$2079))</f>
        <v/>
      </c>
      <c r="D2077" s="54">
        <f>IF(_imp!$C$2079="","",INDEX(_imp!$G$4:$G$4503,_imp!$C$2079))</f>
        <v/>
      </c>
      <c r="E2077" s="54">
        <f>IF(_imp!$C$2079="","",INDEX(_imp!$H$4:$H$4503,_imp!$C$2079))</f>
        <v/>
      </c>
      <c r="F2077" s="54">
        <f>IF(_imp!$C$2079="","",INDEX(_imp!$I$4:$I$4503,_imp!$C$2079))</f>
        <v/>
      </c>
      <c r="G2077" s="54">
        <f>IF(_imp!$C$2079="","",INDEX(_imp!$J$4:$J$4503,_imp!$C$2079))</f>
        <v/>
      </c>
      <c r="K2077" s="54">
        <f>IF(_imp!$C$2079="","",INDEX(_imp!$K$4:$K$4503,_imp!$C$2079))</f>
        <v/>
      </c>
    </row>
    <row r="2078">
      <c r="A2078" s="54">
        <f>IF(_imp!$C$2080="","",INDEX(_imp!$D$4:$D$4503,_imp!$C$2080))</f>
        <v/>
      </c>
      <c r="B2078" s="54">
        <f>IF(_imp!$C$2080="","",INDEX(_imp!$E$4:$E$4503,_imp!$C$2080))</f>
        <v/>
      </c>
      <c r="C2078" s="54">
        <f>IF(_imp!$C$2080="","",INDEX(_imp!$F$4:$F$4503,_imp!$C$2080))</f>
        <v/>
      </c>
      <c r="D2078" s="54">
        <f>IF(_imp!$C$2080="","",INDEX(_imp!$G$4:$G$4503,_imp!$C$2080))</f>
        <v/>
      </c>
      <c r="E2078" s="54">
        <f>IF(_imp!$C$2080="","",INDEX(_imp!$H$4:$H$4503,_imp!$C$2080))</f>
        <v/>
      </c>
      <c r="F2078" s="54">
        <f>IF(_imp!$C$2080="","",INDEX(_imp!$I$4:$I$4503,_imp!$C$2080))</f>
        <v/>
      </c>
      <c r="G2078" s="54">
        <f>IF(_imp!$C$2080="","",INDEX(_imp!$J$4:$J$4503,_imp!$C$2080))</f>
        <v/>
      </c>
      <c r="K2078" s="54">
        <f>IF(_imp!$C$2080="","",INDEX(_imp!$K$4:$K$4503,_imp!$C$2080))</f>
        <v/>
      </c>
    </row>
    <row r="2079">
      <c r="A2079" s="54">
        <f>IF(_imp!$C$2081="","",INDEX(_imp!$D$4:$D$4503,_imp!$C$2081))</f>
        <v/>
      </c>
      <c r="B2079" s="54">
        <f>IF(_imp!$C$2081="","",INDEX(_imp!$E$4:$E$4503,_imp!$C$2081))</f>
        <v/>
      </c>
      <c r="C2079" s="54">
        <f>IF(_imp!$C$2081="","",INDEX(_imp!$F$4:$F$4503,_imp!$C$2081))</f>
        <v/>
      </c>
      <c r="D2079" s="54">
        <f>IF(_imp!$C$2081="","",INDEX(_imp!$G$4:$G$4503,_imp!$C$2081))</f>
        <v/>
      </c>
      <c r="E2079" s="54">
        <f>IF(_imp!$C$2081="","",INDEX(_imp!$H$4:$H$4503,_imp!$C$2081))</f>
        <v/>
      </c>
      <c r="F2079" s="54">
        <f>IF(_imp!$C$2081="","",INDEX(_imp!$I$4:$I$4503,_imp!$C$2081))</f>
        <v/>
      </c>
      <c r="G2079" s="54">
        <f>IF(_imp!$C$2081="","",INDEX(_imp!$J$4:$J$4503,_imp!$C$2081))</f>
        <v/>
      </c>
      <c r="K2079" s="54">
        <f>IF(_imp!$C$2081="","",INDEX(_imp!$K$4:$K$4503,_imp!$C$2081))</f>
        <v/>
      </c>
    </row>
    <row r="2080">
      <c r="A2080" s="54">
        <f>IF(_imp!$C$2082="","",INDEX(_imp!$D$4:$D$4503,_imp!$C$2082))</f>
        <v/>
      </c>
      <c r="B2080" s="54">
        <f>IF(_imp!$C$2082="","",INDEX(_imp!$E$4:$E$4503,_imp!$C$2082))</f>
        <v/>
      </c>
      <c r="C2080" s="54">
        <f>IF(_imp!$C$2082="","",INDEX(_imp!$F$4:$F$4503,_imp!$C$2082))</f>
        <v/>
      </c>
      <c r="D2080" s="54">
        <f>IF(_imp!$C$2082="","",INDEX(_imp!$G$4:$G$4503,_imp!$C$2082))</f>
        <v/>
      </c>
      <c r="E2080" s="54">
        <f>IF(_imp!$C$2082="","",INDEX(_imp!$H$4:$H$4503,_imp!$C$2082))</f>
        <v/>
      </c>
      <c r="F2080" s="54">
        <f>IF(_imp!$C$2082="","",INDEX(_imp!$I$4:$I$4503,_imp!$C$2082))</f>
        <v/>
      </c>
      <c r="G2080" s="54">
        <f>IF(_imp!$C$2082="","",INDEX(_imp!$J$4:$J$4503,_imp!$C$2082))</f>
        <v/>
      </c>
      <c r="K2080" s="54">
        <f>IF(_imp!$C$2082="","",INDEX(_imp!$K$4:$K$4503,_imp!$C$2082))</f>
        <v/>
      </c>
    </row>
    <row r="2081">
      <c r="A2081" s="54">
        <f>IF(_imp!$C$2083="","",INDEX(_imp!$D$4:$D$4503,_imp!$C$2083))</f>
        <v/>
      </c>
      <c r="B2081" s="54">
        <f>IF(_imp!$C$2083="","",INDEX(_imp!$E$4:$E$4503,_imp!$C$2083))</f>
        <v/>
      </c>
      <c r="C2081" s="54">
        <f>IF(_imp!$C$2083="","",INDEX(_imp!$F$4:$F$4503,_imp!$C$2083))</f>
        <v/>
      </c>
      <c r="D2081" s="54">
        <f>IF(_imp!$C$2083="","",INDEX(_imp!$G$4:$G$4503,_imp!$C$2083))</f>
        <v/>
      </c>
      <c r="E2081" s="54">
        <f>IF(_imp!$C$2083="","",INDEX(_imp!$H$4:$H$4503,_imp!$C$2083))</f>
        <v/>
      </c>
      <c r="F2081" s="54">
        <f>IF(_imp!$C$2083="","",INDEX(_imp!$I$4:$I$4503,_imp!$C$2083))</f>
        <v/>
      </c>
      <c r="G2081" s="54">
        <f>IF(_imp!$C$2083="","",INDEX(_imp!$J$4:$J$4503,_imp!$C$2083))</f>
        <v/>
      </c>
      <c r="K2081" s="54">
        <f>IF(_imp!$C$2083="","",INDEX(_imp!$K$4:$K$4503,_imp!$C$2083))</f>
        <v/>
      </c>
    </row>
    <row r="2082">
      <c r="A2082" s="54">
        <f>IF(_imp!$C$2084="","",INDEX(_imp!$D$4:$D$4503,_imp!$C$2084))</f>
        <v/>
      </c>
      <c r="B2082" s="54">
        <f>IF(_imp!$C$2084="","",INDEX(_imp!$E$4:$E$4503,_imp!$C$2084))</f>
        <v/>
      </c>
      <c r="C2082" s="54">
        <f>IF(_imp!$C$2084="","",INDEX(_imp!$F$4:$F$4503,_imp!$C$2084))</f>
        <v/>
      </c>
      <c r="D2082" s="54">
        <f>IF(_imp!$C$2084="","",INDEX(_imp!$G$4:$G$4503,_imp!$C$2084))</f>
        <v/>
      </c>
      <c r="E2082" s="54">
        <f>IF(_imp!$C$2084="","",INDEX(_imp!$H$4:$H$4503,_imp!$C$2084))</f>
        <v/>
      </c>
      <c r="F2082" s="54">
        <f>IF(_imp!$C$2084="","",INDEX(_imp!$I$4:$I$4503,_imp!$C$2084))</f>
        <v/>
      </c>
      <c r="G2082" s="54">
        <f>IF(_imp!$C$2084="","",INDEX(_imp!$J$4:$J$4503,_imp!$C$2084))</f>
        <v/>
      </c>
      <c r="K2082" s="54">
        <f>IF(_imp!$C$2084="","",INDEX(_imp!$K$4:$K$4503,_imp!$C$2084))</f>
        <v/>
      </c>
    </row>
    <row r="2083">
      <c r="A2083" s="54">
        <f>IF(_imp!$C$2085="","",INDEX(_imp!$D$4:$D$4503,_imp!$C$2085))</f>
        <v/>
      </c>
      <c r="B2083" s="54">
        <f>IF(_imp!$C$2085="","",INDEX(_imp!$E$4:$E$4503,_imp!$C$2085))</f>
        <v/>
      </c>
      <c r="C2083" s="54">
        <f>IF(_imp!$C$2085="","",INDEX(_imp!$F$4:$F$4503,_imp!$C$2085))</f>
        <v/>
      </c>
      <c r="D2083" s="54">
        <f>IF(_imp!$C$2085="","",INDEX(_imp!$G$4:$G$4503,_imp!$C$2085))</f>
        <v/>
      </c>
      <c r="E2083" s="54">
        <f>IF(_imp!$C$2085="","",INDEX(_imp!$H$4:$H$4503,_imp!$C$2085))</f>
        <v/>
      </c>
      <c r="F2083" s="54">
        <f>IF(_imp!$C$2085="","",INDEX(_imp!$I$4:$I$4503,_imp!$C$2085))</f>
        <v/>
      </c>
      <c r="G2083" s="54">
        <f>IF(_imp!$C$2085="","",INDEX(_imp!$J$4:$J$4503,_imp!$C$2085))</f>
        <v/>
      </c>
      <c r="K2083" s="54">
        <f>IF(_imp!$C$2085="","",INDEX(_imp!$K$4:$K$4503,_imp!$C$2085))</f>
        <v/>
      </c>
    </row>
    <row r="2084">
      <c r="A2084" s="54">
        <f>IF(_imp!$C$2086="","",INDEX(_imp!$D$4:$D$4503,_imp!$C$2086))</f>
        <v/>
      </c>
      <c r="B2084" s="54">
        <f>IF(_imp!$C$2086="","",INDEX(_imp!$E$4:$E$4503,_imp!$C$2086))</f>
        <v/>
      </c>
      <c r="C2084" s="54">
        <f>IF(_imp!$C$2086="","",INDEX(_imp!$F$4:$F$4503,_imp!$C$2086))</f>
        <v/>
      </c>
      <c r="D2084" s="54">
        <f>IF(_imp!$C$2086="","",INDEX(_imp!$G$4:$G$4503,_imp!$C$2086))</f>
        <v/>
      </c>
      <c r="E2084" s="54">
        <f>IF(_imp!$C$2086="","",INDEX(_imp!$H$4:$H$4503,_imp!$C$2086))</f>
        <v/>
      </c>
      <c r="F2084" s="54">
        <f>IF(_imp!$C$2086="","",INDEX(_imp!$I$4:$I$4503,_imp!$C$2086))</f>
        <v/>
      </c>
      <c r="G2084" s="54">
        <f>IF(_imp!$C$2086="","",INDEX(_imp!$J$4:$J$4503,_imp!$C$2086))</f>
        <v/>
      </c>
      <c r="K2084" s="54">
        <f>IF(_imp!$C$2086="","",INDEX(_imp!$K$4:$K$4503,_imp!$C$2086))</f>
        <v/>
      </c>
    </row>
    <row r="2085">
      <c r="A2085" s="54">
        <f>IF(_imp!$C$2087="","",INDEX(_imp!$D$4:$D$4503,_imp!$C$2087))</f>
        <v/>
      </c>
      <c r="B2085" s="54">
        <f>IF(_imp!$C$2087="","",INDEX(_imp!$E$4:$E$4503,_imp!$C$2087))</f>
        <v/>
      </c>
      <c r="C2085" s="54">
        <f>IF(_imp!$C$2087="","",INDEX(_imp!$F$4:$F$4503,_imp!$C$2087))</f>
        <v/>
      </c>
      <c r="D2085" s="54">
        <f>IF(_imp!$C$2087="","",INDEX(_imp!$G$4:$G$4503,_imp!$C$2087))</f>
        <v/>
      </c>
      <c r="E2085" s="54">
        <f>IF(_imp!$C$2087="","",INDEX(_imp!$H$4:$H$4503,_imp!$C$2087))</f>
        <v/>
      </c>
      <c r="F2085" s="54">
        <f>IF(_imp!$C$2087="","",INDEX(_imp!$I$4:$I$4503,_imp!$C$2087))</f>
        <v/>
      </c>
      <c r="G2085" s="54">
        <f>IF(_imp!$C$2087="","",INDEX(_imp!$J$4:$J$4503,_imp!$C$2087))</f>
        <v/>
      </c>
      <c r="K2085" s="54">
        <f>IF(_imp!$C$2087="","",INDEX(_imp!$K$4:$K$4503,_imp!$C$2087))</f>
        <v/>
      </c>
    </row>
    <row r="2086">
      <c r="A2086" s="54">
        <f>IF(_imp!$C$2088="","",INDEX(_imp!$D$4:$D$4503,_imp!$C$2088))</f>
        <v/>
      </c>
      <c r="B2086" s="54">
        <f>IF(_imp!$C$2088="","",INDEX(_imp!$E$4:$E$4503,_imp!$C$2088))</f>
        <v/>
      </c>
      <c r="C2086" s="54">
        <f>IF(_imp!$C$2088="","",INDEX(_imp!$F$4:$F$4503,_imp!$C$2088))</f>
        <v/>
      </c>
      <c r="D2086" s="54">
        <f>IF(_imp!$C$2088="","",INDEX(_imp!$G$4:$G$4503,_imp!$C$2088))</f>
        <v/>
      </c>
      <c r="E2086" s="54">
        <f>IF(_imp!$C$2088="","",INDEX(_imp!$H$4:$H$4503,_imp!$C$2088))</f>
        <v/>
      </c>
      <c r="F2086" s="54">
        <f>IF(_imp!$C$2088="","",INDEX(_imp!$I$4:$I$4503,_imp!$C$2088))</f>
        <v/>
      </c>
      <c r="G2086" s="54">
        <f>IF(_imp!$C$2088="","",INDEX(_imp!$J$4:$J$4503,_imp!$C$2088))</f>
        <v/>
      </c>
      <c r="K2086" s="54">
        <f>IF(_imp!$C$2088="","",INDEX(_imp!$K$4:$K$4503,_imp!$C$2088))</f>
        <v/>
      </c>
    </row>
    <row r="2087">
      <c r="A2087" s="54">
        <f>IF(_imp!$C$2089="","",INDEX(_imp!$D$4:$D$4503,_imp!$C$2089))</f>
        <v/>
      </c>
      <c r="B2087" s="54">
        <f>IF(_imp!$C$2089="","",INDEX(_imp!$E$4:$E$4503,_imp!$C$2089))</f>
        <v/>
      </c>
      <c r="C2087" s="54">
        <f>IF(_imp!$C$2089="","",INDEX(_imp!$F$4:$F$4503,_imp!$C$2089))</f>
        <v/>
      </c>
      <c r="D2087" s="54">
        <f>IF(_imp!$C$2089="","",INDEX(_imp!$G$4:$G$4503,_imp!$C$2089))</f>
        <v/>
      </c>
      <c r="E2087" s="54">
        <f>IF(_imp!$C$2089="","",INDEX(_imp!$H$4:$H$4503,_imp!$C$2089))</f>
        <v/>
      </c>
      <c r="F2087" s="54">
        <f>IF(_imp!$C$2089="","",INDEX(_imp!$I$4:$I$4503,_imp!$C$2089))</f>
        <v/>
      </c>
      <c r="G2087" s="54">
        <f>IF(_imp!$C$2089="","",INDEX(_imp!$J$4:$J$4503,_imp!$C$2089))</f>
        <v/>
      </c>
      <c r="K2087" s="54">
        <f>IF(_imp!$C$2089="","",INDEX(_imp!$K$4:$K$4503,_imp!$C$2089))</f>
        <v/>
      </c>
    </row>
    <row r="2088">
      <c r="A2088" s="54">
        <f>IF(_imp!$C$2090="","",INDEX(_imp!$D$4:$D$4503,_imp!$C$2090))</f>
        <v/>
      </c>
      <c r="B2088" s="54">
        <f>IF(_imp!$C$2090="","",INDEX(_imp!$E$4:$E$4503,_imp!$C$2090))</f>
        <v/>
      </c>
      <c r="C2088" s="54">
        <f>IF(_imp!$C$2090="","",INDEX(_imp!$F$4:$F$4503,_imp!$C$2090))</f>
        <v/>
      </c>
      <c r="D2088" s="54">
        <f>IF(_imp!$C$2090="","",INDEX(_imp!$G$4:$G$4503,_imp!$C$2090))</f>
        <v/>
      </c>
      <c r="E2088" s="54">
        <f>IF(_imp!$C$2090="","",INDEX(_imp!$H$4:$H$4503,_imp!$C$2090))</f>
        <v/>
      </c>
      <c r="F2088" s="54">
        <f>IF(_imp!$C$2090="","",INDEX(_imp!$I$4:$I$4503,_imp!$C$2090))</f>
        <v/>
      </c>
      <c r="G2088" s="54">
        <f>IF(_imp!$C$2090="","",INDEX(_imp!$J$4:$J$4503,_imp!$C$2090))</f>
        <v/>
      </c>
      <c r="K2088" s="54">
        <f>IF(_imp!$C$2090="","",INDEX(_imp!$K$4:$K$4503,_imp!$C$2090))</f>
        <v/>
      </c>
    </row>
    <row r="2089">
      <c r="A2089" s="54">
        <f>IF(_imp!$C$2091="","",INDEX(_imp!$D$4:$D$4503,_imp!$C$2091))</f>
        <v/>
      </c>
      <c r="B2089" s="54">
        <f>IF(_imp!$C$2091="","",INDEX(_imp!$E$4:$E$4503,_imp!$C$2091))</f>
        <v/>
      </c>
      <c r="C2089" s="54">
        <f>IF(_imp!$C$2091="","",INDEX(_imp!$F$4:$F$4503,_imp!$C$2091))</f>
        <v/>
      </c>
      <c r="D2089" s="54">
        <f>IF(_imp!$C$2091="","",INDEX(_imp!$G$4:$G$4503,_imp!$C$2091))</f>
        <v/>
      </c>
      <c r="E2089" s="54">
        <f>IF(_imp!$C$2091="","",INDEX(_imp!$H$4:$H$4503,_imp!$C$2091))</f>
        <v/>
      </c>
      <c r="F2089" s="54">
        <f>IF(_imp!$C$2091="","",INDEX(_imp!$I$4:$I$4503,_imp!$C$2091))</f>
        <v/>
      </c>
      <c r="G2089" s="54">
        <f>IF(_imp!$C$2091="","",INDEX(_imp!$J$4:$J$4503,_imp!$C$2091))</f>
        <v/>
      </c>
      <c r="K2089" s="54">
        <f>IF(_imp!$C$2091="","",INDEX(_imp!$K$4:$K$4503,_imp!$C$2091))</f>
        <v/>
      </c>
    </row>
    <row r="2090">
      <c r="A2090" s="54">
        <f>IF(_imp!$C$2092="","",INDEX(_imp!$D$4:$D$4503,_imp!$C$2092))</f>
        <v/>
      </c>
      <c r="B2090" s="54">
        <f>IF(_imp!$C$2092="","",INDEX(_imp!$E$4:$E$4503,_imp!$C$2092))</f>
        <v/>
      </c>
      <c r="C2090" s="54">
        <f>IF(_imp!$C$2092="","",INDEX(_imp!$F$4:$F$4503,_imp!$C$2092))</f>
        <v/>
      </c>
      <c r="D2090" s="54">
        <f>IF(_imp!$C$2092="","",INDEX(_imp!$G$4:$G$4503,_imp!$C$2092))</f>
        <v/>
      </c>
      <c r="E2090" s="54">
        <f>IF(_imp!$C$2092="","",INDEX(_imp!$H$4:$H$4503,_imp!$C$2092))</f>
        <v/>
      </c>
      <c r="F2090" s="54">
        <f>IF(_imp!$C$2092="","",INDEX(_imp!$I$4:$I$4503,_imp!$C$2092))</f>
        <v/>
      </c>
      <c r="G2090" s="54">
        <f>IF(_imp!$C$2092="","",INDEX(_imp!$J$4:$J$4503,_imp!$C$2092))</f>
        <v/>
      </c>
      <c r="K2090" s="54">
        <f>IF(_imp!$C$2092="","",INDEX(_imp!$K$4:$K$4503,_imp!$C$2092))</f>
        <v/>
      </c>
    </row>
    <row r="2091">
      <c r="A2091" s="54">
        <f>IF(_imp!$C$2093="","",INDEX(_imp!$D$4:$D$4503,_imp!$C$2093))</f>
        <v/>
      </c>
      <c r="B2091" s="54">
        <f>IF(_imp!$C$2093="","",INDEX(_imp!$E$4:$E$4503,_imp!$C$2093))</f>
        <v/>
      </c>
      <c r="C2091" s="54">
        <f>IF(_imp!$C$2093="","",INDEX(_imp!$F$4:$F$4503,_imp!$C$2093))</f>
        <v/>
      </c>
      <c r="D2091" s="54">
        <f>IF(_imp!$C$2093="","",INDEX(_imp!$G$4:$G$4503,_imp!$C$2093))</f>
        <v/>
      </c>
      <c r="E2091" s="54">
        <f>IF(_imp!$C$2093="","",INDEX(_imp!$H$4:$H$4503,_imp!$C$2093))</f>
        <v/>
      </c>
      <c r="F2091" s="54">
        <f>IF(_imp!$C$2093="","",INDEX(_imp!$I$4:$I$4503,_imp!$C$2093))</f>
        <v/>
      </c>
      <c r="G2091" s="54">
        <f>IF(_imp!$C$2093="","",INDEX(_imp!$J$4:$J$4503,_imp!$C$2093))</f>
        <v/>
      </c>
      <c r="K2091" s="54">
        <f>IF(_imp!$C$2093="","",INDEX(_imp!$K$4:$K$4503,_imp!$C$2093))</f>
        <v/>
      </c>
    </row>
    <row r="2092">
      <c r="A2092" s="54">
        <f>IF(_imp!$C$2094="","",INDEX(_imp!$D$4:$D$4503,_imp!$C$2094))</f>
        <v/>
      </c>
      <c r="B2092" s="54">
        <f>IF(_imp!$C$2094="","",INDEX(_imp!$E$4:$E$4503,_imp!$C$2094))</f>
        <v/>
      </c>
      <c r="C2092" s="54">
        <f>IF(_imp!$C$2094="","",INDEX(_imp!$F$4:$F$4503,_imp!$C$2094))</f>
        <v/>
      </c>
      <c r="D2092" s="54">
        <f>IF(_imp!$C$2094="","",INDEX(_imp!$G$4:$G$4503,_imp!$C$2094))</f>
        <v/>
      </c>
      <c r="E2092" s="54">
        <f>IF(_imp!$C$2094="","",INDEX(_imp!$H$4:$H$4503,_imp!$C$2094))</f>
        <v/>
      </c>
      <c r="F2092" s="54">
        <f>IF(_imp!$C$2094="","",INDEX(_imp!$I$4:$I$4503,_imp!$C$2094))</f>
        <v/>
      </c>
      <c r="G2092" s="54">
        <f>IF(_imp!$C$2094="","",INDEX(_imp!$J$4:$J$4503,_imp!$C$2094))</f>
        <v/>
      </c>
      <c r="K2092" s="54">
        <f>IF(_imp!$C$2094="","",INDEX(_imp!$K$4:$K$4503,_imp!$C$2094))</f>
        <v/>
      </c>
    </row>
    <row r="2093">
      <c r="A2093" s="54">
        <f>IF(_imp!$C$2095="","",INDEX(_imp!$D$4:$D$4503,_imp!$C$2095))</f>
        <v/>
      </c>
      <c r="B2093" s="54">
        <f>IF(_imp!$C$2095="","",INDEX(_imp!$E$4:$E$4503,_imp!$C$2095))</f>
        <v/>
      </c>
      <c r="C2093" s="54">
        <f>IF(_imp!$C$2095="","",INDEX(_imp!$F$4:$F$4503,_imp!$C$2095))</f>
        <v/>
      </c>
      <c r="D2093" s="54">
        <f>IF(_imp!$C$2095="","",INDEX(_imp!$G$4:$G$4503,_imp!$C$2095))</f>
        <v/>
      </c>
      <c r="E2093" s="54">
        <f>IF(_imp!$C$2095="","",INDEX(_imp!$H$4:$H$4503,_imp!$C$2095))</f>
        <v/>
      </c>
      <c r="F2093" s="54">
        <f>IF(_imp!$C$2095="","",INDEX(_imp!$I$4:$I$4503,_imp!$C$2095))</f>
        <v/>
      </c>
      <c r="G2093" s="54">
        <f>IF(_imp!$C$2095="","",INDEX(_imp!$J$4:$J$4503,_imp!$C$2095))</f>
        <v/>
      </c>
      <c r="K2093" s="54">
        <f>IF(_imp!$C$2095="","",INDEX(_imp!$K$4:$K$4503,_imp!$C$2095))</f>
        <v/>
      </c>
    </row>
    <row r="2094">
      <c r="A2094" s="54">
        <f>IF(_imp!$C$2096="","",INDEX(_imp!$D$4:$D$4503,_imp!$C$2096))</f>
        <v/>
      </c>
      <c r="B2094" s="54">
        <f>IF(_imp!$C$2096="","",INDEX(_imp!$E$4:$E$4503,_imp!$C$2096))</f>
        <v/>
      </c>
      <c r="C2094" s="54">
        <f>IF(_imp!$C$2096="","",INDEX(_imp!$F$4:$F$4503,_imp!$C$2096))</f>
        <v/>
      </c>
      <c r="D2094" s="54">
        <f>IF(_imp!$C$2096="","",INDEX(_imp!$G$4:$G$4503,_imp!$C$2096))</f>
        <v/>
      </c>
      <c r="E2094" s="54">
        <f>IF(_imp!$C$2096="","",INDEX(_imp!$H$4:$H$4503,_imp!$C$2096))</f>
        <v/>
      </c>
      <c r="F2094" s="54">
        <f>IF(_imp!$C$2096="","",INDEX(_imp!$I$4:$I$4503,_imp!$C$2096))</f>
        <v/>
      </c>
      <c r="G2094" s="54">
        <f>IF(_imp!$C$2096="","",INDEX(_imp!$J$4:$J$4503,_imp!$C$2096))</f>
        <v/>
      </c>
      <c r="K2094" s="54">
        <f>IF(_imp!$C$2096="","",INDEX(_imp!$K$4:$K$4503,_imp!$C$2096))</f>
        <v/>
      </c>
    </row>
    <row r="2095">
      <c r="A2095" s="54">
        <f>IF(_imp!$C$2097="","",INDEX(_imp!$D$4:$D$4503,_imp!$C$2097))</f>
        <v/>
      </c>
      <c r="B2095" s="54">
        <f>IF(_imp!$C$2097="","",INDEX(_imp!$E$4:$E$4503,_imp!$C$2097))</f>
        <v/>
      </c>
      <c r="C2095" s="54">
        <f>IF(_imp!$C$2097="","",INDEX(_imp!$F$4:$F$4503,_imp!$C$2097))</f>
        <v/>
      </c>
      <c r="D2095" s="54">
        <f>IF(_imp!$C$2097="","",INDEX(_imp!$G$4:$G$4503,_imp!$C$2097))</f>
        <v/>
      </c>
      <c r="E2095" s="54">
        <f>IF(_imp!$C$2097="","",INDEX(_imp!$H$4:$H$4503,_imp!$C$2097))</f>
        <v/>
      </c>
      <c r="F2095" s="54">
        <f>IF(_imp!$C$2097="","",INDEX(_imp!$I$4:$I$4503,_imp!$C$2097))</f>
        <v/>
      </c>
      <c r="G2095" s="54">
        <f>IF(_imp!$C$2097="","",INDEX(_imp!$J$4:$J$4503,_imp!$C$2097))</f>
        <v/>
      </c>
      <c r="K2095" s="54">
        <f>IF(_imp!$C$2097="","",INDEX(_imp!$K$4:$K$4503,_imp!$C$2097))</f>
        <v/>
      </c>
    </row>
    <row r="2096">
      <c r="A2096" s="54">
        <f>IF(_imp!$C$2098="","",INDEX(_imp!$D$4:$D$4503,_imp!$C$2098))</f>
        <v/>
      </c>
      <c r="B2096" s="54">
        <f>IF(_imp!$C$2098="","",INDEX(_imp!$E$4:$E$4503,_imp!$C$2098))</f>
        <v/>
      </c>
      <c r="C2096" s="54">
        <f>IF(_imp!$C$2098="","",INDEX(_imp!$F$4:$F$4503,_imp!$C$2098))</f>
        <v/>
      </c>
      <c r="D2096" s="54">
        <f>IF(_imp!$C$2098="","",INDEX(_imp!$G$4:$G$4503,_imp!$C$2098))</f>
        <v/>
      </c>
      <c r="E2096" s="54">
        <f>IF(_imp!$C$2098="","",INDEX(_imp!$H$4:$H$4503,_imp!$C$2098))</f>
        <v/>
      </c>
      <c r="F2096" s="54">
        <f>IF(_imp!$C$2098="","",INDEX(_imp!$I$4:$I$4503,_imp!$C$2098))</f>
        <v/>
      </c>
      <c r="G2096" s="54">
        <f>IF(_imp!$C$2098="","",INDEX(_imp!$J$4:$J$4503,_imp!$C$2098))</f>
        <v/>
      </c>
      <c r="K2096" s="54">
        <f>IF(_imp!$C$2098="","",INDEX(_imp!$K$4:$K$4503,_imp!$C$2098))</f>
        <v/>
      </c>
    </row>
    <row r="2097">
      <c r="A2097" s="54">
        <f>IF(_imp!$C$2099="","",INDEX(_imp!$D$4:$D$4503,_imp!$C$2099))</f>
        <v/>
      </c>
      <c r="B2097" s="54">
        <f>IF(_imp!$C$2099="","",INDEX(_imp!$E$4:$E$4503,_imp!$C$2099))</f>
        <v/>
      </c>
      <c r="C2097" s="54">
        <f>IF(_imp!$C$2099="","",INDEX(_imp!$F$4:$F$4503,_imp!$C$2099))</f>
        <v/>
      </c>
      <c r="D2097" s="54">
        <f>IF(_imp!$C$2099="","",INDEX(_imp!$G$4:$G$4503,_imp!$C$2099))</f>
        <v/>
      </c>
      <c r="E2097" s="54">
        <f>IF(_imp!$C$2099="","",INDEX(_imp!$H$4:$H$4503,_imp!$C$2099))</f>
        <v/>
      </c>
      <c r="F2097" s="54">
        <f>IF(_imp!$C$2099="","",INDEX(_imp!$I$4:$I$4503,_imp!$C$2099))</f>
        <v/>
      </c>
      <c r="G2097" s="54">
        <f>IF(_imp!$C$2099="","",INDEX(_imp!$J$4:$J$4503,_imp!$C$2099))</f>
        <v/>
      </c>
      <c r="K2097" s="54">
        <f>IF(_imp!$C$2099="","",INDEX(_imp!$K$4:$K$4503,_imp!$C$2099))</f>
        <v/>
      </c>
    </row>
    <row r="2098">
      <c r="A2098" s="54">
        <f>IF(_imp!$C$2100="","",INDEX(_imp!$D$4:$D$4503,_imp!$C$2100))</f>
        <v/>
      </c>
      <c r="B2098" s="54">
        <f>IF(_imp!$C$2100="","",INDEX(_imp!$E$4:$E$4503,_imp!$C$2100))</f>
        <v/>
      </c>
      <c r="C2098" s="54">
        <f>IF(_imp!$C$2100="","",INDEX(_imp!$F$4:$F$4503,_imp!$C$2100))</f>
        <v/>
      </c>
      <c r="D2098" s="54">
        <f>IF(_imp!$C$2100="","",INDEX(_imp!$G$4:$G$4503,_imp!$C$2100))</f>
        <v/>
      </c>
      <c r="E2098" s="54">
        <f>IF(_imp!$C$2100="","",INDEX(_imp!$H$4:$H$4503,_imp!$C$2100))</f>
        <v/>
      </c>
      <c r="F2098" s="54">
        <f>IF(_imp!$C$2100="","",INDEX(_imp!$I$4:$I$4503,_imp!$C$2100))</f>
        <v/>
      </c>
      <c r="G2098" s="54">
        <f>IF(_imp!$C$2100="","",INDEX(_imp!$J$4:$J$4503,_imp!$C$2100))</f>
        <v/>
      </c>
      <c r="K2098" s="54">
        <f>IF(_imp!$C$2100="","",INDEX(_imp!$K$4:$K$4503,_imp!$C$2100))</f>
        <v/>
      </c>
    </row>
    <row r="2099">
      <c r="A2099" s="54">
        <f>IF(_imp!$C$2101="","",INDEX(_imp!$D$4:$D$4503,_imp!$C$2101))</f>
        <v/>
      </c>
      <c r="B2099" s="54">
        <f>IF(_imp!$C$2101="","",INDEX(_imp!$E$4:$E$4503,_imp!$C$2101))</f>
        <v/>
      </c>
      <c r="C2099" s="54">
        <f>IF(_imp!$C$2101="","",INDEX(_imp!$F$4:$F$4503,_imp!$C$2101))</f>
        <v/>
      </c>
      <c r="D2099" s="54">
        <f>IF(_imp!$C$2101="","",INDEX(_imp!$G$4:$G$4503,_imp!$C$2101))</f>
        <v/>
      </c>
      <c r="E2099" s="54">
        <f>IF(_imp!$C$2101="","",INDEX(_imp!$H$4:$H$4503,_imp!$C$2101))</f>
        <v/>
      </c>
      <c r="F2099" s="54">
        <f>IF(_imp!$C$2101="","",INDEX(_imp!$I$4:$I$4503,_imp!$C$2101))</f>
        <v/>
      </c>
      <c r="G2099" s="54">
        <f>IF(_imp!$C$2101="","",INDEX(_imp!$J$4:$J$4503,_imp!$C$2101))</f>
        <v/>
      </c>
      <c r="K2099" s="54">
        <f>IF(_imp!$C$2101="","",INDEX(_imp!$K$4:$K$4503,_imp!$C$2101))</f>
        <v/>
      </c>
    </row>
    <row r="2100">
      <c r="A2100" s="54">
        <f>IF(_imp!$C$2102="","",INDEX(_imp!$D$4:$D$4503,_imp!$C$2102))</f>
        <v/>
      </c>
      <c r="B2100" s="54">
        <f>IF(_imp!$C$2102="","",INDEX(_imp!$E$4:$E$4503,_imp!$C$2102))</f>
        <v/>
      </c>
      <c r="C2100" s="54">
        <f>IF(_imp!$C$2102="","",INDEX(_imp!$F$4:$F$4503,_imp!$C$2102))</f>
        <v/>
      </c>
      <c r="D2100" s="54">
        <f>IF(_imp!$C$2102="","",INDEX(_imp!$G$4:$G$4503,_imp!$C$2102))</f>
        <v/>
      </c>
      <c r="E2100" s="54">
        <f>IF(_imp!$C$2102="","",INDEX(_imp!$H$4:$H$4503,_imp!$C$2102))</f>
        <v/>
      </c>
      <c r="F2100" s="54">
        <f>IF(_imp!$C$2102="","",INDEX(_imp!$I$4:$I$4503,_imp!$C$2102))</f>
        <v/>
      </c>
      <c r="G2100" s="54">
        <f>IF(_imp!$C$2102="","",INDEX(_imp!$J$4:$J$4503,_imp!$C$2102))</f>
        <v/>
      </c>
      <c r="K2100" s="54">
        <f>IF(_imp!$C$2102="","",INDEX(_imp!$K$4:$K$4503,_imp!$C$2102))</f>
        <v/>
      </c>
    </row>
    <row r="2101">
      <c r="A2101" s="54">
        <f>IF(_imp!$C$2103="","",INDEX(_imp!$D$4:$D$4503,_imp!$C$2103))</f>
        <v/>
      </c>
      <c r="B2101" s="54">
        <f>IF(_imp!$C$2103="","",INDEX(_imp!$E$4:$E$4503,_imp!$C$2103))</f>
        <v/>
      </c>
      <c r="C2101" s="54">
        <f>IF(_imp!$C$2103="","",INDEX(_imp!$F$4:$F$4503,_imp!$C$2103))</f>
        <v/>
      </c>
      <c r="D2101" s="54">
        <f>IF(_imp!$C$2103="","",INDEX(_imp!$G$4:$G$4503,_imp!$C$2103))</f>
        <v/>
      </c>
      <c r="E2101" s="54">
        <f>IF(_imp!$C$2103="","",INDEX(_imp!$H$4:$H$4503,_imp!$C$2103))</f>
        <v/>
      </c>
      <c r="F2101" s="54">
        <f>IF(_imp!$C$2103="","",INDEX(_imp!$I$4:$I$4503,_imp!$C$2103))</f>
        <v/>
      </c>
      <c r="G2101" s="54">
        <f>IF(_imp!$C$2103="","",INDEX(_imp!$J$4:$J$4503,_imp!$C$2103))</f>
        <v/>
      </c>
      <c r="K2101" s="54">
        <f>IF(_imp!$C$2103="","",INDEX(_imp!$K$4:$K$4503,_imp!$C$2103))</f>
        <v/>
      </c>
    </row>
    <row r="2102">
      <c r="A2102" s="54">
        <f>IF(_imp!$C$2104="","",INDEX(_imp!$D$4:$D$4503,_imp!$C$2104))</f>
        <v/>
      </c>
      <c r="B2102" s="54">
        <f>IF(_imp!$C$2104="","",INDEX(_imp!$E$4:$E$4503,_imp!$C$2104))</f>
        <v/>
      </c>
      <c r="C2102" s="54">
        <f>IF(_imp!$C$2104="","",INDEX(_imp!$F$4:$F$4503,_imp!$C$2104))</f>
        <v/>
      </c>
      <c r="D2102" s="54">
        <f>IF(_imp!$C$2104="","",INDEX(_imp!$G$4:$G$4503,_imp!$C$2104))</f>
        <v/>
      </c>
      <c r="E2102" s="54">
        <f>IF(_imp!$C$2104="","",INDEX(_imp!$H$4:$H$4503,_imp!$C$2104))</f>
        <v/>
      </c>
      <c r="F2102" s="54">
        <f>IF(_imp!$C$2104="","",INDEX(_imp!$I$4:$I$4503,_imp!$C$2104))</f>
        <v/>
      </c>
      <c r="G2102" s="54">
        <f>IF(_imp!$C$2104="","",INDEX(_imp!$J$4:$J$4503,_imp!$C$2104))</f>
        <v/>
      </c>
      <c r="K2102" s="54">
        <f>IF(_imp!$C$2104="","",INDEX(_imp!$K$4:$K$4503,_imp!$C$2104))</f>
        <v/>
      </c>
    </row>
    <row r="2103">
      <c r="A2103" s="54">
        <f>IF(_imp!$C$2105="","",INDEX(_imp!$D$4:$D$4503,_imp!$C$2105))</f>
        <v/>
      </c>
      <c r="B2103" s="54">
        <f>IF(_imp!$C$2105="","",INDEX(_imp!$E$4:$E$4503,_imp!$C$2105))</f>
        <v/>
      </c>
      <c r="C2103" s="54">
        <f>IF(_imp!$C$2105="","",INDEX(_imp!$F$4:$F$4503,_imp!$C$2105))</f>
        <v/>
      </c>
      <c r="D2103" s="54">
        <f>IF(_imp!$C$2105="","",INDEX(_imp!$G$4:$G$4503,_imp!$C$2105))</f>
        <v/>
      </c>
      <c r="E2103" s="54">
        <f>IF(_imp!$C$2105="","",INDEX(_imp!$H$4:$H$4503,_imp!$C$2105))</f>
        <v/>
      </c>
      <c r="F2103" s="54">
        <f>IF(_imp!$C$2105="","",INDEX(_imp!$I$4:$I$4503,_imp!$C$2105))</f>
        <v/>
      </c>
      <c r="G2103" s="54">
        <f>IF(_imp!$C$2105="","",INDEX(_imp!$J$4:$J$4503,_imp!$C$2105))</f>
        <v/>
      </c>
      <c r="K2103" s="54">
        <f>IF(_imp!$C$2105="","",INDEX(_imp!$K$4:$K$4503,_imp!$C$2105))</f>
        <v/>
      </c>
    </row>
    <row r="2104">
      <c r="A2104" s="54">
        <f>IF(_imp!$C$2106="","",INDEX(_imp!$D$4:$D$4503,_imp!$C$2106))</f>
        <v/>
      </c>
      <c r="B2104" s="54">
        <f>IF(_imp!$C$2106="","",INDEX(_imp!$E$4:$E$4503,_imp!$C$2106))</f>
        <v/>
      </c>
      <c r="C2104" s="54">
        <f>IF(_imp!$C$2106="","",INDEX(_imp!$F$4:$F$4503,_imp!$C$2106))</f>
        <v/>
      </c>
      <c r="D2104" s="54">
        <f>IF(_imp!$C$2106="","",INDEX(_imp!$G$4:$G$4503,_imp!$C$2106))</f>
        <v/>
      </c>
      <c r="E2104" s="54">
        <f>IF(_imp!$C$2106="","",INDEX(_imp!$H$4:$H$4503,_imp!$C$2106))</f>
        <v/>
      </c>
      <c r="F2104" s="54">
        <f>IF(_imp!$C$2106="","",INDEX(_imp!$I$4:$I$4503,_imp!$C$2106))</f>
        <v/>
      </c>
      <c r="G2104" s="54">
        <f>IF(_imp!$C$2106="","",INDEX(_imp!$J$4:$J$4503,_imp!$C$2106))</f>
        <v/>
      </c>
      <c r="K2104" s="54">
        <f>IF(_imp!$C$2106="","",INDEX(_imp!$K$4:$K$4503,_imp!$C$2106))</f>
        <v/>
      </c>
    </row>
    <row r="2105">
      <c r="A2105" s="54">
        <f>IF(_imp!$C$2107="","",INDEX(_imp!$D$4:$D$4503,_imp!$C$2107))</f>
        <v/>
      </c>
      <c r="B2105" s="54">
        <f>IF(_imp!$C$2107="","",INDEX(_imp!$E$4:$E$4503,_imp!$C$2107))</f>
        <v/>
      </c>
      <c r="C2105" s="54">
        <f>IF(_imp!$C$2107="","",INDEX(_imp!$F$4:$F$4503,_imp!$C$2107))</f>
        <v/>
      </c>
      <c r="D2105" s="54">
        <f>IF(_imp!$C$2107="","",INDEX(_imp!$G$4:$G$4503,_imp!$C$2107))</f>
        <v/>
      </c>
      <c r="E2105" s="54">
        <f>IF(_imp!$C$2107="","",INDEX(_imp!$H$4:$H$4503,_imp!$C$2107))</f>
        <v/>
      </c>
      <c r="F2105" s="54">
        <f>IF(_imp!$C$2107="","",INDEX(_imp!$I$4:$I$4503,_imp!$C$2107))</f>
        <v/>
      </c>
      <c r="G2105" s="54">
        <f>IF(_imp!$C$2107="","",INDEX(_imp!$J$4:$J$4503,_imp!$C$2107))</f>
        <v/>
      </c>
      <c r="K2105" s="54">
        <f>IF(_imp!$C$2107="","",INDEX(_imp!$K$4:$K$4503,_imp!$C$2107))</f>
        <v/>
      </c>
    </row>
    <row r="2106">
      <c r="A2106" s="54">
        <f>IF(_imp!$C$2108="","",INDEX(_imp!$D$4:$D$4503,_imp!$C$2108))</f>
        <v/>
      </c>
      <c r="B2106" s="54">
        <f>IF(_imp!$C$2108="","",INDEX(_imp!$E$4:$E$4503,_imp!$C$2108))</f>
        <v/>
      </c>
      <c r="C2106" s="54">
        <f>IF(_imp!$C$2108="","",INDEX(_imp!$F$4:$F$4503,_imp!$C$2108))</f>
        <v/>
      </c>
      <c r="D2106" s="54">
        <f>IF(_imp!$C$2108="","",INDEX(_imp!$G$4:$G$4503,_imp!$C$2108))</f>
        <v/>
      </c>
      <c r="E2106" s="54">
        <f>IF(_imp!$C$2108="","",INDEX(_imp!$H$4:$H$4503,_imp!$C$2108))</f>
        <v/>
      </c>
      <c r="F2106" s="54">
        <f>IF(_imp!$C$2108="","",INDEX(_imp!$I$4:$I$4503,_imp!$C$2108))</f>
        <v/>
      </c>
      <c r="G2106" s="54">
        <f>IF(_imp!$C$2108="","",INDEX(_imp!$J$4:$J$4503,_imp!$C$2108))</f>
        <v/>
      </c>
      <c r="K2106" s="54">
        <f>IF(_imp!$C$2108="","",INDEX(_imp!$K$4:$K$4503,_imp!$C$2108))</f>
        <v/>
      </c>
    </row>
    <row r="2107">
      <c r="A2107" s="54">
        <f>IF(_imp!$C$2109="","",INDEX(_imp!$D$4:$D$4503,_imp!$C$2109))</f>
        <v/>
      </c>
      <c r="B2107" s="54">
        <f>IF(_imp!$C$2109="","",INDEX(_imp!$E$4:$E$4503,_imp!$C$2109))</f>
        <v/>
      </c>
      <c r="C2107" s="54">
        <f>IF(_imp!$C$2109="","",INDEX(_imp!$F$4:$F$4503,_imp!$C$2109))</f>
        <v/>
      </c>
      <c r="D2107" s="54">
        <f>IF(_imp!$C$2109="","",INDEX(_imp!$G$4:$G$4503,_imp!$C$2109))</f>
        <v/>
      </c>
      <c r="E2107" s="54">
        <f>IF(_imp!$C$2109="","",INDEX(_imp!$H$4:$H$4503,_imp!$C$2109))</f>
        <v/>
      </c>
      <c r="F2107" s="54">
        <f>IF(_imp!$C$2109="","",INDEX(_imp!$I$4:$I$4503,_imp!$C$2109))</f>
        <v/>
      </c>
      <c r="G2107" s="54">
        <f>IF(_imp!$C$2109="","",INDEX(_imp!$J$4:$J$4503,_imp!$C$2109))</f>
        <v/>
      </c>
      <c r="K2107" s="54">
        <f>IF(_imp!$C$2109="","",INDEX(_imp!$K$4:$K$4503,_imp!$C$2109))</f>
        <v/>
      </c>
    </row>
    <row r="2108">
      <c r="A2108" s="54">
        <f>IF(_imp!$C$2110="","",INDEX(_imp!$D$4:$D$4503,_imp!$C$2110))</f>
        <v/>
      </c>
      <c r="B2108" s="54">
        <f>IF(_imp!$C$2110="","",INDEX(_imp!$E$4:$E$4503,_imp!$C$2110))</f>
        <v/>
      </c>
      <c r="C2108" s="54">
        <f>IF(_imp!$C$2110="","",INDEX(_imp!$F$4:$F$4503,_imp!$C$2110))</f>
        <v/>
      </c>
      <c r="D2108" s="54">
        <f>IF(_imp!$C$2110="","",INDEX(_imp!$G$4:$G$4503,_imp!$C$2110))</f>
        <v/>
      </c>
      <c r="E2108" s="54">
        <f>IF(_imp!$C$2110="","",INDEX(_imp!$H$4:$H$4503,_imp!$C$2110))</f>
        <v/>
      </c>
      <c r="F2108" s="54">
        <f>IF(_imp!$C$2110="","",INDEX(_imp!$I$4:$I$4503,_imp!$C$2110))</f>
        <v/>
      </c>
      <c r="G2108" s="54">
        <f>IF(_imp!$C$2110="","",INDEX(_imp!$J$4:$J$4503,_imp!$C$2110))</f>
        <v/>
      </c>
      <c r="K2108" s="54">
        <f>IF(_imp!$C$2110="","",INDEX(_imp!$K$4:$K$4503,_imp!$C$2110))</f>
        <v/>
      </c>
    </row>
    <row r="2109">
      <c r="A2109" s="54">
        <f>IF(_imp!$C$2111="","",INDEX(_imp!$D$4:$D$4503,_imp!$C$2111))</f>
        <v/>
      </c>
      <c r="B2109" s="54">
        <f>IF(_imp!$C$2111="","",INDEX(_imp!$E$4:$E$4503,_imp!$C$2111))</f>
        <v/>
      </c>
      <c r="C2109" s="54">
        <f>IF(_imp!$C$2111="","",INDEX(_imp!$F$4:$F$4503,_imp!$C$2111))</f>
        <v/>
      </c>
      <c r="D2109" s="54">
        <f>IF(_imp!$C$2111="","",INDEX(_imp!$G$4:$G$4503,_imp!$C$2111))</f>
        <v/>
      </c>
      <c r="E2109" s="54">
        <f>IF(_imp!$C$2111="","",INDEX(_imp!$H$4:$H$4503,_imp!$C$2111))</f>
        <v/>
      </c>
      <c r="F2109" s="54">
        <f>IF(_imp!$C$2111="","",INDEX(_imp!$I$4:$I$4503,_imp!$C$2111))</f>
        <v/>
      </c>
      <c r="G2109" s="54">
        <f>IF(_imp!$C$2111="","",INDEX(_imp!$J$4:$J$4503,_imp!$C$2111))</f>
        <v/>
      </c>
      <c r="K2109" s="54">
        <f>IF(_imp!$C$2111="","",INDEX(_imp!$K$4:$K$4503,_imp!$C$2111))</f>
        <v/>
      </c>
    </row>
    <row r="2110">
      <c r="A2110" s="54">
        <f>IF(_imp!$C$2112="","",INDEX(_imp!$D$4:$D$4503,_imp!$C$2112))</f>
        <v/>
      </c>
      <c r="B2110" s="54">
        <f>IF(_imp!$C$2112="","",INDEX(_imp!$E$4:$E$4503,_imp!$C$2112))</f>
        <v/>
      </c>
      <c r="C2110" s="54">
        <f>IF(_imp!$C$2112="","",INDEX(_imp!$F$4:$F$4503,_imp!$C$2112))</f>
        <v/>
      </c>
      <c r="D2110" s="54">
        <f>IF(_imp!$C$2112="","",INDEX(_imp!$G$4:$G$4503,_imp!$C$2112))</f>
        <v/>
      </c>
      <c r="E2110" s="54">
        <f>IF(_imp!$C$2112="","",INDEX(_imp!$H$4:$H$4503,_imp!$C$2112))</f>
        <v/>
      </c>
      <c r="F2110" s="54">
        <f>IF(_imp!$C$2112="","",INDEX(_imp!$I$4:$I$4503,_imp!$C$2112))</f>
        <v/>
      </c>
      <c r="G2110" s="54">
        <f>IF(_imp!$C$2112="","",INDEX(_imp!$J$4:$J$4503,_imp!$C$2112))</f>
        <v/>
      </c>
      <c r="K2110" s="54">
        <f>IF(_imp!$C$2112="","",INDEX(_imp!$K$4:$K$4503,_imp!$C$2112))</f>
        <v/>
      </c>
    </row>
    <row r="2111">
      <c r="A2111" s="54">
        <f>IF(_imp!$C$2113="","",INDEX(_imp!$D$4:$D$4503,_imp!$C$2113))</f>
        <v/>
      </c>
      <c r="B2111" s="54">
        <f>IF(_imp!$C$2113="","",INDEX(_imp!$E$4:$E$4503,_imp!$C$2113))</f>
        <v/>
      </c>
      <c r="C2111" s="54">
        <f>IF(_imp!$C$2113="","",INDEX(_imp!$F$4:$F$4503,_imp!$C$2113))</f>
        <v/>
      </c>
      <c r="D2111" s="54">
        <f>IF(_imp!$C$2113="","",INDEX(_imp!$G$4:$G$4503,_imp!$C$2113))</f>
        <v/>
      </c>
      <c r="E2111" s="54">
        <f>IF(_imp!$C$2113="","",INDEX(_imp!$H$4:$H$4503,_imp!$C$2113))</f>
        <v/>
      </c>
      <c r="F2111" s="54">
        <f>IF(_imp!$C$2113="","",INDEX(_imp!$I$4:$I$4503,_imp!$C$2113))</f>
        <v/>
      </c>
      <c r="G2111" s="54">
        <f>IF(_imp!$C$2113="","",INDEX(_imp!$J$4:$J$4503,_imp!$C$2113))</f>
        <v/>
      </c>
      <c r="K2111" s="54">
        <f>IF(_imp!$C$2113="","",INDEX(_imp!$K$4:$K$4503,_imp!$C$2113))</f>
        <v/>
      </c>
    </row>
    <row r="2112">
      <c r="A2112" s="54">
        <f>IF(_imp!$C$2114="","",INDEX(_imp!$D$4:$D$4503,_imp!$C$2114))</f>
        <v/>
      </c>
      <c r="B2112" s="54">
        <f>IF(_imp!$C$2114="","",INDEX(_imp!$E$4:$E$4503,_imp!$C$2114))</f>
        <v/>
      </c>
      <c r="C2112" s="54">
        <f>IF(_imp!$C$2114="","",INDEX(_imp!$F$4:$F$4503,_imp!$C$2114))</f>
        <v/>
      </c>
      <c r="D2112" s="54">
        <f>IF(_imp!$C$2114="","",INDEX(_imp!$G$4:$G$4503,_imp!$C$2114))</f>
        <v/>
      </c>
      <c r="E2112" s="54">
        <f>IF(_imp!$C$2114="","",INDEX(_imp!$H$4:$H$4503,_imp!$C$2114))</f>
        <v/>
      </c>
      <c r="F2112" s="54">
        <f>IF(_imp!$C$2114="","",INDEX(_imp!$I$4:$I$4503,_imp!$C$2114))</f>
        <v/>
      </c>
      <c r="G2112" s="54">
        <f>IF(_imp!$C$2114="","",INDEX(_imp!$J$4:$J$4503,_imp!$C$2114))</f>
        <v/>
      </c>
      <c r="K2112" s="54">
        <f>IF(_imp!$C$2114="","",INDEX(_imp!$K$4:$K$4503,_imp!$C$2114))</f>
        <v/>
      </c>
    </row>
    <row r="2113">
      <c r="A2113" s="54">
        <f>IF(_imp!$C$2115="","",INDEX(_imp!$D$4:$D$4503,_imp!$C$2115))</f>
        <v/>
      </c>
      <c r="B2113" s="54">
        <f>IF(_imp!$C$2115="","",INDEX(_imp!$E$4:$E$4503,_imp!$C$2115))</f>
        <v/>
      </c>
      <c r="C2113" s="54">
        <f>IF(_imp!$C$2115="","",INDEX(_imp!$F$4:$F$4503,_imp!$C$2115))</f>
        <v/>
      </c>
      <c r="D2113" s="54">
        <f>IF(_imp!$C$2115="","",INDEX(_imp!$G$4:$G$4503,_imp!$C$2115))</f>
        <v/>
      </c>
      <c r="E2113" s="54">
        <f>IF(_imp!$C$2115="","",INDEX(_imp!$H$4:$H$4503,_imp!$C$2115))</f>
        <v/>
      </c>
      <c r="F2113" s="54">
        <f>IF(_imp!$C$2115="","",INDEX(_imp!$I$4:$I$4503,_imp!$C$2115))</f>
        <v/>
      </c>
      <c r="G2113" s="54">
        <f>IF(_imp!$C$2115="","",INDEX(_imp!$J$4:$J$4503,_imp!$C$2115))</f>
        <v/>
      </c>
      <c r="K2113" s="54">
        <f>IF(_imp!$C$2115="","",INDEX(_imp!$K$4:$K$4503,_imp!$C$2115))</f>
        <v/>
      </c>
    </row>
    <row r="2114">
      <c r="A2114" s="54">
        <f>IF(_imp!$C$2116="","",INDEX(_imp!$D$4:$D$4503,_imp!$C$2116))</f>
        <v/>
      </c>
      <c r="B2114" s="54">
        <f>IF(_imp!$C$2116="","",INDEX(_imp!$E$4:$E$4503,_imp!$C$2116))</f>
        <v/>
      </c>
      <c r="C2114" s="54">
        <f>IF(_imp!$C$2116="","",INDEX(_imp!$F$4:$F$4503,_imp!$C$2116))</f>
        <v/>
      </c>
      <c r="D2114" s="54">
        <f>IF(_imp!$C$2116="","",INDEX(_imp!$G$4:$G$4503,_imp!$C$2116))</f>
        <v/>
      </c>
      <c r="E2114" s="54">
        <f>IF(_imp!$C$2116="","",INDEX(_imp!$H$4:$H$4503,_imp!$C$2116))</f>
        <v/>
      </c>
      <c r="F2114" s="54">
        <f>IF(_imp!$C$2116="","",INDEX(_imp!$I$4:$I$4503,_imp!$C$2116))</f>
        <v/>
      </c>
      <c r="G2114" s="54">
        <f>IF(_imp!$C$2116="","",INDEX(_imp!$J$4:$J$4503,_imp!$C$2116))</f>
        <v/>
      </c>
      <c r="K2114" s="54">
        <f>IF(_imp!$C$2116="","",INDEX(_imp!$K$4:$K$4503,_imp!$C$2116))</f>
        <v/>
      </c>
    </row>
    <row r="2115">
      <c r="A2115" s="54">
        <f>IF(_imp!$C$2117="","",INDEX(_imp!$D$4:$D$4503,_imp!$C$2117))</f>
        <v/>
      </c>
      <c r="B2115" s="54">
        <f>IF(_imp!$C$2117="","",INDEX(_imp!$E$4:$E$4503,_imp!$C$2117))</f>
        <v/>
      </c>
      <c r="C2115" s="54">
        <f>IF(_imp!$C$2117="","",INDEX(_imp!$F$4:$F$4503,_imp!$C$2117))</f>
        <v/>
      </c>
      <c r="D2115" s="54">
        <f>IF(_imp!$C$2117="","",INDEX(_imp!$G$4:$G$4503,_imp!$C$2117))</f>
        <v/>
      </c>
      <c r="E2115" s="54">
        <f>IF(_imp!$C$2117="","",INDEX(_imp!$H$4:$H$4503,_imp!$C$2117))</f>
        <v/>
      </c>
      <c r="F2115" s="54">
        <f>IF(_imp!$C$2117="","",INDEX(_imp!$I$4:$I$4503,_imp!$C$2117))</f>
        <v/>
      </c>
      <c r="G2115" s="54">
        <f>IF(_imp!$C$2117="","",INDEX(_imp!$J$4:$J$4503,_imp!$C$2117))</f>
        <v/>
      </c>
      <c r="K2115" s="54">
        <f>IF(_imp!$C$2117="","",INDEX(_imp!$K$4:$K$4503,_imp!$C$2117))</f>
        <v/>
      </c>
    </row>
    <row r="2116">
      <c r="A2116" s="54">
        <f>IF(_imp!$C$2118="","",INDEX(_imp!$D$4:$D$4503,_imp!$C$2118))</f>
        <v/>
      </c>
      <c r="B2116" s="54">
        <f>IF(_imp!$C$2118="","",INDEX(_imp!$E$4:$E$4503,_imp!$C$2118))</f>
        <v/>
      </c>
      <c r="C2116" s="54">
        <f>IF(_imp!$C$2118="","",INDEX(_imp!$F$4:$F$4503,_imp!$C$2118))</f>
        <v/>
      </c>
      <c r="D2116" s="54">
        <f>IF(_imp!$C$2118="","",INDEX(_imp!$G$4:$G$4503,_imp!$C$2118))</f>
        <v/>
      </c>
      <c r="E2116" s="54">
        <f>IF(_imp!$C$2118="","",INDEX(_imp!$H$4:$H$4503,_imp!$C$2118))</f>
        <v/>
      </c>
      <c r="F2116" s="54">
        <f>IF(_imp!$C$2118="","",INDEX(_imp!$I$4:$I$4503,_imp!$C$2118))</f>
        <v/>
      </c>
      <c r="G2116" s="54">
        <f>IF(_imp!$C$2118="","",INDEX(_imp!$J$4:$J$4503,_imp!$C$2118))</f>
        <v/>
      </c>
      <c r="K2116" s="54">
        <f>IF(_imp!$C$2118="","",INDEX(_imp!$K$4:$K$4503,_imp!$C$2118))</f>
        <v/>
      </c>
    </row>
    <row r="2117">
      <c r="A2117" s="54">
        <f>IF(_imp!$C$2119="","",INDEX(_imp!$D$4:$D$4503,_imp!$C$2119))</f>
        <v/>
      </c>
      <c r="B2117" s="54">
        <f>IF(_imp!$C$2119="","",INDEX(_imp!$E$4:$E$4503,_imp!$C$2119))</f>
        <v/>
      </c>
      <c r="C2117" s="54">
        <f>IF(_imp!$C$2119="","",INDEX(_imp!$F$4:$F$4503,_imp!$C$2119))</f>
        <v/>
      </c>
      <c r="D2117" s="54">
        <f>IF(_imp!$C$2119="","",INDEX(_imp!$G$4:$G$4503,_imp!$C$2119))</f>
        <v/>
      </c>
      <c r="E2117" s="54">
        <f>IF(_imp!$C$2119="","",INDEX(_imp!$H$4:$H$4503,_imp!$C$2119))</f>
        <v/>
      </c>
      <c r="F2117" s="54">
        <f>IF(_imp!$C$2119="","",INDEX(_imp!$I$4:$I$4503,_imp!$C$2119))</f>
        <v/>
      </c>
      <c r="G2117" s="54">
        <f>IF(_imp!$C$2119="","",INDEX(_imp!$J$4:$J$4503,_imp!$C$2119))</f>
        <v/>
      </c>
      <c r="K2117" s="54">
        <f>IF(_imp!$C$2119="","",INDEX(_imp!$K$4:$K$4503,_imp!$C$2119))</f>
        <v/>
      </c>
    </row>
    <row r="2118">
      <c r="A2118" s="54">
        <f>IF(_imp!$C$2120="","",INDEX(_imp!$D$4:$D$4503,_imp!$C$2120))</f>
        <v/>
      </c>
      <c r="B2118" s="54">
        <f>IF(_imp!$C$2120="","",INDEX(_imp!$E$4:$E$4503,_imp!$C$2120))</f>
        <v/>
      </c>
      <c r="C2118" s="54">
        <f>IF(_imp!$C$2120="","",INDEX(_imp!$F$4:$F$4503,_imp!$C$2120))</f>
        <v/>
      </c>
      <c r="D2118" s="54">
        <f>IF(_imp!$C$2120="","",INDEX(_imp!$G$4:$G$4503,_imp!$C$2120))</f>
        <v/>
      </c>
      <c r="E2118" s="54">
        <f>IF(_imp!$C$2120="","",INDEX(_imp!$H$4:$H$4503,_imp!$C$2120))</f>
        <v/>
      </c>
      <c r="F2118" s="54">
        <f>IF(_imp!$C$2120="","",INDEX(_imp!$I$4:$I$4503,_imp!$C$2120))</f>
        <v/>
      </c>
      <c r="G2118" s="54">
        <f>IF(_imp!$C$2120="","",INDEX(_imp!$J$4:$J$4503,_imp!$C$2120))</f>
        <v/>
      </c>
      <c r="K2118" s="54">
        <f>IF(_imp!$C$2120="","",INDEX(_imp!$K$4:$K$4503,_imp!$C$2120))</f>
        <v/>
      </c>
    </row>
    <row r="2119">
      <c r="A2119" s="54">
        <f>IF(_imp!$C$2121="","",INDEX(_imp!$D$4:$D$4503,_imp!$C$2121))</f>
        <v/>
      </c>
      <c r="B2119" s="54">
        <f>IF(_imp!$C$2121="","",INDEX(_imp!$E$4:$E$4503,_imp!$C$2121))</f>
        <v/>
      </c>
      <c r="C2119" s="54">
        <f>IF(_imp!$C$2121="","",INDEX(_imp!$F$4:$F$4503,_imp!$C$2121))</f>
        <v/>
      </c>
      <c r="D2119" s="54">
        <f>IF(_imp!$C$2121="","",INDEX(_imp!$G$4:$G$4503,_imp!$C$2121))</f>
        <v/>
      </c>
      <c r="E2119" s="54">
        <f>IF(_imp!$C$2121="","",INDEX(_imp!$H$4:$H$4503,_imp!$C$2121))</f>
        <v/>
      </c>
      <c r="F2119" s="54">
        <f>IF(_imp!$C$2121="","",INDEX(_imp!$I$4:$I$4503,_imp!$C$2121))</f>
        <v/>
      </c>
      <c r="G2119" s="54">
        <f>IF(_imp!$C$2121="","",INDEX(_imp!$J$4:$J$4503,_imp!$C$2121))</f>
        <v/>
      </c>
      <c r="K2119" s="54">
        <f>IF(_imp!$C$2121="","",INDEX(_imp!$K$4:$K$4503,_imp!$C$2121))</f>
        <v/>
      </c>
    </row>
    <row r="2120">
      <c r="A2120" s="54">
        <f>IF(_imp!$C$2122="","",INDEX(_imp!$D$4:$D$4503,_imp!$C$2122))</f>
        <v/>
      </c>
      <c r="B2120" s="54">
        <f>IF(_imp!$C$2122="","",INDEX(_imp!$E$4:$E$4503,_imp!$C$2122))</f>
        <v/>
      </c>
      <c r="C2120" s="54">
        <f>IF(_imp!$C$2122="","",INDEX(_imp!$F$4:$F$4503,_imp!$C$2122))</f>
        <v/>
      </c>
      <c r="D2120" s="54">
        <f>IF(_imp!$C$2122="","",INDEX(_imp!$G$4:$G$4503,_imp!$C$2122))</f>
        <v/>
      </c>
      <c r="E2120" s="54">
        <f>IF(_imp!$C$2122="","",INDEX(_imp!$H$4:$H$4503,_imp!$C$2122))</f>
        <v/>
      </c>
      <c r="F2120" s="54">
        <f>IF(_imp!$C$2122="","",INDEX(_imp!$I$4:$I$4503,_imp!$C$2122))</f>
        <v/>
      </c>
      <c r="G2120" s="54">
        <f>IF(_imp!$C$2122="","",INDEX(_imp!$J$4:$J$4503,_imp!$C$2122))</f>
        <v/>
      </c>
      <c r="K2120" s="54">
        <f>IF(_imp!$C$2122="","",INDEX(_imp!$K$4:$K$4503,_imp!$C$2122))</f>
        <v/>
      </c>
    </row>
    <row r="2121">
      <c r="A2121" s="54">
        <f>IF(_imp!$C$2123="","",INDEX(_imp!$D$4:$D$4503,_imp!$C$2123))</f>
        <v/>
      </c>
      <c r="B2121" s="54">
        <f>IF(_imp!$C$2123="","",INDEX(_imp!$E$4:$E$4503,_imp!$C$2123))</f>
        <v/>
      </c>
      <c r="C2121" s="54">
        <f>IF(_imp!$C$2123="","",INDEX(_imp!$F$4:$F$4503,_imp!$C$2123))</f>
        <v/>
      </c>
      <c r="D2121" s="54">
        <f>IF(_imp!$C$2123="","",INDEX(_imp!$G$4:$G$4503,_imp!$C$2123))</f>
        <v/>
      </c>
      <c r="E2121" s="54">
        <f>IF(_imp!$C$2123="","",INDEX(_imp!$H$4:$H$4503,_imp!$C$2123))</f>
        <v/>
      </c>
      <c r="F2121" s="54">
        <f>IF(_imp!$C$2123="","",INDEX(_imp!$I$4:$I$4503,_imp!$C$2123))</f>
        <v/>
      </c>
      <c r="G2121" s="54">
        <f>IF(_imp!$C$2123="","",INDEX(_imp!$J$4:$J$4503,_imp!$C$2123))</f>
        <v/>
      </c>
      <c r="K2121" s="54">
        <f>IF(_imp!$C$2123="","",INDEX(_imp!$K$4:$K$4503,_imp!$C$2123))</f>
        <v/>
      </c>
    </row>
    <row r="2122">
      <c r="A2122" s="54">
        <f>IF(_imp!$C$2124="","",INDEX(_imp!$D$4:$D$4503,_imp!$C$2124))</f>
        <v/>
      </c>
      <c r="B2122" s="54">
        <f>IF(_imp!$C$2124="","",INDEX(_imp!$E$4:$E$4503,_imp!$C$2124))</f>
        <v/>
      </c>
      <c r="C2122" s="54">
        <f>IF(_imp!$C$2124="","",INDEX(_imp!$F$4:$F$4503,_imp!$C$2124))</f>
        <v/>
      </c>
      <c r="D2122" s="54">
        <f>IF(_imp!$C$2124="","",INDEX(_imp!$G$4:$G$4503,_imp!$C$2124))</f>
        <v/>
      </c>
      <c r="E2122" s="54">
        <f>IF(_imp!$C$2124="","",INDEX(_imp!$H$4:$H$4503,_imp!$C$2124))</f>
        <v/>
      </c>
      <c r="F2122" s="54">
        <f>IF(_imp!$C$2124="","",INDEX(_imp!$I$4:$I$4503,_imp!$C$2124))</f>
        <v/>
      </c>
      <c r="G2122" s="54">
        <f>IF(_imp!$C$2124="","",INDEX(_imp!$J$4:$J$4503,_imp!$C$2124))</f>
        <v/>
      </c>
      <c r="K2122" s="54">
        <f>IF(_imp!$C$2124="","",INDEX(_imp!$K$4:$K$4503,_imp!$C$2124))</f>
        <v/>
      </c>
    </row>
    <row r="2123">
      <c r="A2123" s="54">
        <f>IF(_imp!$C$2125="","",INDEX(_imp!$D$4:$D$4503,_imp!$C$2125))</f>
        <v/>
      </c>
      <c r="B2123" s="54">
        <f>IF(_imp!$C$2125="","",INDEX(_imp!$E$4:$E$4503,_imp!$C$2125))</f>
        <v/>
      </c>
      <c r="C2123" s="54">
        <f>IF(_imp!$C$2125="","",INDEX(_imp!$F$4:$F$4503,_imp!$C$2125))</f>
        <v/>
      </c>
      <c r="D2123" s="54">
        <f>IF(_imp!$C$2125="","",INDEX(_imp!$G$4:$G$4503,_imp!$C$2125))</f>
        <v/>
      </c>
      <c r="E2123" s="54">
        <f>IF(_imp!$C$2125="","",INDEX(_imp!$H$4:$H$4503,_imp!$C$2125))</f>
        <v/>
      </c>
      <c r="F2123" s="54">
        <f>IF(_imp!$C$2125="","",INDEX(_imp!$I$4:$I$4503,_imp!$C$2125))</f>
        <v/>
      </c>
      <c r="G2123" s="54">
        <f>IF(_imp!$C$2125="","",INDEX(_imp!$J$4:$J$4503,_imp!$C$2125))</f>
        <v/>
      </c>
      <c r="K2123" s="54">
        <f>IF(_imp!$C$2125="","",INDEX(_imp!$K$4:$K$4503,_imp!$C$2125))</f>
        <v/>
      </c>
    </row>
    <row r="2124">
      <c r="A2124" s="54">
        <f>IF(_imp!$C$2126="","",INDEX(_imp!$D$4:$D$4503,_imp!$C$2126))</f>
        <v/>
      </c>
      <c r="B2124" s="54">
        <f>IF(_imp!$C$2126="","",INDEX(_imp!$E$4:$E$4503,_imp!$C$2126))</f>
        <v/>
      </c>
      <c r="C2124" s="54">
        <f>IF(_imp!$C$2126="","",INDEX(_imp!$F$4:$F$4503,_imp!$C$2126))</f>
        <v/>
      </c>
      <c r="D2124" s="54">
        <f>IF(_imp!$C$2126="","",INDEX(_imp!$G$4:$G$4503,_imp!$C$2126))</f>
        <v/>
      </c>
      <c r="E2124" s="54">
        <f>IF(_imp!$C$2126="","",INDEX(_imp!$H$4:$H$4503,_imp!$C$2126))</f>
        <v/>
      </c>
      <c r="F2124" s="54">
        <f>IF(_imp!$C$2126="","",INDEX(_imp!$I$4:$I$4503,_imp!$C$2126))</f>
        <v/>
      </c>
      <c r="G2124" s="54">
        <f>IF(_imp!$C$2126="","",INDEX(_imp!$J$4:$J$4503,_imp!$C$2126))</f>
        <v/>
      </c>
      <c r="K2124" s="54">
        <f>IF(_imp!$C$2126="","",INDEX(_imp!$K$4:$K$4503,_imp!$C$2126))</f>
        <v/>
      </c>
    </row>
    <row r="2125">
      <c r="A2125" s="54">
        <f>IF(_imp!$C$2127="","",INDEX(_imp!$D$4:$D$4503,_imp!$C$2127))</f>
        <v/>
      </c>
      <c r="B2125" s="54">
        <f>IF(_imp!$C$2127="","",INDEX(_imp!$E$4:$E$4503,_imp!$C$2127))</f>
        <v/>
      </c>
      <c r="C2125" s="54">
        <f>IF(_imp!$C$2127="","",INDEX(_imp!$F$4:$F$4503,_imp!$C$2127))</f>
        <v/>
      </c>
      <c r="D2125" s="54">
        <f>IF(_imp!$C$2127="","",INDEX(_imp!$G$4:$G$4503,_imp!$C$2127))</f>
        <v/>
      </c>
      <c r="E2125" s="54">
        <f>IF(_imp!$C$2127="","",INDEX(_imp!$H$4:$H$4503,_imp!$C$2127))</f>
        <v/>
      </c>
      <c r="F2125" s="54">
        <f>IF(_imp!$C$2127="","",INDEX(_imp!$I$4:$I$4503,_imp!$C$2127))</f>
        <v/>
      </c>
      <c r="G2125" s="54">
        <f>IF(_imp!$C$2127="","",INDEX(_imp!$J$4:$J$4503,_imp!$C$2127))</f>
        <v/>
      </c>
      <c r="K2125" s="54">
        <f>IF(_imp!$C$2127="","",INDEX(_imp!$K$4:$K$4503,_imp!$C$2127))</f>
        <v/>
      </c>
    </row>
    <row r="2126">
      <c r="A2126" s="54">
        <f>IF(_imp!$C$2128="","",INDEX(_imp!$D$4:$D$4503,_imp!$C$2128))</f>
        <v/>
      </c>
      <c r="B2126" s="54">
        <f>IF(_imp!$C$2128="","",INDEX(_imp!$E$4:$E$4503,_imp!$C$2128))</f>
        <v/>
      </c>
      <c r="C2126" s="54">
        <f>IF(_imp!$C$2128="","",INDEX(_imp!$F$4:$F$4503,_imp!$C$2128))</f>
        <v/>
      </c>
      <c r="D2126" s="54">
        <f>IF(_imp!$C$2128="","",INDEX(_imp!$G$4:$G$4503,_imp!$C$2128))</f>
        <v/>
      </c>
      <c r="E2126" s="54">
        <f>IF(_imp!$C$2128="","",INDEX(_imp!$H$4:$H$4503,_imp!$C$2128))</f>
        <v/>
      </c>
      <c r="F2126" s="54">
        <f>IF(_imp!$C$2128="","",INDEX(_imp!$I$4:$I$4503,_imp!$C$2128))</f>
        <v/>
      </c>
      <c r="G2126" s="54">
        <f>IF(_imp!$C$2128="","",INDEX(_imp!$J$4:$J$4503,_imp!$C$2128))</f>
        <v/>
      </c>
      <c r="K2126" s="54">
        <f>IF(_imp!$C$2128="","",INDEX(_imp!$K$4:$K$4503,_imp!$C$2128))</f>
        <v/>
      </c>
    </row>
    <row r="2127">
      <c r="A2127" s="54">
        <f>IF(_imp!$C$2129="","",INDEX(_imp!$D$4:$D$4503,_imp!$C$2129))</f>
        <v/>
      </c>
      <c r="B2127" s="54">
        <f>IF(_imp!$C$2129="","",INDEX(_imp!$E$4:$E$4503,_imp!$C$2129))</f>
        <v/>
      </c>
      <c r="C2127" s="54">
        <f>IF(_imp!$C$2129="","",INDEX(_imp!$F$4:$F$4503,_imp!$C$2129))</f>
        <v/>
      </c>
      <c r="D2127" s="54">
        <f>IF(_imp!$C$2129="","",INDEX(_imp!$G$4:$G$4503,_imp!$C$2129))</f>
        <v/>
      </c>
      <c r="E2127" s="54">
        <f>IF(_imp!$C$2129="","",INDEX(_imp!$H$4:$H$4503,_imp!$C$2129))</f>
        <v/>
      </c>
      <c r="F2127" s="54">
        <f>IF(_imp!$C$2129="","",INDEX(_imp!$I$4:$I$4503,_imp!$C$2129))</f>
        <v/>
      </c>
      <c r="G2127" s="54">
        <f>IF(_imp!$C$2129="","",INDEX(_imp!$J$4:$J$4503,_imp!$C$2129))</f>
        <v/>
      </c>
      <c r="K2127" s="54">
        <f>IF(_imp!$C$2129="","",INDEX(_imp!$K$4:$K$4503,_imp!$C$2129))</f>
        <v/>
      </c>
    </row>
    <row r="2128">
      <c r="A2128" s="54">
        <f>IF(_imp!$C$2130="","",INDEX(_imp!$D$4:$D$4503,_imp!$C$2130))</f>
        <v/>
      </c>
      <c r="B2128" s="54">
        <f>IF(_imp!$C$2130="","",INDEX(_imp!$E$4:$E$4503,_imp!$C$2130))</f>
        <v/>
      </c>
      <c r="C2128" s="54">
        <f>IF(_imp!$C$2130="","",INDEX(_imp!$F$4:$F$4503,_imp!$C$2130))</f>
        <v/>
      </c>
      <c r="D2128" s="54">
        <f>IF(_imp!$C$2130="","",INDEX(_imp!$G$4:$G$4503,_imp!$C$2130))</f>
        <v/>
      </c>
      <c r="E2128" s="54">
        <f>IF(_imp!$C$2130="","",INDEX(_imp!$H$4:$H$4503,_imp!$C$2130))</f>
        <v/>
      </c>
      <c r="F2128" s="54">
        <f>IF(_imp!$C$2130="","",INDEX(_imp!$I$4:$I$4503,_imp!$C$2130))</f>
        <v/>
      </c>
      <c r="G2128" s="54">
        <f>IF(_imp!$C$2130="","",INDEX(_imp!$J$4:$J$4503,_imp!$C$2130))</f>
        <v/>
      </c>
      <c r="K2128" s="54">
        <f>IF(_imp!$C$2130="","",INDEX(_imp!$K$4:$K$4503,_imp!$C$2130))</f>
        <v/>
      </c>
    </row>
    <row r="2129">
      <c r="A2129" s="54">
        <f>IF(_imp!$C$2131="","",INDEX(_imp!$D$4:$D$4503,_imp!$C$2131))</f>
        <v/>
      </c>
      <c r="B2129" s="54">
        <f>IF(_imp!$C$2131="","",INDEX(_imp!$E$4:$E$4503,_imp!$C$2131))</f>
        <v/>
      </c>
      <c r="C2129" s="54">
        <f>IF(_imp!$C$2131="","",INDEX(_imp!$F$4:$F$4503,_imp!$C$2131))</f>
        <v/>
      </c>
      <c r="D2129" s="54">
        <f>IF(_imp!$C$2131="","",INDEX(_imp!$G$4:$G$4503,_imp!$C$2131))</f>
        <v/>
      </c>
      <c r="E2129" s="54">
        <f>IF(_imp!$C$2131="","",INDEX(_imp!$H$4:$H$4503,_imp!$C$2131))</f>
        <v/>
      </c>
      <c r="F2129" s="54">
        <f>IF(_imp!$C$2131="","",INDEX(_imp!$I$4:$I$4503,_imp!$C$2131))</f>
        <v/>
      </c>
      <c r="G2129" s="54">
        <f>IF(_imp!$C$2131="","",INDEX(_imp!$J$4:$J$4503,_imp!$C$2131))</f>
        <v/>
      </c>
      <c r="K2129" s="54">
        <f>IF(_imp!$C$2131="","",INDEX(_imp!$K$4:$K$4503,_imp!$C$2131))</f>
        <v/>
      </c>
    </row>
    <row r="2130">
      <c r="A2130" s="54">
        <f>IF(_imp!$C$2132="","",INDEX(_imp!$D$4:$D$4503,_imp!$C$2132))</f>
        <v/>
      </c>
      <c r="B2130" s="54">
        <f>IF(_imp!$C$2132="","",INDEX(_imp!$E$4:$E$4503,_imp!$C$2132))</f>
        <v/>
      </c>
      <c r="C2130" s="54">
        <f>IF(_imp!$C$2132="","",INDEX(_imp!$F$4:$F$4503,_imp!$C$2132))</f>
        <v/>
      </c>
      <c r="D2130" s="54">
        <f>IF(_imp!$C$2132="","",INDEX(_imp!$G$4:$G$4503,_imp!$C$2132))</f>
        <v/>
      </c>
      <c r="E2130" s="54">
        <f>IF(_imp!$C$2132="","",INDEX(_imp!$H$4:$H$4503,_imp!$C$2132))</f>
        <v/>
      </c>
      <c r="F2130" s="54">
        <f>IF(_imp!$C$2132="","",INDEX(_imp!$I$4:$I$4503,_imp!$C$2132))</f>
        <v/>
      </c>
      <c r="G2130" s="54">
        <f>IF(_imp!$C$2132="","",INDEX(_imp!$J$4:$J$4503,_imp!$C$2132))</f>
        <v/>
      </c>
      <c r="K2130" s="54">
        <f>IF(_imp!$C$2132="","",INDEX(_imp!$K$4:$K$4503,_imp!$C$2132))</f>
        <v/>
      </c>
    </row>
    <row r="2131">
      <c r="A2131" s="54">
        <f>IF(_imp!$C$2133="","",INDEX(_imp!$D$4:$D$4503,_imp!$C$2133))</f>
        <v/>
      </c>
      <c r="B2131" s="54">
        <f>IF(_imp!$C$2133="","",INDEX(_imp!$E$4:$E$4503,_imp!$C$2133))</f>
        <v/>
      </c>
      <c r="C2131" s="54">
        <f>IF(_imp!$C$2133="","",INDEX(_imp!$F$4:$F$4503,_imp!$C$2133))</f>
        <v/>
      </c>
      <c r="D2131" s="54">
        <f>IF(_imp!$C$2133="","",INDEX(_imp!$G$4:$G$4503,_imp!$C$2133))</f>
        <v/>
      </c>
      <c r="E2131" s="54">
        <f>IF(_imp!$C$2133="","",INDEX(_imp!$H$4:$H$4503,_imp!$C$2133))</f>
        <v/>
      </c>
      <c r="F2131" s="54">
        <f>IF(_imp!$C$2133="","",INDEX(_imp!$I$4:$I$4503,_imp!$C$2133))</f>
        <v/>
      </c>
      <c r="G2131" s="54">
        <f>IF(_imp!$C$2133="","",INDEX(_imp!$J$4:$J$4503,_imp!$C$2133))</f>
        <v/>
      </c>
      <c r="K2131" s="54">
        <f>IF(_imp!$C$2133="","",INDEX(_imp!$K$4:$K$4503,_imp!$C$2133))</f>
        <v/>
      </c>
    </row>
    <row r="2132">
      <c r="A2132" s="54">
        <f>IF(_imp!$C$2134="","",INDEX(_imp!$D$4:$D$4503,_imp!$C$2134))</f>
        <v/>
      </c>
      <c r="B2132" s="54">
        <f>IF(_imp!$C$2134="","",INDEX(_imp!$E$4:$E$4503,_imp!$C$2134))</f>
        <v/>
      </c>
      <c r="C2132" s="54">
        <f>IF(_imp!$C$2134="","",INDEX(_imp!$F$4:$F$4503,_imp!$C$2134))</f>
        <v/>
      </c>
      <c r="D2132" s="54">
        <f>IF(_imp!$C$2134="","",INDEX(_imp!$G$4:$G$4503,_imp!$C$2134))</f>
        <v/>
      </c>
      <c r="E2132" s="54">
        <f>IF(_imp!$C$2134="","",INDEX(_imp!$H$4:$H$4503,_imp!$C$2134))</f>
        <v/>
      </c>
      <c r="F2132" s="54">
        <f>IF(_imp!$C$2134="","",INDEX(_imp!$I$4:$I$4503,_imp!$C$2134))</f>
        <v/>
      </c>
      <c r="G2132" s="54">
        <f>IF(_imp!$C$2134="","",INDEX(_imp!$J$4:$J$4503,_imp!$C$2134))</f>
        <v/>
      </c>
      <c r="K2132" s="54">
        <f>IF(_imp!$C$2134="","",INDEX(_imp!$K$4:$K$4503,_imp!$C$2134))</f>
        <v/>
      </c>
    </row>
    <row r="2133">
      <c r="A2133" s="54">
        <f>IF(_imp!$C$2135="","",INDEX(_imp!$D$4:$D$4503,_imp!$C$2135))</f>
        <v/>
      </c>
      <c r="B2133" s="54">
        <f>IF(_imp!$C$2135="","",INDEX(_imp!$E$4:$E$4503,_imp!$C$2135))</f>
        <v/>
      </c>
      <c r="C2133" s="54">
        <f>IF(_imp!$C$2135="","",INDEX(_imp!$F$4:$F$4503,_imp!$C$2135))</f>
        <v/>
      </c>
      <c r="D2133" s="54">
        <f>IF(_imp!$C$2135="","",INDEX(_imp!$G$4:$G$4503,_imp!$C$2135))</f>
        <v/>
      </c>
      <c r="E2133" s="54">
        <f>IF(_imp!$C$2135="","",INDEX(_imp!$H$4:$H$4503,_imp!$C$2135))</f>
        <v/>
      </c>
      <c r="F2133" s="54">
        <f>IF(_imp!$C$2135="","",INDEX(_imp!$I$4:$I$4503,_imp!$C$2135))</f>
        <v/>
      </c>
      <c r="G2133" s="54">
        <f>IF(_imp!$C$2135="","",INDEX(_imp!$J$4:$J$4503,_imp!$C$2135))</f>
        <v/>
      </c>
      <c r="K2133" s="54">
        <f>IF(_imp!$C$2135="","",INDEX(_imp!$K$4:$K$4503,_imp!$C$2135))</f>
        <v/>
      </c>
    </row>
    <row r="2134">
      <c r="A2134" s="54">
        <f>IF(_imp!$C$2136="","",INDEX(_imp!$D$4:$D$4503,_imp!$C$2136))</f>
        <v/>
      </c>
      <c r="B2134" s="54">
        <f>IF(_imp!$C$2136="","",INDEX(_imp!$E$4:$E$4503,_imp!$C$2136))</f>
        <v/>
      </c>
      <c r="C2134" s="54">
        <f>IF(_imp!$C$2136="","",INDEX(_imp!$F$4:$F$4503,_imp!$C$2136))</f>
        <v/>
      </c>
      <c r="D2134" s="54">
        <f>IF(_imp!$C$2136="","",INDEX(_imp!$G$4:$G$4503,_imp!$C$2136))</f>
        <v/>
      </c>
      <c r="E2134" s="54">
        <f>IF(_imp!$C$2136="","",INDEX(_imp!$H$4:$H$4503,_imp!$C$2136))</f>
        <v/>
      </c>
      <c r="F2134" s="54">
        <f>IF(_imp!$C$2136="","",INDEX(_imp!$I$4:$I$4503,_imp!$C$2136))</f>
        <v/>
      </c>
      <c r="G2134" s="54">
        <f>IF(_imp!$C$2136="","",INDEX(_imp!$J$4:$J$4503,_imp!$C$2136))</f>
        <v/>
      </c>
      <c r="K2134" s="54">
        <f>IF(_imp!$C$2136="","",INDEX(_imp!$K$4:$K$4503,_imp!$C$2136))</f>
        <v/>
      </c>
    </row>
    <row r="2135">
      <c r="A2135" s="54">
        <f>IF(_imp!$C$2137="","",INDEX(_imp!$D$4:$D$4503,_imp!$C$2137))</f>
        <v/>
      </c>
      <c r="B2135" s="54">
        <f>IF(_imp!$C$2137="","",INDEX(_imp!$E$4:$E$4503,_imp!$C$2137))</f>
        <v/>
      </c>
      <c r="C2135" s="54">
        <f>IF(_imp!$C$2137="","",INDEX(_imp!$F$4:$F$4503,_imp!$C$2137))</f>
        <v/>
      </c>
      <c r="D2135" s="54">
        <f>IF(_imp!$C$2137="","",INDEX(_imp!$G$4:$G$4503,_imp!$C$2137))</f>
        <v/>
      </c>
      <c r="E2135" s="54">
        <f>IF(_imp!$C$2137="","",INDEX(_imp!$H$4:$H$4503,_imp!$C$2137))</f>
        <v/>
      </c>
      <c r="F2135" s="54">
        <f>IF(_imp!$C$2137="","",INDEX(_imp!$I$4:$I$4503,_imp!$C$2137))</f>
        <v/>
      </c>
      <c r="G2135" s="54">
        <f>IF(_imp!$C$2137="","",INDEX(_imp!$J$4:$J$4503,_imp!$C$2137))</f>
        <v/>
      </c>
      <c r="K2135" s="54">
        <f>IF(_imp!$C$2137="","",INDEX(_imp!$K$4:$K$4503,_imp!$C$2137))</f>
        <v/>
      </c>
    </row>
    <row r="2136">
      <c r="A2136" s="54">
        <f>IF(_imp!$C$2138="","",INDEX(_imp!$D$4:$D$4503,_imp!$C$2138))</f>
        <v/>
      </c>
      <c r="B2136" s="54">
        <f>IF(_imp!$C$2138="","",INDEX(_imp!$E$4:$E$4503,_imp!$C$2138))</f>
        <v/>
      </c>
      <c r="C2136" s="54">
        <f>IF(_imp!$C$2138="","",INDEX(_imp!$F$4:$F$4503,_imp!$C$2138))</f>
        <v/>
      </c>
      <c r="D2136" s="54">
        <f>IF(_imp!$C$2138="","",INDEX(_imp!$G$4:$G$4503,_imp!$C$2138))</f>
        <v/>
      </c>
      <c r="E2136" s="54">
        <f>IF(_imp!$C$2138="","",INDEX(_imp!$H$4:$H$4503,_imp!$C$2138))</f>
        <v/>
      </c>
      <c r="F2136" s="54">
        <f>IF(_imp!$C$2138="","",INDEX(_imp!$I$4:$I$4503,_imp!$C$2138))</f>
        <v/>
      </c>
      <c r="G2136" s="54">
        <f>IF(_imp!$C$2138="","",INDEX(_imp!$J$4:$J$4503,_imp!$C$2138))</f>
        <v/>
      </c>
      <c r="K2136" s="54">
        <f>IF(_imp!$C$2138="","",INDEX(_imp!$K$4:$K$4503,_imp!$C$2138))</f>
        <v/>
      </c>
    </row>
    <row r="2137">
      <c r="A2137" s="54">
        <f>IF(_imp!$C$2139="","",INDEX(_imp!$D$4:$D$4503,_imp!$C$2139))</f>
        <v/>
      </c>
      <c r="B2137" s="54">
        <f>IF(_imp!$C$2139="","",INDEX(_imp!$E$4:$E$4503,_imp!$C$2139))</f>
        <v/>
      </c>
      <c r="C2137" s="54">
        <f>IF(_imp!$C$2139="","",INDEX(_imp!$F$4:$F$4503,_imp!$C$2139))</f>
        <v/>
      </c>
      <c r="D2137" s="54">
        <f>IF(_imp!$C$2139="","",INDEX(_imp!$G$4:$G$4503,_imp!$C$2139))</f>
        <v/>
      </c>
      <c r="E2137" s="54">
        <f>IF(_imp!$C$2139="","",INDEX(_imp!$H$4:$H$4503,_imp!$C$2139))</f>
        <v/>
      </c>
      <c r="F2137" s="54">
        <f>IF(_imp!$C$2139="","",INDEX(_imp!$I$4:$I$4503,_imp!$C$2139))</f>
        <v/>
      </c>
      <c r="G2137" s="54">
        <f>IF(_imp!$C$2139="","",INDEX(_imp!$J$4:$J$4503,_imp!$C$2139))</f>
        <v/>
      </c>
      <c r="K2137" s="54">
        <f>IF(_imp!$C$2139="","",INDEX(_imp!$K$4:$K$4503,_imp!$C$2139))</f>
        <v/>
      </c>
    </row>
    <row r="2138">
      <c r="A2138" s="54">
        <f>IF(_imp!$C$2140="","",INDEX(_imp!$D$4:$D$4503,_imp!$C$2140))</f>
        <v/>
      </c>
      <c r="B2138" s="54">
        <f>IF(_imp!$C$2140="","",INDEX(_imp!$E$4:$E$4503,_imp!$C$2140))</f>
        <v/>
      </c>
      <c r="C2138" s="54">
        <f>IF(_imp!$C$2140="","",INDEX(_imp!$F$4:$F$4503,_imp!$C$2140))</f>
        <v/>
      </c>
      <c r="D2138" s="54">
        <f>IF(_imp!$C$2140="","",INDEX(_imp!$G$4:$G$4503,_imp!$C$2140))</f>
        <v/>
      </c>
      <c r="E2138" s="54">
        <f>IF(_imp!$C$2140="","",INDEX(_imp!$H$4:$H$4503,_imp!$C$2140))</f>
        <v/>
      </c>
      <c r="F2138" s="54">
        <f>IF(_imp!$C$2140="","",INDEX(_imp!$I$4:$I$4503,_imp!$C$2140))</f>
        <v/>
      </c>
      <c r="G2138" s="54">
        <f>IF(_imp!$C$2140="","",INDEX(_imp!$J$4:$J$4503,_imp!$C$2140))</f>
        <v/>
      </c>
      <c r="K2138" s="54">
        <f>IF(_imp!$C$2140="","",INDEX(_imp!$K$4:$K$4503,_imp!$C$2140))</f>
        <v/>
      </c>
    </row>
    <row r="2139">
      <c r="A2139" s="54">
        <f>IF(_imp!$C$2141="","",INDEX(_imp!$D$4:$D$4503,_imp!$C$2141))</f>
        <v/>
      </c>
      <c r="B2139" s="54">
        <f>IF(_imp!$C$2141="","",INDEX(_imp!$E$4:$E$4503,_imp!$C$2141))</f>
        <v/>
      </c>
      <c r="C2139" s="54">
        <f>IF(_imp!$C$2141="","",INDEX(_imp!$F$4:$F$4503,_imp!$C$2141))</f>
        <v/>
      </c>
      <c r="D2139" s="54">
        <f>IF(_imp!$C$2141="","",INDEX(_imp!$G$4:$G$4503,_imp!$C$2141))</f>
        <v/>
      </c>
      <c r="E2139" s="54">
        <f>IF(_imp!$C$2141="","",INDEX(_imp!$H$4:$H$4503,_imp!$C$2141))</f>
        <v/>
      </c>
      <c r="F2139" s="54">
        <f>IF(_imp!$C$2141="","",INDEX(_imp!$I$4:$I$4503,_imp!$C$2141))</f>
        <v/>
      </c>
      <c r="G2139" s="54">
        <f>IF(_imp!$C$2141="","",INDEX(_imp!$J$4:$J$4503,_imp!$C$2141))</f>
        <v/>
      </c>
      <c r="K2139" s="54">
        <f>IF(_imp!$C$2141="","",INDEX(_imp!$K$4:$K$4503,_imp!$C$2141))</f>
        <v/>
      </c>
    </row>
    <row r="2140">
      <c r="A2140" s="54">
        <f>IF(_imp!$C$2142="","",INDEX(_imp!$D$4:$D$4503,_imp!$C$2142))</f>
        <v/>
      </c>
      <c r="B2140" s="54">
        <f>IF(_imp!$C$2142="","",INDEX(_imp!$E$4:$E$4503,_imp!$C$2142))</f>
        <v/>
      </c>
      <c r="C2140" s="54">
        <f>IF(_imp!$C$2142="","",INDEX(_imp!$F$4:$F$4503,_imp!$C$2142))</f>
        <v/>
      </c>
      <c r="D2140" s="54">
        <f>IF(_imp!$C$2142="","",INDEX(_imp!$G$4:$G$4503,_imp!$C$2142))</f>
        <v/>
      </c>
      <c r="E2140" s="54">
        <f>IF(_imp!$C$2142="","",INDEX(_imp!$H$4:$H$4503,_imp!$C$2142))</f>
        <v/>
      </c>
      <c r="F2140" s="54">
        <f>IF(_imp!$C$2142="","",INDEX(_imp!$I$4:$I$4503,_imp!$C$2142))</f>
        <v/>
      </c>
      <c r="G2140" s="54">
        <f>IF(_imp!$C$2142="","",INDEX(_imp!$J$4:$J$4503,_imp!$C$2142))</f>
        <v/>
      </c>
      <c r="K2140" s="54">
        <f>IF(_imp!$C$2142="","",INDEX(_imp!$K$4:$K$4503,_imp!$C$2142))</f>
        <v/>
      </c>
    </row>
    <row r="2141">
      <c r="A2141" s="54">
        <f>IF(_imp!$C$2143="","",INDEX(_imp!$D$4:$D$4503,_imp!$C$2143))</f>
        <v/>
      </c>
      <c r="B2141" s="54">
        <f>IF(_imp!$C$2143="","",INDEX(_imp!$E$4:$E$4503,_imp!$C$2143))</f>
        <v/>
      </c>
      <c r="C2141" s="54">
        <f>IF(_imp!$C$2143="","",INDEX(_imp!$F$4:$F$4503,_imp!$C$2143))</f>
        <v/>
      </c>
      <c r="D2141" s="54">
        <f>IF(_imp!$C$2143="","",INDEX(_imp!$G$4:$G$4503,_imp!$C$2143))</f>
        <v/>
      </c>
      <c r="E2141" s="54">
        <f>IF(_imp!$C$2143="","",INDEX(_imp!$H$4:$H$4503,_imp!$C$2143))</f>
        <v/>
      </c>
      <c r="F2141" s="54">
        <f>IF(_imp!$C$2143="","",INDEX(_imp!$I$4:$I$4503,_imp!$C$2143))</f>
        <v/>
      </c>
      <c r="G2141" s="54">
        <f>IF(_imp!$C$2143="","",INDEX(_imp!$J$4:$J$4503,_imp!$C$2143))</f>
        <v/>
      </c>
      <c r="K2141" s="54">
        <f>IF(_imp!$C$2143="","",INDEX(_imp!$K$4:$K$4503,_imp!$C$2143))</f>
        <v/>
      </c>
    </row>
    <row r="2142">
      <c r="A2142" s="54">
        <f>IF(_imp!$C$2144="","",INDEX(_imp!$D$4:$D$4503,_imp!$C$2144))</f>
        <v/>
      </c>
      <c r="B2142" s="54">
        <f>IF(_imp!$C$2144="","",INDEX(_imp!$E$4:$E$4503,_imp!$C$2144))</f>
        <v/>
      </c>
      <c r="C2142" s="54">
        <f>IF(_imp!$C$2144="","",INDEX(_imp!$F$4:$F$4503,_imp!$C$2144))</f>
        <v/>
      </c>
      <c r="D2142" s="54">
        <f>IF(_imp!$C$2144="","",INDEX(_imp!$G$4:$G$4503,_imp!$C$2144))</f>
        <v/>
      </c>
      <c r="E2142" s="54">
        <f>IF(_imp!$C$2144="","",INDEX(_imp!$H$4:$H$4503,_imp!$C$2144))</f>
        <v/>
      </c>
      <c r="F2142" s="54">
        <f>IF(_imp!$C$2144="","",INDEX(_imp!$I$4:$I$4503,_imp!$C$2144))</f>
        <v/>
      </c>
      <c r="G2142" s="54">
        <f>IF(_imp!$C$2144="","",INDEX(_imp!$J$4:$J$4503,_imp!$C$2144))</f>
        <v/>
      </c>
      <c r="K2142" s="54">
        <f>IF(_imp!$C$2144="","",INDEX(_imp!$K$4:$K$4503,_imp!$C$2144))</f>
        <v/>
      </c>
    </row>
    <row r="2143">
      <c r="A2143" s="54">
        <f>IF(_imp!$C$2145="","",INDEX(_imp!$D$4:$D$4503,_imp!$C$2145))</f>
        <v/>
      </c>
      <c r="B2143" s="54">
        <f>IF(_imp!$C$2145="","",INDEX(_imp!$E$4:$E$4503,_imp!$C$2145))</f>
        <v/>
      </c>
      <c r="C2143" s="54">
        <f>IF(_imp!$C$2145="","",INDEX(_imp!$F$4:$F$4503,_imp!$C$2145))</f>
        <v/>
      </c>
      <c r="D2143" s="54">
        <f>IF(_imp!$C$2145="","",INDEX(_imp!$G$4:$G$4503,_imp!$C$2145))</f>
        <v/>
      </c>
      <c r="E2143" s="54">
        <f>IF(_imp!$C$2145="","",INDEX(_imp!$H$4:$H$4503,_imp!$C$2145))</f>
        <v/>
      </c>
      <c r="F2143" s="54">
        <f>IF(_imp!$C$2145="","",INDEX(_imp!$I$4:$I$4503,_imp!$C$2145))</f>
        <v/>
      </c>
      <c r="G2143" s="54">
        <f>IF(_imp!$C$2145="","",INDEX(_imp!$J$4:$J$4503,_imp!$C$2145))</f>
        <v/>
      </c>
      <c r="K2143" s="54">
        <f>IF(_imp!$C$2145="","",INDEX(_imp!$K$4:$K$4503,_imp!$C$2145))</f>
        <v/>
      </c>
    </row>
    <row r="2144">
      <c r="A2144" s="54">
        <f>IF(_imp!$C$2146="","",INDEX(_imp!$D$4:$D$4503,_imp!$C$2146))</f>
        <v/>
      </c>
      <c r="B2144" s="54">
        <f>IF(_imp!$C$2146="","",INDEX(_imp!$E$4:$E$4503,_imp!$C$2146))</f>
        <v/>
      </c>
      <c r="C2144" s="54">
        <f>IF(_imp!$C$2146="","",INDEX(_imp!$F$4:$F$4503,_imp!$C$2146))</f>
        <v/>
      </c>
      <c r="D2144" s="54">
        <f>IF(_imp!$C$2146="","",INDEX(_imp!$G$4:$G$4503,_imp!$C$2146))</f>
        <v/>
      </c>
      <c r="E2144" s="54">
        <f>IF(_imp!$C$2146="","",INDEX(_imp!$H$4:$H$4503,_imp!$C$2146))</f>
        <v/>
      </c>
      <c r="F2144" s="54">
        <f>IF(_imp!$C$2146="","",INDEX(_imp!$I$4:$I$4503,_imp!$C$2146))</f>
        <v/>
      </c>
      <c r="G2144" s="54">
        <f>IF(_imp!$C$2146="","",INDEX(_imp!$J$4:$J$4503,_imp!$C$2146))</f>
        <v/>
      </c>
      <c r="K2144" s="54">
        <f>IF(_imp!$C$2146="","",INDEX(_imp!$K$4:$K$4503,_imp!$C$2146))</f>
        <v/>
      </c>
    </row>
    <row r="2145">
      <c r="A2145" s="54">
        <f>IF(_imp!$C$2147="","",INDEX(_imp!$D$4:$D$4503,_imp!$C$2147))</f>
        <v/>
      </c>
      <c r="B2145" s="54">
        <f>IF(_imp!$C$2147="","",INDEX(_imp!$E$4:$E$4503,_imp!$C$2147))</f>
        <v/>
      </c>
      <c r="C2145" s="54">
        <f>IF(_imp!$C$2147="","",INDEX(_imp!$F$4:$F$4503,_imp!$C$2147))</f>
        <v/>
      </c>
      <c r="D2145" s="54">
        <f>IF(_imp!$C$2147="","",INDEX(_imp!$G$4:$G$4503,_imp!$C$2147))</f>
        <v/>
      </c>
      <c r="E2145" s="54">
        <f>IF(_imp!$C$2147="","",INDEX(_imp!$H$4:$H$4503,_imp!$C$2147))</f>
        <v/>
      </c>
      <c r="F2145" s="54">
        <f>IF(_imp!$C$2147="","",INDEX(_imp!$I$4:$I$4503,_imp!$C$2147))</f>
        <v/>
      </c>
      <c r="G2145" s="54">
        <f>IF(_imp!$C$2147="","",INDEX(_imp!$J$4:$J$4503,_imp!$C$2147))</f>
        <v/>
      </c>
      <c r="K2145" s="54">
        <f>IF(_imp!$C$2147="","",INDEX(_imp!$K$4:$K$4503,_imp!$C$2147))</f>
        <v/>
      </c>
    </row>
    <row r="2146">
      <c r="A2146" s="54">
        <f>IF(_imp!$C$2148="","",INDEX(_imp!$D$4:$D$4503,_imp!$C$2148))</f>
        <v/>
      </c>
      <c r="B2146" s="54">
        <f>IF(_imp!$C$2148="","",INDEX(_imp!$E$4:$E$4503,_imp!$C$2148))</f>
        <v/>
      </c>
      <c r="C2146" s="54">
        <f>IF(_imp!$C$2148="","",INDEX(_imp!$F$4:$F$4503,_imp!$C$2148))</f>
        <v/>
      </c>
      <c r="D2146" s="54">
        <f>IF(_imp!$C$2148="","",INDEX(_imp!$G$4:$G$4503,_imp!$C$2148))</f>
        <v/>
      </c>
      <c r="E2146" s="54">
        <f>IF(_imp!$C$2148="","",INDEX(_imp!$H$4:$H$4503,_imp!$C$2148))</f>
        <v/>
      </c>
      <c r="F2146" s="54">
        <f>IF(_imp!$C$2148="","",INDEX(_imp!$I$4:$I$4503,_imp!$C$2148))</f>
        <v/>
      </c>
      <c r="G2146" s="54">
        <f>IF(_imp!$C$2148="","",INDEX(_imp!$J$4:$J$4503,_imp!$C$2148))</f>
        <v/>
      </c>
      <c r="K2146" s="54">
        <f>IF(_imp!$C$2148="","",INDEX(_imp!$K$4:$K$4503,_imp!$C$2148))</f>
        <v/>
      </c>
    </row>
    <row r="2147">
      <c r="A2147" s="54">
        <f>IF(_imp!$C$2149="","",INDEX(_imp!$D$4:$D$4503,_imp!$C$2149))</f>
        <v/>
      </c>
      <c r="B2147" s="54">
        <f>IF(_imp!$C$2149="","",INDEX(_imp!$E$4:$E$4503,_imp!$C$2149))</f>
        <v/>
      </c>
      <c r="C2147" s="54">
        <f>IF(_imp!$C$2149="","",INDEX(_imp!$F$4:$F$4503,_imp!$C$2149))</f>
        <v/>
      </c>
      <c r="D2147" s="54">
        <f>IF(_imp!$C$2149="","",INDEX(_imp!$G$4:$G$4503,_imp!$C$2149))</f>
        <v/>
      </c>
      <c r="E2147" s="54">
        <f>IF(_imp!$C$2149="","",INDEX(_imp!$H$4:$H$4503,_imp!$C$2149))</f>
        <v/>
      </c>
      <c r="F2147" s="54">
        <f>IF(_imp!$C$2149="","",INDEX(_imp!$I$4:$I$4503,_imp!$C$2149))</f>
        <v/>
      </c>
      <c r="G2147" s="54">
        <f>IF(_imp!$C$2149="","",INDEX(_imp!$J$4:$J$4503,_imp!$C$2149))</f>
        <v/>
      </c>
      <c r="K2147" s="54">
        <f>IF(_imp!$C$2149="","",INDEX(_imp!$K$4:$K$4503,_imp!$C$2149))</f>
        <v/>
      </c>
    </row>
    <row r="2148">
      <c r="A2148" s="54">
        <f>IF(_imp!$C$2150="","",INDEX(_imp!$D$4:$D$4503,_imp!$C$2150))</f>
        <v/>
      </c>
      <c r="B2148" s="54">
        <f>IF(_imp!$C$2150="","",INDEX(_imp!$E$4:$E$4503,_imp!$C$2150))</f>
        <v/>
      </c>
      <c r="C2148" s="54">
        <f>IF(_imp!$C$2150="","",INDEX(_imp!$F$4:$F$4503,_imp!$C$2150))</f>
        <v/>
      </c>
      <c r="D2148" s="54">
        <f>IF(_imp!$C$2150="","",INDEX(_imp!$G$4:$G$4503,_imp!$C$2150))</f>
        <v/>
      </c>
      <c r="E2148" s="54">
        <f>IF(_imp!$C$2150="","",INDEX(_imp!$H$4:$H$4503,_imp!$C$2150))</f>
        <v/>
      </c>
      <c r="F2148" s="54">
        <f>IF(_imp!$C$2150="","",INDEX(_imp!$I$4:$I$4503,_imp!$C$2150))</f>
        <v/>
      </c>
      <c r="G2148" s="54">
        <f>IF(_imp!$C$2150="","",INDEX(_imp!$J$4:$J$4503,_imp!$C$2150))</f>
        <v/>
      </c>
      <c r="K2148" s="54">
        <f>IF(_imp!$C$2150="","",INDEX(_imp!$K$4:$K$4503,_imp!$C$2150))</f>
        <v/>
      </c>
    </row>
    <row r="2149">
      <c r="A2149" s="54">
        <f>IF(_imp!$C$2151="","",INDEX(_imp!$D$4:$D$4503,_imp!$C$2151))</f>
        <v/>
      </c>
      <c r="B2149" s="54">
        <f>IF(_imp!$C$2151="","",INDEX(_imp!$E$4:$E$4503,_imp!$C$2151))</f>
        <v/>
      </c>
      <c r="C2149" s="54">
        <f>IF(_imp!$C$2151="","",INDEX(_imp!$F$4:$F$4503,_imp!$C$2151))</f>
        <v/>
      </c>
      <c r="D2149" s="54">
        <f>IF(_imp!$C$2151="","",INDEX(_imp!$G$4:$G$4503,_imp!$C$2151))</f>
        <v/>
      </c>
      <c r="E2149" s="54">
        <f>IF(_imp!$C$2151="","",INDEX(_imp!$H$4:$H$4503,_imp!$C$2151))</f>
        <v/>
      </c>
      <c r="F2149" s="54">
        <f>IF(_imp!$C$2151="","",INDEX(_imp!$I$4:$I$4503,_imp!$C$2151))</f>
        <v/>
      </c>
      <c r="G2149" s="54">
        <f>IF(_imp!$C$2151="","",INDEX(_imp!$J$4:$J$4503,_imp!$C$2151))</f>
        <v/>
      </c>
      <c r="K2149" s="54">
        <f>IF(_imp!$C$2151="","",INDEX(_imp!$K$4:$K$4503,_imp!$C$2151))</f>
        <v/>
      </c>
    </row>
    <row r="2150">
      <c r="A2150" s="54">
        <f>IF(_imp!$C$2152="","",INDEX(_imp!$D$4:$D$4503,_imp!$C$2152))</f>
        <v/>
      </c>
      <c r="B2150" s="54">
        <f>IF(_imp!$C$2152="","",INDEX(_imp!$E$4:$E$4503,_imp!$C$2152))</f>
        <v/>
      </c>
      <c r="C2150" s="54">
        <f>IF(_imp!$C$2152="","",INDEX(_imp!$F$4:$F$4503,_imp!$C$2152))</f>
        <v/>
      </c>
      <c r="D2150" s="54">
        <f>IF(_imp!$C$2152="","",INDEX(_imp!$G$4:$G$4503,_imp!$C$2152))</f>
        <v/>
      </c>
      <c r="E2150" s="54">
        <f>IF(_imp!$C$2152="","",INDEX(_imp!$H$4:$H$4503,_imp!$C$2152))</f>
        <v/>
      </c>
      <c r="F2150" s="54">
        <f>IF(_imp!$C$2152="","",INDEX(_imp!$I$4:$I$4503,_imp!$C$2152))</f>
        <v/>
      </c>
      <c r="G2150" s="54">
        <f>IF(_imp!$C$2152="","",INDEX(_imp!$J$4:$J$4503,_imp!$C$2152))</f>
        <v/>
      </c>
      <c r="K2150" s="54">
        <f>IF(_imp!$C$2152="","",INDEX(_imp!$K$4:$K$4503,_imp!$C$2152))</f>
        <v/>
      </c>
    </row>
    <row r="2151">
      <c r="A2151" s="54">
        <f>IF(_imp!$C$2153="","",INDEX(_imp!$D$4:$D$4503,_imp!$C$2153))</f>
        <v/>
      </c>
      <c r="B2151" s="54">
        <f>IF(_imp!$C$2153="","",INDEX(_imp!$E$4:$E$4503,_imp!$C$2153))</f>
        <v/>
      </c>
      <c r="C2151" s="54">
        <f>IF(_imp!$C$2153="","",INDEX(_imp!$F$4:$F$4503,_imp!$C$2153))</f>
        <v/>
      </c>
      <c r="D2151" s="54">
        <f>IF(_imp!$C$2153="","",INDEX(_imp!$G$4:$G$4503,_imp!$C$2153))</f>
        <v/>
      </c>
      <c r="E2151" s="54">
        <f>IF(_imp!$C$2153="","",INDEX(_imp!$H$4:$H$4503,_imp!$C$2153))</f>
        <v/>
      </c>
      <c r="F2151" s="54">
        <f>IF(_imp!$C$2153="","",INDEX(_imp!$I$4:$I$4503,_imp!$C$2153))</f>
        <v/>
      </c>
      <c r="G2151" s="54">
        <f>IF(_imp!$C$2153="","",INDEX(_imp!$J$4:$J$4503,_imp!$C$2153))</f>
        <v/>
      </c>
      <c r="K2151" s="54">
        <f>IF(_imp!$C$2153="","",INDEX(_imp!$K$4:$K$4503,_imp!$C$2153))</f>
        <v/>
      </c>
    </row>
    <row r="2152">
      <c r="A2152" s="54">
        <f>IF(_imp!$C$2154="","",INDEX(_imp!$D$4:$D$4503,_imp!$C$2154))</f>
        <v/>
      </c>
      <c r="B2152" s="54">
        <f>IF(_imp!$C$2154="","",INDEX(_imp!$E$4:$E$4503,_imp!$C$2154))</f>
        <v/>
      </c>
      <c r="C2152" s="54">
        <f>IF(_imp!$C$2154="","",INDEX(_imp!$F$4:$F$4503,_imp!$C$2154))</f>
        <v/>
      </c>
      <c r="D2152" s="54">
        <f>IF(_imp!$C$2154="","",INDEX(_imp!$G$4:$G$4503,_imp!$C$2154))</f>
        <v/>
      </c>
      <c r="E2152" s="54">
        <f>IF(_imp!$C$2154="","",INDEX(_imp!$H$4:$H$4503,_imp!$C$2154))</f>
        <v/>
      </c>
      <c r="F2152" s="54">
        <f>IF(_imp!$C$2154="","",INDEX(_imp!$I$4:$I$4503,_imp!$C$2154))</f>
        <v/>
      </c>
      <c r="G2152" s="54">
        <f>IF(_imp!$C$2154="","",INDEX(_imp!$J$4:$J$4503,_imp!$C$2154))</f>
        <v/>
      </c>
      <c r="K2152" s="54">
        <f>IF(_imp!$C$2154="","",INDEX(_imp!$K$4:$K$4503,_imp!$C$2154))</f>
        <v/>
      </c>
    </row>
    <row r="2153">
      <c r="A2153" s="54">
        <f>IF(_imp!$C$2155="","",INDEX(_imp!$D$4:$D$4503,_imp!$C$2155))</f>
        <v/>
      </c>
      <c r="B2153" s="54">
        <f>IF(_imp!$C$2155="","",INDEX(_imp!$E$4:$E$4503,_imp!$C$2155))</f>
        <v/>
      </c>
      <c r="C2153" s="54">
        <f>IF(_imp!$C$2155="","",INDEX(_imp!$F$4:$F$4503,_imp!$C$2155))</f>
        <v/>
      </c>
      <c r="D2153" s="54">
        <f>IF(_imp!$C$2155="","",INDEX(_imp!$G$4:$G$4503,_imp!$C$2155))</f>
        <v/>
      </c>
      <c r="E2153" s="54">
        <f>IF(_imp!$C$2155="","",INDEX(_imp!$H$4:$H$4503,_imp!$C$2155))</f>
        <v/>
      </c>
      <c r="F2153" s="54">
        <f>IF(_imp!$C$2155="","",INDEX(_imp!$I$4:$I$4503,_imp!$C$2155))</f>
        <v/>
      </c>
      <c r="G2153" s="54">
        <f>IF(_imp!$C$2155="","",INDEX(_imp!$J$4:$J$4503,_imp!$C$2155))</f>
        <v/>
      </c>
      <c r="K2153" s="54">
        <f>IF(_imp!$C$2155="","",INDEX(_imp!$K$4:$K$4503,_imp!$C$2155))</f>
        <v/>
      </c>
    </row>
    <row r="2154">
      <c r="A2154" s="54">
        <f>IF(_imp!$C$2156="","",INDEX(_imp!$D$4:$D$4503,_imp!$C$2156))</f>
        <v/>
      </c>
      <c r="B2154" s="54">
        <f>IF(_imp!$C$2156="","",INDEX(_imp!$E$4:$E$4503,_imp!$C$2156))</f>
        <v/>
      </c>
      <c r="C2154" s="54">
        <f>IF(_imp!$C$2156="","",INDEX(_imp!$F$4:$F$4503,_imp!$C$2156))</f>
        <v/>
      </c>
      <c r="D2154" s="54">
        <f>IF(_imp!$C$2156="","",INDEX(_imp!$G$4:$G$4503,_imp!$C$2156))</f>
        <v/>
      </c>
      <c r="E2154" s="54">
        <f>IF(_imp!$C$2156="","",INDEX(_imp!$H$4:$H$4503,_imp!$C$2156))</f>
        <v/>
      </c>
      <c r="F2154" s="54">
        <f>IF(_imp!$C$2156="","",INDEX(_imp!$I$4:$I$4503,_imp!$C$2156))</f>
        <v/>
      </c>
      <c r="G2154" s="54">
        <f>IF(_imp!$C$2156="","",INDEX(_imp!$J$4:$J$4503,_imp!$C$2156))</f>
        <v/>
      </c>
      <c r="K2154" s="54">
        <f>IF(_imp!$C$2156="","",INDEX(_imp!$K$4:$K$4503,_imp!$C$2156))</f>
        <v/>
      </c>
    </row>
    <row r="2155">
      <c r="A2155" s="54">
        <f>IF(_imp!$C$2157="","",INDEX(_imp!$D$4:$D$4503,_imp!$C$2157))</f>
        <v/>
      </c>
      <c r="B2155" s="54">
        <f>IF(_imp!$C$2157="","",INDEX(_imp!$E$4:$E$4503,_imp!$C$2157))</f>
        <v/>
      </c>
      <c r="C2155" s="54">
        <f>IF(_imp!$C$2157="","",INDEX(_imp!$F$4:$F$4503,_imp!$C$2157))</f>
        <v/>
      </c>
      <c r="D2155" s="54">
        <f>IF(_imp!$C$2157="","",INDEX(_imp!$G$4:$G$4503,_imp!$C$2157))</f>
        <v/>
      </c>
      <c r="E2155" s="54">
        <f>IF(_imp!$C$2157="","",INDEX(_imp!$H$4:$H$4503,_imp!$C$2157))</f>
        <v/>
      </c>
      <c r="F2155" s="54">
        <f>IF(_imp!$C$2157="","",INDEX(_imp!$I$4:$I$4503,_imp!$C$2157))</f>
        <v/>
      </c>
      <c r="G2155" s="54">
        <f>IF(_imp!$C$2157="","",INDEX(_imp!$J$4:$J$4503,_imp!$C$2157))</f>
        <v/>
      </c>
      <c r="K2155" s="54">
        <f>IF(_imp!$C$2157="","",INDEX(_imp!$K$4:$K$4503,_imp!$C$2157))</f>
        <v/>
      </c>
    </row>
    <row r="2156">
      <c r="A2156" s="54">
        <f>IF(_imp!$C$2158="","",INDEX(_imp!$D$4:$D$4503,_imp!$C$2158))</f>
        <v/>
      </c>
      <c r="B2156" s="54">
        <f>IF(_imp!$C$2158="","",INDEX(_imp!$E$4:$E$4503,_imp!$C$2158))</f>
        <v/>
      </c>
      <c r="C2156" s="54">
        <f>IF(_imp!$C$2158="","",INDEX(_imp!$F$4:$F$4503,_imp!$C$2158))</f>
        <v/>
      </c>
      <c r="D2156" s="54">
        <f>IF(_imp!$C$2158="","",INDEX(_imp!$G$4:$G$4503,_imp!$C$2158))</f>
        <v/>
      </c>
      <c r="E2156" s="54">
        <f>IF(_imp!$C$2158="","",INDEX(_imp!$H$4:$H$4503,_imp!$C$2158))</f>
        <v/>
      </c>
      <c r="F2156" s="54">
        <f>IF(_imp!$C$2158="","",INDEX(_imp!$I$4:$I$4503,_imp!$C$2158))</f>
        <v/>
      </c>
      <c r="G2156" s="54">
        <f>IF(_imp!$C$2158="","",INDEX(_imp!$J$4:$J$4503,_imp!$C$2158))</f>
        <v/>
      </c>
      <c r="K2156" s="54">
        <f>IF(_imp!$C$2158="","",INDEX(_imp!$K$4:$K$4503,_imp!$C$2158))</f>
        <v/>
      </c>
    </row>
    <row r="2157">
      <c r="A2157" s="54">
        <f>IF(_imp!$C$2159="","",INDEX(_imp!$D$4:$D$4503,_imp!$C$2159))</f>
        <v/>
      </c>
      <c r="B2157" s="54">
        <f>IF(_imp!$C$2159="","",INDEX(_imp!$E$4:$E$4503,_imp!$C$2159))</f>
        <v/>
      </c>
      <c r="C2157" s="54">
        <f>IF(_imp!$C$2159="","",INDEX(_imp!$F$4:$F$4503,_imp!$C$2159))</f>
        <v/>
      </c>
      <c r="D2157" s="54">
        <f>IF(_imp!$C$2159="","",INDEX(_imp!$G$4:$G$4503,_imp!$C$2159))</f>
        <v/>
      </c>
      <c r="E2157" s="54">
        <f>IF(_imp!$C$2159="","",INDEX(_imp!$H$4:$H$4503,_imp!$C$2159))</f>
        <v/>
      </c>
      <c r="F2157" s="54">
        <f>IF(_imp!$C$2159="","",INDEX(_imp!$I$4:$I$4503,_imp!$C$2159))</f>
        <v/>
      </c>
      <c r="G2157" s="54">
        <f>IF(_imp!$C$2159="","",INDEX(_imp!$J$4:$J$4503,_imp!$C$2159))</f>
        <v/>
      </c>
      <c r="K2157" s="54">
        <f>IF(_imp!$C$2159="","",INDEX(_imp!$K$4:$K$4503,_imp!$C$2159))</f>
        <v/>
      </c>
    </row>
    <row r="2158">
      <c r="A2158" s="54">
        <f>IF(_imp!$C$2160="","",INDEX(_imp!$D$4:$D$4503,_imp!$C$2160))</f>
        <v/>
      </c>
      <c r="B2158" s="54">
        <f>IF(_imp!$C$2160="","",INDEX(_imp!$E$4:$E$4503,_imp!$C$2160))</f>
        <v/>
      </c>
      <c r="C2158" s="54">
        <f>IF(_imp!$C$2160="","",INDEX(_imp!$F$4:$F$4503,_imp!$C$2160))</f>
        <v/>
      </c>
      <c r="D2158" s="54">
        <f>IF(_imp!$C$2160="","",INDEX(_imp!$G$4:$G$4503,_imp!$C$2160))</f>
        <v/>
      </c>
      <c r="E2158" s="54">
        <f>IF(_imp!$C$2160="","",INDEX(_imp!$H$4:$H$4503,_imp!$C$2160))</f>
        <v/>
      </c>
      <c r="F2158" s="54">
        <f>IF(_imp!$C$2160="","",INDEX(_imp!$I$4:$I$4503,_imp!$C$2160))</f>
        <v/>
      </c>
      <c r="G2158" s="54">
        <f>IF(_imp!$C$2160="","",INDEX(_imp!$J$4:$J$4503,_imp!$C$2160))</f>
        <v/>
      </c>
      <c r="K2158" s="54">
        <f>IF(_imp!$C$2160="","",INDEX(_imp!$K$4:$K$4503,_imp!$C$2160))</f>
        <v/>
      </c>
    </row>
    <row r="2159">
      <c r="A2159" s="54">
        <f>IF(_imp!$C$2161="","",INDEX(_imp!$D$4:$D$4503,_imp!$C$2161))</f>
        <v/>
      </c>
      <c r="B2159" s="54">
        <f>IF(_imp!$C$2161="","",INDEX(_imp!$E$4:$E$4503,_imp!$C$2161))</f>
        <v/>
      </c>
      <c r="C2159" s="54">
        <f>IF(_imp!$C$2161="","",INDEX(_imp!$F$4:$F$4503,_imp!$C$2161))</f>
        <v/>
      </c>
      <c r="D2159" s="54">
        <f>IF(_imp!$C$2161="","",INDEX(_imp!$G$4:$G$4503,_imp!$C$2161))</f>
        <v/>
      </c>
      <c r="E2159" s="54">
        <f>IF(_imp!$C$2161="","",INDEX(_imp!$H$4:$H$4503,_imp!$C$2161))</f>
        <v/>
      </c>
      <c r="F2159" s="54">
        <f>IF(_imp!$C$2161="","",INDEX(_imp!$I$4:$I$4503,_imp!$C$2161))</f>
        <v/>
      </c>
      <c r="G2159" s="54">
        <f>IF(_imp!$C$2161="","",INDEX(_imp!$J$4:$J$4503,_imp!$C$2161))</f>
        <v/>
      </c>
      <c r="K2159" s="54">
        <f>IF(_imp!$C$2161="","",INDEX(_imp!$K$4:$K$4503,_imp!$C$2161))</f>
        <v/>
      </c>
    </row>
    <row r="2160">
      <c r="A2160" s="54">
        <f>IF(_imp!$C$2162="","",INDEX(_imp!$D$4:$D$4503,_imp!$C$2162))</f>
        <v/>
      </c>
      <c r="B2160" s="54">
        <f>IF(_imp!$C$2162="","",INDEX(_imp!$E$4:$E$4503,_imp!$C$2162))</f>
        <v/>
      </c>
      <c r="C2160" s="54">
        <f>IF(_imp!$C$2162="","",INDEX(_imp!$F$4:$F$4503,_imp!$C$2162))</f>
        <v/>
      </c>
      <c r="D2160" s="54">
        <f>IF(_imp!$C$2162="","",INDEX(_imp!$G$4:$G$4503,_imp!$C$2162))</f>
        <v/>
      </c>
      <c r="E2160" s="54">
        <f>IF(_imp!$C$2162="","",INDEX(_imp!$H$4:$H$4503,_imp!$C$2162))</f>
        <v/>
      </c>
      <c r="F2160" s="54">
        <f>IF(_imp!$C$2162="","",INDEX(_imp!$I$4:$I$4503,_imp!$C$2162))</f>
        <v/>
      </c>
      <c r="G2160" s="54">
        <f>IF(_imp!$C$2162="","",INDEX(_imp!$J$4:$J$4503,_imp!$C$2162))</f>
        <v/>
      </c>
      <c r="K2160" s="54">
        <f>IF(_imp!$C$2162="","",INDEX(_imp!$K$4:$K$4503,_imp!$C$2162))</f>
        <v/>
      </c>
    </row>
    <row r="2161">
      <c r="A2161" s="54">
        <f>IF(_imp!$C$2163="","",INDEX(_imp!$D$4:$D$4503,_imp!$C$2163))</f>
        <v/>
      </c>
      <c r="B2161" s="54">
        <f>IF(_imp!$C$2163="","",INDEX(_imp!$E$4:$E$4503,_imp!$C$2163))</f>
        <v/>
      </c>
      <c r="C2161" s="54">
        <f>IF(_imp!$C$2163="","",INDEX(_imp!$F$4:$F$4503,_imp!$C$2163))</f>
        <v/>
      </c>
      <c r="D2161" s="54">
        <f>IF(_imp!$C$2163="","",INDEX(_imp!$G$4:$G$4503,_imp!$C$2163))</f>
        <v/>
      </c>
      <c r="E2161" s="54">
        <f>IF(_imp!$C$2163="","",INDEX(_imp!$H$4:$H$4503,_imp!$C$2163))</f>
        <v/>
      </c>
      <c r="F2161" s="54">
        <f>IF(_imp!$C$2163="","",INDEX(_imp!$I$4:$I$4503,_imp!$C$2163))</f>
        <v/>
      </c>
      <c r="G2161" s="54">
        <f>IF(_imp!$C$2163="","",INDEX(_imp!$J$4:$J$4503,_imp!$C$2163))</f>
        <v/>
      </c>
      <c r="K2161" s="54">
        <f>IF(_imp!$C$2163="","",INDEX(_imp!$K$4:$K$4503,_imp!$C$2163))</f>
        <v/>
      </c>
    </row>
    <row r="2162">
      <c r="A2162" s="54">
        <f>IF(_imp!$C$2164="","",INDEX(_imp!$D$4:$D$4503,_imp!$C$2164))</f>
        <v/>
      </c>
      <c r="B2162" s="54">
        <f>IF(_imp!$C$2164="","",INDEX(_imp!$E$4:$E$4503,_imp!$C$2164))</f>
        <v/>
      </c>
      <c r="C2162" s="54">
        <f>IF(_imp!$C$2164="","",INDEX(_imp!$F$4:$F$4503,_imp!$C$2164))</f>
        <v/>
      </c>
      <c r="D2162" s="54">
        <f>IF(_imp!$C$2164="","",INDEX(_imp!$G$4:$G$4503,_imp!$C$2164))</f>
        <v/>
      </c>
      <c r="E2162" s="54">
        <f>IF(_imp!$C$2164="","",INDEX(_imp!$H$4:$H$4503,_imp!$C$2164))</f>
        <v/>
      </c>
      <c r="F2162" s="54">
        <f>IF(_imp!$C$2164="","",INDEX(_imp!$I$4:$I$4503,_imp!$C$2164))</f>
        <v/>
      </c>
      <c r="G2162" s="54">
        <f>IF(_imp!$C$2164="","",INDEX(_imp!$J$4:$J$4503,_imp!$C$2164))</f>
        <v/>
      </c>
      <c r="K2162" s="54">
        <f>IF(_imp!$C$2164="","",INDEX(_imp!$K$4:$K$4503,_imp!$C$2164))</f>
        <v/>
      </c>
    </row>
    <row r="2163">
      <c r="A2163" s="54">
        <f>IF(_imp!$C$2165="","",INDEX(_imp!$D$4:$D$4503,_imp!$C$2165))</f>
        <v/>
      </c>
      <c r="B2163" s="54">
        <f>IF(_imp!$C$2165="","",INDEX(_imp!$E$4:$E$4503,_imp!$C$2165))</f>
        <v/>
      </c>
      <c r="C2163" s="54">
        <f>IF(_imp!$C$2165="","",INDEX(_imp!$F$4:$F$4503,_imp!$C$2165))</f>
        <v/>
      </c>
      <c r="D2163" s="54">
        <f>IF(_imp!$C$2165="","",INDEX(_imp!$G$4:$G$4503,_imp!$C$2165))</f>
        <v/>
      </c>
      <c r="E2163" s="54">
        <f>IF(_imp!$C$2165="","",INDEX(_imp!$H$4:$H$4503,_imp!$C$2165))</f>
        <v/>
      </c>
      <c r="F2163" s="54">
        <f>IF(_imp!$C$2165="","",INDEX(_imp!$I$4:$I$4503,_imp!$C$2165))</f>
        <v/>
      </c>
      <c r="G2163" s="54">
        <f>IF(_imp!$C$2165="","",INDEX(_imp!$J$4:$J$4503,_imp!$C$2165))</f>
        <v/>
      </c>
      <c r="K2163" s="54">
        <f>IF(_imp!$C$2165="","",INDEX(_imp!$K$4:$K$4503,_imp!$C$2165))</f>
        <v/>
      </c>
    </row>
    <row r="2164">
      <c r="A2164" s="54">
        <f>IF(_imp!$C$2166="","",INDEX(_imp!$D$4:$D$4503,_imp!$C$2166))</f>
        <v/>
      </c>
      <c r="B2164" s="54">
        <f>IF(_imp!$C$2166="","",INDEX(_imp!$E$4:$E$4503,_imp!$C$2166))</f>
        <v/>
      </c>
      <c r="C2164" s="54">
        <f>IF(_imp!$C$2166="","",INDEX(_imp!$F$4:$F$4503,_imp!$C$2166))</f>
        <v/>
      </c>
      <c r="D2164" s="54">
        <f>IF(_imp!$C$2166="","",INDEX(_imp!$G$4:$G$4503,_imp!$C$2166))</f>
        <v/>
      </c>
      <c r="E2164" s="54">
        <f>IF(_imp!$C$2166="","",INDEX(_imp!$H$4:$H$4503,_imp!$C$2166))</f>
        <v/>
      </c>
      <c r="F2164" s="54">
        <f>IF(_imp!$C$2166="","",INDEX(_imp!$I$4:$I$4503,_imp!$C$2166))</f>
        <v/>
      </c>
      <c r="G2164" s="54">
        <f>IF(_imp!$C$2166="","",INDEX(_imp!$J$4:$J$4503,_imp!$C$2166))</f>
        <v/>
      </c>
      <c r="K2164" s="54">
        <f>IF(_imp!$C$2166="","",INDEX(_imp!$K$4:$K$4503,_imp!$C$2166))</f>
        <v/>
      </c>
    </row>
    <row r="2165">
      <c r="A2165" s="54">
        <f>IF(_imp!$C$2167="","",INDEX(_imp!$D$4:$D$4503,_imp!$C$2167))</f>
        <v/>
      </c>
      <c r="B2165" s="54">
        <f>IF(_imp!$C$2167="","",INDEX(_imp!$E$4:$E$4503,_imp!$C$2167))</f>
        <v/>
      </c>
      <c r="C2165" s="54">
        <f>IF(_imp!$C$2167="","",INDEX(_imp!$F$4:$F$4503,_imp!$C$2167))</f>
        <v/>
      </c>
      <c r="D2165" s="54">
        <f>IF(_imp!$C$2167="","",INDEX(_imp!$G$4:$G$4503,_imp!$C$2167))</f>
        <v/>
      </c>
      <c r="E2165" s="54">
        <f>IF(_imp!$C$2167="","",INDEX(_imp!$H$4:$H$4503,_imp!$C$2167))</f>
        <v/>
      </c>
      <c r="F2165" s="54">
        <f>IF(_imp!$C$2167="","",INDEX(_imp!$I$4:$I$4503,_imp!$C$2167))</f>
        <v/>
      </c>
      <c r="G2165" s="54">
        <f>IF(_imp!$C$2167="","",INDEX(_imp!$J$4:$J$4503,_imp!$C$2167))</f>
        <v/>
      </c>
      <c r="K2165" s="54">
        <f>IF(_imp!$C$2167="","",INDEX(_imp!$K$4:$K$4503,_imp!$C$2167))</f>
        <v/>
      </c>
    </row>
    <row r="2166">
      <c r="A2166" s="54">
        <f>IF(_imp!$C$2168="","",INDEX(_imp!$D$4:$D$4503,_imp!$C$2168))</f>
        <v/>
      </c>
      <c r="B2166" s="54">
        <f>IF(_imp!$C$2168="","",INDEX(_imp!$E$4:$E$4503,_imp!$C$2168))</f>
        <v/>
      </c>
      <c r="C2166" s="54">
        <f>IF(_imp!$C$2168="","",INDEX(_imp!$F$4:$F$4503,_imp!$C$2168))</f>
        <v/>
      </c>
      <c r="D2166" s="54">
        <f>IF(_imp!$C$2168="","",INDEX(_imp!$G$4:$G$4503,_imp!$C$2168))</f>
        <v/>
      </c>
      <c r="E2166" s="54">
        <f>IF(_imp!$C$2168="","",INDEX(_imp!$H$4:$H$4503,_imp!$C$2168))</f>
        <v/>
      </c>
      <c r="F2166" s="54">
        <f>IF(_imp!$C$2168="","",INDEX(_imp!$I$4:$I$4503,_imp!$C$2168))</f>
        <v/>
      </c>
      <c r="G2166" s="54">
        <f>IF(_imp!$C$2168="","",INDEX(_imp!$J$4:$J$4503,_imp!$C$2168))</f>
        <v/>
      </c>
      <c r="K2166" s="54">
        <f>IF(_imp!$C$2168="","",INDEX(_imp!$K$4:$K$4503,_imp!$C$2168))</f>
        <v/>
      </c>
    </row>
    <row r="2167">
      <c r="A2167" s="54">
        <f>IF(_imp!$C$2169="","",INDEX(_imp!$D$4:$D$4503,_imp!$C$2169))</f>
        <v/>
      </c>
      <c r="B2167" s="54">
        <f>IF(_imp!$C$2169="","",INDEX(_imp!$E$4:$E$4503,_imp!$C$2169))</f>
        <v/>
      </c>
      <c r="C2167" s="54">
        <f>IF(_imp!$C$2169="","",INDEX(_imp!$F$4:$F$4503,_imp!$C$2169))</f>
        <v/>
      </c>
      <c r="D2167" s="54">
        <f>IF(_imp!$C$2169="","",INDEX(_imp!$G$4:$G$4503,_imp!$C$2169))</f>
        <v/>
      </c>
      <c r="E2167" s="54">
        <f>IF(_imp!$C$2169="","",INDEX(_imp!$H$4:$H$4503,_imp!$C$2169))</f>
        <v/>
      </c>
      <c r="F2167" s="54">
        <f>IF(_imp!$C$2169="","",INDEX(_imp!$I$4:$I$4503,_imp!$C$2169))</f>
        <v/>
      </c>
      <c r="G2167" s="54">
        <f>IF(_imp!$C$2169="","",INDEX(_imp!$J$4:$J$4503,_imp!$C$2169))</f>
        <v/>
      </c>
      <c r="K2167" s="54">
        <f>IF(_imp!$C$2169="","",INDEX(_imp!$K$4:$K$4503,_imp!$C$2169))</f>
        <v/>
      </c>
    </row>
    <row r="2168">
      <c r="A2168" s="54">
        <f>IF(_imp!$C$2170="","",INDEX(_imp!$D$4:$D$4503,_imp!$C$2170))</f>
        <v/>
      </c>
      <c r="B2168" s="54">
        <f>IF(_imp!$C$2170="","",INDEX(_imp!$E$4:$E$4503,_imp!$C$2170))</f>
        <v/>
      </c>
      <c r="C2168" s="54">
        <f>IF(_imp!$C$2170="","",INDEX(_imp!$F$4:$F$4503,_imp!$C$2170))</f>
        <v/>
      </c>
      <c r="D2168" s="54">
        <f>IF(_imp!$C$2170="","",INDEX(_imp!$G$4:$G$4503,_imp!$C$2170))</f>
        <v/>
      </c>
      <c r="E2168" s="54">
        <f>IF(_imp!$C$2170="","",INDEX(_imp!$H$4:$H$4503,_imp!$C$2170))</f>
        <v/>
      </c>
      <c r="F2168" s="54">
        <f>IF(_imp!$C$2170="","",INDEX(_imp!$I$4:$I$4503,_imp!$C$2170))</f>
        <v/>
      </c>
      <c r="G2168" s="54">
        <f>IF(_imp!$C$2170="","",INDEX(_imp!$J$4:$J$4503,_imp!$C$2170))</f>
        <v/>
      </c>
      <c r="K2168" s="54">
        <f>IF(_imp!$C$2170="","",INDEX(_imp!$K$4:$K$4503,_imp!$C$2170))</f>
        <v/>
      </c>
    </row>
    <row r="2169">
      <c r="A2169" s="54">
        <f>IF(_imp!$C$2171="","",INDEX(_imp!$D$4:$D$4503,_imp!$C$2171))</f>
        <v/>
      </c>
      <c r="B2169" s="54">
        <f>IF(_imp!$C$2171="","",INDEX(_imp!$E$4:$E$4503,_imp!$C$2171))</f>
        <v/>
      </c>
      <c r="C2169" s="54">
        <f>IF(_imp!$C$2171="","",INDEX(_imp!$F$4:$F$4503,_imp!$C$2171))</f>
        <v/>
      </c>
      <c r="D2169" s="54">
        <f>IF(_imp!$C$2171="","",INDEX(_imp!$G$4:$G$4503,_imp!$C$2171))</f>
        <v/>
      </c>
      <c r="E2169" s="54">
        <f>IF(_imp!$C$2171="","",INDEX(_imp!$H$4:$H$4503,_imp!$C$2171))</f>
        <v/>
      </c>
      <c r="F2169" s="54">
        <f>IF(_imp!$C$2171="","",INDEX(_imp!$I$4:$I$4503,_imp!$C$2171))</f>
        <v/>
      </c>
      <c r="G2169" s="54">
        <f>IF(_imp!$C$2171="","",INDEX(_imp!$J$4:$J$4503,_imp!$C$2171))</f>
        <v/>
      </c>
      <c r="K2169" s="54">
        <f>IF(_imp!$C$2171="","",INDEX(_imp!$K$4:$K$4503,_imp!$C$2171))</f>
        <v/>
      </c>
    </row>
    <row r="2170">
      <c r="A2170" s="54">
        <f>IF(_imp!$C$2172="","",INDEX(_imp!$D$4:$D$4503,_imp!$C$2172))</f>
        <v/>
      </c>
      <c r="B2170" s="54">
        <f>IF(_imp!$C$2172="","",INDEX(_imp!$E$4:$E$4503,_imp!$C$2172))</f>
        <v/>
      </c>
      <c r="C2170" s="54">
        <f>IF(_imp!$C$2172="","",INDEX(_imp!$F$4:$F$4503,_imp!$C$2172))</f>
        <v/>
      </c>
      <c r="D2170" s="54">
        <f>IF(_imp!$C$2172="","",INDEX(_imp!$G$4:$G$4503,_imp!$C$2172))</f>
        <v/>
      </c>
      <c r="E2170" s="54">
        <f>IF(_imp!$C$2172="","",INDEX(_imp!$H$4:$H$4503,_imp!$C$2172))</f>
        <v/>
      </c>
      <c r="F2170" s="54">
        <f>IF(_imp!$C$2172="","",INDEX(_imp!$I$4:$I$4503,_imp!$C$2172))</f>
        <v/>
      </c>
      <c r="G2170" s="54">
        <f>IF(_imp!$C$2172="","",INDEX(_imp!$J$4:$J$4503,_imp!$C$2172))</f>
        <v/>
      </c>
      <c r="K2170" s="54">
        <f>IF(_imp!$C$2172="","",INDEX(_imp!$K$4:$K$4503,_imp!$C$2172))</f>
        <v/>
      </c>
    </row>
    <row r="2171">
      <c r="A2171" s="54">
        <f>IF(_imp!$C$2173="","",INDEX(_imp!$D$4:$D$4503,_imp!$C$2173))</f>
        <v/>
      </c>
      <c r="B2171" s="54">
        <f>IF(_imp!$C$2173="","",INDEX(_imp!$E$4:$E$4503,_imp!$C$2173))</f>
        <v/>
      </c>
      <c r="C2171" s="54">
        <f>IF(_imp!$C$2173="","",INDEX(_imp!$F$4:$F$4503,_imp!$C$2173))</f>
        <v/>
      </c>
      <c r="D2171" s="54">
        <f>IF(_imp!$C$2173="","",INDEX(_imp!$G$4:$G$4503,_imp!$C$2173))</f>
        <v/>
      </c>
      <c r="E2171" s="54">
        <f>IF(_imp!$C$2173="","",INDEX(_imp!$H$4:$H$4503,_imp!$C$2173))</f>
        <v/>
      </c>
      <c r="F2171" s="54">
        <f>IF(_imp!$C$2173="","",INDEX(_imp!$I$4:$I$4503,_imp!$C$2173))</f>
        <v/>
      </c>
      <c r="G2171" s="54">
        <f>IF(_imp!$C$2173="","",INDEX(_imp!$J$4:$J$4503,_imp!$C$2173))</f>
        <v/>
      </c>
      <c r="K2171" s="54">
        <f>IF(_imp!$C$2173="","",INDEX(_imp!$K$4:$K$4503,_imp!$C$2173))</f>
        <v/>
      </c>
    </row>
    <row r="2172">
      <c r="A2172" s="54">
        <f>IF(_imp!$C$2174="","",INDEX(_imp!$D$4:$D$4503,_imp!$C$2174))</f>
        <v/>
      </c>
      <c r="B2172" s="54">
        <f>IF(_imp!$C$2174="","",INDEX(_imp!$E$4:$E$4503,_imp!$C$2174))</f>
        <v/>
      </c>
      <c r="C2172" s="54">
        <f>IF(_imp!$C$2174="","",INDEX(_imp!$F$4:$F$4503,_imp!$C$2174))</f>
        <v/>
      </c>
      <c r="D2172" s="54">
        <f>IF(_imp!$C$2174="","",INDEX(_imp!$G$4:$G$4503,_imp!$C$2174))</f>
        <v/>
      </c>
      <c r="E2172" s="54">
        <f>IF(_imp!$C$2174="","",INDEX(_imp!$H$4:$H$4503,_imp!$C$2174))</f>
        <v/>
      </c>
      <c r="F2172" s="54">
        <f>IF(_imp!$C$2174="","",INDEX(_imp!$I$4:$I$4503,_imp!$C$2174))</f>
        <v/>
      </c>
      <c r="G2172" s="54">
        <f>IF(_imp!$C$2174="","",INDEX(_imp!$J$4:$J$4503,_imp!$C$2174))</f>
        <v/>
      </c>
      <c r="K2172" s="54">
        <f>IF(_imp!$C$2174="","",INDEX(_imp!$K$4:$K$4503,_imp!$C$2174))</f>
        <v/>
      </c>
    </row>
    <row r="2173">
      <c r="A2173" s="54">
        <f>IF(_imp!$C$2175="","",INDEX(_imp!$D$4:$D$4503,_imp!$C$2175))</f>
        <v/>
      </c>
      <c r="B2173" s="54">
        <f>IF(_imp!$C$2175="","",INDEX(_imp!$E$4:$E$4503,_imp!$C$2175))</f>
        <v/>
      </c>
      <c r="C2173" s="54">
        <f>IF(_imp!$C$2175="","",INDEX(_imp!$F$4:$F$4503,_imp!$C$2175))</f>
        <v/>
      </c>
      <c r="D2173" s="54">
        <f>IF(_imp!$C$2175="","",INDEX(_imp!$G$4:$G$4503,_imp!$C$2175))</f>
        <v/>
      </c>
      <c r="E2173" s="54">
        <f>IF(_imp!$C$2175="","",INDEX(_imp!$H$4:$H$4503,_imp!$C$2175))</f>
        <v/>
      </c>
      <c r="F2173" s="54">
        <f>IF(_imp!$C$2175="","",INDEX(_imp!$I$4:$I$4503,_imp!$C$2175))</f>
        <v/>
      </c>
      <c r="G2173" s="54">
        <f>IF(_imp!$C$2175="","",INDEX(_imp!$J$4:$J$4503,_imp!$C$2175))</f>
        <v/>
      </c>
      <c r="K2173" s="54">
        <f>IF(_imp!$C$2175="","",INDEX(_imp!$K$4:$K$4503,_imp!$C$2175))</f>
        <v/>
      </c>
    </row>
    <row r="2174">
      <c r="A2174" s="54">
        <f>IF(_imp!$C$2176="","",INDEX(_imp!$D$4:$D$4503,_imp!$C$2176))</f>
        <v/>
      </c>
      <c r="B2174" s="54">
        <f>IF(_imp!$C$2176="","",INDEX(_imp!$E$4:$E$4503,_imp!$C$2176))</f>
        <v/>
      </c>
      <c r="C2174" s="54">
        <f>IF(_imp!$C$2176="","",INDEX(_imp!$F$4:$F$4503,_imp!$C$2176))</f>
        <v/>
      </c>
      <c r="D2174" s="54">
        <f>IF(_imp!$C$2176="","",INDEX(_imp!$G$4:$G$4503,_imp!$C$2176))</f>
        <v/>
      </c>
      <c r="E2174" s="54">
        <f>IF(_imp!$C$2176="","",INDEX(_imp!$H$4:$H$4503,_imp!$C$2176))</f>
        <v/>
      </c>
      <c r="F2174" s="54">
        <f>IF(_imp!$C$2176="","",INDEX(_imp!$I$4:$I$4503,_imp!$C$2176))</f>
        <v/>
      </c>
      <c r="G2174" s="54">
        <f>IF(_imp!$C$2176="","",INDEX(_imp!$J$4:$J$4503,_imp!$C$2176))</f>
        <v/>
      </c>
      <c r="K2174" s="54">
        <f>IF(_imp!$C$2176="","",INDEX(_imp!$K$4:$K$4503,_imp!$C$2176))</f>
        <v/>
      </c>
    </row>
    <row r="2175">
      <c r="A2175" s="54">
        <f>IF(_imp!$C$2177="","",INDEX(_imp!$D$4:$D$4503,_imp!$C$2177))</f>
        <v/>
      </c>
      <c r="B2175" s="54">
        <f>IF(_imp!$C$2177="","",INDEX(_imp!$E$4:$E$4503,_imp!$C$2177))</f>
        <v/>
      </c>
      <c r="C2175" s="54">
        <f>IF(_imp!$C$2177="","",INDEX(_imp!$F$4:$F$4503,_imp!$C$2177))</f>
        <v/>
      </c>
      <c r="D2175" s="54">
        <f>IF(_imp!$C$2177="","",INDEX(_imp!$G$4:$G$4503,_imp!$C$2177))</f>
        <v/>
      </c>
      <c r="E2175" s="54">
        <f>IF(_imp!$C$2177="","",INDEX(_imp!$H$4:$H$4503,_imp!$C$2177))</f>
        <v/>
      </c>
      <c r="F2175" s="54">
        <f>IF(_imp!$C$2177="","",INDEX(_imp!$I$4:$I$4503,_imp!$C$2177))</f>
        <v/>
      </c>
      <c r="G2175" s="54">
        <f>IF(_imp!$C$2177="","",INDEX(_imp!$J$4:$J$4503,_imp!$C$2177))</f>
        <v/>
      </c>
      <c r="K2175" s="54">
        <f>IF(_imp!$C$2177="","",INDEX(_imp!$K$4:$K$4503,_imp!$C$2177))</f>
        <v/>
      </c>
    </row>
    <row r="2176">
      <c r="A2176" s="54">
        <f>IF(_imp!$C$2178="","",INDEX(_imp!$D$4:$D$4503,_imp!$C$2178))</f>
        <v/>
      </c>
      <c r="B2176" s="54">
        <f>IF(_imp!$C$2178="","",INDEX(_imp!$E$4:$E$4503,_imp!$C$2178))</f>
        <v/>
      </c>
      <c r="C2176" s="54">
        <f>IF(_imp!$C$2178="","",INDEX(_imp!$F$4:$F$4503,_imp!$C$2178))</f>
        <v/>
      </c>
      <c r="D2176" s="54">
        <f>IF(_imp!$C$2178="","",INDEX(_imp!$G$4:$G$4503,_imp!$C$2178))</f>
        <v/>
      </c>
      <c r="E2176" s="54">
        <f>IF(_imp!$C$2178="","",INDEX(_imp!$H$4:$H$4503,_imp!$C$2178))</f>
        <v/>
      </c>
      <c r="F2176" s="54">
        <f>IF(_imp!$C$2178="","",INDEX(_imp!$I$4:$I$4503,_imp!$C$2178))</f>
        <v/>
      </c>
      <c r="G2176" s="54">
        <f>IF(_imp!$C$2178="","",INDEX(_imp!$J$4:$J$4503,_imp!$C$2178))</f>
        <v/>
      </c>
      <c r="K2176" s="54">
        <f>IF(_imp!$C$2178="","",INDEX(_imp!$K$4:$K$4503,_imp!$C$2178))</f>
        <v/>
      </c>
    </row>
    <row r="2177">
      <c r="A2177" s="54">
        <f>IF(_imp!$C$2179="","",INDEX(_imp!$D$4:$D$4503,_imp!$C$2179))</f>
        <v/>
      </c>
      <c r="B2177" s="54">
        <f>IF(_imp!$C$2179="","",INDEX(_imp!$E$4:$E$4503,_imp!$C$2179))</f>
        <v/>
      </c>
      <c r="C2177" s="54">
        <f>IF(_imp!$C$2179="","",INDEX(_imp!$F$4:$F$4503,_imp!$C$2179))</f>
        <v/>
      </c>
      <c r="D2177" s="54">
        <f>IF(_imp!$C$2179="","",INDEX(_imp!$G$4:$G$4503,_imp!$C$2179))</f>
        <v/>
      </c>
      <c r="E2177" s="54">
        <f>IF(_imp!$C$2179="","",INDEX(_imp!$H$4:$H$4503,_imp!$C$2179))</f>
        <v/>
      </c>
      <c r="F2177" s="54">
        <f>IF(_imp!$C$2179="","",INDEX(_imp!$I$4:$I$4503,_imp!$C$2179))</f>
        <v/>
      </c>
      <c r="G2177" s="54">
        <f>IF(_imp!$C$2179="","",INDEX(_imp!$J$4:$J$4503,_imp!$C$2179))</f>
        <v/>
      </c>
      <c r="K2177" s="54">
        <f>IF(_imp!$C$2179="","",INDEX(_imp!$K$4:$K$4503,_imp!$C$2179))</f>
        <v/>
      </c>
    </row>
    <row r="2178">
      <c r="A2178" s="54">
        <f>IF(_imp!$C$2180="","",INDEX(_imp!$D$4:$D$4503,_imp!$C$2180))</f>
        <v/>
      </c>
      <c r="B2178" s="54">
        <f>IF(_imp!$C$2180="","",INDEX(_imp!$E$4:$E$4503,_imp!$C$2180))</f>
        <v/>
      </c>
      <c r="C2178" s="54">
        <f>IF(_imp!$C$2180="","",INDEX(_imp!$F$4:$F$4503,_imp!$C$2180))</f>
        <v/>
      </c>
      <c r="D2178" s="54">
        <f>IF(_imp!$C$2180="","",INDEX(_imp!$G$4:$G$4503,_imp!$C$2180))</f>
        <v/>
      </c>
      <c r="E2178" s="54">
        <f>IF(_imp!$C$2180="","",INDEX(_imp!$H$4:$H$4503,_imp!$C$2180))</f>
        <v/>
      </c>
      <c r="F2178" s="54">
        <f>IF(_imp!$C$2180="","",INDEX(_imp!$I$4:$I$4503,_imp!$C$2180))</f>
        <v/>
      </c>
      <c r="G2178" s="54">
        <f>IF(_imp!$C$2180="","",INDEX(_imp!$J$4:$J$4503,_imp!$C$2180))</f>
        <v/>
      </c>
      <c r="K2178" s="54">
        <f>IF(_imp!$C$2180="","",INDEX(_imp!$K$4:$K$4503,_imp!$C$2180))</f>
        <v/>
      </c>
    </row>
    <row r="2179">
      <c r="A2179" s="54">
        <f>IF(_imp!$C$2181="","",INDEX(_imp!$D$4:$D$4503,_imp!$C$2181))</f>
        <v/>
      </c>
      <c r="B2179" s="54">
        <f>IF(_imp!$C$2181="","",INDEX(_imp!$E$4:$E$4503,_imp!$C$2181))</f>
        <v/>
      </c>
      <c r="C2179" s="54">
        <f>IF(_imp!$C$2181="","",INDEX(_imp!$F$4:$F$4503,_imp!$C$2181))</f>
        <v/>
      </c>
      <c r="D2179" s="54">
        <f>IF(_imp!$C$2181="","",INDEX(_imp!$G$4:$G$4503,_imp!$C$2181))</f>
        <v/>
      </c>
      <c r="E2179" s="54">
        <f>IF(_imp!$C$2181="","",INDEX(_imp!$H$4:$H$4503,_imp!$C$2181))</f>
        <v/>
      </c>
      <c r="F2179" s="54">
        <f>IF(_imp!$C$2181="","",INDEX(_imp!$I$4:$I$4503,_imp!$C$2181))</f>
        <v/>
      </c>
      <c r="G2179" s="54">
        <f>IF(_imp!$C$2181="","",INDEX(_imp!$J$4:$J$4503,_imp!$C$2181))</f>
        <v/>
      </c>
      <c r="K2179" s="54">
        <f>IF(_imp!$C$2181="","",INDEX(_imp!$K$4:$K$4503,_imp!$C$2181))</f>
        <v/>
      </c>
    </row>
    <row r="2180">
      <c r="A2180" s="54">
        <f>IF(_imp!$C$2182="","",INDEX(_imp!$D$4:$D$4503,_imp!$C$2182))</f>
        <v/>
      </c>
      <c r="B2180" s="54">
        <f>IF(_imp!$C$2182="","",INDEX(_imp!$E$4:$E$4503,_imp!$C$2182))</f>
        <v/>
      </c>
      <c r="C2180" s="54">
        <f>IF(_imp!$C$2182="","",INDEX(_imp!$F$4:$F$4503,_imp!$C$2182))</f>
        <v/>
      </c>
      <c r="D2180" s="54">
        <f>IF(_imp!$C$2182="","",INDEX(_imp!$G$4:$G$4503,_imp!$C$2182))</f>
        <v/>
      </c>
      <c r="E2180" s="54">
        <f>IF(_imp!$C$2182="","",INDEX(_imp!$H$4:$H$4503,_imp!$C$2182))</f>
        <v/>
      </c>
      <c r="F2180" s="54">
        <f>IF(_imp!$C$2182="","",INDEX(_imp!$I$4:$I$4503,_imp!$C$2182))</f>
        <v/>
      </c>
      <c r="G2180" s="54">
        <f>IF(_imp!$C$2182="","",INDEX(_imp!$J$4:$J$4503,_imp!$C$2182))</f>
        <v/>
      </c>
      <c r="K2180" s="54">
        <f>IF(_imp!$C$2182="","",INDEX(_imp!$K$4:$K$4503,_imp!$C$2182))</f>
        <v/>
      </c>
    </row>
    <row r="2181">
      <c r="A2181" s="54">
        <f>IF(_imp!$C$2183="","",INDEX(_imp!$D$4:$D$4503,_imp!$C$2183))</f>
        <v/>
      </c>
      <c r="B2181" s="54">
        <f>IF(_imp!$C$2183="","",INDEX(_imp!$E$4:$E$4503,_imp!$C$2183))</f>
        <v/>
      </c>
      <c r="C2181" s="54">
        <f>IF(_imp!$C$2183="","",INDEX(_imp!$F$4:$F$4503,_imp!$C$2183))</f>
        <v/>
      </c>
      <c r="D2181" s="54">
        <f>IF(_imp!$C$2183="","",INDEX(_imp!$G$4:$G$4503,_imp!$C$2183))</f>
        <v/>
      </c>
      <c r="E2181" s="54">
        <f>IF(_imp!$C$2183="","",INDEX(_imp!$H$4:$H$4503,_imp!$C$2183))</f>
        <v/>
      </c>
      <c r="F2181" s="54">
        <f>IF(_imp!$C$2183="","",INDEX(_imp!$I$4:$I$4503,_imp!$C$2183))</f>
        <v/>
      </c>
      <c r="G2181" s="54">
        <f>IF(_imp!$C$2183="","",INDEX(_imp!$J$4:$J$4503,_imp!$C$2183))</f>
        <v/>
      </c>
      <c r="K2181" s="54">
        <f>IF(_imp!$C$2183="","",INDEX(_imp!$K$4:$K$4503,_imp!$C$2183))</f>
        <v/>
      </c>
    </row>
    <row r="2182">
      <c r="A2182" s="54">
        <f>IF(_imp!$C$2184="","",INDEX(_imp!$D$4:$D$4503,_imp!$C$2184))</f>
        <v/>
      </c>
      <c r="B2182" s="54">
        <f>IF(_imp!$C$2184="","",INDEX(_imp!$E$4:$E$4503,_imp!$C$2184))</f>
        <v/>
      </c>
      <c r="C2182" s="54">
        <f>IF(_imp!$C$2184="","",INDEX(_imp!$F$4:$F$4503,_imp!$C$2184))</f>
        <v/>
      </c>
      <c r="D2182" s="54">
        <f>IF(_imp!$C$2184="","",INDEX(_imp!$G$4:$G$4503,_imp!$C$2184))</f>
        <v/>
      </c>
      <c r="E2182" s="54">
        <f>IF(_imp!$C$2184="","",INDEX(_imp!$H$4:$H$4503,_imp!$C$2184))</f>
        <v/>
      </c>
      <c r="F2182" s="54">
        <f>IF(_imp!$C$2184="","",INDEX(_imp!$I$4:$I$4503,_imp!$C$2184))</f>
        <v/>
      </c>
      <c r="G2182" s="54">
        <f>IF(_imp!$C$2184="","",INDEX(_imp!$J$4:$J$4503,_imp!$C$2184))</f>
        <v/>
      </c>
      <c r="K2182" s="54">
        <f>IF(_imp!$C$2184="","",INDEX(_imp!$K$4:$K$4503,_imp!$C$2184))</f>
        <v/>
      </c>
    </row>
    <row r="2183">
      <c r="A2183" s="54">
        <f>IF(_imp!$C$2185="","",INDEX(_imp!$D$4:$D$4503,_imp!$C$2185))</f>
        <v/>
      </c>
      <c r="B2183" s="54">
        <f>IF(_imp!$C$2185="","",INDEX(_imp!$E$4:$E$4503,_imp!$C$2185))</f>
        <v/>
      </c>
      <c r="C2183" s="54">
        <f>IF(_imp!$C$2185="","",INDEX(_imp!$F$4:$F$4503,_imp!$C$2185))</f>
        <v/>
      </c>
      <c r="D2183" s="54">
        <f>IF(_imp!$C$2185="","",INDEX(_imp!$G$4:$G$4503,_imp!$C$2185))</f>
        <v/>
      </c>
      <c r="E2183" s="54">
        <f>IF(_imp!$C$2185="","",INDEX(_imp!$H$4:$H$4503,_imp!$C$2185))</f>
        <v/>
      </c>
      <c r="F2183" s="54">
        <f>IF(_imp!$C$2185="","",INDEX(_imp!$I$4:$I$4503,_imp!$C$2185))</f>
        <v/>
      </c>
      <c r="G2183" s="54">
        <f>IF(_imp!$C$2185="","",INDEX(_imp!$J$4:$J$4503,_imp!$C$2185))</f>
        <v/>
      </c>
      <c r="K2183" s="54">
        <f>IF(_imp!$C$2185="","",INDEX(_imp!$K$4:$K$4503,_imp!$C$2185))</f>
        <v/>
      </c>
    </row>
    <row r="2184">
      <c r="A2184" s="54">
        <f>IF(_imp!$C$2186="","",INDEX(_imp!$D$4:$D$4503,_imp!$C$2186))</f>
        <v/>
      </c>
      <c r="B2184" s="54">
        <f>IF(_imp!$C$2186="","",INDEX(_imp!$E$4:$E$4503,_imp!$C$2186))</f>
        <v/>
      </c>
      <c r="C2184" s="54">
        <f>IF(_imp!$C$2186="","",INDEX(_imp!$F$4:$F$4503,_imp!$C$2186))</f>
        <v/>
      </c>
      <c r="D2184" s="54">
        <f>IF(_imp!$C$2186="","",INDEX(_imp!$G$4:$G$4503,_imp!$C$2186))</f>
        <v/>
      </c>
      <c r="E2184" s="54">
        <f>IF(_imp!$C$2186="","",INDEX(_imp!$H$4:$H$4503,_imp!$C$2186))</f>
        <v/>
      </c>
      <c r="F2184" s="54">
        <f>IF(_imp!$C$2186="","",INDEX(_imp!$I$4:$I$4503,_imp!$C$2186))</f>
        <v/>
      </c>
      <c r="G2184" s="54">
        <f>IF(_imp!$C$2186="","",INDEX(_imp!$J$4:$J$4503,_imp!$C$2186))</f>
        <v/>
      </c>
      <c r="K2184" s="54">
        <f>IF(_imp!$C$2186="","",INDEX(_imp!$K$4:$K$4503,_imp!$C$2186))</f>
        <v/>
      </c>
    </row>
    <row r="2185">
      <c r="A2185" s="54">
        <f>IF(_imp!$C$2187="","",INDEX(_imp!$D$4:$D$4503,_imp!$C$2187))</f>
        <v/>
      </c>
      <c r="B2185" s="54">
        <f>IF(_imp!$C$2187="","",INDEX(_imp!$E$4:$E$4503,_imp!$C$2187))</f>
        <v/>
      </c>
      <c r="C2185" s="54">
        <f>IF(_imp!$C$2187="","",INDEX(_imp!$F$4:$F$4503,_imp!$C$2187))</f>
        <v/>
      </c>
      <c r="D2185" s="54">
        <f>IF(_imp!$C$2187="","",INDEX(_imp!$G$4:$G$4503,_imp!$C$2187))</f>
        <v/>
      </c>
      <c r="E2185" s="54">
        <f>IF(_imp!$C$2187="","",INDEX(_imp!$H$4:$H$4503,_imp!$C$2187))</f>
        <v/>
      </c>
      <c r="F2185" s="54">
        <f>IF(_imp!$C$2187="","",INDEX(_imp!$I$4:$I$4503,_imp!$C$2187))</f>
        <v/>
      </c>
      <c r="G2185" s="54">
        <f>IF(_imp!$C$2187="","",INDEX(_imp!$J$4:$J$4503,_imp!$C$2187))</f>
        <v/>
      </c>
      <c r="K2185" s="54">
        <f>IF(_imp!$C$2187="","",INDEX(_imp!$K$4:$K$4503,_imp!$C$2187))</f>
        <v/>
      </c>
    </row>
    <row r="2186">
      <c r="A2186" s="54">
        <f>IF(_imp!$C$2188="","",INDEX(_imp!$D$4:$D$4503,_imp!$C$2188))</f>
        <v/>
      </c>
      <c r="B2186" s="54">
        <f>IF(_imp!$C$2188="","",INDEX(_imp!$E$4:$E$4503,_imp!$C$2188))</f>
        <v/>
      </c>
      <c r="C2186" s="54">
        <f>IF(_imp!$C$2188="","",INDEX(_imp!$F$4:$F$4503,_imp!$C$2188))</f>
        <v/>
      </c>
      <c r="D2186" s="54">
        <f>IF(_imp!$C$2188="","",INDEX(_imp!$G$4:$G$4503,_imp!$C$2188))</f>
        <v/>
      </c>
      <c r="E2186" s="54">
        <f>IF(_imp!$C$2188="","",INDEX(_imp!$H$4:$H$4503,_imp!$C$2188))</f>
        <v/>
      </c>
      <c r="F2186" s="54">
        <f>IF(_imp!$C$2188="","",INDEX(_imp!$I$4:$I$4503,_imp!$C$2188))</f>
        <v/>
      </c>
      <c r="G2186" s="54">
        <f>IF(_imp!$C$2188="","",INDEX(_imp!$J$4:$J$4503,_imp!$C$2188))</f>
        <v/>
      </c>
      <c r="K2186" s="54">
        <f>IF(_imp!$C$2188="","",INDEX(_imp!$K$4:$K$4503,_imp!$C$2188))</f>
        <v/>
      </c>
    </row>
    <row r="2187">
      <c r="A2187" s="54">
        <f>IF(_imp!$C$2189="","",INDEX(_imp!$D$4:$D$4503,_imp!$C$2189))</f>
        <v/>
      </c>
      <c r="B2187" s="54">
        <f>IF(_imp!$C$2189="","",INDEX(_imp!$E$4:$E$4503,_imp!$C$2189))</f>
        <v/>
      </c>
      <c r="C2187" s="54">
        <f>IF(_imp!$C$2189="","",INDEX(_imp!$F$4:$F$4503,_imp!$C$2189))</f>
        <v/>
      </c>
      <c r="D2187" s="54">
        <f>IF(_imp!$C$2189="","",INDEX(_imp!$G$4:$G$4503,_imp!$C$2189))</f>
        <v/>
      </c>
      <c r="E2187" s="54">
        <f>IF(_imp!$C$2189="","",INDEX(_imp!$H$4:$H$4503,_imp!$C$2189))</f>
        <v/>
      </c>
      <c r="F2187" s="54">
        <f>IF(_imp!$C$2189="","",INDEX(_imp!$I$4:$I$4503,_imp!$C$2189))</f>
        <v/>
      </c>
      <c r="G2187" s="54">
        <f>IF(_imp!$C$2189="","",INDEX(_imp!$J$4:$J$4503,_imp!$C$2189))</f>
        <v/>
      </c>
      <c r="K2187" s="54">
        <f>IF(_imp!$C$2189="","",INDEX(_imp!$K$4:$K$4503,_imp!$C$2189))</f>
        <v/>
      </c>
    </row>
    <row r="2188">
      <c r="A2188" s="54">
        <f>IF(_imp!$C$2190="","",INDEX(_imp!$D$4:$D$4503,_imp!$C$2190))</f>
        <v/>
      </c>
      <c r="B2188" s="54">
        <f>IF(_imp!$C$2190="","",INDEX(_imp!$E$4:$E$4503,_imp!$C$2190))</f>
        <v/>
      </c>
      <c r="C2188" s="54">
        <f>IF(_imp!$C$2190="","",INDEX(_imp!$F$4:$F$4503,_imp!$C$2190))</f>
        <v/>
      </c>
      <c r="D2188" s="54">
        <f>IF(_imp!$C$2190="","",INDEX(_imp!$G$4:$G$4503,_imp!$C$2190))</f>
        <v/>
      </c>
      <c r="E2188" s="54">
        <f>IF(_imp!$C$2190="","",INDEX(_imp!$H$4:$H$4503,_imp!$C$2190))</f>
        <v/>
      </c>
      <c r="F2188" s="54">
        <f>IF(_imp!$C$2190="","",INDEX(_imp!$I$4:$I$4503,_imp!$C$2190))</f>
        <v/>
      </c>
      <c r="G2188" s="54">
        <f>IF(_imp!$C$2190="","",INDEX(_imp!$J$4:$J$4503,_imp!$C$2190))</f>
        <v/>
      </c>
      <c r="K2188" s="54">
        <f>IF(_imp!$C$2190="","",INDEX(_imp!$K$4:$K$4503,_imp!$C$2190))</f>
        <v/>
      </c>
    </row>
    <row r="2189">
      <c r="A2189" s="54">
        <f>IF(_imp!$C$2191="","",INDEX(_imp!$D$4:$D$4503,_imp!$C$2191))</f>
        <v/>
      </c>
      <c r="B2189" s="54">
        <f>IF(_imp!$C$2191="","",INDEX(_imp!$E$4:$E$4503,_imp!$C$2191))</f>
        <v/>
      </c>
      <c r="C2189" s="54">
        <f>IF(_imp!$C$2191="","",INDEX(_imp!$F$4:$F$4503,_imp!$C$2191))</f>
        <v/>
      </c>
      <c r="D2189" s="54">
        <f>IF(_imp!$C$2191="","",INDEX(_imp!$G$4:$G$4503,_imp!$C$2191))</f>
        <v/>
      </c>
      <c r="E2189" s="54">
        <f>IF(_imp!$C$2191="","",INDEX(_imp!$H$4:$H$4503,_imp!$C$2191))</f>
        <v/>
      </c>
      <c r="F2189" s="54">
        <f>IF(_imp!$C$2191="","",INDEX(_imp!$I$4:$I$4503,_imp!$C$2191))</f>
        <v/>
      </c>
      <c r="G2189" s="54">
        <f>IF(_imp!$C$2191="","",INDEX(_imp!$J$4:$J$4503,_imp!$C$2191))</f>
        <v/>
      </c>
      <c r="K2189" s="54">
        <f>IF(_imp!$C$2191="","",INDEX(_imp!$K$4:$K$4503,_imp!$C$2191))</f>
        <v/>
      </c>
    </row>
    <row r="2190">
      <c r="A2190" s="54">
        <f>IF(_imp!$C$2192="","",INDEX(_imp!$D$4:$D$4503,_imp!$C$2192))</f>
        <v/>
      </c>
      <c r="B2190" s="54">
        <f>IF(_imp!$C$2192="","",INDEX(_imp!$E$4:$E$4503,_imp!$C$2192))</f>
        <v/>
      </c>
      <c r="C2190" s="54">
        <f>IF(_imp!$C$2192="","",INDEX(_imp!$F$4:$F$4503,_imp!$C$2192))</f>
        <v/>
      </c>
      <c r="D2190" s="54">
        <f>IF(_imp!$C$2192="","",INDEX(_imp!$G$4:$G$4503,_imp!$C$2192))</f>
        <v/>
      </c>
      <c r="E2190" s="54">
        <f>IF(_imp!$C$2192="","",INDEX(_imp!$H$4:$H$4503,_imp!$C$2192))</f>
        <v/>
      </c>
      <c r="F2190" s="54">
        <f>IF(_imp!$C$2192="","",INDEX(_imp!$I$4:$I$4503,_imp!$C$2192))</f>
        <v/>
      </c>
      <c r="G2190" s="54">
        <f>IF(_imp!$C$2192="","",INDEX(_imp!$J$4:$J$4503,_imp!$C$2192))</f>
        <v/>
      </c>
      <c r="K2190" s="54">
        <f>IF(_imp!$C$2192="","",INDEX(_imp!$K$4:$K$4503,_imp!$C$2192))</f>
        <v/>
      </c>
    </row>
    <row r="2191">
      <c r="A2191" s="54">
        <f>IF(_imp!$C$2193="","",INDEX(_imp!$D$4:$D$4503,_imp!$C$2193))</f>
        <v/>
      </c>
      <c r="B2191" s="54">
        <f>IF(_imp!$C$2193="","",INDEX(_imp!$E$4:$E$4503,_imp!$C$2193))</f>
        <v/>
      </c>
      <c r="C2191" s="54">
        <f>IF(_imp!$C$2193="","",INDEX(_imp!$F$4:$F$4503,_imp!$C$2193))</f>
        <v/>
      </c>
      <c r="D2191" s="54">
        <f>IF(_imp!$C$2193="","",INDEX(_imp!$G$4:$G$4503,_imp!$C$2193))</f>
        <v/>
      </c>
      <c r="E2191" s="54">
        <f>IF(_imp!$C$2193="","",INDEX(_imp!$H$4:$H$4503,_imp!$C$2193))</f>
        <v/>
      </c>
      <c r="F2191" s="54">
        <f>IF(_imp!$C$2193="","",INDEX(_imp!$I$4:$I$4503,_imp!$C$2193))</f>
        <v/>
      </c>
      <c r="G2191" s="54">
        <f>IF(_imp!$C$2193="","",INDEX(_imp!$J$4:$J$4503,_imp!$C$2193))</f>
        <v/>
      </c>
      <c r="K2191" s="54">
        <f>IF(_imp!$C$2193="","",INDEX(_imp!$K$4:$K$4503,_imp!$C$2193))</f>
        <v/>
      </c>
    </row>
    <row r="2192">
      <c r="A2192" s="54">
        <f>IF(_imp!$C$2194="","",INDEX(_imp!$D$4:$D$4503,_imp!$C$2194))</f>
        <v/>
      </c>
      <c r="B2192" s="54">
        <f>IF(_imp!$C$2194="","",INDEX(_imp!$E$4:$E$4503,_imp!$C$2194))</f>
        <v/>
      </c>
      <c r="C2192" s="54">
        <f>IF(_imp!$C$2194="","",INDEX(_imp!$F$4:$F$4503,_imp!$C$2194))</f>
        <v/>
      </c>
      <c r="D2192" s="54">
        <f>IF(_imp!$C$2194="","",INDEX(_imp!$G$4:$G$4503,_imp!$C$2194))</f>
        <v/>
      </c>
      <c r="E2192" s="54">
        <f>IF(_imp!$C$2194="","",INDEX(_imp!$H$4:$H$4503,_imp!$C$2194))</f>
        <v/>
      </c>
      <c r="F2192" s="54">
        <f>IF(_imp!$C$2194="","",INDEX(_imp!$I$4:$I$4503,_imp!$C$2194))</f>
        <v/>
      </c>
      <c r="G2192" s="54">
        <f>IF(_imp!$C$2194="","",INDEX(_imp!$J$4:$J$4503,_imp!$C$2194))</f>
        <v/>
      </c>
      <c r="K2192" s="54">
        <f>IF(_imp!$C$2194="","",INDEX(_imp!$K$4:$K$4503,_imp!$C$2194))</f>
        <v/>
      </c>
    </row>
    <row r="2193">
      <c r="A2193" s="54">
        <f>IF(_imp!$C$2195="","",INDEX(_imp!$D$4:$D$4503,_imp!$C$2195))</f>
        <v/>
      </c>
      <c r="B2193" s="54">
        <f>IF(_imp!$C$2195="","",INDEX(_imp!$E$4:$E$4503,_imp!$C$2195))</f>
        <v/>
      </c>
      <c r="C2193" s="54">
        <f>IF(_imp!$C$2195="","",INDEX(_imp!$F$4:$F$4503,_imp!$C$2195))</f>
        <v/>
      </c>
      <c r="D2193" s="54">
        <f>IF(_imp!$C$2195="","",INDEX(_imp!$G$4:$G$4503,_imp!$C$2195))</f>
        <v/>
      </c>
      <c r="E2193" s="54">
        <f>IF(_imp!$C$2195="","",INDEX(_imp!$H$4:$H$4503,_imp!$C$2195))</f>
        <v/>
      </c>
      <c r="F2193" s="54">
        <f>IF(_imp!$C$2195="","",INDEX(_imp!$I$4:$I$4503,_imp!$C$2195))</f>
        <v/>
      </c>
      <c r="G2193" s="54">
        <f>IF(_imp!$C$2195="","",INDEX(_imp!$J$4:$J$4503,_imp!$C$2195))</f>
        <v/>
      </c>
      <c r="K2193" s="54">
        <f>IF(_imp!$C$2195="","",INDEX(_imp!$K$4:$K$4503,_imp!$C$2195))</f>
        <v/>
      </c>
    </row>
    <row r="2194">
      <c r="A2194" s="54">
        <f>IF(_imp!$C$2196="","",INDEX(_imp!$D$4:$D$4503,_imp!$C$2196))</f>
        <v/>
      </c>
      <c r="B2194" s="54">
        <f>IF(_imp!$C$2196="","",INDEX(_imp!$E$4:$E$4503,_imp!$C$2196))</f>
        <v/>
      </c>
      <c r="C2194" s="54">
        <f>IF(_imp!$C$2196="","",INDEX(_imp!$F$4:$F$4503,_imp!$C$2196))</f>
        <v/>
      </c>
      <c r="D2194" s="54">
        <f>IF(_imp!$C$2196="","",INDEX(_imp!$G$4:$G$4503,_imp!$C$2196))</f>
        <v/>
      </c>
      <c r="E2194" s="54">
        <f>IF(_imp!$C$2196="","",INDEX(_imp!$H$4:$H$4503,_imp!$C$2196))</f>
        <v/>
      </c>
      <c r="F2194" s="54">
        <f>IF(_imp!$C$2196="","",INDEX(_imp!$I$4:$I$4503,_imp!$C$2196))</f>
        <v/>
      </c>
      <c r="G2194" s="54">
        <f>IF(_imp!$C$2196="","",INDEX(_imp!$J$4:$J$4503,_imp!$C$2196))</f>
        <v/>
      </c>
      <c r="K2194" s="54">
        <f>IF(_imp!$C$2196="","",INDEX(_imp!$K$4:$K$4503,_imp!$C$2196))</f>
        <v/>
      </c>
    </row>
    <row r="2195">
      <c r="A2195" s="54">
        <f>IF(_imp!$C$2197="","",INDEX(_imp!$D$4:$D$4503,_imp!$C$2197))</f>
        <v/>
      </c>
      <c r="B2195" s="54">
        <f>IF(_imp!$C$2197="","",INDEX(_imp!$E$4:$E$4503,_imp!$C$2197))</f>
        <v/>
      </c>
      <c r="C2195" s="54">
        <f>IF(_imp!$C$2197="","",INDEX(_imp!$F$4:$F$4503,_imp!$C$2197))</f>
        <v/>
      </c>
      <c r="D2195" s="54">
        <f>IF(_imp!$C$2197="","",INDEX(_imp!$G$4:$G$4503,_imp!$C$2197))</f>
        <v/>
      </c>
      <c r="E2195" s="54">
        <f>IF(_imp!$C$2197="","",INDEX(_imp!$H$4:$H$4503,_imp!$C$2197))</f>
        <v/>
      </c>
      <c r="F2195" s="54">
        <f>IF(_imp!$C$2197="","",INDEX(_imp!$I$4:$I$4503,_imp!$C$2197))</f>
        <v/>
      </c>
      <c r="G2195" s="54">
        <f>IF(_imp!$C$2197="","",INDEX(_imp!$J$4:$J$4503,_imp!$C$2197))</f>
        <v/>
      </c>
      <c r="K2195" s="54">
        <f>IF(_imp!$C$2197="","",INDEX(_imp!$K$4:$K$4503,_imp!$C$2197))</f>
        <v/>
      </c>
    </row>
    <row r="2196">
      <c r="A2196" s="54">
        <f>IF(_imp!$C$2198="","",INDEX(_imp!$D$4:$D$4503,_imp!$C$2198))</f>
        <v/>
      </c>
      <c r="B2196" s="54">
        <f>IF(_imp!$C$2198="","",INDEX(_imp!$E$4:$E$4503,_imp!$C$2198))</f>
        <v/>
      </c>
      <c r="C2196" s="54">
        <f>IF(_imp!$C$2198="","",INDEX(_imp!$F$4:$F$4503,_imp!$C$2198))</f>
        <v/>
      </c>
      <c r="D2196" s="54">
        <f>IF(_imp!$C$2198="","",INDEX(_imp!$G$4:$G$4503,_imp!$C$2198))</f>
        <v/>
      </c>
      <c r="E2196" s="54">
        <f>IF(_imp!$C$2198="","",INDEX(_imp!$H$4:$H$4503,_imp!$C$2198))</f>
        <v/>
      </c>
      <c r="F2196" s="54">
        <f>IF(_imp!$C$2198="","",INDEX(_imp!$I$4:$I$4503,_imp!$C$2198))</f>
        <v/>
      </c>
      <c r="G2196" s="54">
        <f>IF(_imp!$C$2198="","",INDEX(_imp!$J$4:$J$4503,_imp!$C$2198))</f>
        <v/>
      </c>
      <c r="K2196" s="54">
        <f>IF(_imp!$C$2198="","",INDEX(_imp!$K$4:$K$4503,_imp!$C$2198))</f>
        <v/>
      </c>
    </row>
    <row r="2197">
      <c r="A2197" s="54">
        <f>IF(_imp!$C$2199="","",INDEX(_imp!$D$4:$D$4503,_imp!$C$2199))</f>
        <v/>
      </c>
      <c r="B2197" s="54">
        <f>IF(_imp!$C$2199="","",INDEX(_imp!$E$4:$E$4503,_imp!$C$2199))</f>
        <v/>
      </c>
      <c r="C2197" s="54">
        <f>IF(_imp!$C$2199="","",INDEX(_imp!$F$4:$F$4503,_imp!$C$2199))</f>
        <v/>
      </c>
      <c r="D2197" s="54">
        <f>IF(_imp!$C$2199="","",INDEX(_imp!$G$4:$G$4503,_imp!$C$2199))</f>
        <v/>
      </c>
      <c r="E2197" s="54">
        <f>IF(_imp!$C$2199="","",INDEX(_imp!$H$4:$H$4503,_imp!$C$2199))</f>
        <v/>
      </c>
      <c r="F2197" s="54">
        <f>IF(_imp!$C$2199="","",INDEX(_imp!$I$4:$I$4503,_imp!$C$2199))</f>
        <v/>
      </c>
      <c r="G2197" s="54">
        <f>IF(_imp!$C$2199="","",INDEX(_imp!$J$4:$J$4503,_imp!$C$2199))</f>
        <v/>
      </c>
      <c r="K2197" s="54">
        <f>IF(_imp!$C$2199="","",INDEX(_imp!$K$4:$K$4503,_imp!$C$2199))</f>
        <v/>
      </c>
    </row>
    <row r="2198">
      <c r="A2198" s="54">
        <f>IF(_imp!$C$2200="","",INDEX(_imp!$D$4:$D$4503,_imp!$C$2200))</f>
        <v/>
      </c>
      <c r="B2198" s="54">
        <f>IF(_imp!$C$2200="","",INDEX(_imp!$E$4:$E$4503,_imp!$C$2200))</f>
        <v/>
      </c>
      <c r="C2198" s="54">
        <f>IF(_imp!$C$2200="","",INDEX(_imp!$F$4:$F$4503,_imp!$C$2200))</f>
        <v/>
      </c>
      <c r="D2198" s="54">
        <f>IF(_imp!$C$2200="","",INDEX(_imp!$G$4:$G$4503,_imp!$C$2200))</f>
        <v/>
      </c>
      <c r="E2198" s="54">
        <f>IF(_imp!$C$2200="","",INDEX(_imp!$H$4:$H$4503,_imp!$C$2200))</f>
        <v/>
      </c>
      <c r="F2198" s="54">
        <f>IF(_imp!$C$2200="","",INDEX(_imp!$I$4:$I$4503,_imp!$C$2200))</f>
        <v/>
      </c>
      <c r="G2198" s="54">
        <f>IF(_imp!$C$2200="","",INDEX(_imp!$J$4:$J$4503,_imp!$C$2200))</f>
        <v/>
      </c>
      <c r="K2198" s="54">
        <f>IF(_imp!$C$2200="","",INDEX(_imp!$K$4:$K$4503,_imp!$C$2200))</f>
        <v/>
      </c>
    </row>
    <row r="2199">
      <c r="A2199" s="54">
        <f>IF(_imp!$C$2201="","",INDEX(_imp!$D$4:$D$4503,_imp!$C$2201))</f>
        <v/>
      </c>
      <c r="B2199" s="54">
        <f>IF(_imp!$C$2201="","",INDEX(_imp!$E$4:$E$4503,_imp!$C$2201))</f>
        <v/>
      </c>
      <c r="C2199" s="54">
        <f>IF(_imp!$C$2201="","",INDEX(_imp!$F$4:$F$4503,_imp!$C$2201))</f>
        <v/>
      </c>
      <c r="D2199" s="54">
        <f>IF(_imp!$C$2201="","",INDEX(_imp!$G$4:$G$4503,_imp!$C$2201))</f>
        <v/>
      </c>
      <c r="E2199" s="54">
        <f>IF(_imp!$C$2201="","",INDEX(_imp!$H$4:$H$4503,_imp!$C$2201))</f>
        <v/>
      </c>
      <c r="F2199" s="54">
        <f>IF(_imp!$C$2201="","",INDEX(_imp!$I$4:$I$4503,_imp!$C$2201))</f>
        <v/>
      </c>
      <c r="G2199" s="54">
        <f>IF(_imp!$C$2201="","",INDEX(_imp!$J$4:$J$4503,_imp!$C$2201))</f>
        <v/>
      </c>
      <c r="K2199" s="54">
        <f>IF(_imp!$C$2201="","",INDEX(_imp!$K$4:$K$4503,_imp!$C$2201))</f>
        <v/>
      </c>
    </row>
    <row r="2200">
      <c r="A2200" s="54">
        <f>IF(_imp!$C$2202="","",INDEX(_imp!$D$4:$D$4503,_imp!$C$2202))</f>
        <v/>
      </c>
      <c r="B2200" s="54">
        <f>IF(_imp!$C$2202="","",INDEX(_imp!$E$4:$E$4503,_imp!$C$2202))</f>
        <v/>
      </c>
      <c r="C2200" s="54">
        <f>IF(_imp!$C$2202="","",INDEX(_imp!$F$4:$F$4503,_imp!$C$2202))</f>
        <v/>
      </c>
      <c r="D2200" s="54">
        <f>IF(_imp!$C$2202="","",INDEX(_imp!$G$4:$G$4503,_imp!$C$2202))</f>
        <v/>
      </c>
      <c r="E2200" s="54">
        <f>IF(_imp!$C$2202="","",INDEX(_imp!$H$4:$H$4503,_imp!$C$2202))</f>
        <v/>
      </c>
      <c r="F2200" s="54">
        <f>IF(_imp!$C$2202="","",INDEX(_imp!$I$4:$I$4503,_imp!$C$2202))</f>
        <v/>
      </c>
      <c r="G2200" s="54">
        <f>IF(_imp!$C$2202="","",INDEX(_imp!$J$4:$J$4503,_imp!$C$2202))</f>
        <v/>
      </c>
      <c r="K2200" s="54">
        <f>IF(_imp!$C$2202="","",INDEX(_imp!$K$4:$K$4503,_imp!$C$2202))</f>
        <v/>
      </c>
    </row>
    <row r="2201">
      <c r="A2201" s="54">
        <f>IF(_imp!$C$2203="","",INDEX(_imp!$D$4:$D$4503,_imp!$C$2203))</f>
        <v/>
      </c>
      <c r="B2201" s="54">
        <f>IF(_imp!$C$2203="","",INDEX(_imp!$E$4:$E$4503,_imp!$C$2203))</f>
        <v/>
      </c>
      <c r="C2201" s="54">
        <f>IF(_imp!$C$2203="","",INDEX(_imp!$F$4:$F$4503,_imp!$C$2203))</f>
        <v/>
      </c>
      <c r="D2201" s="54">
        <f>IF(_imp!$C$2203="","",INDEX(_imp!$G$4:$G$4503,_imp!$C$2203))</f>
        <v/>
      </c>
      <c r="E2201" s="54">
        <f>IF(_imp!$C$2203="","",INDEX(_imp!$H$4:$H$4503,_imp!$C$2203))</f>
        <v/>
      </c>
      <c r="F2201" s="54">
        <f>IF(_imp!$C$2203="","",INDEX(_imp!$I$4:$I$4503,_imp!$C$2203))</f>
        <v/>
      </c>
      <c r="G2201" s="54">
        <f>IF(_imp!$C$2203="","",INDEX(_imp!$J$4:$J$4503,_imp!$C$2203))</f>
        <v/>
      </c>
      <c r="K2201" s="54">
        <f>IF(_imp!$C$2203="","",INDEX(_imp!$K$4:$K$4503,_imp!$C$2203))</f>
        <v/>
      </c>
    </row>
    <row r="2202">
      <c r="A2202" s="54">
        <f>IF(_imp!$C$2204="","",INDEX(_imp!$D$4:$D$4503,_imp!$C$2204))</f>
        <v/>
      </c>
      <c r="B2202" s="54">
        <f>IF(_imp!$C$2204="","",INDEX(_imp!$E$4:$E$4503,_imp!$C$2204))</f>
        <v/>
      </c>
      <c r="C2202" s="54">
        <f>IF(_imp!$C$2204="","",INDEX(_imp!$F$4:$F$4503,_imp!$C$2204))</f>
        <v/>
      </c>
      <c r="D2202" s="54">
        <f>IF(_imp!$C$2204="","",INDEX(_imp!$G$4:$G$4503,_imp!$C$2204))</f>
        <v/>
      </c>
      <c r="E2202" s="54">
        <f>IF(_imp!$C$2204="","",INDEX(_imp!$H$4:$H$4503,_imp!$C$2204))</f>
        <v/>
      </c>
      <c r="F2202" s="54">
        <f>IF(_imp!$C$2204="","",INDEX(_imp!$I$4:$I$4503,_imp!$C$2204))</f>
        <v/>
      </c>
      <c r="G2202" s="54">
        <f>IF(_imp!$C$2204="","",INDEX(_imp!$J$4:$J$4503,_imp!$C$2204))</f>
        <v/>
      </c>
      <c r="K2202" s="54">
        <f>IF(_imp!$C$2204="","",INDEX(_imp!$K$4:$K$4503,_imp!$C$2204))</f>
        <v/>
      </c>
    </row>
    <row r="2203">
      <c r="A2203" s="54">
        <f>IF(_imp!$C$2205="","",INDEX(_imp!$D$4:$D$4503,_imp!$C$2205))</f>
        <v/>
      </c>
      <c r="B2203" s="54">
        <f>IF(_imp!$C$2205="","",INDEX(_imp!$E$4:$E$4503,_imp!$C$2205))</f>
        <v/>
      </c>
      <c r="C2203" s="54">
        <f>IF(_imp!$C$2205="","",INDEX(_imp!$F$4:$F$4503,_imp!$C$2205))</f>
        <v/>
      </c>
      <c r="D2203" s="54">
        <f>IF(_imp!$C$2205="","",INDEX(_imp!$G$4:$G$4503,_imp!$C$2205))</f>
        <v/>
      </c>
      <c r="E2203" s="54">
        <f>IF(_imp!$C$2205="","",INDEX(_imp!$H$4:$H$4503,_imp!$C$2205))</f>
        <v/>
      </c>
      <c r="F2203" s="54">
        <f>IF(_imp!$C$2205="","",INDEX(_imp!$I$4:$I$4503,_imp!$C$2205))</f>
        <v/>
      </c>
      <c r="G2203" s="54">
        <f>IF(_imp!$C$2205="","",INDEX(_imp!$J$4:$J$4503,_imp!$C$2205))</f>
        <v/>
      </c>
      <c r="K2203" s="54">
        <f>IF(_imp!$C$2205="","",INDEX(_imp!$K$4:$K$4503,_imp!$C$2205))</f>
        <v/>
      </c>
    </row>
    <row r="2204">
      <c r="A2204" s="54">
        <f>IF(_imp!$C$2206="","",INDEX(_imp!$D$4:$D$4503,_imp!$C$2206))</f>
        <v/>
      </c>
      <c r="B2204" s="54">
        <f>IF(_imp!$C$2206="","",INDEX(_imp!$E$4:$E$4503,_imp!$C$2206))</f>
        <v/>
      </c>
      <c r="C2204" s="54">
        <f>IF(_imp!$C$2206="","",INDEX(_imp!$F$4:$F$4503,_imp!$C$2206))</f>
        <v/>
      </c>
      <c r="D2204" s="54">
        <f>IF(_imp!$C$2206="","",INDEX(_imp!$G$4:$G$4503,_imp!$C$2206))</f>
        <v/>
      </c>
      <c r="E2204" s="54">
        <f>IF(_imp!$C$2206="","",INDEX(_imp!$H$4:$H$4503,_imp!$C$2206))</f>
        <v/>
      </c>
      <c r="F2204" s="54">
        <f>IF(_imp!$C$2206="","",INDEX(_imp!$I$4:$I$4503,_imp!$C$2206))</f>
        <v/>
      </c>
      <c r="G2204" s="54">
        <f>IF(_imp!$C$2206="","",INDEX(_imp!$J$4:$J$4503,_imp!$C$2206))</f>
        <v/>
      </c>
      <c r="K2204" s="54">
        <f>IF(_imp!$C$2206="","",INDEX(_imp!$K$4:$K$4503,_imp!$C$2206))</f>
        <v/>
      </c>
    </row>
    <row r="2205">
      <c r="A2205" s="54">
        <f>IF(_imp!$C$2207="","",INDEX(_imp!$D$4:$D$4503,_imp!$C$2207))</f>
        <v/>
      </c>
      <c r="B2205" s="54">
        <f>IF(_imp!$C$2207="","",INDEX(_imp!$E$4:$E$4503,_imp!$C$2207))</f>
        <v/>
      </c>
      <c r="C2205" s="54">
        <f>IF(_imp!$C$2207="","",INDEX(_imp!$F$4:$F$4503,_imp!$C$2207))</f>
        <v/>
      </c>
      <c r="D2205" s="54">
        <f>IF(_imp!$C$2207="","",INDEX(_imp!$G$4:$G$4503,_imp!$C$2207))</f>
        <v/>
      </c>
      <c r="E2205" s="54">
        <f>IF(_imp!$C$2207="","",INDEX(_imp!$H$4:$H$4503,_imp!$C$2207))</f>
        <v/>
      </c>
      <c r="F2205" s="54">
        <f>IF(_imp!$C$2207="","",INDEX(_imp!$I$4:$I$4503,_imp!$C$2207))</f>
        <v/>
      </c>
      <c r="G2205" s="54">
        <f>IF(_imp!$C$2207="","",INDEX(_imp!$J$4:$J$4503,_imp!$C$2207))</f>
        <v/>
      </c>
      <c r="K2205" s="54">
        <f>IF(_imp!$C$2207="","",INDEX(_imp!$K$4:$K$4503,_imp!$C$2207))</f>
        <v/>
      </c>
    </row>
    <row r="2206">
      <c r="A2206" s="54">
        <f>IF(_imp!$C$2208="","",INDEX(_imp!$D$4:$D$4503,_imp!$C$2208))</f>
        <v/>
      </c>
      <c r="B2206" s="54">
        <f>IF(_imp!$C$2208="","",INDEX(_imp!$E$4:$E$4503,_imp!$C$2208))</f>
        <v/>
      </c>
      <c r="C2206" s="54">
        <f>IF(_imp!$C$2208="","",INDEX(_imp!$F$4:$F$4503,_imp!$C$2208))</f>
        <v/>
      </c>
      <c r="D2206" s="54">
        <f>IF(_imp!$C$2208="","",INDEX(_imp!$G$4:$G$4503,_imp!$C$2208))</f>
        <v/>
      </c>
      <c r="E2206" s="54">
        <f>IF(_imp!$C$2208="","",INDEX(_imp!$H$4:$H$4503,_imp!$C$2208))</f>
        <v/>
      </c>
      <c r="F2206" s="54">
        <f>IF(_imp!$C$2208="","",INDEX(_imp!$I$4:$I$4503,_imp!$C$2208))</f>
        <v/>
      </c>
      <c r="G2206" s="54">
        <f>IF(_imp!$C$2208="","",INDEX(_imp!$J$4:$J$4503,_imp!$C$2208))</f>
        <v/>
      </c>
      <c r="K2206" s="54">
        <f>IF(_imp!$C$2208="","",INDEX(_imp!$K$4:$K$4503,_imp!$C$2208))</f>
        <v/>
      </c>
    </row>
    <row r="2207">
      <c r="A2207" s="54">
        <f>IF(_imp!$C$2209="","",INDEX(_imp!$D$4:$D$4503,_imp!$C$2209))</f>
        <v/>
      </c>
      <c r="B2207" s="54">
        <f>IF(_imp!$C$2209="","",INDEX(_imp!$E$4:$E$4503,_imp!$C$2209))</f>
        <v/>
      </c>
      <c r="C2207" s="54">
        <f>IF(_imp!$C$2209="","",INDEX(_imp!$F$4:$F$4503,_imp!$C$2209))</f>
        <v/>
      </c>
      <c r="D2207" s="54">
        <f>IF(_imp!$C$2209="","",INDEX(_imp!$G$4:$G$4503,_imp!$C$2209))</f>
        <v/>
      </c>
      <c r="E2207" s="54">
        <f>IF(_imp!$C$2209="","",INDEX(_imp!$H$4:$H$4503,_imp!$C$2209))</f>
        <v/>
      </c>
      <c r="F2207" s="54">
        <f>IF(_imp!$C$2209="","",INDEX(_imp!$I$4:$I$4503,_imp!$C$2209))</f>
        <v/>
      </c>
      <c r="G2207" s="54">
        <f>IF(_imp!$C$2209="","",INDEX(_imp!$J$4:$J$4503,_imp!$C$2209))</f>
        <v/>
      </c>
      <c r="K2207" s="54">
        <f>IF(_imp!$C$2209="","",INDEX(_imp!$K$4:$K$4503,_imp!$C$2209))</f>
        <v/>
      </c>
    </row>
    <row r="2208">
      <c r="A2208" s="54">
        <f>IF(_imp!$C$2210="","",INDEX(_imp!$D$4:$D$4503,_imp!$C$2210))</f>
        <v/>
      </c>
      <c r="B2208" s="54">
        <f>IF(_imp!$C$2210="","",INDEX(_imp!$E$4:$E$4503,_imp!$C$2210))</f>
        <v/>
      </c>
      <c r="C2208" s="54">
        <f>IF(_imp!$C$2210="","",INDEX(_imp!$F$4:$F$4503,_imp!$C$2210))</f>
        <v/>
      </c>
      <c r="D2208" s="54">
        <f>IF(_imp!$C$2210="","",INDEX(_imp!$G$4:$G$4503,_imp!$C$2210))</f>
        <v/>
      </c>
      <c r="E2208" s="54">
        <f>IF(_imp!$C$2210="","",INDEX(_imp!$H$4:$H$4503,_imp!$C$2210))</f>
        <v/>
      </c>
      <c r="F2208" s="54">
        <f>IF(_imp!$C$2210="","",INDEX(_imp!$I$4:$I$4503,_imp!$C$2210))</f>
        <v/>
      </c>
      <c r="G2208" s="54">
        <f>IF(_imp!$C$2210="","",INDEX(_imp!$J$4:$J$4503,_imp!$C$2210))</f>
        <v/>
      </c>
      <c r="K2208" s="54">
        <f>IF(_imp!$C$2210="","",INDEX(_imp!$K$4:$K$4503,_imp!$C$2210))</f>
        <v/>
      </c>
    </row>
    <row r="2209">
      <c r="A2209" s="54">
        <f>IF(_imp!$C$2211="","",INDEX(_imp!$D$4:$D$4503,_imp!$C$2211))</f>
        <v/>
      </c>
      <c r="B2209" s="54">
        <f>IF(_imp!$C$2211="","",INDEX(_imp!$E$4:$E$4503,_imp!$C$2211))</f>
        <v/>
      </c>
      <c r="C2209" s="54">
        <f>IF(_imp!$C$2211="","",INDEX(_imp!$F$4:$F$4503,_imp!$C$2211))</f>
        <v/>
      </c>
      <c r="D2209" s="54">
        <f>IF(_imp!$C$2211="","",INDEX(_imp!$G$4:$G$4503,_imp!$C$2211))</f>
        <v/>
      </c>
      <c r="E2209" s="54">
        <f>IF(_imp!$C$2211="","",INDEX(_imp!$H$4:$H$4503,_imp!$C$2211))</f>
        <v/>
      </c>
      <c r="F2209" s="54">
        <f>IF(_imp!$C$2211="","",INDEX(_imp!$I$4:$I$4503,_imp!$C$2211))</f>
        <v/>
      </c>
      <c r="G2209" s="54">
        <f>IF(_imp!$C$2211="","",INDEX(_imp!$J$4:$J$4503,_imp!$C$2211))</f>
        <v/>
      </c>
      <c r="K2209" s="54">
        <f>IF(_imp!$C$2211="","",INDEX(_imp!$K$4:$K$4503,_imp!$C$2211))</f>
        <v/>
      </c>
    </row>
    <row r="2210">
      <c r="A2210" s="54">
        <f>IF(_imp!$C$2212="","",INDEX(_imp!$D$4:$D$4503,_imp!$C$2212))</f>
        <v/>
      </c>
      <c r="B2210" s="54">
        <f>IF(_imp!$C$2212="","",INDEX(_imp!$E$4:$E$4503,_imp!$C$2212))</f>
        <v/>
      </c>
      <c r="C2210" s="54">
        <f>IF(_imp!$C$2212="","",INDEX(_imp!$F$4:$F$4503,_imp!$C$2212))</f>
        <v/>
      </c>
      <c r="D2210" s="54">
        <f>IF(_imp!$C$2212="","",INDEX(_imp!$G$4:$G$4503,_imp!$C$2212))</f>
        <v/>
      </c>
      <c r="E2210" s="54">
        <f>IF(_imp!$C$2212="","",INDEX(_imp!$H$4:$H$4503,_imp!$C$2212))</f>
        <v/>
      </c>
      <c r="F2210" s="54">
        <f>IF(_imp!$C$2212="","",INDEX(_imp!$I$4:$I$4503,_imp!$C$2212))</f>
        <v/>
      </c>
      <c r="G2210" s="54">
        <f>IF(_imp!$C$2212="","",INDEX(_imp!$J$4:$J$4503,_imp!$C$2212))</f>
        <v/>
      </c>
      <c r="K2210" s="54">
        <f>IF(_imp!$C$2212="","",INDEX(_imp!$K$4:$K$4503,_imp!$C$2212))</f>
        <v/>
      </c>
    </row>
    <row r="2211">
      <c r="A2211" s="54">
        <f>IF(_imp!$C$2213="","",INDEX(_imp!$D$4:$D$4503,_imp!$C$2213))</f>
        <v/>
      </c>
      <c r="B2211" s="54">
        <f>IF(_imp!$C$2213="","",INDEX(_imp!$E$4:$E$4503,_imp!$C$2213))</f>
        <v/>
      </c>
      <c r="C2211" s="54">
        <f>IF(_imp!$C$2213="","",INDEX(_imp!$F$4:$F$4503,_imp!$C$2213))</f>
        <v/>
      </c>
      <c r="D2211" s="54">
        <f>IF(_imp!$C$2213="","",INDEX(_imp!$G$4:$G$4503,_imp!$C$2213))</f>
        <v/>
      </c>
      <c r="E2211" s="54">
        <f>IF(_imp!$C$2213="","",INDEX(_imp!$H$4:$H$4503,_imp!$C$2213))</f>
        <v/>
      </c>
      <c r="F2211" s="54">
        <f>IF(_imp!$C$2213="","",INDEX(_imp!$I$4:$I$4503,_imp!$C$2213))</f>
        <v/>
      </c>
      <c r="G2211" s="54">
        <f>IF(_imp!$C$2213="","",INDEX(_imp!$J$4:$J$4503,_imp!$C$2213))</f>
        <v/>
      </c>
      <c r="K2211" s="54">
        <f>IF(_imp!$C$2213="","",INDEX(_imp!$K$4:$K$4503,_imp!$C$2213))</f>
        <v/>
      </c>
    </row>
    <row r="2212">
      <c r="A2212" s="54">
        <f>IF(_imp!$C$2214="","",INDEX(_imp!$D$4:$D$4503,_imp!$C$2214))</f>
        <v/>
      </c>
      <c r="B2212" s="54">
        <f>IF(_imp!$C$2214="","",INDEX(_imp!$E$4:$E$4503,_imp!$C$2214))</f>
        <v/>
      </c>
      <c r="C2212" s="54">
        <f>IF(_imp!$C$2214="","",INDEX(_imp!$F$4:$F$4503,_imp!$C$2214))</f>
        <v/>
      </c>
      <c r="D2212" s="54">
        <f>IF(_imp!$C$2214="","",INDEX(_imp!$G$4:$G$4503,_imp!$C$2214))</f>
        <v/>
      </c>
      <c r="E2212" s="54">
        <f>IF(_imp!$C$2214="","",INDEX(_imp!$H$4:$H$4503,_imp!$C$2214))</f>
        <v/>
      </c>
      <c r="F2212" s="54">
        <f>IF(_imp!$C$2214="","",INDEX(_imp!$I$4:$I$4503,_imp!$C$2214))</f>
        <v/>
      </c>
      <c r="G2212" s="54">
        <f>IF(_imp!$C$2214="","",INDEX(_imp!$J$4:$J$4503,_imp!$C$2214))</f>
        <v/>
      </c>
      <c r="K2212" s="54">
        <f>IF(_imp!$C$2214="","",INDEX(_imp!$K$4:$K$4503,_imp!$C$2214))</f>
        <v/>
      </c>
    </row>
    <row r="2213">
      <c r="A2213" s="54">
        <f>IF(_imp!$C$2215="","",INDEX(_imp!$D$4:$D$4503,_imp!$C$2215))</f>
        <v/>
      </c>
      <c r="B2213" s="54">
        <f>IF(_imp!$C$2215="","",INDEX(_imp!$E$4:$E$4503,_imp!$C$2215))</f>
        <v/>
      </c>
      <c r="C2213" s="54">
        <f>IF(_imp!$C$2215="","",INDEX(_imp!$F$4:$F$4503,_imp!$C$2215))</f>
        <v/>
      </c>
      <c r="D2213" s="54">
        <f>IF(_imp!$C$2215="","",INDEX(_imp!$G$4:$G$4503,_imp!$C$2215))</f>
        <v/>
      </c>
      <c r="E2213" s="54">
        <f>IF(_imp!$C$2215="","",INDEX(_imp!$H$4:$H$4503,_imp!$C$2215))</f>
        <v/>
      </c>
      <c r="F2213" s="54">
        <f>IF(_imp!$C$2215="","",INDEX(_imp!$I$4:$I$4503,_imp!$C$2215))</f>
        <v/>
      </c>
      <c r="G2213" s="54">
        <f>IF(_imp!$C$2215="","",INDEX(_imp!$J$4:$J$4503,_imp!$C$2215))</f>
        <v/>
      </c>
      <c r="K2213" s="54">
        <f>IF(_imp!$C$2215="","",INDEX(_imp!$K$4:$K$4503,_imp!$C$2215))</f>
        <v/>
      </c>
    </row>
    <row r="2214">
      <c r="A2214" s="54">
        <f>IF(_imp!$C$2216="","",INDEX(_imp!$D$4:$D$4503,_imp!$C$2216))</f>
        <v/>
      </c>
      <c r="B2214" s="54">
        <f>IF(_imp!$C$2216="","",INDEX(_imp!$E$4:$E$4503,_imp!$C$2216))</f>
        <v/>
      </c>
      <c r="C2214" s="54">
        <f>IF(_imp!$C$2216="","",INDEX(_imp!$F$4:$F$4503,_imp!$C$2216))</f>
        <v/>
      </c>
      <c r="D2214" s="54">
        <f>IF(_imp!$C$2216="","",INDEX(_imp!$G$4:$G$4503,_imp!$C$2216))</f>
        <v/>
      </c>
      <c r="E2214" s="54">
        <f>IF(_imp!$C$2216="","",INDEX(_imp!$H$4:$H$4503,_imp!$C$2216))</f>
        <v/>
      </c>
      <c r="F2214" s="54">
        <f>IF(_imp!$C$2216="","",INDEX(_imp!$I$4:$I$4503,_imp!$C$2216))</f>
        <v/>
      </c>
      <c r="G2214" s="54">
        <f>IF(_imp!$C$2216="","",INDEX(_imp!$J$4:$J$4503,_imp!$C$2216))</f>
        <v/>
      </c>
      <c r="K2214" s="54">
        <f>IF(_imp!$C$2216="","",INDEX(_imp!$K$4:$K$4503,_imp!$C$2216))</f>
        <v/>
      </c>
    </row>
    <row r="2215">
      <c r="A2215" s="54">
        <f>IF(_imp!$C$2217="","",INDEX(_imp!$D$4:$D$4503,_imp!$C$2217))</f>
        <v/>
      </c>
      <c r="B2215" s="54">
        <f>IF(_imp!$C$2217="","",INDEX(_imp!$E$4:$E$4503,_imp!$C$2217))</f>
        <v/>
      </c>
      <c r="C2215" s="54">
        <f>IF(_imp!$C$2217="","",INDEX(_imp!$F$4:$F$4503,_imp!$C$2217))</f>
        <v/>
      </c>
      <c r="D2215" s="54">
        <f>IF(_imp!$C$2217="","",INDEX(_imp!$G$4:$G$4503,_imp!$C$2217))</f>
        <v/>
      </c>
      <c r="E2215" s="54">
        <f>IF(_imp!$C$2217="","",INDEX(_imp!$H$4:$H$4503,_imp!$C$2217))</f>
        <v/>
      </c>
      <c r="F2215" s="54">
        <f>IF(_imp!$C$2217="","",INDEX(_imp!$I$4:$I$4503,_imp!$C$2217))</f>
        <v/>
      </c>
      <c r="G2215" s="54">
        <f>IF(_imp!$C$2217="","",INDEX(_imp!$J$4:$J$4503,_imp!$C$2217))</f>
        <v/>
      </c>
      <c r="K2215" s="54">
        <f>IF(_imp!$C$2217="","",INDEX(_imp!$K$4:$K$4503,_imp!$C$2217))</f>
        <v/>
      </c>
    </row>
    <row r="2216">
      <c r="A2216" s="54">
        <f>IF(_imp!$C$2218="","",INDEX(_imp!$D$4:$D$4503,_imp!$C$2218))</f>
        <v/>
      </c>
      <c r="B2216" s="54">
        <f>IF(_imp!$C$2218="","",INDEX(_imp!$E$4:$E$4503,_imp!$C$2218))</f>
        <v/>
      </c>
      <c r="C2216" s="54">
        <f>IF(_imp!$C$2218="","",INDEX(_imp!$F$4:$F$4503,_imp!$C$2218))</f>
        <v/>
      </c>
      <c r="D2216" s="54">
        <f>IF(_imp!$C$2218="","",INDEX(_imp!$G$4:$G$4503,_imp!$C$2218))</f>
        <v/>
      </c>
      <c r="E2216" s="54">
        <f>IF(_imp!$C$2218="","",INDEX(_imp!$H$4:$H$4503,_imp!$C$2218))</f>
        <v/>
      </c>
      <c r="F2216" s="54">
        <f>IF(_imp!$C$2218="","",INDEX(_imp!$I$4:$I$4503,_imp!$C$2218))</f>
        <v/>
      </c>
      <c r="G2216" s="54">
        <f>IF(_imp!$C$2218="","",INDEX(_imp!$J$4:$J$4503,_imp!$C$2218))</f>
        <v/>
      </c>
      <c r="K2216" s="54">
        <f>IF(_imp!$C$2218="","",INDEX(_imp!$K$4:$K$4503,_imp!$C$2218))</f>
        <v/>
      </c>
    </row>
    <row r="2217">
      <c r="A2217" s="54">
        <f>IF(_imp!$C$2219="","",INDEX(_imp!$D$4:$D$4503,_imp!$C$2219))</f>
        <v/>
      </c>
      <c r="B2217" s="54">
        <f>IF(_imp!$C$2219="","",INDEX(_imp!$E$4:$E$4503,_imp!$C$2219))</f>
        <v/>
      </c>
      <c r="C2217" s="54">
        <f>IF(_imp!$C$2219="","",INDEX(_imp!$F$4:$F$4503,_imp!$C$2219))</f>
        <v/>
      </c>
      <c r="D2217" s="54">
        <f>IF(_imp!$C$2219="","",INDEX(_imp!$G$4:$G$4503,_imp!$C$2219))</f>
        <v/>
      </c>
      <c r="E2217" s="54">
        <f>IF(_imp!$C$2219="","",INDEX(_imp!$H$4:$H$4503,_imp!$C$2219))</f>
        <v/>
      </c>
      <c r="F2217" s="54">
        <f>IF(_imp!$C$2219="","",INDEX(_imp!$I$4:$I$4503,_imp!$C$2219))</f>
        <v/>
      </c>
      <c r="G2217" s="54">
        <f>IF(_imp!$C$2219="","",INDEX(_imp!$J$4:$J$4503,_imp!$C$2219))</f>
        <v/>
      </c>
      <c r="K2217" s="54">
        <f>IF(_imp!$C$2219="","",INDEX(_imp!$K$4:$K$4503,_imp!$C$2219))</f>
        <v/>
      </c>
    </row>
    <row r="2218">
      <c r="A2218" s="54">
        <f>IF(_imp!$C$2220="","",INDEX(_imp!$D$4:$D$4503,_imp!$C$2220))</f>
        <v/>
      </c>
      <c r="B2218" s="54">
        <f>IF(_imp!$C$2220="","",INDEX(_imp!$E$4:$E$4503,_imp!$C$2220))</f>
        <v/>
      </c>
      <c r="C2218" s="54">
        <f>IF(_imp!$C$2220="","",INDEX(_imp!$F$4:$F$4503,_imp!$C$2220))</f>
        <v/>
      </c>
      <c r="D2218" s="54">
        <f>IF(_imp!$C$2220="","",INDEX(_imp!$G$4:$G$4503,_imp!$C$2220))</f>
        <v/>
      </c>
      <c r="E2218" s="54">
        <f>IF(_imp!$C$2220="","",INDEX(_imp!$H$4:$H$4503,_imp!$C$2220))</f>
        <v/>
      </c>
      <c r="F2218" s="54">
        <f>IF(_imp!$C$2220="","",INDEX(_imp!$I$4:$I$4503,_imp!$C$2220))</f>
        <v/>
      </c>
      <c r="G2218" s="54">
        <f>IF(_imp!$C$2220="","",INDEX(_imp!$J$4:$J$4503,_imp!$C$2220))</f>
        <v/>
      </c>
      <c r="K2218" s="54">
        <f>IF(_imp!$C$2220="","",INDEX(_imp!$K$4:$K$4503,_imp!$C$2220))</f>
        <v/>
      </c>
    </row>
    <row r="2219">
      <c r="A2219" s="54">
        <f>IF(_imp!$C$2221="","",INDEX(_imp!$D$4:$D$4503,_imp!$C$2221))</f>
        <v/>
      </c>
      <c r="B2219" s="54">
        <f>IF(_imp!$C$2221="","",INDEX(_imp!$E$4:$E$4503,_imp!$C$2221))</f>
        <v/>
      </c>
      <c r="C2219" s="54">
        <f>IF(_imp!$C$2221="","",INDEX(_imp!$F$4:$F$4503,_imp!$C$2221))</f>
        <v/>
      </c>
      <c r="D2219" s="54">
        <f>IF(_imp!$C$2221="","",INDEX(_imp!$G$4:$G$4503,_imp!$C$2221))</f>
        <v/>
      </c>
      <c r="E2219" s="54">
        <f>IF(_imp!$C$2221="","",INDEX(_imp!$H$4:$H$4503,_imp!$C$2221))</f>
        <v/>
      </c>
      <c r="F2219" s="54">
        <f>IF(_imp!$C$2221="","",INDEX(_imp!$I$4:$I$4503,_imp!$C$2221))</f>
        <v/>
      </c>
      <c r="G2219" s="54">
        <f>IF(_imp!$C$2221="","",INDEX(_imp!$J$4:$J$4503,_imp!$C$2221))</f>
        <v/>
      </c>
      <c r="K2219" s="54">
        <f>IF(_imp!$C$2221="","",INDEX(_imp!$K$4:$K$4503,_imp!$C$2221))</f>
        <v/>
      </c>
    </row>
    <row r="2220">
      <c r="A2220" s="54">
        <f>IF(_imp!$C$2222="","",INDEX(_imp!$D$4:$D$4503,_imp!$C$2222))</f>
        <v/>
      </c>
      <c r="B2220" s="54">
        <f>IF(_imp!$C$2222="","",INDEX(_imp!$E$4:$E$4503,_imp!$C$2222))</f>
        <v/>
      </c>
      <c r="C2220" s="54">
        <f>IF(_imp!$C$2222="","",INDEX(_imp!$F$4:$F$4503,_imp!$C$2222))</f>
        <v/>
      </c>
      <c r="D2220" s="54">
        <f>IF(_imp!$C$2222="","",INDEX(_imp!$G$4:$G$4503,_imp!$C$2222))</f>
        <v/>
      </c>
      <c r="E2220" s="54">
        <f>IF(_imp!$C$2222="","",INDEX(_imp!$H$4:$H$4503,_imp!$C$2222))</f>
        <v/>
      </c>
      <c r="F2220" s="54">
        <f>IF(_imp!$C$2222="","",INDEX(_imp!$I$4:$I$4503,_imp!$C$2222))</f>
        <v/>
      </c>
      <c r="G2220" s="54">
        <f>IF(_imp!$C$2222="","",INDEX(_imp!$J$4:$J$4503,_imp!$C$2222))</f>
        <v/>
      </c>
      <c r="K2220" s="54">
        <f>IF(_imp!$C$2222="","",INDEX(_imp!$K$4:$K$4503,_imp!$C$2222))</f>
        <v/>
      </c>
    </row>
    <row r="2221">
      <c r="A2221" s="54">
        <f>IF(_imp!$C$2223="","",INDEX(_imp!$D$4:$D$4503,_imp!$C$2223))</f>
        <v/>
      </c>
      <c r="B2221" s="54">
        <f>IF(_imp!$C$2223="","",INDEX(_imp!$E$4:$E$4503,_imp!$C$2223))</f>
        <v/>
      </c>
      <c r="C2221" s="54">
        <f>IF(_imp!$C$2223="","",INDEX(_imp!$F$4:$F$4503,_imp!$C$2223))</f>
        <v/>
      </c>
      <c r="D2221" s="54">
        <f>IF(_imp!$C$2223="","",INDEX(_imp!$G$4:$G$4503,_imp!$C$2223))</f>
        <v/>
      </c>
      <c r="E2221" s="54">
        <f>IF(_imp!$C$2223="","",INDEX(_imp!$H$4:$H$4503,_imp!$C$2223))</f>
        <v/>
      </c>
      <c r="F2221" s="54">
        <f>IF(_imp!$C$2223="","",INDEX(_imp!$I$4:$I$4503,_imp!$C$2223))</f>
        <v/>
      </c>
      <c r="G2221" s="54">
        <f>IF(_imp!$C$2223="","",INDEX(_imp!$J$4:$J$4503,_imp!$C$2223))</f>
        <v/>
      </c>
      <c r="K2221" s="54">
        <f>IF(_imp!$C$2223="","",INDEX(_imp!$K$4:$K$4503,_imp!$C$2223))</f>
        <v/>
      </c>
    </row>
    <row r="2222">
      <c r="A2222" s="54">
        <f>IF(_imp!$C$2224="","",INDEX(_imp!$D$4:$D$4503,_imp!$C$2224))</f>
        <v/>
      </c>
      <c r="B2222" s="54">
        <f>IF(_imp!$C$2224="","",INDEX(_imp!$E$4:$E$4503,_imp!$C$2224))</f>
        <v/>
      </c>
      <c r="C2222" s="54">
        <f>IF(_imp!$C$2224="","",INDEX(_imp!$F$4:$F$4503,_imp!$C$2224))</f>
        <v/>
      </c>
      <c r="D2222" s="54">
        <f>IF(_imp!$C$2224="","",INDEX(_imp!$G$4:$G$4503,_imp!$C$2224))</f>
        <v/>
      </c>
      <c r="E2222" s="54">
        <f>IF(_imp!$C$2224="","",INDEX(_imp!$H$4:$H$4503,_imp!$C$2224))</f>
        <v/>
      </c>
      <c r="F2222" s="54">
        <f>IF(_imp!$C$2224="","",INDEX(_imp!$I$4:$I$4503,_imp!$C$2224))</f>
        <v/>
      </c>
      <c r="G2222" s="54">
        <f>IF(_imp!$C$2224="","",INDEX(_imp!$J$4:$J$4503,_imp!$C$2224))</f>
        <v/>
      </c>
      <c r="K2222" s="54">
        <f>IF(_imp!$C$2224="","",INDEX(_imp!$K$4:$K$4503,_imp!$C$2224))</f>
        <v/>
      </c>
    </row>
    <row r="2223">
      <c r="A2223" s="54">
        <f>IF(_imp!$C$2225="","",INDEX(_imp!$D$4:$D$4503,_imp!$C$2225))</f>
        <v/>
      </c>
      <c r="B2223" s="54">
        <f>IF(_imp!$C$2225="","",INDEX(_imp!$E$4:$E$4503,_imp!$C$2225))</f>
        <v/>
      </c>
      <c r="C2223" s="54">
        <f>IF(_imp!$C$2225="","",INDEX(_imp!$F$4:$F$4503,_imp!$C$2225))</f>
        <v/>
      </c>
      <c r="D2223" s="54">
        <f>IF(_imp!$C$2225="","",INDEX(_imp!$G$4:$G$4503,_imp!$C$2225))</f>
        <v/>
      </c>
      <c r="E2223" s="54">
        <f>IF(_imp!$C$2225="","",INDEX(_imp!$H$4:$H$4503,_imp!$C$2225))</f>
        <v/>
      </c>
      <c r="F2223" s="54">
        <f>IF(_imp!$C$2225="","",INDEX(_imp!$I$4:$I$4503,_imp!$C$2225))</f>
        <v/>
      </c>
      <c r="G2223" s="54">
        <f>IF(_imp!$C$2225="","",INDEX(_imp!$J$4:$J$4503,_imp!$C$2225))</f>
        <v/>
      </c>
      <c r="K2223" s="54">
        <f>IF(_imp!$C$2225="","",INDEX(_imp!$K$4:$K$4503,_imp!$C$2225))</f>
        <v/>
      </c>
    </row>
    <row r="2224">
      <c r="A2224" s="54">
        <f>IF(_imp!$C$2226="","",INDEX(_imp!$D$4:$D$4503,_imp!$C$2226))</f>
        <v/>
      </c>
      <c r="B2224" s="54">
        <f>IF(_imp!$C$2226="","",INDEX(_imp!$E$4:$E$4503,_imp!$C$2226))</f>
        <v/>
      </c>
      <c r="C2224" s="54">
        <f>IF(_imp!$C$2226="","",INDEX(_imp!$F$4:$F$4503,_imp!$C$2226))</f>
        <v/>
      </c>
      <c r="D2224" s="54">
        <f>IF(_imp!$C$2226="","",INDEX(_imp!$G$4:$G$4503,_imp!$C$2226))</f>
        <v/>
      </c>
      <c r="E2224" s="54">
        <f>IF(_imp!$C$2226="","",INDEX(_imp!$H$4:$H$4503,_imp!$C$2226))</f>
        <v/>
      </c>
      <c r="F2224" s="54">
        <f>IF(_imp!$C$2226="","",INDEX(_imp!$I$4:$I$4503,_imp!$C$2226))</f>
        <v/>
      </c>
      <c r="G2224" s="54">
        <f>IF(_imp!$C$2226="","",INDEX(_imp!$J$4:$J$4503,_imp!$C$2226))</f>
        <v/>
      </c>
      <c r="K2224" s="54">
        <f>IF(_imp!$C$2226="","",INDEX(_imp!$K$4:$K$4503,_imp!$C$2226))</f>
        <v/>
      </c>
    </row>
    <row r="2225">
      <c r="A2225" s="54">
        <f>IF(_imp!$C$2227="","",INDEX(_imp!$D$4:$D$4503,_imp!$C$2227))</f>
        <v/>
      </c>
      <c r="B2225" s="54">
        <f>IF(_imp!$C$2227="","",INDEX(_imp!$E$4:$E$4503,_imp!$C$2227))</f>
        <v/>
      </c>
      <c r="C2225" s="54">
        <f>IF(_imp!$C$2227="","",INDEX(_imp!$F$4:$F$4503,_imp!$C$2227))</f>
        <v/>
      </c>
      <c r="D2225" s="54">
        <f>IF(_imp!$C$2227="","",INDEX(_imp!$G$4:$G$4503,_imp!$C$2227))</f>
        <v/>
      </c>
      <c r="E2225" s="54">
        <f>IF(_imp!$C$2227="","",INDEX(_imp!$H$4:$H$4503,_imp!$C$2227))</f>
        <v/>
      </c>
      <c r="F2225" s="54">
        <f>IF(_imp!$C$2227="","",INDEX(_imp!$I$4:$I$4503,_imp!$C$2227))</f>
        <v/>
      </c>
      <c r="G2225" s="54">
        <f>IF(_imp!$C$2227="","",INDEX(_imp!$J$4:$J$4503,_imp!$C$2227))</f>
        <v/>
      </c>
      <c r="K2225" s="54">
        <f>IF(_imp!$C$2227="","",INDEX(_imp!$K$4:$K$4503,_imp!$C$2227))</f>
        <v/>
      </c>
    </row>
    <row r="2226">
      <c r="A2226" s="54">
        <f>IF(_imp!$C$2228="","",INDEX(_imp!$D$4:$D$4503,_imp!$C$2228))</f>
        <v/>
      </c>
      <c r="B2226" s="54">
        <f>IF(_imp!$C$2228="","",INDEX(_imp!$E$4:$E$4503,_imp!$C$2228))</f>
        <v/>
      </c>
      <c r="C2226" s="54">
        <f>IF(_imp!$C$2228="","",INDEX(_imp!$F$4:$F$4503,_imp!$C$2228))</f>
        <v/>
      </c>
      <c r="D2226" s="54">
        <f>IF(_imp!$C$2228="","",INDEX(_imp!$G$4:$G$4503,_imp!$C$2228))</f>
        <v/>
      </c>
      <c r="E2226" s="54">
        <f>IF(_imp!$C$2228="","",INDEX(_imp!$H$4:$H$4503,_imp!$C$2228))</f>
        <v/>
      </c>
      <c r="F2226" s="54">
        <f>IF(_imp!$C$2228="","",INDEX(_imp!$I$4:$I$4503,_imp!$C$2228))</f>
        <v/>
      </c>
      <c r="G2226" s="54">
        <f>IF(_imp!$C$2228="","",INDEX(_imp!$J$4:$J$4503,_imp!$C$2228))</f>
        <v/>
      </c>
      <c r="K2226" s="54">
        <f>IF(_imp!$C$2228="","",INDEX(_imp!$K$4:$K$4503,_imp!$C$2228))</f>
        <v/>
      </c>
    </row>
    <row r="2227">
      <c r="A2227" s="54">
        <f>IF(_imp!$C$2229="","",INDEX(_imp!$D$4:$D$4503,_imp!$C$2229))</f>
        <v/>
      </c>
      <c r="B2227" s="54">
        <f>IF(_imp!$C$2229="","",INDEX(_imp!$E$4:$E$4503,_imp!$C$2229))</f>
        <v/>
      </c>
      <c r="C2227" s="54">
        <f>IF(_imp!$C$2229="","",INDEX(_imp!$F$4:$F$4503,_imp!$C$2229))</f>
        <v/>
      </c>
      <c r="D2227" s="54">
        <f>IF(_imp!$C$2229="","",INDEX(_imp!$G$4:$G$4503,_imp!$C$2229))</f>
        <v/>
      </c>
      <c r="E2227" s="54">
        <f>IF(_imp!$C$2229="","",INDEX(_imp!$H$4:$H$4503,_imp!$C$2229))</f>
        <v/>
      </c>
      <c r="F2227" s="54">
        <f>IF(_imp!$C$2229="","",INDEX(_imp!$I$4:$I$4503,_imp!$C$2229))</f>
        <v/>
      </c>
      <c r="G2227" s="54">
        <f>IF(_imp!$C$2229="","",INDEX(_imp!$J$4:$J$4503,_imp!$C$2229))</f>
        <v/>
      </c>
      <c r="K2227" s="54">
        <f>IF(_imp!$C$2229="","",INDEX(_imp!$K$4:$K$4503,_imp!$C$2229))</f>
        <v/>
      </c>
    </row>
    <row r="2228">
      <c r="A2228" s="54">
        <f>IF(_imp!$C$2230="","",INDEX(_imp!$D$4:$D$4503,_imp!$C$2230))</f>
        <v/>
      </c>
      <c r="B2228" s="54">
        <f>IF(_imp!$C$2230="","",INDEX(_imp!$E$4:$E$4503,_imp!$C$2230))</f>
        <v/>
      </c>
      <c r="C2228" s="54">
        <f>IF(_imp!$C$2230="","",INDEX(_imp!$F$4:$F$4503,_imp!$C$2230))</f>
        <v/>
      </c>
      <c r="D2228" s="54">
        <f>IF(_imp!$C$2230="","",INDEX(_imp!$G$4:$G$4503,_imp!$C$2230))</f>
        <v/>
      </c>
      <c r="E2228" s="54">
        <f>IF(_imp!$C$2230="","",INDEX(_imp!$H$4:$H$4503,_imp!$C$2230))</f>
        <v/>
      </c>
      <c r="F2228" s="54">
        <f>IF(_imp!$C$2230="","",INDEX(_imp!$I$4:$I$4503,_imp!$C$2230))</f>
        <v/>
      </c>
      <c r="G2228" s="54">
        <f>IF(_imp!$C$2230="","",INDEX(_imp!$J$4:$J$4503,_imp!$C$2230))</f>
        <v/>
      </c>
      <c r="K2228" s="54">
        <f>IF(_imp!$C$2230="","",INDEX(_imp!$K$4:$K$4503,_imp!$C$2230))</f>
        <v/>
      </c>
    </row>
    <row r="2229">
      <c r="A2229" s="54">
        <f>IF(_imp!$C$2231="","",INDEX(_imp!$D$4:$D$4503,_imp!$C$2231))</f>
        <v/>
      </c>
      <c r="B2229" s="54">
        <f>IF(_imp!$C$2231="","",INDEX(_imp!$E$4:$E$4503,_imp!$C$2231))</f>
        <v/>
      </c>
      <c r="C2229" s="54">
        <f>IF(_imp!$C$2231="","",INDEX(_imp!$F$4:$F$4503,_imp!$C$2231))</f>
        <v/>
      </c>
      <c r="D2229" s="54">
        <f>IF(_imp!$C$2231="","",INDEX(_imp!$G$4:$G$4503,_imp!$C$2231))</f>
        <v/>
      </c>
      <c r="E2229" s="54">
        <f>IF(_imp!$C$2231="","",INDEX(_imp!$H$4:$H$4503,_imp!$C$2231))</f>
        <v/>
      </c>
      <c r="F2229" s="54">
        <f>IF(_imp!$C$2231="","",INDEX(_imp!$I$4:$I$4503,_imp!$C$2231))</f>
        <v/>
      </c>
      <c r="G2229" s="54">
        <f>IF(_imp!$C$2231="","",INDEX(_imp!$J$4:$J$4503,_imp!$C$2231))</f>
        <v/>
      </c>
      <c r="K2229" s="54">
        <f>IF(_imp!$C$2231="","",INDEX(_imp!$K$4:$K$4503,_imp!$C$2231))</f>
        <v/>
      </c>
    </row>
    <row r="2230">
      <c r="A2230" s="54">
        <f>IF(_imp!$C$2232="","",INDEX(_imp!$D$4:$D$4503,_imp!$C$2232))</f>
        <v/>
      </c>
      <c r="B2230" s="54">
        <f>IF(_imp!$C$2232="","",INDEX(_imp!$E$4:$E$4503,_imp!$C$2232))</f>
        <v/>
      </c>
      <c r="C2230" s="54">
        <f>IF(_imp!$C$2232="","",INDEX(_imp!$F$4:$F$4503,_imp!$C$2232))</f>
        <v/>
      </c>
      <c r="D2230" s="54">
        <f>IF(_imp!$C$2232="","",INDEX(_imp!$G$4:$G$4503,_imp!$C$2232))</f>
        <v/>
      </c>
      <c r="E2230" s="54">
        <f>IF(_imp!$C$2232="","",INDEX(_imp!$H$4:$H$4503,_imp!$C$2232))</f>
        <v/>
      </c>
      <c r="F2230" s="54">
        <f>IF(_imp!$C$2232="","",INDEX(_imp!$I$4:$I$4503,_imp!$C$2232))</f>
        <v/>
      </c>
      <c r="G2230" s="54">
        <f>IF(_imp!$C$2232="","",INDEX(_imp!$J$4:$J$4503,_imp!$C$2232))</f>
        <v/>
      </c>
      <c r="K2230" s="54">
        <f>IF(_imp!$C$2232="","",INDEX(_imp!$K$4:$K$4503,_imp!$C$2232))</f>
        <v/>
      </c>
    </row>
    <row r="2231">
      <c r="A2231" s="54">
        <f>IF(_imp!$C$2233="","",INDEX(_imp!$D$4:$D$4503,_imp!$C$2233))</f>
        <v/>
      </c>
      <c r="B2231" s="54">
        <f>IF(_imp!$C$2233="","",INDEX(_imp!$E$4:$E$4503,_imp!$C$2233))</f>
        <v/>
      </c>
      <c r="C2231" s="54">
        <f>IF(_imp!$C$2233="","",INDEX(_imp!$F$4:$F$4503,_imp!$C$2233))</f>
        <v/>
      </c>
      <c r="D2231" s="54">
        <f>IF(_imp!$C$2233="","",INDEX(_imp!$G$4:$G$4503,_imp!$C$2233))</f>
        <v/>
      </c>
      <c r="E2231" s="54">
        <f>IF(_imp!$C$2233="","",INDEX(_imp!$H$4:$H$4503,_imp!$C$2233))</f>
        <v/>
      </c>
      <c r="F2231" s="54">
        <f>IF(_imp!$C$2233="","",INDEX(_imp!$I$4:$I$4503,_imp!$C$2233))</f>
        <v/>
      </c>
      <c r="G2231" s="54">
        <f>IF(_imp!$C$2233="","",INDEX(_imp!$J$4:$J$4503,_imp!$C$2233))</f>
        <v/>
      </c>
      <c r="K2231" s="54">
        <f>IF(_imp!$C$2233="","",INDEX(_imp!$K$4:$K$4503,_imp!$C$2233))</f>
        <v/>
      </c>
    </row>
    <row r="2232">
      <c r="A2232" s="54">
        <f>IF(_imp!$C$2234="","",INDEX(_imp!$D$4:$D$4503,_imp!$C$2234))</f>
        <v/>
      </c>
      <c r="B2232" s="54">
        <f>IF(_imp!$C$2234="","",INDEX(_imp!$E$4:$E$4503,_imp!$C$2234))</f>
        <v/>
      </c>
      <c r="C2232" s="54">
        <f>IF(_imp!$C$2234="","",INDEX(_imp!$F$4:$F$4503,_imp!$C$2234))</f>
        <v/>
      </c>
      <c r="D2232" s="54">
        <f>IF(_imp!$C$2234="","",INDEX(_imp!$G$4:$G$4503,_imp!$C$2234))</f>
        <v/>
      </c>
      <c r="E2232" s="54">
        <f>IF(_imp!$C$2234="","",INDEX(_imp!$H$4:$H$4503,_imp!$C$2234))</f>
        <v/>
      </c>
      <c r="F2232" s="54">
        <f>IF(_imp!$C$2234="","",INDEX(_imp!$I$4:$I$4503,_imp!$C$2234))</f>
        <v/>
      </c>
      <c r="G2232" s="54">
        <f>IF(_imp!$C$2234="","",INDEX(_imp!$J$4:$J$4503,_imp!$C$2234))</f>
        <v/>
      </c>
      <c r="K2232" s="54">
        <f>IF(_imp!$C$2234="","",INDEX(_imp!$K$4:$K$4503,_imp!$C$2234))</f>
        <v/>
      </c>
    </row>
    <row r="2233">
      <c r="A2233" s="54">
        <f>IF(_imp!$C$2235="","",INDEX(_imp!$D$4:$D$4503,_imp!$C$2235))</f>
        <v/>
      </c>
      <c r="B2233" s="54">
        <f>IF(_imp!$C$2235="","",INDEX(_imp!$E$4:$E$4503,_imp!$C$2235))</f>
        <v/>
      </c>
      <c r="C2233" s="54">
        <f>IF(_imp!$C$2235="","",INDEX(_imp!$F$4:$F$4503,_imp!$C$2235))</f>
        <v/>
      </c>
      <c r="D2233" s="54">
        <f>IF(_imp!$C$2235="","",INDEX(_imp!$G$4:$G$4503,_imp!$C$2235))</f>
        <v/>
      </c>
      <c r="E2233" s="54">
        <f>IF(_imp!$C$2235="","",INDEX(_imp!$H$4:$H$4503,_imp!$C$2235))</f>
        <v/>
      </c>
      <c r="F2233" s="54">
        <f>IF(_imp!$C$2235="","",INDEX(_imp!$I$4:$I$4503,_imp!$C$2235))</f>
        <v/>
      </c>
      <c r="G2233" s="54">
        <f>IF(_imp!$C$2235="","",INDEX(_imp!$J$4:$J$4503,_imp!$C$2235))</f>
        <v/>
      </c>
      <c r="K2233" s="54">
        <f>IF(_imp!$C$2235="","",INDEX(_imp!$K$4:$K$4503,_imp!$C$2235))</f>
        <v/>
      </c>
    </row>
    <row r="2234">
      <c r="A2234" s="54">
        <f>IF(_imp!$C$2236="","",INDEX(_imp!$D$4:$D$4503,_imp!$C$2236))</f>
        <v/>
      </c>
      <c r="B2234" s="54">
        <f>IF(_imp!$C$2236="","",INDEX(_imp!$E$4:$E$4503,_imp!$C$2236))</f>
        <v/>
      </c>
      <c r="C2234" s="54">
        <f>IF(_imp!$C$2236="","",INDEX(_imp!$F$4:$F$4503,_imp!$C$2236))</f>
        <v/>
      </c>
      <c r="D2234" s="54">
        <f>IF(_imp!$C$2236="","",INDEX(_imp!$G$4:$G$4503,_imp!$C$2236))</f>
        <v/>
      </c>
      <c r="E2234" s="54">
        <f>IF(_imp!$C$2236="","",INDEX(_imp!$H$4:$H$4503,_imp!$C$2236))</f>
        <v/>
      </c>
      <c r="F2234" s="54">
        <f>IF(_imp!$C$2236="","",INDEX(_imp!$I$4:$I$4503,_imp!$C$2236))</f>
        <v/>
      </c>
      <c r="G2234" s="54">
        <f>IF(_imp!$C$2236="","",INDEX(_imp!$J$4:$J$4503,_imp!$C$2236))</f>
        <v/>
      </c>
      <c r="K2234" s="54">
        <f>IF(_imp!$C$2236="","",INDEX(_imp!$K$4:$K$4503,_imp!$C$2236))</f>
        <v/>
      </c>
    </row>
    <row r="2235">
      <c r="A2235" s="54">
        <f>IF(_imp!$C$2237="","",INDEX(_imp!$D$4:$D$4503,_imp!$C$2237))</f>
        <v/>
      </c>
      <c r="B2235" s="54">
        <f>IF(_imp!$C$2237="","",INDEX(_imp!$E$4:$E$4503,_imp!$C$2237))</f>
        <v/>
      </c>
      <c r="C2235" s="54">
        <f>IF(_imp!$C$2237="","",INDEX(_imp!$F$4:$F$4503,_imp!$C$2237))</f>
        <v/>
      </c>
      <c r="D2235" s="54">
        <f>IF(_imp!$C$2237="","",INDEX(_imp!$G$4:$G$4503,_imp!$C$2237))</f>
        <v/>
      </c>
      <c r="E2235" s="54">
        <f>IF(_imp!$C$2237="","",INDEX(_imp!$H$4:$H$4503,_imp!$C$2237))</f>
        <v/>
      </c>
      <c r="F2235" s="54">
        <f>IF(_imp!$C$2237="","",INDEX(_imp!$I$4:$I$4503,_imp!$C$2237))</f>
        <v/>
      </c>
      <c r="G2235" s="54">
        <f>IF(_imp!$C$2237="","",INDEX(_imp!$J$4:$J$4503,_imp!$C$2237))</f>
        <v/>
      </c>
      <c r="K2235" s="54">
        <f>IF(_imp!$C$2237="","",INDEX(_imp!$K$4:$K$4503,_imp!$C$2237))</f>
        <v/>
      </c>
    </row>
    <row r="2236">
      <c r="A2236" s="54">
        <f>IF(_imp!$C$2238="","",INDEX(_imp!$D$4:$D$4503,_imp!$C$2238))</f>
        <v/>
      </c>
      <c r="B2236" s="54">
        <f>IF(_imp!$C$2238="","",INDEX(_imp!$E$4:$E$4503,_imp!$C$2238))</f>
        <v/>
      </c>
      <c r="C2236" s="54">
        <f>IF(_imp!$C$2238="","",INDEX(_imp!$F$4:$F$4503,_imp!$C$2238))</f>
        <v/>
      </c>
      <c r="D2236" s="54">
        <f>IF(_imp!$C$2238="","",INDEX(_imp!$G$4:$G$4503,_imp!$C$2238))</f>
        <v/>
      </c>
      <c r="E2236" s="54">
        <f>IF(_imp!$C$2238="","",INDEX(_imp!$H$4:$H$4503,_imp!$C$2238))</f>
        <v/>
      </c>
      <c r="F2236" s="54">
        <f>IF(_imp!$C$2238="","",INDEX(_imp!$I$4:$I$4503,_imp!$C$2238))</f>
        <v/>
      </c>
      <c r="G2236" s="54">
        <f>IF(_imp!$C$2238="","",INDEX(_imp!$J$4:$J$4503,_imp!$C$2238))</f>
        <v/>
      </c>
      <c r="K2236" s="54">
        <f>IF(_imp!$C$2238="","",INDEX(_imp!$K$4:$K$4503,_imp!$C$2238))</f>
        <v/>
      </c>
    </row>
    <row r="2237">
      <c r="A2237" s="54">
        <f>IF(_imp!$C$2239="","",INDEX(_imp!$D$4:$D$4503,_imp!$C$2239))</f>
        <v/>
      </c>
      <c r="B2237" s="54">
        <f>IF(_imp!$C$2239="","",INDEX(_imp!$E$4:$E$4503,_imp!$C$2239))</f>
        <v/>
      </c>
      <c r="C2237" s="54">
        <f>IF(_imp!$C$2239="","",INDEX(_imp!$F$4:$F$4503,_imp!$C$2239))</f>
        <v/>
      </c>
      <c r="D2237" s="54">
        <f>IF(_imp!$C$2239="","",INDEX(_imp!$G$4:$G$4503,_imp!$C$2239))</f>
        <v/>
      </c>
      <c r="E2237" s="54">
        <f>IF(_imp!$C$2239="","",INDEX(_imp!$H$4:$H$4503,_imp!$C$2239))</f>
        <v/>
      </c>
      <c r="F2237" s="54">
        <f>IF(_imp!$C$2239="","",INDEX(_imp!$I$4:$I$4503,_imp!$C$2239))</f>
        <v/>
      </c>
      <c r="G2237" s="54">
        <f>IF(_imp!$C$2239="","",INDEX(_imp!$J$4:$J$4503,_imp!$C$2239))</f>
        <v/>
      </c>
      <c r="K2237" s="54">
        <f>IF(_imp!$C$2239="","",INDEX(_imp!$K$4:$K$4503,_imp!$C$2239))</f>
        <v/>
      </c>
    </row>
    <row r="2238">
      <c r="A2238" s="54">
        <f>IF(_imp!$C$2240="","",INDEX(_imp!$D$4:$D$4503,_imp!$C$2240))</f>
        <v/>
      </c>
      <c r="B2238" s="54">
        <f>IF(_imp!$C$2240="","",INDEX(_imp!$E$4:$E$4503,_imp!$C$2240))</f>
        <v/>
      </c>
      <c r="C2238" s="54">
        <f>IF(_imp!$C$2240="","",INDEX(_imp!$F$4:$F$4503,_imp!$C$2240))</f>
        <v/>
      </c>
      <c r="D2238" s="54">
        <f>IF(_imp!$C$2240="","",INDEX(_imp!$G$4:$G$4503,_imp!$C$2240))</f>
        <v/>
      </c>
      <c r="E2238" s="54">
        <f>IF(_imp!$C$2240="","",INDEX(_imp!$H$4:$H$4503,_imp!$C$2240))</f>
        <v/>
      </c>
      <c r="F2238" s="54">
        <f>IF(_imp!$C$2240="","",INDEX(_imp!$I$4:$I$4503,_imp!$C$2240))</f>
        <v/>
      </c>
      <c r="G2238" s="54">
        <f>IF(_imp!$C$2240="","",INDEX(_imp!$J$4:$J$4503,_imp!$C$2240))</f>
        <v/>
      </c>
      <c r="K2238" s="54">
        <f>IF(_imp!$C$2240="","",INDEX(_imp!$K$4:$K$4503,_imp!$C$2240))</f>
        <v/>
      </c>
    </row>
    <row r="2239">
      <c r="A2239" s="54">
        <f>IF(_imp!$C$2241="","",INDEX(_imp!$D$4:$D$4503,_imp!$C$2241))</f>
        <v/>
      </c>
      <c r="B2239" s="54">
        <f>IF(_imp!$C$2241="","",INDEX(_imp!$E$4:$E$4503,_imp!$C$2241))</f>
        <v/>
      </c>
      <c r="C2239" s="54">
        <f>IF(_imp!$C$2241="","",INDEX(_imp!$F$4:$F$4503,_imp!$C$2241))</f>
        <v/>
      </c>
      <c r="D2239" s="54">
        <f>IF(_imp!$C$2241="","",INDEX(_imp!$G$4:$G$4503,_imp!$C$2241))</f>
        <v/>
      </c>
      <c r="E2239" s="54">
        <f>IF(_imp!$C$2241="","",INDEX(_imp!$H$4:$H$4503,_imp!$C$2241))</f>
        <v/>
      </c>
      <c r="F2239" s="54">
        <f>IF(_imp!$C$2241="","",INDEX(_imp!$I$4:$I$4503,_imp!$C$2241))</f>
        <v/>
      </c>
      <c r="G2239" s="54">
        <f>IF(_imp!$C$2241="","",INDEX(_imp!$J$4:$J$4503,_imp!$C$2241))</f>
        <v/>
      </c>
      <c r="K2239" s="54">
        <f>IF(_imp!$C$2241="","",INDEX(_imp!$K$4:$K$4503,_imp!$C$2241))</f>
        <v/>
      </c>
    </row>
    <row r="2240">
      <c r="A2240" s="54">
        <f>IF(_imp!$C$2242="","",INDEX(_imp!$D$4:$D$4503,_imp!$C$2242))</f>
        <v/>
      </c>
      <c r="B2240" s="54">
        <f>IF(_imp!$C$2242="","",INDEX(_imp!$E$4:$E$4503,_imp!$C$2242))</f>
        <v/>
      </c>
      <c r="C2240" s="54">
        <f>IF(_imp!$C$2242="","",INDEX(_imp!$F$4:$F$4503,_imp!$C$2242))</f>
        <v/>
      </c>
      <c r="D2240" s="54">
        <f>IF(_imp!$C$2242="","",INDEX(_imp!$G$4:$G$4503,_imp!$C$2242))</f>
        <v/>
      </c>
      <c r="E2240" s="54">
        <f>IF(_imp!$C$2242="","",INDEX(_imp!$H$4:$H$4503,_imp!$C$2242))</f>
        <v/>
      </c>
      <c r="F2240" s="54">
        <f>IF(_imp!$C$2242="","",INDEX(_imp!$I$4:$I$4503,_imp!$C$2242))</f>
        <v/>
      </c>
      <c r="G2240" s="54">
        <f>IF(_imp!$C$2242="","",INDEX(_imp!$J$4:$J$4503,_imp!$C$2242))</f>
        <v/>
      </c>
      <c r="K2240" s="54">
        <f>IF(_imp!$C$2242="","",INDEX(_imp!$K$4:$K$4503,_imp!$C$2242))</f>
        <v/>
      </c>
    </row>
    <row r="2241">
      <c r="A2241" s="54">
        <f>IF(_imp!$C$2243="","",INDEX(_imp!$D$4:$D$4503,_imp!$C$2243))</f>
        <v/>
      </c>
      <c r="B2241" s="54">
        <f>IF(_imp!$C$2243="","",INDEX(_imp!$E$4:$E$4503,_imp!$C$2243))</f>
        <v/>
      </c>
      <c r="C2241" s="54">
        <f>IF(_imp!$C$2243="","",INDEX(_imp!$F$4:$F$4503,_imp!$C$2243))</f>
        <v/>
      </c>
      <c r="D2241" s="54">
        <f>IF(_imp!$C$2243="","",INDEX(_imp!$G$4:$G$4503,_imp!$C$2243))</f>
        <v/>
      </c>
      <c r="E2241" s="54">
        <f>IF(_imp!$C$2243="","",INDEX(_imp!$H$4:$H$4503,_imp!$C$2243))</f>
        <v/>
      </c>
      <c r="F2241" s="54">
        <f>IF(_imp!$C$2243="","",INDEX(_imp!$I$4:$I$4503,_imp!$C$2243))</f>
        <v/>
      </c>
      <c r="G2241" s="54">
        <f>IF(_imp!$C$2243="","",INDEX(_imp!$J$4:$J$4503,_imp!$C$2243))</f>
        <v/>
      </c>
      <c r="K2241" s="54">
        <f>IF(_imp!$C$2243="","",INDEX(_imp!$K$4:$K$4503,_imp!$C$2243))</f>
        <v/>
      </c>
    </row>
    <row r="2242">
      <c r="A2242" s="54">
        <f>IF(_imp!$C$2244="","",INDEX(_imp!$D$4:$D$4503,_imp!$C$2244))</f>
        <v/>
      </c>
      <c r="B2242" s="54">
        <f>IF(_imp!$C$2244="","",INDEX(_imp!$E$4:$E$4503,_imp!$C$2244))</f>
        <v/>
      </c>
      <c r="C2242" s="54">
        <f>IF(_imp!$C$2244="","",INDEX(_imp!$F$4:$F$4503,_imp!$C$2244))</f>
        <v/>
      </c>
      <c r="D2242" s="54">
        <f>IF(_imp!$C$2244="","",INDEX(_imp!$G$4:$G$4503,_imp!$C$2244))</f>
        <v/>
      </c>
      <c r="E2242" s="54">
        <f>IF(_imp!$C$2244="","",INDEX(_imp!$H$4:$H$4503,_imp!$C$2244))</f>
        <v/>
      </c>
      <c r="F2242" s="54">
        <f>IF(_imp!$C$2244="","",INDEX(_imp!$I$4:$I$4503,_imp!$C$2244))</f>
        <v/>
      </c>
      <c r="G2242" s="54">
        <f>IF(_imp!$C$2244="","",INDEX(_imp!$J$4:$J$4503,_imp!$C$2244))</f>
        <v/>
      </c>
      <c r="K2242" s="54">
        <f>IF(_imp!$C$2244="","",INDEX(_imp!$K$4:$K$4503,_imp!$C$2244))</f>
        <v/>
      </c>
    </row>
    <row r="2243">
      <c r="A2243" s="54">
        <f>IF(_imp!$C$2245="","",INDEX(_imp!$D$4:$D$4503,_imp!$C$2245))</f>
        <v/>
      </c>
      <c r="B2243" s="54">
        <f>IF(_imp!$C$2245="","",INDEX(_imp!$E$4:$E$4503,_imp!$C$2245))</f>
        <v/>
      </c>
      <c r="C2243" s="54">
        <f>IF(_imp!$C$2245="","",INDEX(_imp!$F$4:$F$4503,_imp!$C$2245))</f>
        <v/>
      </c>
      <c r="D2243" s="54">
        <f>IF(_imp!$C$2245="","",INDEX(_imp!$G$4:$G$4503,_imp!$C$2245))</f>
        <v/>
      </c>
      <c r="E2243" s="54">
        <f>IF(_imp!$C$2245="","",INDEX(_imp!$H$4:$H$4503,_imp!$C$2245))</f>
        <v/>
      </c>
      <c r="F2243" s="54">
        <f>IF(_imp!$C$2245="","",INDEX(_imp!$I$4:$I$4503,_imp!$C$2245))</f>
        <v/>
      </c>
      <c r="G2243" s="54">
        <f>IF(_imp!$C$2245="","",INDEX(_imp!$J$4:$J$4503,_imp!$C$2245))</f>
        <v/>
      </c>
      <c r="K2243" s="54">
        <f>IF(_imp!$C$2245="","",INDEX(_imp!$K$4:$K$4503,_imp!$C$2245))</f>
        <v/>
      </c>
    </row>
    <row r="2244">
      <c r="A2244" s="54">
        <f>IF(_imp!$C$2246="","",INDEX(_imp!$D$4:$D$4503,_imp!$C$2246))</f>
        <v/>
      </c>
      <c r="B2244" s="54">
        <f>IF(_imp!$C$2246="","",INDEX(_imp!$E$4:$E$4503,_imp!$C$2246))</f>
        <v/>
      </c>
      <c r="C2244" s="54">
        <f>IF(_imp!$C$2246="","",INDEX(_imp!$F$4:$F$4503,_imp!$C$2246))</f>
        <v/>
      </c>
      <c r="D2244" s="54">
        <f>IF(_imp!$C$2246="","",INDEX(_imp!$G$4:$G$4503,_imp!$C$2246))</f>
        <v/>
      </c>
      <c r="E2244" s="54">
        <f>IF(_imp!$C$2246="","",INDEX(_imp!$H$4:$H$4503,_imp!$C$2246))</f>
        <v/>
      </c>
      <c r="F2244" s="54">
        <f>IF(_imp!$C$2246="","",INDEX(_imp!$I$4:$I$4503,_imp!$C$2246))</f>
        <v/>
      </c>
      <c r="G2244" s="54">
        <f>IF(_imp!$C$2246="","",INDEX(_imp!$J$4:$J$4503,_imp!$C$2246))</f>
        <v/>
      </c>
      <c r="K2244" s="54">
        <f>IF(_imp!$C$2246="","",INDEX(_imp!$K$4:$K$4503,_imp!$C$2246))</f>
        <v/>
      </c>
    </row>
    <row r="2245">
      <c r="A2245" s="54">
        <f>IF(_imp!$C$2247="","",INDEX(_imp!$D$4:$D$4503,_imp!$C$2247))</f>
        <v/>
      </c>
      <c r="B2245" s="54">
        <f>IF(_imp!$C$2247="","",INDEX(_imp!$E$4:$E$4503,_imp!$C$2247))</f>
        <v/>
      </c>
      <c r="C2245" s="54">
        <f>IF(_imp!$C$2247="","",INDEX(_imp!$F$4:$F$4503,_imp!$C$2247))</f>
        <v/>
      </c>
      <c r="D2245" s="54">
        <f>IF(_imp!$C$2247="","",INDEX(_imp!$G$4:$G$4503,_imp!$C$2247))</f>
        <v/>
      </c>
      <c r="E2245" s="54">
        <f>IF(_imp!$C$2247="","",INDEX(_imp!$H$4:$H$4503,_imp!$C$2247))</f>
        <v/>
      </c>
      <c r="F2245" s="54">
        <f>IF(_imp!$C$2247="","",INDEX(_imp!$I$4:$I$4503,_imp!$C$2247))</f>
        <v/>
      </c>
      <c r="G2245" s="54">
        <f>IF(_imp!$C$2247="","",INDEX(_imp!$J$4:$J$4503,_imp!$C$2247))</f>
        <v/>
      </c>
      <c r="K2245" s="54">
        <f>IF(_imp!$C$2247="","",INDEX(_imp!$K$4:$K$4503,_imp!$C$2247))</f>
        <v/>
      </c>
    </row>
    <row r="2246">
      <c r="A2246" s="54">
        <f>IF(_imp!$C$2248="","",INDEX(_imp!$D$4:$D$4503,_imp!$C$2248))</f>
        <v/>
      </c>
      <c r="B2246" s="54">
        <f>IF(_imp!$C$2248="","",INDEX(_imp!$E$4:$E$4503,_imp!$C$2248))</f>
        <v/>
      </c>
      <c r="C2246" s="54">
        <f>IF(_imp!$C$2248="","",INDEX(_imp!$F$4:$F$4503,_imp!$C$2248))</f>
        <v/>
      </c>
      <c r="D2246" s="54">
        <f>IF(_imp!$C$2248="","",INDEX(_imp!$G$4:$G$4503,_imp!$C$2248))</f>
        <v/>
      </c>
      <c r="E2246" s="54">
        <f>IF(_imp!$C$2248="","",INDEX(_imp!$H$4:$H$4503,_imp!$C$2248))</f>
        <v/>
      </c>
      <c r="F2246" s="54">
        <f>IF(_imp!$C$2248="","",INDEX(_imp!$I$4:$I$4503,_imp!$C$2248))</f>
        <v/>
      </c>
      <c r="G2246" s="54">
        <f>IF(_imp!$C$2248="","",INDEX(_imp!$J$4:$J$4503,_imp!$C$2248))</f>
        <v/>
      </c>
      <c r="K2246" s="54">
        <f>IF(_imp!$C$2248="","",INDEX(_imp!$K$4:$K$4503,_imp!$C$2248))</f>
        <v/>
      </c>
    </row>
    <row r="2247">
      <c r="A2247" s="54">
        <f>IF(_imp!$C$2249="","",INDEX(_imp!$D$4:$D$4503,_imp!$C$2249))</f>
        <v/>
      </c>
      <c r="B2247" s="54">
        <f>IF(_imp!$C$2249="","",INDEX(_imp!$E$4:$E$4503,_imp!$C$2249))</f>
        <v/>
      </c>
      <c r="C2247" s="54">
        <f>IF(_imp!$C$2249="","",INDEX(_imp!$F$4:$F$4503,_imp!$C$2249))</f>
        <v/>
      </c>
      <c r="D2247" s="54">
        <f>IF(_imp!$C$2249="","",INDEX(_imp!$G$4:$G$4503,_imp!$C$2249))</f>
        <v/>
      </c>
      <c r="E2247" s="54">
        <f>IF(_imp!$C$2249="","",INDEX(_imp!$H$4:$H$4503,_imp!$C$2249))</f>
        <v/>
      </c>
      <c r="F2247" s="54">
        <f>IF(_imp!$C$2249="","",INDEX(_imp!$I$4:$I$4503,_imp!$C$2249))</f>
        <v/>
      </c>
      <c r="G2247" s="54">
        <f>IF(_imp!$C$2249="","",INDEX(_imp!$J$4:$J$4503,_imp!$C$2249))</f>
        <v/>
      </c>
      <c r="K2247" s="54">
        <f>IF(_imp!$C$2249="","",INDEX(_imp!$K$4:$K$4503,_imp!$C$2249))</f>
        <v/>
      </c>
    </row>
    <row r="2248">
      <c r="A2248" s="54">
        <f>IF(_imp!$C$2250="","",INDEX(_imp!$D$4:$D$4503,_imp!$C$2250))</f>
        <v/>
      </c>
      <c r="B2248" s="54">
        <f>IF(_imp!$C$2250="","",INDEX(_imp!$E$4:$E$4503,_imp!$C$2250))</f>
        <v/>
      </c>
      <c r="C2248" s="54">
        <f>IF(_imp!$C$2250="","",INDEX(_imp!$F$4:$F$4503,_imp!$C$2250))</f>
        <v/>
      </c>
      <c r="D2248" s="54">
        <f>IF(_imp!$C$2250="","",INDEX(_imp!$G$4:$G$4503,_imp!$C$2250))</f>
        <v/>
      </c>
      <c r="E2248" s="54">
        <f>IF(_imp!$C$2250="","",INDEX(_imp!$H$4:$H$4503,_imp!$C$2250))</f>
        <v/>
      </c>
      <c r="F2248" s="54">
        <f>IF(_imp!$C$2250="","",INDEX(_imp!$I$4:$I$4503,_imp!$C$2250))</f>
        <v/>
      </c>
      <c r="G2248" s="54">
        <f>IF(_imp!$C$2250="","",INDEX(_imp!$J$4:$J$4503,_imp!$C$2250))</f>
        <v/>
      </c>
      <c r="K2248" s="54">
        <f>IF(_imp!$C$2250="","",INDEX(_imp!$K$4:$K$4503,_imp!$C$2250))</f>
        <v/>
      </c>
    </row>
    <row r="2249">
      <c r="A2249" s="54">
        <f>IF(_imp!$C$2251="","",INDEX(_imp!$D$4:$D$4503,_imp!$C$2251))</f>
        <v/>
      </c>
      <c r="B2249" s="54">
        <f>IF(_imp!$C$2251="","",INDEX(_imp!$E$4:$E$4503,_imp!$C$2251))</f>
        <v/>
      </c>
      <c r="C2249" s="54">
        <f>IF(_imp!$C$2251="","",INDEX(_imp!$F$4:$F$4503,_imp!$C$2251))</f>
        <v/>
      </c>
      <c r="D2249" s="54">
        <f>IF(_imp!$C$2251="","",INDEX(_imp!$G$4:$G$4503,_imp!$C$2251))</f>
        <v/>
      </c>
      <c r="E2249" s="54">
        <f>IF(_imp!$C$2251="","",INDEX(_imp!$H$4:$H$4503,_imp!$C$2251))</f>
        <v/>
      </c>
      <c r="F2249" s="54">
        <f>IF(_imp!$C$2251="","",INDEX(_imp!$I$4:$I$4503,_imp!$C$2251))</f>
        <v/>
      </c>
      <c r="G2249" s="54">
        <f>IF(_imp!$C$2251="","",INDEX(_imp!$J$4:$J$4503,_imp!$C$2251))</f>
        <v/>
      </c>
      <c r="K2249" s="54">
        <f>IF(_imp!$C$2251="","",INDEX(_imp!$K$4:$K$4503,_imp!$C$2251))</f>
        <v/>
      </c>
    </row>
    <row r="2250">
      <c r="A2250" s="54">
        <f>IF(_imp!$C$2252="","",INDEX(_imp!$D$4:$D$4503,_imp!$C$2252))</f>
        <v/>
      </c>
      <c r="B2250" s="54">
        <f>IF(_imp!$C$2252="","",INDEX(_imp!$E$4:$E$4503,_imp!$C$2252))</f>
        <v/>
      </c>
      <c r="C2250" s="54">
        <f>IF(_imp!$C$2252="","",INDEX(_imp!$F$4:$F$4503,_imp!$C$2252))</f>
        <v/>
      </c>
      <c r="D2250" s="54">
        <f>IF(_imp!$C$2252="","",INDEX(_imp!$G$4:$G$4503,_imp!$C$2252))</f>
        <v/>
      </c>
      <c r="E2250" s="54">
        <f>IF(_imp!$C$2252="","",INDEX(_imp!$H$4:$H$4503,_imp!$C$2252))</f>
        <v/>
      </c>
      <c r="F2250" s="54">
        <f>IF(_imp!$C$2252="","",INDEX(_imp!$I$4:$I$4503,_imp!$C$2252))</f>
        <v/>
      </c>
      <c r="G2250" s="54">
        <f>IF(_imp!$C$2252="","",INDEX(_imp!$J$4:$J$4503,_imp!$C$2252))</f>
        <v/>
      </c>
      <c r="K2250" s="54">
        <f>IF(_imp!$C$2252="","",INDEX(_imp!$K$4:$K$4503,_imp!$C$2252))</f>
        <v/>
      </c>
    </row>
    <row r="2251">
      <c r="A2251" s="54">
        <f>IF(_imp!$C$2253="","",INDEX(_imp!$D$4:$D$4503,_imp!$C$2253))</f>
        <v/>
      </c>
      <c r="B2251" s="54">
        <f>IF(_imp!$C$2253="","",INDEX(_imp!$E$4:$E$4503,_imp!$C$2253))</f>
        <v/>
      </c>
      <c r="C2251" s="54">
        <f>IF(_imp!$C$2253="","",INDEX(_imp!$F$4:$F$4503,_imp!$C$2253))</f>
        <v/>
      </c>
      <c r="D2251" s="54">
        <f>IF(_imp!$C$2253="","",INDEX(_imp!$G$4:$G$4503,_imp!$C$2253))</f>
        <v/>
      </c>
      <c r="E2251" s="54">
        <f>IF(_imp!$C$2253="","",INDEX(_imp!$H$4:$H$4503,_imp!$C$2253))</f>
        <v/>
      </c>
      <c r="F2251" s="54">
        <f>IF(_imp!$C$2253="","",INDEX(_imp!$I$4:$I$4503,_imp!$C$2253))</f>
        <v/>
      </c>
      <c r="G2251" s="54">
        <f>IF(_imp!$C$2253="","",INDEX(_imp!$J$4:$J$4503,_imp!$C$2253))</f>
        <v/>
      </c>
      <c r="K2251" s="54">
        <f>IF(_imp!$C$2253="","",INDEX(_imp!$K$4:$K$4503,_imp!$C$2253))</f>
        <v/>
      </c>
    </row>
    <row r="2252">
      <c r="A2252" s="54">
        <f>IF(_imp!$C$2254="","",INDEX(_imp!$D$4:$D$4503,_imp!$C$2254))</f>
        <v/>
      </c>
      <c r="B2252" s="54">
        <f>IF(_imp!$C$2254="","",INDEX(_imp!$E$4:$E$4503,_imp!$C$2254))</f>
        <v/>
      </c>
      <c r="C2252" s="54">
        <f>IF(_imp!$C$2254="","",INDEX(_imp!$F$4:$F$4503,_imp!$C$2254))</f>
        <v/>
      </c>
      <c r="D2252" s="54">
        <f>IF(_imp!$C$2254="","",INDEX(_imp!$G$4:$G$4503,_imp!$C$2254))</f>
        <v/>
      </c>
      <c r="E2252" s="54">
        <f>IF(_imp!$C$2254="","",INDEX(_imp!$H$4:$H$4503,_imp!$C$2254))</f>
        <v/>
      </c>
      <c r="F2252" s="54">
        <f>IF(_imp!$C$2254="","",INDEX(_imp!$I$4:$I$4503,_imp!$C$2254))</f>
        <v/>
      </c>
      <c r="G2252" s="54">
        <f>IF(_imp!$C$2254="","",INDEX(_imp!$J$4:$J$4503,_imp!$C$2254))</f>
        <v/>
      </c>
      <c r="K2252" s="54">
        <f>IF(_imp!$C$2254="","",INDEX(_imp!$K$4:$K$4503,_imp!$C$2254))</f>
        <v/>
      </c>
    </row>
    <row r="2253">
      <c r="A2253" s="54">
        <f>IF(_imp!$C$2255="","",INDEX(_imp!$D$4:$D$4503,_imp!$C$2255))</f>
        <v/>
      </c>
      <c r="B2253" s="54">
        <f>IF(_imp!$C$2255="","",INDEX(_imp!$E$4:$E$4503,_imp!$C$2255))</f>
        <v/>
      </c>
      <c r="C2253" s="54">
        <f>IF(_imp!$C$2255="","",INDEX(_imp!$F$4:$F$4503,_imp!$C$2255))</f>
        <v/>
      </c>
      <c r="D2253" s="54">
        <f>IF(_imp!$C$2255="","",INDEX(_imp!$G$4:$G$4503,_imp!$C$2255))</f>
        <v/>
      </c>
      <c r="E2253" s="54">
        <f>IF(_imp!$C$2255="","",INDEX(_imp!$H$4:$H$4503,_imp!$C$2255))</f>
        <v/>
      </c>
      <c r="F2253" s="54">
        <f>IF(_imp!$C$2255="","",INDEX(_imp!$I$4:$I$4503,_imp!$C$2255))</f>
        <v/>
      </c>
      <c r="G2253" s="54">
        <f>IF(_imp!$C$2255="","",INDEX(_imp!$J$4:$J$4503,_imp!$C$2255))</f>
        <v/>
      </c>
      <c r="K2253" s="54">
        <f>IF(_imp!$C$2255="","",INDEX(_imp!$K$4:$K$4503,_imp!$C$2255))</f>
        <v/>
      </c>
    </row>
    <row r="2254">
      <c r="A2254" s="54">
        <f>IF(_imp!$C$2256="","",INDEX(_imp!$D$4:$D$4503,_imp!$C$2256))</f>
        <v/>
      </c>
      <c r="B2254" s="54">
        <f>IF(_imp!$C$2256="","",INDEX(_imp!$E$4:$E$4503,_imp!$C$2256))</f>
        <v/>
      </c>
      <c r="C2254" s="54">
        <f>IF(_imp!$C$2256="","",INDEX(_imp!$F$4:$F$4503,_imp!$C$2256))</f>
        <v/>
      </c>
      <c r="D2254" s="54">
        <f>IF(_imp!$C$2256="","",INDEX(_imp!$G$4:$G$4503,_imp!$C$2256))</f>
        <v/>
      </c>
      <c r="E2254" s="54">
        <f>IF(_imp!$C$2256="","",INDEX(_imp!$H$4:$H$4503,_imp!$C$2256))</f>
        <v/>
      </c>
      <c r="F2254" s="54">
        <f>IF(_imp!$C$2256="","",INDEX(_imp!$I$4:$I$4503,_imp!$C$2256))</f>
        <v/>
      </c>
      <c r="G2254" s="54">
        <f>IF(_imp!$C$2256="","",INDEX(_imp!$J$4:$J$4503,_imp!$C$2256))</f>
        <v/>
      </c>
      <c r="K2254" s="54">
        <f>IF(_imp!$C$2256="","",INDEX(_imp!$K$4:$K$4503,_imp!$C$2256))</f>
        <v/>
      </c>
    </row>
    <row r="2255">
      <c r="A2255" s="54">
        <f>IF(_imp!$C$2257="","",INDEX(_imp!$D$4:$D$4503,_imp!$C$2257))</f>
        <v/>
      </c>
      <c r="B2255" s="54">
        <f>IF(_imp!$C$2257="","",INDEX(_imp!$E$4:$E$4503,_imp!$C$2257))</f>
        <v/>
      </c>
      <c r="C2255" s="54">
        <f>IF(_imp!$C$2257="","",INDEX(_imp!$F$4:$F$4503,_imp!$C$2257))</f>
        <v/>
      </c>
      <c r="D2255" s="54">
        <f>IF(_imp!$C$2257="","",INDEX(_imp!$G$4:$G$4503,_imp!$C$2257))</f>
        <v/>
      </c>
      <c r="E2255" s="54">
        <f>IF(_imp!$C$2257="","",INDEX(_imp!$H$4:$H$4503,_imp!$C$2257))</f>
        <v/>
      </c>
      <c r="F2255" s="54">
        <f>IF(_imp!$C$2257="","",INDEX(_imp!$I$4:$I$4503,_imp!$C$2257))</f>
        <v/>
      </c>
      <c r="G2255" s="54">
        <f>IF(_imp!$C$2257="","",INDEX(_imp!$J$4:$J$4503,_imp!$C$2257))</f>
        <v/>
      </c>
      <c r="K2255" s="54">
        <f>IF(_imp!$C$2257="","",INDEX(_imp!$K$4:$K$4503,_imp!$C$2257))</f>
        <v/>
      </c>
    </row>
    <row r="2256">
      <c r="A2256" s="54">
        <f>IF(_imp!$C$2258="","",INDEX(_imp!$D$4:$D$4503,_imp!$C$2258))</f>
        <v/>
      </c>
      <c r="B2256" s="54">
        <f>IF(_imp!$C$2258="","",INDEX(_imp!$E$4:$E$4503,_imp!$C$2258))</f>
        <v/>
      </c>
      <c r="C2256" s="54">
        <f>IF(_imp!$C$2258="","",INDEX(_imp!$F$4:$F$4503,_imp!$C$2258))</f>
        <v/>
      </c>
      <c r="D2256" s="54">
        <f>IF(_imp!$C$2258="","",INDEX(_imp!$G$4:$G$4503,_imp!$C$2258))</f>
        <v/>
      </c>
      <c r="E2256" s="54">
        <f>IF(_imp!$C$2258="","",INDEX(_imp!$H$4:$H$4503,_imp!$C$2258))</f>
        <v/>
      </c>
      <c r="F2256" s="54">
        <f>IF(_imp!$C$2258="","",INDEX(_imp!$I$4:$I$4503,_imp!$C$2258))</f>
        <v/>
      </c>
      <c r="G2256" s="54">
        <f>IF(_imp!$C$2258="","",INDEX(_imp!$J$4:$J$4503,_imp!$C$2258))</f>
        <v/>
      </c>
      <c r="K2256" s="54">
        <f>IF(_imp!$C$2258="","",INDEX(_imp!$K$4:$K$4503,_imp!$C$2258))</f>
        <v/>
      </c>
    </row>
    <row r="2257">
      <c r="A2257" s="54">
        <f>IF(_imp!$C$2259="","",INDEX(_imp!$D$4:$D$4503,_imp!$C$2259))</f>
        <v/>
      </c>
      <c r="B2257" s="54">
        <f>IF(_imp!$C$2259="","",INDEX(_imp!$E$4:$E$4503,_imp!$C$2259))</f>
        <v/>
      </c>
      <c r="C2257" s="54">
        <f>IF(_imp!$C$2259="","",INDEX(_imp!$F$4:$F$4503,_imp!$C$2259))</f>
        <v/>
      </c>
      <c r="D2257" s="54">
        <f>IF(_imp!$C$2259="","",INDEX(_imp!$G$4:$G$4503,_imp!$C$2259))</f>
        <v/>
      </c>
      <c r="E2257" s="54">
        <f>IF(_imp!$C$2259="","",INDEX(_imp!$H$4:$H$4503,_imp!$C$2259))</f>
        <v/>
      </c>
      <c r="F2257" s="54">
        <f>IF(_imp!$C$2259="","",INDEX(_imp!$I$4:$I$4503,_imp!$C$2259))</f>
        <v/>
      </c>
      <c r="G2257" s="54">
        <f>IF(_imp!$C$2259="","",INDEX(_imp!$J$4:$J$4503,_imp!$C$2259))</f>
        <v/>
      </c>
      <c r="K2257" s="54">
        <f>IF(_imp!$C$2259="","",INDEX(_imp!$K$4:$K$4503,_imp!$C$2259))</f>
        <v/>
      </c>
    </row>
    <row r="2258">
      <c r="A2258" s="54">
        <f>IF(_imp!$C$2260="","",INDEX(_imp!$D$4:$D$4503,_imp!$C$2260))</f>
        <v/>
      </c>
      <c r="B2258" s="54">
        <f>IF(_imp!$C$2260="","",INDEX(_imp!$E$4:$E$4503,_imp!$C$2260))</f>
        <v/>
      </c>
      <c r="C2258" s="54">
        <f>IF(_imp!$C$2260="","",INDEX(_imp!$F$4:$F$4503,_imp!$C$2260))</f>
        <v/>
      </c>
      <c r="D2258" s="54">
        <f>IF(_imp!$C$2260="","",INDEX(_imp!$G$4:$G$4503,_imp!$C$2260))</f>
        <v/>
      </c>
      <c r="E2258" s="54">
        <f>IF(_imp!$C$2260="","",INDEX(_imp!$H$4:$H$4503,_imp!$C$2260))</f>
        <v/>
      </c>
      <c r="F2258" s="54">
        <f>IF(_imp!$C$2260="","",INDEX(_imp!$I$4:$I$4503,_imp!$C$2260))</f>
        <v/>
      </c>
      <c r="G2258" s="54">
        <f>IF(_imp!$C$2260="","",INDEX(_imp!$J$4:$J$4503,_imp!$C$2260))</f>
        <v/>
      </c>
      <c r="K2258" s="54">
        <f>IF(_imp!$C$2260="","",INDEX(_imp!$K$4:$K$4503,_imp!$C$2260))</f>
        <v/>
      </c>
    </row>
    <row r="2259">
      <c r="A2259" s="54">
        <f>IF(_imp!$C$2261="","",INDEX(_imp!$D$4:$D$4503,_imp!$C$2261))</f>
        <v/>
      </c>
      <c r="B2259" s="54">
        <f>IF(_imp!$C$2261="","",INDEX(_imp!$E$4:$E$4503,_imp!$C$2261))</f>
        <v/>
      </c>
      <c r="C2259" s="54">
        <f>IF(_imp!$C$2261="","",INDEX(_imp!$F$4:$F$4503,_imp!$C$2261))</f>
        <v/>
      </c>
      <c r="D2259" s="54">
        <f>IF(_imp!$C$2261="","",INDEX(_imp!$G$4:$G$4503,_imp!$C$2261))</f>
        <v/>
      </c>
      <c r="E2259" s="54">
        <f>IF(_imp!$C$2261="","",INDEX(_imp!$H$4:$H$4503,_imp!$C$2261))</f>
        <v/>
      </c>
      <c r="F2259" s="54">
        <f>IF(_imp!$C$2261="","",INDEX(_imp!$I$4:$I$4503,_imp!$C$2261))</f>
        <v/>
      </c>
      <c r="G2259" s="54">
        <f>IF(_imp!$C$2261="","",INDEX(_imp!$J$4:$J$4503,_imp!$C$2261))</f>
        <v/>
      </c>
      <c r="K2259" s="54">
        <f>IF(_imp!$C$2261="","",INDEX(_imp!$K$4:$K$4503,_imp!$C$2261))</f>
        <v/>
      </c>
    </row>
    <row r="2260">
      <c r="A2260" s="54">
        <f>IF(_imp!$C$2262="","",INDEX(_imp!$D$4:$D$4503,_imp!$C$2262))</f>
        <v/>
      </c>
      <c r="B2260" s="54">
        <f>IF(_imp!$C$2262="","",INDEX(_imp!$E$4:$E$4503,_imp!$C$2262))</f>
        <v/>
      </c>
      <c r="C2260" s="54">
        <f>IF(_imp!$C$2262="","",INDEX(_imp!$F$4:$F$4503,_imp!$C$2262))</f>
        <v/>
      </c>
      <c r="D2260" s="54">
        <f>IF(_imp!$C$2262="","",INDEX(_imp!$G$4:$G$4503,_imp!$C$2262))</f>
        <v/>
      </c>
      <c r="E2260" s="54">
        <f>IF(_imp!$C$2262="","",INDEX(_imp!$H$4:$H$4503,_imp!$C$2262))</f>
        <v/>
      </c>
      <c r="F2260" s="54">
        <f>IF(_imp!$C$2262="","",INDEX(_imp!$I$4:$I$4503,_imp!$C$2262))</f>
        <v/>
      </c>
      <c r="G2260" s="54">
        <f>IF(_imp!$C$2262="","",INDEX(_imp!$J$4:$J$4503,_imp!$C$2262))</f>
        <v/>
      </c>
      <c r="K2260" s="54">
        <f>IF(_imp!$C$2262="","",INDEX(_imp!$K$4:$K$4503,_imp!$C$2262))</f>
        <v/>
      </c>
    </row>
    <row r="2261">
      <c r="A2261" s="54">
        <f>IF(_imp!$C$2263="","",INDEX(_imp!$D$4:$D$4503,_imp!$C$2263))</f>
        <v/>
      </c>
      <c r="B2261" s="54">
        <f>IF(_imp!$C$2263="","",INDEX(_imp!$E$4:$E$4503,_imp!$C$2263))</f>
        <v/>
      </c>
      <c r="C2261" s="54">
        <f>IF(_imp!$C$2263="","",INDEX(_imp!$F$4:$F$4503,_imp!$C$2263))</f>
        <v/>
      </c>
      <c r="D2261" s="54">
        <f>IF(_imp!$C$2263="","",INDEX(_imp!$G$4:$G$4503,_imp!$C$2263))</f>
        <v/>
      </c>
      <c r="E2261" s="54">
        <f>IF(_imp!$C$2263="","",INDEX(_imp!$H$4:$H$4503,_imp!$C$2263))</f>
        <v/>
      </c>
      <c r="F2261" s="54">
        <f>IF(_imp!$C$2263="","",INDEX(_imp!$I$4:$I$4503,_imp!$C$2263))</f>
        <v/>
      </c>
      <c r="G2261" s="54">
        <f>IF(_imp!$C$2263="","",INDEX(_imp!$J$4:$J$4503,_imp!$C$2263))</f>
        <v/>
      </c>
      <c r="K2261" s="54">
        <f>IF(_imp!$C$2263="","",INDEX(_imp!$K$4:$K$4503,_imp!$C$2263))</f>
        <v/>
      </c>
    </row>
    <row r="2262">
      <c r="A2262" s="54">
        <f>IF(_imp!$C$2264="","",INDEX(_imp!$D$4:$D$4503,_imp!$C$2264))</f>
        <v/>
      </c>
      <c r="B2262" s="54">
        <f>IF(_imp!$C$2264="","",INDEX(_imp!$E$4:$E$4503,_imp!$C$2264))</f>
        <v/>
      </c>
      <c r="C2262" s="54">
        <f>IF(_imp!$C$2264="","",INDEX(_imp!$F$4:$F$4503,_imp!$C$2264))</f>
        <v/>
      </c>
      <c r="D2262" s="54">
        <f>IF(_imp!$C$2264="","",INDEX(_imp!$G$4:$G$4503,_imp!$C$2264))</f>
        <v/>
      </c>
      <c r="E2262" s="54">
        <f>IF(_imp!$C$2264="","",INDEX(_imp!$H$4:$H$4503,_imp!$C$2264))</f>
        <v/>
      </c>
      <c r="F2262" s="54">
        <f>IF(_imp!$C$2264="","",INDEX(_imp!$I$4:$I$4503,_imp!$C$2264))</f>
        <v/>
      </c>
      <c r="G2262" s="54">
        <f>IF(_imp!$C$2264="","",INDEX(_imp!$J$4:$J$4503,_imp!$C$2264))</f>
        <v/>
      </c>
      <c r="K2262" s="54">
        <f>IF(_imp!$C$2264="","",INDEX(_imp!$K$4:$K$4503,_imp!$C$2264))</f>
        <v/>
      </c>
    </row>
    <row r="2263">
      <c r="A2263" s="54">
        <f>IF(_imp!$C$2265="","",INDEX(_imp!$D$4:$D$4503,_imp!$C$2265))</f>
        <v/>
      </c>
      <c r="B2263" s="54">
        <f>IF(_imp!$C$2265="","",INDEX(_imp!$E$4:$E$4503,_imp!$C$2265))</f>
        <v/>
      </c>
      <c r="C2263" s="54">
        <f>IF(_imp!$C$2265="","",INDEX(_imp!$F$4:$F$4503,_imp!$C$2265))</f>
        <v/>
      </c>
      <c r="D2263" s="54">
        <f>IF(_imp!$C$2265="","",INDEX(_imp!$G$4:$G$4503,_imp!$C$2265))</f>
        <v/>
      </c>
      <c r="E2263" s="54">
        <f>IF(_imp!$C$2265="","",INDEX(_imp!$H$4:$H$4503,_imp!$C$2265))</f>
        <v/>
      </c>
      <c r="F2263" s="54">
        <f>IF(_imp!$C$2265="","",INDEX(_imp!$I$4:$I$4503,_imp!$C$2265))</f>
        <v/>
      </c>
      <c r="G2263" s="54">
        <f>IF(_imp!$C$2265="","",INDEX(_imp!$J$4:$J$4503,_imp!$C$2265))</f>
        <v/>
      </c>
      <c r="K2263" s="54">
        <f>IF(_imp!$C$2265="","",INDEX(_imp!$K$4:$K$4503,_imp!$C$2265))</f>
        <v/>
      </c>
    </row>
    <row r="2264">
      <c r="A2264" s="54">
        <f>IF(_imp!$C$2266="","",INDEX(_imp!$D$4:$D$4503,_imp!$C$2266))</f>
        <v/>
      </c>
      <c r="B2264" s="54">
        <f>IF(_imp!$C$2266="","",INDEX(_imp!$E$4:$E$4503,_imp!$C$2266))</f>
        <v/>
      </c>
      <c r="C2264" s="54">
        <f>IF(_imp!$C$2266="","",INDEX(_imp!$F$4:$F$4503,_imp!$C$2266))</f>
        <v/>
      </c>
      <c r="D2264" s="54">
        <f>IF(_imp!$C$2266="","",INDEX(_imp!$G$4:$G$4503,_imp!$C$2266))</f>
        <v/>
      </c>
      <c r="E2264" s="54">
        <f>IF(_imp!$C$2266="","",INDEX(_imp!$H$4:$H$4503,_imp!$C$2266))</f>
        <v/>
      </c>
      <c r="F2264" s="54">
        <f>IF(_imp!$C$2266="","",INDEX(_imp!$I$4:$I$4503,_imp!$C$2266))</f>
        <v/>
      </c>
      <c r="G2264" s="54">
        <f>IF(_imp!$C$2266="","",INDEX(_imp!$J$4:$J$4503,_imp!$C$2266))</f>
        <v/>
      </c>
      <c r="K2264" s="54">
        <f>IF(_imp!$C$2266="","",INDEX(_imp!$K$4:$K$4503,_imp!$C$2266))</f>
        <v/>
      </c>
    </row>
    <row r="2265">
      <c r="A2265" s="54">
        <f>IF(_imp!$C$2267="","",INDEX(_imp!$D$4:$D$4503,_imp!$C$2267))</f>
        <v/>
      </c>
      <c r="B2265" s="54">
        <f>IF(_imp!$C$2267="","",INDEX(_imp!$E$4:$E$4503,_imp!$C$2267))</f>
        <v/>
      </c>
      <c r="C2265" s="54">
        <f>IF(_imp!$C$2267="","",INDEX(_imp!$F$4:$F$4503,_imp!$C$2267))</f>
        <v/>
      </c>
      <c r="D2265" s="54">
        <f>IF(_imp!$C$2267="","",INDEX(_imp!$G$4:$G$4503,_imp!$C$2267))</f>
        <v/>
      </c>
      <c r="E2265" s="54">
        <f>IF(_imp!$C$2267="","",INDEX(_imp!$H$4:$H$4503,_imp!$C$2267))</f>
        <v/>
      </c>
      <c r="F2265" s="54">
        <f>IF(_imp!$C$2267="","",INDEX(_imp!$I$4:$I$4503,_imp!$C$2267))</f>
        <v/>
      </c>
      <c r="G2265" s="54">
        <f>IF(_imp!$C$2267="","",INDEX(_imp!$J$4:$J$4503,_imp!$C$2267))</f>
        <v/>
      </c>
      <c r="K2265" s="54">
        <f>IF(_imp!$C$2267="","",INDEX(_imp!$K$4:$K$4503,_imp!$C$2267))</f>
        <v/>
      </c>
    </row>
    <row r="2266">
      <c r="A2266" s="54">
        <f>IF(_imp!$C$2268="","",INDEX(_imp!$D$4:$D$4503,_imp!$C$2268))</f>
        <v/>
      </c>
      <c r="B2266" s="54">
        <f>IF(_imp!$C$2268="","",INDEX(_imp!$E$4:$E$4503,_imp!$C$2268))</f>
        <v/>
      </c>
      <c r="C2266" s="54">
        <f>IF(_imp!$C$2268="","",INDEX(_imp!$F$4:$F$4503,_imp!$C$2268))</f>
        <v/>
      </c>
      <c r="D2266" s="54">
        <f>IF(_imp!$C$2268="","",INDEX(_imp!$G$4:$G$4503,_imp!$C$2268))</f>
        <v/>
      </c>
      <c r="E2266" s="54">
        <f>IF(_imp!$C$2268="","",INDEX(_imp!$H$4:$H$4503,_imp!$C$2268))</f>
        <v/>
      </c>
      <c r="F2266" s="54">
        <f>IF(_imp!$C$2268="","",INDEX(_imp!$I$4:$I$4503,_imp!$C$2268))</f>
        <v/>
      </c>
      <c r="G2266" s="54">
        <f>IF(_imp!$C$2268="","",INDEX(_imp!$J$4:$J$4503,_imp!$C$2268))</f>
        <v/>
      </c>
      <c r="K2266" s="54">
        <f>IF(_imp!$C$2268="","",INDEX(_imp!$K$4:$K$4503,_imp!$C$2268))</f>
        <v/>
      </c>
    </row>
    <row r="2267">
      <c r="A2267" s="54">
        <f>IF(_imp!$C$2269="","",INDEX(_imp!$D$4:$D$4503,_imp!$C$2269))</f>
        <v/>
      </c>
      <c r="B2267" s="54">
        <f>IF(_imp!$C$2269="","",INDEX(_imp!$E$4:$E$4503,_imp!$C$2269))</f>
        <v/>
      </c>
      <c r="C2267" s="54">
        <f>IF(_imp!$C$2269="","",INDEX(_imp!$F$4:$F$4503,_imp!$C$2269))</f>
        <v/>
      </c>
      <c r="D2267" s="54">
        <f>IF(_imp!$C$2269="","",INDEX(_imp!$G$4:$G$4503,_imp!$C$2269))</f>
        <v/>
      </c>
      <c r="E2267" s="54">
        <f>IF(_imp!$C$2269="","",INDEX(_imp!$H$4:$H$4503,_imp!$C$2269))</f>
        <v/>
      </c>
      <c r="F2267" s="54">
        <f>IF(_imp!$C$2269="","",INDEX(_imp!$I$4:$I$4503,_imp!$C$2269))</f>
        <v/>
      </c>
      <c r="G2267" s="54">
        <f>IF(_imp!$C$2269="","",INDEX(_imp!$J$4:$J$4503,_imp!$C$2269))</f>
        <v/>
      </c>
      <c r="K2267" s="54">
        <f>IF(_imp!$C$2269="","",INDEX(_imp!$K$4:$K$4503,_imp!$C$2269))</f>
        <v/>
      </c>
    </row>
    <row r="2268">
      <c r="A2268" s="54">
        <f>IF(_imp!$C$2270="","",INDEX(_imp!$D$4:$D$4503,_imp!$C$2270))</f>
        <v/>
      </c>
      <c r="B2268" s="54">
        <f>IF(_imp!$C$2270="","",INDEX(_imp!$E$4:$E$4503,_imp!$C$2270))</f>
        <v/>
      </c>
      <c r="C2268" s="54">
        <f>IF(_imp!$C$2270="","",INDEX(_imp!$F$4:$F$4503,_imp!$C$2270))</f>
        <v/>
      </c>
      <c r="D2268" s="54">
        <f>IF(_imp!$C$2270="","",INDEX(_imp!$G$4:$G$4503,_imp!$C$2270))</f>
        <v/>
      </c>
      <c r="E2268" s="54">
        <f>IF(_imp!$C$2270="","",INDEX(_imp!$H$4:$H$4503,_imp!$C$2270))</f>
        <v/>
      </c>
      <c r="F2268" s="54">
        <f>IF(_imp!$C$2270="","",INDEX(_imp!$I$4:$I$4503,_imp!$C$2270))</f>
        <v/>
      </c>
      <c r="G2268" s="54">
        <f>IF(_imp!$C$2270="","",INDEX(_imp!$J$4:$J$4503,_imp!$C$2270))</f>
        <v/>
      </c>
      <c r="K2268" s="54">
        <f>IF(_imp!$C$2270="","",INDEX(_imp!$K$4:$K$4503,_imp!$C$2270))</f>
        <v/>
      </c>
    </row>
    <row r="2269">
      <c r="A2269" s="54">
        <f>IF(_imp!$C$2271="","",INDEX(_imp!$D$4:$D$4503,_imp!$C$2271))</f>
        <v/>
      </c>
      <c r="B2269" s="54">
        <f>IF(_imp!$C$2271="","",INDEX(_imp!$E$4:$E$4503,_imp!$C$2271))</f>
        <v/>
      </c>
      <c r="C2269" s="54">
        <f>IF(_imp!$C$2271="","",INDEX(_imp!$F$4:$F$4503,_imp!$C$2271))</f>
        <v/>
      </c>
      <c r="D2269" s="54">
        <f>IF(_imp!$C$2271="","",INDEX(_imp!$G$4:$G$4503,_imp!$C$2271))</f>
        <v/>
      </c>
      <c r="E2269" s="54">
        <f>IF(_imp!$C$2271="","",INDEX(_imp!$H$4:$H$4503,_imp!$C$2271))</f>
        <v/>
      </c>
      <c r="F2269" s="54">
        <f>IF(_imp!$C$2271="","",INDEX(_imp!$I$4:$I$4503,_imp!$C$2271))</f>
        <v/>
      </c>
      <c r="G2269" s="54">
        <f>IF(_imp!$C$2271="","",INDEX(_imp!$J$4:$J$4503,_imp!$C$2271))</f>
        <v/>
      </c>
      <c r="K2269" s="54">
        <f>IF(_imp!$C$2271="","",INDEX(_imp!$K$4:$K$4503,_imp!$C$2271))</f>
        <v/>
      </c>
    </row>
    <row r="2270">
      <c r="A2270" s="54">
        <f>IF(_imp!$C$2272="","",INDEX(_imp!$D$4:$D$4503,_imp!$C$2272))</f>
        <v/>
      </c>
      <c r="B2270" s="54">
        <f>IF(_imp!$C$2272="","",INDEX(_imp!$E$4:$E$4503,_imp!$C$2272))</f>
        <v/>
      </c>
      <c r="C2270" s="54">
        <f>IF(_imp!$C$2272="","",INDEX(_imp!$F$4:$F$4503,_imp!$C$2272))</f>
        <v/>
      </c>
      <c r="D2270" s="54">
        <f>IF(_imp!$C$2272="","",INDEX(_imp!$G$4:$G$4503,_imp!$C$2272))</f>
        <v/>
      </c>
      <c r="E2270" s="54">
        <f>IF(_imp!$C$2272="","",INDEX(_imp!$H$4:$H$4503,_imp!$C$2272))</f>
        <v/>
      </c>
      <c r="F2270" s="54">
        <f>IF(_imp!$C$2272="","",INDEX(_imp!$I$4:$I$4503,_imp!$C$2272))</f>
        <v/>
      </c>
      <c r="G2270" s="54">
        <f>IF(_imp!$C$2272="","",INDEX(_imp!$J$4:$J$4503,_imp!$C$2272))</f>
        <v/>
      </c>
      <c r="K2270" s="54">
        <f>IF(_imp!$C$2272="","",INDEX(_imp!$K$4:$K$4503,_imp!$C$2272))</f>
        <v/>
      </c>
    </row>
    <row r="2271">
      <c r="A2271" s="54">
        <f>IF(_imp!$C$2273="","",INDEX(_imp!$D$4:$D$4503,_imp!$C$2273))</f>
        <v/>
      </c>
      <c r="B2271" s="54">
        <f>IF(_imp!$C$2273="","",INDEX(_imp!$E$4:$E$4503,_imp!$C$2273))</f>
        <v/>
      </c>
      <c r="C2271" s="54">
        <f>IF(_imp!$C$2273="","",INDEX(_imp!$F$4:$F$4503,_imp!$C$2273))</f>
        <v/>
      </c>
      <c r="D2271" s="54">
        <f>IF(_imp!$C$2273="","",INDEX(_imp!$G$4:$G$4503,_imp!$C$2273))</f>
        <v/>
      </c>
      <c r="E2271" s="54">
        <f>IF(_imp!$C$2273="","",INDEX(_imp!$H$4:$H$4503,_imp!$C$2273))</f>
        <v/>
      </c>
      <c r="F2271" s="54">
        <f>IF(_imp!$C$2273="","",INDEX(_imp!$I$4:$I$4503,_imp!$C$2273))</f>
        <v/>
      </c>
      <c r="G2271" s="54">
        <f>IF(_imp!$C$2273="","",INDEX(_imp!$J$4:$J$4503,_imp!$C$2273))</f>
        <v/>
      </c>
      <c r="K2271" s="54">
        <f>IF(_imp!$C$2273="","",INDEX(_imp!$K$4:$K$4503,_imp!$C$2273))</f>
        <v/>
      </c>
    </row>
    <row r="2272">
      <c r="A2272" s="54">
        <f>IF(_imp!$C$2274="","",INDEX(_imp!$D$4:$D$4503,_imp!$C$2274))</f>
        <v/>
      </c>
      <c r="B2272" s="54">
        <f>IF(_imp!$C$2274="","",INDEX(_imp!$E$4:$E$4503,_imp!$C$2274))</f>
        <v/>
      </c>
      <c r="C2272" s="54">
        <f>IF(_imp!$C$2274="","",INDEX(_imp!$F$4:$F$4503,_imp!$C$2274))</f>
        <v/>
      </c>
      <c r="D2272" s="54">
        <f>IF(_imp!$C$2274="","",INDEX(_imp!$G$4:$G$4503,_imp!$C$2274))</f>
        <v/>
      </c>
      <c r="E2272" s="54">
        <f>IF(_imp!$C$2274="","",INDEX(_imp!$H$4:$H$4503,_imp!$C$2274))</f>
        <v/>
      </c>
      <c r="F2272" s="54">
        <f>IF(_imp!$C$2274="","",INDEX(_imp!$I$4:$I$4503,_imp!$C$2274))</f>
        <v/>
      </c>
      <c r="G2272" s="54">
        <f>IF(_imp!$C$2274="","",INDEX(_imp!$J$4:$J$4503,_imp!$C$2274))</f>
        <v/>
      </c>
      <c r="K2272" s="54">
        <f>IF(_imp!$C$2274="","",INDEX(_imp!$K$4:$K$4503,_imp!$C$2274))</f>
        <v/>
      </c>
    </row>
    <row r="2273">
      <c r="A2273" s="54">
        <f>IF(_imp!$C$2275="","",INDEX(_imp!$D$4:$D$4503,_imp!$C$2275))</f>
        <v/>
      </c>
      <c r="B2273" s="54">
        <f>IF(_imp!$C$2275="","",INDEX(_imp!$E$4:$E$4503,_imp!$C$2275))</f>
        <v/>
      </c>
      <c r="C2273" s="54">
        <f>IF(_imp!$C$2275="","",INDEX(_imp!$F$4:$F$4503,_imp!$C$2275))</f>
        <v/>
      </c>
      <c r="D2273" s="54">
        <f>IF(_imp!$C$2275="","",INDEX(_imp!$G$4:$G$4503,_imp!$C$2275))</f>
        <v/>
      </c>
      <c r="E2273" s="54">
        <f>IF(_imp!$C$2275="","",INDEX(_imp!$H$4:$H$4503,_imp!$C$2275))</f>
        <v/>
      </c>
      <c r="F2273" s="54">
        <f>IF(_imp!$C$2275="","",INDEX(_imp!$I$4:$I$4503,_imp!$C$2275))</f>
        <v/>
      </c>
      <c r="G2273" s="54">
        <f>IF(_imp!$C$2275="","",INDEX(_imp!$J$4:$J$4503,_imp!$C$2275))</f>
        <v/>
      </c>
      <c r="K2273" s="54">
        <f>IF(_imp!$C$2275="","",INDEX(_imp!$K$4:$K$4503,_imp!$C$2275))</f>
        <v/>
      </c>
    </row>
    <row r="2274">
      <c r="A2274" s="54">
        <f>IF(_imp!$C$2276="","",INDEX(_imp!$D$4:$D$4503,_imp!$C$2276))</f>
        <v/>
      </c>
      <c r="B2274" s="54">
        <f>IF(_imp!$C$2276="","",INDEX(_imp!$E$4:$E$4503,_imp!$C$2276))</f>
        <v/>
      </c>
      <c r="C2274" s="54">
        <f>IF(_imp!$C$2276="","",INDEX(_imp!$F$4:$F$4503,_imp!$C$2276))</f>
        <v/>
      </c>
      <c r="D2274" s="54">
        <f>IF(_imp!$C$2276="","",INDEX(_imp!$G$4:$G$4503,_imp!$C$2276))</f>
        <v/>
      </c>
      <c r="E2274" s="54">
        <f>IF(_imp!$C$2276="","",INDEX(_imp!$H$4:$H$4503,_imp!$C$2276))</f>
        <v/>
      </c>
      <c r="F2274" s="54">
        <f>IF(_imp!$C$2276="","",INDEX(_imp!$I$4:$I$4503,_imp!$C$2276))</f>
        <v/>
      </c>
      <c r="G2274" s="54">
        <f>IF(_imp!$C$2276="","",INDEX(_imp!$J$4:$J$4503,_imp!$C$2276))</f>
        <v/>
      </c>
      <c r="K2274" s="54">
        <f>IF(_imp!$C$2276="","",INDEX(_imp!$K$4:$K$4503,_imp!$C$2276))</f>
        <v/>
      </c>
    </row>
    <row r="2275">
      <c r="A2275" s="54">
        <f>IF(_imp!$C$2277="","",INDEX(_imp!$D$4:$D$4503,_imp!$C$2277))</f>
        <v/>
      </c>
      <c r="B2275" s="54">
        <f>IF(_imp!$C$2277="","",INDEX(_imp!$E$4:$E$4503,_imp!$C$2277))</f>
        <v/>
      </c>
      <c r="C2275" s="54">
        <f>IF(_imp!$C$2277="","",INDEX(_imp!$F$4:$F$4503,_imp!$C$2277))</f>
        <v/>
      </c>
      <c r="D2275" s="54">
        <f>IF(_imp!$C$2277="","",INDEX(_imp!$G$4:$G$4503,_imp!$C$2277))</f>
        <v/>
      </c>
      <c r="E2275" s="54">
        <f>IF(_imp!$C$2277="","",INDEX(_imp!$H$4:$H$4503,_imp!$C$2277))</f>
        <v/>
      </c>
      <c r="F2275" s="54">
        <f>IF(_imp!$C$2277="","",INDEX(_imp!$I$4:$I$4503,_imp!$C$2277))</f>
        <v/>
      </c>
      <c r="G2275" s="54">
        <f>IF(_imp!$C$2277="","",INDEX(_imp!$J$4:$J$4503,_imp!$C$2277))</f>
        <v/>
      </c>
      <c r="K2275" s="54">
        <f>IF(_imp!$C$2277="","",INDEX(_imp!$K$4:$K$4503,_imp!$C$2277))</f>
        <v/>
      </c>
    </row>
    <row r="2276">
      <c r="A2276" s="54">
        <f>IF(_imp!$C$2278="","",INDEX(_imp!$D$4:$D$4503,_imp!$C$2278))</f>
        <v/>
      </c>
      <c r="B2276" s="54">
        <f>IF(_imp!$C$2278="","",INDEX(_imp!$E$4:$E$4503,_imp!$C$2278))</f>
        <v/>
      </c>
      <c r="C2276" s="54">
        <f>IF(_imp!$C$2278="","",INDEX(_imp!$F$4:$F$4503,_imp!$C$2278))</f>
        <v/>
      </c>
      <c r="D2276" s="54">
        <f>IF(_imp!$C$2278="","",INDEX(_imp!$G$4:$G$4503,_imp!$C$2278))</f>
        <v/>
      </c>
      <c r="E2276" s="54">
        <f>IF(_imp!$C$2278="","",INDEX(_imp!$H$4:$H$4503,_imp!$C$2278))</f>
        <v/>
      </c>
      <c r="F2276" s="54">
        <f>IF(_imp!$C$2278="","",INDEX(_imp!$I$4:$I$4503,_imp!$C$2278))</f>
        <v/>
      </c>
      <c r="G2276" s="54">
        <f>IF(_imp!$C$2278="","",INDEX(_imp!$J$4:$J$4503,_imp!$C$2278))</f>
        <v/>
      </c>
      <c r="K2276" s="54">
        <f>IF(_imp!$C$2278="","",INDEX(_imp!$K$4:$K$4503,_imp!$C$2278))</f>
        <v/>
      </c>
    </row>
    <row r="2277">
      <c r="A2277" s="54">
        <f>IF(_imp!$C$2279="","",INDEX(_imp!$D$4:$D$4503,_imp!$C$2279))</f>
        <v/>
      </c>
      <c r="B2277" s="54">
        <f>IF(_imp!$C$2279="","",INDEX(_imp!$E$4:$E$4503,_imp!$C$2279))</f>
        <v/>
      </c>
      <c r="C2277" s="54">
        <f>IF(_imp!$C$2279="","",INDEX(_imp!$F$4:$F$4503,_imp!$C$2279))</f>
        <v/>
      </c>
      <c r="D2277" s="54">
        <f>IF(_imp!$C$2279="","",INDEX(_imp!$G$4:$G$4503,_imp!$C$2279))</f>
        <v/>
      </c>
      <c r="E2277" s="54">
        <f>IF(_imp!$C$2279="","",INDEX(_imp!$H$4:$H$4503,_imp!$C$2279))</f>
        <v/>
      </c>
      <c r="F2277" s="54">
        <f>IF(_imp!$C$2279="","",INDEX(_imp!$I$4:$I$4503,_imp!$C$2279))</f>
        <v/>
      </c>
      <c r="G2277" s="54">
        <f>IF(_imp!$C$2279="","",INDEX(_imp!$J$4:$J$4503,_imp!$C$2279))</f>
        <v/>
      </c>
      <c r="K2277" s="54">
        <f>IF(_imp!$C$2279="","",INDEX(_imp!$K$4:$K$4503,_imp!$C$2279))</f>
        <v/>
      </c>
    </row>
    <row r="2278">
      <c r="A2278" s="54">
        <f>IF(_imp!$C$2280="","",INDEX(_imp!$D$4:$D$4503,_imp!$C$2280))</f>
        <v/>
      </c>
      <c r="B2278" s="54">
        <f>IF(_imp!$C$2280="","",INDEX(_imp!$E$4:$E$4503,_imp!$C$2280))</f>
        <v/>
      </c>
      <c r="C2278" s="54">
        <f>IF(_imp!$C$2280="","",INDEX(_imp!$F$4:$F$4503,_imp!$C$2280))</f>
        <v/>
      </c>
      <c r="D2278" s="54">
        <f>IF(_imp!$C$2280="","",INDEX(_imp!$G$4:$G$4503,_imp!$C$2280))</f>
        <v/>
      </c>
      <c r="E2278" s="54">
        <f>IF(_imp!$C$2280="","",INDEX(_imp!$H$4:$H$4503,_imp!$C$2280))</f>
        <v/>
      </c>
      <c r="F2278" s="54">
        <f>IF(_imp!$C$2280="","",INDEX(_imp!$I$4:$I$4503,_imp!$C$2280))</f>
        <v/>
      </c>
      <c r="G2278" s="54">
        <f>IF(_imp!$C$2280="","",INDEX(_imp!$J$4:$J$4503,_imp!$C$2280))</f>
        <v/>
      </c>
      <c r="K2278" s="54">
        <f>IF(_imp!$C$2280="","",INDEX(_imp!$K$4:$K$4503,_imp!$C$2280))</f>
        <v/>
      </c>
    </row>
    <row r="2279">
      <c r="A2279" s="54">
        <f>IF(_imp!$C$2281="","",INDEX(_imp!$D$4:$D$4503,_imp!$C$2281))</f>
        <v/>
      </c>
      <c r="B2279" s="54">
        <f>IF(_imp!$C$2281="","",INDEX(_imp!$E$4:$E$4503,_imp!$C$2281))</f>
        <v/>
      </c>
      <c r="C2279" s="54">
        <f>IF(_imp!$C$2281="","",INDEX(_imp!$F$4:$F$4503,_imp!$C$2281))</f>
        <v/>
      </c>
      <c r="D2279" s="54">
        <f>IF(_imp!$C$2281="","",INDEX(_imp!$G$4:$G$4503,_imp!$C$2281))</f>
        <v/>
      </c>
      <c r="E2279" s="54">
        <f>IF(_imp!$C$2281="","",INDEX(_imp!$H$4:$H$4503,_imp!$C$2281))</f>
        <v/>
      </c>
      <c r="F2279" s="54">
        <f>IF(_imp!$C$2281="","",INDEX(_imp!$I$4:$I$4503,_imp!$C$2281))</f>
        <v/>
      </c>
      <c r="G2279" s="54">
        <f>IF(_imp!$C$2281="","",INDEX(_imp!$J$4:$J$4503,_imp!$C$2281))</f>
        <v/>
      </c>
      <c r="K2279" s="54">
        <f>IF(_imp!$C$2281="","",INDEX(_imp!$K$4:$K$4503,_imp!$C$2281))</f>
        <v/>
      </c>
    </row>
    <row r="2280">
      <c r="A2280" s="54">
        <f>IF(_imp!$C$2282="","",INDEX(_imp!$D$4:$D$4503,_imp!$C$2282))</f>
        <v/>
      </c>
      <c r="B2280" s="54">
        <f>IF(_imp!$C$2282="","",INDEX(_imp!$E$4:$E$4503,_imp!$C$2282))</f>
        <v/>
      </c>
      <c r="C2280" s="54">
        <f>IF(_imp!$C$2282="","",INDEX(_imp!$F$4:$F$4503,_imp!$C$2282))</f>
        <v/>
      </c>
      <c r="D2280" s="54">
        <f>IF(_imp!$C$2282="","",INDEX(_imp!$G$4:$G$4503,_imp!$C$2282))</f>
        <v/>
      </c>
      <c r="E2280" s="54">
        <f>IF(_imp!$C$2282="","",INDEX(_imp!$H$4:$H$4503,_imp!$C$2282))</f>
        <v/>
      </c>
      <c r="F2280" s="54">
        <f>IF(_imp!$C$2282="","",INDEX(_imp!$I$4:$I$4503,_imp!$C$2282))</f>
        <v/>
      </c>
      <c r="G2280" s="54">
        <f>IF(_imp!$C$2282="","",INDEX(_imp!$J$4:$J$4503,_imp!$C$2282))</f>
        <v/>
      </c>
      <c r="K2280" s="54">
        <f>IF(_imp!$C$2282="","",INDEX(_imp!$K$4:$K$4503,_imp!$C$2282))</f>
        <v/>
      </c>
    </row>
    <row r="2281">
      <c r="A2281" s="54">
        <f>IF(_imp!$C$2283="","",INDEX(_imp!$D$4:$D$4503,_imp!$C$2283))</f>
        <v/>
      </c>
      <c r="B2281" s="54">
        <f>IF(_imp!$C$2283="","",INDEX(_imp!$E$4:$E$4503,_imp!$C$2283))</f>
        <v/>
      </c>
      <c r="C2281" s="54">
        <f>IF(_imp!$C$2283="","",INDEX(_imp!$F$4:$F$4503,_imp!$C$2283))</f>
        <v/>
      </c>
      <c r="D2281" s="54">
        <f>IF(_imp!$C$2283="","",INDEX(_imp!$G$4:$G$4503,_imp!$C$2283))</f>
        <v/>
      </c>
      <c r="E2281" s="54">
        <f>IF(_imp!$C$2283="","",INDEX(_imp!$H$4:$H$4503,_imp!$C$2283))</f>
        <v/>
      </c>
      <c r="F2281" s="54">
        <f>IF(_imp!$C$2283="","",INDEX(_imp!$I$4:$I$4503,_imp!$C$2283))</f>
        <v/>
      </c>
      <c r="G2281" s="54">
        <f>IF(_imp!$C$2283="","",INDEX(_imp!$J$4:$J$4503,_imp!$C$2283))</f>
        <v/>
      </c>
      <c r="K2281" s="54">
        <f>IF(_imp!$C$2283="","",INDEX(_imp!$K$4:$K$4503,_imp!$C$2283))</f>
        <v/>
      </c>
    </row>
    <row r="2282">
      <c r="A2282" s="54">
        <f>IF(_imp!$C$2284="","",INDEX(_imp!$D$4:$D$4503,_imp!$C$2284))</f>
        <v/>
      </c>
      <c r="B2282" s="54">
        <f>IF(_imp!$C$2284="","",INDEX(_imp!$E$4:$E$4503,_imp!$C$2284))</f>
        <v/>
      </c>
      <c r="C2282" s="54">
        <f>IF(_imp!$C$2284="","",INDEX(_imp!$F$4:$F$4503,_imp!$C$2284))</f>
        <v/>
      </c>
      <c r="D2282" s="54">
        <f>IF(_imp!$C$2284="","",INDEX(_imp!$G$4:$G$4503,_imp!$C$2284))</f>
        <v/>
      </c>
      <c r="E2282" s="54">
        <f>IF(_imp!$C$2284="","",INDEX(_imp!$H$4:$H$4503,_imp!$C$2284))</f>
        <v/>
      </c>
      <c r="F2282" s="54">
        <f>IF(_imp!$C$2284="","",INDEX(_imp!$I$4:$I$4503,_imp!$C$2284))</f>
        <v/>
      </c>
      <c r="G2282" s="54">
        <f>IF(_imp!$C$2284="","",INDEX(_imp!$J$4:$J$4503,_imp!$C$2284))</f>
        <v/>
      </c>
      <c r="K2282" s="54">
        <f>IF(_imp!$C$2284="","",INDEX(_imp!$K$4:$K$4503,_imp!$C$2284))</f>
        <v/>
      </c>
    </row>
    <row r="2283">
      <c r="A2283" s="54">
        <f>IF(_imp!$C$2285="","",INDEX(_imp!$D$4:$D$4503,_imp!$C$2285))</f>
        <v/>
      </c>
      <c r="B2283" s="54">
        <f>IF(_imp!$C$2285="","",INDEX(_imp!$E$4:$E$4503,_imp!$C$2285))</f>
        <v/>
      </c>
      <c r="C2283" s="54">
        <f>IF(_imp!$C$2285="","",INDEX(_imp!$F$4:$F$4503,_imp!$C$2285))</f>
        <v/>
      </c>
      <c r="D2283" s="54">
        <f>IF(_imp!$C$2285="","",INDEX(_imp!$G$4:$G$4503,_imp!$C$2285))</f>
        <v/>
      </c>
      <c r="E2283" s="54">
        <f>IF(_imp!$C$2285="","",INDEX(_imp!$H$4:$H$4503,_imp!$C$2285))</f>
        <v/>
      </c>
      <c r="F2283" s="54">
        <f>IF(_imp!$C$2285="","",INDEX(_imp!$I$4:$I$4503,_imp!$C$2285))</f>
        <v/>
      </c>
      <c r="G2283" s="54">
        <f>IF(_imp!$C$2285="","",INDEX(_imp!$J$4:$J$4503,_imp!$C$2285))</f>
        <v/>
      </c>
      <c r="K2283" s="54">
        <f>IF(_imp!$C$2285="","",INDEX(_imp!$K$4:$K$4503,_imp!$C$2285))</f>
        <v/>
      </c>
    </row>
    <row r="2284">
      <c r="A2284" s="54">
        <f>IF(_imp!$C$2286="","",INDEX(_imp!$D$4:$D$4503,_imp!$C$2286))</f>
        <v/>
      </c>
      <c r="B2284" s="54">
        <f>IF(_imp!$C$2286="","",INDEX(_imp!$E$4:$E$4503,_imp!$C$2286))</f>
        <v/>
      </c>
      <c r="C2284" s="54">
        <f>IF(_imp!$C$2286="","",INDEX(_imp!$F$4:$F$4503,_imp!$C$2286))</f>
        <v/>
      </c>
      <c r="D2284" s="54">
        <f>IF(_imp!$C$2286="","",INDEX(_imp!$G$4:$G$4503,_imp!$C$2286))</f>
        <v/>
      </c>
      <c r="E2284" s="54">
        <f>IF(_imp!$C$2286="","",INDEX(_imp!$H$4:$H$4503,_imp!$C$2286))</f>
        <v/>
      </c>
      <c r="F2284" s="54">
        <f>IF(_imp!$C$2286="","",INDEX(_imp!$I$4:$I$4503,_imp!$C$2286))</f>
        <v/>
      </c>
      <c r="G2284" s="54">
        <f>IF(_imp!$C$2286="","",INDEX(_imp!$J$4:$J$4503,_imp!$C$2286))</f>
        <v/>
      </c>
      <c r="K2284" s="54">
        <f>IF(_imp!$C$2286="","",INDEX(_imp!$K$4:$K$4503,_imp!$C$2286))</f>
        <v/>
      </c>
    </row>
    <row r="2285">
      <c r="A2285" s="54">
        <f>IF(_imp!$C$2287="","",INDEX(_imp!$D$4:$D$4503,_imp!$C$2287))</f>
        <v/>
      </c>
      <c r="B2285" s="54">
        <f>IF(_imp!$C$2287="","",INDEX(_imp!$E$4:$E$4503,_imp!$C$2287))</f>
        <v/>
      </c>
      <c r="C2285" s="54">
        <f>IF(_imp!$C$2287="","",INDEX(_imp!$F$4:$F$4503,_imp!$C$2287))</f>
        <v/>
      </c>
      <c r="D2285" s="54">
        <f>IF(_imp!$C$2287="","",INDEX(_imp!$G$4:$G$4503,_imp!$C$2287))</f>
        <v/>
      </c>
      <c r="E2285" s="54">
        <f>IF(_imp!$C$2287="","",INDEX(_imp!$H$4:$H$4503,_imp!$C$2287))</f>
        <v/>
      </c>
      <c r="F2285" s="54">
        <f>IF(_imp!$C$2287="","",INDEX(_imp!$I$4:$I$4503,_imp!$C$2287))</f>
        <v/>
      </c>
      <c r="G2285" s="54">
        <f>IF(_imp!$C$2287="","",INDEX(_imp!$J$4:$J$4503,_imp!$C$2287))</f>
        <v/>
      </c>
      <c r="K2285" s="54">
        <f>IF(_imp!$C$2287="","",INDEX(_imp!$K$4:$K$4503,_imp!$C$2287))</f>
        <v/>
      </c>
    </row>
    <row r="2286">
      <c r="A2286" s="54">
        <f>IF(_imp!$C$2288="","",INDEX(_imp!$D$4:$D$4503,_imp!$C$2288))</f>
        <v/>
      </c>
      <c r="B2286" s="54">
        <f>IF(_imp!$C$2288="","",INDEX(_imp!$E$4:$E$4503,_imp!$C$2288))</f>
        <v/>
      </c>
      <c r="C2286" s="54">
        <f>IF(_imp!$C$2288="","",INDEX(_imp!$F$4:$F$4503,_imp!$C$2288))</f>
        <v/>
      </c>
      <c r="D2286" s="54">
        <f>IF(_imp!$C$2288="","",INDEX(_imp!$G$4:$G$4503,_imp!$C$2288))</f>
        <v/>
      </c>
      <c r="E2286" s="54">
        <f>IF(_imp!$C$2288="","",INDEX(_imp!$H$4:$H$4503,_imp!$C$2288))</f>
        <v/>
      </c>
      <c r="F2286" s="54">
        <f>IF(_imp!$C$2288="","",INDEX(_imp!$I$4:$I$4503,_imp!$C$2288))</f>
        <v/>
      </c>
      <c r="G2286" s="54">
        <f>IF(_imp!$C$2288="","",INDEX(_imp!$J$4:$J$4503,_imp!$C$2288))</f>
        <v/>
      </c>
      <c r="K2286" s="54">
        <f>IF(_imp!$C$2288="","",INDEX(_imp!$K$4:$K$4503,_imp!$C$2288))</f>
        <v/>
      </c>
    </row>
    <row r="2287">
      <c r="A2287" s="54">
        <f>IF(_imp!$C$2289="","",INDEX(_imp!$D$4:$D$4503,_imp!$C$2289))</f>
        <v/>
      </c>
      <c r="B2287" s="54">
        <f>IF(_imp!$C$2289="","",INDEX(_imp!$E$4:$E$4503,_imp!$C$2289))</f>
        <v/>
      </c>
      <c r="C2287" s="54">
        <f>IF(_imp!$C$2289="","",INDEX(_imp!$F$4:$F$4503,_imp!$C$2289))</f>
        <v/>
      </c>
      <c r="D2287" s="54">
        <f>IF(_imp!$C$2289="","",INDEX(_imp!$G$4:$G$4503,_imp!$C$2289))</f>
        <v/>
      </c>
      <c r="E2287" s="54">
        <f>IF(_imp!$C$2289="","",INDEX(_imp!$H$4:$H$4503,_imp!$C$2289))</f>
        <v/>
      </c>
      <c r="F2287" s="54">
        <f>IF(_imp!$C$2289="","",INDEX(_imp!$I$4:$I$4503,_imp!$C$2289))</f>
        <v/>
      </c>
      <c r="G2287" s="54">
        <f>IF(_imp!$C$2289="","",INDEX(_imp!$J$4:$J$4503,_imp!$C$2289))</f>
        <v/>
      </c>
      <c r="K2287" s="54">
        <f>IF(_imp!$C$2289="","",INDEX(_imp!$K$4:$K$4503,_imp!$C$2289))</f>
        <v/>
      </c>
    </row>
    <row r="2288">
      <c r="A2288" s="54">
        <f>IF(_imp!$C$2290="","",INDEX(_imp!$D$4:$D$4503,_imp!$C$2290))</f>
        <v/>
      </c>
      <c r="B2288" s="54">
        <f>IF(_imp!$C$2290="","",INDEX(_imp!$E$4:$E$4503,_imp!$C$2290))</f>
        <v/>
      </c>
      <c r="C2288" s="54">
        <f>IF(_imp!$C$2290="","",INDEX(_imp!$F$4:$F$4503,_imp!$C$2290))</f>
        <v/>
      </c>
      <c r="D2288" s="54">
        <f>IF(_imp!$C$2290="","",INDEX(_imp!$G$4:$G$4503,_imp!$C$2290))</f>
        <v/>
      </c>
      <c r="E2288" s="54">
        <f>IF(_imp!$C$2290="","",INDEX(_imp!$H$4:$H$4503,_imp!$C$2290))</f>
        <v/>
      </c>
      <c r="F2288" s="54">
        <f>IF(_imp!$C$2290="","",INDEX(_imp!$I$4:$I$4503,_imp!$C$2290))</f>
        <v/>
      </c>
      <c r="G2288" s="54">
        <f>IF(_imp!$C$2290="","",INDEX(_imp!$J$4:$J$4503,_imp!$C$2290))</f>
        <v/>
      </c>
      <c r="K2288" s="54">
        <f>IF(_imp!$C$2290="","",INDEX(_imp!$K$4:$K$4503,_imp!$C$2290))</f>
        <v/>
      </c>
    </row>
    <row r="2289">
      <c r="A2289" s="54">
        <f>IF(_imp!$C$2291="","",INDEX(_imp!$D$4:$D$4503,_imp!$C$2291))</f>
        <v/>
      </c>
      <c r="B2289" s="54">
        <f>IF(_imp!$C$2291="","",INDEX(_imp!$E$4:$E$4503,_imp!$C$2291))</f>
        <v/>
      </c>
      <c r="C2289" s="54">
        <f>IF(_imp!$C$2291="","",INDEX(_imp!$F$4:$F$4503,_imp!$C$2291))</f>
        <v/>
      </c>
      <c r="D2289" s="54">
        <f>IF(_imp!$C$2291="","",INDEX(_imp!$G$4:$G$4503,_imp!$C$2291))</f>
        <v/>
      </c>
      <c r="E2289" s="54">
        <f>IF(_imp!$C$2291="","",INDEX(_imp!$H$4:$H$4503,_imp!$C$2291))</f>
        <v/>
      </c>
      <c r="F2289" s="54">
        <f>IF(_imp!$C$2291="","",INDEX(_imp!$I$4:$I$4503,_imp!$C$2291))</f>
        <v/>
      </c>
      <c r="G2289" s="54">
        <f>IF(_imp!$C$2291="","",INDEX(_imp!$J$4:$J$4503,_imp!$C$2291))</f>
        <v/>
      </c>
      <c r="K2289" s="54">
        <f>IF(_imp!$C$2291="","",INDEX(_imp!$K$4:$K$4503,_imp!$C$2291))</f>
        <v/>
      </c>
    </row>
    <row r="2290">
      <c r="A2290" s="54">
        <f>IF(_imp!$C$2292="","",INDEX(_imp!$D$4:$D$4503,_imp!$C$2292))</f>
        <v/>
      </c>
      <c r="B2290" s="54">
        <f>IF(_imp!$C$2292="","",INDEX(_imp!$E$4:$E$4503,_imp!$C$2292))</f>
        <v/>
      </c>
      <c r="C2290" s="54">
        <f>IF(_imp!$C$2292="","",INDEX(_imp!$F$4:$F$4503,_imp!$C$2292))</f>
        <v/>
      </c>
      <c r="D2290" s="54">
        <f>IF(_imp!$C$2292="","",INDEX(_imp!$G$4:$G$4503,_imp!$C$2292))</f>
        <v/>
      </c>
      <c r="E2290" s="54">
        <f>IF(_imp!$C$2292="","",INDEX(_imp!$H$4:$H$4503,_imp!$C$2292))</f>
        <v/>
      </c>
      <c r="F2290" s="54">
        <f>IF(_imp!$C$2292="","",INDEX(_imp!$I$4:$I$4503,_imp!$C$2292))</f>
        <v/>
      </c>
      <c r="G2290" s="54">
        <f>IF(_imp!$C$2292="","",INDEX(_imp!$J$4:$J$4503,_imp!$C$2292))</f>
        <v/>
      </c>
      <c r="K2290" s="54">
        <f>IF(_imp!$C$2292="","",INDEX(_imp!$K$4:$K$4503,_imp!$C$2292))</f>
        <v/>
      </c>
    </row>
    <row r="2291">
      <c r="A2291" s="54">
        <f>IF(_imp!$C$2293="","",INDEX(_imp!$D$4:$D$4503,_imp!$C$2293))</f>
        <v/>
      </c>
      <c r="B2291" s="54">
        <f>IF(_imp!$C$2293="","",INDEX(_imp!$E$4:$E$4503,_imp!$C$2293))</f>
        <v/>
      </c>
      <c r="C2291" s="54">
        <f>IF(_imp!$C$2293="","",INDEX(_imp!$F$4:$F$4503,_imp!$C$2293))</f>
        <v/>
      </c>
      <c r="D2291" s="54">
        <f>IF(_imp!$C$2293="","",INDEX(_imp!$G$4:$G$4503,_imp!$C$2293))</f>
        <v/>
      </c>
      <c r="E2291" s="54">
        <f>IF(_imp!$C$2293="","",INDEX(_imp!$H$4:$H$4503,_imp!$C$2293))</f>
        <v/>
      </c>
      <c r="F2291" s="54">
        <f>IF(_imp!$C$2293="","",INDEX(_imp!$I$4:$I$4503,_imp!$C$2293))</f>
        <v/>
      </c>
      <c r="G2291" s="54">
        <f>IF(_imp!$C$2293="","",INDEX(_imp!$J$4:$J$4503,_imp!$C$2293))</f>
        <v/>
      </c>
      <c r="K2291" s="54">
        <f>IF(_imp!$C$2293="","",INDEX(_imp!$K$4:$K$4503,_imp!$C$2293))</f>
        <v/>
      </c>
    </row>
    <row r="2292">
      <c r="A2292" s="54">
        <f>IF(_imp!$C$2294="","",INDEX(_imp!$D$4:$D$4503,_imp!$C$2294))</f>
        <v/>
      </c>
      <c r="B2292" s="54">
        <f>IF(_imp!$C$2294="","",INDEX(_imp!$E$4:$E$4503,_imp!$C$2294))</f>
        <v/>
      </c>
      <c r="C2292" s="54">
        <f>IF(_imp!$C$2294="","",INDEX(_imp!$F$4:$F$4503,_imp!$C$2294))</f>
        <v/>
      </c>
      <c r="D2292" s="54">
        <f>IF(_imp!$C$2294="","",INDEX(_imp!$G$4:$G$4503,_imp!$C$2294))</f>
        <v/>
      </c>
      <c r="E2292" s="54">
        <f>IF(_imp!$C$2294="","",INDEX(_imp!$H$4:$H$4503,_imp!$C$2294))</f>
        <v/>
      </c>
      <c r="F2292" s="54">
        <f>IF(_imp!$C$2294="","",INDEX(_imp!$I$4:$I$4503,_imp!$C$2294))</f>
        <v/>
      </c>
      <c r="G2292" s="54">
        <f>IF(_imp!$C$2294="","",INDEX(_imp!$J$4:$J$4503,_imp!$C$2294))</f>
        <v/>
      </c>
      <c r="K2292" s="54">
        <f>IF(_imp!$C$2294="","",INDEX(_imp!$K$4:$K$4503,_imp!$C$2294))</f>
        <v/>
      </c>
    </row>
    <row r="2293">
      <c r="A2293" s="54">
        <f>IF(_imp!$C$2295="","",INDEX(_imp!$D$4:$D$4503,_imp!$C$2295))</f>
        <v/>
      </c>
      <c r="B2293" s="54">
        <f>IF(_imp!$C$2295="","",INDEX(_imp!$E$4:$E$4503,_imp!$C$2295))</f>
        <v/>
      </c>
      <c r="C2293" s="54">
        <f>IF(_imp!$C$2295="","",INDEX(_imp!$F$4:$F$4503,_imp!$C$2295))</f>
        <v/>
      </c>
      <c r="D2293" s="54">
        <f>IF(_imp!$C$2295="","",INDEX(_imp!$G$4:$G$4503,_imp!$C$2295))</f>
        <v/>
      </c>
      <c r="E2293" s="54">
        <f>IF(_imp!$C$2295="","",INDEX(_imp!$H$4:$H$4503,_imp!$C$2295))</f>
        <v/>
      </c>
      <c r="F2293" s="54">
        <f>IF(_imp!$C$2295="","",INDEX(_imp!$I$4:$I$4503,_imp!$C$2295))</f>
        <v/>
      </c>
      <c r="G2293" s="54">
        <f>IF(_imp!$C$2295="","",INDEX(_imp!$J$4:$J$4503,_imp!$C$2295))</f>
        <v/>
      </c>
      <c r="K2293" s="54">
        <f>IF(_imp!$C$2295="","",INDEX(_imp!$K$4:$K$4503,_imp!$C$2295))</f>
        <v/>
      </c>
    </row>
    <row r="2294">
      <c r="A2294" s="54">
        <f>IF(_imp!$C$2296="","",INDEX(_imp!$D$4:$D$4503,_imp!$C$2296))</f>
        <v/>
      </c>
      <c r="B2294" s="54">
        <f>IF(_imp!$C$2296="","",INDEX(_imp!$E$4:$E$4503,_imp!$C$2296))</f>
        <v/>
      </c>
      <c r="C2294" s="54">
        <f>IF(_imp!$C$2296="","",INDEX(_imp!$F$4:$F$4503,_imp!$C$2296))</f>
        <v/>
      </c>
      <c r="D2294" s="54">
        <f>IF(_imp!$C$2296="","",INDEX(_imp!$G$4:$G$4503,_imp!$C$2296))</f>
        <v/>
      </c>
      <c r="E2294" s="54">
        <f>IF(_imp!$C$2296="","",INDEX(_imp!$H$4:$H$4503,_imp!$C$2296))</f>
        <v/>
      </c>
      <c r="F2294" s="54">
        <f>IF(_imp!$C$2296="","",INDEX(_imp!$I$4:$I$4503,_imp!$C$2296))</f>
        <v/>
      </c>
      <c r="G2294" s="54">
        <f>IF(_imp!$C$2296="","",INDEX(_imp!$J$4:$J$4503,_imp!$C$2296))</f>
        <v/>
      </c>
      <c r="K2294" s="54">
        <f>IF(_imp!$C$2296="","",INDEX(_imp!$K$4:$K$4503,_imp!$C$2296))</f>
        <v/>
      </c>
    </row>
    <row r="2295">
      <c r="A2295" s="54">
        <f>IF(_imp!$C$2297="","",INDEX(_imp!$D$4:$D$4503,_imp!$C$2297))</f>
        <v/>
      </c>
      <c r="B2295" s="54">
        <f>IF(_imp!$C$2297="","",INDEX(_imp!$E$4:$E$4503,_imp!$C$2297))</f>
        <v/>
      </c>
      <c r="C2295" s="54">
        <f>IF(_imp!$C$2297="","",INDEX(_imp!$F$4:$F$4503,_imp!$C$2297))</f>
        <v/>
      </c>
      <c r="D2295" s="54">
        <f>IF(_imp!$C$2297="","",INDEX(_imp!$G$4:$G$4503,_imp!$C$2297))</f>
        <v/>
      </c>
      <c r="E2295" s="54">
        <f>IF(_imp!$C$2297="","",INDEX(_imp!$H$4:$H$4503,_imp!$C$2297))</f>
        <v/>
      </c>
      <c r="F2295" s="54">
        <f>IF(_imp!$C$2297="","",INDEX(_imp!$I$4:$I$4503,_imp!$C$2297))</f>
        <v/>
      </c>
      <c r="G2295" s="54">
        <f>IF(_imp!$C$2297="","",INDEX(_imp!$J$4:$J$4503,_imp!$C$2297))</f>
        <v/>
      </c>
      <c r="K2295" s="54">
        <f>IF(_imp!$C$2297="","",INDEX(_imp!$K$4:$K$4503,_imp!$C$2297))</f>
        <v/>
      </c>
    </row>
    <row r="2296">
      <c r="A2296" s="54">
        <f>IF(_imp!$C$2298="","",INDEX(_imp!$D$4:$D$4503,_imp!$C$2298))</f>
        <v/>
      </c>
      <c r="B2296" s="54">
        <f>IF(_imp!$C$2298="","",INDEX(_imp!$E$4:$E$4503,_imp!$C$2298))</f>
        <v/>
      </c>
      <c r="C2296" s="54">
        <f>IF(_imp!$C$2298="","",INDEX(_imp!$F$4:$F$4503,_imp!$C$2298))</f>
        <v/>
      </c>
      <c r="D2296" s="54">
        <f>IF(_imp!$C$2298="","",INDEX(_imp!$G$4:$G$4503,_imp!$C$2298))</f>
        <v/>
      </c>
      <c r="E2296" s="54">
        <f>IF(_imp!$C$2298="","",INDEX(_imp!$H$4:$H$4503,_imp!$C$2298))</f>
        <v/>
      </c>
      <c r="F2296" s="54">
        <f>IF(_imp!$C$2298="","",INDEX(_imp!$I$4:$I$4503,_imp!$C$2298))</f>
        <v/>
      </c>
      <c r="G2296" s="54">
        <f>IF(_imp!$C$2298="","",INDEX(_imp!$J$4:$J$4503,_imp!$C$2298))</f>
        <v/>
      </c>
      <c r="K2296" s="54">
        <f>IF(_imp!$C$2298="","",INDEX(_imp!$K$4:$K$4503,_imp!$C$2298))</f>
        <v/>
      </c>
    </row>
    <row r="2297">
      <c r="A2297" s="54">
        <f>IF(_imp!$C$2299="","",INDEX(_imp!$D$4:$D$4503,_imp!$C$2299))</f>
        <v/>
      </c>
      <c r="B2297" s="54">
        <f>IF(_imp!$C$2299="","",INDEX(_imp!$E$4:$E$4503,_imp!$C$2299))</f>
        <v/>
      </c>
      <c r="C2297" s="54">
        <f>IF(_imp!$C$2299="","",INDEX(_imp!$F$4:$F$4503,_imp!$C$2299))</f>
        <v/>
      </c>
      <c r="D2297" s="54">
        <f>IF(_imp!$C$2299="","",INDEX(_imp!$G$4:$G$4503,_imp!$C$2299))</f>
        <v/>
      </c>
      <c r="E2297" s="54">
        <f>IF(_imp!$C$2299="","",INDEX(_imp!$H$4:$H$4503,_imp!$C$2299))</f>
        <v/>
      </c>
      <c r="F2297" s="54">
        <f>IF(_imp!$C$2299="","",INDEX(_imp!$I$4:$I$4503,_imp!$C$2299))</f>
        <v/>
      </c>
      <c r="G2297" s="54">
        <f>IF(_imp!$C$2299="","",INDEX(_imp!$J$4:$J$4503,_imp!$C$2299))</f>
        <v/>
      </c>
      <c r="K2297" s="54">
        <f>IF(_imp!$C$2299="","",INDEX(_imp!$K$4:$K$4503,_imp!$C$2299))</f>
        <v/>
      </c>
    </row>
    <row r="2298">
      <c r="A2298" s="54">
        <f>IF(_imp!$C$2300="","",INDEX(_imp!$D$4:$D$4503,_imp!$C$2300))</f>
        <v/>
      </c>
      <c r="B2298" s="54">
        <f>IF(_imp!$C$2300="","",INDEX(_imp!$E$4:$E$4503,_imp!$C$2300))</f>
        <v/>
      </c>
      <c r="C2298" s="54">
        <f>IF(_imp!$C$2300="","",INDEX(_imp!$F$4:$F$4503,_imp!$C$2300))</f>
        <v/>
      </c>
      <c r="D2298" s="54">
        <f>IF(_imp!$C$2300="","",INDEX(_imp!$G$4:$G$4503,_imp!$C$2300))</f>
        <v/>
      </c>
      <c r="E2298" s="54">
        <f>IF(_imp!$C$2300="","",INDEX(_imp!$H$4:$H$4503,_imp!$C$2300))</f>
        <v/>
      </c>
      <c r="F2298" s="54">
        <f>IF(_imp!$C$2300="","",INDEX(_imp!$I$4:$I$4503,_imp!$C$2300))</f>
        <v/>
      </c>
      <c r="G2298" s="54">
        <f>IF(_imp!$C$2300="","",INDEX(_imp!$J$4:$J$4503,_imp!$C$2300))</f>
        <v/>
      </c>
      <c r="K2298" s="54">
        <f>IF(_imp!$C$2300="","",INDEX(_imp!$K$4:$K$4503,_imp!$C$2300))</f>
        <v/>
      </c>
    </row>
    <row r="2299">
      <c r="A2299" s="54">
        <f>IF(_imp!$C$2301="","",INDEX(_imp!$D$4:$D$4503,_imp!$C$2301))</f>
        <v/>
      </c>
      <c r="B2299" s="54">
        <f>IF(_imp!$C$2301="","",INDEX(_imp!$E$4:$E$4503,_imp!$C$2301))</f>
        <v/>
      </c>
      <c r="C2299" s="54">
        <f>IF(_imp!$C$2301="","",INDEX(_imp!$F$4:$F$4503,_imp!$C$2301))</f>
        <v/>
      </c>
      <c r="D2299" s="54">
        <f>IF(_imp!$C$2301="","",INDEX(_imp!$G$4:$G$4503,_imp!$C$2301))</f>
        <v/>
      </c>
      <c r="E2299" s="54">
        <f>IF(_imp!$C$2301="","",INDEX(_imp!$H$4:$H$4503,_imp!$C$2301))</f>
        <v/>
      </c>
      <c r="F2299" s="54">
        <f>IF(_imp!$C$2301="","",INDEX(_imp!$I$4:$I$4503,_imp!$C$2301))</f>
        <v/>
      </c>
      <c r="G2299" s="54">
        <f>IF(_imp!$C$2301="","",INDEX(_imp!$J$4:$J$4503,_imp!$C$2301))</f>
        <v/>
      </c>
      <c r="K2299" s="54">
        <f>IF(_imp!$C$2301="","",INDEX(_imp!$K$4:$K$4503,_imp!$C$2301))</f>
        <v/>
      </c>
    </row>
    <row r="2300">
      <c r="A2300" s="54">
        <f>IF(_imp!$C$2302="","",INDEX(_imp!$D$4:$D$4503,_imp!$C$2302))</f>
        <v/>
      </c>
      <c r="B2300" s="54">
        <f>IF(_imp!$C$2302="","",INDEX(_imp!$E$4:$E$4503,_imp!$C$2302))</f>
        <v/>
      </c>
      <c r="C2300" s="54">
        <f>IF(_imp!$C$2302="","",INDEX(_imp!$F$4:$F$4503,_imp!$C$2302))</f>
        <v/>
      </c>
      <c r="D2300" s="54">
        <f>IF(_imp!$C$2302="","",INDEX(_imp!$G$4:$G$4503,_imp!$C$2302))</f>
        <v/>
      </c>
      <c r="E2300" s="54">
        <f>IF(_imp!$C$2302="","",INDEX(_imp!$H$4:$H$4503,_imp!$C$2302))</f>
        <v/>
      </c>
      <c r="F2300" s="54">
        <f>IF(_imp!$C$2302="","",INDEX(_imp!$I$4:$I$4503,_imp!$C$2302))</f>
        <v/>
      </c>
      <c r="G2300" s="54">
        <f>IF(_imp!$C$2302="","",INDEX(_imp!$J$4:$J$4503,_imp!$C$2302))</f>
        <v/>
      </c>
      <c r="K2300" s="54">
        <f>IF(_imp!$C$2302="","",INDEX(_imp!$K$4:$K$4503,_imp!$C$2302))</f>
        <v/>
      </c>
    </row>
    <row r="2301">
      <c r="A2301" s="54">
        <f>IF(_imp!$C$2303="","",INDEX(_imp!$D$4:$D$4503,_imp!$C$2303))</f>
        <v/>
      </c>
      <c r="B2301" s="54">
        <f>IF(_imp!$C$2303="","",INDEX(_imp!$E$4:$E$4503,_imp!$C$2303))</f>
        <v/>
      </c>
      <c r="C2301" s="54">
        <f>IF(_imp!$C$2303="","",INDEX(_imp!$F$4:$F$4503,_imp!$C$2303))</f>
        <v/>
      </c>
      <c r="D2301" s="54">
        <f>IF(_imp!$C$2303="","",INDEX(_imp!$G$4:$G$4503,_imp!$C$2303))</f>
        <v/>
      </c>
      <c r="E2301" s="54">
        <f>IF(_imp!$C$2303="","",INDEX(_imp!$H$4:$H$4503,_imp!$C$2303))</f>
        <v/>
      </c>
      <c r="F2301" s="54">
        <f>IF(_imp!$C$2303="","",INDEX(_imp!$I$4:$I$4503,_imp!$C$2303))</f>
        <v/>
      </c>
      <c r="G2301" s="54">
        <f>IF(_imp!$C$2303="","",INDEX(_imp!$J$4:$J$4503,_imp!$C$2303))</f>
        <v/>
      </c>
      <c r="K2301" s="54">
        <f>IF(_imp!$C$2303="","",INDEX(_imp!$K$4:$K$4503,_imp!$C$2303))</f>
        <v/>
      </c>
    </row>
    <row r="2302">
      <c r="A2302" s="54">
        <f>IF(_imp!$C$2304="","",INDEX(_imp!$D$4:$D$4503,_imp!$C$2304))</f>
        <v/>
      </c>
      <c r="B2302" s="54">
        <f>IF(_imp!$C$2304="","",INDEX(_imp!$E$4:$E$4503,_imp!$C$2304))</f>
        <v/>
      </c>
      <c r="C2302" s="54">
        <f>IF(_imp!$C$2304="","",INDEX(_imp!$F$4:$F$4503,_imp!$C$2304))</f>
        <v/>
      </c>
      <c r="D2302" s="54">
        <f>IF(_imp!$C$2304="","",INDEX(_imp!$G$4:$G$4503,_imp!$C$2304))</f>
        <v/>
      </c>
      <c r="E2302" s="54">
        <f>IF(_imp!$C$2304="","",INDEX(_imp!$H$4:$H$4503,_imp!$C$2304))</f>
        <v/>
      </c>
      <c r="F2302" s="54">
        <f>IF(_imp!$C$2304="","",INDEX(_imp!$I$4:$I$4503,_imp!$C$2304))</f>
        <v/>
      </c>
      <c r="G2302" s="54">
        <f>IF(_imp!$C$2304="","",INDEX(_imp!$J$4:$J$4503,_imp!$C$2304))</f>
        <v/>
      </c>
      <c r="K2302" s="54">
        <f>IF(_imp!$C$2304="","",INDEX(_imp!$K$4:$K$4503,_imp!$C$2304))</f>
        <v/>
      </c>
    </row>
    <row r="2303">
      <c r="A2303" s="54">
        <f>IF(_imp!$C$2305="","",INDEX(_imp!$D$4:$D$4503,_imp!$C$2305))</f>
        <v/>
      </c>
      <c r="B2303" s="54">
        <f>IF(_imp!$C$2305="","",INDEX(_imp!$E$4:$E$4503,_imp!$C$2305))</f>
        <v/>
      </c>
      <c r="C2303" s="54">
        <f>IF(_imp!$C$2305="","",INDEX(_imp!$F$4:$F$4503,_imp!$C$2305))</f>
        <v/>
      </c>
      <c r="D2303" s="54">
        <f>IF(_imp!$C$2305="","",INDEX(_imp!$G$4:$G$4503,_imp!$C$2305))</f>
        <v/>
      </c>
      <c r="E2303" s="54">
        <f>IF(_imp!$C$2305="","",INDEX(_imp!$H$4:$H$4503,_imp!$C$2305))</f>
        <v/>
      </c>
      <c r="F2303" s="54">
        <f>IF(_imp!$C$2305="","",INDEX(_imp!$I$4:$I$4503,_imp!$C$2305))</f>
        <v/>
      </c>
      <c r="G2303" s="54">
        <f>IF(_imp!$C$2305="","",INDEX(_imp!$J$4:$J$4503,_imp!$C$2305))</f>
        <v/>
      </c>
      <c r="K2303" s="54">
        <f>IF(_imp!$C$2305="","",INDEX(_imp!$K$4:$K$4503,_imp!$C$2305))</f>
        <v/>
      </c>
    </row>
    <row r="2304">
      <c r="A2304" s="54">
        <f>IF(_imp!$C$2306="","",INDEX(_imp!$D$4:$D$4503,_imp!$C$2306))</f>
        <v/>
      </c>
      <c r="B2304" s="54">
        <f>IF(_imp!$C$2306="","",INDEX(_imp!$E$4:$E$4503,_imp!$C$2306))</f>
        <v/>
      </c>
      <c r="C2304" s="54">
        <f>IF(_imp!$C$2306="","",INDEX(_imp!$F$4:$F$4503,_imp!$C$2306))</f>
        <v/>
      </c>
      <c r="D2304" s="54">
        <f>IF(_imp!$C$2306="","",INDEX(_imp!$G$4:$G$4503,_imp!$C$2306))</f>
        <v/>
      </c>
      <c r="E2304" s="54">
        <f>IF(_imp!$C$2306="","",INDEX(_imp!$H$4:$H$4503,_imp!$C$2306))</f>
        <v/>
      </c>
      <c r="F2304" s="54">
        <f>IF(_imp!$C$2306="","",INDEX(_imp!$I$4:$I$4503,_imp!$C$2306))</f>
        <v/>
      </c>
      <c r="G2304" s="54">
        <f>IF(_imp!$C$2306="","",INDEX(_imp!$J$4:$J$4503,_imp!$C$2306))</f>
        <v/>
      </c>
      <c r="K2304" s="54">
        <f>IF(_imp!$C$2306="","",INDEX(_imp!$K$4:$K$4503,_imp!$C$2306))</f>
        <v/>
      </c>
    </row>
    <row r="2305">
      <c r="A2305" s="54">
        <f>IF(_imp!$C$2307="","",INDEX(_imp!$D$4:$D$4503,_imp!$C$2307))</f>
        <v/>
      </c>
      <c r="B2305" s="54">
        <f>IF(_imp!$C$2307="","",INDEX(_imp!$E$4:$E$4503,_imp!$C$2307))</f>
        <v/>
      </c>
      <c r="C2305" s="54">
        <f>IF(_imp!$C$2307="","",INDEX(_imp!$F$4:$F$4503,_imp!$C$2307))</f>
        <v/>
      </c>
      <c r="D2305" s="54">
        <f>IF(_imp!$C$2307="","",INDEX(_imp!$G$4:$G$4503,_imp!$C$2307))</f>
        <v/>
      </c>
      <c r="E2305" s="54">
        <f>IF(_imp!$C$2307="","",INDEX(_imp!$H$4:$H$4503,_imp!$C$2307))</f>
        <v/>
      </c>
      <c r="F2305" s="54">
        <f>IF(_imp!$C$2307="","",INDEX(_imp!$I$4:$I$4503,_imp!$C$2307))</f>
        <v/>
      </c>
      <c r="G2305" s="54">
        <f>IF(_imp!$C$2307="","",INDEX(_imp!$J$4:$J$4503,_imp!$C$2307))</f>
        <v/>
      </c>
      <c r="K2305" s="54">
        <f>IF(_imp!$C$2307="","",INDEX(_imp!$K$4:$K$4503,_imp!$C$2307))</f>
        <v/>
      </c>
    </row>
    <row r="2306">
      <c r="A2306" s="54">
        <f>IF(_imp!$C$2308="","",INDEX(_imp!$D$4:$D$4503,_imp!$C$2308))</f>
        <v/>
      </c>
      <c r="B2306" s="54">
        <f>IF(_imp!$C$2308="","",INDEX(_imp!$E$4:$E$4503,_imp!$C$2308))</f>
        <v/>
      </c>
      <c r="C2306" s="54">
        <f>IF(_imp!$C$2308="","",INDEX(_imp!$F$4:$F$4503,_imp!$C$2308))</f>
        <v/>
      </c>
      <c r="D2306" s="54">
        <f>IF(_imp!$C$2308="","",INDEX(_imp!$G$4:$G$4503,_imp!$C$2308))</f>
        <v/>
      </c>
      <c r="E2306" s="54">
        <f>IF(_imp!$C$2308="","",INDEX(_imp!$H$4:$H$4503,_imp!$C$2308))</f>
        <v/>
      </c>
      <c r="F2306" s="54">
        <f>IF(_imp!$C$2308="","",INDEX(_imp!$I$4:$I$4503,_imp!$C$2308))</f>
        <v/>
      </c>
      <c r="G2306" s="54">
        <f>IF(_imp!$C$2308="","",INDEX(_imp!$J$4:$J$4503,_imp!$C$2308))</f>
        <v/>
      </c>
      <c r="K2306" s="54">
        <f>IF(_imp!$C$2308="","",INDEX(_imp!$K$4:$K$4503,_imp!$C$2308))</f>
        <v/>
      </c>
    </row>
    <row r="2307">
      <c r="A2307" s="54">
        <f>IF(_imp!$C$2309="","",INDEX(_imp!$D$4:$D$4503,_imp!$C$2309))</f>
        <v/>
      </c>
      <c r="B2307" s="54">
        <f>IF(_imp!$C$2309="","",INDEX(_imp!$E$4:$E$4503,_imp!$C$2309))</f>
        <v/>
      </c>
      <c r="C2307" s="54">
        <f>IF(_imp!$C$2309="","",INDEX(_imp!$F$4:$F$4503,_imp!$C$2309))</f>
        <v/>
      </c>
      <c r="D2307" s="54">
        <f>IF(_imp!$C$2309="","",INDEX(_imp!$G$4:$G$4503,_imp!$C$2309))</f>
        <v/>
      </c>
      <c r="E2307" s="54">
        <f>IF(_imp!$C$2309="","",INDEX(_imp!$H$4:$H$4503,_imp!$C$2309))</f>
        <v/>
      </c>
      <c r="F2307" s="54">
        <f>IF(_imp!$C$2309="","",INDEX(_imp!$I$4:$I$4503,_imp!$C$2309))</f>
        <v/>
      </c>
      <c r="G2307" s="54">
        <f>IF(_imp!$C$2309="","",INDEX(_imp!$J$4:$J$4503,_imp!$C$2309))</f>
        <v/>
      </c>
      <c r="K2307" s="54">
        <f>IF(_imp!$C$2309="","",INDEX(_imp!$K$4:$K$4503,_imp!$C$2309))</f>
        <v/>
      </c>
    </row>
    <row r="2308">
      <c r="A2308" s="54">
        <f>IF(_imp!$C$2310="","",INDEX(_imp!$D$4:$D$4503,_imp!$C$2310))</f>
        <v/>
      </c>
      <c r="B2308" s="54">
        <f>IF(_imp!$C$2310="","",INDEX(_imp!$E$4:$E$4503,_imp!$C$2310))</f>
        <v/>
      </c>
      <c r="C2308" s="54">
        <f>IF(_imp!$C$2310="","",INDEX(_imp!$F$4:$F$4503,_imp!$C$2310))</f>
        <v/>
      </c>
      <c r="D2308" s="54">
        <f>IF(_imp!$C$2310="","",INDEX(_imp!$G$4:$G$4503,_imp!$C$2310))</f>
        <v/>
      </c>
      <c r="E2308" s="54">
        <f>IF(_imp!$C$2310="","",INDEX(_imp!$H$4:$H$4503,_imp!$C$2310))</f>
        <v/>
      </c>
      <c r="F2308" s="54">
        <f>IF(_imp!$C$2310="","",INDEX(_imp!$I$4:$I$4503,_imp!$C$2310))</f>
        <v/>
      </c>
      <c r="G2308" s="54">
        <f>IF(_imp!$C$2310="","",INDEX(_imp!$J$4:$J$4503,_imp!$C$2310))</f>
        <v/>
      </c>
      <c r="K2308" s="54">
        <f>IF(_imp!$C$2310="","",INDEX(_imp!$K$4:$K$4503,_imp!$C$2310))</f>
        <v/>
      </c>
    </row>
    <row r="2309">
      <c r="A2309" s="54">
        <f>IF(_imp!$C$2311="","",INDEX(_imp!$D$4:$D$4503,_imp!$C$2311))</f>
        <v/>
      </c>
      <c r="B2309" s="54">
        <f>IF(_imp!$C$2311="","",INDEX(_imp!$E$4:$E$4503,_imp!$C$2311))</f>
        <v/>
      </c>
      <c r="C2309" s="54">
        <f>IF(_imp!$C$2311="","",INDEX(_imp!$F$4:$F$4503,_imp!$C$2311))</f>
        <v/>
      </c>
      <c r="D2309" s="54">
        <f>IF(_imp!$C$2311="","",INDEX(_imp!$G$4:$G$4503,_imp!$C$2311))</f>
        <v/>
      </c>
      <c r="E2309" s="54">
        <f>IF(_imp!$C$2311="","",INDEX(_imp!$H$4:$H$4503,_imp!$C$2311))</f>
        <v/>
      </c>
      <c r="F2309" s="54">
        <f>IF(_imp!$C$2311="","",INDEX(_imp!$I$4:$I$4503,_imp!$C$2311))</f>
        <v/>
      </c>
      <c r="G2309" s="54">
        <f>IF(_imp!$C$2311="","",INDEX(_imp!$J$4:$J$4503,_imp!$C$2311))</f>
        <v/>
      </c>
      <c r="K2309" s="54">
        <f>IF(_imp!$C$2311="","",INDEX(_imp!$K$4:$K$4503,_imp!$C$2311))</f>
        <v/>
      </c>
    </row>
    <row r="2310">
      <c r="A2310" s="54">
        <f>IF(_imp!$C$2312="","",INDEX(_imp!$D$4:$D$4503,_imp!$C$2312))</f>
        <v/>
      </c>
      <c r="B2310" s="54">
        <f>IF(_imp!$C$2312="","",INDEX(_imp!$E$4:$E$4503,_imp!$C$2312))</f>
        <v/>
      </c>
      <c r="C2310" s="54">
        <f>IF(_imp!$C$2312="","",INDEX(_imp!$F$4:$F$4503,_imp!$C$2312))</f>
        <v/>
      </c>
      <c r="D2310" s="54">
        <f>IF(_imp!$C$2312="","",INDEX(_imp!$G$4:$G$4503,_imp!$C$2312))</f>
        <v/>
      </c>
      <c r="E2310" s="54">
        <f>IF(_imp!$C$2312="","",INDEX(_imp!$H$4:$H$4503,_imp!$C$2312))</f>
        <v/>
      </c>
      <c r="F2310" s="54">
        <f>IF(_imp!$C$2312="","",INDEX(_imp!$I$4:$I$4503,_imp!$C$2312))</f>
        <v/>
      </c>
      <c r="G2310" s="54">
        <f>IF(_imp!$C$2312="","",INDEX(_imp!$J$4:$J$4503,_imp!$C$2312))</f>
        <v/>
      </c>
      <c r="K2310" s="54">
        <f>IF(_imp!$C$2312="","",INDEX(_imp!$K$4:$K$4503,_imp!$C$2312))</f>
        <v/>
      </c>
    </row>
    <row r="2311">
      <c r="A2311" s="54">
        <f>IF(_imp!$C$2313="","",INDEX(_imp!$D$4:$D$4503,_imp!$C$2313))</f>
        <v/>
      </c>
      <c r="B2311" s="54">
        <f>IF(_imp!$C$2313="","",INDEX(_imp!$E$4:$E$4503,_imp!$C$2313))</f>
        <v/>
      </c>
      <c r="C2311" s="54">
        <f>IF(_imp!$C$2313="","",INDEX(_imp!$F$4:$F$4503,_imp!$C$2313))</f>
        <v/>
      </c>
      <c r="D2311" s="54">
        <f>IF(_imp!$C$2313="","",INDEX(_imp!$G$4:$G$4503,_imp!$C$2313))</f>
        <v/>
      </c>
      <c r="E2311" s="54">
        <f>IF(_imp!$C$2313="","",INDEX(_imp!$H$4:$H$4503,_imp!$C$2313))</f>
        <v/>
      </c>
      <c r="F2311" s="54">
        <f>IF(_imp!$C$2313="","",INDEX(_imp!$I$4:$I$4503,_imp!$C$2313))</f>
        <v/>
      </c>
      <c r="G2311" s="54">
        <f>IF(_imp!$C$2313="","",INDEX(_imp!$J$4:$J$4503,_imp!$C$2313))</f>
        <v/>
      </c>
      <c r="K2311" s="54">
        <f>IF(_imp!$C$2313="","",INDEX(_imp!$K$4:$K$4503,_imp!$C$2313))</f>
        <v/>
      </c>
    </row>
    <row r="2312">
      <c r="A2312" s="54">
        <f>IF(_imp!$C$2314="","",INDEX(_imp!$D$4:$D$4503,_imp!$C$2314))</f>
        <v/>
      </c>
      <c r="B2312" s="54">
        <f>IF(_imp!$C$2314="","",INDEX(_imp!$E$4:$E$4503,_imp!$C$2314))</f>
        <v/>
      </c>
      <c r="C2312" s="54">
        <f>IF(_imp!$C$2314="","",INDEX(_imp!$F$4:$F$4503,_imp!$C$2314))</f>
        <v/>
      </c>
      <c r="D2312" s="54">
        <f>IF(_imp!$C$2314="","",INDEX(_imp!$G$4:$G$4503,_imp!$C$2314))</f>
        <v/>
      </c>
      <c r="E2312" s="54">
        <f>IF(_imp!$C$2314="","",INDEX(_imp!$H$4:$H$4503,_imp!$C$2314))</f>
        <v/>
      </c>
      <c r="F2312" s="54">
        <f>IF(_imp!$C$2314="","",INDEX(_imp!$I$4:$I$4503,_imp!$C$2314))</f>
        <v/>
      </c>
      <c r="G2312" s="54">
        <f>IF(_imp!$C$2314="","",INDEX(_imp!$J$4:$J$4503,_imp!$C$2314))</f>
        <v/>
      </c>
      <c r="K2312" s="54">
        <f>IF(_imp!$C$2314="","",INDEX(_imp!$K$4:$K$4503,_imp!$C$2314))</f>
        <v/>
      </c>
    </row>
    <row r="2313">
      <c r="A2313" s="54">
        <f>IF(_imp!$C$2315="","",INDEX(_imp!$D$4:$D$4503,_imp!$C$2315))</f>
        <v/>
      </c>
      <c r="B2313" s="54">
        <f>IF(_imp!$C$2315="","",INDEX(_imp!$E$4:$E$4503,_imp!$C$2315))</f>
        <v/>
      </c>
      <c r="C2313" s="54">
        <f>IF(_imp!$C$2315="","",INDEX(_imp!$F$4:$F$4503,_imp!$C$2315))</f>
        <v/>
      </c>
      <c r="D2313" s="54">
        <f>IF(_imp!$C$2315="","",INDEX(_imp!$G$4:$G$4503,_imp!$C$2315))</f>
        <v/>
      </c>
      <c r="E2313" s="54">
        <f>IF(_imp!$C$2315="","",INDEX(_imp!$H$4:$H$4503,_imp!$C$2315))</f>
        <v/>
      </c>
      <c r="F2313" s="54">
        <f>IF(_imp!$C$2315="","",INDEX(_imp!$I$4:$I$4503,_imp!$C$2315))</f>
        <v/>
      </c>
      <c r="G2313" s="54">
        <f>IF(_imp!$C$2315="","",INDEX(_imp!$J$4:$J$4503,_imp!$C$2315))</f>
        <v/>
      </c>
      <c r="K2313" s="54">
        <f>IF(_imp!$C$2315="","",INDEX(_imp!$K$4:$K$4503,_imp!$C$2315))</f>
        <v/>
      </c>
    </row>
    <row r="2314">
      <c r="A2314" s="54">
        <f>IF(_imp!$C$2316="","",INDEX(_imp!$D$4:$D$4503,_imp!$C$2316))</f>
        <v/>
      </c>
      <c r="B2314" s="54">
        <f>IF(_imp!$C$2316="","",INDEX(_imp!$E$4:$E$4503,_imp!$C$2316))</f>
        <v/>
      </c>
      <c r="C2314" s="54">
        <f>IF(_imp!$C$2316="","",INDEX(_imp!$F$4:$F$4503,_imp!$C$2316))</f>
        <v/>
      </c>
      <c r="D2314" s="54">
        <f>IF(_imp!$C$2316="","",INDEX(_imp!$G$4:$G$4503,_imp!$C$2316))</f>
        <v/>
      </c>
      <c r="E2314" s="54">
        <f>IF(_imp!$C$2316="","",INDEX(_imp!$H$4:$H$4503,_imp!$C$2316))</f>
        <v/>
      </c>
      <c r="F2314" s="54">
        <f>IF(_imp!$C$2316="","",INDEX(_imp!$I$4:$I$4503,_imp!$C$2316))</f>
        <v/>
      </c>
      <c r="G2314" s="54">
        <f>IF(_imp!$C$2316="","",INDEX(_imp!$J$4:$J$4503,_imp!$C$2316))</f>
        <v/>
      </c>
      <c r="K2314" s="54">
        <f>IF(_imp!$C$2316="","",INDEX(_imp!$K$4:$K$4503,_imp!$C$2316))</f>
        <v/>
      </c>
    </row>
    <row r="2315">
      <c r="A2315" s="54">
        <f>IF(_imp!$C$2317="","",INDEX(_imp!$D$4:$D$4503,_imp!$C$2317))</f>
        <v/>
      </c>
      <c r="B2315" s="54">
        <f>IF(_imp!$C$2317="","",INDEX(_imp!$E$4:$E$4503,_imp!$C$2317))</f>
        <v/>
      </c>
      <c r="C2315" s="54">
        <f>IF(_imp!$C$2317="","",INDEX(_imp!$F$4:$F$4503,_imp!$C$2317))</f>
        <v/>
      </c>
      <c r="D2315" s="54">
        <f>IF(_imp!$C$2317="","",INDEX(_imp!$G$4:$G$4503,_imp!$C$2317))</f>
        <v/>
      </c>
      <c r="E2315" s="54">
        <f>IF(_imp!$C$2317="","",INDEX(_imp!$H$4:$H$4503,_imp!$C$2317))</f>
        <v/>
      </c>
      <c r="F2315" s="54">
        <f>IF(_imp!$C$2317="","",INDEX(_imp!$I$4:$I$4503,_imp!$C$2317))</f>
        <v/>
      </c>
      <c r="G2315" s="54">
        <f>IF(_imp!$C$2317="","",INDEX(_imp!$J$4:$J$4503,_imp!$C$2317))</f>
        <v/>
      </c>
      <c r="K2315" s="54">
        <f>IF(_imp!$C$2317="","",INDEX(_imp!$K$4:$K$4503,_imp!$C$2317))</f>
        <v/>
      </c>
    </row>
    <row r="2316">
      <c r="A2316" s="54">
        <f>IF(_imp!$C$2318="","",INDEX(_imp!$D$4:$D$4503,_imp!$C$2318))</f>
        <v/>
      </c>
      <c r="B2316" s="54">
        <f>IF(_imp!$C$2318="","",INDEX(_imp!$E$4:$E$4503,_imp!$C$2318))</f>
        <v/>
      </c>
      <c r="C2316" s="54">
        <f>IF(_imp!$C$2318="","",INDEX(_imp!$F$4:$F$4503,_imp!$C$2318))</f>
        <v/>
      </c>
      <c r="D2316" s="54">
        <f>IF(_imp!$C$2318="","",INDEX(_imp!$G$4:$G$4503,_imp!$C$2318))</f>
        <v/>
      </c>
      <c r="E2316" s="54">
        <f>IF(_imp!$C$2318="","",INDEX(_imp!$H$4:$H$4503,_imp!$C$2318))</f>
        <v/>
      </c>
      <c r="F2316" s="54">
        <f>IF(_imp!$C$2318="","",INDEX(_imp!$I$4:$I$4503,_imp!$C$2318))</f>
        <v/>
      </c>
      <c r="G2316" s="54">
        <f>IF(_imp!$C$2318="","",INDEX(_imp!$J$4:$J$4503,_imp!$C$2318))</f>
        <v/>
      </c>
      <c r="K2316" s="54">
        <f>IF(_imp!$C$2318="","",INDEX(_imp!$K$4:$K$4503,_imp!$C$2318))</f>
        <v/>
      </c>
    </row>
    <row r="2317">
      <c r="A2317" s="54">
        <f>IF(_imp!$C$2319="","",INDEX(_imp!$D$4:$D$4503,_imp!$C$2319))</f>
        <v/>
      </c>
      <c r="B2317" s="54">
        <f>IF(_imp!$C$2319="","",INDEX(_imp!$E$4:$E$4503,_imp!$C$2319))</f>
        <v/>
      </c>
      <c r="C2317" s="54">
        <f>IF(_imp!$C$2319="","",INDEX(_imp!$F$4:$F$4503,_imp!$C$2319))</f>
        <v/>
      </c>
      <c r="D2317" s="54">
        <f>IF(_imp!$C$2319="","",INDEX(_imp!$G$4:$G$4503,_imp!$C$2319))</f>
        <v/>
      </c>
      <c r="E2317" s="54">
        <f>IF(_imp!$C$2319="","",INDEX(_imp!$H$4:$H$4503,_imp!$C$2319))</f>
        <v/>
      </c>
      <c r="F2317" s="54">
        <f>IF(_imp!$C$2319="","",INDEX(_imp!$I$4:$I$4503,_imp!$C$2319))</f>
        <v/>
      </c>
      <c r="G2317" s="54">
        <f>IF(_imp!$C$2319="","",INDEX(_imp!$J$4:$J$4503,_imp!$C$2319))</f>
        <v/>
      </c>
      <c r="K2317" s="54">
        <f>IF(_imp!$C$2319="","",INDEX(_imp!$K$4:$K$4503,_imp!$C$2319))</f>
        <v/>
      </c>
    </row>
    <row r="2318">
      <c r="A2318" s="54">
        <f>IF(_imp!$C$2320="","",INDEX(_imp!$D$4:$D$4503,_imp!$C$2320))</f>
        <v/>
      </c>
      <c r="B2318" s="54">
        <f>IF(_imp!$C$2320="","",INDEX(_imp!$E$4:$E$4503,_imp!$C$2320))</f>
        <v/>
      </c>
      <c r="C2318" s="54">
        <f>IF(_imp!$C$2320="","",INDEX(_imp!$F$4:$F$4503,_imp!$C$2320))</f>
        <v/>
      </c>
      <c r="D2318" s="54">
        <f>IF(_imp!$C$2320="","",INDEX(_imp!$G$4:$G$4503,_imp!$C$2320))</f>
        <v/>
      </c>
      <c r="E2318" s="54">
        <f>IF(_imp!$C$2320="","",INDEX(_imp!$H$4:$H$4503,_imp!$C$2320))</f>
        <v/>
      </c>
      <c r="F2318" s="54">
        <f>IF(_imp!$C$2320="","",INDEX(_imp!$I$4:$I$4503,_imp!$C$2320))</f>
        <v/>
      </c>
      <c r="G2318" s="54">
        <f>IF(_imp!$C$2320="","",INDEX(_imp!$J$4:$J$4503,_imp!$C$2320))</f>
        <v/>
      </c>
      <c r="K2318" s="54">
        <f>IF(_imp!$C$2320="","",INDEX(_imp!$K$4:$K$4503,_imp!$C$2320))</f>
        <v/>
      </c>
    </row>
    <row r="2319">
      <c r="A2319" s="54">
        <f>IF(_imp!$C$2321="","",INDEX(_imp!$D$4:$D$4503,_imp!$C$2321))</f>
        <v/>
      </c>
      <c r="B2319" s="54">
        <f>IF(_imp!$C$2321="","",INDEX(_imp!$E$4:$E$4503,_imp!$C$2321))</f>
        <v/>
      </c>
      <c r="C2319" s="54">
        <f>IF(_imp!$C$2321="","",INDEX(_imp!$F$4:$F$4503,_imp!$C$2321))</f>
        <v/>
      </c>
      <c r="D2319" s="54">
        <f>IF(_imp!$C$2321="","",INDEX(_imp!$G$4:$G$4503,_imp!$C$2321))</f>
        <v/>
      </c>
      <c r="E2319" s="54">
        <f>IF(_imp!$C$2321="","",INDEX(_imp!$H$4:$H$4503,_imp!$C$2321))</f>
        <v/>
      </c>
      <c r="F2319" s="54">
        <f>IF(_imp!$C$2321="","",INDEX(_imp!$I$4:$I$4503,_imp!$C$2321))</f>
        <v/>
      </c>
      <c r="G2319" s="54">
        <f>IF(_imp!$C$2321="","",INDEX(_imp!$J$4:$J$4503,_imp!$C$2321))</f>
        <v/>
      </c>
      <c r="K2319" s="54">
        <f>IF(_imp!$C$2321="","",INDEX(_imp!$K$4:$K$4503,_imp!$C$2321))</f>
        <v/>
      </c>
    </row>
    <row r="2320">
      <c r="A2320" s="54">
        <f>IF(_imp!$C$2322="","",INDEX(_imp!$D$4:$D$4503,_imp!$C$2322))</f>
        <v/>
      </c>
      <c r="B2320" s="54">
        <f>IF(_imp!$C$2322="","",INDEX(_imp!$E$4:$E$4503,_imp!$C$2322))</f>
        <v/>
      </c>
      <c r="C2320" s="54">
        <f>IF(_imp!$C$2322="","",INDEX(_imp!$F$4:$F$4503,_imp!$C$2322))</f>
        <v/>
      </c>
      <c r="D2320" s="54">
        <f>IF(_imp!$C$2322="","",INDEX(_imp!$G$4:$G$4503,_imp!$C$2322))</f>
        <v/>
      </c>
      <c r="E2320" s="54">
        <f>IF(_imp!$C$2322="","",INDEX(_imp!$H$4:$H$4503,_imp!$C$2322))</f>
        <v/>
      </c>
      <c r="F2320" s="54">
        <f>IF(_imp!$C$2322="","",INDEX(_imp!$I$4:$I$4503,_imp!$C$2322))</f>
        <v/>
      </c>
      <c r="G2320" s="54">
        <f>IF(_imp!$C$2322="","",INDEX(_imp!$J$4:$J$4503,_imp!$C$2322))</f>
        <v/>
      </c>
      <c r="K2320" s="54">
        <f>IF(_imp!$C$2322="","",INDEX(_imp!$K$4:$K$4503,_imp!$C$2322))</f>
        <v/>
      </c>
    </row>
    <row r="2321">
      <c r="A2321" s="54">
        <f>IF(_imp!$C$2323="","",INDEX(_imp!$D$4:$D$4503,_imp!$C$2323))</f>
        <v/>
      </c>
      <c r="B2321" s="54">
        <f>IF(_imp!$C$2323="","",INDEX(_imp!$E$4:$E$4503,_imp!$C$2323))</f>
        <v/>
      </c>
      <c r="C2321" s="54">
        <f>IF(_imp!$C$2323="","",INDEX(_imp!$F$4:$F$4503,_imp!$C$2323))</f>
        <v/>
      </c>
      <c r="D2321" s="54">
        <f>IF(_imp!$C$2323="","",INDEX(_imp!$G$4:$G$4503,_imp!$C$2323))</f>
        <v/>
      </c>
      <c r="E2321" s="54">
        <f>IF(_imp!$C$2323="","",INDEX(_imp!$H$4:$H$4503,_imp!$C$2323))</f>
        <v/>
      </c>
      <c r="F2321" s="54">
        <f>IF(_imp!$C$2323="","",INDEX(_imp!$I$4:$I$4503,_imp!$C$2323))</f>
        <v/>
      </c>
      <c r="G2321" s="54">
        <f>IF(_imp!$C$2323="","",INDEX(_imp!$J$4:$J$4503,_imp!$C$2323))</f>
        <v/>
      </c>
      <c r="K2321" s="54">
        <f>IF(_imp!$C$2323="","",INDEX(_imp!$K$4:$K$4503,_imp!$C$2323))</f>
        <v/>
      </c>
    </row>
    <row r="2322">
      <c r="A2322" s="54">
        <f>IF(_imp!$C$2324="","",INDEX(_imp!$D$4:$D$4503,_imp!$C$2324))</f>
        <v/>
      </c>
      <c r="B2322" s="54">
        <f>IF(_imp!$C$2324="","",INDEX(_imp!$E$4:$E$4503,_imp!$C$2324))</f>
        <v/>
      </c>
      <c r="C2322" s="54">
        <f>IF(_imp!$C$2324="","",INDEX(_imp!$F$4:$F$4503,_imp!$C$2324))</f>
        <v/>
      </c>
      <c r="D2322" s="54">
        <f>IF(_imp!$C$2324="","",INDEX(_imp!$G$4:$G$4503,_imp!$C$2324))</f>
        <v/>
      </c>
      <c r="E2322" s="54">
        <f>IF(_imp!$C$2324="","",INDEX(_imp!$H$4:$H$4503,_imp!$C$2324))</f>
        <v/>
      </c>
      <c r="F2322" s="54">
        <f>IF(_imp!$C$2324="","",INDEX(_imp!$I$4:$I$4503,_imp!$C$2324))</f>
        <v/>
      </c>
      <c r="G2322" s="54">
        <f>IF(_imp!$C$2324="","",INDEX(_imp!$J$4:$J$4503,_imp!$C$2324))</f>
        <v/>
      </c>
      <c r="K2322" s="54">
        <f>IF(_imp!$C$2324="","",INDEX(_imp!$K$4:$K$4503,_imp!$C$2324))</f>
        <v/>
      </c>
    </row>
    <row r="2323">
      <c r="A2323" s="54">
        <f>IF(_imp!$C$2325="","",INDEX(_imp!$D$4:$D$4503,_imp!$C$2325))</f>
        <v/>
      </c>
      <c r="B2323" s="54">
        <f>IF(_imp!$C$2325="","",INDEX(_imp!$E$4:$E$4503,_imp!$C$2325))</f>
        <v/>
      </c>
      <c r="C2323" s="54">
        <f>IF(_imp!$C$2325="","",INDEX(_imp!$F$4:$F$4503,_imp!$C$2325))</f>
        <v/>
      </c>
      <c r="D2323" s="54">
        <f>IF(_imp!$C$2325="","",INDEX(_imp!$G$4:$G$4503,_imp!$C$2325))</f>
        <v/>
      </c>
      <c r="E2323" s="54">
        <f>IF(_imp!$C$2325="","",INDEX(_imp!$H$4:$H$4503,_imp!$C$2325))</f>
        <v/>
      </c>
      <c r="F2323" s="54">
        <f>IF(_imp!$C$2325="","",INDEX(_imp!$I$4:$I$4503,_imp!$C$2325))</f>
        <v/>
      </c>
      <c r="G2323" s="54">
        <f>IF(_imp!$C$2325="","",INDEX(_imp!$J$4:$J$4503,_imp!$C$2325))</f>
        <v/>
      </c>
      <c r="K2323" s="54">
        <f>IF(_imp!$C$2325="","",INDEX(_imp!$K$4:$K$4503,_imp!$C$2325))</f>
        <v/>
      </c>
    </row>
    <row r="2324">
      <c r="A2324" s="54">
        <f>IF(_imp!$C$2326="","",INDEX(_imp!$D$4:$D$4503,_imp!$C$2326))</f>
        <v/>
      </c>
      <c r="B2324" s="54">
        <f>IF(_imp!$C$2326="","",INDEX(_imp!$E$4:$E$4503,_imp!$C$2326))</f>
        <v/>
      </c>
      <c r="C2324" s="54">
        <f>IF(_imp!$C$2326="","",INDEX(_imp!$F$4:$F$4503,_imp!$C$2326))</f>
        <v/>
      </c>
      <c r="D2324" s="54">
        <f>IF(_imp!$C$2326="","",INDEX(_imp!$G$4:$G$4503,_imp!$C$2326))</f>
        <v/>
      </c>
      <c r="E2324" s="54">
        <f>IF(_imp!$C$2326="","",INDEX(_imp!$H$4:$H$4503,_imp!$C$2326))</f>
        <v/>
      </c>
      <c r="F2324" s="54">
        <f>IF(_imp!$C$2326="","",INDEX(_imp!$I$4:$I$4503,_imp!$C$2326))</f>
        <v/>
      </c>
      <c r="G2324" s="54">
        <f>IF(_imp!$C$2326="","",INDEX(_imp!$J$4:$J$4503,_imp!$C$2326))</f>
        <v/>
      </c>
      <c r="K2324" s="54">
        <f>IF(_imp!$C$2326="","",INDEX(_imp!$K$4:$K$4503,_imp!$C$2326))</f>
        <v/>
      </c>
    </row>
    <row r="2325">
      <c r="A2325" s="54">
        <f>IF(_imp!$C$2327="","",INDEX(_imp!$D$4:$D$4503,_imp!$C$2327))</f>
        <v/>
      </c>
      <c r="B2325" s="54">
        <f>IF(_imp!$C$2327="","",INDEX(_imp!$E$4:$E$4503,_imp!$C$2327))</f>
        <v/>
      </c>
      <c r="C2325" s="54">
        <f>IF(_imp!$C$2327="","",INDEX(_imp!$F$4:$F$4503,_imp!$C$2327))</f>
        <v/>
      </c>
      <c r="D2325" s="54">
        <f>IF(_imp!$C$2327="","",INDEX(_imp!$G$4:$G$4503,_imp!$C$2327))</f>
        <v/>
      </c>
      <c r="E2325" s="54">
        <f>IF(_imp!$C$2327="","",INDEX(_imp!$H$4:$H$4503,_imp!$C$2327))</f>
        <v/>
      </c>
      <c r="F2325" s="54">
        <f>IF(_imp!$C$2327="","",INDEX(_imp!$I$4:$I$4503,_imp!$C$2327))</f>
        <v/>
      </c>
      <c r="G2325" s="54">
        <f>IF(_imp!$C$2327="","",INDEX(_imp!$J$4:$J$4503,_imp!$C$2327))</f>
        <v/>
      </c>
      <c r="K2325" s="54">
        <f>IF(_imp!$C$2327="","",INDEX(_imp!$K$4:$K$4503,_imp!$C$2327))</f>
        <v/>
      </c>
    </row>
    <row r="2326">
      <c r="A2326" s="54">
        <f>IF(_imp!$C$2328="","",INDEX(_imp!$D$4:$D$4503,_imp!$C$2328))</f>
        <v/>
      </c>
      <c r="B2326" s="54">
        <f>IF(_imp!$C$2328="","",INDEX(_imp!$E$4:$E$4503,_imp!$C$2328))</f>
        <v/>
      </c>
      <c r="C2326" s="54">
        <f>IF(_imp!$C$2328="","",INDEX(_imp!$F$4:$F$4503,_imp!$C$2328))</f>
        <v/>
      </c>
      <c r="D2326" s="54">
        <f>IF(_imp!$C$2328="","",INDEX(_imp!$G$4:$G$4503,_imp!$C$2328))</f>
        <v/>
      </c>
      <c r="E2326" s="54">
        <f>IF(_imp!$C$2328="","",INDEX(_imp!$H$4:$H$4503,_imp!$C$2328))</f>
        <v/>
      </c>
      <c r="F2326" s="54">
        <f>IF(_imp!$C$2328="","",INDEX(_imp!$I$4:$I$4503,_imp!$C$2328))</f>
        <v/>
      </c>
      <c r="G2326" s="54">
        <f>IF(_imp!$C$2328="","",INDEX(_imp!$J$4:$J$4503,_imp!$C$2328))</f>
        <v/>
      </c>
      <c r="K2326" s="54">
        <f>IF(_imp!$C$2328="","",INDEX(_imp!$K$4:$K$4503,_imp!$C$2328))</f>
        <v/>
      </c>
    </row>
    <row r="2327">
      <c r="A2327" s="54">
        <f>IF(_imp!$C$2329="","",INDEX(_imp!$D$4:$D$4503,_imp!$C$2329))</f>
        <v/>
      </c>
      <c r="B2327" s="54">
        <f>IF(_imp!$C$2329="","",INDEX(_imp!$E$4:$E$4503,_imp!$C$2329))</f>
        <v/>
      </c>
      <c r="C2327" s="54">
        <f>IF(_imp!$C$2329="","",INDEX(_imp!$F$4:$F$4503,_imp!$C$2329))</f>
        <v/>
      </c>
      <c r="D2327" s="54">
        <f>IF(_imp!$C$2329="","",INDEX(_imp!$G$4:$G$4503,_imp!$C$2329))</f>
        <v/>
      </c>
      <c r="E2327" s="54">
        <f>IF(_imp!$C$2329="","",INDEX(_imp!$H$4:$H$4503,_imp!$C$2329))</f>
        <v/>
      </c>
      <c r="F2327" s="54">
        <f>IF(_imp!$C$2329="","",INDEX(_imp!$I$4:$I$4503,_imp!$C$2329))</f>
        <v/>
      </c>
      <c r="G2327" s="54">
        <f>IF(_imp!$C$2329="","",INDEX(_imp!$J$4:$J$4503,_imp!$C$2329))</f>
        <v/>
      </c>
      <c r="K2327" s="54">
        <f>IF(_imp!$C$2329="","",INDEX(_imp!$K$4:$K$4503,_imp!$C$2329))</f>
        <v/>
      </c>
    </row>
    <row r="2328">
      <c r="A2328" s="54">
        <f>IF(_imp!$C$2330="","",INDEX(_imp!$D$4:$D$4503,_imp!$C$2330))</f>
        <v/>
      </c>
      <c r="B2328" s="54">
        <f>IF(_imp!$C$2330="","",INDEX(_imp!$E$4:$E$4503,_imp!$C$2330))</f>
        <v/>
      </c>
      <c r="C2328" s="54">
        <f>IF(_imp!$C$2330="","",INDEX(_imp!$F$4:$F$4503,_imp!$C$2330))</f>
        <v/>
      </c>
      <c r="D2328" s="54">
        <f>IF(_imp!$C$2330="","",INDEX(_imp!$G$4:$G$4503,_imp!$C$2330))</f>
        <v/>
      </c>
      <c r="E2328" s="54">
        <f>IF(_imp!$C$2330="","",INDEX(_imp!$H$4:$H$4503,_imp!$C$2330))</f>
        <v/>
      </c>
      <c r="F2328" s="54">
        <f>IF(_imp!$C$2330="","",INDEX(_imp!$I$4:$I$4503,_imp!$C$2330))</f>
        <v/>
      </c>
      <c r="G2328" s="54">
        <f>IF(_imp!$C$2330="","",INDEX(_imp!$J$4:$J$4503,_imp!$C$2330))</f>
        <v/>
      </c>
      <c r="K2328" s="54">
        <f>IF(_imp!$C$2330="","",INDEX(_imp!$K$4:$K$4503,_imp!$C$2330))</f>
        <v/>
      </c>
    </row>
    <row r="2329">
      <c r="A2329" s="54">
        <f>IF(_imp!$C$2331="","",INDEX(_imp!$D$4:$D$4503,_imp!$C$2331))</f>
        <v/>
      </c>
      <c r="B2329" s="54">
        <f>IF(_imp!$C$2331="","",INDEX(_imp!$E$4:$E$4503,_imp!$C$2331))</f>
        <v/>
      </c>
      <c r="C2329" s="54">
        <f>IF(_imp!$C$2331="","",INDEX(_imp!$F$4:$F$4503,_imp!$C$2331))</f>
        <v/>
      </c>
      <c r="D2329" s="54">
        <f>IF(_imp!$C$2331="","",INDEX(_imp!$G$4:$G$4503,_imp!$C$2331))</f>
        <v/>
      </c>
      <c r="E2329" s="54">
        <f>IF(_imp!$C$2331="","",INDEX(_imp!$H$4:$H$4503,_imp!$C$2331))</f>
        <v/>
      </c>
      <c r="F2329" s="54">
        <f>IF(_imp!$C$2331="","",INDEX(_imp!$I$4:$I$4503,_imp!$C$2331))</f>
        <v/>
      </c>
      <c r="G2329" s="54">
        <f>IF(_imp!$C$2331="","",INDEX(_imp!$J$4:$J$4503,_imp!$C$2331))</f>
        <v/>
      </c>
      <c r="K2329" s="54">
        <f>IF(_imp!$C$2331="","",INDEX(_imp!$K$4:$K$4503,_imp!$C$2331))</f>
        <v/>
      </c>
    </row>
    <row r="2330">
      <c r="A2330" s="54">
        <f>IF(_imp!$C$2332="","",INDEX(_imp!$D$4:$D$4503,_imp!$C$2332))</f>
        <v/>
      </c>
      <c r="B2330" s="54">
        <f>IF(_imp!$C$2332="","",INDEX(_imp!$E$4:$E$4503,_imp!$C$2332))</f>
        <v/>
      </c>
      <c r="C2330" s="54">
        <f>IF(_imp!$C$2332="","",INDEX(_imp!$F$4:$F$4503,_imp!$C$2332))</f>
        <v/>
      </c>
      <c r="D2330" s="54">
        <f>IF(_imp!$C$2332="","",INDEX(_imp!$G$4:$G$4503,_imp!$C$2332))</f>
        <v/>
      </c>
      <c r="E2330" s="54">
        <f>IF(_imp!$C$2332="","",INDEX(_imp!$H$4:$H$4503,_imp!$C$2332))</f>
        <v/>
      </c>
      <c r="F2330" s="54">
        <f>IF(_imp!$C$2332="","",INDEX(_imp!$I$4:$I$4503,_imp!$C$2332))</f>
        <v/>
      </c>
      <c r="G2330" s="54">
        <f>IF(_imp!$C$2332="","",INDEX(_imp!$J$4:$J$4503,_imp!$C$2332))</f>
        <v/>
      </c>
      <c r="K2330" s="54">
        <f>IF(_imp!$C$2332="","",INDEX(_imp!$K$4:$K$4503,_imp!$C$2332))</f>
        <v/>
      </c>
    </row>
    <row r="2331">
      <c r="A2331" s="54">
        <f>IF(_imp!$C$2333="","",INDEX(_imp!$D$4:$D$4503,_imp!$C$2333))</f>
        <v/>
      </c>
      <c r="B2331" s="54">
        <f>IF(_imp!$C$2333="","",INDEX(_imp!$E$4:$E$4503,_imp!$C$2333))</f>
        <v/>
      </c>
      <c r="C2331" s="54">
        <f>IF(_imp!$C$2333="","",INDEX(_imp!$F$4:$F$4503,_imp!$C$2333))</f>
        <v/>
      </c>
      <c r="D2331" s="54">
        <f>IF(_imp!$C$2333="","",INDEX(_imp!$G$4:$G$4503,_imp!$C$2333))</f>
        <v/>
      </c>
      <c r="E2331" s="54">
        <f>IF(_imp!$C$2333="","",INDEX(_imp!$H$4:$H$4503,_imp!$C$2333))</f>
        <v/>
      </c>
      <c r="F2331" s="54">
        <f>IF(_imp!$C$2333="","",INDEX(_imp!$I$4:$I$4503,_imp!$C$2333))</f>
        <v/>
      </c>
      <c r="G2331" s="54">
        <f>IF(_imp!$C$2333="","",INDEX(_imp!$J$4:$J$4503,_imp!$C$2333))</f>
        <v/>
      </c>
      <c r="K2331" s="54">
        <f>IF(_imp!$C$2333="","",INDEX(_imp!$K$4:$K$4503,_imp!$C$2333))</f>
        <v/>
      </c>
    </row>
    <row r="2332">
      <c r="A2332" s="54">
        <f>IF(_imp!$C$2334="","",INDEX(_imp!$D$4:$D$4503,_imp!$C$2334))</f>
        <v/>
      </c>
      <c r="B2332" s="54">
        <f>IF(_imp!$C$2334="","",INDEX(_imp!$E$4:$E$4503,_imp!$C$2334))</f>
        <v/>
      </c>
      <c r="C2332" s="54">
        <f>IF(_imp!$C$2334="","",INDEX(_imp!$F$4:$F$4503,_imp!$C$2334))</f>
        <v/>
      </c>
      <c r="D2332" s="54">
        <f>IF(_imp!$C$2334="","",INDEX(_imp!$G$4:$G$4503,_imp!$C$2334))</f>
        <v/>
      </c>
      <c r="E2332" s="54">
        <f>IF(_imp!$C$2334="","",INDEX(_imp!$H$4:$H$4503,_imp!$C$2334))</f>
        <v/>
      </c>
      <c r="F2332" s="54">
        <f>IF(_imp!$C$2334="","",INDEX(_imp!$I$4:$I$4503,_imp!$C$2334))</f>
        <v/>
      </c>
      <c r="G2332" s="54">
        <f>IF(_imp!$C$2334="","",INDEX(_imp!$J$4:$J$4503,_imp!$C$2334))</f>
        <v/>
      </c>
      <c r="K2332" s="54">
        <f>IF(_imp!$C$2334="","",INDEX(_imp!$K$4:$K$4503,_imp!$C$2334))</f>
        <v/>
      </c>
    </row>
    <row r="2333">
      <c r="A2333" s="54">
        <f>IF(_imp!$C$2335="","",INDEX(_imp!$D$4:$D$4503,_imp!$C$2335))</f>
        <v/>
      </c>
      <c r="B2333" s="54">
        <f>IF(_imp!$C$2335="","",INDEX(_imp!$E$4:$E$4503,_imp!$C$2335))</f>
        <v/>
      </c>
      <c r="C2333" s="54">
        <f>IF(_imp!$C$2335="","",INDEX(_imp!$F$4:$F$4503,_imp!$C$2335))</f>
        <v/>
      </c>
      <c r="D2333" s="54">
        <f>IF(_imp!$C$2335="","",INDEX(_imp!$G$4:$G$4503,_imp!$C$2335))</f>
        <v/>
      </c>
      <c r="E2333" s="54">
        <f>IF(_imp!$C$2335="","",INDEX(_imp!$H$4:$H$4503,_imp!$C$2335))</f>
        <v/>
      </c>
      <c r="F2333" s="54">
        <f>IF(_imp!$C$2335="","",INDEX(_imp!$I$4:$I$4503,_imp!$C$2335))</f>
        <v/>
      </c>
      <c r="G2333" s="54">
        <f>IF(_imp!$C$2335="","",INDEX(_imp!$J$4:$J$4503,_imp!$C$2335))</f>
        <v/>
      </c>
      <c r="K2333" s="54">
        <f>IF(_imp!$C$2335="","",INDEX(_imp!$K$4:$K$4503,_imp!$C$2335))</f>
        <v/>
      </c>
    </row>
    <row r="2334">
      <c r="A2334" s="54">
        <f>IF(_imp!$C$2336="","",INDEX(_imp!$D$4:$D$4503,_imp!$C$2336))</f>
        <v/>
      </c>
      <c r="B2334" s="54">
        <f>IF(_imp!$C$2336="","",INDEX(_imp!$E$4:$E$4503,_imp!$C$2336))</f>
        <v/>
      </c>
      <c r="C2334" s="54">
        <f>IF(_imp!$C$2336="","",INDEX(_imp!$F$4:$F$4503,_imp!$C$2336))</f>
        <v/>
      </c>
      <c r="D2334" s="54">
        <f>IF(_imp!$C$2336="","",INDEX(_imp!$G$4:$G$4503,_imp!$C$2336))</f>
        <v/>
      </c>
      <c r="E2334" s="54">
        <f>IF(_imp!$C$2336="","",INDEX(_imp!$H$4:$H$4503,_imp!$C$2336))</f>
        <v/>
      </c>
      <c r="F2334" s="54">
        <f>IF(_imp!$C$2336="","",INDEX(_imp!$I$4:$I$4503,_imp!$C$2336))</f>
        <v/>
      </c>
      <c r="G2334" s="54">
        <f>IF(_imp!$C$2336="","",INDEX(_imp!$J$4:$J$4503,_imp!$C$2336))</f>
        <v/>
      </c>
      <c r="K2334" s="54">
        <f>IF(_imp!$C$2336="","",INDEX(_imp!$K$4:$K$4503,_imp!$C$2336))</f>
        <v/>
      </c>
    </row>
    <row r="2335">
      <c r="A2335" s="54">
        <f>IF(_imp!$C$2337="","",INDEX(_imp!$D$4:$D$4503,_imp!$C$2337))</f>
        <v/>
      </c>
      <c r="B2335" s="54">
        <f>IF(_imp!$C$2337="","",INDEX(_imp!$E$4:$E$4503,_imp!$C$2337))</f>
        <v/>
      </c>
      <c r="C2335" s="54">
        <f>IF(_imp!$C$2337="","",INDEX(_imp!$F$4:$F$4503,_imp!$C$2337))</f>
        <v/>
      </c>
      <c r="D2335" s="54">
        <f>IF(_imp!$C$2337="","",INDEX(_imp!$G$4:$G$4503,_imp!$C$2337))</f>
        <v/>
      </c>
      <c r="E2335" s="54">
        <f>IF(_imp!$C$2337="","",INDEX(_imp!$H$4:$H$4503,_imp!$C$2337))</f>
        <v/>
      </c>
      <c r="F2335" s="54">
        <f>IF(_imp!$C$2337="","",INDEX(_imp!$I$4:$I$4503,_imp!$C$2337))</f>
        <v/>
      </c>
      <c r="G2335" s="54">
        <f>IF(_imp!$C$2337="","",INDEX(_imp!$J$4:$J$4503,_imp!$C$2337))</f>
        <v/>
      </c>
      <c r="K2335" s="54">
        <f>IF(_imp!$C$2337="","",INDEX(_imp!$K$4:$K$4503,_imp!$C$2337))</f>
        <v/>
      </c>
    </row>
    <row r="2336">
      <c r="A2336" s="54">
        <f>IF(_imp!$C$2338="","",INDEX(_imp!$D$4:$D$4503,_imp!$C$2338))</f>
        <v/>
      </c>
      <c r="B2336" s="54">
        <f>IF(_imp!$C$2338="","",INDEX(_imp!$E$4:$E$4503,_imp!$C$2338))</f>
        <v/>
      </c>
      <c r="C2336" s="54">
        <f>IF(_imp!$C$2338="","",INDEX(_imp!$F$4:$F$4503,_imp!$C$2338))</f>
        <v/>
      </c>
      <c r="D2336" s="54">
        <f>IF(_imp!$C$2338="","",INDEX(_imp!$G$4:$G$4503,_imp!$C$2338))</f>
        <v/>
      </c>
      <c r="E2336" s="54">
        <f>IF(_imp!$C$2338="","",INDEX(_imp!$H$4:$H$4503,_imp!$C$2338))</f>
        <v/>
      </c>
      <c r="F2336" s="54">
        <f>IF(_imp!$C$2338="","",INDEX(_imp!$I$4:$I$4503,_imp!$C$2338))</f>
        <v/>
      </c>
      <c r="G2336" s="54">
        <f>IF(_imp!$C$2338="","",INDEX(_imp!$J$4:$J$4503,_imp!$C$2338))</f>
        <v/>
      </c>
      <c r="K2336" s="54">
        <f>IF(_imp!$C$2338="","",INDEX(_imp!$K$4:$K$4503,_imp!$C$2338))</f>
        <v/>
      </c>
    </row>
    <row r="2337">
      <c r="A2337" s="54">
        <f>IF(_imp!$C$2339="","",INDEX(_imp!$D$4:$D$4503,_imp!$C$2339))</f>
        <v/>
      </c>
      <c r="B2337" s="54">
        <f>IF(_imp!$C$2339="","",INDEX(_imp!$E$4:$E$4503,_imp!$C$2339))</f>
        <v/>
      </c>
      <c r="C2337" s="54">
        <f>IF(_imp!$C$2339="","",INDEX(_imp!$F$4:$F$4503,_imp!$C$2339))</f>
        <v/>
      </c>
      <c r="D2337" s="54">
        <f>IF(_imp!$C$2339="","",INDEX(_imp!$G$4:$G$4503,_imp!$C$2339))</f>
        <v/>
      </c>
      <c r="E2337" s="54">
        <f>IF(_imp!$C$2339="","",INDEX(_imp!$H$4:$H$4503,_imp!$C$2339))</f>
        <v/>
      </c>
      <c r="F2337" s="54">
        <f>IF(_imp!$C$2339="","",INDEX(_imp!$I$4:$I$4503,_imp!$C$2339))</f>
        <v/>
      </c>
      <c r="G2337" s="54">
        <f>IF(_imp!$C$2339="","",INDEX(_imp!$J$4:$J$4503,_imp!$C$2339))</f>
        <v/>
      </c>
      <c r="K2337" s="54">
        <f>IF(_imp!$C$2339="","",INDEX(_imp!$K$4:$K$4503,_imp!$C$2339))</f>
        <v/>
      </c>
    </row>
    <row r="2338">
      <c r="A2338" s="54">
        <f>IF(_imp!$C$2340="","",INDEX(_imp!$D$4:$D$4503,_imp!$C$2340))</f>
        <v/>
      </c>
      <c r="B2338" s="54">
        <f>IF(_imp!$C$2340="","",INDEX(_imp!$E$4:$E$4503,_imp!$C$2340))</f>
        <v/>
      </c>
      <c r="C2338" s="54">
        <f>IF(_imp!$C$2340="","",INDEX(_imp!$F$4:$F$4503,_imp!$C$2340))</f>
        <v/>
      </c>
      <c r="D2338" s="54">
        <f>IF(_imp!$C$2340="","",INDEX(_imp!$G$4:$G$4503,_imp!$C$2340))</f>
        <v/>
      </c>
      <c r="E2338" s="54">
        <f>IF(_imp!$C$2340="","",INDEX(_imp!$H$4:$H$4503,_imp!$C$2340))</f>
        <v/>
      </c>
      <c r="F2338" s="54">
        <f>IF(_imp!$C$2340="","",INDEX(_imp!$I$4:$I$4503,_imp!$C$2340))</f>
        <v/>
      </c>
      <c r="G2338" s="54">
        <f>IF(_imp!$C$2340="","",INDEX(_imp!$J$4:$J$4503,_imp!$C$2340))</f>
        <v/>
      </c>
      <c r="K2338" s="54">
        <f>IF(_imp!$C$2340="","",INDEX(_imp!$K$4:$K$4503,_imp!$C$2340))</f>
        <v/>
      </c>
    </row>
    <row r="2339">
      <c r="A2339" s="54">
        <f>IF(_imp!$C$2341="","",INDEX(_imp!$D$4:$D$4503,_imp!$C$2341))</f>
        <v/>
      </c>
      <c r="B2339" s="54">
        <f>IF(_imp!$C$2341="","",INDEX(_imp!$E$4:$E$4503,_imp!$C$2341))</f>
        <v/>
      </c>
      <c r="C2339" s="54">
        <f>IF(_imp!$C$2341="","",INDEX(_imp!$F$4:$F$4503,_imp!$C$2341))</f>
        <v/>
      </c>
      <c r="D2339" s="54">
        <f>IF(_imp!$C$2341="","",INDEX(_imp!$G$4:$G$4503,_imp!$C$2341))</f>
        <v/>
      </c>
      <c r="E2339" s="54">
        <f>IF(_imp!$C$2341="","",INDEX(_imp!$H$4:$H$4503,_imp!$C$2341))</f>
        <v/>
      </c>
      <c r="F2339" s="54">
        <f>IF(_imp!$C$2341="","",INDEX(_imp!$I$4:$I$4503,_imp!$C$2341))</f>
        <v/>
      </c>
      <c r="G2339" s="54">
        <f>IF(_imp!$C$2341="","",INDEX(_imp!$J$4:$J$4503,_imp!$C$2341))</f>
        <v/>
      </c>
      <c r="K2339" s="54">
        <f>IF(_imp!$C$2341="","",INDEX(_imp!$K$4:$K$4503,_imp!$C$2341))</f>
        <v/>
      </c>
    </row>
    <row r="2340">
      <c r="A2340" s="54">
        <f>IF(_imp!$C$2342="","",INDEX(_imp!$D$4:$D$4503,_imp!$C$2342))</f>
        <v/>
      </c>
      <c r="B2340" s="54">
        <f>IF(_imp!$C$2342="","",INDEX(_imp!$E$4:$E$4503,_imp!$C$2342))</f>
        <v/>
      </c>
      <c r="C2340" s="54">
        <f>IF(_imp!$C$2342="","",INDEX(_imp!$F$4:$F$4503,_imp!$C$2342))</f>
        <v/>
      </c>
      <c r="D2340" s="54">
        <f>IF(_imp!$C$2342="","",INDEX(_imp!$G$4:$G$4503,_imp!$C$2342))</f>
        <v/>
      </c>
      <c r="E2340" s="54">
        <f>IF(_imp!$C$2342="","",INDEX(_imp!$H$4:$H$4503,_imp!$C$2342))</f>
        <v/>
      </c>
      <c r="F2340" s="54">
        <f>IF(_imp!$C$2342="","",INDEX(_imp!$I$4:$I$4503,_imp!$C$2342))</f>
        <v/>
      </c>
      <c r="G2340" s="54">
        <f>IF(_imp!$C$2342="","",INDEX(_imp!$J$4:$J$4503,_imp!$C$2342))</f>
        <v/>
      </c>
      <c r="K2340" s="54">
        <f>IF(_imp!$C$2342="","",INDEX(_imp!$K$4:$K$4503,_imp!$C$2342))</f>
        <v/>
      </c>
    </row>
    <row r="2341">
      <c r="A2341" s="54">
        <f>IF(_imp!$C$2343="","",INDEX(_imp!$D$4:$D$4503,_imp!$C$2343))</f>
        <v/>
      </c>
      <c r="B2341" s="54">
        <f>IF(_imp!$C$2343="","",INDEX(_imp!$E$4:$E$4503,_imp!$C$2343))</f>
        <v/>
      </c>
      <c r="C2341" s="54">
        <f>IF(_imp!$C$2343="","",INDEX(_imp!$F$4:$F$4503,_imp!$C$2343))</f>
        <v/>
      </c>
      <c r="D2341" s="54">
        <f>IF(_imp!$C$2343="","",INDEX(_imp!$G$4:$G$4503,_imp!$C$2343))</f>
        <v/>
      </c>
      <c r="E2341" s="54">
        <f>IF(_imp!$C$2343="","",INDEX(_imp!$H$4:$H$4503,_imp!$C$2343))</f>
        <v/>
      </c>
      <c r="F2341" s="54">
        <f>IF(_imp!$C$2343="","",INDEX(_imp!$I$4:$I$4503,_imp!$C$2343))</f>
        <v/>
      </c>
      <c r="G2341" s="54">
        <f>IF(_imp!$C$2343="","",INDEX(_imp!$J$4:$J$4503,_imp!$C$2343))</f>
        <v/>
      </c>
      <c r="K2341" s="54">
        <f>IF(_imp!$C$2343="","",INDEX(_imp!$K$4:$K$4503,_imp!$C$2343))</f>
        <v/>
      </c>
    </row>
    <row r="2342">
      <c r="A2342" s="54">
        <f>IF(_imp!$C$2344="","",INDEX(_imp!$D$4:$D$4503,_imp!$C$2344))</f>
        <v/>
      </c>
      <c r="B2342" s="54">
        <f>IF(_imp!$C$2344="","",INDEX(_imp!$E$4:$E$4503,_imp!$C$2344))</f>
        <v/>
      </c>
      <c r="C2342" s="54">
        <f>IF(_imp!$C$2344="","",INDEX(_imp!$F$4:$F$4503,_imp!$C$2344))</f>
        <v/>
      </c>
      <c r="D2342" s="54">
        <f>IF(_imp!$C$2344="","",INDEX(_imp!$G$4:$G$4503,_imp!$C$2344))</f>
        <v/>
      </c>
      <c r="E2342" s="54">
        <f>IF(_imp!$C$2344="","",INDEX(_imp!$H$4:$H$4503,_imp!$C$2344))</f>
        <v/>
      </c>
      <c r="F2342" s="54">
        <f>IF(_imp!$C$2344="","",INDEX(_imp!$I$4:$I$4503,_imp!$C$2344))</f>
        <v/>
      </c>
      <c r="G2342" s="54">
        <f>IF(_imp!$C$2344="","",INDEX(_imp!$J$4:$J$4503,_imp!$C$2344))</f>
        <v/>
      </c>
      <c r="K2342" s="54">
        <f>IF(_imp!$C$2344="","",INDEX(_imp!$K$4:$K$4503,_imp!$C$2344))</f>
        <v/>
      </c>
    </row>
    <row r="2343">
      <c r="A2343" s="54">
        <f>IF(_imp!$C$2345="","",INDEX(_imp!$D$4:$D$4503,_imp!$C$2345))</f>
        <v/>
      </c>
      <c r="B2343" s="54">
        <f>IF(_imp!$C$2345="","",INDEX(_imp!$E$4:$E$4503,_imp!$C$2345))</f>
        <v/>
      </c>
      <c r="C2343" s="54">
        <f>IF(_imp!$C$2345="","",INDEX(_imp!$F$4:$F$4503,_imp!$C$2345))</f>
        <v/>
      </c>
      <c r="D2343" s="54">
        <f>IF(_imp!$C$2345="","",INDEX(_imp!$G$4:$G$4503,_imp!$C$2345))</f>
        <v/>
      </c>
      <c r="E2343" s="54">
        <f>IF(_imp!$C$2345="","",INDEX(_imp!$H$4:$H$4503,_imp!$C$2345))</f>
        <v/>
      </c>
      <c r="F2343" s="54">
        <f>IF(_imp!$C$2345="","",INDEX(_imp!$I$4:$I$4503,_imp!$C$2345))</f>
        <v/>
      </c>
      <c r="G2343" s="54">
        <f>IF(_imp!$C$2345="","",INDEX(_imp!$J$4:$J$4503,_imp!$C$2345))</f>
        <v/>
      </c>
      <c r="K2343" s="54">
        <f>IF(_imp!$C$2345="","",INDEX(_imp!$K$4:$K$4503,_imp!$C$2345))</f>
        <v/>
      </c>
    </row>
    <row r="2344">
      <c r="A2344" s="54">
        <f>IF(_imp!$C$2346="","",INDEX(_imp!$D$4:$D$4503,_imp!$C$2346))</f>
        <v/>
      </c>
      <c r="B2344" s="54">
        <f>IF(_imp!$C$2346="","",INDEX(_imp!$E$4:$E$4503,_imp!$C$2346))</f>
        <v/>
      </c>
      <c r="C2344" s="54">
        <f>IF(_imp!$C$2346="","",INDEX(_imp!$F$4:$F$4503,_imp!$C$2346))</f>
        <v/>
      </c>
      <c r="D2344" s="54">
        <f>IF(_imp!$C$2346="","",INDEX(_imp!$G$4:$G$4503,_imp!$C$2346))</f>
        <v/>
      </c>
      <c r="E2344" s="54">
        <f>IF(_imp!$C$2346="","",INDEX(_imp!$H$4:$H$4503,_imp!$C$2346))</f>
        <v/>
      </c>
      <c r="F2344" s="54">
        <f>IF(_imp!$C$2346="","",INDEX(_imp!$I$4:$I$4503,_imp!$C$2346))</f>
        <v/>
      </c>
      <c r="G2344" s="54">
        <f>IF(_imp!$C$2346="","",INDEX(_imp!$J$4:$J$4503,_imp!$C$2346))</f>
        <v/>
      </c>
      <c r="K2344" s="54">
        <f>IF(_imp!$C$2346="","",INDEX(_imp!$K$4:$K$4503,_imp!$C$2346))</f>
        <v/>
      </c>
    </row>
    <row r="2345">
      <c r="A2345" s="54">
        <f>IF(_imp!$C$2347="","",INDEX(_imp!$D$4:$D$4503,_imp!$C$2347))</f>
        <v/>
      </c>
      <c r="B2345" s="54">
        <f>IF(_imp!$C$2347="","",INDEX(_imp!$E$4:$E$4503,_imp!$C$2347))</f>
        <v/>
      </c>
      <c r="C2345" s="54">
        <f>IF(_imp!$C$2347="","",INDEX(_imp!$F$4:$F$4503,_imp!$C$2347))</f>
        <v/>
      </c>
      <c r="D2345" s="54">
        <f>IF(_imp!$C$2347="","",INDEX(_imp!$G$4:$G$4503,_imp!$C$2347))</f>
        <v/>
      </c>
      <c r="E2345" s="54">
        <f>IF(_imp!$C$2347="","",INDEX(_imp!$H$4:$H$4503,_imp!$C$2347))</f>
        <v/>
      </c>
      <c r="F2345" s="54">
        <f>IF(_imp!$C$2347="","",INDEX(_imp!$I$4:$I$4503,_imp!$C$2347))</f>
        <v/>
      </c>
      <c r="G2345" s="54">
        <f>IF(_imp!$C$2347="","",INDEX(_imp!$J$4:$J$4503,_imp!$C$2347))</f>
        <v/>
      </c>
      <c r="K2345" s="54">
        <f>IF(_imp!$C$2347="","",INDEX(_imp!$K$4:$K$4503,_imp!$C$2347))</f>
        <v/>
      </c>
    </row>
    <row r="2346">
      <c r="A2346" s="54">
        <f>IF(_imp!$C$2348="","",INDEX(_imp!$D$4:$D$4503,_imp!$C$2348))</f>
        <v/>
      </c>
      <c r="B2346" s="54">
        <f>IF(_imp!$C$2348="","",INDEX(_imp!$E$4:$E$4503,_imp!$C$2348))</f>
        <v/>
      </c>
      <c r="C2346" s="54">
        <f>IF(_imp!$C$2348="","",INDEX(_imp!$F$4:$F$4503,_imp!$C$2348))</f>
        <v/>
      </c>
      <c r="D2346" s="54">
        <f>IF(_imp!$C$2348="","",INDEX(_imp!$G$4:$G$4503,_imp!$C$2348))</f>
        <v/>
      </c>
      <c r="E2346" s="54">
        <f>IF(_imp!$C$2348="","",INDEX(_imp!$H$4:$H$4503,_imp!$C$2348))</f>
        <v/>
      </c>
      <c r="F2346" s="54">
        <f>IF(_imp!$C$2348="","",INDEX(_imp!$I$4:$I$4503,_imp!$C$2348))</f>
        <v/>
      </c>
      <c r="G2346" s="54">
        <f>IF(_imp!$C$2348="","",INDEX(_imp!$J$4:$J$4503,_imp!$C$2348))</f>
        <v/>
      </c>
      <c r="K2346" s="54">
        <f>IF(_imp!$C$2348="","",INDEX(_imp!$K$4:$K$4503,_imp!$C$2348))</f>
        <v/>
      </c>
    </row>
    <row r="2347">
      <c r="A2347" s="54">
        <f>IF(_imp!$C$2349="","",INDEX(_imp!$D$4:$D$4503,_imp!$C$2349))</f>
        <v/>
      </c>
      <c r="B2347" s="54">
        <f>IF(_imp!$C$2349="","",INDEX(_imp!$E$4:$E$4503,_imp!$C$2349))</f>
        <v/>
      </c>
      <c r="C2347" s="54">
        <f>IF(_imp!$C$2349="","",INDEX(_imp!$F$4:$F$4503,_imp!$C$2349))</f>
        <v/>
      </c>
      <c r="D2347" s="54">
        <f>IF(_imp!$C$2349="","",INDEX(_imp!$G$4:$G$4503,_imp!$C$2349))</f>
        <v/>
      </c>
      <c r="E2347" s="54">
        <f>IF(_imp!$C$2349="","",INDEX(_imp!$H$4:$H$4503,_imp!$C$2349))</f>
        <v/>
      </c>
      <c r="F2347" s="54">
        <f>IF(_imp!$C$2349="","",INDEX(_imp!$I$4:$I$4503,_imp!$C$2349))</f>
        <v/>
      </c>
      <c r="G2347" s="54">
        <f>IF(_imp!$C$2349="","",INDEX(_imp!$J$4:$J$4503,_imp!$C$2349))</f>
        <v/>
      </c>
      <c r="K2347" s="54">
        <f>IF(_imp!$C$2349="","",INDEX(_imp!$K$4:$K$4503,_imp!$C$2349))</f>
        <v/>
      </c>
    </row>
    <row r="2348">
      <c r="A2348" s="54">
        <f>IF(_imp!$C$2350="","",INDEX(_imp!$D$4:$D$4503,_imp!$C$2350))</f>
        <v/>
      </c>
      <c r="B2348" s="54">
        <f>IF(_imp!$C$2350="","",INDEX(_imp!$E$4:$E$4503,_imp!$C$2350))</f>
        <v/>
      </c>
      <c r="C2348" s="54">
        <f>IF(_imp!$C$2350="","",INDEX(_imp!$F$4:$F$4503,_imp!$C$2350))</f>
        <v/>
      </c>
      <c r="D2348" s="54">
        <f>IF(_imp!$C$2350="","",INDEX(_imp!$G$4:$G$4503,_imp!$C$2350))</f>
        <v/>
      </c>
      <c r="E2348" s="54">
        <f>IF(_imp!$C$2350="","",INDEX(_imp!$H$4:$H$4503,_imp!$C$2350))</f>
        <v/>
      </c>
      <c r="F2348" s="54">
        <f>IF(_imp!$C$2350="","",INDEX(_imp!$I$4:$I$4503,_imp!$C$2350))</f>
        <v/>
      </c>
      <c r="G2348" s="54">
        <f>IF(_imp!$C$2350="","",INDEX(_imp!$J$4:$J$4503,_imp!$C$2350))</f>
        <v/>
      </c>
      <c r="K2348" s="54">
        <f>IF(_imp!$C$2350="","",INDEX(_imp!$K$4:$K$4503,_imp!$C$2350))</f>
        <v/>
      </c>
    </row>
    <row r="2349">
      <c r="A2349" s="54">
        <f>IF(_imp!$C$2351="","",INDEX(_imp!$D$4:$D$4503,_imp!$C$2351))</f>
        <v/>
      </c>
      <c r="B2349" s="54">
        <f>IF(_imp!$C$2351="","",INDEX(_imp!$E$4:$E$4503,_imp!$C$2351))</f>
        <v/>
      </c>
      <c r="C2349" s="54">
        <f>IF(_imp!$C$2351="","",INDEX(_imp!$F$4:$F$4503,_imp!$C$2351))</f>
        <v/>
      </c>
      <c r="D2349" s="54">
        <f>IF(_imp!$C$2351="","",INDEX(_imp!$G$4:$G$4503,_imp!$C$2351))</f>
        <v/>
      </c>
      <c r="E2349" s="54">
        <f>IF(_imp!$C$2351="","",INDEX(_imp!$H$4:$H$4503,_imp!$C$2351))</f>
        <v/>
      </c>
      <c r="F2349" s="54">
        <f>IF(_imp!$C$2351="","",INDEX(_imp!$I$4:$I$4503,_imp!$C$2351))</f>
        <v/>
      </c>
      <c r="G2349" s="54">
        <f>IF(_imp!$C$2351="","",INDEX(_imp!$J$4:$J$4503,_imp!$C$2351))</f>
        <v/>
      </c>
      <c r="K2349" s="54">
        <f>IF(_imp!$C$2351="","",INDEX(_imp!$K$4:$K$4503,_imp!$C$2351))</f>
        <v/>
      </c>
    </row>
    <row r="2350">
      <c r="A2350" s="54">
        <f>IF(_imp!$C$2352="","",INDEX(_imp!$D$4:$D$4503,_imp!$C$2352))</f>
        <v/>
      </c>
      <c r="B2350" s="54">
        <f>IF(_imp!$C$2352="","",INDEX(_imp!$E$4:$E$4503,_imp!$C$2352))</f>
        <v/>
      </c>
      <c r="C2350" s="54">
        <f>IF(_imp!$C$2352="","",INDEX(_imp!$F$4:$F$4503,_imp!$C$2352))</f>
        <v/>
      </c>
      <c r="D2350" s="54">
        <f>IF(_imp!$C$2352="","",INDEX(_imp!$G$4:$G$4503,_imp!$C$2352))</f>
        <v/>
      </c>
      <c r="E2350" s="54">
        <f>IF(_imp!$C$2352="","",INDEX(_imp!$H$4:$H$4503,_imp!$C$2352))</f>
        <v/>
      </c>
      <c r="F2350" s="54">
        <f>IF(_imp!$C$2352="","",INDEX(_imp!$I$4:$I$4503,_imp!$C$2352))</f>
        <v/>
      </c>
      <c r="G2350" s="54">
        <f>IF(_imp!$C$2352="","",INDEX(_imp!$J$4:$J$4503,_imp!$C$2352))</f>
        <v/>
      </c>
      <c r="K2350" s="54">
        <f>IF(_imp!$C$2352="","",INDEX(_imp!$K$4:$K$4503,_imp!$C$2352))</f>
        <v/>
      </c>
    </row>
    <row r="2351">
      <c r="A2351" s="54">
        <f>IF(_imp!$C$2353="","",INDEX(_imp!$D$4:$D$4503,_imp!$C$2353))</f>
        <v/>
      </c>
      <c r="B2351" s="54">
        <f>IF(_imp!$C$2353="","",INDEX(_imp!$E$4:$E$4503,_imp!$C$2353))</f>
        <v/>
      </c>
      <c r="C2351" s="54">
        <f>IF(_imp!$C$2353="","",INDEX(_imp!$F$4:$F$4503,_imp!$C$2353))</f>
        <v/>
      </c>
      <c r="D2351" s="54">
        <f>IF(_imp!$C$2353="","",INDEX(_imp!$G$4:$G$4503,_imp!$C$2353))</f>
        <v/>
      </c>
      <c r="E2351" s="54">
        <f>IF(_imp!$C$2353="","",INDEX(_imp!$H$4:$H$4503,_imp!$C$2353))</f>
        <v/>
      </c>
      <c r="F2351" s="54">
        <f>IF(_imp!$C$2353="","",INDEX(_imp!$I$4:$I$4503,_imp!$C$2353))</f>
        <v/>
      </c>
      <c r="G2351" s="54">
        <f>IF(_imp!$C$2353="","",INDEX(_imp!$J$4:$J$4503,_imp!$C$2353))</f>
        <v/>
      </c>
      <c r="K2351" s="54">
        <f>IF(_imp!$C$2353="","",INDEX(_imp!$K$4:$K$4503,_imp!$C$2353))</f>
        <v/>
      </c>
    </row>
    <row r="2352">
      <c r="A2352" s="54">
        <f>IF(_imp!$C$2354="","",INDEX(_imp!$D$4:$D$4503,_imp!$C$2354))</f>
        <v/>
      </c>
      <c r="B2352" s="54">
        <f>IF(_imp!$C$2354="","",INDEX(_imp!$E$4:$E$4503,_imp!$C$2354))</f>
        <v/>
      </c>
      <c r="C2352" s="54">
        <f>IF(_imp!$C$2354="","",INDEX(_imp!$F$4:$F$4503,_imp!$C$2354))</f>
        <v/>
      </c>
      <c r="D2352" s="54">
        <f>IF(_imp!$C$2354="","",INDEX(_imp!$G$4:$G$4503,_imp!$C$2354))</f>
        <v/>
      </c>
      <c r="E2352" s="54">
        <f>IF(_imp!$C$2354="","",INDEX(_imp!$H$4:$H$4503,_imp!$C$2354))</f>
        <v/>
      </c>
      <c r="F2352" s="54">
        <f>IF(_imp!$C$2354="","",INDEX(_imp!$I$4:$I$4503,_imp!$C$2354))</f>
        <v/>
      </c>
      <c r="G2352" s="54">
        <f>IF(_imp!$C$2354="","",INDEX(_imp!$J$4:$J$4503,_imp!$C$2354))</f>
        <v/>
      </c>
      <c r="K2352" s="54">
        <f>IF(_imp!$C$2354="","",INDEX(_imp!$K$4:$K$4503,_imp!$C$2354))</f>
        <v/>
      </c>
    </row>
    <row r="2353">
      <c r="A2353" s="54">
        <f>IF(_imp!$C$2355="","",INDEX(_imp!$D$4:$D$4503,_imp!$C$2355))</f>
        <v/>
      </c>
      <c r="B2353" s="54">
        <f>IF(_imp!$C$2355="","",INDEX(_imp!$E$4:$E$4503,_imp!$C$2355))</f>
        <v/>
      </c>
      <c r="C2353" s="54">
        <f>IF(_imp!$C$2355="","",INDEX(_imp!$F$4:$F$4503,_imp!$C$2355))</f>
        <v/>
      </c>
      <c r="D2353" s="54">
        <f>IF(_imp!$C$2355="","",INDEX(_imp!$G$4:$G$4503,_imp!$C$2355))</f>
        <v/>
      </c>
      <c r="E2353" s="54">
        <f>IF(_imp!$C$2355="","",INDEX(_imp!$H$4:$H$4503,_imp!$C$2355))</f>
        <v/>
      </c>
      <c r="F2353" s="54">
        <f>IF(_imp!$C$2355="","",INDEX(_imp!$I$4:$I$4503,_imp!$C$2355))</f>
        <v/>
      </c>
      <c r="G2353" s="54">
        <f>IF(_imp!$C$2355="","",INDEX(_imp!$J$4:$J$4503,_imp!$C$2355))</f>
        <v/>
      </c>
      <c r="K2353" s="54">
        <f>IF(_imp!$C$2355="","",INDEX(_imp!$K$4:$K$4503,_imp!$C$2355))</f>
        <v/>
      </c>
    </row>
    <row r="2354">
      <c r="A2354" s="54">
        <f>IF(_imp!$C$2356="","",INDEX(_imp!$D$4:$D$4503,_imp!$C$2356))</f>
        <v/>
      </c>
      <c r="B2354" s="54">
        <f>IF(_imp!$C$2356="","",INDEX(_imp!$E$4:$E$4503,_imp!$C$2356))</f>
        <v/>
      </c>
      <c r="C2354" s="54">
        <f>IF(_imp!$C$2356="","",INDEX(_imp!$F$4:$F$4503,_imp!$C$2356))</f>
        <v/>
      </c>
      <c r="D2354" s="54">
        <f>IF(_imp!$C$2356="","",INDEX(_imp!$G$4:$G$4503,_imp!$C$2356))</f>
        <v/>
      </c>
      <c r="E2354" s="54">
        <f>IF(_imp!$C$2356="","",INDEX(_imp!$H$4:$H$4503,_imp!$C$2356))</f>
        <v/>
      </c>
      <c r="F2354" s="54">
        <f>IF(_imp!$C$2356="","",INDEX(_imp!$I$4:$I$4503,_imp!$C$2356))</f>
        <v/>
      </c>
      <c r="G2354" s="54">
        <f>IF(_imp!$C$2356="","",INDEX(_imp!$J$4:$J$4503,_imp!$C$2356))</f>
        <v/>
      </c>
      <c r="K2354" s="54">
        <f>IF(_imp!$C$2356="","",INDEX(_imp!$K$4:$K$4503,_imp!$C$2356))</f>
        <v/>
      </c>
    </row>
    <row r="2355">
      <c r="A2355" s="54">
        <f>IF(_imp!$C$2357="","",INDEX(_imp!$D$4:$D$4503,_imp!$C$2357))</f>
        <v/>
      </c>
      <c r="B2355" s="54">
        <f>IF(_imp!$C$2357="","",INDEX(_imp!$E$4:$E$4503,_imp!$C$2357))</f>
        <v/>
      </c>
      <c r="C2355" s="54">
        <f>IF(_imp!$C$2357="","",INDEX(_imp!$F$4:$F$4503,_imp!$C$2357))</f>
        <v/>
      </c>
      <c r="D2355" s="54">
        <f>IF(_imp!$C$2357="","",INDEX(_imp!$G$4:$G$4503,_imp!$C$2357))</f>
        <v/>
      </c>
      <c r="E2355" s="54">
        <f>IF(_imp!$C$2357="","",INDEX(_imp!$H$4:$H$4503,_imp!$C$2357))</f>
        <v/>
      </c>
      <c r="F2355" s="54">
        <f>IF(_imp!$C$2357="","",INDEX(_imp!$I$4:$I$4503,_imp!$C$2357))</f>
        <v/>
      </c>
      <c r="G2355" s="54">
        <f>IF(_imp!$C$2357="","",INDEX(_imp!$J$4:$J$4503,_imp!$C$2357))</f>
        <v/>
      </c>
      <c r="K2355" s="54">
        <f>IF(_imp!$C$2357="","",INDEX(_imp!$K$4:$K$4503,_imp!$C$2357))</f>
        <v/>
      </c>
    </row>
    <row r="2356">
      <c r="A2356" s="54">
        <f>IF(_imp!$C$2358="","",INDEX(_imp!$D$4:$D$4503,_imp!$C$2358))</f>
        <v/>
      </c>
      <c r="B2356" s="54">
        <f>IF(_imp!$C$2358="","",INDEX(_imp!$E$4:$E$4503,_imp!$C$2358))</f>
        <v/>
      </c>
      <c r="C2356" s="54">
        <f>IF(_imp!$C$2358="","",INDEX(_imp!$F$4:$F$4503,_imp!$C$2358))</f>
        <v/>
      </c>
      <c r="D2356" s="54">
        <f>IF(_imp!$C$2358="","",INDEX(_imp!$G$4:$G$4503,_imp!$C$2358))</f>
        <v/>
      </c>
      <c r="E2356" s="54">
        <f>IF(_imp!$C$2358="","",INDEX(_imp!$H$4:$H$4503,_imp!$C$2358))</f>
        <v/>
      </c>
      <c r="F2356" s="54">
        <f>IF(_imp!$C$2358="","",INDEX(_imp!$I$4:$I$4503,_imp!$C$2358))</f>
        <v/>
      </c>
      <c r="G2356" s="54">
        <f>IF(_imp!$C$2358="","",INDEX(_imp!$J$4:$J$4503,_imp!$C$2358))</f>
        <v/>
      </c>
      <c r="K2356" s="54">
        <f>IF(_imp!$C$2358="","",INDEX(_imp!$K$4:$K$4503,_imp!$C$2358))</f>
        <v/>
      </c>
    </row>
    <row r="2357">
      <c r="A2357" s="54">
        <f>IF(_imp!$C$2359="","",INDEX(_imp!$D$4:$D$4503,_imp!$C$2359))</f>
        <v/>
      </c>
      <c r="B2357" s="54">
        <f>IF(_imp!$C$2359="","",INDEX(_imp!$E$4:$E$4503,_imp!$C$2359))</f>
        <v/>
      </c>
      <c r="C2357" s="54">
        <f>IF(_imp!$C$2359="","",INDEX(_imp!$F$4:$F$4503,_imp!$C$2359))</f>
        <v/>
      </c>
      <c r="D2357" s="54">
        <f>IF(_imp!$C$2359="","",INDEX(_imp!$G$4:$G$4503,_imp!$C$2359))</f>
        <v/>
      </c>
      <c r="E2357" s="54">
        <f>IF(_imp!$C$2359="","",INDEX(_imp!$H$4:$H$4503,_imp!$C$2359))</f>
        <v/>
      </c>
      <c r="F2357" s="54">
        <f>IF(_imp!$C$2359="","",INDEX(_imp!$I$4:$I$4503,_imp!$C$2359))</f>
        <v/>
      </c>
      <c r="G2357" s="54">
        <f>IF(_imp!$C$2359="","",INDEX(_imp!$J$4:$J$4503,_imp!$C$2359))</f>
        <v/>
      </c>
      <c r="K2357" s="54">
        <f>IF(_imp!$C$2359="","",INDEX(_imp!$K$4:$K$4503,_imp!$C$2359))</f>
        <v/>
      </c>
    </row>
    <row r="2358">
      <c r="A2358" s="54">
        <f>IF(_imp!$C$2360="","",INDEX(_imp!$D$4:$D$4503,_imp!$C$2360))</f>
        <v/>
      </c>
      <c r="B2358" s="54">
        <f>IF(_imp!$C$2360="","",INDEX(_imp!$E$4:$E$4503,_imp!$C$2360))</f>
        <v/>
      </c>
      <c r="C2358" s="54">
        <f>IF(_imp!$C$2360="","",INDEX(_imp!$F$4:$F$4503,_imp!$C$2360))</f>
        <v/>
      </c>
      <c r="D2358" s="54">
        <f>IF(_imp!$C$2360="","",INDEX(_imp!$G$4:$G$4503,_imp!$C$2360))</f>
        <v/>
      </c>
      <c r="E2358" s="54">
        <f>IF(_imp!$C$2360="","",INDEX(_imp!$H$4:$H$4503,_imp!$C$2360))</f>
        <v/>
      </c>
      <c r="F2358" s="54">
        <f>IF(_imp!$C$2360="","",INDEX(_imp!$I$4:$I$4503,_imp!$C$2360))</f>
        <v/>
      </c>
      <c r="G2358" s="54">
        <f>IF(_imp!$C$2360="","",INDEX(_imp!$J$4:$J$4503,_imp!$C$2360))</f>
        <v/>
      </c>
      <c r="K2358" s="54">
        <f>IF(_imp!$C$2360="","",INDEX(_imp!$K$4:$K$4503,_imp!$C$2360))</f>
        <v/>
      </c>
    </row>
    <row r="2359">
      <c r="A2359" s="54">
        <f>IF(_imp!$C$2361="","",INDEX(_imp!$D$4:$D$4503,_imp!$C$2361))</f>
        <v/>
      </c>
      <c r="B2359" s="54">
        <f>IF(_imp!$C$2361="","",INDEX(_imp!$E$4:$E$4503,_imp!$C$2361))</f>
        <v/>
      </c>
      <c r="C2359" s="54">
        <f>IF(_imp!$C$2361="","",INDEX(_imp!$F$4:$F$4503,_imp!$C$2361))</f>
        <v/>
      </c>
      <c r="D2359" s="54">
        <f>IF(_imp!$C$2361="","",INDEX(_imp!$G$4:$G$4503,_imp!$C$2361))</f>
        <v/>
      </c>
      <c r="E2359" s="54">
        <f>IF(_imp!$C$2361="","",INDEX(_imp!$H$4:$H$4503,_imp!$C$2361))</f>
        <v/>
      </c>
      <c r="F2359" s="54">
        <f>IF(_imp!$C$2361="","",INDEX(_imp!$I$4:$I$4503,_imp!$C$2361))</f>
        <v/>
      </c>
      <c r="G2359" s="54">
        <f>IF(_imp!$C$2361="","",INDEX(_imp!$J$4:$J$4503,_imp!$C$2361))</f>
        <v/>
      </c>
      <c r="K2359" s="54">
        <f>IF(_imp!$C$2361="","",INDEX(_imp!$K$4:$K$4503,_imp!$C$2361))</f>
        <v/>
      </c>
    </row>
    <row r="2360">
      <c r="A2360" s="54">
        <f>IF(_imp!$C$2362="","",INDEX(_imp!$D$4:$D$4503,_imp!$C$2362))</f>
        <v/>
      </c>
      <c r="B2360" s="54">
        <f>IF(_imp!$C$2362="","",INDEX(_imp!$E$4:$E$4503,_imp!$C$2362))</f>
        <v/>
      </c>
      <c r="C2360" s="54">
        <f>IF(_imp!$C$2362="","",INDEX(_imp!$F$4:$F$4503,_imp!$C$2362))</f>
        <v/>
      </c>
      <c r="D2360" s="54">
        <f>IF(_imp!$C$2362="","",INDEX(_imp!$G$4:$G$4503,_imp!$C$2362))</f>
        <v/>
      </c>
      <c r="E2360" s="54">
        <f>IF(_imp!$C$2362="","",INDEX(_imp!$H$4:$H$4503,_imp!$C$2362))</f>
        <v/>
      </c>
      <c r="F2360" s="54">
        <f>IF(_imp!$C$2362="","",INDEX(_imp!$I$4:$I$4503,_imp!$C$2362))</f>
        <v/>
      </c>
      <c r="G2360" s="54">
        <f>IF(_imp!$C$2362="","",INDEX(_imp!$J$4:$J$4503,_imp!$C$2362))</f>
        <v/>
      </c>
      <c r="K2360" s="54">
        <f>IF(_imp!$C$2362="","",INDEX(_imp!$K$4:$K$4503,_imp!$C$2362))</f>
        <v/>
      </c>
    </row>
    <row r="2361">
      <c r="A2361" s="54">
        <f>IF(_imp!$C$2363="","",INDEX(_imp!$D$4:$D$4503,_imp!$C$2363))</f>
        <v/>
      </c>
      <c r="B2361" s="54">
        <f>IF(_imp!$C$2363="","",INDEX(_imp!$E$4:$E$4503,_imp!$C$2363))</f>
        <v/>
      </c>
      <c r="C2361" s="54">
        <f>IF(_imp!$C$2363="","",INDEX(_imp!$F$4:$F$4503,_imp!$C$2363))</f>
        <v/>
      </c>
      <c r="D2361" s="54">
        <f>IF(_imp!$C$2363="","",INDEX(_imp!$G$4:$G$4503,_imp!$C$2363))</f>
        <v/>
      </c>
      <c r="E2361" s="54">
        <f>IF(_imp!$C$2363="","",INDEX(_imp!$H$4:$H$4503,_imp!$C$2363))</f>
        <v/>
      </c>
      <c r="F2361" s="54">
        <f>IF(_imp!$C$2363="","",INDEX(_imp!$I$4:$I$4503,_imp!$C$2363))</f>
        <v/>
      </c>
      <c r="G2361" s="54">
        <f>IF(_imp!$C$2363="","",INDEX(_imp!$J$4:$J$4503,_imp!$C$2363))</f>
        <v/>
      </c>
      <c r="K2361" s="54">
        <f>IF(_imp!$C$2363="","",INDEX(_imp!$K$4:$K$4503,_imp!$C$2363))</f>
        <v/>
      </c>
    </row>
    <row r="2362">
      <c r="A2362" s="54">
        <f>IF(_imp!$C$2364="","",INDEX(_imp!$D$4:$D$4503,_imp!$C$2364))</f>
        <v/>
      </c>
      <c r="B2362" s="54">
        <f>IF(_imp!$C$2364="","",INDEX(_imp!$E$4:$E$4503,_imp!$C$2364))</f>
        <v/>
      </c>
      <c r="C2362" s="54">
        <f>IF(_imp!$C$2364="","",INDEX(_imp!$F$4:$F$4503,_imp!$C$2364))</f>
        <v/>
      </c>
      <c r="D2362" s="54">
        <f>IF(_imp!$C$2364="","",INDEX(_imp!$G$4:$G$4503,_imp!$C$2364))</f>
        <v/>
      </c>
      <c r="E2362" s="54">
        <f>IF(_imp!$C$2364="","",INDEX(_imp!$H$4:$H$4503,_imp!$C$2364))</f>
        <v/>
      </c>
      <c r="F2362" s="54">
        <f>IF(_imp!$C$2364="","",INDEX(_imp!$I$4:$I$4503,_imp!$C$2364))</f>
        <v/>
      </c>
      <c r="G2362" s="54">
        <f>IF(_imp!$C$2364="","",INDEX(_imp!$J$4:$J$4503,_imp!$C$2364))</f>
        <v/>
      </c>
      <c r="K2362" s="54">
        <f>IF(_imp!$C$2364="","",INDEX(_imp!$K$4:$K$4503,_imp!$C$2364))</f>
        <v/>
      </c>
    </row>
    <row r="2363">
      <c r="A2363" s="54">
        <f>IF(_imp!$C$2365="","",INDEX(_imp!$D$4:$D$4503,_imp!$C$2365))</f>
        <v/>
      </c>
      <c r="B2363" s="54">
        <f>IF(_imp!$C$2365="","",INDEX(_imp!$E$4:$E$4503,_imp!$C$2365))</f>
        <v/>
      </c>
      <c r="C2363" s="54">
        <f>IF(_imp!$C$2365="","",INDEX(_imp!$F$4:$F$4503,_imp!$C$2365))</f>
        <v/>
      </c>
      <c r="D2363" s="54">
        <f>IF(_imp!$C$2365="","",INDEX(_imp!$G$4:$G$4503,_imp!$C$2365))</f>
        <v/>
      </c>
      <c r="E2363" s="54">
        <f>IF(_imp!$C$2365="","",INDEX(_imp!$H$4:$H$4503,_imp!$C$2365))</f>
        <v/>
      </c>
      <c r="F2363" s="54">
        <f>IF(_imp!$C$2365="","",INDEX(_imp!$I$4:$I$4503,_imp!$C$2365))</f>
        <v/>
      </c>
      <c r="G2363" s="54">
        <f>IF(_imp!$C$2365="","",INDEX(_imp!$J$4:$J$4503,_imp!$C$2365))</f>
        <v/>
      </c>
      <c r="K2363" s="54">
        <f>IF(_imp!$C$2365="","",INDEX(_imp!$K$4:$K$4503,_imp!$C$2365))</f>
        <v/>
      </c>
    </row>
    <row r="2364">
      <c r="A2364" s="54">
        <f>IF(_imp!$C$2366="","",INDEX(_imp!$D$4:$D$4503,_imp!$C$2366))</f>
        <v/>
      </c>
      <c r="B2364" s="54">
        <f>IF(_imp!$C$2366="","",INDEX(_imp!$E$4:$E$4503,_imp!$C$2366))</f>
        <v/>
      </c>
      <c r="C2364" s="54">
        <f>IF(_imp!$C$2366="","",INDEX(_imp!$F$4:$F$4503,_imp!$C$2366))</f>
        <v/>
      </c>
      <c r="D2364" s="54">
        <f>IF(_imp!$C$2366="","",INDEX(_imp!$G$4:$G$4503,_imp!$C$2366))</f>
        <v/>
      </c>
      <c r="E2364" s="54">
        <f>IF(_imp!$C$2366="","",INDEX(_imp!$H$4:$H$4503,_imp!$C$2366))</f>
        <v/>
      </c>
      <c r="F2364" s="54">
        <f>IF(_imp!$C$2366="","",INDEX(_imp!$I$4:$I$4503,_imp!$C$2366))</f>
        <v/>
      </c>
      <c r="G2364" s="54">
        <f>IF(_imp!$C$2366="","",INDEX(_imp!$J$4:$J$4503,_imp!$C$2366))</f>
        <v/>
      </c>
      <c r="K2364" s="54">
        <f>IF(_imp!$C$2366="","",INDEX(_imp!$K$4:$K$4503,_imp!$C$2366))</f>
        <v/>
      </c>
    </row>
    <row r="2365">
      <c r="A2365" s="54">
        <f>IF(_imp!$C$2367="","",INDEX(_imp!$D$4:$D$4503,_imp!$C$2367))</f>
        <v/>
      </c>
      <c r="B2365" s="54">
        <f>IF(_imp!$C$2367="","",INDEX(_imp!$E$4:$E$4503,_imp!$C$2367))</f>
        <v/>
      </c>
      <c r="C2365" s="54">
        <f>IF(_imp!$C$2367="","",INDEX(_imp!$F$4:$F$4503,_imp!$C$2367))</f>
        <v/>
      </c>
      <c r="D2365" s="54">
        <f>IF(_imp!$C$2367="","",INDEX(_imp!$G$4:$G$4503,_imp!$C$2367))</f>
        <v/>
      </c>
      <c r="E2365" s="54">
        <f>IF(_imp!$C$2367="","",INDEX(_imp!$H$4:$H$4503,_imp!$C$2367))</f>
        <v/>
      </c>
      <c r="F2365" s="54">
        <f>IF(_imp!$C$2367="","",INDEX(_imp!$I$4:$I$4503,_imp!$C$2367))</f>
        <v/>
      </c>
      <c r="G2365" s="54">
        <f>IF(_imp!$C$2367="","",INDEX(_imp!$J$4:$J$4503,_imp!$C$2367))</f>
        <v/>
      </c>
      <c r="K2365" s="54">
        <f>IF(_imp!$C$2367="","",INDEX(_imp!$K$4:$K$4503,_imp!$C$2367))</f>
        <v/>
      </c>
    </row>
    <row r="2366">
      <c r="A2366" s="54">
        <f>IF(_imp!$C$2368="","",INDEX(_imp!$D$4:$D$4503,_imp!$C$2368))</f>
        <v/>
      </c>
      <c r="B2366" s="54">
        <f>IF(_imp!$C$2368="","",INDEX(_imp!$E$4:$E$4503,_imp!$C$2368))</f>
        <v/>
      </c>
      <c r="C2366" s="54">
        <f>IF(_imp!$C$2368="","",INDEX(_imp!$F$4:$F$4503,_imp!$C$2368))</f>
        <v/>
      </c>
      <c r="D2366" s="54">
        <f>IF(_imp!$C$2368="","",INDEX(_imp!$G$4:$G$4503,_imp!$C$2368))</f>
        <v/>
      </c>
      <c r="E2366" s="54">
        <f>IF(_imp!$C$2368="","",INDEX(_imp!$H$4:$H$4503,_imp!$C$2368))</f>
        <v/>
      </c>
      <c r="F2366" s="54">
        <f>IF(_imp!$C$2368="","",INDEX(_imp!$I$4:$I$4503,_imp!$C$2368))</f>
        <v/>
      </c>
      <c r="G2366" s="54">
        <f>IF(_imp!$C$2368="","",INDEX(_imp!$J$4:$J$4503,_imp!$C$2368))</f>
        <v/>
      </c>
      <c r="K2366" s="54">
        <f>IF(_imp!$C$2368="","",INDEX(_imp!$K$4:$K$4503,_imp!$C$2368))</f>
        <v/>
      </c>
    </row>
    <row r="2367">
      <c r="A2367" s="54">
        <f>IF(_imp!$C$2369="","",INDEX(_imp!$D$4:$D$4503,_imp!$C$2369))</f>
        <v/>
      </c>
      <c r="B2367" s="54">
        <f>IF(_imp!$C$2369="","",INDEX(_imp!$E$4:$E$4503,_imp!$C$2369))</f>
        <v/>
      </c>
      <c r="C2367" s="54">
        <f>IF(_imp!$C$2369="","",INDEX(_imp!$F$4:$F$4503,_imp!$C$2369))</f>
        <v/>
      </c>
      <c r="D2367" s="54">
        <f>IF(_imp!$C$2369="","",INDEX(_imp!$G$4:$G$4503,_imp!$C$2369))</f>
        <v/>
      </c>
      <c r="E2367" s="54">
        <f>IF(_imp!$C$2369="","",INDEX(_imp!$H$4:$H$4503,_imp!$C$2369))</f>
        <v/>
      </c>
      <c r="F2367" s="54">
        <f>IF(_imp!$C$2369="","",INDEX(_imp!$I$4:$I$4503,_imp!$C$2369))</f>
        <v/>
      </c>
      <c r="G2367" s="54">
        <f>IF(_imp!$C$2369="","",INDEX(_imp!$J$4:$J$4503,_imp!$C$2369))</f>
        <v/>
      </c>
      <c r="K2367" s="54">
        <f>IF(_imp!$C$2369="","",INDEX(_imp!$K$4:$K$4503,_imp!$C$2369))</f>
        <v/>
      </c>
    </row>
    <row r="2368">
      <c r="A2368" s="54">
        <f>IF(_imp!$C$2370="","",INDEX(_imp!$D$4:$D$4503,_imp!$C$2370))</f>
        <v/>
      </c>
      <c r="B2368" s="54">
        <f>IF(_imp!$C$2370="","",INDEX(_imp!$E$4:$E$4503,_imp!$C$2370))</f>
        <v/>
      </c>
      <c r="C2368" s="54">
        <f>IF(_imp!$C$2370="","",INDEX(_imp!$F$4:$F$4503,_imp!$C$2370))</f>
        <v/>
      </c>
      <c r="D2368" s="54">
        <f>IF(_imp!$C$2370="","",INDEX(_imp!$G$4:$G$4503,_imp!$C$2370))</f>
        <v/>
      </c>
      <c r="E2368" s="54">
        <f>IF(_imp!$C$2370="","",INDEX(_imp!$H$4:$H$4503,_imp!$C$2370))</f>
        <v/>
      </c>
      <c r="F2368" s="54">
        <f>IF(_imp!$C$2370="","",INDEX(_imp!$I$4:$I$4503,_imp!$C$2370))</f>
        <v/>
      </c>
      <c r="G2368" s="54">
        <f>IF(_imp!$C$2370="","",INDEX(_imp!$J$4:$J$4503,_imp!$C$2370))</f>
        <v/>
      </c>
      <c r="K2368" s="54">
        <f>IF(_imp!$C$2370="","",INDEX(_imp!$K$4:$K$4503,_imp!$C$2370))</f>
        <v/>
      </c>
    </row>
    <row r="2369">
      <c r="A2369" s="54">
        <f>IF(_imp!$C$2371="","",INDEX(_imp!$D$4:$D$4503,_imp!$C$2371))</f>
        <v/>
      </c>
      <c r="B2369" s="54">
        <f>IF(_imp!$C$2371="","",INDEX(_imp!$E$4:$E$4503,_imp!$C$2371))</f>
        <v/>
      </c>
      <c r="C2369" s="54">
        <f>IF(_imp!$C$2371="","",INDEX(_imp!$F$4:$F$4503,_imp!$C$2371))</f>
        <v/>
      </c>
      <c r="D2369" s="54">
        <f>IF(_imp!$C$2371="","",INDEX(_imp!$G$4:$G$4503,_imp!$C$2371))</f>
        <v/>
      </c>
      <c r="E2369" s="54">
        <f>IF(_imp!$C$2371="","",INDEX(_imp!$H$4:$H$4503,_imp!$C$2371))</f>
        <v/>
      </c>
      <c r="F2369" s="54">
        <f>IF(_imp!$C$2371="","",INDEX(_imp!$I$4:$I$4503,_imp!$C$2371))</f>
        <v/>
      </c>
      <c r="G2369" s="54">
        <f>IF(_imp!$C$2371="","",INDEX(_imp!$J$4:$J$4503,_imp!$C$2371))</f>
        <v/>
      </c>
      <c r="K2369" s="54">
        <f>IF(_imp!$C$2371="","",INDEX(_imp!$K$4:$K$4503,_imp!$C$2371))</f>
        <v/>
      </c>
    </row>
    <row r="2370">
      <c r="A2370" s="54">
        <f>IF(_imp!$C$2372="","",INDEX(_imp!$D$4:$D$4503,_imp!$C$2372))</f>
        <v/>
      </c>
      <c r="B2370" s="54">
        <f>IF(_imp!$C$2372="","",INDEX(_imp!$E$4:$E$4503,_imp!$C$2372))</f>
        <v/>
      </c>
      <c r="C2370" s="54">
        <f>IF(_imp!$C$2372="","",INDEX(_imp!$F$4:$F$4503,_imp!$C$2372))</f>
        <v/>
      </c>
      <c r="D2370" s="54">
        <f>IF(_imp!$C$2372="","",INDEX(_imp!$G$4:$G$4503,_imp!$C$2372))</f>
        <v/>
      </c>
      <c r="E2370" s="54">
        <f>IF(_imp!$C$2372="","",INDEX(_imp!$H$4:$H$4503,_imp!$C$2372))</f>
        <v/>
      </c>
      <c r="F2370" s="54">
        <f>IF(_imp!$C$2372="","",INDEX(_imp!$I$4:$I$4503,_imp!$C$2372))</f>
        <v/>
      </c>
      <c r="G2370" s="54">
        <f>IF(_imp!$C$2372="","",INDEX(_imp!$J$4:$J$4503,_imp!$C$2372))</f>
        <v/>
      </c>
      <c r="K2370" s="54">
        <f>IF(_imp!$C$2372="","",INDEX(_imp!$K$4:$K$4503,_imp!$C$2372))</f>
        <v/>
      </c>
    </row>
    <row r="2371">
      <c r="A2371" s="54">
        <f>IF(_imp!$C$2373="","",INDEX(_imp!$D$4:$D$4503,_imp!$C$2373))</f>
        <v/>
      </c>
      <c r="B2371" s="54">
        <f>IF(_imp!$C$2373="","",INDEX(_imp!$E$4:$E$4503,_imp!$C$2373))</f>
        <v/>
      </c>
      <c r="C2371" s="54">
        <f>IF(_imp!$C$2373="","",INDEX(_imp!$F$4:$F$4503,_imp!$C$2373))</f>
        <v/>
      </c>
      <c r="D2371" s="54">
        <f>IF(_imp!$C$2373="","",INDEX(_imp!$G$4:$G$4503,_imp!$C$2373))</f>
        <v/>
      </c>
      <c r="E2371" s="54">
        <f>IF(_imp!$C$2373="","",INDEX(_imp!$H$4:$H$4503,_imp!$C$2373))</f>
        <v/>
      </c>
      <c r="F2371" s="54">
        <f>IF(_imp!$C$2373="","",INDEX(_imp!$I$4:$I$4503,_imp!$C$2373))</f>
        <v/>
      </c>
      <c r="G2371" s="54">
        <f>IF(_imp!$C$2373="","",INDEX(_imp!$J$4:$J$4503,_imp!$C$2373))</f>
        <v/>
      </c>
      <c r="K2371" s="54">
        <f>IF(_imp!$C$2373="","",INDEX(_imp!$K$4:$K$4503,_imp!$C$2373))</f>
        <v/>
      </c>
    </row>
    <row r="2372">
      <c r="A2372" s="54">
        <f>IF(_imp!$C$2374="","",INDEX(_imp!$D$4:$D$4503,_imp!$C$2374))</f>
        <v/>
      </c>
      <c r="B2372" s="54">
        <f>IF(_imp!$C$2374="","",INDEX(_imp!$E$4:$E$4503,_imp!$C$2374))</f>
        <v/>
      </c>
      <c r="C2372" s="54">
        <f>IF(_imp!$C$2374="","",INDEX(_imp!$F$4:$F$4503,_imp!$C$2374))</f>
        <v/>
      </c>
      <c r="D2372" s="54">
        <f>IF(_imp!$C$2374="","",INDEX(_imp!$G$4:$G$4503,_imp!$C$2374))</f>
        <v/>
      </c>
      <c r="E2372" s="54">
        <f>IF(_imp!$C$2374="","",INDEX(_imp!$H$4:$H$4503,_imp!$C$2374))</f>
        <v/>
      </c>
      <c r="F2372" s="54">
        <f>IF(_imp!$C$2374="","",INDEX(_imp!$I$4:$I$4503,_imp!$C$2374))</f>
        <v/>
      </c>
      <c r="G2372" s="54">
        <f>IF(_imp!$C$2374="","",INDEX(_imp!$J$4:$J$4503,_imp!$C$2374))</f>
        <v/>
      </c>
      <c r="K2372" s="54">
        <f>IF(_imp!$C$2374="","",INDEX(_imp!$K$4:$K$4503,_imp!$C$2374))</f>
        <v/>
      </c>
    </row>
    <row r="2373">
      <c r="A2373" s="54">
        <f>IF(_imp!$C$2375="","",INDEX(_imp!$D$4:$D$4503,_imp!$C$2375))</f>
        <v/>
      </c>
      <c r="B2373" s="54">
        <f>IF(_imp!$C$2375="","",INDEX(_imp!$E$4:$E$4503,_imp!$C$2375))</f>
        <v/>
      </c>
      <c r="C2373" s="54">
        <f>IF(_imp!$C$2375="","",INDEX(_imp!$F$4:$F$4503,_imp!$C$2375))</f>
        <v/>
      </c>
      <c r="D2373" s="54">
        <f>IF(_imp!$C$2375="","",INDEX(_imp!$G$4:$G$4503,_imp!$C$2375))</f>
        <v/>
      </c>
      <c r="E2373" s="54">
        <f>IF(_imp!$C$2375="","",INDEX(_imp!$H$4:$H$4503,_imp!$C$2375))</f>
        <v/>
      </c>
      <c r="F2373" s="54">
        <f>IF(_imp!$C$2375="","",INDEX(_imp!$I$4:$I$4503,_imp!$C$2375))</f>
        <v/>
      </c>
      <c r="G2373" s="54">
        <f>IF(_imp!$C$2375="","",INDEX(_imp!$J$4:$J$4503,_imp!$C$2375))</f>
        <v/>
      </c>
      <c r="K2373" s="54">
        <f>IF(_imp!$C$2375="","",INDEX(_imp!$K$4:$K$4503,_imp!$C$2375))</f>
        <v/>
      </c>
    </row>
    <row r="2374">
      <c r="A2374" s="54">
        <f>IF(_imp!$C$2376="","",INDEX(_imp!$D$4:$D$4503,_imp!$C$2376))</f>
        <v/>
      </c>
      <c r="B2374" s="54">
        <f>IF(_imp!$C$2376="","",INDEX(_imp!$E$4:$E$4503,_imp!$C$2376))</f>
        <v/>
      </c>
      <c r="C2374" s="54">
        <f>IF(_imp!$C$2376="","",INDEX(_imp!$F$4:$F$4503,_imp!$C$2376))</f>
        <v/>
      </c>
      <c r="D2374" s="54">
        <f>IF(_imp!$C$2376="","",INDEX(_imp!$G$4:$G$4503,_imp!$C$2376))</f>
        <v/>
      </c>
      <c r="E2374" s="54">
        <f>IF(_imp!$C$2376="","",INDEX(_imp!$H$4:$H$4503,_imp!$C$2376))</f>
        <v/>
      </c>
      <c r="F2374" s="54">
        <f>IF(_imp!$C$2376="","",INDEX(_imp!$I$4:$I$4503,_imp!$C$2376))</f>
        <v/>
      </c>
      <c r="G2374" s="54">
        <f>IF(_imp!$C$2376="","",INDEX(_imp!$J$4:$J$4503,_imp!$C$2376))</f>
        <v/>
      </c>
      <c r="K2374" s="54">
        <f>IF(_imp!$C$2376="","",INDEX(_imp!$K$4:$K$4503,_imp!$C$2376))</f>
        <v/>
      </c>
    </row>
    <row r="2375">
      <c r="A2375" s="54">
        <f>IF(_imp!$C$2377="","",INDEX(_imp!$D$4:$D$4503,_imp!$C$2377))</f>
        <v/>
      </c>
      <c r="B2375" s="54">
        <f>IF(_imp!$C$2377="","",INDEX(_imp!$E$4:$E$4503,_imp!$C$2377))</f>
        <v/>
      </c>
      <c r="C2375" s="54">
        <f>IF(_imp!$C$2377="","",INDEX(_imp!$F$4:$F$4503,_imp!$C$2377))</f>
        <v/>
      </c>
      <c r="D2375" s="54">
        <f>IF(_imp!$C$2377="","",INDEX(_imp!$G$4:$G$4503,_imp!$C$2377))</f>
        <v/>
      </c>
      <c r="E2375" s="54">
        <f>IF(_imp!$C$2377="","",INDEX(_imp!$H$4:$H$4503,_imp!$C$2377))</f>
        <v/>
      </c>
      <c r="F2375" s="54">
        <f>IF(_imp!$C$2377="","",INDEX(_imp!$I$4:$I$4503,_imp!$C$2377))</f>
        <v/>
      </c>
      <c r="G2375" s="54">
        <f>IF(_imp!$C$2377="","",INDEX(_imp!$J$4:$J$4503,_imp!$C$2377))</f>
        <v/>
      </c>
      <c r="K2375" s="54">
        <f>IF(_imp!$C$2377="","",INDEX(_imp!$K$4:$K$4503,_imp!$C$2377))</f>
        <v/>
      </c>
    </row>
    <row r="2376">
      <c r="A2376" s="54">
        <f>IF(_imp!$C$2378="","",INDEX(_imp!$D$4:$D$4503,_imp!$C$2378))</f>
        <v/>
      </c>
      <c r="B2376" s="54">
        <f>IF(_imp!$C$2378="","",INDEX(_imp!$E$4:$E$4503,_imp!$C$2378))</f>
        <v/>
      </c>
      <c r="C2376" s="54">
        <f>IF(_imp!$C$2378="","",INDEX(_imp!$F$4:$F$4503,_imp!$C$2378))</f>
        <v/>
      </c>
      <c r="D2376" s="54">
        <f>IF(_imp!$C$2378="","",INDEX(_imp!$G$4:$G$4503,_imp!$C$2378))</f>
        <v/>
      </c>
      <c r="E2376" s="54">
        <f>IF(_imp!$C$2378="","",INDEX(_imp!$H$4:$H$4503,_imp!$C$2378))</f>
        <v/>
      </c>
      <c r="F2376" s="54">
        <f>IF(_imp!$C$2378="","",INDEX(_imp!$I$4:$I$4503,_imp!$C$2378))</f>
        <v/>
      </c>
      <c r="G2376" s="54">
        <f>IF(_imp!$C$2378="","",INDEX(_imp!$J$4:$J$4503,_imp!$C$2378))</f>
        <v/>
      </c>
      <c r="K2376" s="54">
        <f>IF(_imp!$C$2378="","",INDEX(_imp!$K$4:$K$4503,_imp!$C$2378))</f>
        <v/>
      </c>
    </row>
    <row r="2377">
      <c r="A2377" s="54">
        <f>IF(_imp!$C$2379="","",INDEX(_imp!$D$4:$D$4503,_imp!$C$2379))</f>
        <v/>
      </c>
      <c r="B2377" s="54">
        <f>IF(_imp!$C$2379="","",INDEX(_imp!$E$4:$E$4503,_imp!$C$2379))</f>
        <v/>
      </c>
      <c r="C2377" s="54">
        <f>IF(_imp!$C$2379="","",INDEX(_imp!$F$4:$F$4503,_imp!$C$2379))</f>
        <v/>
      </c>
      <c r="D2377" s="54">
        <f>IF(_imp!$C$2379="","",INDEX(_imp!$G$4:$G$4503,_imp!$C$2379))</f>
        <v/>
      </c>
      <c r="E2377" s="54">
        <f>IF(_imp!$C$2379="","",INDEX(_imp!$H$4:$H$4503,_imp!$C$2379))</f>
        <v/>
      </c>
      <c r="F2377" s="54">
        <f>IF(_imp!$C$2379="","",INDEX(_imp!$I$4:$I$4503,_imp!$C$2379))</f>
        <v/>
      </c>
      <c r="G2377" s="54">
        <f>IF(_imp!$C$2379="","",INDEX(_imp!$J$4:$J$4503,_imp!$C$2379))</f>
        <v/>
      </c>
      <c r="K2377" s="54">
        <f>IF(_imp!$C$2379="","",INDEX(_imp!$K$4:$K$4503,_imp!$C$2379))</f>
        <v/>
      </c>
    </row>
    <row r="2378">
      <c r="A2378" s="54">
        <f>IF(_imp!$C$2380="","",INDEX(_imp!$D$4:$D$4503,_imp!$C$2380))</f>
        <v/>
      </c>
      <c r="B2378" s="54">
        <f>IF(_imp!$C$2380="","",INDEX(_imp!$E$4:$E$4503,_imp!$C$2380))</f>
        <v/>
      </c>
      <c r="C2378" s="54">
        <f>IF(_imp!$C$2380="","",INDEX(_imp!$F$4:$F$4503,_imp!$C$2380))</f>
        <v/>
      </c>
      <c r="D2378" s="54">
        <f>IF(_imp!$C$2380="","",INDEX(_imp!$G$4:$G$4503,_imp!$C$2380))</f>
        <v/>
      </c>
      <c r="E2378" s="54">
        <f>IF(_imp!$C$2380="","",INDEX(_imp!$H$4:$H$4503,_imp!$C$2380))</f>
        <v/>
      </c>
      <c r="F2378" s="54">
        <f>IF(_imp!$C$2380="","",INDEX(_imp!$I$4:$I$4503,_imp!$C$2380))</f>
        <v/>
      </c>
      <c r="G2378" s="54">
        <f>IF(_imp!$C$2380="","",INDEX(_imp!$J$4:$J$4503,_imp!$C$2380))</f>
        <v/>
      </c>
      <c r="K2378" s="54">
        <f>IF(_imp!$C$2380="","",INDEX(_imp!$K$4:$K$4503,_imp!$C$2380))</f>
        <v/>
      </c>
    </row>
    <row r="2379">
      <c r="A2379" s="54">
        <f>IF(_imp!$C$2381="","",INDEX(_imp!$D$4:$D$4503,_imp!$C$2381))</f>
        <v/>
      </c>
      <c r="B2379" s="54">
        <f>IF(_imp!$C$2381="","",INDEX(_imp!$E$4:$E$4503,_imp!$C$2381))</f>
        <v/>
      </c>
      <c r="C2379" s="54">
        <f>IF(_imp!$C$2381="","",INDEX(_imp!$F$4:$F$4503,_imp!$C$2381))</f>
        <v/>
      </c>
      <c r="D2379" s="54">
        <f>IF(_imp!$C$2381="","",INDEX(_imp!$G$4:$G$4503,_imp!$C$2381))</f>
        <v/>
      </c>
      <c r="E2379" s="54">
        <f>IF(_imp!$C$2381="","",INDEX(_imp!$H$4:$H$4503,_imp!$C$2381))</f>
        <v/>
      </c>
      <c r="F2379" s="54">
        <f>IF(_imp!$C$2381="","",INDEX(_imp!$I$4:$I$4503,_imp!$C$2381))</f>
        <v/>
      </c>
      <c r="G2379" s="54">
        <f>IF(_imp!$C$2381="","",INDEX(_imp!$J$4:$J$4503,_imp!$C$2381))</f>
        <v/>
      </c>
      <c r="K2379" s="54">
        <f>IF(_imp!$C$2381="","",INDEX(_imp!$K$4:$K$4503,_imp!$C$2381))</f>
        <v/>
      </c>
    </row>
    <row r="2380">
      <c r="A2380" s="54">
        <f>IF(_imp!$C$2382="","",INDEX(_imp!$D$4:$D$4503,_imp!$C$2382))</f>
        <v/>
      </c>
      <c r="B2380" s="54">
        <f>IF(_imp!$C$2382="","",INDEX(_imp!$E$4:$E$4503,_imp!$C$2382))</f>
        <v/>
      </c>
      <c r="C2380" s="54">
        <f>IF(_imp!$C$2382="","",INDEX(_imp!$F$4:$F$4503,_imp!$C$2382))</f>
        <v/>
      </c>
      <c r="D2380" s="54">
        <f>IF(_imp!$C$2382="","",INDEX(_imp!$G$4:$G$4503,_imp!$C$2382))</f>
        <v/>
      </c>
      <c r="E2380" s="54">
        <f>IF(_imp!$C$2382="","",INDEX(_imp!$H$4:$H$4503,_imp!$C$2382))</f>
        <v/>
      </c>
      <c r="F2380" s="54">
        <f>IF(_imp!$C$2382="","",INDEX(_imp!$I$4:$I$4503,_imp!$C$2382))</f>
        <v/>
      </c>
      <c r="G2380" s="54">
        <f>IF(_imp!$C$2382="","",INDEX(_imp!$J$4:$J$4503,_imp!$C$2382))</f>
        <v/>
      </c>
      <c r="K2380" s="54">
        <f>IF(_imp!$C$2382="","",INDEX(_imp!$K$4:$K$4503,_imp!$C$2382))</f>
        <v/>
      </c>
    </row>
    <row r="2381">
      <c r="A2381" s="54">
        <f>IF(_imp!$C$2383="","",INDEX(_imp!$D$4:$D$4503,_imp!$C$2383))</f>
        <v/>
      </c>
      <c r="B2381" s="54">
        <f>IF(_imp!$C$2383="","",INDEX(_imp!$E$4:$E$4503,_imp!$C$2383))</f>
        <v/>
      </c>
      <c r="C2381" s="54">
        <f>IF(_imp!$C$2383="","",INDEX(_imp!$F$4:$F$4503,_imp!$C$2383))</f>
        <v/>
      </c>
      <c r="D2381" s="54">
        <f>IF(_imp!$C$2383="","",INDEX(_imp!$G$4:$G$4503,_imp!$C$2383))</f>
        <v/>
      </c>
      <c r="E2381" s="54">
        <f>IF(_imp!$C$2383="","",INDEX(_imp!$H$4:$H$4503,_imp!$C$2383))</f>
        <v/>
      </c>
      <c r="F2381" s="54">
        <f>IF(_imp!$C$2383="","",INDEX(_imp!$I$4:$I$4503,_imp!$C$2383))</f>
        <v/>
      </c>
      <c r="G2381" s="54">
        <f>IF(_imp!$C$2383="","",INDEX(_imp!$J$4:$J$4503,_imp!$C$2383))</f>
        <v/>
      </c>
      <c r="K2381" s="54">
        <f>IF(_imp!$C$2383="","",INDEX(_imp!$K$4:$K$4503,_imp!$C$2383))</f>
        <v/>
      </c>
    </row>
    <row r="2382">
      <c r="A2382" s="54">
        <f>IF(_imp!$C$2384="","",INDEX(_imp!$D$4:$D$4503,_imp!$C$2384))</f>
        <v/>
      </c>
      <c r="B2382" s="54">
        <f>IF(_imp!$C$2384="","",INDEX(_imp!$E$4:$E$4503,_imp!$C$2384))</f>
        <v/>
      </c>
      <c r="C2382" s="54">
        <f>IF(_imp!$C$2384="","",INDEX(_imp!$F$4:$F$4503,_imp!$C$2384))</f>
        <v/>
      </c>
      <c r="D2382" s="54">
        <f>IF(_imp!$C$2384="","",INDEX(_imp!$G$4:$G$4503,_imp!$C$2384))</f>
        <v/>
      </c>
      <c r="E2382" s="54">
        <f>IF(_imp!$C$2384="","",INDEX(_imp!$H$4:$H$4503,_imp!$C$2384))</f>
        <v/>
      </c>
      <c r="F2382" s="54">
        <f>IF(_imp!$C$2384="","",INDEX(_imp!$I$4:$I$4503,_imp!$C$2384))</f>
        <v/>
      </c>
      <c r="G2382" s="54">
        <f>IF(_imp!$C$2384="","",INDEX(_imp!$J$4:$J$4503,_imp!$C$2384))</f>
        <v/>
      </c>
      <c r="K2382" s="54">
        <f>IF(_imp!$C$2384="","",INDEX(_imp!$K$4:$K$4503,_imp!$C$2384))</f>
        <v/>
      </c>
    </row>
    <row r="2383">
      <c r="A2383" s="54">
        <f>IF(_imp!$C$2385="","",INDEX(_imp!$D$4:$D$4503,_imp!$C$2385))</f>
        <v/>
      </c>
      <c r="B2383" s="54">
        <f>IF(_imp!$C$2385="","",INDEX(_imp!$E$4:$E$4503,_imp!$C$2385))</f>
        <v/>
      </c>
      <c r="C2383" s="54">
        <f>IF(_imp!$C$2385="","",INDEX(_imp!$F$4:$F$4503,_imp!$C$2385))</f>
        <v/>
      </c>
      <c r="D2383" s="54">
        <f>IF(_imp!$C$2385="","",INDEX(_imp!$G$4:$G$4503,_imp!$C$2385))</f>
        <v/>
      </c>
      <c r="E2383" s="54">
        <f>IF(_imp!$C$2385="","",INDEX(_imp!$H$4:$H$4503,_imp!$C$2385))</f>
        <v/>
      </c>
      <c r="F2383" s="54">
        <f>IF(_imp!$C$2385="","",INDEX(_imp!$I$4:$I$4503,_imp!$C$2385))</f>
        <v/>
      </c>
      <c r="G2383" s="54">
        <f>IF(_imp!$C$2385="","",INDEX(_imp!$J$4:$J$4503,_imp!$C$2385))</f>
        <v/>
      </c>
      <c r="K2383" s="54">
        <f>IF(_imp!$C$2385="","",INDEX(_imp!$K$4:$K$4503,_imp!$C$2385))</f>
        <v/>
      </c>
    </row>
    <row r="2384">
      <c r="A2384" s="54">
        <f>IF(_imp!$C$2386="","",INDEX(_imp!$D$4:$D$4503,_imp!$C$2386))</f>
        <v/>
      </c>
      <c r="B2384" s="54">
        <f>IF(_imp!$C$2386="","",INDEX(_imp!$E$4:$E$4503,_imp!$C$2386))</f>
        <v/>
      </c>
      <c r="C2384" s="54">
        <f>IF(_imp!$C$2386="","",INDEX(_imp!$F$4:$F$4503,_imp!$C$2386))</f>
        <v/>
      </c>
      <c r="D2384" s="54">
        <f>IF(_imp!$C$2386="","",INDEX(_imp!$G$4:$G$4503,_imp!$C$2386))</f>
        <v/>
      </c>
      <c r="E2384" s="54">
        <f>IF(_imp!$C$2386="","",INDEX(_imp!$H$4:$H$4503,_imp!$C$2386))</f>
        <v/>
      </c>
      <c r="F2384" s="54">
        <f>IF(_imp!$C$2386="","",INDEX(_imp!$I$4:$I$4503,_imp!$C$2386))</f>
        <v/>
      </c>
      <c r="G2384" s="54">
        <f>IF(_imp!$C$2386="","",INDEX(_imp!$J$4:$J$4503,_imp!$C$2386))</f>
        <v/>
      </c>
      <c r="K2384" s="54">
        <f>IF(_imp!$C$2386="","",INDEX(_imp!$K$4:$K$4503,_imp!$C$2386))</f>
        <v/>
      </c>
    </row>
    <row r="2385">
      <c r="A2385" s="54">
        <f>IF(_imp!$C$2387="","",INDEX(_imp!$D$4:$D$4503,_imp!$C$2387))</f>
        <v/>
      </c>
      <c r="B2385" s="54">
        <f>IF(_imp!$C$2387="","",INDEX(_imp!$E$4:$E$4503,_imp!$C$2387))</f>
        <v/>
      </c>
      <c r="C2385" s="54">
        <f>IF(_imp!$C$2387="","",INDEX(_imp!$F$4:$F$4503,_imp!$C$2387))</f>
        <v/>
      </c>
      <c r="D2385" s="54">
        <f>IF(_imp!$C$2387="","",INDEX(_imp!$G$4:$G$4503,_imp!$C$2387))</f>
        <v/>
      </c>
      <c r="E2385" s="54">
        <f>IF(_imp!$C$2387="","",INDEX(_imp!$H$4:$H$4503,_imp!$C$2387))</f>
        <v/>
      </c>
      <c r="F2385" s="54">
        <f>IF(_imp!$C$2387="","",INDEX(_imp!$I$4:$I$4503,_imp!$C$2387))</f>
        <v/>
      </c>
      <c r="G2385" s="54">
        <f>IF(_imp!$C$2387="","",INDEX(_imp!$J$4:$J$4503,_imp!$C$2387))</f>
        <v/>
      </c>
      <c r="K2385" s="54">
        <f>IF(_imp!$C$2387="","",INDEX(_imp!$K$4:$K$4503,_imp!$C$2387))</f>
        <v/>
      </c>
    </row>
    <row r="2386">
      <c r="A2386" s="54">
        <f>IF(_imp!$C$2388="","",INDEX(_imp!$D$4:$D$4503,_imp!$C$2388))</f>
        <v/>
      </c>
      <c r="B2386" s="54">
        <f>IF(_imp!$C$2388="","",INDEX(_imp!$E$4:$E$4503,_imp!$C$2388))</f>
        <v/>
      </c>
      <c r="C2386" s="54">
        <f>IF(_imp!$C$2388="","",INDEX(_imp!$F$4:$F$4503,_imp!$C$2388))</f>
        <v/>
      </c>
      <c r="D2386" s="54">
        <f>IF(_imp!$C$2388="","",INDEX(_imp!$G$4:$G$4503,_imp!$C$2388))</f>
        <v/>
      </c>
      <c r="E2386" s="54">
        <f>IF(_imp!$C$2388="","",INDEX(_imp!$H$4:$H$4503,_imp!$C$2388))</f>
        <v/>
      </c>
      <c r="F2386" s="54">
        <f>IF(_imp!$C$2388="","",INDEX(_imp!$I$4:$I$4503,_imp!$C$2388))</f>
        <v/>
      </c>
      <c r="G2386" s="54">
        <f>IF(_imp!$C$2388="","",INDEX(_imp!$J$4:$J$4503,_imp!$C$2388))</f>
        <v/>
      </c>
      <c r="K2386" s="54">
        <f>IF(_imp!$C$2388="","",INDEX(_imp!$K$4:$K$4503,_imp!$C$2388))</f>
        <v/>
      </c>
    </row>
    <row r="2387">
      <c r="A2387" s="54">
        <f>IF(_imp!$C$2389="","",INDEX(_imp!$D$4:$D$4503,_imp!$C$2389))</f>
        <v/>
      </c>
      <c r="B2387" s="54">
        <f>IF(_imp!$C$2389="","",INDEX(_imp!$E$4:$E$4503,_imp!$C$2389))</f>
        <v/>
      </c>
      <c r="C2387" s="54">
        <f>IF(_imp!$C$2389="","",INDEX(_imp!$F$4:$F$4503,_imp!$C$2389))</f>
        <v/>
      </c>
      <c r="D2387" s="54">
        <f>IF(_imp!$C$2389="","",INDEX(_imp!$G$4:$G$4503,_imp!$C$2389))</f>
        <v/>
      </c>
      <c r="E2387" s="54">
        <f>IF(_imp!$C$2389="","",INDEX(_imp!$H$4:$H$4503,_imp!$C$2389))</f>
        <v/>
      </c>
      <c r="F2387" s="54">
        <f>IF(_imp!$C$2389="","",INDEX(_imp!$I$4:$I$4503,_imp!$C$2389))</f>
        <v/>
      </c>
      <c r="G2387" s="54">
        <f>IF(_imp!$C$2389="","",INDEX(_imp!$J$4:$J$4503,_imp!$C$2389))</f>
        <v/>
      </c>
      <c r="K2387" s="54">
        <f>IF(_imp!$C$2389="","",INDEX(_imp!$K$4:$K$4503,_imp!$C$2389))</f>
        <v/>
      </c>
    </row>
    <row r="2388">
      <c r="A2388" s="54">
        <f>IF(_imp!$C$2390="","",INDEX(_imp!$D$4:$D$4503,_imp!$C$2390))</f>
        <v/>
      </c>
      <c r="B2388" s="54">
        <f>IF(_imp!$C$2390="","",INDEX(_imp!$E$4:$E$4503,_imp!$C$2390))</f>
        <v/>
      </c>
      <c r="C2388" s="54">
        <f>IF(_imp!$C$2390="","",INDEX(_imp!$F$4:$F$4503,_imp!$C$2390))</f>
        <v/>
      </c>
      <c r="D2388" s="54">
        <f>IF(_imp!$C$2390="","",INDEX(_imp!$G$4:$G$4503,_imp!$C$2390))</f>
        <v/>
      </c>
      <c r="E2388" s="54">
        <f>IF(_imp!$C$2390="","",INDEX(_imp!$H$4:$H$4503,_imp!$C$2390))</f>
        <v/>
      </c>
      <c r="F2388" s="54">
        <f>IF(_imp!$C$2390="","",INDEX(_imp!$I$4:$I$4503,_imp!$C$2390))</f>
        <v/>
      </c>
      <c r="G2388" s="54">
        <f>IF(_imp!$C$2390="","",INDEX(_imp!$J$4:$J$4503,_imp!$C$2390))</f>
        <v/>
      </c>
      <c r="K2388" s="54">
        <f>IF(_imp!$C$2390="","",INDEX(_imp!$K$4:$K$4503,_imp!$C$2390))</f>
        <v/>
      </c>
    </row>
    <row r="2389">
      <c r="A2389" s="54">
        <f>IF(_imp!$C$2391="","",INDEX(_imp!$D$4:$D$4503,_imp!$C$2391))</f>
        <v/>
      </c>
      <c r="B2389" s="54">
        <f>IF(_imp!$C$2391="","",INDEX(_imp!$E$4:$E$4503,_imp!$C$2391))</f>
        <v/>
      </c>
      <c r="C2389" s="54">
        <f>IF(_imp!$C$2391="","",INDEX(_imp!$F$4:$F$4503,_imp!$C$2391))</f>
        <v/>
      </c>
      <c r="D2389" s="54">
        <f>IF(_imp!$C$2391="","",INDEX(_imp!$G$4:$G$4503,_imp!$C$2391))</f>
        <v/>
      </c>
      <c r="E2389" s="54">
        <f>IF(_imp!$C$2391="","",INDEX(_imp!$H$4:$H$4503,_imp!$C$2391))</f>
        <v/>
      </c>
      <c r="F2389" s="54">
        <f>IF(_imp!$C$2391="","",INDEX(_imp!$I$4:$I$4503,_imp!$C$2391))</f>
        <v/>
      </c>
      <c r="G2389" s="54">
        <f>IF(_imp!$C$2391="","",INDEX(_imp!$J$4:$J$4503,_imp!$C$2391))</f>
        <v/>
      </c>
      <c r="K2389" s="54">
        <f>IF(_imp!$C$2391="","",INDEX(_imp!$K$4:$K$4503,_imp!$C$2391))</f>
        <v/>
      </c>
    </row>
    <row r="2390">
      <c r="A2390" s="54">
        <f>IF(_imp!$C$2392="","",INDEX(_imp!$D$4:$D$4503,_imp!$C$2392))</f>
        <v/>
      </c>
      <c r="B2390" s="54">
        <f>IF(_imp!$C$2392="","",INDEX(_imp!$E$4:$E$4503,_imp!$C$2392))</f>
        <v/>
      </c>
      <c r="C2390" s="54">
        <f>IF(_imp!$C$2392="","",INDEX(_imp!$F$4:$F$4503,_imp!$C$2392))</f>
        <v/>
      </c>
      <c r="D2390" s="54">
        <f>IF(_imp!$C$2392="","",INDEX(_imp!$G$4:$G$4503,_imp!$C$2392))</f>
        <v/>
      </c>
      <c r="E2390" s="54">
        <f>IF(_imp!$C$2392="","",INDEX(_imp!$H$4:$H$4503,_imp!$C$2392))</f>
        <v/>
      </c>
      <c r="F2390" s="54">
        <f>IF(_imp!$C$2392="","",INDEX(_imp!$I$4:$I$4503,_imp!$C$2392))</f>
        <v/>
      </c>
      <c r="G2390" s="54">
        <f>IF(_imp!$C$2392="","",INDEX(_imp!$J$4:$J$4503,_imp!$C$2392))</f>
        <v/>
      </c>
      <c r="K2390" s="54">
        <f>IF(_imp!$C$2392="","",INDEX(_imp!$K$4:$K$4503,_imp!$C$2392))</f>
        <v/>
      </c>
    </row>
    <row r="2391">
      <c r="A2391" s="54">
        <f>IF(_imp!$C$2393="","",INDEX(_imp!$D$4:$D$4503,_imp!$C$2393))</f>
        <v/>
      </c>
      <c r="B2391" s="54">
        <f>IF(_imp!$C$2393="","",INDEX(_imp!$E$4:$E$4503,_imp!$C$2393))</f>
        <v/>
      </c>
      <c r="C2391" s="54">
        <f>IF(_imp!$C$2393="","",INDEX(_imp!$F$4:$F$4503,_imp!$C$2393))</f>
        <v/>
      </c>
      <c r="D2391" s="54">
        <f>IF(_imp!$C$2393="","",INDEX(_imp!$G$4:$G$4503,_imp!$C$2393))</f>
        <v/>
      </c>
      <c r="E2391" s="54">
        <f>IF(_imp!$C$2393="","",INDEX(_imp!$H$4:$H$4503,_imp!$C$2393))</f>
        <v/>
      </c>
      <c r="F2391" s="54">
        <f>IF(_imp!$C$2393="","",INDEX(_imp!$I$4:$I$4503,_imp!$C$2393))</f>
        <v/>
      </c>
      <c r="G2391" s="54">
        <f>IF(_imp!$C$2393="","",INDEX(_imp!$J$4:$J$4503,_imp!$C$2393))</f>
        <v/>
      </c>
      <c r="K2391" s="54">
        <f>IF(_imp!$C$2393="","",INDEX(_imp!$K$4:$K$4503,_imp!$C$2393))</f>
        <v/>
      </c>
    </row>
    <row r="2392">
      <c r="A2392" s="54">
        <f>IF(_imp!$C$2394="","",INDEX(_imp!$D$4:$D$4503,_imp!$C$2394))</f>
        <v/>
      </c>
      <c r="B2392" s="54">
        <f>IF(_imp!$C$2394="","",INDEX(_imp!$E$4:$E$4503,_imp!$C$2394))</f>
        <v/>
      </c>
      <c r="C2392" s="54">
        <f>IF(_imp!$C$2394="","",INDEX(_imp!$F$4:$F$4503,_imp!$C$2394))</f>
        <v/>
      </c>
      <c r="D2392" s="54">
        <f>IF(_imp!$C$2394="","",INDEX(_imp!$G$4:$G$4503,_imp!$C$2394))</f>
        <v/>
      </c>
      <c r="E2392" s="54">
        <f>IF(_imp!$C$2394="","",INDEX(_imp!$H$4:$H$4503,_imp!$C$2394))</f>
        <v/>
      </c>
      <c r="F2392" s="54">
        <f>IF(_imp!$C$2394="","",INDEX(_imp!$I$4:$I$4503,_imp!$C$2394))</f>
        <v/>
      </c>
      <c r="G2392" s="54">
        <f>IF(_imp!$C$2394="","",INDEX(_imp!$J$4:$J$4503,_imp!$C$2394))</f>
        <v/>
      </c>
      <c r="K2392" s="54">
        <f>IF(_imp!$C$2394="","",INDEX(_imp!$K$4:$K$4503,_imp!$C$2394))</f>
        <v/>
      </c>
    </row>
    <row r="2393">
      <c r="A2393" s="54">
        <f>IF(_imp!$C$2395="","",INDEX(_imp!$D$4:$D$4503,_imp!$C$2395))</f>
        <v/>
      </c>
      <c r="B2393" s="54">
        <f>IF(_imp!$C$2395="","",INDEX(_imp!$E$4:$E$4503,_imp!$C$2395))</f>
        <v/>
      </c>
      <c r="C2393" s="54">
        <f>IF(_imp!$C$2395="","",INDEX(_imp!$F$4:$F$4503,_imp!$C$2395))</f>
        <v/>
      </c>
      <c r="D2393" s="54">
        <f>IF(_imp!$C$2395="","",INDEX(_imp!$G$4:$G$4503,_imp!$C$2395))</f>
        <v/>
      </c>
      <c r="E2393" s="54">
        <f>IF(_imp!$C$2395="","",INDEX(_imp!$H$4:$H$4503,_imp!$C$2395))</f>
        <v/>
      </c>
      <c r="F2393" s="54">
        <f>IF(_imp!$C$2395="","",INDEX(_imp!$I$4:$I$4503,_imp!$C$2395))</f>
        <v/>
      </c>
      <c r="G2393" s="54">
        <f>IF(_imp!$C$2395="","",INDEX(_imp!$J$4:$J$4503,_imp!$C$2395))</f>
        <v/>
      </c>
      <c r="K2393" s="54">
        <f>IF(_imp!$C$2395="","",INDEX(_imp!$K$4:$K$4503,_imp!$C$2395))</f>
        <v/>
      </c>
    </row>
    <row r="2394">
      <c r="A2394" s="54">
        <f>IF(_imp!$C$2396="","",INDEX(_imp!$D$4:$D$4503,_imp!$C$2396))</f>
        <v/>
      </c>
      <c r="B2394" s="54">
        <f>IF(_imp!$C$2396="","",INDEX(_imp!$E$4:$E$4503,_imp!$C$2396))</f>
        <v/>
      </c>
      <c r="C2394" s="54">
        <f>IF(_imp!$C$2396="","",INDEX(_imp!$F$4:$F$4503,_imp!$C$2396))</f>
        <v/>
      </c>
      <c r="D2394" s="54">
        <f>IF(_imp!$C$2396="","",INDEX(_imp!$G$4:$G$4503,_imp!$C$2396))</f>
        <v/>
      </c>
      <c r="E2394" s="54">
        <f>IF(_imp!$C$2396="","",INDEX(_imp!$H$4:$H$4503,_imp!$C$2396))</f>
        <v/>
      </c>
      <c r="F2394" s="54">
        <f>IF(_imp!$C$2396="","",INDEX(_imp!$I$4:$I$4503,_imp!$C$2396))</f>
        <v/>
      </c>
      <c r="G2394" s="54">
        <f>IF(_imp!$C$2396="","",INDEX(_imp!$J$4:$J$4503,_imp!$C$2396))</f>
        <v/>
      </c>
      <c r="K2394" s="54">
        <f>IF(_imp!$C$2396="","",INDEX(_imp!$K$4:$K$4503,_imp!$C$2396))</f>
        <v/>
      </c>
    </row>
    <row r="2395">
      <c r="A2395" s="54">
        <f>IF(_imp!$C$2397="","",INDEX(_imp!$D$4:$D$4503,_imp!$C$2397))</f>
        <v/>
      </c>
      <c r="B2395" s="54">
        <f>IF(_imp!$C$2397="","",INDEX(_imp!$E$4:$E$4503,_imp!$C$2397))</f>
        <v/>
      </c>
      <c r="C2395" s="54">
        <f>IF(_imp!$C$2397="","",INDEX(_imp!$F$4:$F$4503,_imp!$C$2397))</f>
        <v/>
      </c>
      <c r="D2395" s="54">
        <f>IF(_imp!$C$2397="","",INDEX(_imp!$G$4:$G$4503,_imp!$C$2397))</f>
        <v/>
      </c>
      <c r="E2395" s="54">
        <f>IF(_imp!$C$2397="","",INDEX(_imp!$H$4:$H$4503,_imp!$C$2397))</f>
        <v/>
      </c>
      <c r="F2395" s="54">
        <f>IF(_imp!$C$2397="","",INDEX(_imp!$I$4:$I$4503,_imp!$C$2397))</f>
        <v/>
      </c>
      <c r="G2395" s="54">
        <f>IF(_imp!$C$2397="","",INDEX(_imp!$J$4:$J$4503,_imp!$C$2397))</f>
        <v/>
      </c>
      <c r="K2395" s="54">
        <f>IF(_imp!$C$2397="","",INDEX(_imp!$K$4:$K$4503,_imp!$C$2397))</f>
        <v/>
      </c>
    </row>
    <row r="2396">
      <c r="A2396" s="54">
        <f>IF(_imp!$C$2398="","",INDEX(_imp!$D$4:$D$4503,_imp!$C$2398))</f>
        <v/>
      </c>
      <c r="B2396" s="54">
        <f>IF(_imp!$C$2398="","",INDEX(_imp!$E$4:$E$4503,_imp!$C$2398))</f>
        <v/>
      </c>
      <c r="C2396" s="54">
        <f>IF(_imp!$C$2398="","",INDEX(_imp!$F$4:$F$4503,_imp!$C$2398))</f>
        <v/>
      </c>
      <c r="D2396" s="54">
        <f>IF(_imp!$C$2398="","",INDEX(_imp!$G$4:$G$4503,_imp!$C$2398))</f>
        <v/>
      </c>
      <c r="E2396" s="54">
        <f>IF(_imp!$C$2398="","",INDEX(_imp!$H$4:$H$4503,_imp!$C$2398))</f>
        <v/>
      </c>
      <c r="F2396" s="54">
        <f>IF(_imp!$C$2398="","",INDEX(_imp!$I$4:$I$4503,_imp!$C$2398))</f>
        <v/>
      </c>
      <c r="G2396" s="54">
        <f>IF(_imp!$C$2398="","",INDEX(_imp!$J$4:$J$4503,_imp!$C$2398))</f>
        <v/>
      </c>
      <c r="K2396" s="54">
        <f>IF(_imp!$C$2398="","",INDEX(_imp!$K$4:$K$4503,_imp!$C$2398))</f>
        <v/>
      </c>
    </row>
    <row r="2397">
      <c r="A2397" s="54">
        <f>IF(_imp!$C$2399="","",INDEX(_imp!$D$4:$D$4503,_imp!$C$2399))</f>
        <v/>
      </c>
      <c r="B2397" s="54">
        <f>IF(_imp!$C$2399="","",INDEX(_imp!$E$4:$E$4503,_imp!$C$2399))</f>
        <v/>
      </c>
      <c r="C2397" s="54">
        <f>IF(_imp!$C$2399="","",INDEX(_imp!$F$4:$F$4503,_imp!$C$2399))</f>
        <v/>
      </c>
      <c r="D2397" s="54">
        <f>IF(_imp!$C$2399="","",INDEX(_imp!$G$4:$G$4503,_imp!$C$2399))</f>
        <v/>
      </c>
      <c r="E2397" s="54">
        <f>IF(_imp!$C$2399="","",INDEX(_imp!$H$4:$H$4503,_imp!$C$2399))</f>
        <v/>
      </c>
      <c r="F2397" s="54">
        <f>IF(_imp!$C$2399="","",INDEX(_imp!$I$4:$I$4503,_imp!$C$2399))</f>
        <v/>
      </c>
      <c r="G2397" s="54">
        <f>IF(_imp!$C$2399="","",INDEX(_imp!$J$4:$J$4503,_imp!$C$2399))</f>
        <v/>
      </c>
      <c r="K2397" s="54">
        <f>IF(_imp!$C$2399="","",INDEX(_imp!$K$4:$K$4503,_imp!$C$2399))</f>
        <v/>
      </c>
    </row>
    <row r="2398">
      <c r="A2398" s="54">
        <f>IF(_imp!$C$2400="","",INDEX(_imp!$D$4:$D$4503,_imp!$C$2400))</f>
        <v/>
      </c>
      <c r="B2398" s="54">
        <f>IF(_imp!$C$2400="","",INDEX(_imp!$E$4:$E$4503,_imp!$C$2400))</f>
        <v/>
      </c>
      <c r="C2398" s="54">
        <f>IF(_imp!$C$2400="","",INDEX(_imp!$F$4:$F$4503,_imp!$C$2400))</f>
        <v/>
      </c>
      <c r="D2398" s="54">
        <f>IF(_imp!$C$2400="","",INDEX(_imp!$G$4:$G$4503,_imp!$C$2400))</f>
        <v/>
      </c>
      <c r="E2398" s="54">
        <f>IF(_imp!$C$2400="","",INDEX(_imp!$H$4:$H$4503,_imp!$C$2400))</f>
        <v/>
      </c>
      <c r="F2398" s="54">
        <f>IF(_imp!$C$2400="","",INDEX(_imp!$I$4:$I$4503,_imp!$C$2400))</f>
        <v/>
      </c>
      <c r="G2398" s="54">
        <f>IF(_imp!$C$2400="","",INDEX(_imp!$J$4:$J$4503,_imp!$C$2400))</f>
        <v/>
      </c>
      <c r="K2398" s="54">
        <f>IF(_imp!$C$2400="","",INDEX(_imp!$K$4:$K$4503,_imp!$C$2400))</f>
        <v/>
      </c>
    </row>
    <row r="2399">
      <c r="A2399" s="54">
        <f>IF(_imp!$C$2401="","",INDEX(_imp!$D$4:$D$4503,_imp!$C$2401))</f>
        <v/>
      </c>
      <c r="B2399" s="54">
        <f>IF(_imp!$C$2401="","",INDEX(_imp!$E$4:$E$4503,_imp!$C$2401))</f>
        <v/>
      </c>
      <c r="C2399" s="54">
        <f>IF(_imp!$C$2401="","",INDEX(_imp!$F$4:$F$4503,_imp!$C$2401))</f>
        <v/>
      </c>
      <c r="D2399" s="54">
        <f>IF(_imp!$C$2401="","",INDEX(_imp!$G$4:$G$4503,_imp!$C$2401))</f>
        <v/>
      </c>
      <c r="E2399" s="54">
        <f>IF(_imp!$C$2401="","",INDEX(_imp!$H$4:$H$4503,_imp!$C$2401))</f>
        <v/>
      </c>
      <c r="F2399" s="54">
        <f>IF(_imp!$C$2401="","",INDEX(_imp!$I$4:$I$4503,_imp!$C$2401))</f>
        <v/>
      </c>
      <c r="G2399" s="54">
        <f>IF(_imp!$C$2401="","",INDEX(_imp!$J$4:$J$4503,_imp!$C$2401))</f>
        <v/>
      </c>
      <c r="K2399" s="54">
        <f>IF(_imp!$C$2401="","",INDEX(_imp!$K$4:$K$4503,_imp!$C$2401))</f>
        <v/>
      </c>
    </row>
    <row r="2400">
      <c r="A2400" s="54">
        <f>IF(_imp!$C$2402="","",INDEX(_imp!$D$4:$D$4503,_imp!$C$2402))</f>
        <v/>
      </c>
      <c r="B2400" s="54">
        <f>IF(_imp!$C$2402="","",INDEX(_imp!$E$4:$E$4503,_imp!$C$2402))</f>
        <v/>
      </c>
      <c r="C2400" s="54">
        <f>IF(_imp!$C$2402="","",INDEX(_imp!$F$4:$F$4503,_imp!$C$2402))</f>
        <v/>
      </c>
      <c r="D2400" s="54">
        <f>IF(_imp!$C$2402="","",INDEX(_imp!$G$4:$G$4503,_imp!$C$2402))</f>
        <v/>
      </c>
      <c r="E2400" s="54">
        <f>IF(_imp!$C$2402="","",INDEX(_imp!$H$4:$H$4503,_imp!$C$2402))</f>
        <v/>
      </c>
      <c r="F2400" s="54">
        <f>IF(_imp!$C$2402="","",INDEX(_imp!$I$4:$I$4503,_imp!$C$2402))</f>
        <v/>
      </c>
      <c r="G2400" s="54">
        <f>IF(_imp!$C$2402="","",INDEX(_imp!$J$4:$J$4503,_imp!$C$2402))</f>
        <v/>
      </c>
      <c r="K2400" s="54">
        <f>IF(_imp!$C$2402="","",INDEX(_imp!$K$4:$K$4503,_imp!$C$2402))</f>
        <v/>
      </c>
    </row>
    <row r="2401">
      <c r="A2401" s="54">
        <f>IF(_imp!$C$2403="","",INDEX(_imp!$D$4:$D$4503,_imp!$C$2403))</f>
        <v/>
      </c>
      <c r="B2401" s="54">
        <f>IF(_imp!$C$2403="","",INDEX(_imp!$E$4:$E$4503,_imp!$C$2403))</f>
        <v/>
      </c>
      <c r="C2401" s="54">
        <f>IF(_imp!$C$2403="","",INDEX(_imp!$F$4:$F$4503,_imp!$C$2403))</f>
        <v/>
      </c>
      <c r="D2401" s="54">
        <f>IF(_imp!$C$2403="","",INDEX(_imp!$G$4:$G$4503,_imp!$C$2403))</f>
        <v/>
      </c>
      <c r="E2401" s="54">
        <f>IF(_imp!$C$2403="","",INDEX(_imp!$H$4:$H$4503,_imp!$C$2403))</f>
        <v/>
      </c>
      <c r="F2401" s="54">
        <f>IF(_imp!$C$2403="","",INDEX(_imp!$I$4:$I$4503,_imp!$C$2403))</f>
        <v/>
      </c>
      <c r="G2401" s="54">
        <f>IF(_imp!$C$2403="","",INDEX(_imp!$J$4:$J$4503,_imp!$C$2403))</f>
        <v/>
      </c>
      <c r="K2401" s="54">
        <f>IF(_imp!$C$2403="","",INDEX(_imp!$K$4:$K$4503,_imp!$C$2403))</f>
        <v/>
      </c>
    </row>
    <row r="2402">
      <c r="A2402" s="54">
        <f>IF(_imp!$C$2404="","",INDEX(_imp!$D$4:$D$4503,_imp!$C$2404))</f>
        <v/>
      </c>
      <c r="B2402" s="54">
        <f>IF(_imp!$C$2404="","",INDEX(_imp!$E$4:$E$4503,_imp!$C$2404))</f>
        <v/>
      </c>
      <c r="C2402" s="54">
        <f>IF(_imp!$C$2404="","",INDEX(_imp!$F$4:$F$4503,_imp!$C$2404))</f>
        <v/>
      </c>
      <c r="D2402" s="54">
        <f>IF(_imp!$C$2404="","",INDEX(_imp!$G$4:$G$4503,_imp!$C$2404))</f>
        <v/>
      </c>
      <c r="E2402" s="54">
        <f>IF(_imp!$C$2404="","",INDEX(_imp!$H$4:$H$4503,_imp!$C$2404))</f>
        <v/>
      </c>
      <c r="F2402" s="54">
        <f>IF(_imp!$C$2404="","",INDEX(_imp!$I$4:$I$4503,_imp!$C$2404))</f>
        <v/>
      </c>
      <c r="G2402" s="54">
        <f>IF(_imp!$C$2404="","",INDEX(_imp!$J$4:$J$4503,_imp!$C$2404))</f>
        <v/>
      </c>
      <c r="K2402" s="54">
        <f>IF(_imp!$C$2404="","",INDEX(_imp!$K$4:$K$4503,_imp!$C$2404))</f>
        <v/>
      </c>
    </row>
    <row r="2403">
      <c r="A2403" s="54">
        <f>IF(_imp!$C$2405="","",INDEX(_imp!$D$4:$D$4503,_imp!$C$2405))</f>
        <v/>
      </c>
      <c r="B2403" s="54">
        <f>IF(_imp!$C$2405="","",INDEX(_imp!$E$4:$E$4503,_imp!$C$2405))</f>
        <v/>
      </c>
      <c r="C2403" s="54">
        <f>IF(_imp!$C$2405="","",INDEX(_imp!$F$4:$F$4503,_imp!$C$2405))</f>
        <v/>
      </c>
      <c r="D2403" s="54">
        <f>IF(_imp!$C$2405="","",INDEX(_imp!$G$4:$G$4503,_imp!$C$2405))</f>
        <v/>
      </c>
      <c r="E2403" s="54">
        <f>IF(_imp!$C$2405="","",INDEX(_imp!$H$4:$H$4503,_imp!$C$2405))</f>
        <v/>
      </c>
      <c r="F2403" s="54">
        <f>IF(_imp!$C$2405="","",INDEX(_imp!$I$4:$I$4503,_imp!$C$2405))</f>
        <v/>
      </c>
      <c r="G2403" s="54">
        <f>IF(_imp!$C$2405="","",INDEX(_imp!$J$4:$J$4503,_imp!$C$2405))</f>
        <v/>
      </c>
      <c r="K2403" s="54">
        <f>IF(_imp!$C$2405="","",INDEX(_imp!$K$4:$K$4503,_imp!$C$2405))</f>
        <v/>
      </c>
    </row>
    <row r="2404">
      <c r="A2404" s="54">
        <f>IF(_imp!$C$2406="","",INDEX(_imp!$D$4:$D$4503,_imp!$C$2406))</f>
        <v/>
      </c>
      <c r="B2404" s="54">
        <f>IF(_imp!$C$2406="","",INDEX(_imp!$E$4:$E$4503,_imp!$C$2406))</f>
        <v/>
      </c>
      <c r="C2404" s="54">
        <f>IF(_imp!$C$2406="","",INDEX(_imp!$F$4:$F$4503,_imp!$C$2406))</f>
        <v/>
      </c>
      <c r="D2404" s="54">
        <f>IF(_imp!$C$2406="","",INDEX(_imp!$G$4:$G$4503,_imp!$C$2406))</f>
        <v/>
      </c>
      <c r="E2404" s="54">
        <f>IF(_imp!$C$2406="","",INDEX(_imp!$H$4:$H$4503,_imp!$C$2406))</f>
        <v/>
      </c>
      <c r="F2404" s="54">
        <f>IF(_imp!$C$2406="","",INDEX(_imp!$I$4:$I$4503,_imp!$C$2406))</f>
        <v/>
      </c>
      <c r="G2404" s="54">
        <f>IF(_imp!$C$2406="","",INDEX(_imp!$J$4:$J$4503,_imp!$C$2406))</f>
        <v/>
      </c>
      <c r="K2404" s="54">
        <f>IF(_imp!$C$2406="","",INDEX(_imp!$K$4:$K$4503,_imp!$C$2406))</f>
        <v/>
      </c>
    </row>
    <row r="2405">
      <c r="A2405" s="54">
        <f>IF(_imp!$C$2407="","",INDEX(_imp!$D$4:$D$4503,_imp!$C$2407))</f>
        <v/>
      </c>
      <c r="B2405" s="54">
        <f>IF(_imp!$C$2407="","",INDEX(_imp!$E$4:$E$4503,_imp!$C$2407))</f>
        <v/>
      </c>
      <c r="C2405" s="54">
        <f>IF(_imp!$C$2407="","",INDEX(_imp!$F$4:$F$4503,_imp!$C$2407))</f>
        <v/>
      </c>
      <c r="D2405" s="54">
        <f>IF(_imp!$C$2407="","",INDEX(_imp!$G$4:$G$4503,_imp!$C$2407))</f>
        <v/>
      </c>
      <c r="E2405" s="54">
        <f>IF(_imp!$C$2407="","",INDEX(_imp!$H$4:$H$4503,_imp!$C$2407))</f>
        <v/>
      </c>
      <c r="F2405" s="54">
        <f>IF(_imp!$C$2407="","",INDEX(_imp!$I$4:$I$4503,_imp!$C$2407))</f>
        <v/>
      </c>
      <c r="G2405" s="54">
        <f>IF(_imp!$C$2407="","",INDEX(_imp!$J$4:$J$4503,_imp!$C$2407))</f>
        <v/>
      </c>
      <c r="K2405" s="54">
        <f>IF(_imp!$C$2407="","",INDEX(_imp!$K$4:$K$4503,_imp!$C$2407))</f>
        <v/>
      </c>
    </row>
    <row r="2406">
      <c r="A2406" s="54">
        <f>IF(_imp!$C$2408="","",INDEX(_imp!$D$4:$D$4503,_imp!$C$2408))</f>
        <v/>
      </c>
      <c r="B2406" s="54">
        <f>IF(_imp!$C$2408="","",INDEX(_imp!$E$4:$E$4503,_imp!$C$2408))</f>
        <v/>
      </c>
      <c r="C2406" s="54">
        <f>IF(_imp!$C$2408="","",INDEX(_imp!$F$4:$F$4503,_imp!$C$2408))</f>
        <v/>
      </c>
      <c r="D2406" s="54">
        <f>IF(_imp!$C$2408="","",INDEX(_imp!$G$4:$G$4503,_imp!$C$2408))</f>
        <v/>
      </c>
      <c r="E2406" s="54">
        <f>IF(_imp!$C$2408="","",INDEX(_imp!$H$4:$H$4503,_imp!$C$2408))</f>
        <v/>
      </c>
      <c r="F2406" s="54">
        <f>IF(_imp!$C$2408="","",INDEX(_imp!$I$4:$I$4503,_imp!$C$2408))</f>
        <v/>
      </c>
      <c r="G2406" s="54">
        <f>IF(_imp!$C$2408="","",INDEX(_imp!$J$4:$J$4503,_imp!$C$2408))</f>
        <v/>
      </c>
      <c r="K2406" s="54">
        <f>IF(_imp!$C$2408="","",INDEX(_imp!$K$4:$K$4503,_imp!$C$2408))</f>
        <v/>
      </c>
    </row>
    <row r="2407">
      <c r="A2407" s="54">
        <f>IF(_imp!$C$2409="","",INDEX(_imp!$D$4:$D$4503,_imp!$C$2409))</f>
        <v/>
      </c>
      <c r="B2407" s="54">
        <f>IF(_imp!$C$2409="","",INDEX(_imp!$E$4:$E$4503,_imp!$C$2409))</f>
        <v/>
      </c>
      <c r="C2407" s="54">
        <f>IF(_imp!$C$2409="","",INDEX(_imp!$F$4:$F$4503,_imp!$C$2409))</f>
        <v/>
      </c>
      <c r="D2407" s="54">
        <f>IF(_imp!$C$2409="","",INDEX(_imp!$G$4:$G$4503,_imp!$C$2409))</f>
        <v/>
      </c>
      <c r="E2407" s="54">
        <f>IF(_imp!$C$2409="","",INDEX(_imp!$H$4:$H$4503,_imp!$C$2409))</f>
        <v/>
      </c>
      <c r="F2407" s="54">
        <f>IF(_imp!$C$2409="","",INDEX(_imp!$I$4:$I$4503,_imp!$C$2409))</f>
        <v/>
      </c>
      <c r="G2407" s="54">
        <f>IF(_imp!$C$2409="","",INDEX(_imp!$J$4:$J$4503,_imp!$C$2409))</f>
        <v/>
      </c>
      <c r="K2407" s="54">
        <f>IF(_imp!$C$2409="","",INDEX(_imp!$K$4:$K$4503,_imp!$C$2409))</f>
        <v/>
      </c>
    </row>
    <row r="2408">
      <c r="A2408" s="54">
        <f>IF(_imp!$C$2410="","",INDEX(_imp!$D$4:$D$4503,_imp!$C$2410))</f>
        <v/>
      </c>
      <c r="B2408" s="54">
        <f>IF(_imp!$C$2410="","",INDEX(_imp!$E$4:$E$4503,_imp!$C$2410))</f>
        <v/>
      </c>
      <c r="C2408" s="54">
        <f>IF(_imp!$C$2410="","",INDEX(_imp!$F$4:$F$4503,_imp!$C$2410))</f>
        <v/>
      </c>
      <c r="D2408" s="54">
        <f>IF(_imp!$C$2410="","",INDEX(_imp!$G$4:$G$4503,_imp!$C$2410))</f>
        <v/>
      </c>
      <c r="E2408" s="54">
        <f>IF(_imp!$C$2410="","",INDEX(_imp!$H$4:$H$4503,_imp!$C$2410))</f>
        <v/>
      </c>
      <c r="F2408" s="54">
        <f>IF(_imp!$C$2410="","",INDEX(_imp!$I$4:$I$4503,_imp!$C$2410))</f>
        <v/>
      </c>
      <c r="G2408" s="54">
        <f>IF(_imp!$C$2410="","",INDEX(_imp!$J$4:$J$4503,_imp!$C$2410))</f>
        <v/>
      </c>
      <c r="K2408" s="54">
        <f>IF(_imp!$C$2410="","",INDEX(_imp!$K$4:$K$4503,_imp!$C$2410))</f>
        <v/>
      </c>
    </row>
    <row r="2409">
      <c r="A2409" s="54">
        <f>IF(_imp!$C$2411="","",INDEX(_imp!$D$4:$D$4503,_imp!$C$2411))</f>
        <v/>
      </c>
      <c r="B2409" s="54">
        <f>IF(_imp!$C$2411="","",INDEX(_imp!$E$4:$E$4503,_imp!$C$2411))</f>
        <v/>
      </c>
      <c r="C2409" s="54">
        <f>IF(_imp!$C$2411="","",INDEX(_imp!$F$4:$F$4503,_imp!$C$2411))</f>
        <v/>
      </c>
      <c r="D2409" s="54">
        <f>IF(_imp!$C$2411="","",INDEX(_imp!$G$4:$G$4503,_imp!$C$2411))</f>
        <v/>
      </c>
      <c r="E2409" s="54">
        <f>IF(_imp!$C$2411="","",INDEX(_imp!$H$4:$H$4503,_imp!$C$2411))</f>
        <v/>
      </c>
      <c r="F2409" s="54">
        <f>IF(_imp!$C$2411="","",INDEX(_imp!$I$4:$I$4503,_imp!$C$2411))</f>
        <v/>
      </c>
      <c r="G2409" s="54">
        <f>IF(_imp!$C$2411="","",INDEX(_imp!$J$4:$J$4503,_imp!$C$2411))</f>
        <v/>
      </c>
      <c r="K2409" s="54">
        <f>IF(_imp!$C$2411="","",INDEX(_imp!$K$4:$K$4503,_imp!$C$2411))</f>
        <v/>
      </c>
    </row>
    <row r="2410">
      <c r="A2410" s="54">
        <f>IF(_imp!$C$2412="","",INDEX(_imp!$D$4:$D$4503,_imp!$C$2412))</f>
        <v/>
      </c>
      <c r="B2410" s="54">
        <f>IF(_imp!$C$2412="","",INDEX(_imp!$E$4:$E$4503,_imp!$C$2412))</f>
        <v/>
      </c>
      <c r="C2410" s="54">
        <f>IF(_imp!$C$2412="","",INDEX(_imp!$F$4:$F$4503,_imp!$C$2412))</f>
        <v/>
      </c>
      <c r="D2410" s="54">
        <f>IF(_imp!$C$2412="","",INDEX(_imp!$G$4:$G$4503,_imp!$C$2412))</f>
        <v/>
      </c>
      <c r="E2410" s="54">
        <f>IF(_imp!$C$2412="","",INDEX(_imp!$H$4:$H$4503,_imp!$C$2412))</f>
        <v/>
      </c>
      <c r="F2410" s="54">
        <f>IF(_imp!$C$2412="","",INDEX(_imp!$I$4:$I$4503,_imp!$C$2412))</f>
        <v/>
      </c>
      <c r="G2410" s="54">
        <f>IF(_imp!$C$2412="","",INDEX(_imp!$J$4:$J$4503,_imp!$C$2412))</f>
        <v/>
      </c>
      <c r="K2410" s="54">
        <f>IF(_imp!$C$2412="","",INDEX(_imp!$K$4:$K$4503,_imp!$C$2412))</f>
        <v/>
      </c>
    </row>
    <row r="2411">
      <c r="A2411" s="54">
        <f>IF(_imp!$C$2413="","",INDEX(_imp!$D$4:$D$4503,_imp!$C$2413))</f>
        <v/>
      </c>
      <c r="B2411" s="54">
        <f>IF(_imp!$C$2413="","",INDEX(_imp!$E$4:$E$4503,_imp!$C$2413))</f>
        <v/>
      </c>
      <c r="C2411" s="54">
        <f>IF(_imp!$C$2413="","",INDEX(_imp!$F$4:$F$4503,_imp!$C$2413))</f>
        <v/>
      </c>
      <c r="D2411" s="54">
        <f>IF(_imp!$C$2413="","",INDEX(_imp!$G$4:$G$4503,_imp!$C$2413))</f>
        <v/>
      </c>
      <c r="E2411" s="54">
        <f>IF(_imp!$C$2413="","",INDEX(_imp!$H$4:$H$4503,_imp!$C$2413))</f>
        <v/>
      </c>
      <c r="F2411" s="54">
        <f>IF(_imp!$C$2413="","",INDEX(_imp!$I$4:$I$4503,_imp!$C$2413))</f>
        <v/>
      </c>
      <c r="G2411" s="54">
        <f>IF(_imp!$C$2413="","",INDEX(_imp!$J$4:$J$4503,_imp!$C$2413))</f>
        <v/>
      </c>
      <c r="K2411" s="54">
        <f>IF(_imp!$C$2413="","",INDEX(_imp!$K$4:$K$4503,_imp!$C$2413))</f>
        <v/>
      </c>
    </row>
    <row r="2412">
      <c r="A2412" s="54">
        <f>IF(_imp!$C$2414="","",INDEX(_imp!$D$4:$D$4503,_imp!$C$2414))</f>
        <v/>
      </c>
      <c r="B2412" s="54">
        <f>IF(_imp!$C$2414="","",INDEX(_imp!$E$4:$E$4503,_imp!$C$2414))</f>
        <v/>
      </c>
      <c r="C2412" s="54">
        <f>IF(_imp!$C$2414="","",INDEX(_imp!$F$4:$F$4503,_imp!$C$2414))</f>
        <v/>
      </c>
      <c r="D2412" s="54">
        <f>IF(_imp!$C$2414="","",INDEX(_imp!$G$4:$G$4503,_imp!$C$2414))</f>
        <v/>
      </c>
      <c r="E2412" s="54">
        <f>IF(_imp!$C$2414="","",INDEX(_imp!$H$4:$H$4503,_imp!$C$2414))</f>
        <v/>
      </c>
      <c r="F2412" s="54">
        <f>IF(_imp!$C$2414="","",INDEX(_imp!$I$4:$I$4503,_imp!$C$2414))</f>
        <v/>
      </c>
      <c r="G2412" s="54">
        <f>IF(_imp!$C$2414="","",INDEX(_imp!$J$4:$J$4503,_imp!$C$2414))</f>
        <v/>
      </c>
      <c r="K2412" s="54">
        <f>IF(_imp!$C$2414="","",INDEX(_imp!$K$4:$K$4503,_imp!$C$2414))</f>
        <v/>
      </c>
    </row>
    <row r="2413">
      <c r="A2413" s="54">
        <f>IF(_imp!$C$2415="","",INDEX(_imp!$D$4:$D$4503,_imp!$C$2415))</f>
        <v/>
      </c>
      <c r="B2413" s="54">
        <f>IF(_imp!$C$2415="","",INDEX(_imp!$E$4:$E$4503,_imp!$C$2415))</f>
        <v/>
      </c>
      <c r="C2413" s="54">
        <f>IF(_imp!$C$2415="","",INDEX(_imp!$F$4:$F$4503,_imp!$C$2415))</f>
        <v/>
      </c>
      <c r="D2413" s="54">
        <f>IF(_imp!$C$2415="","",INDEX(_imp!$G$4:$G$4503,_imp!$C$2415))</f>
        <v/>
      </c>
      <c r="E2413" s="54">
        <f>IF(_imp!$C$2415="","",INDEX(_imp!$H$4:$H$4503,_imp!$C$2415))</f>
        <v/>
      </c>
      <c r="F2413" s="54">
        <f>IF(_imp!$C$2415="","",INDEX(_imp!$I$4:$I$4503,_imp!$C$2415))</f>
        <v/>
      </c>
      <c r="G2413" s="54">
        <f>IF(_imp!$C$2415="","",INDEX(_imp!$J$4:$J$4503,_imp!$C$2415))</f>
        <v/>
      </c>
      <c r="K2413" s="54">
        <f>IF(_imp!$C$2415="","",INDEX(_imp!$K$4:$K$4503,_imp!$C$2415))</f>
        <v/>
      </c>
    </row>
    <row r="2414">
      <c r="A2414" s="54">
        <f>IF(_imp!$C$2416="","",INDEX(_imp!$D$4:$D$4503,_imp!$C$2416))</f>
        <v/>
      </c>
      <c r="B2414" s="54">
        <f>IF(_imp!$C$2416="","",INDEX(_imp!$E$4:$E$4503,_imp!$C$2416))</f>
        <v/>
      </c>
      <c r="C2414" s="54">
        <f>IF(_imp!$C$2416="","",INDEX(_imp!$F$4:$F$4503,_imp!$C$2416))</f>
        <v/>
      </c>
      <c r="D2414" s="54">
        <f>IF(_imp!$C$2416="","",INDEX(_imp!$G$4:$G$4503,_imp!$C$2416))</f>
        <v/>
      </c>
      <c r="E2414" s="54">
        <f>IF(_imp!$C$2416="","",INDEX(_imp!$H$4:$H$4503,_imp!$C$2416))</f>
        <v/>
      </c>
      <c r="F2414" s="54">
        <f>IF(_imp!$C$2416="","",INDEX(_imp!$I$4:$I$4503,_imp!$C$2416))</f>
        <v/>
      </c>
      <c r="G2414" s="54">
        <f>IF(_imp!$C$2416="","",INDEX(_imp!$J$4:$J$4503,_imp!$C$2416))</f>
        <v/>
      </c>
      <c r="K2414" s="54">
        <f>IF(_imp!$C$2416="","",INDEX(_imp!$K$4:$K$4503,_imp!$C$2416))</f>
        <v/>
      </c>
    </row>
    <row r="2415">
      <c r="A2415" s="54">
        <f>IF(_imp!$C$2417="","",INDEX(_imp!$D$4:$D$4503,_imp!$C$2417))</f>
        <v/>
      </c>
      <c r="B2415" s="54">
        <f>IF(_imp!$C$2417="","",INDEX(_imp!$E$4:$E$4503,_imp!$C$2417))</f>
        <v/>
      </c>
      <c r="C2415" s="54">
        <f>IF(_imp!$C$2417="","",INDEX(_imp!$F$4:$F$4503,_imp!$C$2417))</f>
        <v/>
      </c>
      <c r="D2415" s="54">
        <f>IF(_imp!$C$2417="","",INDEX(_imp!$G$4:$G$4503,_imp!$C$2417))</f>
        <v/>
      </c>
      <c r="E2415" s="54">
        <f>IF(_imp!$C$2417="","",INDEX(_imp!$H$4:$H$4503,_imp!$C$2417))</f>
        <v/>
      </c>
      <c r="F2415" s="54">
        <f>IF(_imp!$C$2417="","",INDEX(_imp!$I$4:$I$4503,_imp!$C$2417))</f>
        <v/>
      </c>
      <c r="G2415" s="54">
        <f>IF(_imp!$C$2417="","",INDEX(_imp!$J$4:$J$4503,_imp!$C$2417))</f>
        <v/>
      </c>
      <c r="K2415" s="54">
        <f>IF(_imp!$C$2417="","",INDEX(_imp!$K$4:$K$4503,_imp!$C$2417))</f>
        <v/>
      </c>
    </row>
    <row r="2416">
      <c r="A2416" s="54">
        <f>IF(_imp!$C$2418="","",INDEX(_imp!$D$4:$D$4503,_imp!$C$2418))</f>
        <v/>
      </c>
      <c r="B2416" s="54">
        <f>IF(_imp!$C$2418="","",INDEX(_imp!$E$4:$E$4503,_imp!$C$2418))</f>
        <v/>
      </c>
      <c r="C2416" s="54">
        <f>IF(_imp!$C$2418="","",INDEX(_imp!$F$4:$F$4503,_imp!$C$2418))</f>
        <v/>
      </c>
      <c r="D2416" s="54">
        <f>IF(_imp!$C$2418="","",INDEX(_imp!$G$4:$G$4503,_imp!$C$2418))</f>
        <v/>
      </c>
      <c r="E2416" s="54">
        <f>IF(_imp!$C$2418="","",INDEX(_imp!$H$4:$H$4503,_imp!$C$2418))</f>
        <v/>
      </c>
      <c r="F2416" s="54">
        <f>IF(_imp!$C$2418="","",INDEX(_imp!$I$4:$I$4503,_imp!$C$2418))</f>
        <v/>
      </c>
      <c r="G2416" s="54">
        <f>IF(_imp!$C$2418="","",INDEX(_imp!$J$4:$J$4503,_imp!$C$2418))</f>
        <v/>
      </c>
      <c r="K2416" s="54">
        <f>IF(_imp!$C$2418="","",INDEX(_imp!$K$4:$K$4503,_imp!$C$2418))</f>
        <v/>
      </c>
    </row>
    <row r="2417">
      <c r="A2417" s="54">
        <f>IF(_imp!$C$2419="","",INDEX(_imp!$D$4:$D$4503,_imp!$C$2419))</f>
        <v/>
      </c>
      <c r="B2417" s="54">
        <f>IF(_imp!$C$2419="","",INDEX(_imp!$E$4:$E$4503,_imp!$C$2419))</f>
        <v/>
      </c>
      <c r="C2417" s="54">
        <f>IF(_imp!$C$2419="","",INDEX(_imp!$F$4:$F$4503,_imp!$C$2419))</f>
        <v/>
      </c>
      <c r="D2417" s="54">
        <f>IF(_imp!$C$2419="","",INDEX(_imp!$G$4:$G$4503,_imp!$C$2419))</f>
        <v/>
      </c>
      <c r="E2417" s="54">
        <f>IF(_imp!$C$2419="","",INDEX(_imp!$H$4:$H$4503,_imp!$C$2419))</f>
        <v/>
      </c>
      <c r="F2417" s="54">
        <f>IF(_imp!$C$2419="","",INDEX(_imp!$I$4:$I$4503,_imp!$C$2419))</f>
        <v/>
      </c>
      <c r="G2417" s="54">
        <f>IF(_imp!$C$2419="","",INDEX(_imp!$J$4:$J$4503,_imp!$C$2419))</f>
        <v/>
      </c>
      <c r="K2417" s="54">
        <f>IF(_imp!$C$2419="","",INDEX(_imp!$K$4:$K$4503,_imp!$C$2419))</f>
        <v/>
      </c>
    </row>
    <row r="2418">
      <c r="A2418" s="54">
        <f>IF(_imp!$C$2420="","",INDEX(_imp!$D$4:$D$4503,_imp!$C$2420))</f>
        <v/>
      </c>
      <c r="B2418" s="54">
        <f>IF(_imp!$C$2420="","",INDEX(_imp!$E$4:$E$4503,_imp!$C$2420))</f>
        <v/>
      </c>
      <c r="C2418" s="54">
        <f>IF(_imp!$C$2420="","",INDEX(_imp!$F$4:$F$4503,_imp!$C$2420))</f>
        <v/>
      </c>
      <c r="D2418" s="54">
        <f>IF(_imp!$C$2420="","",INDEX(_imp!$G$4:$G$4503,_imp!$C$2420))</f>
        <v/>
      </c>
      <c r="E2418" s="54">
        <f>IF(_imp!$C$2420="","",INDEX(_imp!$H$4:$H$4503,_imp!$C$2420))</f>
        <v/>
      </c>
      <c r="F2418" s="54">
        <f>IF(_imp!$C$2420="","",INDEX(_imp!$I$4:$I$4503,_imp!$C$2420))</f>
        <v/>
      </c>
      <c r="G2418" s="54">
        <f>IF(_imp!$C$2420="","",INDEX(_imp!$J$4:$J$4503,_imp!$C$2420))</f>
        <v/>
      </c>
      <c r="K2418" s="54">
        <f>IF(_imp!$C$2420="","",INDEX(_imp!$K$4:$K$4503,_imp!$C$2420))</f>
        <v/>
      </c>
    </row>
    <row r="2419">
      <c r="A2419" s="54">
        <f>IF(_imp!$C$2421="","",INDEX(_imp!$D$4:$D$4503,_imp!$C$2421))</f>
        <v/>
      </c>
      <c r="B2419" s="54">
        <f>IF(_imp!$C$2421="","",INDEX(_imp!$E$4:$E$4503,_imp!$C$2421))</f>
        <v/>
      </c>
      <c r="C2419" s="54">
        <f>IF(_imp!$C$2421="","",INDEX(_imp!$F$4:$F$4503,_imp!$C$2421))</f>
        <v/>
      </c>
      <c r="D2419" s="54">
        <f>IF(_imp!$C$2421="","",INDEX(_imp!$G$4:$G$4503,_imp!$C$2421))</f>
        <v/>
      </c>
      <c r="E2419" s="54">
        <f>IF(_imp!$C$2421="","",INDEX(_imp!$H$4:$H$4503,_imp!$C$2421))</f>
        <v/>
      </c>
      <c r="F2419" s="54">
        <f>IF(_imp!$C$2421="","",INDEX(_imp!$I$4:$I$4503,_imp!$C$2421))</f>
        <v/>
      </c>
      <c r="G2419" s="54">
        <f>IF(_imp!$C$2421="","",INDEX(_imp!$J$4:$J$4503,_imp!$C$2421))</f>
        <v/>
      </c>
      <c r="K2419" s="54">
        <f>IF(_imp!$C$2421="","",INDEX(_imp!$K$4:$K$4503,_imp!$C$2421))</f>
        <v/>
      </c>
    </row>
    <row r="2420">
      <c r="A2420" s="54">
        <f>IF(_imp!$C$2422="","",INDEX(_imp!$D$4:$D$4503,_imp!$C$2422))</f>
        <v/>
      </c>
      <c r="B2420" s="54">
        <f>IF(_imp!$C$2422="","",INDEX(_imp!$E$4:$E$4503,_imp!$C$2422))</f>
        <v/>
      </c>
      <c r="C2420" s="54">
        <f>IF(_imp!$C$2422="","",INDEX(_imp!$F$4:$F$4503,_imp!$C$2422))</f>
        <v/>
      </c>
      <c r="D2420" s="54">
        <f>IF(_imp!$C$2422="","",INDEX(_imp!$G$4:$G$4503,_imp!$C$2422))</f>
        <v/>
      </c>
      <c r="E2420" s="54">
        <f>IF(_imp!$C$2422="","",INDEX(_imp!$H$4:$H$4503,_imp!$C$2422))</f>
        <v/>
      </c>
      <c r="F2420" s="54">
        <f>IF(_imp!$C$2422="","",INDEX(_imp!$I$4:$I$4503,_imp!$C$2422))</f>
        <v/>
      </c>
      <c r="G2420" s="54">
        <f>IF(_imp!$C$2422="","",INDEX(_imp!$J$4:$J$4503,_imp!$C$2422))</f>
        <v/>
      </c>
      <c r="K2420" s="54">
        <f>IF(_imp!$C$2422="","",INDEX(_imp!$K$4:$K$4503,_imp!$C$2422))</f>
        <v/>
      </c>
    </row>
    <row r="2421">
      <c r="A2421" s="54">
        <f>IF(_imp!$C$2423="","",INDEX(_imp!$D$4:$D$4503,_imp!$C$2423))</f>
        <v/>
      </c>
      <c r="B2421" s="54">
        <f>IF(_imp!$C$2423="","",INDEX(_imp!$E$4:$E$4503,_imp!$C$2423))</f>
        <v/>
      </c>
      <c r="C2421" s="54">
        <f>IF(_imp!$C$2423="","",INDEX(_imp!$F$4:$F$4503,_imp!$C$2423))</f>
        <v/>
      </c>
      <c r="D2421" s="54">
        <f>IF(_imp!$C$2423="","",INDEX(_imp!$G$4:$G$4503,_imp!$C$2423))</f>
        <v/>
      </c>
      <c r="E2421" s="54">
        <f>IF(_imp!$C$2423="","",INDEX(_imp!$H$4:$H$4503,_imp!$C$2423))</f>
        <v/>
      </c>
      <c r="F2421" s="54">
        <f>IF(_imp!$C$2423="","",INDEX(_imp!$I$4:$I$4503,_imp!$C$2423))</f>
        <v/>
      </c>
      <c r="G2421" s="54">
        <f>IF(_imp!$C$2423="","",INDEX(_imp!$J$4:$J$4503,_imp!$C$2423))</f>
        <v/>
      </c>
      <c r="K2421" s="54">
        <f>IF(_imp!$C$2423="","",INDEX(_imp!$K$4:$K$4503,_imp!$C$2423))</f>
        <v/>
      </c>
    </row>
    <row r="2422">
      <c r="A2422" s="54">
        <f>IF(_imp!$C$2424="","",INDEX(_imp!$D$4:$D$4503,_imp!$C$2424))</f>
        <v/>
      </c>
      <c r="B2422" s="54">
        <f>IF(_imp!$C$2424="","",INDEX(_imp!$E$4:$E$4503,_imp!$C$2424))</f>
        <v/>
      </c>
      <c r="C2422" s="54">
        <f>IF(_imp!$C$2424="","",INDEX(_imp!$F$4:$F$4503,_imp!$C$2424))</f>
        <v/>
      </c>
      <c r="D2422" s="54">
        <f>IF(_imp!$C$2424="","",INDEX(_imp!$G$4:$G$4503,_imp!$C$2424))</f>
        <v/>
      </c>
      <c r="E2422" s="54">
        <f>IF(_imp!$C$2424="","",INDEX(_imp!$H$4:$H$4503,_imp!$C$2424))</f>
        <v/>
      </c>
      <c r="F2422" s="54">
        <f>IF(_imp!$C$2424="","",INDEX(_imp!$I$4:$I$4503,_imp!$C$2424))</f>
        <v/>
      </c>
      <c r="G2422" s="54">
        <f>IF(_imp!$C$2424="","",INDEX(_imp!$J$4:$J$4503,_imp!$C$2424))</f>
        <v/>
      </c>
      <c r="K2422" s="54">
        <f>IF(_imp!$C$2424="","",INDEX(_imp!$K$4:$K$4503,_imp!$C$2424))</f>
        <v/>
      </c>
    </row>
    <row r="2423">
      <c r="A2423" s="54">
        <f>IF(_imp!$C$2425="","",INDEX(_imp!$D$4:$D$4503,_imp!$C$2425))</f>
        <v/>
      </c>
      <c r="B2423" s="54">
        <f>IF(_imp!$C$2425="","",INDEX(_imp!$E$4:$E$4503,_imp!$C$2425))</f>
        <v/>
      </c>
      <c r="C2423" s="54">
        <f>IF(_imp!$C$2425="","",INDEX(_imp!$F$4:$F$4503,_imp!$C$2425))</f>
        <v/>
      </c>
      <c r="D2423" s="54">
        <f>IF(_imp!$C$2425="","",INDEX(_imp!$G$4:$G$4503,_imp!$C$2425))</f>
        <v/>
      </c>
      <c r="E2423" s="54">
        <f>IF(_imp!$C$2425="","",INDEX(_imp!$H$4:$H$4503,_imp!$C$2425))</f>
        <v/>
      </c>
      <c r="F2423" s="54">
        <f>IF(_imp!$C$2425="","",INDEX(_imp!$I$4:$I$4503,_imp!$C$2425))</f>
        <v/>
      </c>
      <c r="G2423" s="54">
        <f>IF(_imp!$C$2425="","",INDEX(_imp!$J$4:$J$4503,_imp!$C$2425))</f>
        <v/>
      </c>
      <c r="K2423" s="54">
        <f>IF(_imp!$C$2425="","",INDEX(_imp!$K$4:$K$4503,_imp!$C$2425))</f>
        <v/>
      </c>
    </row>
    <row r="2424">
      <c r="A2424" s="54">
        <f>IF(_imp!$C$2426="","",INDEX(_imp!$D$4:$D$4503,_imp!$C$2426))</f>
        <v/>
      </c>
      <c r="B2424" s="54">
        <f>IF(_imp!$C$2426="","",INDEX(_imp!$E$4:$E$4503,_imp!$C$2426))</f>
        <v/>
      </c>
      <c r="C2424" s="54">
        <f>IF(_imp!$C$2426="","",INDEX(_imp!$F$4:$F$4503,_imp!$C$2426))</f>
        <v/>
      </c>
      <c r="D2424" s="54">
        <f>IF(_imp!$C$2426="","",INDEX(_imp!$G$4:$G$4503,_imp!$C$2426))</f>
        <v/>
      </c>
      <c r="E2424" s="54">
        <f>IF(_imp!$C$2426="","",INDEX(_imp!$H$4:$H$4503,_imp!$C$2426))</f>
        <v/>
      </c>
      <c r="F2424" s="54">
        <f>IF(_imp!$C$2426="","",INDEX(_imp!$I$4:$I$4503,_imp!$C$2426))</f>
        <v/>
      </c>
      <c r="G2424" s="54">
        <f>IF(_imp!$C$2426="","",INDEX(_imp!$J$4:$J$4503,_imp!$C$2426))</f>
        <v/>
      </c>
      <c r="K2424" s="54">
        <f>IF(_imp!$C$2426="","",INDEX(_imp!$K$4:$K$4503,_imp!$C$2426))</f>
        <v/>
      </c>
    </row>
    <row r="2425">
      <c r="A2425" s="54">
        <f>IF(_imp!$C$2427="","",INDEX(_imp!$D$4:$D$4503,_imp!$C$2427))</f>
        <v/>
      </c>
      <c r="B2425" s="54">
        <f>IF(_imp!$C$2427="","",INDEX(_imp!$E$4:$E$4503,_imp!$C$2427))</f>
        <v/>
      </c>
      <c r="C2425" s="54">
        <f>IF(_imp!$C$2427="","",INDEX(_imp!$F$4:$F$4503,_imp!$C$2427))</f>
        <v/>
      </c>
      <c r="D2425" s="54">
        <f>IF(_imp!$C$2427="","",INDEX(_imp!$G$4:$G$4503,_imp!$C$2427))</f>
        <v/>
      </c>
      <c r="E2425" s="54">
        <f>IF(_imp!$C$2427="","",INDEX(_imp!$H$4:$H$4503,_imp!$C$2427))</f>
        <v/>
      </c>
      <c r="F2425" s="54">
        <f>IF(_imp!$C$2427="","",INDEX(_imp!$I$4:$I$4503,_imp!$C$2427))</f>
        <v/>
      </c>
      <c r="G2425" s="54">
        <f>IF(_imp!$C$2427="","",INDEX(_imp!$J$4:$J$4503,_imp!$C$2427))</f>
        <v/>
      </c>
      <c r="K2425" s="54">
        <f>IF(_imp!$C$2427="","",INDEX(_imp!$K$4:$K$4503,_imp!$C$2427))</f>
        <v/>
      </c>
    </row>
    <row r="2426">
      <c r="A2426" s="54">
        <f>IF(_imp!$C$2428="","",INDEX(_imp!$D$4:$D$4503,_imp!$C$2428))</f>
        <v/>
      </c>
      <c r="B2426" s="54">
        <f>IF(_imp!$C$2428="","",INDEX(_imp!$E$4:$E$4503,_imp!$C$2428))</f>
        <v/>
      </c>
      <c r="C2426" s="54">
        <f>IF(_imp!$C$2428="","",INDEX(_imp!$F$4:$F$4503,_imp!$C$2428))</f>
        <v/>
      </c>
      <c r="D2426" s="54">
        <f>IF(_imp!$C$2428="","",INDEX(_imp!$G$4:$G$4503,_imp!$C$2428))</f>
        <v/>
      </c>
      <c r="E2426" s="54">
        <f>IF(_imp!$C$2428="","",INDEX(_imp!$H$4:$H$4503,_imp!$C$2428))</f>
        <v/>
      </c>
      <c r="F2426" s="54">
        <f>IF(_imp!$C$2428="","",INDEX(_imp!$I$4:$I$4503,_imp!$C$2428))</f>
        <v/>
      </c>
      <c r="G2426" s="54">
        <f>IF(_imp!$C$2428="","",INDEX(_imp!$J$4:$J$4503,_imp!$C$2428))</f>
        <v/>
      </c>
      <c r="K2426" s="54">
        <f>IF(_imp!$C$2428="","",INDEX(_imp!$K$4:$K$4503,_imp!$C$2428))</f>
        <v/>
      </c>
    </row>
    <row r="2427">
      <c r="A2427" s="54">
        <f>IF(_imp!$C$2429="","",INDEX(_imp!$D$4:$D$4503,_imp!$C$2429))</f>
        <v/>
      </c>
      <c r="B2427" s="54">
        <f>IF(_imp!$C$2429="","",INDEX(_imp!$E$4:$E$4503,_imp!$C$2429))</f>
        <v/>
      </c>
      <c r="C2427" s="54">
        <f>IF(_imp!$C$2429="","",INDEX(_imp!$F$4:$F$4503,_imp!$C$2429))</f>
        <v/>
      </c>
      <c r="D2427" s="54">
        <f>IF(_imp!$C$2429="","",INDEX(_imp!$G$4:$G$4503,_imp!$C$2429))</f>
        <v/>
      </c>
      <c r="E2427" s="54">
        <f>IF(_imp!$C$2429="","",INDEX(_imp!$H$4:$H$4503,_imp!$C$2429))</f>
        <v/>
      </c>
      <c r="F2427" s="54">
        <f>IF(_imp!$C$2429="","",INDEX(_imp!$I$4:$I$4503,_imp!$C$2429))</f>
        <v/>
      </c>
      <c r="G2427" s="54">
        <f>IF(_imp!$C$2429="","",INDEX(_imp!$J$4:$J$4503,_imp!$C$2429))</f>
        <v/>
      </c>
      <c r="K2427" s="54">
        <f>IF(_imp!$C$2429="","",INDEX(_imp!$K$4:$K$4503,_imp!$C$2429))</f>
        <v/>
      </c>
    </row>
    <row r="2428">
      <c r="A2428" s="54">
        <f>IF(_imp!$C$2430="","",INDEX(_imp!$D$4:$D$4503,_imp!$C$2430))</f>
        <v/>
      </c>
      <c r="B2428" s="54">
        <f>IF(_imp!$C$2430="","",INDEX(_imp!$E$4:$E$4503,_imp!$C$2430))</f>
        <v/>
      </c>
      <c r="C2428" s="54">
        <f>IF(_imp!$C$2430="","",INDEX(_imp!$F$4:$F$4503,_imp!$C$2430))</f>
        <v/>
      </c>
      <c r="D2428" s="54">
        <f>IF(_imp!$C$2430="","",INDEX(_imp!$G$4:$G$4503,_imp!$C$2430))</f>
        <v/>
      </c>
      <c r="E2428" s="54">
        <f>IF(_imp!$C$2430="","",INDEX(_imp!$H$4:$H$4503,_imp!$C$2430))</f>
        <v/>
      </c>
      <c r="F2428" s="54">
        <f>IF(_imp!$C$2430="","",INDEX(_imp!$I$4:$I$4503,_imp!$C$2430))</f>
        <v/>
      </c>
      <c r="G2428" s="54">
        <f>IF(_imp!$C$2430="","",INDEX(_imp!$J$4:$J$4503,_imp!$C$2430))</f>
        <v/>
      </c>
      <c r="K2428" s="54">
        <f>IF(_imp!$C$2430="","",INDEX(_imp!$K$4:$K$4503,_imp!$C$2430))</f>
        <v/>
      </c>
    </row>
    <row r="2429">
      <c r="A2429" s="54">
        <f>IF(_imp!$C$2431="","",INDEX(_imp!$D$4:$D$4503,_imp!$C$2431))</f>
        <v/>
      </c>
      <c r="B2429" s="54">
        <f>IF(_imp!$C$2431="","",INDEX(_imp!$E$4:$E$4503,_imp!$C$2431))</f>
        <v/>
      </c>
      <c r="C2429" s="54">
        <f>IF(_imp!$C$2431="","",INDEX(_imp!$F$4:$F$4503,_imp!$C$2431))</f>
        <v/>
      </c>
      <c r="D2429" s="54">
        <f>IF(_imp!$C$2431="","",INDEX(_imp!$G$4:$G$4503,_imp!$C$2431))</f>
        <v/>
      </c>
      <c r="E2429" s="54">
        <f>IF(_imp!$C$2431="","",INDEX(_imp!$H$4:$H$4503,_imp!$C$2431))</f>
        <v/>
      </c>
      <c r="F2429" s="54">
        <f>IF(_imp!$C$2431="","",INDEX(_imp!$I$4:$I$4503,_imp!$C$2431))</f>
        <v/>
      </c>
      <c r="G2429" s="54">
        <f>IF(_imp!$C$2431="","",INDEX(_imp!$J$4:$J$4503,_imp!$C$2431))</f>
        <v/>
      </c>
      <c r="K2429" s="54">
        <f>IF(_imp!$C$2431="","",INDEX(_imp!$K$4:$K$4503,_imp!$C$2431))</f>
        <v/>
      </c>
    </row>
    <row r="2430">
      <c r="A2430" s="54">
        <f>IF(_imp!$C$2432="","",INDEX(_imp!$D$4:$D$4503,_imp!$C$2432))</f>
        <v/>
      </c>
      <c r="B2430" s="54">
        <f>IF(_imp!$C$2432="","",INDEX(_imp!$E$4:$E$4503,_imp!$C$2432))</f>
        <v/>
      </c>
      <c r="C2430" s="54">
        <f>IF(_imp!$C$2432="","",INDEX(_imp!$F$4:$F$4503,_imp!$C$2432))</f>
        <v/>
      </c>
      <c r="D2430" s="54">
        <f>IF(_imp!$C$2432="","",INDEX(_imp!$G$4:$G$4503,_imp!$C$2432))</f>
        <v/>
      </c>
      <c r="E2430" s="54">
        <f>IF(_imp!$C$2432="","",INDEX(_imp!$H$4:$H$4503,_imp!$C$2432))</f>
        <v/>
      </c>
      <c r="F2430" s="54">
        <f>IF(_imp!$C$2432="","",INDEX(_imp!$I$4:$I$4503,_imp!$C$2432))</f>
        <v/>
      </c>
      <c r="G2430" s="54">
        <f>IF(_imp!$C$2432="","",INDEX(_imp!$J$4:$J$4503,_imp!$C$2432))</f>
        <v/>
      </c>
      <c r="K2430" s="54">
        <f>IF(_imp!$C$2432="","",INDEX(_imp!$K$4:$K$4503,_imp!$C$2432))</f>
        <v/>
      </c>
    </row>
    <row r="2431">
      <c r="A2431" s="54">
        <f>IF(_imp!$C$2433="","",INDEX(_imp!$D$4:$D$4503,_imp!$C$2433))</f>
        <v/>
      </c>
      <c r="B2431" s="54">
        <f>IF(_imp!$C$2433="","",INDEX(_imp!$E$4:$E$4503,_imp!$C$2433))</f>
        <v/>
      </c>
      <c r="C2431" s="54">
        <f>IF(_imp!$C$2433="","",INDEX(_imp!$F$4:$F$4503,_imp!$C$2433))</f>
        <v/>
      </c>
      <c r="D2431" s="54">
        <f>IF(_imp!$C$2433="","",INDEX(_imp!$G$4:$G$4503,_imp!$C$2433))</f>
        <v/>
      </c>
      <c r="E2431" s="54">
        <f>IF(_imp!$C$2433="","",INDEX(_imp!$H$4:$H$4503,_imp!$C$2433))</f>
        <v/>
      </c>
      <c r="F2431" s="54">
        <f>IF(_imp!$C$2433="","",INDEX(_imp!$I$4:$I$4503,_imp!$C$2433))</f>
        <v/>
      </c>
      <c r="G2431" s="54">
        <f>IF(_imp!$C$2433="","",INDEX(_imp!$J$4:$J$4503,_imp!$C$2433))</f>
        <v/>
      </c>
      <c r="K2431" s="54">
        <f>IF(_imp!$C$2433="","",INDEX(_imp!$K$4:$K$4503,_imp!$C$2433))</f>
        <v/>
      </c>
    </row>
    <row r="2432">
      <c r="A2432" s="54">
        <f>IF(_imp!$C$2434="","",INDEX(_imp!$D$4:$D$4503,_imp!$C$2434))</f>
        <v/>
      </c>
      <c r="B2432" s="54">
        <f>IF(_imp!$C$2434="","",INDEX(_imp!$E$4:$E$4503,_imp!$C$2434))</f>
        <v/>
      </c>
      <c r="C2432" s="54">
        <f>IF(_imp!$C$2434="","",INDEX(_imp!$F$4:$F$4503,_imp!$C$2434))</f>
        <v/>
      </c>
      <c r="D2432" s="54">
        <f>IF(_imp!$C$2434="","",INDEX(_imp!$G$4:$G$4503,_imp!$C$2434))</f>
        <v/>
      </c>
      <c r="E2432" s="54">
        <f>IF(_imp!$C$2434="","",INDEX(_imp!$H$4:$H$4503,_imp!$C$2434))</f>
        <v/>
      </c>
      <c r="F2432" s="54">
        <f>IF(_imp!$C$2434="","",INDEX(_imp!$I$4:$I$4503,_imp!$C$2434))</f>
        <v/>
      </c>
      <c r="G2432" s="54">
        <f>IF(_imp!$C$2434="","",INDEX(_imp!$J$4:$J$4503,_imp!$C$2434))</f>
        <v/>
      </c>
      <c r="K2432" s="54">
        <f>IF(_imp!$C$2434="","",INDEX(_imp!$K$4:$K$4503,_imp!$C$2434))</f>
        <v/>
      </c>
    </row>
    <row r="2433">
      <c r="A2433" s="54">
        <f>IF(_imp!$C$2435="","",INDEX(_imp!$D$4:$D$4503,_imp!$C$2435))</f>
        <v/>
      </c>
      <c r="B2433" s="54">
        <f>IF(_imp!$C$2435="","",INDEX(_imp!$E$4:$E$4503,_imp!$C$2435))</f>
        <v/>
      </c>
      <c r="C2433" s="54">
        <f>IF(_imp!$C$2435="","",INDEX(_imp!$F$4:$F$4503,_imp!$C$2435))</f>
        <v/>
      </c>
      <c r="D2433" s="54">
        <f>IF(_imp!$C$2435="","",INDEX(_imp!$G$4:$G$4503,_imp!$C$2435))</f>
        <v/>
      </c>
      <c r="E2433" s="54">
        <f>IF(_imp!$C$2435="","",INDEX(_imp!$H$4:$H$4503,_imp!$C$2435))</f>
        <v/>
      </c>
      <c r="F2433" s="54">
        <f>IF(_imp!$C$2435="","",INDEX(_imp!$I$4:$I$4503,_imp!$C$2435))</f>
        <v/>
      </c>
      <c r="G2433" s="54">
        <f>IF(_imp!$C$2435="","",INDEX(_imp!$J$4:$J$4503,_imp!$C$2435))</f>
        <v/>
      </c>
      <c r="K2433" s="54">
        <f>IF(_imp!$C$2435="","",INDEX(_imp!$K$4:$K$4503,_imp!$C$2435))</f>
        <v/>
      </c>
    </row>
    <row r="2434">
      <c r="A2434" s="54">
        <f>IF(_imp!$C$2436="","",INDEX(_imp!$D$4:$D$4503,_imp!$C$2436))</f>
        <v/>
      </c>
      <c r="B2434" s="54">
        <f>IF(_imp!$C$2436="","",INDEX(_imp!$E$4:$E$4503,_imp!$C$2436))</f>
        <v/>
      </c>
      <c r="C2434" s="54">
        <f>IF(_imp!$C$2436="","",INDEX(_imp!$F$4:$F$4503,_imp!$C$2436))</f>
        <v/>
      </c>
      <c r="D2434" s="54">
        <f>IF(_imp!$C$2436="","",INDEX(_imp!$G$4:$G$4503,_imp!$C$2436))</f>
        <v/>
      </c>
      <c r="E2434" s="54">
        <f>IF(_imp!$C$2436="","",INDEX(_imp!$H$4:$H$4503,_imp!$C$2436))</f>
        <v/>
      </c>
      <c r="F2434" s="54">
        <f>IF(_imp!$C$2436="","",INDEX(_imp!$I$4:$I$4503,_imp!$C$2436))</f>
        <v/>
      </c>
      <c r="G2434" s="54">
        <f>IF(_imp!$C$2436="","",INDEX(_imp!$J$4:$J$4503,_imp!$C$2436))</f>
        <v/>
      </c>
      <c r="K2434" s="54">
        <f>IF(_imp!$C$2436="","",INDEX(_imp!$K$4:$K$4503,_imp!$C$2436))</f>
        <v/>
      </c>
    </row>
    <row r="2435">
      <c r="A2435" s="54">
        <f>IF(_imp!$C$2437="","",INDEX(_imp!$D$4:$D$4503,_imp!$C$2437))</f>
        <v/>
      </c>
      <c r="B2435" s="54">
        <f>IF(_imp!$C$2437="","",INDEX(_imp!$E$4:$E$4503,_imp!$C$2437))</f>
        <v/>
      </c>
      <c r="C2435" s="54">
        <f>IF(_imp!$C$2437="","",INDEX(_imp!$F$4:$F$4503,_imp!$C$2437))</f>
        <v/>
      </c>
      <c r="D2435" s="54">
        <f>IF(_imp!$C$2437="","",INDEX(_imp!$G$4:$G$4503,_imp!$C$2437))</f>
        <v/>
      </c>
      <c r="E2435" s="54">
        <f>IF(_imp!$C$2437="","",INDEX(_imp!$H$4:$H$4503,_imp!$C$2437))</f>
        <v/>
      </c>
      <c r="F2435" s="54">
        <f>IF(_imp!$C$2437="","",INDEX(_imp!$I$4:$I$4503,_imp!$C$2437))</f>
        <v/>
      </c>
      <c r="G2435" s="54">
        <f>IF(_imp!$C$2437="","",INDEX(_imp!$J$4:$J$4503,_imp!$C$2437))</f>
        <v/>
      </c>
      <c r="K2435" s="54">
        <f>IF(_imp!$C$2437="","",INDEX(_imp!$K$4:$K$4503,_imp!$C$2437))</f>
        <v/>
      </c>
    </row>
    <row r="2436">
      <c r="A2436" s="54">
        <f>IF(_imp!$C$2438="","",INDEX(_imp!$D$4:$D$4503,_imp!$C$2438))</f>
        <v/>
      </c>
      <c r="B2436" s="54">
        <f>IF(_imp!$C$2438="","",INDEX(_imp!$E$4:$E$4503,_imp!$C$2438))</f>
        <v/>
      </c>
      <c r="C2436" s="54">
        <f>IF(_imp!$C$2438="","",INDEX(_imp!$F$4:$F$4503,_imp!$C$2438))</f>
        <v/>
      </c>
      <c r="D2436" s="54">
        <f>IF(_imp!$C$2438="","",INDEX(_imp!$G$4:$G$4503,_imp!$C$2438))</f>
        <v/>
      </c>
      <c r="E2436" s="54">
        <f>IF(_imp!$C$2438="","",INDEX(_imp!$H$4:$H$4503,_imp!$C$2438))</f>
        <v/>
      </c>
      <c r="F2436" s="54">
        <f>IF(_imp!$C$2438="","",INDEX(_imp!$I$4:$I$4503,_imp!$C$2438))</f>
        <v/>
      </c>
      <c r="G2436" s="54">
        <f>IF(_imp!$C$2438="","",INDEX(_imp!$J$4:$J$4503,_imp!$C$2438))</f>
        <v/>
      </c>
      <c r="K2436" s="54">
        <f>IF(_imp!$C$2438="","",INDEX(_imp!$K$4:$K$4503,_imp!$C$2438))</f>
        <v/>
      </c>
    </row>
    <row r="2437">
      <c r="A2437" s="54">
        <f>IF(_imp!$C$2439="","",INDEX(_imp!$D$4:$D$4503,_imp!$C$2439))</f>
        <v/>
      </c>
      <c r="B2437" s="54">
        <f>IF(_imp!$C$2439="","",INDEX(_imp!$E$4:$E$4503,_imp!$C$2439))</f>
        <v/>
      </c>
      <c r="C2437" s="54">
        <f>IF(_imp!$C$2439="","",INDEX(_imp!$F$4:$F$4503,_imp!$C$2439))</f>
        <v/>
      </c>
      <c r="D2437" s="54">
        <f>IF(_imp!$C$2439="","",INDEX(_imp!$G$4:$G$4503,_imp!$C$2439))</f>
        <v/>
      </c>
      <c r="E2437" s="54">
        <f>IF(_imp!$C$2439="","",INDEX(_imp!$H$4:$H$4503,_imp!$C$2439))</f>
        <v/>
      </c>
      <c r="F2437" s="54">
        <f>IF(_imp!$C$2439="","",INDEX(_imp!$I$4:$I$4503,_imp!$C$2439))</f>
        <v/>
      </c>
      <c r="G2437" s="54">
        <f>IF(_imp!$C$2439="","",INDEX(_imp!$J$4:$J$4503,_imp!$C$2439))</f>
        <v/>
      </c>
      <c r="K2437" s="54">
        <f>IF(_imp!$C$2439="","",INDEX(_imp!$K$4:$K$4503,_imp!$C$2439))</f>
        <v/>
      </c>
    </row>
    <row r="2438">
      <c r="A2438" s="54">
        <f>IF(_imp!$C$2440="","",INDEX(_imp!$D$4:$D$4503,_imp!$C$2440))</f>
        <v/>
      </c>
      <c r="B2438" s="54">
        <f>IF(_imp!$C$2440="","",INDEX(_imp!$E$4:$E$4503,_imp!$C$2440))</f>
        <v/>
      </c>
      <c r="C2438" s="54">
        <f>IF(_imp!$C$2440="","",INDEX(_imp!$F$4:$F$4503,_imp!$C$2440))</f>
        <v/>
      </c>
      <c r="D2438" s="54">
        <f>IF(_imp!$C$2440="","",INDEX(_imp!$G$4:$G$4503,_imp!$C$2440))</f>
        <v/>
      </c>
      <c r="E2438" s="54">
        <f>IF(_imp!$C$2440="","",INDEX(_imp!$H$4:$H$4503,_imp!$C$2440))</f>
        <v/>
      </c>
      <c r="F2438" s="54">
        <f>IF(_imp!$C$2440="","",INDEX(_imp!$I$4:$I$4503,_imp!$C$2440))</f>
        <v/>
      </c>
      <c r="G2438" s="54">
        <f>IF(_imp!$C$2440="","",INDEX(_imp!$J$4:$J$4503,_imp!$C$2440))</f>
        <v/>
      </c>
      <c r="K2438" s="54">
        <f>IF(_imp!$C$2440="","",INDEX(_imp!$K$4:$K$4503,_imp!$C$2440))</f>
        <v/>
      </c>
    </row>
    <row r="2439">
      <c r="A2439" s="54">
        <f>IF(_imp!$C$2441="","",INDEX(_imp!$D$4:$D$4503,_imp!$C$2441))</f>
        <v/>
      </c>
      <c r="B2439" s="54">
        <f>IF(_imp!$C$2441="","",INDEX(_imp!$E$4:$E$4503,_imp!$C$2441))</f>
        <v/>
      </c>
      <c r="C2439" s="54">
        <f>IF(_imp!$C$2441="","",INDEX(_imp!$F$4:$F$4503,_imp!$C$2441))</f>
        <v/>
      </c>
      <c r="D2439" s="54">
        <f>IF(_imp!$C$2441="","",INDEX(_imp!$G$4:$G$4503,_imp!$C$2441))</f>
        <v/>
      </c>
      <c r="E2439" s="54">
        <f>IF(_imp!$C$2441="","",INDEX(_imp!$H$4:$H$4503,_imp!$C$2441))</f>
        <v/>
      </c>
      <c r="F2439" s="54">
        <f>IF(_imp!$C$2441="","",INDEX(_imp!$I$4:$I$4503,_imp!$C$2441))</f>
        <v/>
      </c>
      <c r="G2439" s="54">
        <f>IF(_imp!$C$2441="","",INDEX(_imp!$J$4:$J$4503,_imp!$C$2441))</f>
        <v/>
      </c>
      <c r="K2439" s="54">
        <f>IF(_imp!$C$2441="","",INDEX(_imp!$K$4:$K$4503,_imp!$C$2441))</f>
        <v/>
      </c>
    </row>
    <row r="2440">
      <c r="A2440" s="54">
        <f>IF(_imp!$C$2442="","",INDEX(_imp!$D$4:$D$4503,_imp!$C$2442))</f>
        <v/>
      </c>
      <c r="B2440" s="54">
        <f>IF(_imp!$C$2442="","",INDEX(_imp!$E$4:$E$4503,_imp!$C$2442))</f>
        <v/>
      </c>
      <c r="C2440" s="54">
        <f>IF(_imp!$C$2442="","",INDEX(_imp!$F$4:$F$4503,_imp!$C$2442))</f>
        <v/>
      </c>
      <c r="D2440" s="54">
        <f>IF(_imp!$C$2442="","",INDEX(_imp!$G$4:$G$4503,_imp!$C$2442))</f>
        <v/>
      </c>
      <c r="E2440" s="54">
        <f>IF(_imp!$C$2442="","",INDEX(_imp!$H$4:$H$4503,_imp!$C$2442))</f>
        <v/>
      </c>
      <c r="F2440" s="54">
        <f>IF(_imp!$C$2442="","",INDEX(_imp!$I$4:$I$4503,_imp!$C$2442))</f>
        <v/>
      </c>
      <c r="G2440" s="54">
        <f>IF(_imp!$C$2442="","",INDEX(_imp!$J$4:$J$4503,_imp!$C$2442))</f>
        <v/>
      </c>
      <c r="K2440" s="54">
        <f>IF(_imp!$C$2442="","",INDEX(_imp!$K$4:$K$4503,_imp!$C$2442))</f>
        <v/>
      </c>
    </row>
    <row r="2441">
      <c r="A2441" s="54">
        <f>IF(_imp!$C$2443="","",INDEX(_imp!$D$4:$D$4503,_imp!$C$2443))</f>
        <v/>
      </c>
      <c r="B2441" s="54">
        <f>IF(_imp!$C$2443="","",INDEX(_imp!$E$4:$E$4503,_imp!$C$2443))</f>
        <v/>
      </c>
      <c r="C2441" s="54">
        <f>IF(_imp!$C$2443="","",INDEX(_imp!$F$4:$F$4503,_imp!$C$2443))</f>
        <v/>
      </c>
      <c r="D2441" s="54">
        <f>IF(_imp!$C$2443="","",INDEX(_imp!$G$4:$G$4503,_imp!$C$2443))</f>
        <v/>
      </c>
      <c r="E2441" s="54">
        <f>IF(_imp!$C$2443="","",INDEX(_imp!$H$4:$H$4503,_imp!$C$2443))</f>
        <v/>
      </c>
      <c r="F2441" s="54">
        <f>IF(_imp!$C$2443="","",INDEX(_imp!$I$4:$I$4503,_imp!$C$2443))</f>
        <v/>
      </c>
      <c r="G2441" s="54">
        <f>IF(_imp!$C$2443="","",INDEX(_imp!$J$4:$J$4503,_imp!$C$2443))</f>
        <v/>
      </c>
      <c r="K2441" s="54">
        <f>IF(_imp!$C$2443="","",INDEX(_imp!$K$4:$K$4503,_imp!$C$2443))</f>
        <v/>
      </c>
    </row>
    <row r="2442">
      <c r="A2442" s="54">
        <f>IF(_imp!$C$2444="","",INDEX(_imp!$D$4:$D$4503,_imp!$C$2444))</f>
        <v/>
      </c>
      <c r="B2442" s="54">
        <f>IF(_imp!$C$2444="","",INDEX(_imp!$E$4:$E$4503,_imp!$C$2444))</f>
        <v/>
      </c>
      <c r="C2442" s="54">
        <f>IF(_imp!$C$2444="","",INDEX(_imp!$F$4:$F$4503,_imp!$C$2444))</f>
        <v/>
      </c>
      <c r="D2442" s="54">
        <f>IF(_imp!$C$2444="","",INDEX(_imp!$G$4:$G$4503,_imp!$C$2444))</f>
        <v/>
      </c>
      <c r="E2442" s="54">
        <f>IF(_imp!$C$2444="","",INDEX(_imp!$H$4:$H$4503,_imp!$C$2444))</f>
        <v/>
      </c>
      <c r="F2442" s="54">
        <f>IF(_imp!$C$2444="","",INDEX(_imp!$I$4:$I$4503,_imp!$C$2444))</f>
        <v/>
      </c>
      <c r="G2442" s="54">
        <f>IF(_imp!$C$2444="","",INDEX(_imp!$J$4:$J$4503,_imp!$C$2444))</f>
        <v/>
      </c>
      <c r="K2442" s="54">
        <f>IF(_imp!$C$2444="","",INDEX(_imp!$K$4:$K$4503,_imp!$C$2444))</f>
        <v/>
      </c>
    </row>
    <row r="2443">
      <c r="A2443" s="54">
        <f>IF(_imp!$C$2445="","",INDEX(_imp!$D$4:$D$4503,_imp!$C$2445))</f>
        <v/>
      </c>
      <c r="B2443" s="54">
        <f>IF(_imp!$C$2445="","",INDEX(_imp!$E$4:$E$4503,_imp!$C$2445))</f>
        <v/>
      </c>
      <c r="C2443" s="54">
        <f>IF(_imp!$C$2445="","",INDEX(_imp!$F$4:$F$4503,_imp!$C$2445))</f>
        <v/>
      </c>
      <c r="D2443" s="54">
        <f>IF(_imp!$C$2445="","",INDEX(_imp!$G$4:$G$4503,_imp!$C$2445))</f>
        <v/>
      </c>
      <c r="E2443" s="54">
        <f>IF(_imp!$C$2445="","",INDEX(_imp!$H$4:$H$4503,_imp!$C$2445))</f>
        <v/>
      </c>
      <c r="F2443" s="54">
        <f>IF(_imp!$C$2445="","",INDEX(_imp!$I$4:$I$4503,_imp!$C$2445))</f>
        <v/>
      </c>
      <c r="G2443" s="54">
        <f>IF(_imp!$C$2445="","",INDEX(_imp!$J$4:$J$4503,_imp!$C$2445))</f>
        <v/>
      </c>
      <c r="K2443" s="54">
        <f>IF(_imp!$C$2445="","",INDEX(_imp!$K$4:$K$4503,_imp!$C$2445))</f>
        <v/>
      </c>
    </row>
    <row r="2444">
      <c r="A2444" s="54">
        <f>IF(_imp!$C$2446="","",INDEX(_imp!$D$4:$D$4503,_imp!$C$2446))</f>
        <v/>
      </c>
      <c r="B2444" s="54">
        <f>IF(_imp!$C$2446="","",INDEX(_imp!$E$4:$E$4503,_imp!$C$2446))</f>
        <v/>
      </c>
      <c r="C2444" s="54">
        <f>IF(_imp!$C$2446="","",INDEX(_imp!$F$4:$F$4503,_imp!$C$2446))</f>
        <v/>
      </c>
      <c r="D2444" s="54">
        <f>IF(_imp!$C$2446="","",INDEX(_imp!$G$4:$G$4503,_imp!$C$2446))</f>
        <v/>
      </c>
      <c r="E2444" s="54">
        <f>IF(_imp!$C$2446="","",INDEX(_imp!$H$4:$H$4503,_imp!$C$2446))</f>
        <v/>
      </c>
      <c r="F2444" s="54">
        <f>IF(_imp!$C$2446="","",INDEX(_imp!$I$4:$I$4503,_imp!$C$2446))</f>
        <v/>
      </c>
      <c r="G2444" s="54">
        <f>IF(_imp!$C$2446="","",INDEX(_imp!$J$4:$J$4503,_imp!$C$2446))</f>
        <v/>
      </c>
      <c r="K2444" s="54">
        <f>IF(_imp!$C$2446="","",INDEX(_imp!$K$4:$K$4503,_imp!$C$2446))</f>
        <v/>
      </c>
    </row>
    <row r="2445">
      <c r="A2445" s="54">
        <f>IF(_imp!$C$2447="","",INDEX(_imp!$D$4:$D$4503,_imp!$C$2447))</f>
        <v/>
      </c>
      <c r="B2445" s="54">
        <f>IF(_imp!$C$2447="","",INDEX(_imp!$E$4:$E$4503,_imp!$C$2447))</f>
        <v/>
      </c>
      <c r="C2445" s="54">
        <f>IF(_imp!$C$2447="","",INDEX(_imp!$F$4:$F$4503,_imp!$C$2447))</f>
        <v/>
      </c>
      <c r="D2445" s="54">
        <f>IF(_imp!$C$2447="","",INDEX(_imp!$G$4:$G$4503,_imp!$C$2447))</f>
        <v/>
      </c>
      <c r="E2445" s="54">
        <f>IF(_imp!$C$2447="","",INDEX(_imp!$H$4:$H$4503,_imp!$C$2447))</f>
        <v/>
      </c>
      <c r="F2445" s="54">
        <f>IF(_imp!$C$2447="","",INDEX(_imp!$I$4:$I$4503,_imp!$C$2447))</f>
        <v/>
      </c>
      <c r="G2445" s="54">
        <f>IF(_imp!$C$2447="","",INDEX(_imp!$J$4:$J$4503,_imp!$C$2447))</f>
        <v/>
      </c>
      <c r="K2445" s="54">
        <f>IF(_imp!$C$2447="","",INDEX(_imp!$K$4:$K$4503,_imp!$C$2447))</f>
        <v/>
      </c>
    </row>
    <row r="2446">
      <c r="A2446" s="54">
        <f>IF(_imp!$C$2448="","",INDEX(_imp!$D$4:$D$4503,_imp!$C$2448))</f>
        <v/>
      </c>
      <c r="B2446" s="54">
        <f>IF(_imp!$C$2448="","",INDEX(_imp!$E$4:$E$4503,_imp!$C$2448))</f>
        <v/>
      </c>
      <c r="C2446" s="54">
        <f>IF(_imp!$C$2448="","",INDEX(_imp!$F$4:$F$4503,_imp!$C$2448))</f>
        <v/>
      </c>
      <c r="D2446" s="54">
        <f>IF(_imp!$C$2448="","",INDEX(_imp!$G$4:$G$4503,_imp!$C$2448))</f>
        <v/>
      </c>
      <c r="E2446" s="54">
        <f>IF(_imp!$C$2448="","",INDEX(_imp!$H$4:$H$4503,_imp!$C$2448))</f>
        <v/>
      </c>
      <c r="F2446" s="54">
        <f>IF(_imp!$C$2448="","",INDEX(_imp!$I$4:$I$4503,_imp!$C$2448))</f>
        <v/>
      </c>
      <c r="G2446" s="54">
        <f>IF(_imp!$C$2448="","",INDEX(_imp!$J$4:$J$4503,_imp!$C$2448))</f>
        <v/>
      </c>
      <c r="K2446" s="54">
        <f>IF(_imp!$C$2448="","",INDEX(_imp!$K$4:$K$4503,_imp!$C$2448))</f>
        <v/>
      </c>
    </row>
    <row r="2447">
      <c r="A2447" s="54">
        <f>IF(_imp!$C$2449="","",INDEX(_imp!$D$4:$D$4503,_imp!$C$2449))</f>
        <v/>
      </c>
      <c r="B2447" s="54">
        <f>IF(_imp!$C$2449="","",INDEX(_imp!$E$4:$E$4503,_imp!$C$2449))</f>
        <v/>
      </c>
      <c r="C2447" s="54">
        <f>IF(_imp!$C$2449="","",INDEX(_imp!$F$4:$F$4503,_imp!$C$2449))</f>
        <v/>
      </c>
      <c r="D2447" s="54">
        <f>IF(_imp!$C$2449="","",INDEX(_imp!$G$4:$G$4503,_imp!$C$2449))</f>
        <v/>
      </c>
      <c r="E2447" s="54">
        <f>IF(_imp!$C$2449="","",INDEX(_imp!$H$4:$H$4503,_imp!$C$2449))</f>
        <v/>
      </c>
      <c r="F2447" s="54">
        <f>IF(_imp!$C$2449="","",INDEX(_imp!$I$4:$I$4503,_imp!$C$2449))</f>
        <v/>
      </c>
      <c r="G2447" s="54">
        <f>IF(_imp!$C$2449="","",INDEX(_imp!$J$4:$J$4503,_imp!$C$2449))</f>
        <v/>
      </c>
      <c r="K2447" s="54">
        <f>IF(_imp!$C$2449="","",INDEX(_imp!$K$4:$K$4503,_imp!$C$2449))</f>
        <v/>
      </c>
    </row>
    <row r="2448">
      <c r="A2448" s="54">
        <f>IF(_imp!$C$2450="","",INDEX(_imp!$D$4:$D$4503,_imp!$C$2450))</f>
        <v/>
      </c>
      <c r="B2448" s="54">
        <f>IF(_imp!$C$2450="","",INDEX(_imp!$E$4:$E$4503,_imp!$C$2450))</f>
        <v/>
      </c>
      <c r="C2448" s="54">
        <f>IF(_imp!$C$2450="","",INDEX(_imp!$F$4:$F$4503,_imp!$C$2450))</f>
        <v/>
      </c>
      <c r="D2448" s="54">
        <f>IF(_imp!$C$2450="","",INDEX(_imp!$G$4:$G$4503,_imp!$C$2450))</f>
        <v/>
      </c>
      <c r="E2448" s="54">
        <f>IF(_imp!$C$2450="","",INDEX(_imp!$H$4:$H$4503,_imp!$C$2450))</f>
        <v/>
      </c>
      <c r="F2448" s="54">
        <f>IF(_imp!$C$2450="","",INDEX(_imp!$I$4:$I$4503,_imp!$C$2450))</f>
        <v/>
      </c>
      <c r="G2448" s="54">
        <f>IF(_imp!$C$2450="","",INDEX(_imp!$J$4:$J$4503,_imp!$C$2450))</f>
        <v/>
      </c>
      <c r="K2448" s="54">
        <f>IF(_imp!$C$2450="","",INDEX(_imp!$K$4:$K$4503,_imp!$C$2450))</f>
        <v/>
      </c>
    </row>
    <row r="2449">
      <c r="A2449" s="54">
        <f>IF(_imp!$C$2451="","",INDEX(_imp!$D$4:$D$4503,_imp!$C$2451))</f>
        <v/>
      </c>
      <c r="B2449" s="54">
        <f>IF(_imp!$C$2451="","",INDEX(_imp!$E$4:$E$4503,_imp!$C$2451))</f>
        <v/>
      </c>
      <c r="C2449" s="54">
        <f>IF(_imp!$C$2451="","",INDEX(_imp!$F$4:$F$4503,_imp!$C$2451))</f>
        <v/>
      </c>
      <c r="D2449" s="54">
        <f>IF(_imp!$C$2451="","",INDEX(_imp!$G$4:$G$4503,_imp!$C$2451))</f>
        <v/>
      </c>
      <c r="E2449" s="54">
        <f>IF(_imp!$C$2451="","",INDEX(_imp!$H$4:$H$4503,_imp!$C$2451))</f>
        <v/>
      </c>
      <c r="F2449" s="54">
        <f>IF(_imp!$C$2451="","",INDEX(_imp!$I$4:$I$4503,_imp!$C$2451))</f>
        <v/>
      </c>
      <c r="G2449" s="54">
        <f>IF(_imp!$C$2451="","",INDEX(_imp!$J$4:$J$4503,_imp!$C$2451))</f>
        <v/>
      </c>
      <c r="K2449" s="54">
        <f>IF(_imp!$C$2451="","",INDEX(_imp!$K$4:$K$4503,_imp!$C$2451))</f>
        <v/>
      </c>
    </row>
    <row r="2450">
      <c r="A2450" s="54">
        <f>IF(_imp!$C$2452="","",INDEX(_imp!$D$4:$D$4503,_imp!$C$2452))</f>
        <v/>
      </c>
      <c r="B2450" s="54">
        <f>IF(_imp!$C$2452="","",INDEX(_imp!$E$4:$E$4503,_imp!$C$2452))</f>
        <v/>
      </c>
      <c r="C2450" s="54">
        <f>IF(_imp!$C$2452="","",INDEX(_imp!$F$4:$F$4503,_imp!$C$2452))</f>
        <v/>
      </c>
      <c r="D2450" s="54">
        <f>IF(_imp!$C$2452="","",INDEX(_imp!$G$4:$G$4503,_imp!$C$2452))</f>
        <v/>
      </c>
      <c r="E2450" s="54">
        <f>IF(_imp!$C$2452="","",INDEX(_imp!$H$4:$H$4503,_imp!$C$2452))</f>
        <v/>
      </c>
      <c r="F2450" s="54">
        <f>IF(_imp!$C$2452="","",INDEX(_imp!$I$4:$I$4503,_imp!$C$2452))</f>
        <v/>
      </c>
      <c r="G2450" s="54">
        <f>IF(_imp!$C$2452="","",INDEX(_imp!$J$4:$J$4503,_imp!$C$2452))</f>
        <v/>
      </c>
      <c r="K2450" s="54">
        <f>IF(_imp!$C$2452="","",INDEX(_imp!$K$4:$K$4503,_imp!$C$2452))</f>
        <v/>
      </c>
    </row>
    <row r="2451">
      <c r="A2451" s="54">
        <f>IF(_imp!$C$2453="","",INDEX(_imp!$D$4:$D$4503,_imp!$C$2453))</f>
        <v/>
      </c>
      <c r="B2451" s="54">
        <f>IF(_imp!$C$2453="","",INDEX(_imp!$E$4:$E$4503,_imp!$C$2453))</f>
        <v/>
      </c>
      <c r="C2451" s="54">
        <f>IF(_imp!$C$2453="","",INDEX(_imp!$F$4:$F$4503,_imp!$C$2453))</f>
        <v/>
      </c>
      <c r="D2451" s="54">
        <f>IF(_imp!$C$2453="","",INDEX(_imp!$G$4:$G$4503,_imp!$C$2453))</f>
        <v/>
      </c>
      <c r="E2451" s="54">
        <f>IF(_imp!$C$2453="","",INDEX(_imp!$H$4:$H$4503,_imp!$C$2453))</f>
        <v/>
      </c>
      <c r="F2451" s="54">
        <f>IF(_imp!$C$2453="","",INDEX(_imp!$I$4:$I$4503,_imp!$C$2453))</f>
        <v/>
      </c>
      <c r="G2451" s="54">
        <f>IF(_imp!$C$2453="","",INDEX(_imp!$J$4:$J$4503,_imp!$C$2453))</f>
        <v/>
      </c>
      <c r="K2451" s="54">
        <f>IF(_imp!$C$2453="","",INDEX(_imp!$K$4:$K$4503,_imp!$C$2453))</f>
        <v/>
      </c>
    </row>
    <row r="2452">
      <c r="A2452" s="54">
        <f>IF(_imp!$C$2454="","",INDEX(_imp!$D$4:$D$4503,_imp!$C$2454))</f>
        <v/>
      </c>
      <c r="B2452" s="54">
        <f>IF(_imp!$C$2454="","",INDEX(_imp!$E$4:$E$4503,_imp!$C$2454))</f>
        <v/>
      </c>
      <c r="C2452" s="54">
        <f>IF(_imp!$C$2454="","",INDEX(_imp!$F$4:$F$4503,_imp!$C$2454))</f>
        <v/>
      </c>
      <c r="D2452" s="54">
        <f>IF(_imp!$C$2454="","",INDEX(_imp!$G$4:$G$4503,_imp!$C$2454))</f>
        <v/>
      </c>
      <c r="E2452" s="54">
        <f>IF(_imp!$C$2454="","",INDEX(_imp!$H$4:$H$4503,_imp!$C$2454))</f>
        <v/>
      </c>
      <c r="F2452" s="54">
        <f>IF(_imp!$C$2454="","",INDEX(_imp!$I$4:$I$4503,_imp!$C$2454))</f>
        <v/>
      </c>
      <c r="G2452" s="54">
        <f>IF(_imp!$C$2454="","",INDEX(_imp!$J$4:$J$4503,_imp!$C$2454))</f>
        <v/>
      </c>
      <c r="K2452" s="54">
        <f>IF(_imp!$C$2454="","",INDEX(_imp!$K$4:$K$4503,_imp!$C$2454))</f>
        <v/>
      </c>
    </row>
    <row r="2453">
      <c r="A2453" s="54">
        <f>IF(_imp!$C$2455="","",INDEX(_imp!$D$4:$D$4503,_imp!$C$2455))</f>
        <v/>
      </c>
      <c r="B2453" s="54">
        <f>IF(_imp!$C$2455="","",INDEX(_imp!$E$4:$E$4503,_imp!$C$2455))</f>
        <v/>
      </c>
      <c r="C2453" s="54">
        <f>IF(_imp!$C$2455="","",INDEX(_imp!$F$4:$F$4503,_imp!$C$2455))</f>
        <v/>
      </c>
      <c r="D2453" s="54">
        <f>IF(_imp!$C$2455="","",INDEX(_imp!$G$4:$G$4503,_imp!$C$2455))</f>
        <v/>
      </c>
      <c r="E2453" s="54">
        <f>IF(_imp!$C$2455="","",INDEX(_imp!$H$4:$H$4503,_imp!$C$2455))</f>
        <v/>
      </c>
      <c r="F2453" s="54">
        <f>IF(_imp!$C$2455="","",INDEX(_imp!$I$4:$I$4503,_imp!$C$2455))</f>
        <v/>
      </c>
      <c r="G2453" s="54">
        <f>IF(_imp!$C$2455="","",INDEX(_imp!$J$4:$J$4503,_imp!$C$2455))</f>
        <v/>
      </c>
      <c r="K2453" s="54">
        <f>IF(_imp!$C$2455="","",INDEX(_imp!$K$4:$K$4503,_imp!$C$2455))</f>
        <v/>
      </c>
    </row>
    <row r="2454">
      <c r="A2454" s="54">
        <f>IF(_imp!$C$2456="","",INDEX(_imp!$D$4:$D$4503,_imp!$C$2456))</f>
        <v/>
      </c>
      <c r="B2454" s="54">
        <f>IF(_imp!$C$2456="","",INDEX(_imp!$E$4:$E$4503,_imp!$C$2456))</f>
        <v/>
      </c>
      <c r="C2454" s="54">
        <f>IF(_imp!$C$2456="","",INDEX(_imp!$F$4:$F$4503,_imp!$C$2456))</f>
        <v/>
      </c>
      <c r="D2454" s="54">
        <f>IF(_imp!$C$2456="","",INDEX(_imp!$G$4:$G$4503,_imp!$C$2456))</f>
        <v/>
      </c>
      <c r="E2454" s="54">
        <f>IF(_imp!$C$2456="","",INDEX(_imp!$H$4:$H$4503,_imp!$C$2456))</f>
        <v/>
      </c>
      <c r="F2454" s="54">
        <f>IF(_imp!$C$2456="","",INDEX(_imp!$I$4:$I$4503,_imp!$C$2456))</f>
        <v/>
      </c>
      <c r="G2454" s="54">
        <f>IF(_imp!$C$2456="","",INDEX(_imp!$J$4:$J$4503,_imp!$C$2456))</f>
        <v/>
      </c>
      <c r="K2454" s="54">
        <f>IF(_imp!$C$2456="","",INDEX(_imp!$K$4:$K$4503,_imp!$C$2456))</f>
        <v/>
      </c>
    </row>
    <row r="2455">
      <c r="A2455" s="54">
        <f>IF(_imp!$C$2457="","",INDEX(_imp!$D$4:$D$4503,_imp!$C$2457))</f>
        <v/>
      </c>
      <c r="B2455" s="54">
        <f>IF(_imp!$C$2457="","",INDEX(_imp!$E$4:$E$4503,_imp!$C$2457))</f>
        <v/>
      </c>
      <c r="C2455" s="54">
        <f>IF(_imp!$C$2457="","",INDEX(_imp!$F$4:$F$4503,_imp!$C$2457))</f>
        <v/>
      </c>
      <c r="D2455" s="54">
        <f>IF(_imp!$C$2457="","",INDEX(_imp!$G$4:$G$4503,_imp!$C$2457))</f>
        <v/>
      </c>
      <c r="E2455" s="54">
        <f>IF(_imp!$C$2457="","",INDEX(_imp!$H$4:$H$4503,_imp!$C$2457))</f>
        <v/>
      </c>
      <c r="F2455" s="54">
        <f>IF(_imp!$C$2457="","",INDEX(_imp!$I$4:$I$4503,_imp!$C$2457))</f>
        <v/>
      </c>
      <c r="G2455" s="54">
        <f>IF(_imp!$C$2457="","",INDEX(_imp!$J$4:$J$4503,_imp!$C$2457))</f>
        <v/>
      </c>
      <c r="K2455" s="54">
        <f>IF(_imp!$C$2457="","",INDEX(_imp!$K$4:$K$4503,_imp!$C$2457))</f>
        <v/>
      </c>
    </row>
    <row r="2456">
      <c r="A2456" s="54">
        <f>IF(_imp!$C$2458="","",INDEX(_imp!$D$4:$D$4503,_imp!$C$2458))</f>
        <v/>
      </c>
      <c r="B2456" s="54">
        <f>IF(_imp!$C$2458="","",INDEX(_imp!$E$4:$E$4503,_imp!$C$2458))</f>
        <v/>
      </c>
      <c r="C2456" s="54">
        <f>IF(_imp!$C$2458="","",INDEX(_imp!$F$4:$F$4503,_imp!$C$2458))</f>
        <v/>
      </c>
      <c r="D2456" s="54">
        <f>IF(_imp!$C$2458="","",INDEX(_imp!$G$4:$G$4503,_imp!$C$2458))</f>
        <v/>
      </c>
      <c r="E2456" s="54">
        <f>IF(_imp!$C$2458="","",INDEX(_imp!$H$4:$H$4503,_imp!$C$2458))</f>
        <v/>
      </c>
      <c r="F2456" s="54">
        <f>IF(_imp!$C$2458="","",INDEX(_imp!$I$4:$I$4503,_imp!$C$2458))</f>
        <v/>
      </c>
      <c r="G2456" s="54">
        <f>IF(_imp!$C$2458="","",INDEX(_imp!$J$4:$J$4503,_imp!$C$2458))</f>
        <v/>
      </c>
      <c r="K2456" s="54">
        <f>IF(_imp!$C$2458="","",INDEX(_imp!$K$4:$K$4503,_imp!$C$2458))</f>
        <v/>
      </c>
    </row>
    <row r="2457">
      <c r="A2457" s="54">
        <f>IF(_imp!$C$2459="","",INDEX(_imp!$D$4:$D$4503,_imp!$C$2459))</f>
        <v/>
      </c>
      <c r="B2457" s="54">
        <f>IF(_imp!$C$2459="","",INDEX(_imp!$E$4:$E$4503,_imp!$C$2459))</f>
        <v/>
      </c>
      <c r="C2457" s="54">
        <f>IF(_imp!$C$2459="","",INDEX(_imp!$F$4:$F$4503,_imp!$C$2459))</f>
        <v/>
      </c>
      <c r="D2457" s="54">
        <f>IF(_imp!$C$2459="","",INDEX(_imp!$G$4:$G$4503,_imp!$C$2459))</f>
        <v/>
      </c>
      <c r="E2457" s="54">
        <f>IF(_imp!$C$2459="","",INDEX(_imp!$H$4:$H$4503,_imp!$C$2459))</f>
        <v/>
      </c>
      <c r="F2457" s="54">
        <f>IF(_imp!$C$2459="","",INDEX(_imp!$I$4:$I$4503,_imp!$C$2459))</f>
        <v/>
      </c>
      <c r="G2457" s="54">
        <f>IF(_imp!$C$2459="","",INDEX(_imp!$J$4:$J$4503,_imp!$C$2459))</f>
        <v/>
      </c>
      <c r="K2457" s="54">
        <f>IF(_imp!$C$2459="","",INDEX(_imp!$K$4:$K$4503,_imp!$C$2459))</f>
        <v/>
      </c>
    </row>
    <row r="2458">
      <c r="A2458" s="54">
        <f>IF(_imp!$C$2460="","",INDEX(_imp!$D$4:$D$4503,_imp!$C$2460))</f>
        <v/>
      </c>
      <c r="B2458" s="54">
        <f>IF(_imp!$C$2460="","",INDEX(_imp!$E$4:$E$4503,_imp!$C$2460))</f>
        <v/>
      </c>
      <c r="C2458" s="54">
        <f>IF(_imp!$C$2460="","",INDEX(_imp!$F$4:$F$4503,_imp!$C$2460))</f>
        <v/>
      </c>
      <c r="D2458" s="54">
        <f>IF(_imp!$C$2460="","",INDEX(_imp!$G$4:$G$4503,_imp!$C$2460))</f>
        <v/>
      </c>
      <c r="E2458" s="54">
        <f>IF(_imp!$C$2460="","",INDEX(_imp!$H$4:$H$4503,_imp!$C$2460))</f>
        <v/>
      </c>
      <c r="F2458" s="54">
        <f>IF(_imp!$C$2460="","",INDEX(_imp!$I$4:$I$4503,_imp!$C$2460))</f>
        <v/>
      </c>
      <c r="G2458" s="54">
        <f>IF(_imp!$C$2460="","",INDEX(_imp!$J$4:$J$4503,_imp!$C$2460))</f>
        <v/>
      </c>
      <c r="K2458" s="54">
        <f>IF(_imp!$C$2460="","",INDEX(_imp!$K$4:$K$4503,_imp!$C$2460))</f>
        <v/>
      </c>
    </row>
    <row r="2459">
      <c r="A2459" s="54">
        <f>IF(_imp!$C$2461="","",INDEX(_imp!$D$4:$D$4503,_imp!$C$2461))</f>
        <v/>
      </c>
      <c r="B2459" s="54">
        <f>IF(_imp!$C$2461="","",INDEX(_imp!$E$4:$E$4503,_imp!$C$2461))</f>
        <v/>
      </c>
      <c r="C2459" s="54">
        <f>IF(_imp!$C$2461="","",INDEX(_imp!$F$4:$F$4503,_imp!$C$2461))</f>
        <v/>
      </c>
      <c r="D2459" s="54">
        <f>IF(_imp!$C$2461="","",INDEX(_imp!$G$4:$G$4503,_imp!$C$2461))</f>
        <v/>
      </c>
      <c r="E2459" s="54">
        <f>IF(_imp!$C$2461="","",INDEX(_imp!$H$4:$H$4503,_imp!$C$2461))</f>
        <v/>
      </c>
      <c r="F2459" s="54">
        <f>IF(_imp!$C$2461="","",INDEX(_imp!$I$4:$I$4503,_imp!$C$2461))</f>
        <v/>
      </c>
      <c r="G2459" s="54">
        <f>IF(_imp!$C$2461="","",INDEX(_imp!$J$4:$J$4503,_imp!$C$2461))</f>
        <v/>
      </c>
      <c r="K2459" s="54">
        <f>IF(_imp!$C$2461="","",INDEX(_imp!$K$4:$K$4503,_imp!$C$2461))</f>
        <v/>
      </c>
    </row>
    <row r="2460">
      <c r="A2460" s="54">
        <f>IF(_imp!$C$2462="","",INDEX(_imp!$D$4:$D$4503,_imp!$C$2462))</f>
        <v/>
      </c>
      <c r="B2460" s="54">
        <f>IF(_imp!$C$2462="","",INDEX(_imp!$E$4:$E$4503,_imp!$C$2462))</f>
        <v/>
      </c>
      <c r="C2460" s="54">
        <f>IF(_imp!$C$2462="","",INDEX(_imp!$F$4:$F$4503,_imp!$C$2462))</f>
        <v/>
      </c>
      <c r="D2460" s="54">
        <f>IF(_imp!$C$2462="","",INDEX(_imp!$G$4:$G$4503,_imp!$C$2462))</f>
        <v/>
      </c>
      <c r="E2460" s="54">
        <f>IF(_imp!$C$2462="","",INDEX(_imp!$H$4:$H$4503,_imp!$C$2462))</f>
        <v/>
      </c>
      <c r="F2460" s="54">
        <f>IF(_imp!$C$2462="","",INDEX(_imp!$I$4:$I$4503,_imp!$C$2462))</f>
        <v/>
      </c>
      <c r="G2460" s="54">
        <f>IF(_imp!$C$2462="","",INDEX(_imp!$J$4:$J$4503,_imp!$C$2462))</f>
        <v/>
      </c>
      <c r="K2460" s="54">
        <f>IF(_imp!$C$2462="","",INDEX(_imp!$K$4:$K$4503,_imp!$C$2462))</f>
        <v/>
      </c>
    </row>
    <row r="2461">
      <c r="A2461" s="54">
        <f>IF(_imp!$C$2463="","",INDEX(_imp!$D$4:$D$4503,_imp!$C$2463))</f>
        <v/>
      </c>
      <c r="B2461" s="54">
        <f>IF(_imp!$C$2463="","",INDEX(_imp!$E$4:$E$4503,_imp!$C$2463))</f>
        <v/>
      </c>
      <c r="C2461" s="54">
        <f>IF(_imp!$C$2463="","",INDEX(_imp!$F$4:$F$4503,_imp!$C$2463))</f>
        <v/>
      </c>
      <c r="D2461" s="54">
        <f>IF(_imp!$C$2463="","",INDEX(_imp!$G$4:$G$4503,_imp!$C$2463))</f>
        <v/>
      </c>
      <c r="E2461" s="54">
        <f>IF(_imp!$C$2463="","",INDEX(_imp!$H$4:$H$4503,_imp!$C$2463))</f>
        <v/>
      </c>
      <c r="F2461" s="54">
        <f>IF(_imp!$C$2463="","",INDEX(_imp!$I$4:$I$4503,_imp!$C$2463))</f>
        <v/>
      </c>
      <c r="G2461" s="54">
        <f>IF(_imp!$C$2463="","",INDEX(_imp!$J$4:$J$4503,_imp!$C$2463))</f>
        <v/>
      </c>
      <c r="K2461" s="54">
        <f>IF(_imp!$C$2463="","",INDEX(_imp!$K$4:$K$4503,_imp!$C$2463))</f>
        <v/>
      </c>
    </row>
    <row r="2462">
      <c r="A2462" s="54">
        <f>IF(_imp!$C$2464="","",INDEX(_imp!$D$4:$D$4503,_imp!$C$2464))</f>
        <v/>
      </c>
      <c r="B2462" s="54">
        <f>IF(_imp!$C$2464="","",INDEX(_imp!$E$4:$E$4503,_imp!$C$2464))</f>
        <v/>
      </c>
      <c r="C2462" s="54">
        <f>IF(_imp!$C$2464="","",INDEX(_imp!$F$4:$F$4503,_imp!$C$2464))</f>
        <v/>
      </c>
      <c r="D2462" s="54">
        <f>IF(_imp!$C$2464="","",INDEX(_imp!$G$4:$G$4503,_imp!$C$2464))</f>
        <v/>
      </c>
      <c r="E2462" s="54">
        <f>IF(_imp!$C$2464="","",INDEX(_imp!$H$4:$H$4503,_imp!$C$2464))</f>
        <v/>
      </c>
      <c r="F2462" s="54">
        <f>IF(_imp!$C$2464="","",INDEX(_imp!$I$4:$I$4503,_imp!$C$2464))</f>
        <v/>
      </c>
      <c r="G2462" s="54">
        <f>IF(_imp!$C$2464="","",INDEX(_imp!$J$4:$J$4503,_imp!$C$2464))</f>
        <v/>
      </c>
      <c r="K2462" s="54">
        <f>IF(_imp!$C$2464="","",INDEX(_imp!$K$4:$K$4503,_imp!$C$2464))</f>
        <v/>
      </c>
    </row>
    <row r="2463">
      <c r="A2463" s="54">
        <f>IF(_imp!$C$2465="","",INDEX(_imp!$D$4:$D$4503,_imp!$C$2465))</f>
        <v/>
      </c>
      <c r="B2463" s="54">
        <f>IF(_imp!$C$2465="","",INDEX(_imp!$E$4:$E$4503,_imp!$C$2465))</f>
        <v/>
      </c>
      <c r="C2463" s="54">
        <f>IF(_imp!$C$2465="","",INDEX(_imp!$F$4:$F$4503,_imp!$C$2465))</f>
        <v/>
      </c>
      <c r="D2463" s="54">
        <f>IF(_imp!$C$2465="","",INDEX(_imp!$G$4:$G$4503,_imp!$C$2465))</f>
        <v/>
      </c>
      <c r="E2463" s="54">
        <f>IF(_imp!$C$2465="","",INDEX(_imp!$H$4:$H$4503,_imp!$C$2465))</f>
        <v/>
      </c>
      <c r="F2463" s="54">
        <f>IF(_imp!$C$2465="","",INDEX(_imp!$I$4:$I$4503,_imp!$C$2465))</f>
        <v/>
      </c>
      <c r="G2463" s="54">
        <f>IF(_imp!$C$2465="","",INDEX(_imp!$J$4:$J$4503,_imp!$C$2465))</f>
        <v/>
      </c>
      <c r="K2463" s="54">
        <f>IF(_imp!$C$2465="","",INDEX(_imp!$K$4:$K$4503,_imp!$C$2465))</f>
        <v/>
      </c>
    </row>
    <row r="2464">
      <c r="A2464" s="54">
        <f>IF(_imp!$C$2466="","",INDEX(_imp!$D$4:$D$4503,_imp!$C$2466))</f>
        <v/>
      </c>
      <c r="B2464" s="54">
        <f>IF(_imp!$C$2466="","",INDEX(_imp!$E$4:$E$4503,_imp!$C$2466))</f>
        <v/>
      </c>
      <c r="C2464" s="54">
        <f>IF(_imp!$C$2466="","",INDEX(_imp!$F$4:$F$4503,_imp!$C$2466))</f>
        <v/>
      </c>
      <c r="D2464" s="54">
        <f>IF(_imp!$C$2466="","",INDEX(_imp!$G$4:$G$4503,_imp!$C$2466))</f>
        <v/>
      </c>
      <c r="E2464" s="54">
        <f>IF(_imp!$C$2466="","",INDEX(_imp!$H$4:$H$4503,_imp!$C$2466))</f>
        <v/>
      </c>
      <c r="F2464" s="54">
        <f>IF(_imp!$C$2466="","",INDEX(_imp!$I$4:$I$4503,_imp!$C$2466))</f>
        <v/>
      </c>
      <c r="G2464" s="54">
        <f>IF(_imp!$C$2466="","",INDEX(_imp!$J$4:$J$4503,_imp!$C$2466))</f>
        <v/>
      </c>
      <c r="K2464" s="54">
        <f>IF(_imp!$C$2466="","",INDEX(_imp!$K$4:$K$4503,_imp!$C$2466))</f>
        <v/>
      </c>
    </row>
    <row r="2465">
      <c r="A2465" s="54">
        <f>IF(_imp!$C$2467="","",INDEX(_imp!$D$4:$D$4503,_imp!$C$2467))</f>
        <v/>
      </c>
      <c r="B2465" s="54">
        <f>IF(_imp!$C$2467="","",INDEX(_imp!$E$4:$E$4503,_imp!$C$2467))</f>
        <v/>
      </c>
      <c r="C2465" s="54">
        <f>IF(_imp!$C$2467="","",INDEX(_imp!$F$4:$F$4503,_imp!$C$2467))</f>
        <v/>
      </c>
      <c r="D2465" s="54">
        <f>IF(_imp!$C$2467="","",INDEX(_imp!$G$4:$G$4503,_imp!$C$2467))</f>
        <v/>
      </c>
      <c r="E2465" s="54">
        <f>IF(_imp!$C$2467="","",INDEX(_imp!$H$4:$H$4503,_imp!$C$2467))</f>
        <v/>
      </c>
      <c r="F2465" s="54">
        <f>IF(_imp!$C$2467="","",INDEX(_imp!$I$4:$I$4503,_imp!$C$2467))</f>
        <v/>
      </c>
      <c r="G2465" s="54">
        <f>IF(_imp!$C$2467="","",INDEX(_imp!$J$4:$J$4503,_imp!$C$2467))</f>
        <v/>
      </c>
      <c r="K2465" s="54">
        <f>IF(_imp!$C$2467="","",INDEX(_imp!$K$4:$K$4503,_imp!$C$2467))</f>
        <v/>
      </c>
    </row>
    <row r="2466">
      <c r="A2466" s="54">
        <f>IF(_imp!$C$2468="","",INDEX(_imp!$D$4:$D$4503,_imp!$C$2468))</f>
        <v/>
      </c>
      <c r="B2466" s="54">
        <f>IF(_imp!$C$2468="","",INDEX(_imp!$E$4:$E$4503,_imp!$C$2468))</f>
        <v/>
      </c>
      <c r="C2466" s="54">
        <f>IF(_imp!$C$2468="","",INDEX(_imp!$F$4:$F$4503,_imp!$C$2468))</f>
        <v/>
      </c>
      <c r="D2466" s="54">
        <f>IF(_imp!$C$2468="","",INDEX(_imp!$G$4:$G$4503,_imp!$C$2468))</f>
        <v/>
      </c>
      <c r="E2466" s="54">
        <f>IF(_imp!$C$2468="","",INDEX(_imp!$H$4:$H$4503,_imp!$C$2468))</f>
        <v/>
      </c>
      <c r="F2466" s="54">
        <f>IF(_imp!$C$2468="","",INDEX(_imp!$I$4:$I$4503,_imp!$C$2468))</f>
        <v/>
      </c>
      <c r="G2466" s="54">
        <f>IF(_imp!$C$2468="","",INDEX(_imp!$J$4:$J$4503,_imp!$C$2468))</f>
        <v/>
      </c>
      <c r="K2466" s="54">
        <f>IF(_imp!$C$2468="","",INDEX(_imp!$K$4:$K$4503,_imp!$C$2468))</f>
        <v/>
      </c>
    </row>
    <row r="2467">
      <c r="A2467" s="54">
        <f>IF(_imp!$C$2469="","",INDEX(_imp!$D$4:$D$4503,_imp!$C$2469))</f>
        <v/>
      </c>
      <c r="B2467" s="54">
        <f>IF(_imp!$C$2469="","",INDEX(_imp!$E$4:$E$4503,_imp!$C$2469))</f>
        <v/>
      </c>
      <c r="C2467" s="54">
        <f>IF(_imp!$C$2469="","",INDEX(_imp!$F$4:$F$4503,_imp!$C$2469))</f>
        <v/>
      </c>
      <c r="D2467" s="54">
        <f>IF(_imp!$C$2469="","",INDEX(_imp!$G$4:$G$4503,_imp!$C$2469))</f>
        <v/>
      </c>
      <c r="E2467" s="54">
        <f>IF(_imp!$C$2469="","",INDEX(_imp!$H$4:$H$4503,_imp!$C$2469))</f>
        <v/>
      </c>
      <c r="F2467" s="54">
        <f>IF(_imp!$C$2469="","",INDEX(_imp!$I$4:$I$4503,_imp!$C$2469))</f>
        <v/>
      </c>
      <c r="G2467" s="54">
        <f>IF(_imp!$C$2469="","",INDEX(_imp!$J$4:$J$4503,_imp!$C$2469))</f>
        <v/>
      </c>
      <c r="K2467" s="54">
        <f>IF(_imp!$C$2469="","",INDEX(_imp!$K$4:$K$4503,_imp!$C$2469))</f>
        <v/>
      </c>
    </row>
    <row r="2468">
      <c r="A2468" s="54">
        <f>IF(_imp!$C$2470="","",INDEX(_imp!$D$4:$D$4503,_imp!$C$2470))</f>
        <v/>
      </c>
      <c r="B2468" s="54">
        <f>IF(_imp!$C$2470="","",INDEX(_imp!$E$4:$E$4503,_imp!$C$2470))</f>
        <v/>
      </c>
      <c r="C2468" s="54">
        <f>IF(_imp!$C$2470="","",INDEX(_imp!$F$4:$F$4503,_imp!$C$2470))</f>
        <v/>
      </c>
      <c r="D2468" s="54">
        <f>IF(_imp!$C$2470="","",INDEX(_imp!$G$4:$G$4503,_imp!$C$2470))</f>
        <v/>
      </c>
      <c r="E2468" s="54">
        <f>IF(_imp!$C$2470="","",INDEX(_imp!$H$4:$H$4503,_imp!$C$2470))</f>
        <v/>
      </c>
      <c r="F2468" s="54">
        <f>IF(_imp!$C$2470="","",INDEX(_imp!$I$4:$I$4503,_imp!$C$2470))</f>
        <v/>
      </c>
      <c r="G2468" s="54">
        <f>IF(_imp!$C$2470="","",INDEX(_imp!$J$4:$J$4503,_imp!$C$2470))</f>
        <v/>
      </c>
      <c r="K2468" s="54">
        <f>IF(_imp!$C$2470="","",INDEX(_imp!$K$4:$K$4503,_imp!$C$2470))</f>
        <v/>
      </c>
    </row>
    <row r="2469">
      <c r="A2469" s="54">
        <f>IF(_imp!$C$2471="","",INDEX(_imp!$D$4:$D$4503,_imp!$C$2471))</f>
        <v/>
      </c>
      <c r="B2469" s="54">
        <f>IF(_imp!$C$2471="","",INDEX(_imp!$E$4:$E$4503,_imp!$C$2471))</f>
        <v/>
      </c>
      <c r="C2469" s="54">
        <f>IF(_imp!$C$2471="","",INDEX(_imp!$F$4:$F$4503,_imp!$C$2471))</f>
        <v/>
      </c>
      <c r="D2469" s="54">
        <f>IF(_imp!$C$2471="","",INDEX(_imp!$G$4:$G$4503,_imp!$C$2471))</f>
        <v/>
      </c>
      <c r="E2469" s="54">
        <f>IF(_imp!$C$2471="","",INDEX(_imp!$H$4:$H$4503,_imp!$C$2471))</f>
        <v/>
      </c>
      <c r="F2469" s="54">
        <f>IF(_imp!$C$2471="","",INDEX(_imp!$I$4:$I$4503,_imp!$C$2471))</f>
        <v/>
      </c>
      <c r="G2469" s="54">
        <f>IF(_imp!$C$2471="","",INDEX(_imp!$J$4:$J$4503,_imp!$C$2471))</f>
        <v/>
      </c>
      <c r="K2469" s="54">
        <f>IF(_imp!$C$2471="","",INDEX(_imp!$K$4:$K$4503,_imp!$C$2471))</f>
        <v/>
      </c>
    </row>
    <row r="2470">
      <c r="A2470" s="54">
        <f>IF(_imp!$C$2472="","",INDEX(_imp!$D$4:$D$4503,_imp!$C$2472))</f>
        <v/>
      </c>
      <c r="B2470" s="54">
        <f>IF(_imp!$C$2472="","",INDEX(_imp!$E$4:$E$4503,_imp!$C$2472))</f>
        <v/>
      </c>
      <c r="C2470" s="54">
        <f>IF(_imp!$C$2472="","",INDEX(_imp!$F$4:$F$4503,_imp!$C$2472))</f>
        <v/>
      </c>
      <c r="D2470" s="54">
        <f>IF(_imp!$C$2472="","",INDEX(_imp!$G$4:$G$4503,_imp!$C$2472))</f>
        <v/>
      </c>
      <c r="E2470" s="54">
        <f>IF(_imp!$C$2472="","",INDEX(_imp!$H$4:$H$4503,_imp!$C$2472))</f>
        <v/>
      </c>
      <c r="F2470" s="54">
        <f>IF(_imp!$C$2472="","",INDEX(_imp!$I$4:$I$4503,_imp!$C$2472))</f>
        <v/>
      </c>
      <c r="G2470" s="54">
        <f>IF(_imp!$C$2472="","",INDEX(_imp!$J$4:$J$4503,_imp!$C$2472))</f>
        <v/>
      </c>
      <c r="K2470" s="54">
        <f>IF(_imp!$C$2472="","",INDEX(_imp!$K$4:$K$4503,_imp!$C$2472))</f>
        <v/>
      </c>
    </row>
    <row r="2471">
      <c r="A2471" s="54">
        <f>IF(_imp!$C$2473="","",INDEX(_imp!$D$4:$D$4503,_imp!$C$2473))</f>
        <v/>
      </c>
      <c r="B2471" s="54">
        <f>IF(_imp!$C$2473="","",INDEX(_imp!$E$4:$E$4503,_imp!$C$2473))</f>
        <v/>
      </c>
      <c r="C2471" s="54">
        <f>IF(_imp!$C$2473="","",INDEX(_imp!$F$4:$F$4503,_imp!$C$2473))</f>
        <v/>
      </c>
      <c r="D2471" s="54">
        <f>IF(_imp!$C$2473="","",INDEX(_imp!$G$4:$G$4503,_imp!$C$2473))</f>
        <v/>
      </c>
      <c r="E2471" s="54">
        <f>IF(_imp!$C$2473="","",INDEX(_imp!$H$4:$H$4503,_imp!$C$2473))</f>
        <v/>
      </c>
      <c r="F2471" s="54">
        <f>IF(_imp!$C$2473="","",INDEX(_imp!$I$4:$I$4503,_imp!$C$2473))</f>
        <v/>
      </c>
      <c r="G2471" s="54">
        <f>IF(_imp!$C$2473="","",INDEX(_imp!$J$4:$J$4503,_imp!$C$2473))</f>
        <v/>
      </c>
      <c r="K2471" s="54">
        <f>IF(_imp!$C$2473="","",INDEX(_imp!$K$4:$K$4503,_imp!$C$2473))</f>
        <v/>
      </c>
    </row>
    <row r="2472">
      <c r="A2472" s="54">
        <f>IF(_imp!$C$2474="","",INDEX(_imp!$D$4:$D$4503,_imp!$C$2474))</f>
        <v/>
      </c>
      <c r="B2472" s="54">
        <f>IF(_imp!$C$2474="","",INDEX(_imp!$E$4:$E$4503,_imp!$C$2474))</f>
        <v/>
      </c>
      <c r="C2472" s="54">
        <f>IF(_imp!$C$2474="","",INDEX(_imp!$F$4:$F$4503,_imp!$C$2474))</f>
        <v/>
      </c>
      <c r="D2472" s="54">
        <f>IF(_imp!$C$2474="","",INDEX(_imp!$G$4:$G$4503,_imp!$C$2474))</f>
        <v/>
      </c>
      <c r="E2472" s="54">
        <f>IF(_imp!$C$2474="","",INDEX(_imp!$H$4:$H$4503,_imp!$C$2474))</f>
        <v/>
      </c>
      <c r="F2472" s="54">
        <f>IF(_imp!$C$2474="","",INDEX(_imp!$I$4:$I$4503,_imp!$C$2474))</f>
        <v/>
      </c>
      <c r="G2472" s="54">
        <f>IF(_imp!$C$2474="","",INDEX(_imp!$J$4:$J$4503,_imp!$C$2474))</f>
        <v/>
      </c>
      <c r="K2472" s="54">
        <f>IF(_imp!$C$2474="","",INDEX(_imp!$K$4:$K$4503,_imp!$C$2474))</f>
        <v/>
      </c>
    </row>
    <row r="2473">
      <c r="A2473" s="54">
        <f>IF(_imp!$C$2475="","",INDEX(_imp!$D$4:$D$4503,_imp!$C$2475))</f>
        <v/>
      </c>
      <c r="B2473" s="54">
        <f>IF(_imp!$C$2475="","",INDEX(_imp!$E$4:$E$4503,_imp!$C$2475))</f>
        <v/>
      </c>
      <c r="C2473" s="54">
        <f>IF(_imp!$C$2475="","",INDEX(_imp!$F$4:$F$4503,_imp!$C$2475))</f>
        <v/>
      </c>
      <c r="D2473" s="54">
        <f>IF(_imp!$C$2475="","",INDEX(_imp!$G$4:$G$4503,_imp!$C$2475))</f>
        <v/>
      </c>
      <c r="E2473" s="54">
        <f>IF(_imp!$C$2475="","",INDEX(_imp!$H$4:$H$4503,_imp!$C$2475))</f>
        <v/>
      </c>
      <c r="F2473" s="54">
        <f>IF(_imp!$C$2475="","",INDEX(_imp!$I$4:$I$4503,_imp!$C$2475))</f>
        <v/>
      </c>
      <c r="G2473" s="54">
        <f>IF(_imp!$C$2475="","",INDEX(_imp!$J$4:$J$4503,_imp!$C$2475))</f>
        <v/>
      </c>
      <c r="K2473" s="54">
        <f>IF(_imp!$C$2475="","",INDEX(_imp!$K$4:$K$4503,_imp!$C$2475))</f>
        <v/>
      </c>
    </row>
    <row r="2474">
      <c r="A2474" s="54">
        <f>IF(_imp!$C$2476="","",INDEX(_imp!$D$4:$D$4503,_imp!$C$2476))</f>
        <v/>
      </c>
      <c r="B2474" s="54">
        <f>IF(_imp!$C$2476="","",INDEX(_imp!$E$4:$E$4503,_imp!$C$2476))</f>
        <v/>
      </c>
      <c r="C2474" s="54">
        <f>IF(_imp!$C$2476="","",INDEX(_imp!$F$4:$F$4503,_imp!$C$2476))</f>
        <v/>
      </c>
      <c r="D2474" s="54">
        <f>IF(_imp!$C$2476="","",INDEX(_imp!$G$4:$G$4503,_imp!$C$2476))</f>
        <v/>
      </c>
      <c r="E2474" s="54">
        <f>IF(_imp!$C$2476="","",INDEX(_imp!$H$4:$H$4503,_imp!$C$2476))</f>
        <v/>
      </c>
      <c r="F2474" s="54">
        <f>IF(_imp!$C$2476="","",INDEX(_imp!$I$4:$I$4503,_imp!$C$2476))</f>
        <v/>
      </c>
      <c r="G2474" s="54">
        <f>IF(_imp!$C$2476="","",INDEX(_imp!$J$4:$J$4503,_imp!$C$2476))</f>
        <v/>
      </c>
      <c r="K2474" s="54">
        <f>IF(_imp!$C$2476="","",INDEX(_imp!$K$4:$K$4503,_imp!$C$2476))</f>
        <v/>
      </c>
    </row>
    <row r="2475">
      <c r="A2475" s="54">
        <f>IF(_imp!$C$2477="","",INDEX(_imp!$D$4:$D$4503,_imp!$C$2477))</f>
        <v/>
      </c>
      <c r="B2475" s="54">
        <f>IF(_imp!$C$2477="","",INDEX(_imp!$E$4:$E$4503,_imp!$C$2477))</f>
        <v/>
      </c>
      <c r="C2475" s="54">
        <f>IF(_imp!$C$2477="","",INDEX(_imp!$F$4:$F$4503,_imp!$C$2477))</f>
        <v/>
      </c>
      <c r="D2475" s="54">
        <f>IF(_imp!$C$2477="","",INDEX(_imp!$G$4:$G$4503,_imp!$C$2477))</f>
        <v/>
      </c>
      <c r="E2475" s="54">
        <f>IF(_imp!$C$2477="","",INDEX(_imp!$H$4:$H$4503,_imp!$C$2477))</f>
        <v/>
      </c>
      <c r="F2475" s="54">
        <f>IF(_imp!$C$2477="","",INDEX(_imp!$I$4:$I$4503,_imp!$C$2477))</f>
        <v/>
      </c>
      <c r="G2475" s="54">
        <f>IF(_imp!$C$2477="","",INDEX(_imp!$J$4:$J$4503,_imp!$C$2477))</f>
        <v/>
      </c>
      <c r="K2475" s="54">
        <f>IF(_imp!$C$2477="","",INDEX(_imp!$K$4:$K$4503,_imp!$C$2477))</f>
        <v/>
      </c>
    </row>
    <row r="2476">
      <c r="A2476" s="54">
        <f>IF(_imp!$C$2478="","",INDEX(_imp!$D$4:$D$4503,_imp!$C$2478))</f>
        <v/>
      </c>
      <c r="B2476" s="54">
        <f>IF(_imp!$C$2478="","",INDEX(_imp!$E$4:$E$4503,_imp!$C$2478))</f>
        <v/>
      </c>
      <c r="C2476" s="54">
        <f>IF(_imp!$C$2478="","",INDEX(_imp!$F$4:$F$4503,_imp!$C$2478))</f>
        <v/>
      </c>
      <c r="D2476" s="54">
        <f>IF(_imp!$C$2478="","",INDEX(_imp!$G$4:$G$4503,_imp!$C$2478))</f>
        <v/>
      </c>
      <c r="E2476" s="54">
        <f>IF(_imp!$C$2478="","",INDEX(_imp!$H$4:$H$4503,_imp!$C$2478))</f>
        <v/>
      </c>
      <c r="F2476" s="54">
        <f>IF(_imp!$C$2478="","",INDEX(_imp!$I$4:$I$4503,_imp!$C$2478))</f>
        <v/>
      </c>
      <c r="G2476" s="54">
        <f>IF(_imp!$C$2478="","",INDEX(_imp!$J$4:$J$4503,_imp!$C$2478))</f>
        <v/>
      </c>
      <c r="K2476" s="54">
        <f>IF(_imp!$C$2478="","",INDEX(_imp!$K$4:$K$4503,_imp!$C$2478))</f>
        <v/>
      </c>
    </row>
    <row r="2477">
      <c r="A2477" s="54">
        <f>IF(_imp!$C$2479="","",INDEX(_imp!$D$4:$D$4503,_imp!$C$2479))</f>
        <v/>
      </c>
      <c r="B2477" s="54">
        <f>IF(_imp!$C$2479="","",INDEX(_imp!$E$4:$E$4503,_imp!$C$2479))</f>
        <v/>
      </c>
      <c r="C2477" s="54">
        <f>IF(_imp!$C$2479="","",INDEX(_imp!$F$4:$F$4503,_imp!$C$2479))</f>
        <v/>
      </c>
      <c r="D2477" s="54">
        <f>IF(_imp!$C$2479="","",INDEX(_imp!$G$4:$G$4503,_imp!$C$2479))</f>
        <v/>
      </c>
      <c r="E2477" s="54">
        <f>IF(_imp!$C$2479="","",INDEX(_imp!$H$4:$H$4503,_imp!$C$2479))</f>
        <v/>
      </c>
      <c r="F2477" s="54">
        <f>IF(_imp!$C$2479="","",INDEX(_imp!$I$4:$I$4503,_imp!$C$2479))</f>
        <v/>
      </c>
      <c r="G2477" s="54">
        <f>IF(_imp!$C$2479="","",INDEX(_imp!$J$4:$J$4503,_imp!$C$2479))</f>
        <v/>
      </c>
      <c r="K2477" s="54">
        <f>IF(_imp!$C$2479="","",INDEX(_imp!$K$4:$K$4503,_imp!$C$2479))</f>
        <v/>
      </c>
    </row>
    <row r="2478">
      <c r="A2478" s="54">
        <f>IF(_imp!$C$2480="","",INDEX(_imp!$D$4:$D$4503,_imp!$C$2480))</f>
        <v/>
      </c>
      <c r="B2478" s="54">
        <f>IF(_imp!$C$2480="","",INDEX(_imp!$E$4:$E$4503,_imp!$C$2480))</f>
        <v/>
      </c>
      <c r="C2478" s="54">
        <f>IF(_imp!$C$2480="","",INDEX(_imp!$F$4:$F$4503,_imp!$C$2480))</f>
        <v/>
      </c>
      <c r="D2478" s="54">
        <f>IF(_imp!$C$2480="","",INDEX(_imp!$G$4:$G$4503,_imp!$C$2480))</f>
        <v/>
      </c>
      <c r="E2478" s="54">
        <f>IF(_imp!$C$2480="","",INDEX(_imp!$H$4:$H$4503,_imp!$C$2480))</f>
        <v/>
      </c>
      <c r="F2478" s="54">
        <f>IF(_imp!$C$2480="","",INDEX(_imp!$I$4:$I$4503,_imp!$C$2480))</f>
        <v/>
      </c>
      <c r="G2478" s="54">
        <f>IF(_imp!$C$2480="","",INDEX(_imp!$J$4:$J$4503,_imp!$C$2480))</f>
        <v/>
      </c>
      <c r="K2478" s="54">
        <f>IF(_imp!$C$2480="","",INDEX(_imp!$K$4:$K$4503,_imp!$C$2480))</f>
        <v/>
      </c>
    </row>
    <row r="2479">
      <c r="A2479" s="54">
        <f>IF(_imp!$C$2481="","",INDEX(_imp!$D$4:$D$4503,_imp!$C$2481))</f>
        <v/>
      </c>
      <c r="B2479" s="54">
        <f>IF(_imp!$C$2481="","",INDEX(_imp!$E$4:$E$4503,_imp!$C$2481))</f>
        <v/>
      </c>
      <c r="C2479" s="54">
        <f>IF(_imp!$C$2481="","",INDEX(_imp!$F$4:$F$4503,_imp!$C$2481))</f>
        <v/>
      </c>
      <c r="D2479" s="54">
        <f>IF(_imp!$C$2481="","",INDEX(_imp!$G$4:$G$4503,_imp!$C$2481))</f>
        <v/>
      </c>
      <c r="E2479" s="54">
        <f>IF(_imp!$C$2481="","",INDEX(_imp!$H$4:$H$4503,_imp!$C$2481))</f>
        <v/>
      </c>
      <c r="F2479" s="54">
        <f>IF(_imp!$C$2481="","",INDEX(_imp!$I$4:$I$4503,_imp!$C$2481))</f>
        <v/>
      </c>
      <c r="G2479" s="54">
        <f>IF(_imp!$C$2481="","",INDEX(_imp!$J$4:$J$4503,_imp!$C$2481))</f>
        <v/>
      </c>
      <c r="K2479" s="54">
        <f>IF(_imp!$C$2481="","",INDEX(_imp!$K$4:$K$4503,_imp!$C$2481))</f>
        <v/>
      </c>
    </row>
    <row r="2480">
      <c r="A2480" s="54">
        <f>IF(_imp!$C$2482="","",INDEX(_imp!$D$4:$D$4503,_imp!$C$2482))</f>
        <v/>
      </c>
      <c r="B2480" s="54">
        <f>IF(_imp!$C$2482="","",INDEX(_imp!$E$4:$E$4503,_imp!$C$2482))</f>
        <v/>
      </c>
      <c r="C2480" s="54">
        <f>IF(_imp!$C$2482="","",INDEX(_imp!$F$4:$F$4503,_imp!$C$2482))</f>
        <v/>
      </c>
      <c r="D2480" s="54">
        <f>IF(_imp!$C$2482="","",INDEX(_imp!$G$4:$G$4503,_imp!$C$2482))</f>
        <v/>
      </c>
      <c r="E2480" s="54">
        <f>IF(_imp!$C$2482="","",INDEX(_imp!$H$4:$H$4503,_imp!$C$2482))</f>
        <v/>
      </c>
      <c r="F2480" s="54">
        <f>IF(_imp!$C$2482="","",INDEX(_imp!$I$4:$I$4503,_imp!$C$2482))</f>
        <v/>
      </c>
      <c r="G2480" s="54">
        <f>IF(_imp!$C$2482="","",INDEX(_imp!$J$4:$J$4503,_imp!$C$2482))</f>
        <v/>
      </c>
      <c r="K2480" s="54">
        <f>IF(_imp!$C$2482="","",INDEX(_imp!$K$4:$K$4503,_imp!$C$2482))</f>
        <v/>
      </c>
    </row>
    <row r="2481">
      <c r="A2481" s="54">
        <f>IF(_imp!$C$2483="","",INDEX(_imp!$D$4:$D$4503,_imp!$C$2483))</f>
        <v/>
      </c>
      <c r="B2481" s="54">
        <f>IF(_imp!$C$2483="","",INDEX(_imp!$E$4:$E$4503,_imp!$C$2483))</f>
        <v/>
      </c>
      <c r="C2481" s="54">
        <f>IF(_imp!$C$2483="","",INDEX(_imp!$F$4:$F$4503,_imp!$C$2483))</f>
        <v/>
      </c>
      <c r="D2481" s="54">
        <f>IF(_imp!$C$2483="","",INDEX(_imp!$G$4:$G$4503,_imp!$C$2483))</f>
        <v/>
      </c>
      <c r="E2481" s="54">
        <f>IF(_imp!$C$2483="","",INDEX(_imp!$H$4:$H$4503,_imp!$C$2483))</f>
        <v/>
      </c>
      <c r="F2481" s="54">
        <f>IF(_imp!$C$2483="","",INDEX(_imp!$I$4:$I$4503,_imp!$C$2483))</f>
        <v/>
      </c>
      <c r="G2481" s="54">
        <f>IF(_imp!$C$2483="","",INDEX(_imp!$J$4:$J$4503,_imp!$C$2483))</f>
        <v/>
      </c>
      <c r="K2481" s="54">
        <f>IF(_imp!$C$2483="","",INDEX(_imp!$K$4:$K$4503,_imp!$C$2483))</f>
        <v/>
      </c>
    </row>
    <row r="2482">
      <c r="A2482" s="54">
        <f>IF(_imp!$C$2484="","",INDEX(_imp!$D$4:$D$4503,_imp!$C$2484))</f>
        <v/>
      </c>
      <c r="B2482" s="54">
        <f>IF(_imp!$C$2484="","",INDEX(_imp!$E$4:$E$4503,_imp!$C$2484))</f>
        <v/>
      </c>
      <c r="C2482" s="54">
        <f>IF(_imp!$C$2484="","",INDEX(_imp!$F$4:$F$4503,_imp!$C$2484))</f>
        <v/>
      </c>
      <c r="D2482" s="54">
        <f>IF(_imp!$C$2484="","",INDEX(_imp!$G$4:$G$4503,_imp!$C$2484))</f>
        <v/>
      </c>
      <c r="E2482" s="54">
        <f>IF(_imp!$C$2484="","",INDEX(_imp!$H$4:$H$4503,_imp!$C$2484))</f>
        <v/>
      </c>
      <c r="F2482" s="54">
        <f>IF(_imp!$C$2484="","",INDEX(_imp!$I$4:$I$4503,_imp!$C$2484))</f>
        <v/>
      </c>
      <c r="G2482" s="54">
        <f>IF(_imp!$C$2484="","",INDEX(_imp!$J$4:$J$4503,_imp!$C$2484))</f>
        <v/>
      </c>
      <c r="K2482" s="54">
        <f>IF(_imp!$C$2484="","",INDEX(_imp!$K$4:$K$4503,_imp!$C$2484))</f>
        <v/>
      </c>
    </row>
    <row r="2483">
      <c r="A2483" s="54">
        <f>IF(_imp!$C$2485="","",INDEX(_imp!$D$4:$D$4503,_imp!$C$2485))</f>
        <v/>
      </c>
      <c r="B2483" s="54">
        <f>IF(_imp!$C$2485="","",INDEX(_imp!$E$4:$E$4503,_imp!$C$2485))</f>
        <v/>
      </c>
      <c r="C2483" s="54">
        <f>IF(_imp!$C$2485="","",INDEX(_imp!$F$4:$F$4503,_imp!$C$2485))</f>
        <v/>
      </c>
      <c r="D2483" s="54">
        <f>IF(_imp!$C$2485="","",INDEX(_imp!$G$4:$G$4503,_imp!$C$2485))</f>
        <v/>
      </c>
      <c r="E2483" s="54">
        <f>IF(_imp!$C$2485="","",INDEX(_imp!$H$4:$H$4503,_imp!$C$2485))</f>
        <v/>
      </c>
      <c r="F2483" s="54">
        <f>IF(_imp!$C$2485="","",INDEX(_imp!$I$4:$I$4503,_imp!$C$2485))</f>
        <v/>
      </c>
      <c r="G2483" s="54">
        <f>IF(_imp!$C$2485="","",INDEX(_imp!$J$4:$J$4503,_imp!$C$2485))</f>
        <v/>
      </c>
      <c r="K2483" s="54">
        <f>IF(_imp!$C$2485="","",INDEX(_imp!$K$4:$K$4503,_imp!$C$2485))</f>
        <v/>
      </c>
    </row>
    <row r="2484">
      <c r="A2484" s="54">
        <f>IF(_imp!$C$2486="","",INDEX(_imp!$D$4:$D$4503,_imp!$C$2486))</f>
        <v/>
      </c>
      <c r="B2484" s="54">
        <f>IF(_imp!$C$2486="","",INDEX(_imp!$E$4:$E$4503,_imp!$C$2486))</f>
        <v/>
      </c>
      <c r="C2484" s="54">
        <f>IF(_imp!$C$2486="","",INDEX(_imp!$F$4:$F$4503,_imp!$C$2486))</f>
        <v/>
      </c>
      <c r="D2484" s="54">
        <f>IF(_imp!$C$2486="","",INDEX(_imp!$G$4:$G$4503,_imp!$C$2486))</f>
        <v/>
      </c>
      <c r="E2484" s="54">
        <f>IF(_imp!$C$2486="","",INDEX(_imp!$H$4:$H$4503,_imp!$C$2486))</f>
        <v/>
      </c>
      <c r="F2484" s="54">
        <f>IF(_imp!$C$2486="","",INDEX(_imp!$I$4:$I$4503,_imp!$C$2486))</f>
        <v/>
      </c>
      <c r="G2484" s="54">
        <f>IF(_imp!$C$2486="","",INDEX(_imp!$J$4:$J$4503,_imp!$C$2486))</f>
        <v/>
      </c>
      <c r="K2484" s="54">
        <f>IF(_imp!$C$2486="","",INDEX(_imp!$K$4:$K$4503,_imp!$C$2486))</f>
        <v/>
      </c>
    </row>
    <row r="2485">
      <c r="A2485" s="54">
        <f>IF(_imp!$C$2487="","",INDEX(_imp!$D$4:$D$4503,_imp!$C$2487))</f>
        <v/>
      </c>
      <c r="B2485" s="54">
        <f>IF(_imp!$C$2487="","",INDEX(_imp!$E$4:$E$4503,_imp!$C$2487))</f>
        <v/>
      </c>
      <c r="C2485" s="54">
        <f>IF(_imp!$C$2487="","",INDEX(_imp!$F$4:$F$4503,_imp!$C$2487))</f>
        <v/>
      </c>
      <c r="D2485" s="54">
        <f>IF(_imp!$C$2487="","",INDEX(_imp!$G$4:$G$4503,_imp!$C$2487))</f>
        <v/>
      </c>
      <c r="E2485" s="54">
        <f>IF(_imp!$C$2487="","",INDEX(_imp!$H$4:$H$4503,_imp!$C$2487))</f>
        <v/>
      </c>
      <c r="F2485" s="54">
        <f>IF(_imp!$C$2487="","",INDEX(_imp!$I$4:$I$4503,_imp!$C$2487))</f>
        <v/>
      </c>
      <c r="G2485" s="54">
        <f>IF(_imp!$C$2487="","",INDEX(_imp!$J$4:$J$4503,_imp!$C$2487))</f>
        <v/>
      </c>
      <c r="K2485" s="54">
        <f>IF(_imp!$C$2487="","",INDEX(_imp!$K$4:$K$4503,_imp!$C$2487))</f>
        <v/>
      </c>
    </row>
    <row r="2486">
      <c r="A2486" s="54">
        <f>IF(_imp!$C$2488="","",INDEX(_imp!$D$4:$D$4503,_imp!$C$2488))</f>
        <v/>
      </c>
      <c r="B2486" s="54">
        <f>IF(_imp!$C$2488="","",INDEX(_imp!$E$4:$E$4503,_imp!$C$2488))</f>
        <v/>
      </c>
      <c r="C2486" s="54">
        <f>IF(_imp!$C$2488="","",INDEX(_imp!$F$4:$F$4503,_imp!$C$2488))</f>
        <v/>
      </c>
      <c r="D2486" s="54">
        <f>IF(_imp!$C$2488="","",INDEX(_imp!$G$4:$G$4503,_imp!$C$2488))</f>
        <v/>
      </c>
      <c r="E2486" s="54">
        <f>IF(_imp!$C$2488="","",INDEX(_imp!$H$4:$H$4503,_imp!$C$2488))</f>
        <v/>
      </c>
      <c r="F2486" s="54">
        <f>IF(_imp!$C$2488="","",INDEX(_imp!$I$4:$I$4503,_imp!$C$2488))</f>
        <v/>
      </c>
      <c r="G2486" s="54">
        <f>IF(_imp!$C$2488="","",INDEX(_imp!$J$4:$J$4503,_imp!$C$2488))</f>
        <v/>
      </c>
      <c r="K2486" s="54">
        <f>IF(_imp!$C$2488="","",INDEX(_imp!$K$4:$K$4503,_imp!$C$2488))</f>
        <v/>
      </c>
    </row>
    <row r="2487">
      <c r="A2487" s="54">
        <f>IF(_imp!$C$2489="","",INDEX(_imp!$D$4:$D$4503,_imp!$C$2489))</f>
        <v/>
      </c>
      <c r="B2487" s="54">
        <f>IF(_imp!$C$2489="","",INDEX(_imp!$E$4:$E$4503,_imp!$C$2489))</f>
        <v/>
      </c>
      <c r="C2487" s="54">
        <f>IF(_imp!$C$2489="","",INDEX(_imp!$F$4:$F$4503,_imp!$C$2489))</f>
        <v/>
      </c>
      <c r="D2487" s="54">
        <f>IF(_imp!$C$2489="","",INDEX(_imp!$G$4:$G$4503,_imp!$C$2489))</f>
        <v/>
      </c>
      <c r="E2487" s="54">
        <f>IF(_imp!$C$2489="","",INDEX(_imp!$H$4:$H$4503,_imp!$C$2489))</f>
        <v/>
      </c>
      <c r="F2487" s="54">
        <f>IF(_imp!$C$2489="","",INDEX(_imp!$I$4:$I$4503,_imp!$C$2489))</f>
        <v/>
      </c>
      <c r="G2487" s="54">
        <f>IF(_imp!$C$2489="","",INDEX(_imp!$J$4:$J$4503,_imp!$C$2489))</f>
        <v/>
      </c>
      <c r="K2487" s="54">
        <f>IF(_imp!$C$2489="","",INDEX(_imp!$K$4:$K$4503,_imp!$C$2489))</f>
        <v/>
      </c>
    </row>
    <row r="2488">
      <c r="A2488" s="54">
        <f>IF(_imp!$C$2490="","",INDEX(_imp!$D$4:$D$4503,_imp!$C$2490))</f>
        <v/>
      </c>
      <c r="B2488" s="54">
        <f>IF(_imp!$C$2490="","",INDEX(_imp!$E$4:$E$4503,_imp!$C$2490))</f>
        <v/>
      </c>
      <c r="C2488" s="54">
        <f>IF(_imp!$C$2490="","",INDEX(_imp!$F$4:$F$4503,_imp!$C$2490))</f>
        <v/>
      </c>
      <c r="D2488" s="54">
        <f>IF(_imp!$C$2490="","",INDEX(_imp!$G$4:$G$4503,_imp!$C$2490))</f>
        <v/>
      </c>
      <c r="E2488" s="54">
        <f>IF(_imp!$C$2490="","",INDEX(_imp!$H$4:$H$4503,_imp!$C$2490))</f>
        <v/>
      </c>
      <c r="F2488" s="54">
        <f>IF(_imp!$C$2490="","",INDEX(_imp!$I$4:$I$4503,_imp!$C$2490))</f>
        <v/>
      </c>
      <c r="G2488" s="54">
        <f>IF(_imp!$C$2490="","",INDEX(_imp!$J$4:$J$4503,_imp!$C$2490))</f>
        <v/>
      </c>
      <c r="K2488" s="54">
        <f>IF(_imp!$C$2490="","",INDEX(_imp!$K$4:$K$4503,_imp!$C$2490))</f>
        <v/>
      </c>
    </row>
    <row r="2489">
      <c r="A2489" s="54">
        <f>IF(_imp!$C$2491="","",INDEX(_imp!$D$4:$D$4503,_imp!$C$2491))</f>
        <v/>
      </c>
      <c r="B2489" s="54">
        <f>IF(_imp!$C$2491="","",INDEX(_imp!$E$4:$E$4503,_imp!$C$2491))</f>
        <v/>
      </c>
      <c r="C2489" s="54">
        <f>IF(_imp!$C$2491="","",INDEX(_imp!$F$4:$F$4503,_imp!$C$2491))</f>
        <v/>
      </c>
      <c r="D2489" s="54">
        <f>IF(_imp!$C$2491="","",INDEX(_imp!$G$4:$G$4503,_imp!$C$2491))</f>
        <v/>
      </c>
      <c r="E2489" s="54">
        <f>IF(_imp!$C$2491="","",INDEX(_imp!$H$4:$H$4503,_imp!$C$2491))</f>
        <v/>
      </c>
      <c r="F2489" s="54">
        <f>IF(_imp!$C$2491="","",INDEX(_imp!$I$4:$I$4503,_imp!$C$2491))</f>
        <v/>
      </c>
      <c r="G2489" s="54">
        <f>IF(_imp!$C$2491="","",INDEX(_imp!$J$4:$J$4503,_imp!$C$2491))</f>
        <v/>
      </c>
      <c r="K2489" s="54">
        <f>IF(_imp!$C$2491="","",INDEX(_imp!$K$4:$K$4503,_imp!$C$2491))</f>
        <v/>
      </c>
    </row>
    <row r="2490">
      <c r="A2490" s="54">
        <f>IF(_imp!$C$2492="","",INDEX(_imp!$D$4:$D$4503,_imp!$C$2492))</f>
        <v/>
      </c>
      <c r="B2490" s="54">
        <f>IF(_imp!$C$2492="","",INDEX(_imp!$E$4:$E$4503,_imp!$C$2492))</f>
        <v/>
      </c>
      <c r="C2490" s="54">
        <f>IF(_imp!$C$2492="","",INDEX(_imp!$F$4:$F$4503,_imp!$C$2492))</f>
        <v/>
      </c>
      <c r="D2490" s="54">
        <f>IF(_imp!$C$2492="","",INDEX(_imp!$G$4:$G$4503,_imp!$C$2492))</f>
        <v/>
      </c>
      <c r="E2490" s="54">
        <f>IF(_imp!$C$2492="","",INDEX(_imp!$H$4:$H$4503,_imp!$C$2492))</f>
        <v/>
      </c>
      <c r="F2490" s="54">
        <f>IF(_imp!$C$2492="","",INDEX(_imp!$I$4:$I$4503,_imp!$C$2492))</f>
        <v/>
      </c>
      <c r="G2490" s="54">
        <f>IF(_imp!$C$2492="","",INDEX(_imp!$J$4:$J$4503,_imp!$C$2492))</f>
        <v/>
      </c>
      <c r="K2490" s="54">
        <f>IF(_imp!$C$2492="","",INDEX(_imp!$K$4:$K$4503,_imp!$C$2492))</f>
        <v/>
      </c>
    </row>
    <row r="2491">
      <c r="A2491" s="54">
        <f>IF(_imp!$C$2493="","",INDEX(_imp!$D$4:$D$4503,_imp!$C$2493))</f>
        <v/>
      </c>
      <c r="B2491" s="54">
        <f>IF(_imp!$C$2493="","",INDEX(_imp!$E$4:$E$4503,_imp!$C$2493))</f>
        <v/>
      </c>
      <c r="C2491" s="54">
        <f>IF(_imp!$C$2493="","",INDEX(_imp!$F$4:$F$4503,_imp!$C$2493))</f>
        <v/>
      </c>
      <c r="D2491" s="54">
        <f>IF(_imp!$C$2493="","",INDEX(_imp!$G$4:$G$4503,_imp!$C$2493))</f>
        <v/>
      </c>
      <c r="E2491" s="54">
        <f>IF(_imp!$C$2493="","",INDEX(_imp!$H$4:$H$4503,_imp!$C$2493))</f>
        <v/>
      </c>
      <c r="F2491" s="54">
        <f>IF(_imp!$C$2493="","",INDEX(_imp!$I$4:$I$4503,_imp!$C$2493))</f>
        <v/>
      </c>
      <c r="G2491" s="54">
        <f>IF(_imp!$C$2493="","",INDEX(_imp!$J$4:$J$4503,_imp!$C$2493))</f>
        <v/>
      </c>
      <c r="K2491" s="54">
        <f>IF(_imp!$C$2493="","",INDEX(_imp!$K$4:$K$4503,_imp!$C$2493))</f>
        <v/>
      </c>
    </row>
    <row r="2492">
      <c r="A2492" s="54">
        <f>IF(_imp!$C$2494="","",INDEX(_imp!$D$4:$D$4503,_imp!$C$2494))</f>
        <v/>
      </c>
      <c r="B2492" s="54">
        <f>IF(_imp!$C$2494="","",INDEX(_imp!$E$4:$E$4503,_imp!$C$2494))</f>
        <v/>
      </c>
      <c r="C2492" s="54">
        <f>IF(_imp!$C$2494="","",INDEX(_imp!$F$4:$F$4503,_imp!$C$2494))</f>
        <v/>
      </c>
      <c r="D2492" s="54">
        <f>IF(_imp!$C$2494="","",INDEX(_imp!$G$4:$G$4503,_imp!$C$2494))</f>
        <v/>
      </c>
      <c r="E2492" s="54">
        <f>IF(_imp!$C$2494="","",INDEX(_imp!$H$4:$H$4503,_imp!$C$2494))</f>
        <v/>
      </c>
      <c r="F2492" s="54">
        <f>IF(_imp!$C$2494="","",INDEX(_imp!$I$4:$I$4503,_imp!$C$2494))</f>
        <v/>
      </c>
      <c r="G2492" s="54">
        <f>IF(_imp!$C$2494="","",INDEX(_imp!$J$4:$J$4503,_imp!$C$2494))</f>
        <v/>
      </c>
      <c r="K2492" s="54">
        <f>IF(_imp!$C$2494="","",INDEX(_imp!$K$4:$K$4503,_imp!$C$2494))</f>
        <v/>
      </c>
    </row>
    <row r="2493">
      <c r="A2493" s="54">
        <f>IF(_imp!$C$2495="","",INDEX(_imp!$D$4:$D$4503,_imp!$C$2495))</f>
        <v/>
      </c>
      <c r="B2493" s="54">
        <f>IF(_imp!$C$2495="","",INDEX(_imp!$E$4:$E$4503,_imp!$C$2495))</f>
        <v/>
      </c>
      <c r="C2493" s="54">
        <f>IF(_imp!$C$2495="","",INDEX(_imp!$F$4:$F$4503,_imp!$C$2495))</f>
        <v/>
      </c>
      <c r="D2493" s="54">
        <f>IF(_imp!$C$2495="","",INDEX(_imp!$G$4:$G$4503,_imp!$C$2495))</f>
        <v/>
      </c>
      <c r="E2493" s="54">
        <f>IF(_imp!$C$2495="","",INDEX(_imp!$H$4:$H$4503,_imp!$C$2495))</f>
        <v/>
      </c>
      <c r="F2493" s="54">
        <f>IF(_imp!$C$2495="","",INDEX(_imp!$I$4:$I$4503,_imp!$C$2495))</f>
        <v/>
      </c>
      <c r="G2493" s="54">
        <f>IF(_imp!$C$2495="","",INDEX(_imp!$J$4:$J$4503,_imp!$C$2495))</f>
        <v/>
      </c>
      <c r="K2493" s="54">
        <f>IF(_imp!$C$2495="","",INDEX(_imp!$K$4:$K$4503,_imp!$C$2495))</f>
        <v/>
      </c>
    </row>
    <row r="2494">
      <c r="A2494" s="54">
        <f>IF(_imp!$C$2496="","",INDEX(_imp!$D$4:$D$4503,_imp!$C$2496))</f>
        <v/>
      </c>
      <c r="B2494" s="54">
        <f>IF(_imp!$C$2496="","",INDEX(_imp!$E$4:$E$4503,_imp!$C$2496))</f>
        <v/>
      </c>
      <c r="C2494" s="54">
        <f>IF(_imp!$C$2496="","",INDEX(_imp!$F$4:$F$4503,_imp!$C$2496))</f>
        <v/>
      </c>
      <c r="D2494" s="54">
        <f>IF(_imp!$C$2496="","",INDEX(_imp!$G$4:$G$4503,_imp!$C$2496))</f>
        <v/>
      </c>
      <c r="E2494" s="54">
        <f>IF(_imp!$C$2496="","",INDEX(_imp!$H$4:$H$4503,_imp!$C$2496))</f>
        <v/>
      </c>
      <c r="F2494" s="54">
        <f>IF(_imp!$C$2496="","",INDEX(_imp!$I$4:$I$4503,_imp!$C$2496))</f>
        <v/>
      </c>
      <c r="G2494" s="54">
        <f>IF(_imp!$C$2496="","",INDEX(_imp!$J$4:$J$4503,_imp!$C$2496))</f>
        <v/>
      </c>
      <c r="K2494" s="54">
        <f>IF(_imp!$C$2496="","",INDEX(_imp!$K$4:$K$4503,_imp!$C$2496))</f>
        <v/>
      </c>
    </row>
    <row r="2495">
      <c r="A2495" s="54">
        <f>IF(_imp!$C$2497="","",INDEX(_imp!$D$4:$D$4503,_imp!$C$2497))</f>
        <v/>
      </c>
      <c r="B2495" s="54">
        <f>IF(_imp!$C$2497="","",INDEX(_imp!$E$4:$E$4503,_imp!$C$2497))</f>
        <v/>
      </c>
      <c r="C2495" s="54">
        <f>IF(_imp!$C$2497="","",INDEX(_imp!$F$4:$F$4503,_imp!$C$2497))</f>
        <v/>
      </c>
      <c r="D2495" s="54">
        <f>IF(_imp!$C$2497="","",INDEX(_imp!$G$4:$G$4503,_imp!$C$2497))</f>
        <v/>
      </c>
      <c r="E2495" s="54">
        <f>IF(_imp!$C$2497="","",INDEX(_imp!$H$4:$H$4503,_imp!$C$2497))</f>
        <v/>
      </c>
      <c r="F2495" s="54">
        <f>IF(_imp!$C$2497="","",INDEX(_imp!$I$4:$I$4503,_imp!$C$2497))</f>
        <v/>
      </c>
      <c r="G2495" s="54">
        <f>IF(_imp!$C$2497="","",INDEX(_imp!$J$4:$J$4503,_imp!$C$2497))</f>
        <v/>
      </c>
      <c r="K2495" s="54">
        <f>IF(_imp!$C$2497="","",INDEX(_imp!$K$4:$K$4503,_imp!$C$2497))</f>
        <v/>
      </c>
    </row>
    <row r="2496">
      <c r="A2496" s="54">
        <f>IF(_imp!$C$2498="","",INDEX(_imp!$D$4:$D$4503,_imp!$C$2498))</f>
        <v/>
      </c>
      <c r="B2496" s="54">
        <f>IF(_imp!$C$2498="","",INDEX(_imp!$E$4:$E$4503,_imp!$C$2498))</f>
        <v/>
      </c>
      <c r="C2496" s="54">
        <f>IF(_imp!$C$2498="","",INDEX(_imp!$F$4:$F$4503,_imp!$C$2498))</f>
        <v/>
      </c>
      <c r="D2496" s="54">
        <f>IF(_imp!$C$2498="","",INDEX(_imp!$G$4:$G$4503,_imp!$C$2498))</f>
        <v/>
      </c>
      <c r="E2496" s="54">
        <f>IF(_imp!$C$2498="","",INDEX(_imp!$H$4:$H$4503,_imp!$C$2498))</f>
        <v/>
      </c>
      <c r="F2496" s="54">
        <f>IF(_imp!$C$2498="","",INDEX(_imp!$I$4:$I$4503,_imp!$C$2498))</f>
        <v/>
      </c>
      <c r="G2496" s="54">
        <f>IF(_imp!$C$2498="","",INDEX(_imp!$J$4:$J$4503,_imp!$C$2498))</f>
        <v/>
      </c>
      <c r="K2496" s="54">
        <f>IF(_imp!$C$2498="","",INDEX(_imp!$K$4:$K$4503,_imp!$C$2498))</f>
        <v/>
      </c>
    </row>
    <row r="2497">
      <c r="A2497" s="54">
        <f>IF(_imp!$C$2499="","",INDEX(_imp!$D$4:$D$4503,_imp!$C$2499))</f>
        <v/>
      </c>
      <c r="B2497" s="54">
        <f>IF(_imp!$C$2499="","",INDEX(_imp!$E$4:$E$4503,_imp!$C$2499))</f>
        <v/>
      </c>
      <c r="C2497" s="54">
        <f>IF(_imp!$C$2499="","",INDEX(_imp!$F$4:$F$4503,_imp!$C$2499))</f>
        <v/>
      </c>
      <c r="D2497" s="54">
        <f>IF(_imp!$C$2499="","",INDEX(_imp!$G$4:$G$4503,_imp!$C$2499))</f>
        <v/>
      </c>
      <c r="E2497" s="54">
        <f>IF(_imp!$C$2499="","",INDEX(_imp!$H$4:$H$4503,_imp!$C$2499))</f>
        <v/>
      </c>
      <c r="F2497" s="54">
        <f>IF(_imp!$C$2499="","",INDEX(_imp!$I$4:$I$4503,_imp!$C$2499))</f>
        <v/>
      </c>
      <c r="G2497" s="54">
        <f>IF(_imp!$C$2499="","",INDEX(_imp!$J$4:$J$4503,_imp!$C$2499))</f>
        <v/>
      </c>
      <c r="K2497" s="54">
        <f>IF(_imp!$C$2499="","",INDEX(_imp!$K$4:$K$4503,_imp!$C$2499))</f>
        <v/>
      </c>
    </row>
    <row r="2498">
      <c r="A2498" s="54">
        <f>IF(_imp!$C$2500="","",INDEX(_imp!$D$4:$D$4503,_imp!$C$2500))</f>
        <v/>
      </c>
      <c r="B2498" s="54">
        <f>IF(_imp!$C$2500="","",INDEX(_imp!$E$4:$E$4503,_imp!$C$2500))</f>
        <v/>
      </c>
      <c r="C2498" s="54">
        <f>IF(_imp!$C$2500="","",INDEX(_imp!$F$4:$F$4503,_imp!$C$2500))</f>
        <v/>
      </c>
      <c r="D2498" s="54">
        <f>IF(_imp!$C$2500="","",INDEX(_imp!$G$4:$G$4503,_imp!$C$2500))</f>
        <v/>
      </c>
      <c r="E2498" s="54">
        <f>IF(_imp!$C$2500="","",INDEX(_imp!$H$4:$H$4503,_imp!$C$2500))</f>
        <v/>
      </c>
      <c r="F2498" s="54">
        <f>IF(_imp!$C$2500="","",INDEX(_imp!$I$4:$I$4503,_imp!$C$2500))</f>
        <v/>
      </c>
      <c r="G2498" s="54">
        <f>IF(_imp!$C$2500="","",INDEX(_imp!$J$4:$J$4503,_imp!$C$2500))</f>
        <v/>
      </c>
      <c r="K2498" s="54">
        <f>IF(_imp!$C$2500="","",INDEX(_imp!$K$4:$K$4503,_imp!$C$2500))</f>
        <v/>
      </c>
    </row>
    <row r="2499">
      <c r="A2499" s="54">
        <f>IF(_imp!$C$2501="","",INDEX(_imp!$D$4:$D$4503,_imp!$C$2501))</f>
        <v/>
      </c>
      <c r="B2499" s="54">
        <f>IF(_imp!$C$2501="","",INDEX(_imp!$E$4:$E$4503,_imp!$C$2501))</f>
        <v/>
      </c>
      <c r="C2499" s="54">
        <f>IF(_imp!$C$2501="","",INDEX(_imp!$F$4:$F$4503,_imp!$C$2501))</f>
        <v/>
      </c>
      <c r="D2499" s="54">
        <f>IF(_imp!$C$2501="","",INDEX(_imp!$G$4:$G$4503,_imp!$C$2501))</f>
        <v/>
      </c>
      <c r="E2499" s="54">
        <f>IF(_imp!$C$2501="","",INDEX(_imp!$H$4:$H$4503,_imp!$C$2501))</f>
        <v/>
      </c>
      <c r="F2499" s="54">
        <f>IF(_imp!$C$2501="","",INDEX(_imp!$I$4:$I$4503,_imp!$C$2501))</f>
        <v/>
      </c>
      <c r="G2499" s="54">
        <f>IF(_imp!$C$2501="","",INDEX(_imp!$J$4:$J$4503,_imp!$C$2501))</f>
        <v/>
      </c>
      <c r="K2499" s="54">
        <f>IF(_imp!$C$2501="","",INDEX(_imp!$K$4:$K$4503,_imp!$C$2501))</f>
        <v/>
      </c>
    </row>
    <row r="2500">
      <c r="A2500" s="54">
        <f>IF(_imp!$C$2502="","",INDEX(_imp!$D$4:$D$4503,_imp!$C$2502))</f>
        <v/>
      </c>
      <c r="B2500" s="54">
        <f>IF(_imp!$C$2502="","",INDEX(_imp!$E$4:$E$4503,_imp!$C$2502))</f>
        <v/>
      </c>
      <c r="C2500" s="54">
        <f>IF(_imp!$C$2502="","",INDEX(_imp!$F$4:$F$4503,_imp!$C$2502))</f>
        <v/>
      </c>
      <c r="D2500" s="54">
        <f>IF(_imp!$C$2502="","",INDEX(_imp!$G$4:$G$4503,_imp!$C$2502))</f>
        <v/>
      </c>
      <c r="E2500" s="54">
        <f>IF(_imp!$C$2502="","",INDEX(_imp!$H$4:$H$4503,_imp!$C$2502))</f>
        <v/>
      </c>
      <c r="F2500" s="54">
        <f>IF(_imp!$C$2502="","",INDEX(_imp!$I$4:$I$4503,_imp!$C$2502))</f>
        <v/>
      </c>
      <c r="G2500" s="54">
        <f>IF(_imp!$C$2502="","",INDEX(_imp!$J$4:$J$4503,_imp!$C$2502))</f>
        <v/>
      </c>
      <c r="K2500" s="54">
        <f>IF(_imp!$C$2502="","",INDEX(_imp!$K$4:$K$4503,_imp!$C$2502))</f>
        <v/>
      </c>
    </row>
    <row r="2501">
      <c r="A2501" s="54">
        <f>IF(_imp!$C$2503="","",INDEX(_imp!$D$4:$D$4503,_imp!$C$2503))</f>
        <v/>
      </c>
      <c r="B2501" s="54">
        <f>IF(_imp!$C$2503="","",INDEX(_imp!$E$4:$E$4503,_imp!$C$2503))</f>
        <v/>
      </c>
      <c r="C2501" s="54">
        <f>IF(_imp!$C$2503="","",INDEX(_imp!$F$4:$F$4503,_imp!$C$2503))</f>
        <v/>
      </c>
      <c r="D2501" s="54">
        <f>IF(_imp!$C$2503="","",INDEX(_imp!$G$4:$G$4503,_imp!$C$2503))</f>
        <v/>
      </c>
      <c r="E2501" s="54">
        <f>IF(_imp!$C$2503="","",INDEX(_imp!$H$4:$H$4503,_imp!$C$2503))</f>
        <v/>
      </c>
      <c r="F2501" s="54">
        <f>IF(_imp!$C$2503="","",INDEX(_imp!$I$4:$I$4503,_imp!$C$2503))</f>
        <v/>
      </c>
      <c r="G2501" s="54">
        <f>IF(_imp!$C$2503="","",INDEX(_imp!$J$4:$J$4503,_imp!$C$2503))</f>
        <v/>
      </c>
      <c r="K2501" s="54">
        <f>IF(_imp!$C$2503="","",INDEX(_imp!$K$4:$K$4503,_imp!$C$2503))</f>
        <v/>
      </c>
    </row>
    <row r="2502">
      <c r="A2502" s="54">
        <f>IF(_imp!$C$2504="","",INDEX(_imp!$D$4:$D$4503,_imp!$C$2504))</f>
        <v/>
      </c>
      <c r="B2502" s="54">
        <f>IF(_imp!$C$2504="","",INDEX(_imp!$E$4:$E$4503,_imp!$C$2504))</f>
        <v/>
      </c>
      <c r="C2502" s="54">
        <f>IF(_imp!$C$2504="","",INDEX(_imp!$F$4:$F$4503,_imp!$C$2504))</f>
        <v/>
      </c>
      <c r="D2502" s="54">
        <f>IF(_imp!$C$2504="","",INDEX(_imp!$G$4:$G$4503,_imp!$C$2504))</f>
        <v/>
      </c>
      <c r="E2502" s="54">
        <f>IF(_imp!$C$2504="","",INDEX(_imp!$H$4:$H$4503,_imp!$C$2504))</f>
        <v/>
      </c>
      <c r="F2502" s="54">
        <f>IF(_imp!$C$2504="","",INDEX(_imp!$I$4:$I$4503,_imp!$C$2504))</f>
        <v/>
      </c>
      <c r="G2502" s="54">
        <f>IF(_imp!$C$2504="","",INDEX(_imp!$J$4:$J$4503,_imp!$C$2504))</f>
        <v/>
      </c>
      <c r="K2502" s="54">
        <f>IF(_imp!$C$2504="","",INDEX(_imp!$K$4:$K$4503,_imp!$C$2504))</f>
        <v/>
      </c>
    </row>
    <row r="2503">
      <c r="A2503" s="54">
        <f>IF(_imp!$C$2505="","",INDEX(_imp!$D$4:$D$4503,_imp!$C$2505))</f>
        <v/>
      </c>
      <c r="B2503" s="54">
        <f>IF(_imp!$C$2505="","",INDEX(_imp!$E$4:$E$4503,_imp!$C$2505))</f>
        <v/>
      </c>
      <c r="C2503" s="54">
        <f>IF(_imp!$C$2505="","",INDEX(_imp!$F$4:$F$4503,_imp!$C$2505))</f>
        <v/>
      </c>
      <c r="D2503" s="54">
        <f>IF(_imp!$C$2505="","",INDEX(_imp!$G$4:$G$4503,_imp!$C$2505))</f>
        <v/>
      </c>
      <c r="E2503" s="54">
        <f>IF(_imp!$C$2505="","",INDEX(_imp!$H$4:$H$4503,_imp!$C$2505))</f>
        <v/>
      </c>
      <c r="F2503" s="54">
        <f>IF(_imp!$C$2505="","",INDEX(_imp!$I$4:$I$4503,_imp!$C$2505))</f>
        <v/>
      </c>
      <c r="G2503" s="54">
        <f>IF(_imp!$C$2505="","",INDEX(_imp!$J$4:$J$4503,_imp!$C$2505))</f>
        <v/>
      </c>
      <c r="K2503" s="54">
        <f>IF(_imp!$C$2505="","",INDEX(_imp!$K$4:$K$4503,_imp!$C$2505))</f>
        <v/>
      </c>
    </row>
    <row r="2504">
      <c r="A2504" s="54">
        <f>IF(_imp!$C$2506="","",INDEX(_imp!$D$4:$D$4503,_imp!$C$2506))</f>
        <v/>
      </c>
      <c r="B2504" s="54">
        <f>IF(_imp!$C$2506="","",INDEX(_imp!$E$4:$E$4503,_imp!$C$2506))</f>
        <v/>
      </c>
      <c r="C2504" s="54">
        <f>IF(_imp!$C$2506="","",INDEX(_imp!$F$4:$F$4503,_imp!$C$2506))</f>
        <v/>
      </c>
      <c r="D2504" s="54">
        <f>IF(_imp!$C$2506="","",INDEX(_imp!$G$4:$G$4503,_imp!$C$2506))</f>
        <v/>
      </c>
      <c r="E2504" s="54">
        <f>IF(_imp!$C$2506="","",INDEX(_imp!$H$4:$H$4503,_imp!$C$2506))</f>
        <v/>
      </c>
      <c r="F2504" s="54">
        <f>IF(_imp!$C$2506="","",INDEX(_imp!$I$4:$I$4503,_imp!$C$2506))</f>
        <v/>
      </c>
      <c r="G2504" s="54">
        <f>IF(_imp!$C$2506="","",INDEX(_imp!$J$4:$J$4503,_imp!$C$2506))</f>
        <v/>
      </c>
      <c r="K2504" s="54">
        <f>IF(_imp!$C$2506="","",INDEX(_imp!$K$4:$K$4503,_imp!$C$2506))</f>
        <v/>
      </c>
    </row>
    <row r="2505">
      <c r="A2505" s="54">
        <f>IF(_imp!$C$2507="","",INDEX(_imp!$D$4:$D$4503,_imp!$C$2507))</f>
        <v/>
      </c>
      <c r="B2505" s="54">
        <f>IF(_imp!$C$2507="","",INDEX(_imp!$E$4:$E$4503,_imp!$C$2507))</f>
        <v/>
      </c>
      <c r="C2505" s="54">
        <f>IF(_imp!$C$2507="","",INDEX(_imp!$F$4:$F$4503,_imp!$C$2507))</f>
        <v/>
      </c>
      <c r="D2505" s="54">
        <f>IF(_imp!$C$2507="","",INDEX(_imp!$G$4:$G$4503,_imp!$C$2507))</f>
        <v/>
      </c>
      <c r="E2505" s="54">
        <f>IF(_imp!$C$2507="","",INDEX(_imp!$H$4:$H$4503,_imp!$C$2507))</f>
        <v/>
      </c>
      <c r="F2505" s="54">
        <f>IF(_imp!$C$2507="","",INDEX(_imp!$I$4:$I$4503,_imp!$C$2507))</f>
        <v/>
      </c>
      <c r="G2505" s="54">
        <f>IF(_imp!$C$2507="","",INDEX(_imp!$J$4:$J$4503,_imp!$C$2507))</f>
        <v/>
      </c>
      <c r="K2505" s="54">
        <f>IF(_imp!$C$2507="","",INDEX(_imp!$K$4:$K$4503,_imp!$C$2507))</f>
        <v/>
      </c>
    </row>
    <row r="2506">
      <c r="A2506" s="54">
        <f>IF(_imp!$C$2508="","",INDEX(_imp!$D$4:$D$4503,_imp!$C$2508))</f>
        <v/>
      </c>
      <c r="B2506" s="54">
        <f>IF(_imp!$C$2508="","",INDEX(_imp!$E$4:$E$4503,_imp!$C$2508))</f>
        <v/>
      </c>
      <c r="C2506" s="54">
        <f>IF(_imp!$C$2508="","",INDEX(_imp!$F$4:$F$4503,_imp!$C$2508))</f>
        <v/>
      </c>
      <c r="D2506" s="54">
        <f>IF(_imp!$C$2508="","",INDEX(_imp!$G$4:$G$4503,_imp!$C$2508))</f>
        <v/>
      </c>
      <c r="E2506" s="54">
        <f>IF(_imp!$C$2508="","",INDEX(_imp!$H$4:$H$4503,_imp!$C$2508))</f>
        <v/>
      </c>
      <c r="F2506" s="54">
        <f>IF(_imp!$C$2508="","",INDEX(_imp!$I$4:$I$4503,_imp!$C$2508))</f>
        <v/>
      </c>
      <c r="G2506" s="54">
        <f>IF(_imp!$C$2508="","",INDEX(_imp!$J$4:$J$4503,_imp!$C$2508))</f>
        <v/>
      </c>
      <c r="K2506" s="54">
        <f>IF(_imp!$C$2508="","",INDEX(_imp!$K$4:$K$4503,_imp!$C$2508))</f>
        <v/>
      </c>
    </row>
    <row r="2507">
      <c r="A2507" s="54">
        <f>IF(_imp!$C$2509="","",INDEX(_imp!$D$4:$D$4503,_imp!$C$2509))</f>
        <v/>
      </c>
      <c r="B2507" s="54">
        <f>IF(_imp!$C$2509="","",INDEX(_imp!$E$4:$E$4503,_imp!$C$2509))</f>
        <v/>
      </c>
      <c r="C2507" s="54">
        <f>IF(_imp!$C$2509="","",INDEX(_imp!$F$4:$F$4503,_imp!$C$2509))</f>
        <v/>
      </c>
      <c r="D2507" s="54">
        <f>IF(_imp!$C$2509="","",INDEX(_imp!$G$4:$G$4503,_imp!$C$2509))</f>
        <v/>
      </c>
      <c r="E2507" s="54">
        <f>IF(_imp!$C$2509="","",INDEX(_imp!$H$4:$H$4503,_imp!$C$2509))</f>
        <v/>
      </c>
      <c r="F2507" s="54">
        <f>IF(_imp!$C$2509="","",INDEX(_imp!$I$4:$I$4503,_imp!$C$2509))</f>
        <v/>
      </c>
      <c r="G2507" s="54">
        <f>IF(_imp!$C$2509="","",INDEX(_imp!$J$4:$J$4503,_imp!$C$2509))</f>
        <v/>
      </c>
      <c r="K2507" s="54">
        <f>IF(_imp!$C$2509="","",INDEX(_imp!$K$4:$K$4503,_imp!$C$2509))</f>
        <v/>
      </c>
    </row>
    <row r="2508">
      <c r="A2508" s="54">
        <f>IF(_imp!$C$2510="","",INDEX(_imp!$D$4:$D$4503,_imp!$C$2510))</f>
        <v/>
      </c>
      <c r="B2508" s="54">
        <f>IF(_imp!$C$2510="","",INDEX(_imp!$E$4:$E$4503,_imp!$C$2510))</f>
        <v/>
      </c>
      <c r="C2508" s="54">
        <f>IF(_imp!$C$2510="","",INDEX(_imp!$F$4:$F$4503,_imp!$C$2510))</f>
        <v/>
      </c>
      <c r="D2508" s="54">
        <f>IF(_imp!$C$2510="","",INDEX(_imp!$G$4:$G$4503,_imp!$C$2510))</f>
        <v/>
      </c>
      <c r="E2508" s="54">
        <f>IF(_imp!$C$2510="","",INDEX(_imp!$H$4:$H$4503,_imp!$C$2510))</f>
        <v/>
      </c>
      <c r="F2508" s="54">
        <f>IF(_imp!$C$2510="","",INDEX(_imp!$I$4:$I$4503,_imp!$C$2510))</f>
        <v/>
      </c>
      <c r="G2508" s="54">
        <f>IF(_imp!$C$2510="","",INDEX(_imp!$J$4:$J$4503,_imp!$C$2510))</f>
        <v/>
      </c>
      <c r="K2508" s="54">
        <f>IF(_imp!$C$2510="","",INDEX(_imp!$K$4:$K$4503,_imp!$C$2510))</f>
        <v/>
      </c>
    </row>
    <row r="2509">
      <c r="A2509" s="54">
        <f>IF(_imp!$C$2511="","",INDEX(_imp!$D$4:$D$4503,_imp!$C$2511))</f>
        <v/>
      </c>
      <c r="B2509" s="54">
        <f>IF(_imp!$C$2511="","",INDEX(_imp!$E$4:$E$4503,_imp!$C$2511))</f>
        <v/>
      </c>
      <c r="C2509" s="54">
        <f>IF(_imp!$C$2511="","",INDEX(_imp!$F$4:$F$4503,_imp!$C$2511))</f>
        <v/>
      </c>
      <c r="D2509" s="54">
        <f>IF(_imp!$C$2511="","",INDEX(_imp!$G$4:$G$4503,_imp!$C$2511))</f>
        <v/>
      </c>
      <c r="E2509" s="54">
        <f>IF(_imp!$C$2511="","",INDEX(_imp!$H$4:$H$4503,_imp!$C$2511))</f>
        <v/>
      </c>
      <c r="F2509" s="54">
        <f>IF(_imp!$C$2511="","",INDEX(_imp!$I$4:$I$4503,_imp!$C$2511))</f>
        <v/>
      </c>
      <c r="G2509" s="54">
        <f>IF(_imp!$C$2511="","",INDEX(_imp!$J$4:$J$4503,_imp!$C$2511))</f>
        <v/>
      </c>
      <c r="K2509" s="54">
        <f>IF(_imp!$C$2511="","",INDEX(_imp!$K$4:$K$4503,_imp!$C$2511))</f>
        <v/>
      </c>
    </row>
    <row r="2510">
      <c r="A2510" s="54">
        <f>IF(_imp!$C$2512="","",INDEX(_imp!$D$4:$D$4503,_imp!$C$2512))</f>
        <v/>
      </c>
      <c r="B2510" s="54">
        <f>IF(_imp!$C$2512="","",INDEX(_imp!$E$4:$E$4503,_imp!$C$2512))</f>
        <v/>
      </c>
      <c r="C2510" s="54">
        <f>IF(_imp!$C$2512="","",INDEX(_imp!$F$4:$F$4503,_imp!$C$2512))</f>
        <v/>
      </c>
      <c r="D2510" s="54">
        <f>IF(_imp!$C$2512="","",INDEX(_imp!$G$4:$G$4503,_imp!$C$2512))</f>
        <v/>
      </c>
      <c r="E2510" s="54">
        <f>IF(_imp!$C$2512="","",INDEX(_imp!$H$4:$H$4503,_imp!$C$2512))</f>
        <v/>
      </c>
      <c r="F2510" s="54">
        <f>IF(_imp!$C$2512="","",INDEX(_imp!$I$4:$I$4503,_imp!$C$2512))</f>
        <v/>
      </c>
      <c r="G2510" s="54">
        <f>IF(_imp!$C$2512="","",INDEX(_imp!$J$4:$J$4503,_imp!$C$2512))</f>
        <v/>
      </c>
      <c r="K2510" s="54">
        <f>IF(_imp!$C$2512="","",INDEX(_imp!$K$4:$K$4503,_imp!$C$2512))</f>
        <v/>
      </c>
    </row>
    <row r="2511">
      <c r="A2511" s="54">
        <f>IF(_imp!$C$2513="","",INDEX(_imp!$D$4:$D$4503,_imp!$C$2513))</f>
        <v/>
      </c>
      <c r="B2511" s="54">
        <f>IF(_imp!$C$2513="","",INDEX(_imp!$E$4:$E$4503,_imp!$C$2513))</f>
        <v/>
      </c>
      <c r="C2511" s="54">
        <f>IF(_imp!$C$2513="","",INDEX(_imp!$F$4:$F$4503,_imp!$C$2513))</f>
        <v/>
      </c>
      <c r="D2511" s="54">
        <f>IF(_imp!$C$2513="","",INDEX(_imp!$G$4:$G$4503,_imp!$C$2513))</f>
        <v/>
      </c>
      <c r="E2511" s="54">
        <f>IF(_imp!$C$2513="","",INDEX(_imp!$H$4:$H$4503,_imp!$C$2513))</f>
        <v/>
      </c>
      <c r="F2511" s="54">
        <f>IF(_imp!$C$2513="","",INDEX(_imp!$I$4:$I$4503,_imp!$C$2513))</f>
        <v/>
      </c>
      <c r="G2511" s="54">
        <f>IF(_imp!$C$2513="","",INDEX(_imp!$J$4:$J$4503,_imp!$C$2513))</f>
        <v/>
      </c>
      <c r="K2511" s="54">
        <f>IF(_imp!$C$2513="","",INDEX(_imp!$K$4:$K$4503,_imp!$C$2513))</f>
        <v/>
      </c>
    </row>
    <row r="2512">
      <c r="A2512" s="54">
        <f>IF(_imp!$C$2514="","",INDEX(_imp!$D$4:$D$4503,_imp!$C$2514))</f>
        <v/>
      </c>
      <c r="B2512" s="54">
        <f>IF(_imp!$C$2514="","",INDEX(_imp!$E$4:$E$4503,_imp!$C$2514))</f>
        <v/>
      </c>
      <c r="C2512" s="54">
        <f>IF(_imp!$C$2514="","",INDEX(_imp!$F$4:$F$4503,_imp!$C$2514))</f>
        <v/>
      </c>
      <c r="D2512" s="54">
        <f>IF(_imp!$C$2514="","",INDEX(_imp!$G$4:$G$4503,_imp!$C$2514))</f>
        <v/>
      </c>
      <c r="E2512" s="54">
        <f>IF(_imp!$C$2514="","",INDEX(_imp!$H$4:$H$4503,_imp!$C$2514))</f>
        <v/>
      </c>
      <c r="F2512" s="54">
        <f>IF(_imp!$C$2514="","",INDEX(_imp!$I$4:$I$4503,_imp!$C$2514))</f>
        <v/>
      </c>
      <c r="G2512" s="54">
        <f>IF(_imp!$C$2514="","",INDEX(_imp!$J$4:$J$4503,_imp!$C$2514))</f>
        <v/>
      </c>
      <c r="K2512" s="54">
        <f>IF(_imp!$C$2514="","",INDEX(_imp!$K$4:$K$4503,_imp!$C$2514))</f>
        <v/>
      </c>
    </row>
    <row r="2513">
      <c r="A2513" s="54">
        <f>IF(_imp!$C$2515="","",INDEX(_imp!$D$4:$D$4503,_imp!$C$2515))</f>
        <v/>
      </c>
      <c r="B2513" s="54">
        <f>IF(_imp!$C$2515="","",INDEX(_imp!$E$4:$E$4503,_imp!$C$2515))</f>
        <v/>
      </c>
      <c r="C2513" s="54">
        <f>IF(_imp!$C$2515="","",INDEX(_imp!$F$4:$F$4503,_imp!$C$2515))</f>
        <v/>
      </c>
      <c r="D2513" s="54">
        <f>IF(_imp!$C$2515="","",INDEX(_imp!$G$4:$G$4503,_imp!$C$2515))</f>
        <v/>
      </c>
      <c r="E2513" s="54">
        <f>IF(_imp!$C$2515="","",INDEX(_imp!$H$4:$H$4503,_imp!$C$2515))</f>
        <v/>
      </c>
      <c r="F2513" s="54">
        <f>IF(_imp!$C$2515="","",INDEX(_imp!$I$4:$I$4503,_imp!$C$2515))</f>
        <v/>
      </c>
      <c r="G2513" s="54">
        <f>IF(_imp!$C$2515="","",INDEX(_imp!$J$4:$J$4503,_imp!$C$2515))</f>
        <v/>
      </c>
      <c r="K2513" s="54">
        <f>IF(_imp!$C$2515="","",INDEX(_imp!$K$4:$K$4503,_imp!$C$2515))</f>
        <v/>
      </c>
    </row>
    <row r="2514">
      <c r="A2514" s="54">
        <f>IF(_imp!$C$2516="","",INDEX(_imp!$D$4:$D$4503,_imp!$C$2516))</f>
        <v/>
      </c>
      <c r="B2514" s="54">
        <f>IF(_imp!$C$2516="","",INDEX(_imp!$E$4:$E$4503,_imp!$C$2516))</f>
        <v/>
      </c>
      <c r="C2514" s="54">
        <f>IF(_imp!$C$2516="","",INDEX(_imp!$F$4:$F$4503,_imp!$C$2516))</f>
        <v/>
      </c>
      <c r="D2514" s="54">
        <f>IF(_imp!$C$2516="","",INDEX(_imp!$G$4:$G$4503,_imp!$C$2516))</f>
        <v/>
      </c>
      <c r="E2514" s="54">
        <f>IF(_imp!$C$2516="","",INDEX(_imp!$H$4:$H$4503,_imp!$C$2516))</f>
        <v/>
      </c>
      <c r="F2514" s="54">
        <f>IF(_imp!$C$2516="","",INDEX(_imp!$I$4:$I$4503,_imp!$C$2516))</f>
        <v/>
      </c>
      <c r="G2514" s="54">
        <f>IF(_imp!$C$2516="","",INDEX(_imp!$J$4:$J$4503,_imp!$C$2516))</f>
        <v/>
      </c>
      <c r="K2514" s="54">
        <f>IF(_imp!$C$2516="","",INDEX(_imp!$K$4:$K$4503,_imp!$C$2516))</f>
        <v/>
      </c>
    </row>
    <row r="2515">
      <c r="A2515" s="54">
        <f>IF(_imp!$C$2517="","",INDEX(_imp!$D$4:$D$4503,_imp!$C$2517))</f>
        <v/>
      </c>
      <c r="B2515" s="54">
        <f>IF(_imp!$C$2517="","",INDEX(_imp!$E$4:$E$4503,_imp!$C$2517))</f>
        <v/>
      </c>
      <c r="C2515" s="54">
        <f>IF(_imp!$C$2517="","",INDEX(_imp!$F$4:$F$4503,_imp!$C$2517))</f>
        <v/>
      </c>
      <c r="D2515" s="54">
        <f>IF(_imp!$C$2517="","",INDEX(_imp!$G$4:$G$4503,_imp!$C$2517))</f>
        <v/>
      </c>
      <c r="E2515" s="54">
        <f>IF(_imp!$C$2517="","",INDEX(_imp!$H$4:$H$4503,_imp!$C$2517))</f>
        <v/>
      </c>
      <c r="F2515" s="54">
        <f>IF(_imp!$C$2517="","",INDEX(_imp!$I$4:$I$4503,_imp!$C$2517))</f>
        <v/>
      </c>
      <c r="G2515" s="54">
        <f>IF(_imp!$C$2517="","",INDEX(_imp!$J$4:$J$4503,_imp!$C$2517))</f>
        <v/>
      </c>
      <c r="K2515" s="54">
        <f>IF(_imp!$C$2517="","",INDEX(_imp!$K$4:$K$4503,_imp!$C$2517))</f>
        <v/>
      </c>
    </row>
    <row r="2516">
      <c r="A2516" s="54">
        <f>IF(_imp!$C$2518="","",INDEX(_imp!$D$4:$D$4503,_imp!$C$2518))</f>
        <v/>
      </c>
      <c r="B2516" s="54">
        <f>IF(_imp!$C$2518="","",INDEX(_imp!$E$4:$E$4503,_imp!$C$2518))</f>
        <v/>
      </c>
      <c r="C2516" s="54">
        <f>IF(_imp!$C$2518="","",INDEX(_imp!$F$4:$F$4503,_imp!$C$2518))</f>
        <v/>
      </c>
      <c r="D2516" s="54">
        <f>IF(_imp!$C$2518="","",INDEX(_imp!$G$4:$G$4503,_imp!$C$2518))</f>
        <v/>
      </c>
      <c r="E2516" s="54">
        <f>IF(_imp!$C$2518="","",INDEX(_imp!$H$4:$H$4503,_imp!$C$2518))</f>
        <v/>
      </c>
      <c r="F2516" s="54">
        <f>IF(_imp!$C$2518="","",INDEX(_imp!$I$4:$I$4503,_imp!$C$2518))</f>
        <v/>
      </c>
      <c r="G2516" s="54">
        <f>IF(_imp!$C$2518="","",INDEX(_imp!$J$4:$J$4503,_imp!$C$2518))</f>
        <v/>
      </c>
      <c r="K2516" s="54">
        <f>IF(_imp!$C$2518="","",INDEX(_imp!$K$4:$K$4503,_imp!$C$2518))</f>
        <v/>
      </c>
    </row>
    <row r="2517">
      <c r="A2517" s="54">
        <f>IF(_imp!$C$2519="","",INDEX(_imp!$D$4:$D$4503,_imp!$C$2519))</f>
        <v/>
      </c>
      <c r="B2517" s="54">
        <f>IF(_imp!$C$2519="","",INDEX(_imp!$E$4:$E$4503,_imp!$C$2519))</f>
        <v/>
      </c>
      <c r="C2517" s="54">
        <f>IF(_imp!$C$2519="","",INDEX(_imp!$F$4:$F$4503,_imp!$C$2519))</f>
        <v/>
      </c>
      <c r="D2517" s="54">
        <f>IF(_imp!$C$2519="","",INDEX(_imp!$G$4:$G$4503,_imp!$C$2519))</f>
        <v/>
      </c>
      <c r="E2517" s="54">
        <f>IF(_imp!$C$2519="","",INDEX(_imp!$H$4:$H$4503,_imp!$C$2519))</f>
        <v/>
      </c>
      <c r="F2517" s="54">
        <f>IF(_imp!$C$2519="","",INDEX(_imp!$I$4:$I$4503,_imp!$C$2519))</f>
        <v/>
      </c>
      <c r="G2517" s="54">
        <f>IF(_imp!$C$2519="","",INDEX(_imp!$J$4:$J$4503,_imp!$C$2519))</f>
        <v/>
      </c>
      <c r="K2517" s="54">
        <f>IF(_imp!$C$2519="","",INDEX(_imp!$K$4:$K$4503,_imp!$C$2519))</f>
        <v/>
      </c>
    </row>
    <row r="2518">
      <c r="A2518" s="54">
        <f>IF(_imp!$C$2520="","",INDEX(_imp!$D$4:$D$4503,_imp!$C$2520))</f>
        <v/>
      </c>
      <c r="B2518" s="54">
        <f>IF(_imp!$C$2520="","",INDEX(_imp!$E$4:$E$4503,_imp!$C$2520))</f>
        <v/>
      </c>
      <c r="C2518" s="54">
        <f>IF(_imp!$C$2520="","",INDEX(_imp!$F$4:$F$4503,_imp!$C$2520))</f>
        <v/>
      </c>
      <c r="D2518" s="54">
        <f>IF(_imp!$C$2520="","",INDEX(_imp!$G$4:$G$4503,_imp!$C$2520))</f>
        <v/>
      </c>
      <c r="E2518" s="54">
        <f>IF(_imp!$C$2520="","",INDEX(_imp!$H$4:$H$4503,_imp!$C$2520))</f>
        <v/>
      </c>
      <c r="F2518" s="54">
        <f>IF(_imp!$C$2520="","",INDEX(_imp!$I$4:$I$4503,_imp!$C$2520))</f>
        <v/>
      </c>
      <c r="G2518" s="54">
        <f>IF(_imp!$C$2520="","",INDEX(_imp!$J$4:$J$4503,_imp!$C$2520))</f>
        <v/>
      </c>
      <c r="K2518" s="54">
        <f>IF(_imp!$C$2520="","",INDEX(_imp!$K$4:$K$4503,_imp!$C$2520))</f>
        <v/>
      </c>
    </row>
    <row r="2519">
      <c r="A2519" s="54">
        <f>IF(_imp!$C$2521="","",INDEX(_imp!$D$4:$D$4503,_imp!$C$2521))</f>
        <v/>
      </c>
      <c r="B2519" s="54">
        <f>IF(_imp!$C$2521="","",INDEX(_imp!$E$4:$E$4503,_imp!$C$2521))</f>
        <v/>
      </c>
      <c r="C2519" s="54">
        <f>IF(_imp!$C$2521="","",INDEX(_imp!$F$4:$F$4503,_imp!$C$2521))</f>
        <v/>
      </c>
      <c r="D2519" s="54">
        <f>IF(_imp!$C$2521="","",INDEX(_imp!$G$4:$G$4503,_imp!$C$2521))</f>
        <v/>
      </c>
      <c r="E2519" s="54">
        <f>IF(_imp!$C$2521="","",INDEX(_imp!$H$4:$H$4503,_imp!$C$2521))</f>
        <v/>
      </c>
      <c r="F2519" s="54">
        <f>IF(_imp!$C$2521="","",INDEX(_imp!$I$4:$I$4503,_imp!$C$2521))</f>
        <v/>
      </c>
      <c r="G2519" s="54">
        <f>IF(_imp!$C$2521="","",INDEX(_imp!$J$4:$J$4503,_imp!$C$2521))</f>
        <v/>
      </c>
      <c r="K2519" s="54">
        <f>IF(_imp!$C$2521="","",INDEX(_imp!$K$4:$K$4503,_imp!$C$2521))</f>
        <v/>
      </c>
    </row>
    <row r="2520">
      <c r="A2520" s="54">
        <f>IF(_imp!$C$2522="","",INDEX(_imp!$D$4:$D$4503,_imp!$C$2522))</f>
        <v/>
      </c>
      <c r="B2520" s="54">
        <f>IF(_imp!$C$2522="","",INDEX(_imp!$E$4:$E$4503,_imp!$C$2522))</f>
        <v/>
      </c>
      <c r="C2520" s="54">
        <f>IF(_imp!$C$2522="","",INDEX(_imp!$F$4:$F$4503,_imp!$C$2522))</f>
        <v/>
      </c>
      <c r="D2520" s="54">
        <f>IF(_imp!$C$2522="","",INDEX(_imp!$G$4:$G$4503,_imp!$C$2522))</f>
        <v/>
      </c>
      <c r="E2520" s="54">
        <f>IF(_imp!$C$2522="","",INDEX(_imp!$H$4:$H$4503,_imp!$C$2522))</f>
        <v/>
      </c>
      <c r="F2520" s="54">
        <f>IF(_imp!$C$2522="","",INDEX(_imp!$I$4:$I$4503,_imp!$C$2522))</f>
        <v/>
      </c>
      <c r="G2520" s="54">
        <f>IF(_imp!$C$2522="","",INDEX(_imp!$J$4:$J$4503,_imp!$C$2522))</f>
        <v/>
      </c>
      <c r="K2520" s="54">
        <f>IF(_imp!$C$2522="","",INDEX(_imp!$K$4:$K$4503,_imp!$C$2522))</f>
        <v/>
      </c>
    </row>
    <row r="2521">
      <c r="A2521" s="54">
        <f>IF(_imp!$C$2523="","",INDEX(_imp!$D$4:$D$4503,_imp!$C$2523))</f>
        <v/>
      </c>
      <c r="B2521" s="54">
        <f>IF(_imp!$C$2523="","",INDEX(_imp!$E$4:$E$4503,_imp!$C$2523))</f>
        <v/>
      </c>
      <c r="C2521" s="54">
        <f>IF(_imp!$C$2523="","",INDEX(_imp!$F$4:$F$4503,_imp!$C$2523))</f>
        <v/>
      </c>
      <c r="D2521" s="54">
        <f>IF(_imp!$C$2523="","",INDEX(_imp!$G$4:$G$4503,_imp!$C$2523))</f>
        <v/>
      </c>
      <c r="E2521" s="54">
        <f>IF(_imp!$C$2523="","",INDEX(_imp!$H$4:$H$4503,_imp!$C$2523))</f>
        <v/>
      </c>
      <c r="F2521" s="54">
        <f>IF(_imp!$C$2523="","",INDEX(_imp!$I$4:$I$4503,_imp!$C$2523))</f>
        <v/>
      </c>
      <c r="G2521" s="54">
        <f>IF(_imp!$C$2523="","",INDEX(_imp!$J$4:$J$4503,_imp!$C$2523))</f>
        <v/>
      </c>
      <c r="K2521" s="54">
        <f>IF(_imp!$C$2523="","",INDEX(_imp!$K$4:$K$4503,_imp!$C$2523))</f>
        <v/>
      </c>
    </row>
    <row r="2522">
      <c r="A2522" s="54">
        <f>IF(_imp!$C$2524="","",INDEX(_imp!$D$4:$D$4503,_imp!$C$2524))</f>
        <v/>
      </c>
      <c r="B2522" s="54">
        <f>IF(_imp!$C$2524="","",INDEX(_imp!$E$4:$E$4503,_imp!$C$2524))</f>
        <v/>
      </c>
      <c r="C2522" s="54">
        <f>IF(_imp!$C$2524="","",INDEX(_imp!$F$4:$F$4503,_imp!$C$2524))</f>
        <v/>
      </c>
      <c r="D2522" s="54">
        <f>IF(_imp!$C$2524="","",INDEX(_imp!$G$4:$G$4503,_imp!$C$2524))</f>
        <v/>
      </c>
      <c r="E2522" s="54">
        <f>IF(_imp!$C$2524="","",INDEX(_imp!$H$4:$H$4503,_imp!$C$2524))</f>
        <v/>
      </c>
      <c r="F2522" s="54">
        <f>IF(_imp!$C$2524="","",INDEX(_imp!$I$4:$I$4503,_imp!$C$2524))</f>
        <v/>
      </c>
      <c r="G2522" s="54">
        <f>IF(_imp!$C$2524="","",INDEX(_imp!$J$4:$J$4503,_imp!$C$2524))</f>
        <v/>
      </c>
      <c r="K2522" s="54">
        <f>IF(_imp!$C$2524="","",INDEX(_imp!$K$4:$K$4503,_imp!$C$2524))</f>
        <v/>
      </c>
    </row>
    <row r="2523">
      <c r="A2523" s="54">
        <f>IF(_imp!$C$2525="","",INDEX(_imp!$D$4:$D$4503,_imp!$C$2525))</f>
        <v/>
      </c>
      <c r="B2523" s="54">
        <f>IF(_imp!$C$2525="","",INDEX(_imp!$E$4:$E$4503,_imp!$C$2525))</f>
        <v/>
      </c>
      <c r="C2523" s="54">
        <f>IF(_imp!$C$2525="","",INDEX(_imp!$F$4:$F$4503,_imp!$C$2525))</f>
        <v/>
      </c>
      <c r="D2523" s="54">
        <f>IF(_imp!$C$2525="","",INDEX(_imp!$G$4:$G$4503,_imp!$C$2525))</f>
        <v/>
      </c>
      <c r="E2523" s="54">
        <f>IF(_imp!$C$2525="","",INDEX(_imp!$H$4:$H$4503,_imp!$C$2525))</f>
        <v/>
      </c>
      <c r="F2523" s="54">
        <f>IF(_imp!$C$2525="","",INDEX(_imp!$I$4:$I$4503,_imp!$C$2525))</f>
        <v/>
      </c>
      <c r="G2523" s="54">
        <f>IF(_imp!$C$2525="","",INDEX(_imp!$J$4:$J$4503,_imp!$C$2525))</f>
        <v/>
      </c>
      <c r="K2523" s="54">
        <f>IF(_imp!$C$2525="","",INDEX(_imp!$K$4:$K$4503,_imp!$C$2525))</f>
        <v/>
      </c>
    </row>
    <row r="2524">
      <c r="A2524" s="54">
        <f>IF(_imp!$C$2526="","",INDEX(_imp!$D$4:$D$4503,_imp!$C$2526))</f>
        <v/>
      </c>
      <c r="B2524" s="54">
        <f>IF(_imp!$C$2526="","",INDEX(_imp!$E$4:$E$4503,_imp!$C$2526))</f>
        <v/>
      </c>
      <c r="C2524" s="54">
        <f>IF(_imp!$C$2526="","",INDEX(_imp!$F$4:$F$4503,_imp!$C$2526))</f>
        <v/>
      </c>
      <c r="D2524" s="54">
        <f>IF(_imp!$C$2526="","",INDEX(_imp!$G$4:$G$4503,_imp!$C$2526))</f>
        <v/>
      </c>
      <c r="E2524" s="54">
        <f>IF(_imp!$C$2526="","",INDEX(_imp!$H$4:$H$4503,_imp!$C$2526))</f>
        <v/>
      </c>
      <c r="F2524" s="54">
        <f>IF(_imp!$C$2526="","",INDEX(_imp!$I$4:$I$4503,_imp!$C$2526))</f>
        <v/>
      </c>
      <c r="G2524" s="54">
        <f>IF(_imp!$C$2526="","",INDEX(_imp!$J$4:$J$4503,_imp!$C$2526))</f>
        <v/>
      </c>
      <c r="K2524" s="54">
        <f>IF(_imp!$C$2526="","",INDEX(_imp!$K$4:$K$4503,_imp!$C$2526))</f>
        <v/>
      </c>
    </row>
    <row r="2525">
      <c r="A2525" s="54">
        <f>IF(_imp!$C$2527="","",INDEX(_imp!$D$4:$D$4503,_imp!$C$2527))</f>
        <v/>
      </c>
      <c r="B2525" s="54">
        <f>IF(_imp!$C$2527="","",INDEX(_imp!$E$4:$E$4503,_imp!$C$2527))</f>
        <v/>
      </c>
      <c r="C2525" s="54">
        <f>IF(_imp!$C$2527="","",INDEX(_imp!$F$4:$F$4503,_imp!$C$2527))</f>
        <v/>
      </c>
      <c r="D2525" s="54">
        <f>IF(_imp!$C$2527="","",INDEX(_imp!$G$4:$G$4503,_imp!$C$2527))</f>
        <v/>
      </c>
      <c r="E2525" s="54">
        <f>IF(_imp!$C$2527="","",INDEX(_imp!$H$4:$H$4503,_imp!$C$2527))</f>
        <v/>
      </c>
      <c r="F2525" s="54">
        <f>IF(_imp!$C$2527="","",INDEX(_imp!$I$4:$I$4503,_imp!$C$2527))</f>
        <v/>
      </c>
      <c r="G2525" s="54">
        <f>IF(_imp!$C$2527="","",INDEX(_imp!$J$4:$J$4503,_imp!$C$2527))</f>
        <v/>
      </c>
      <c r="K2525" s="54">
        <f>IF(_imp!$C$2527="","",INDEX(_imp!$K$4:$K$4503,_imp!$C$2527))</f>
        <v/>
      </c>
    </row>
    <row r="2526">
      <c r="A2526" s="54">
        <f>IF(_imp!$C$2528="","",INDEX(_imp!$D$4:$D$4503,_imp!$C$2528))</f>
        <v/>
      </c>
      <c r="B2526" s="54">
        <f>IF(_imp!$C$2528="","",INDEX(_imp!$E$4:$E$4503,_imp!$C$2528))</f>
        <v/>
      </c>
      <c r="C2526" s="54">
        <f>IF(_imp!$C$2528="","",INDEX(_imp!$F$4:$F$4503,_imp!$C$2528))</f>
        <v/>
      </c>
      <c r="D2526" s="54">
        <f>IF(_imp!$C$2528="","",INDEX(_imp!$G$4:$G$4503,_imp!$C$2528))</f>
        <v/>
      </c>
      <c r="E2526" s="54">
        <f>IF(_imp!$C$2528="","",INDEX(_imp!$H$4:$H$4503,_imp!$C$2528))</f>
        <v/>
      </c>
      <c r="F2526" s="54">
        <f>IF(_imp!$C$2528="","",INDEX(_imp!$I$4:$I$4503,_imp!$C$2528))</f>
        <v/>
      </c>
      <c r="G2526" s="54">
        <f>IF(_imp!$C$2528="","",INDEX(_imp!$J$4:$J$4503,_imp!$C$2528))</f>
        <v/>
      </c>
      <c r="K2526" s="54">
        <f>IF(_imp!$C$2528="","",INDEX(_imp!$K$4:$K$4503,_imp!$C$2528))</f>
        <v/>
      </c>
    </row>
    <row r="2527">
      <c r="A2527" s="54">
        <f>IF(_imp!$C$2529="","",INDEX(_imp!$D$4:$D$4503,_imp!$C$2529))</f>
        <v/>
      </c>
      <c r="B2527" s="54">
        <f>IF(_imp!$C$2529="","",INDEX(_imp!$E$4:$E$4503,_imp!$C$2529))</f>
        <v/>
      </c>
      <c r="C2527" s="54">
        <f>IF(_imp!$C$2529="","",INDEX(_imp!$F$4:$F$4503,_imp!$C$2529))</f>
        <v/>
      </c>
      <c r="D2527" s="54">
        <f>IF(_imp!$C$2529="","",INDEX(_imp!$G$4:$G$4503,_imp!$C$2529))</f>
        <v/>
      </c>
      <c r="E2527" s="54">
        <f>IF(_imp!$C$2529="","",INDEX(_imp!$H$4:$H$4503,_imp!$C$2529))</f>
        <v/>
      </c>
      <c r="F2527" s="54">
        <f>IF(_imp!$C$2529="","",INDEX(_imp!$I$4:$I$4503,_imp!$C$2529))</f>
        <v/>
      </c>
      <c r="G2527" s="54">
        <f>IF(_imp!$C$2529="","",INDEX(_imp!$J$4:$J$4503,_imp!$C$2529))</f>
        <v/>
      </c>
      <c r="K2527" s="54">
        <f>IF(_imp!$C$2529="","",INDEX(_imp!$K$4:$K$4503,_imp!$C$2529))</f>
        <v/>
      </c>
    </row>
    <row r="2528">
      <c r="A2528" s="54">
        <f>IF(_imp!$C$2530="","",INDEX(_imp!$D$4:$D$4503,_imp!$C$2530))</f>
        <v/>
      </c>
      <c r="B2528" s="54">
        <f>IF(_imp!$C$2530="","",INDEX(_imp!$E$4:$E$4503,_imp!$C$2530))</f>
        <v/>
      </c>
      <c r="C2528" s="54">
        <f>IF(_imp!$C$2530="","",INDEX(_imp!$F$4:$F$4503,_imp!$C$2530))</f>
        <v/>
      </c>
      <c r="D2528" s="54">
        <f>IF(_imp!$C$2530="","",INDEX(_imp!$G$4:$G$4503,_imp!$C$2530))</f>
        <v/>
      </c>
      <c r="E2528" s="54">
        <f>IF(_imp!$C$2530="","",INDEX(_imp!$H$4:$H$4503,_imp!$C$2530))</f>
        <v/>
      </c>
      <c r="F2528" s="54">
        <f>IF(_imp!$C$2530="","",INDEX(_imp!$I$4:$I$4503,_imp!$C$2530))</f>
        <v/>
      </c>
      <c r="G2528" s="54">
        <f>IF(_imp!$C$2530="","",INDEX(_imp!$J$4:$J$4503,_imp!$C$2530))</f>
        <v/>
      </c>
      <c r="K2528" s="54">
        <f>IF(_imp!$C$2530="","",INDEX(_imp!$K$4:$K$4503,_imp!$C$2530))</f>
        <v/>
      </c>
    </row>
    <row r="2529">
      <c r="A2529" s="54">
        <f>IF(_imp!$C$2531="","",INDEX(_imp!$D$4:$D$4503,_imp!$C$2531))</f>
        <v/>
      </c>
      <c r="B2529" s="54">
        <f>IF(_imp!$C$2531="","",INDEX(_imp!$E$4:$E$4503,_imp!$C$2531))</f>
        <v/>
      </c>
      <c r="C2529" s="54">
        <f>IF(_imp!$C$2531="","",INDEX(_imp!$F$4:$F$4503,_imp!$C$2531))</f>
        <v/>
      </c>
      <c r="D2529" s="54">
        <f>IF(_imp!$C$2531="","",INDEX(_imp!$G$4:$G$4503,_imp!$C$2531))</f>
        <v/>
      </c>
      <c r="E2529" s="54">
        <f>IF(_imp!$C$2531="","",INDEX(_imp!$H$4:$H$4503,_imp!$C$2531))</f>
        <v/>
      </c>
      <c r="F2529" s="54">
        <f>IF(_imp!$C$2531="","",INDEX(_imp!$I$4:$I$4503,_imp!$C$2531))</f>
        <v/>
      </c>
      <c r="G2529" s="54">
        <f>IF(_imp!$C$2531="","",INDEX(_imp!$J$4:$J$4503,_imp!$C$2531))</f>
        <v/>
      </c>
      <c r="K2529" s="54">
        <f>IF(_imp!$C$2531="","",INDEX(_imp!$K$4:$K$4503,_imp!$C$2531))</f>
        <v/>
      </c>
    </row>
    <row r="2530">
      <c r="A2530" s="54">
        <f>IF(_imp!$C$2532="","",INDEX(_imp!$D$4:$D$4503,_imp!$C$2532))</f>
        <v/>
      </c>
      <c r="B2530" s="54">
        <f>IF(_imp!$C$2532="","",INDEX(_imp!$E$4:$E$4503,_imp!$C$2532))</f>
        <v/>
      </c>
      <c r="C2530" s="54">
        <f>IF(_imp!$C$2532="","",INDEX(_imp!$F$4:$F$4503,_imp!$C$2532))</f>
        <v/>
      </c>
      <c r="D2530" s="54">
        <f>IF(_imp!$C$2532="","",INDEX(_imp!$G$4:$G$4503,_imp!$C$2532))</f>
        <v/>
      </c>
      <c r="E2530" s="54">
        <f>IF(_imp!$C$2532="","",INDEX(_imp!$H$4:$H$4503,_imp!$C$2532))</f>
        <v/>
      </c>
      <c r="F2530" s="54">
        <f>IF(_imp!$C$2532="","",INDEX(_imp!$I$4:$I$4503,_imp!$C$2532))</f>
        <v/>
      </c>
      <c r="G2530" s="54">
        <f>IF(_imp!$C$2532="","",INDEX(_imp!$J$4:$J$4503,_imp!$C$2532))</f>
        <v/>
      </c>
      <c r="K2530" s="54">
        <f>IF(_imp!$C$2532="","",INDEX(_imp!$K$4:$K$4503,_imp!$C$2532))</f>
        <v/>
      </c>
    </row>
    <row r="2531">
      <c r="A2531" s="54">
        <f>IF(_imp!$C$2533="","",INDEX(_imp!$D$4:$D$4503,_imp!$C$2533))</f>
        <v/>
      </c>
      <c r="B2531" s="54">
        <f>IF(_imp!$C$2533="","",INDEX(_imp!$E$4:$E$4503,_imp!$C$2533))</f>
        <v/>
      </c>
      <c r="C2531" s="54">
        <f>IF(_imp!$C$2533="","",INDEX(_imp!$F$4:$F$4503,_imp!$C$2533))</f>
        <v/>
      </c>
      <c r="D2531" s="54">
        <f>IF(_imp!$C$2533="","",INDEX(_imp!$G$4:$G$4503,_imp!$C$2533))</f>
        <v/>
      </c>
      <c r="E2531" s="54">
        <f>IF(_imp!$C$2533="","",INDEX(_imp!$H$4:$H$4503,_imp!$C$2533))</f>
        <v/>
      </c>
      <c r="F2531" s="54">
        <f>IF(_imp!$C$2533="","",INDEX(_imp!$I$4:$I$4503,_imp!$C$2533))</f>
        <v/>
      </c>
      <c r="G2531" s="54">
        <f>IF(_imp!$C$2533="","",INDEX(_imp!$J$4:$J$4503,_imp!$C$2533))</f>
        <v/>
      </c>
      <c r="K2531" s="54">
        <f>IF(_imp!$C$2533="","",INDEX(_imp!$K$4:$K$4503,_imp!$C$2533))</f>
        <v/>
      </c>
    </row>
    <row r="2532">
      <c r="A2532" s="54">
        <f>IF(_imp!$C$2534="","",INDEX(_imp!$D$4:$D$4503,_imp!$C$2534))</f>
        <v/>
      </c>
      <c r="B2532" s="54">
        <f>IF(_imp!$C$2534="","",INDEX(_imp!$E$4:$E$4503,_imp!$C$2534))</f>
        <v/>
      </c>
      <c r="C2532" s="54">
        <f>IF(_imp!$C$2534="","",INDEX(_imp!$F$4:$F$4503,_imp!$C$2534))</f>
        <v/>
      </c>
      <c r="D2532" s="54">
        <f>IF(_imp!$C$2534="","",INDEX(_imp!$G$4:$G$4503,_imp!$C$2534))</f>
        <v/>
      </c>
      <c r="E2532" s="54">
        <f>IF(_imp!$C$2534="","",INDEX(_imp!$H$4:$H$4503,_imp!$C$2534))</f>
        <v/>
      </c>
      <c r="F2532" s="54">
        <f>IF(_imp!$C$2534="","",INDEX(_imp!$I$4:$I$4503,_imp!$C$2534))</f>
        <v/>
      </c>
      <c r="G2532" s="54">
        <f>IF(_imp!$C$2534="","",INDEX(_imp!$J$4:$J$4503,_imp!$C$2534))</f>
        <v/>
      </c>
      <c r="K2532" s="54">
        <f>IF(_imp!$C$2534="","",INDEX(_imp!$K$4:$K$4503,_imp!$C$2534))</f>
        <v/>
      </c>
    </row>
    <row r="2533">
      <c r="A2533" s="54">
        <f>IF(_imp!$C$2535="","",INDEX(_imp!$D$4:$D$4503,_imp!$C$2535))</f>
        <v/>
      </c>
      <c r="B2533" s="54">
        <f>IF(_imp!$C$2535="","",INDEX(_imp!$E$4:$E$4503,_imp!$C$2535))</f>
        <v/>
      </c>
      <c r="C2533" s="54">
        <f>IF(_imp!$C$2535="","",INDEX(_imp!$F$4:$F$4503,_imp!$C$2535))</f>
        <v/>
      </c>
      <c r="D2533" s="54">
        <f>IF(_imp!$C$2535="","",INDEX(_imp!$G$4:$G$4503,_imp!$C$2535))</f>
        <v/>
      </c>
      <c r="E2533" s="54">
        <f>IF(_imp!$C$2535="","",INDEX(_imp!$H$4:$H$4503,_imp!$C$2535))</f>
        <v/>
      </c>
      <c r="F2533" s="54">
        <f>IF(_imp!$C$2535="","",INDEX(_imp!$I$4:$I$4503,_imp!$C$2535))</f>
        <v/>
      </c>
      <c r="G2533" s="54">
        <f>IF(_imp!$C$2535="","",INDEX(_imp!$J$4:$J$4503,_imp!$C$2535))</f>
        <v/>
      </c>
      <c r="K2533" s="54">
        <f>IF(_imp!$C$2535="","",INDEX(_imp!$K$4:$K$4503,_imp!$C$2535))</f>
        <v/>
      </c>
    </row>
    <row r="2534">
      <c r="A2534" s="54">
        <f>IF(_imp!$C$2536="","",INDEX(_imp!$D$4:$D$4503,_imp!$C$2536))</f>
        <v/>
      </c>
      <c r="B2534" s="54">
        <f>IF(_imp!$C$2536="","",INDEX(_imp!$E$4:$E$4503,_imp!$C$2536))</f>
        <v/>
      </c>
      <c r="C2534" s="54">
        <f>IF(_imp!$C$2536="","",INDEX(_imp!$F$4:$F$4503,_imp!$C$2536))</f>
        <v/>
      </c>
      <c r="D2534" s="54">
        <f>IF(_imp!$C$2536="","",INDEX(_imp!$G$4:$G$4503,_imp!$C$2536))</f>
        <v/>
      </c>
      <c r="E2534" s="54">
        <f>IF(_imp!$C$2536="","",INDEX(_imp!$H$4:$H$4503,_imp!$C$2536))</f>
        <v/>
      </c>
      <c r="F2534" s="54">
        <f>IF(_imp!$C$2536="","",INDEX(_imp!$I$4:$I$4503,_imp!$C$2536))</f>
        <v/>
      </c>
      <c r="G2534" s="54">
        <f>IF(_imp!$C$2536="","",INDEX(_imp!$J$4:$J$4503,_imp!$C$2536))</f>
        <v/>
      </c>
      <c r="K2534" s="54">
        <f>IF(_imp!$C$2536="","",INDEX(_imp!$K$4:$K$4503,_imp!$C$2536))</f>
        <v/>
      </c>
    </row>
    <row r="2535">
      <c r="A2535" s="54">
        <f>IF(_imp!$C$2537="","",INDEX(_imp!$D$4:$D$4503,_imp!$C$2537))</f>
        <v/>
      </c>
      <c r="B2535" s="54">
        <f>IF(_imp!$C$2537="","",INDEX(_imp!$E$4:$E$4503,_imp!$C$2537))</f>
        <v/>
      </c>
      <c r="C2535" s="54">
        <f>IF(_imp!$C$2537="","",INDEX(_imp!$F$4:$F$4503,_imp!$C$2537))</f>
        <v/>
      </c>
      <c r="D2535" s="54">
        <f>IF(_imp!$C$2537="","",INDEX(_imp!$G$4:$G$4503,_imp!$C$2537))</f>
        <v/>
      </c>
      <c r="E2535" s="54">
        <f>IF(_imp!$C$2537="","",INDEX(_imp!$H$4:$H$4503,_imp!$C$2537))</f>
        <v/>
      </c>
      <c r="F2535" s="54">
        <f>IF(_imp!$C$2537="","",INDEX(_imp!$I$4:$I$4503,_imp!$C$2537))</f>
        <v/>
      </c>
      <c r="G2535" s="54">
        <f>IF(_imp!$C$2537="","",INDEX(_imp!$J$4:$J$4503,_imp!$C$2537))</f>
        <v/>
      </c>
      <c r="K2535" s="54">
        <f>IF(_imp!$C$2537="","",INDEX(_imp!$K$4:$K$4503,_imp!$C$2537))</f>
        <v/>
      </c>
    </row>
    <row r="2536">
      <c r="A2536" s="54">
        <f>IF(_imp!$C$2538="","",INDEX(_imp!$D$4:$D$4503,_imp!$C$2538))</f>
        <v/>
      </c>
      <c r="B2536" s="54">
        <f>IF(_imp!$C$2538="","",INDEX(_imp!$E$4:$E$4503,_imp!$C$2538))</f>
        <v/>
      </c>
      <c r="C2536" s="54">
        <f>IF(_imp!$C$2538="","",INDEX(_imp!$F$4:$F$4503,_imp!$C$2538))</f>
        <v/>
      </c>
      <c r="D2536" s="54">
        <f>IF(_imp!$C$2538="","",INDEX(_imp!$G$4:$G$4503,_imp!$C$2538))</f>
        <v/>
      </c>
      <c r="E2536" s="54">
        <f>IF(_imp!$C$2538="","",INDEX(_imp!$H$4:$H$4503,_imp!$C$2538))</f>
        <v/>
      </c>
      <c r="F2536" s="54">
        <f>IF(_imp!$C$2538="","",INDEX(_imp!$I$4:$I$4503,_imp!$C$2538))</f>
        <v/>
      </c>
      <c r="G2536" s="54">
        <f>IF(_imp!$C$2538="","",INDEX(_imp!$J$4:$J$4503,_imp!$C$2538))</f>
        <v/>
      </c>
      <c r="K2536" s="54">
        <f>IF(_imp!$C$2538="","",INDEX(_imp!$K$4:$K$4503,_imp!$C$2538))</f>
        <v/>
      </c>
    </row>
    <row r="2537">
      <c r="A2537" s="54">
        <f>IF(_imp!$C$2539="","",INDEX(_imp!$D$4:$D$4503,_imp!$C$2539))</f>
        <v/>
      </c>
      <c r="B2537" s="54">
        <f>IF(_imp!$C$2539="","",INDEX(_imp!$E$4:$E$4503,_imp!$C$2539))</f>
        <v/>
      </c>
      <c r="C2537" s="54">
        <f>IF(_imp!$C$2539="","",INDEX(_imp!$F$4:$F$4503,_imp!$C$2539))</f>
        <v/>
      </c>
      <c r="D2537" s="54">
        <f>IF(_imp!$C$2539="","",INDEX(_imp!$G$4:$G$4503,_imp!$C$2539))</f>
        <v/>
      </c>
      <c r="E2537" s="54">
        <f>IF(_imp!$C$2539="","",INDEX(_imp!$H$4:$H$4503,_imp!$C$2539))</f>
        <v/>
      </c>
      <c r="F2537" s="54">
        <f>IF(_imp!$C$2539="","",INDEX(_imp!$I$4:$I$4503,_imp!$C$2539))</f>
        <v/>
      </c>
      <c r="G2537" s="54">
        <f>IF(_imp!$C$2539="","",INDEX(_imp!$J$4:$J$4503,_imp!$C$2539))</f>
        <v/>
      </c>
      <c r="K2537" s="54">
        <f>IF(_imp!$C$2539="","",INDEX(_imp!$K$4:$K$4503,_imp!$C$2539))</f>
        <v/>
      </c>
    </row>
    <row r="2538">
      <c r="A2538" s="54">
        <f>IF(_imp!$C$2540="","",INDEX(_imp!$D$4:$D$4503,_imp!$C$2540))</f>
        <v/>
      </c>
      <c r="B2538" s="54">
        <f>IF(_imp!$C$2540="","",INDEX(_imp!$E$4:$E$4503,_imp!$C$2540))</f>
        <v/>
      </c>
      <c r="C2538" s="54">
        <f>IF(_imp!$C$2540="","",INDEX(_imp!$F$4:$F$4503,_imp!$C$2540))</f>
        <v/>
      </c>
      <c r="D2538" s="54">
        <f>IF(_imp!$C$2540="","",INDEX(_imp!$G$4:$G$4503,_imp!$C$2540))</f>
        <v/>
      </c>
      <c r="E2538" s="54">
        <f>IF(_imp!$C$2540="","",INDEX(_imp!$H$4:$H$4503,_imp!$C$2540))</f>
        <v/>
      </c>
      <c r="F2538" s="54">
        <f>IF(_imp!$C$2540="","",INDEX(_imp!$I$4:$I$4503,_imp!$C$2540))</f>
        <v/>
      </c>
      <c r="G2538" s="54">
        <f>IF(_imp!$C$2540="","",INDEX(_imp!$J$4:$J$4503,_imp!$C$2540))</f>
        <v/>
      </c>
      <c r="K2538" s="54">
        <f>IF(_imp!$C$2540="","",INDEX(_imp!$K$4:$K$4503,_imp!$C$2540))</f>
        <v/>
      </c>
    </row>
    <row r="2539">
      <c r="A2539" s="54">
        <f>IF(_imp!$C$2541="","",INDEX(_imp!$D$4:$D$4503,_imp!$C$2541))</f>
        <v/>
      </c>
      <c r="B2539" s="54">
        <f>IF(_imp!$C$2541="","",INDEX(_imp!$E$4:$E$4503,_imp!$C$2541))</f>
        <v/>
      </c>
      <c r="C2539" s="54">
        <f>IF(_imp!$C$2541="","",INDEX(_imp!$F$4:$F$4503,_imp!$C$2541))</f>
        <v/>
      </c>
      <c r="D2539" s="54">
        <f>IF(_imp!$C$2541="","",INDEX(_imp!$G$4:$G$4503,_imp!$C$2541))</f>
        <v/>
      </c>
      <c r="E2539" s="54">
        <f>IF(_imp!$C$2541="","",INDEX(_imp!$H$4:$H$4503,_imp!$C$2541))</f>
        <v/>
      </c>
      <c r="F2539" s="54">
        <f>IF(_imp!$C$2541="","",INDEX(_imp!$I$4:$I$4503,_imp!$C$2541))</f>
        <v/>
      </c>
      <c r="G2539" s="54">
        <f>IF(_imp!$C$2541="","",INDEX(_imp!$J$4:$J$4503,_imp!$C$2541))</f>
        <v/>
      </c>
      <c r="K2539" s="54">
        <f>IF(_imp!$C$2541="","",INDEX(_imp!$K$4:$K$4503,_imp!$C$2541))</f>
        <v/>
      </c>
    </row>
    <row r="2540">
      <c r="A2540" s="54">
        <f>IF(_imp!$C$2542="","",INDEX(_imp!$D$4:$D$4503,_imp!$C$2542))</f>
        <v/>
      </c>
      <c r="B2540" s="54">
        <f>IF(_imp!$C$2542="","",INDEX(_imp!$E$4:$E$4503,_imp!$C$2542))</f>
        <v/>
      </c>
      <c r="C2540" s="54">
        <f>IF(_imp!$C$2542="","",INDEX(_imp!$F$4:$F$4503,_imp!$C$2542))</f>
        <v/>
      </c>
      <c r="D2540" s="54">
        <f>IF(_imp!$C$2542="","",INDEX(_imp!$G$4:$G$4503,_imp!$C$2542))</f>
        <v/>
      </c>
      <c r="E2540" s="54">
        <f>IF(_imp!$C$2542="","",INDEX(_imp!$H$4:$H$4503,_imp!$C$2542))</f>
        <v/>
      </c>
      <c r="F2540" s="54">
        <f>IF(_imp!$C$2542="","",INDEX(_imp!$I$4:$I$4503,_imp!$C$2542))</f>
        <v/>
      </c>
      <c r="G2540" s="54">
        <f>IF(_imp!$C$2542="","",INDEX(_imp!$J$4:$J$4503,_imp!$C$2542))</f>
        <v/>
      </c>
      <c r="K2540" s="54">
        <f>IF(_imp!$C$2542="","",INDEX(_imp!$K$4:$K$4503,_imp!$C$2542))</f>
        <v/>
      </c>
    </row>
    <row r="2541">
      <c r="A2541" s="54">
        <f>IF(_imp!$C$2543="","",INDEX(_imp!$D$4:$D$4503,_imp!$C$2543))</f>
        <v/>
      </c>
      <c r="B2541" s="54">
        <f>IF(_imp!$C$2543="","",INDEX(_imp!$E$4:$E$4503,_imp!$C$2543))</f>
        <v/>
      </c>
      <c r="C2541" s="54">
        <f>IF(_imp!$C$2543="","",INDEX(_imp!$F$4:$F$4503,_imp!$C$2543))</f>
        <v/>
      </c>
      <c r="D2541" s="54">
        <f>IF(_imp!$C$2543="","",INDEX(_imp!$G$4:$G$4503,_imp!$C$2543))</f>
        <v/>
      </c>
      <c r="E2541" s="54">
        <f>IF(_imp!$C$2543="","",INDEX(_imp!$H$4:$H$4503,_imp!$C$2543))</f>
        <v/>
      </c>
      <c r="F2541" s="54">
        <f>IF(_imp!$C$2543="","",INDEX(_imp!$I$4:$I$4503,_imp!$C$2543))</f>
        <v/>
      </c>
      <c r="G2541" s="54">
        <f>IF(_imp!$C$2543="","",INDEX(_imp!$J$4:$J$4503,_imp!$C$2543))</f>
        <v/>
      </c>
      <c r="K2541" s="54">
        <f>IF(_imp!$C$2543="","",INDEX(_imp!$K$4:$K$4503,_imp!$C$2543))</f>
        <v/>
      </c>
    </row>
    <row r="2542">
      <c r="A2542" s="54">
        <f>IF(_imp!$C$2544="","",INDEX(_imp!$D$4:$D$4503,_imp!$C$2544))</f>
        <v/>
      </c>
      <c r="B2542" s="54">
        <f>IF(_imp!$C$2544="","",INDEX(_imp!$E$4:$E$4503,_imp!$C$2544))</f>
        <v/>
      </c>
      <c r="C2542" s="54">
        <f>IF(_imp!$C$2544="","",INDEX(_imp!$F$4:$F$4503,_imp!$C$2544))</f>
        <v/>
      </c>
      <c r="D2542" s="54">
        <f>IF(_imp!$C$2544="","",INDEX(_imp!$G$4:$G$4503,_imp!$C$2544))</f>
        <v/>
      </c>
      <c r="E2542" s="54">
        <f>IF(_imp!$C$2544="","",INDEX(_imp!$H$4:$H$4503,_imp!$C$2544))</f>
        <v/>
      </c>
      <c r="F2542" s="54">
        <f>IF(_imp!$C$2544="","",INDEX(_imp!$I$4:$I$4503,_imp!$C$2544))</f>
        <v/>
      </c>
      <c r="G2542" s="54">
        <f>IF(_imp!$C$2544="","",INDEX(_imp!$J$4:$J$4503,_imp!$C$2544))</f>
        <v/>
      </c>
      <c r="K2542" s="54">
        <f>IF(_imp!$C$2544="","",INDEX(_imp!$K$4:$K$4503,_imp!$C$2544))</f>
        <v/>
      </c>
    </row>
    <row r="2543">
      <c r="A2543" s="54">
        <f>IF(_imp!$C$2545="","",INDEX(_imp!$D$4:$D$4503,_imp!$C$2545))</f>
        <v/>
      </c>
      <c r="B2543" s="54">
        <f>IF(_imp!$C$2545="","",INDEX(_imp!$E$4:$E$4503,_imp!$C$2545))</f>
        <v/>
      </c>
      <c r="C2543" s="54">
        <f>IF(_imp!$C$2545="","",INDEX(_imp!$F$4:$F$4503,_imp!$C$2545))</f>
        <v/>
      </c>
      <c r="D2543" s="54">
        <f>IF(_imp!$C$2545="","",INDEX(_imp!$G$4:$G$4503,_imp!$C$2545))</f>
        <v/>
      </c>
      <c r="E2543" s="54">
        <f>IF(_imp!$C$2545="","",INDEX(_imp!$H$4:$H$4503,_imp!$C$2545))</f>
        <v/>
      </c>
      <c r="F2543" s="54">
        <f>IF(_imp!$C$2545="","",INDEX(_imp!$I$4:$I$4503,_imp!$C$2545))</f>
        <v/>
      </c>
      <c r="G2543" s="54">
        <f>IF(_imp!$C$2545="","",INDEX(_imp!$J$4:$J$4503,_imp!$C$2545))</f>
        <v/>
      </c>
      <c r="K2543" s="54">
        <f>IF(_imp!$C$2545="","",INDEX(_imp!$K$4:$K$4503,_imp!$C$2545))</f>
        <v/>
      </c>
    </row>
    <row r="2544">
      <c r="A2544" s="54">
        <f>IF(_imp!$C$2546="","",INDEX(_imp!$D$4:$D$4503,_imp!$C$2546))</f>
        <v/>
      </c>
      <c r="B2544" s="54">
        <f>IF(_imp!$C$2546="","",INDEX(_imp!$E$4:$E$4503,_imp!$C$2546))</f>
        <v/>
      </c>
      <c r="C2544" s="54">
        <f>IF(_imp!$C$2546="","",INDEX(_imp!$F$4:$F$4503,_imp!$C$2546))</f>
        <v/>
      </c>
      <c r="D2544" s="54">
        <f>IF(_imp!$C$2546="","",INDEX(_imp!$G$4:$G$4503,_imp!$C$2546))</f>
        <v/>
      </c>
      <c r="E2544" s="54">
        <f>IF(_imp!$C$2546="","",INDEX(_imp!$H$4:$H$4503,_imp!$C$2546))</f>
        <v/>
      </c>
      <c r="F2544" s="54">
        <f>IF(_imp!$C$2546="","",INDEX(_imp!$I$4:$I$4503,_imp!$C$2546))</f>
        <v/>
      </c>
      <c r="G2544" s="54">
        <f>IF(_imp!$C$2546="","",INDEX(_imp!$J$4:$J$4503,_imp!$C$2546))</f>
        <v/>
      </c>
      <c r="K2544" s="54">
        <f>IF(_imp!$C$2546="","",INDEX(_imp!$K$4:$K$4503,_imp!$C$2546))</f>
        <v/>
      </c>
    </row>
    <row r="2545">
      <c r="A2545" s="54">
        <f>IF(_imp!$C$2547="","",INDEX(_imp!$D$4:$D$4503,_imp!$C$2547))</f>
        <v/>
      </c>
      <c r="B2545" s="54">
        <f>IF(_imp!$C$2547="","",INDEX(_imp!$E$4:$E$4503,_imp!$C$2547))</f>
        <v/>
      </c>
      <c r="C2545" s="54">
        <f>IF(_imp!$C$2547="","",INDEX(_imp!$F$4:$F$4503,_imp!$C$2547))</f>
        <v/>
      </c>
      <c r="D2545" s="54">
        <f>IF(_imp!$C$2547="","",INDEX(_imp!$G$4:$G$4503,_imp!$C$2547))</f>
        <v/>
      </c>
      <c r="E2545" s="54">
        <f>IF(_imp!$C$2547="","",INDEX(_imp!$H$4:$H$4503,_imp!$C$2547))</f>
        <v/>
      </c>
      <c r="F2545" s="54">
        <f>IF(_imp!$C$2547="","",INDEX(_imp!$I$4:$I$4503,_imp!$C$2547))</f>
        <v/>
      </c>
      <c r="G2545" s="54">
        <f>IF(_imp!$C$2547="","",INDEX(_imp!$J$4:$J$4503,_imp!$C$2547))</f>
        <v/>
      </c>
      <c r="K2545" s="54">
        <f>IF(_imp!$C$2547="","",INDEX(_imp!$K$4:$K$4503,_imp!$C$2547))</f>
        <v/>
      </c>
    </row>
    <row r="2546">
      <c r="A2546" s="54">
        <f>IF(_imp!$C$2548="","",INDEX(_imp!$D$4:$D$4503,_imp!$C$2548))</f>
        <v/>
      </c>
      <c r="B2546" s="54">
        <f>IF(_imp!$C$2548="","",INDEX(_imp!$E$4:$E$4503,_imp!$C$2548))</f>
        <v/>
      </c>
      <c r="C2546" s="54">
        <f>IF(_imp!$C$2548="","",INDEX(_imp!$F$4:$F$4503,_imp!$C$2548))</f>
        <v/>
      </c>
      <c r="D2546" s="54">
        <f>IF(_imp!$C$2548="","",INDEX(_imp!$G$4:$G$4503,_imp!$C$2548))</f>
        <v/>
      </c>
      <c r="E2546" s="54">
        <f>IF(_imp!$C$2548="","",INDEX(_imp!$H$4:$H$4503,_imp!$C$2548))</f>
        <v/>
      </c>
      <c r="F2546" s="54">
        <f>IF(_imp!$C$2548="","",INDEX(_imp!$I$4:$I$4503,_imp!$C$2548))</f>
        <v/>
      </c>
      <c r="G2546" s="54">
        <f>IF(_imp!$C$2548="","",INDEX(_imp!$J$4:$J$4503,_imp!$C$2548))</f>
        <v/>
      </c>
      <c r="K2546" s="54">
        <f>IF(_imp!$C$2548="","",INDEX(_imp!$K$4:$K$4503,_imp!$C$2548))</f>
        <v/>
      </c>
    </row>
    <row r="2547">
      <c r="A2547" s="54">
        <f>IF(_imp!$C$2549="","",INDEX(_imp!$D$4:$D$4503,_imp!$C$2549))</f>
        <v/>
      </c>
      <c r="B2547" s="54">
        <f>IF(_imp!$C$2549="","",INDEX(_imp!$E$4:$E$4503,_imp!$C$2549))</f>
        <v/>
      </c>
      <c r="C2547" s="54">
        <f>IF(_imp!$C$2549="","",INDEX(_imp!$F$4:$F$4503,_imp!$C$2549))</f>
        <v/>
      </c>
      <c r="D2547" s="54">
        <f>IF(_imp!$C$2549="","",INDEX(_imp!$G$4:$G$4503,_imp!$C$2549))</f>
        <v/>
      </c>
      <c r="E2547" s="54">
        <f>IF(_imp!$C$2549="","",INDEX(_imp!$H$4:$H$4503,_imp!$C$2549))</f>
        <v/>
      </c>
      <c r="F2547" s="54">
        <f>IF(_imp!$C$2549="","",INDEX(_imp!$I$4:$I$4503,_imp!$C$2549))</f>
        <v/>
      </c>
      <c r="G2547" s="54">
        <f>IF(_imp!$C$2549="","",INDEX(_imp!$J$4:$J$4503,_imp!$C$2549))</f>
        <v/>
      </c>
      <c r="K2547" s="54">
        <f>IF(_imp!$C$2549="","",INDEX(_imp!$K$4:$K$4503,_imp!$C$2549))</f>
        <v/>
      </c>
    </row>
    <row r="2548">
      <c r="A2548" s="54">
        <f>IF(_imp!$C$2550="","",INDEX(_imp!$D$4:$D$4503,_imp!$C$2550))</f>
        <v/>
      </c>
      <c r="B2548" s="54">
        <f>IF(_imp!$C$2550="","",INDEX(_imp!$E$4:$E$4503,_imp!$C$2550))</f>
        <v/>
      </c>
      <c r="C2548" s="54">
        <f>IF(_imp!$C$2550="","",INDEX(_imp!$F$4:$F$4503,_imp!$C$2550))</f>
        <v/>
      </c>
      <c r="D2548" s="54">
        <f>IF(_imp!$C$2550="","",INDEX(_imp!$G$4:$G$4503,_imp!$C$2550))</f>
        <v/>
      </c>
      <c r="E2548" s="54">
        <f>IF(_imp!$C$2550="","",INDEX(_imp!$H$4:$H$4503,_imp!$C$2550))</f>
        <v/>
      </c>
      <c r="F2548" s="54">
        <f>IF(_imp!$C$2550="","",INDEX(_imp!$I$4:$I$4503,_imp!$C$2550))</f>
        <v/>
      </c>
      <c r="G2548" s="54">
        <f>IF(_imp!$C$2550="","",INDEX(_imp!$J$4:$J$4503,_imp!$C$2550))</f>
        <v/>
      </c>
      <c r="K2548" s="54">
        <f>IF(_imp!$C$2550="","",INDEX(_imp!$K$4:$K$4503,_imp!$C$2550))</f>
        <v/>
      </c>
    </row>
    <row r="2549">
      <c r="A2549" s="54">
        <f>IF(_imp!$C$2551="","",INDEX(_imp!$D$4:$D$4503,_imp!$C$2551))</f>
        <v/>
      </c>
      <c r="B2549" s="54">
        <f>IF(_imp!$C$2551="","",INDEX(_imp!$E$4:$E$4503,_imp!$C$2551))</f>
        <v/>
      </c>
      <c r="C2549" s="54">
        <f>IF(_imp!$C$2551="","",INDEX(_imp!$F$4:$F$4503,_imp!$C$2551))</f>
        <v/>
      </c>
      <c r="D2549" s="54">
        <f>IF(_imp!$C$2551="","",INDEX(_imp!$G$4:$G$4503,_imp!$C$2551))</f>
        <v/>
      </c>
      <c r="E2549" s="54">
        <f>IF(_imp!$C$2551="","",INDEX(_imp!$H$4:$H$4503,_imp!$C$2551))</f>
        <v/>
      </c>
      <c r="F2549" s="54">
        <f>IF(_imp!$C$2551="","",INDEX(_imp!$I$4:$I$4503,_imp!$C$2551))</f>
        <v/>
      </c>
      <c r="G2549" s="54">
        <f>IF(_imp!$C$2551="","",INDEX(_imp!$J$4:$J$4503,_imp!$C$2551))</f>
        <v/>
      </c>
      <c r="K2549" s="54">
        <f>IF(_imp!$C$2551="","",INDEX(_imp!$K$4:$K$4503,_imp!$C$2551))</f>
        <v/>
      </c>
    </row>
    <row r="2550">
      <c r="A2550" s="54">
        <f>IF(_imp!$C$2552="","",INDEX(_imp!$D$4:$D$4503,_imp!$C$2552))</f>
        <v/>
      </c>
      <c r="B2550" s="54">
        <f>IF(_imp!$C$2552="","",INDEX(_imp!$E$4:$E$4503,_imp!$C$2552))</f>
        <v/>
      </c>
      <c r="C2550" s="54">
        <f>IF(_imp!$C$2552="","",INDEX(_imp!$F$4:$F$4503,_imp!$C$2552))</f>
        <v/>
      </c>
      <c r="D2550" s="54">
        <f>IF(_imp!$C$2552="","",INDEX(_imp!$G$4:$G$4503,_imp!$C$2552))</f>
        <v/>
      </c>
      <c r="E2550" s="54">
        <f>IF(_imp!$C$2552="","",INDEX(_imp!$H$4:$H$4503,_imp!$C$2552))</f>
        <v/>
      </c>
      <c r="F2550" s="54">
        <f>IF(_imp!$C$2552="","",INDEX(_imp!$I$4:$I$4503,_imp!$C$2552))</f>
        <v/>
      </c>
      <c r="G2550" s="54">
        <f>IF(_imp!$C$2552="","",INDEX(_imp!$J$4:$J$4503,_imp!$C$2552))</f>
        <v/>
      </c>
      <c r="K2550" s="54">
        <f>IF(_imp!$C$2552="","",INDEX(_imp!$K$4:$K$4503,_imp!$C$2552))</f>
        <v/>
      </c>
    </row>
    <row r="2551">
      <c r="A2551" s="54">
        <f>IF(_imp!$C$2553="","",INDEX(_imp!$D$4:$D$4503,_imp!$C$2553))</f>
        <v/>
      </c>
      <c r="B2551" s="54">
        <f>IF(_imp!$C$2553="","",INDEX(_imp!$E$4:$E$4503,_imp!$C$2553))</f>
        <v/>
      </c>
      <c r="C2551" s="54">
        <f>IF(_imp!$C$2553="","",INDEX(_imp!$F$4:$F$4503,_imp!$C$2553))</f>
        <v/>
      </c>
      <c r="D2551" s="54">
        <f>IF(_imp!$C$2553="","",INDEX(_imp!$G$4:$G$4503,_imp!$C$2553))</f>
        <v/>
      </c>
      <c r="E2551" s="54">
        <f>IF(_imp!$C$2553="","",INDEX(_imp!$H$4:$H$4503,_imp!$C$2553))</f>
        <v/>
      </c>
      <c r="F2551" s="54">
        <f>IF(_imp!$C$2553="","",INDEX(_imp!$I$4:$I$4503,_imp!$C$2553))</f>
        <v/>
      </c>
      <c r="G2551" s="54">
        <f>IF(_imp!$C$2553="","",INDEX(_imp!$J$4:$J$4503,_imp!$C$2553))</f>
        <v/>
      </c>
      <c r="K2551" s="54">
        <f>IF(_imp!$C$2553="","",INDEX(_imp!$K$4:$K$4503,_imp!$C$2553))</f>
        <v/>
      </c>
    </row>
    <row r="2552">
      <c r="A2552" s="54">
        <f>IF(_imp!$C$2554="","",INDEX(_imp!$D$4:$D$4503,_imp!$C$2554))</f>
        <v/>
      </c>
      <c r="B2552" s="54">
        <f>IF(_imp!$C$2554="","",INDEX(_imp!$E$4:$E$4503,_imp!$C$2554))</f>
        <v/>
      </c>
      <c r="C2552" s="54">
        <f>IF(_imp!$C$2554="","",INDEX(_imp!$F$4:$F$4503,_imp!$C$2554))</f>
        <v/>
      </c>
      <c r="D2552" s="54">
        <f>IF(_imp!$C$2554="","",INDEX(_imp!$G$4:$G$4503,_imp!$C$2554))</f>
        <v/>
      </c>
      <c r="E2552" s="54">
        <f>IF(_imp!$C$2554="","",INDEX(_imp!$H$4:$H$4503,_imp!$C$2554))</f>
        <v/>
      </c>
      <c r="F2552" s="54">
        <f>IF(_imp!$C$2554="","",INDEX(_imp!$I$4:$I$4503,_imp!$C$2554))</f>
        <v/>
      </c>
      <c r="G2552" s="54">
        <f>IF(_imp!$C$2554="","",INDEX(_imp!$J$4:$J$4503,_imp!$C$2554))</f>
        <v/>
      </c>
      <c r="K2552" s="54">
        <f>IF(_imp!$C$2554="","",INDEX(_imp!$K$4:$K$4503,_imp!$C$2554))</f>
        <v/>
      </c>
    </row>
    <row r="2553">
      <c r="A2553" s="54">
        <f>IF(_imp!$C$2555="","",INDEX(_imp!$D$4:$D$4503,_imp!$C$2555))</f>
        <v/>
      </c>
      <c r="B2553" s="54">
        <f>IF(_imp!$C$2555="","",INDEX(_imp!$E$4:$E$4503,_imp!$C$2555))</f>
        <v/>
      </c>
      <c r="C2553" s="54">
        <f>IF(_imp!$C$2555="","",INDEX(_imp!$F$4:$F$4503,_imp!$C$2555))</f>
        <v/>
      </c>
      <c r="D2553" s="54">
        <f>IF(_imp!$C$2555="","",INDEX(_imp!$G$4:$G$4503,_imp!$C$2555))</f>
        <v/>
      </c>
      <c r="E2553" s="54">
        <f>IF(_imp!$C$2555="","",INDEX(_imp!$H$4:$H$4503,_imp!$C$2555))</f>
        <v/>
      </c>
      <c r="F2553" s="54">
        <f>IF(_imp!$C$2555="","",INDEX(_imp!$I$4:$I$4503,_imp!$C$2555))</f>
        <v/>
      </c>
      <c r="G2553" s="54">
        <f>IF(_imp!$C$2555="","",INDEX(_imp!$J$4:$J$4503,_imp!$C$2555))</f>
        <v/>
      </c>
      <c r="K2553" s="54">
        <f>IF(_imp!$C$2555="","",INDEX(_imp!$K$4:$K$4503,_imp!$C$2555))</f>
        <v/>
      </c>
    </row>
    <row r="2554">
      <c r="A2554" s="54">
        <f>IF(_imp!$C$2556="","",INDEX(_imp!$D$4:$D$4503,_imp!$C$2556))</f>
        <v/>
      </c>
      <c r="B2554" s="54">
        <f>IF(_imp!$C$2556="","",INDEX(_imp!$E$4:$E$4503,_imp!$C$2556))</f>
        <v/>
      </c>
      <c r="C2554" s="54">
        <f>IF(_imp!$C$2556="","",INDEX(_imp!$F$4:$F$4503,_imp!$C$2556))</f>
        <v/>
      </c>
      <c r="D2554" s="54">
        <f>IF(_imp!$C$2556="","",INDEX(_imp!$G$4:$G$4503,_imp!$C$2556))</f>
        <v/>
      </c>
      <c r="E2554" s="54">
        <f>IF(_imp!$C$2556="","",INDEX(_imp!$H$4:$H$4503,_imp!$C$2556))</f>
        <v/>
      </c>
      <c r="F2554" s="54">
        <f>IF(_imp!$C$2556="","",INDEX(_imp!$I$4:$I$4503,_imp!$C$2556))</f>
        <v/>
      </c>
      <c r="G2554" s="54">
        <f>IF(_imp!$C$2556="","",INDEX(_imp!$J$4:$J$4503,_imp!$C$2556))</f>
        <v/>
      </c>
      <c r="K2554" s="54">
        <f>IF(_imp!$C$2556="","",INDEX(_imp!$K$4:$K$4503,_imp!$C$2556))</f>
        <v/>
      </c>
    </row>
    <row r="2555">
      <c r="A2555" s="54">
        <f>IF(_imp!$C$2557="","",INDEX(_imp!$D$4:$D$4503,_imp!$C$2557))</f>
        <v/>
      </c>
      <c r="B2555" s="54">
        <f>IF(_imp!$C$2557="","",INDEX(_imp!$E$4:$E$4503,_imp!$C$2557))</f>
        <v/>
      </c>
      <c r="C2555" s="54">
        <f>IF(_imp!$C$2557="","",INDEX(_imp!$F$4:$F$4503,_imp!$C$2557))</f>
        <v/>
      </c>
      <c r="D2555" s="54">
        <f>IF(_imp!$C$2557="","",INDEX(_imp!$G$4:$G$4503,_imp!$C$2557))</f>
        <v/>
      </c>
      <c r="E2555" s="54">
        <f>IF(_imp!$C$2557="","",INDEX(_imp!$H$4:$H$4503,_imp!$C$2557))</f>
        <v/>
      </c>
      <c r="F2555" s="54">
        <f>IF(_imp!$C$2557="","",INDEX(_imp!$I$4:$I$4503,_imp!$C$2557))</f>
        <v/>
      </c>
      <c r="G2555" s="54">
        <f>IF(_imp!$C$2557="","",INDEX(_imp!$J$4:$J$4503,_imp!$C$2557))</f>
        <v/>
      </c>
      <c r="K2555" s="54">
        <f>IF(_imp!$C$2557="","",INDEX(_imp!$K$4:$K$4503,_imp!$C$2557))</f>
        <v/>
      </c>
    </row>
    <row r="2556">
      <c r="A2556" s="54">
        <f>IF(_imp!$C$2558="","",INDEX(_imp!$D$4:$D$4503,_imp!$C$2558))</f>
        <v/>
      </c>
      <c r="B2556" s="54">
        <f>IF(_imp!$C$2558="","",INDEX(_imp!$E$4:$E$4503,_imp!$C$2558))</f>
        <v/>
      </c>
      <c r="C2556" s="54">
        <f>IF(_imp!$C$2558="","",INDEX(_imp!$F$4:$F$4503,_imp!$C$2558))</f>
        <v/>
      </c>
      <c r="D2556" s="54">
        <f>IF(_imp!$C$2558="","",INDEX(_imp!$G$4:$G$4503,_imp!$C$2558))</f>
        <v/>
      </c>
      <c r="E2556" s="54">
        <f>IF(_imp!$C$2558="","",INDEX(_imp!$H$4:$H$4503,_imp!$C$2558))</f>
        <v/>
      </c>
      <c r="F2556" s="54">
        <f>IF(_imp!$C$2558="","",INDEX(_imp!$I$4:$I$4503,_imp!$C$2558))</f>
        <v/>
      </c>
      <c r="G2556" s="54">
        <f>IF(_imp!$C$2558="","",INDEX(_imp!$J$4:$J$4503,_imp!$C$2558))</f>
        <v/>
      </c>
      <c r="K2556" s="54">
        <f>IF(_imp!$C$2558="","",INDEX(_imp!$K$4:$K$4503,_imp!$C$2558))</f>
        <v/>
      </c>
    </row>
    <row r="2557">
      <c r="A2557" s="54">
        <f>IF(_imp!$C$2559="","",INDEX(_imp!$D$4:$D$4503,_imp!$C$2559))</f>
        <v/>
      </c>
      <c r="B2557" s="54">
        <f>IF(_imp!$C$2559="","",INDEX(_imp!$E$4:$E$4503,_imp!$C$2559))</f>
        <v/>
      </c>
      <c r="C2557" s="54">
        <f>IF(_imp!$C$2559="","",INDEX(_imp!$F$4:$F$4503,_imp!$C$2559))</f>
        <v/>
      </c>
      <c r="D2557" s="54">
        <f>IF(_imp!$C$2559="","",INDEX(_imp!$G$4:$G$4503,_imp!$C$2559))</f>
        <v/>
      </c>
      <c r="E2557" s="54">
        <f>IF(_imp!$C$2559="","",INDEX(_imp!$H$4:$H$4503,_imp!$C$2559))</f>
        <v/>
      </c>
      <c r="F2557" s="54">
        <f>IF(_imp!$C$2559="","",INDEX(_imp!$I$4:$I$4503,_imp!$C$2559))</f>
        <v/>
      </c>
      <c r="G2557" s="54">
        <f>IF(_imp!$C$2559="","",INDEX(_imp!$J$4:$J$4503,_imp!$C$2559))</f>
        <v/>
      </c>
      <c r="K2557" s="54">
        <f>IF(_imp!$C$2559="","",INDEX(_imp!$K$4:$K$4503,_imp!$C$2559))</f>
        <v/>
      </c>
    </row>
    <row r="2558">
      <c r="A2558" s="54">
        <f>IF(_imp!$C$2560="","",INDEX(_imp!$D$4:$D$4503,_imp!$C$2560))</f>
        <v/>
      </c>
      <c r="B2558" s="54">
        <f>IF(_imp!$C$2560="","",INDEX(_imp!$E$4:$E$4503,_imp!$C$2560))</f>
        <v/>
      </c>
      <c r="C2558" s="54">
        <f>IF(_imp!$C$2560="","",INDEX(_imp!$F$4:$F$4503,_imp!$C$2560))</f>
        <v/>
      </c>
      <c r="D2558" s="54">
        <f>IF(_imp!$C$2560="","",INDEX(_imp!$G$4:$G$4503,_imp!$C$2560))</f>
        <v/>
      </c>
      <c r="E2558" s="54">
        <f>IF(_imp!$C$2560="","",INDEX(_imp!$H$4:$H$4503,_imp!$C$2560))</f>
        <v/>
      </c>
      <c r="F2558" s="54">
        <f>IF(_imp!$C$2560="","",INDEX(_imp!$I$4:$I$4503,_imp!$C$2560))</f>
        <v/>
      </c>
      <c r="G2558" s="54">
        <f>IF(_imp!$C$2560="","",INDEX(_imp!$J$4:$J$4503,_imp!$C$2560))</f>
        <v/>
      </c>
      <c r="K2558" s="54">
        <f>IF(_imp!$C$2560="","",INDEX(_imp!$K$4:$K$4503,_imp!$C$2560))</f>
        <v/>
      </c>
    </row>
    <row r="2559">
      <c r="A2559" s="54">
        <f>IF(_imp!$C$2561="","",INDEX(_imp!$D$4:$D$4503,_imp!$C$2561))</f>
        <v/>
      </c>
      <c r="B2559" s="54">
        <f>IF(_imp!$C$2561="","",INDEX(_imp!$E$4:$E$4503,_imp!$C$2561))</f>
        <v/>
      </c>
      <c r="C2559" s="54">
        <f>IF(_imp!$C$2561="","",INDEX(_imp!$F$4:$F$4503,_imp!$C$2561))</f>
        <v/>
      </c>
      <c r="D2559" s="54">
        <f>IF(_imp!$C$2561="","",INDEX(_imp!$G$4:$G$4503,_imp!$C$2561))</f>
        <v/>
      </c>
      <c r="E2559" s="54">
        <f>IF(_imp!$C$2561="","",INDEX(_imp!$H$4:$H$4503,_imp!$C$2561))</f>
        <v/>
      </c>
      <c r="F2559" s="54">
        <f>IF(_imp!$C$2561="","",INDEX(_imp!$I$4:$I$4503,_imp!$C$2561))</f>
        <v/>
      </c>
      <c r="G2559" s="54">
        <f>IF(_imp!$C$2561="","",INDEX(_imp!$J$4:$J$4503,_imp!$C$2561))</f>
        <v/>
      </c>
      <c r="K2559" s="54">
        <f>IF(_imp!$C$2561="","",INDEX(_imp!$K$4:$K$4503,_imp!$C$2561))</f>
        <v/>
      </c>
    </row>
    <row r="2560">
      <c r="A2560" s="54">
        <f>IF(_imp!$C$2562="","",INDEX(_imp!$D$4:$D$4503,_imp!$C$2562))</f>
        <v/>
      </c>
      <c r="B2560" s="54">
        <f>IF(_imp!$C$2562="","",INDEX(_imp!$E$4:$E$4503,_imp!$C$2562))</f>
        <v/>
      </c>
      <c r="C2560" s="54">
        <f>IF(_imp!$C$2562="","",INDEX(_imp!$F$4:$F$4503,_imp!$C$2562))</f>
        <v/>
      </c>
      <c r="D2560" s="54">
        <f>IF(_imp!$C$2562="","",INDEX(_imp!$G$4:$G$4503,_imp!$C$2562))</f>
        <v/>
      </c>
      <c r="E2560" s="54">
        <f>IF(_imp!$C$2562="","",INDEX(_imp!$H$4:$H$4503,_imp!$C$2562))</f>
        <v/>
      </c>
      <c r="F2560" s="54">
        <f>IF(_imp!$C$2562="","",INDEX(_imp!$I$4:$I$4503,_imp!$C$2562))</f>
        <v/>
      </c>
      <c r="G2560" s="54">
        <f>IF(_imp!$C$2562="","",INDEX(_imp!$J$4:$J$4503,_imp!$C$2562))</f>
        <v/>
      </c>
      <c r="K2560" s="54">
        <f>IF(_imp!$C$2562="","",INDEX(_imp!$K$4:$K$4503,_imp!$C$2562))</f>
        <v/>
      </c>
    </row>
    <row r="2561">
      <c r="A2561" s="54">
        <f>IF(_imp!$C$2563="","",INDEX(_imp!$D$4:$D$4503,_imp!$C$2563))</f>
        <v/>
      </c>
      <c r="B2561" s="54">
        <f>IF(_imp!$C$2563="","",INDEX(_imp!$E$4:$E$4503,_imp!$C$2563))</f>
        <v/>
      </c>
      <c r="C2561" s="54">
        <f>IF(_imp!$C$2563="","",INDEX(_imp!$F$4:$F$4503,_imp!$C$2563))</f>
        <v/>
      </c>
      <c r="D2561" s="54">
        <f>IF(_imp!$C$2563="","",INDEX(_imp!$G$4:$G$4503,_imp!$C$2563))</f>
        <v/>
      </c>
      <c r="E2561" s="54">
        <f>IF(_imp!$C$2563="","",INDEX(_imp!$H$4:$H$4503,_imp!$C$2563))</f>
        <v/>
      </c>
      <c r="F2561" s="54">
        <f>IF(_imp!$C$2563="","",INDEX(_imp!$I$4:$I$4503,_imp!$C$2563))</f>
        <v/>
      </c>
      <c r="G2561" s="54">
        <f>IF(_imp!$C$2563="","",INDEX(_imp!$J$4:$J$4503,_imp!$C$2563))</f>
        <v/>
      </c>
      <c r="K2561" s="54">
        <f>IF(_imp!$C$2563="","",INDEX(_imp!$K$4:$K$4503,_imp!$C$2563))</f>
        <v/>
      </c>
    </row>
    <row r="2562">
      <c r="A2562" s="54">
        <f>IF(_imp!$C$2564="","",INDEX(_imp!$D$4:$D$4503,_imp!$C$2564))</f>
        <v/>
      </c>
      <c r="B2562" s="54">
        <f>IF(_imp!$C$2564="","",INDEX(_imp!$E$4:$E$4503,_imp!$C$2564))</f>
        <v/>
      </c>
      <c r="C2562" s="54">
        <f>IF(_imp!$C$2564="","",INDEX(_imp!$F$4:$F$4503,_imp!$C$2564))</f>
        <v/>
      </c>
      <c r="D2562" s="54">
        <f>IF(_imp!$C$2564="","",INDEX(_imp!$G$4:$G$4503,_imp!$C$2564))</f>
        <v/>
      </c>
      <c r="E2562" s="54">
        <f>IF(_imp!$C$2564="","",INDEX(_imp!$H$4:$H$4503,_imp!$C$2564))</f>
        <v/>
      </c>
      <c r="F2562" s="54">
        <f>IF(_imp!$C$2564="","",INDEX(_imp!$I$4:$I$4503,_imp!$C$2564))</f>
        <v/>
      </c>
      <c r="G2562" s="54">
        <f>IF(_imp!$C$2564="","",INDEX(_imp!$J$4:$J$4503,_imp!$C$2564))</f>
        <v/>
      </c>
      <c r="K2562" s="54">
        <f>IF(_imp!$C$2564="","",INDEX(_imp!$K$4:$K$4503,_imp!$C$2564))</f>
        <v/>
      </c>
    </row>
    <row r="2563">
      <c r="A2563" s="54">
        <f>IF(_imp!$C$2565="","",INDEX(_imp!$D$4:$D$4503,_imp!$C$2565))</f>
        <v/>
      </c>
      <c r="B2563" s="54">
        <f>IF(_imp!$C$2565="","",INDEX(_imp!$E$4:$E$4503,_imp!$C$2565))</f>
        <v/>
      </c>
      <c r="C2563" s="54">
        <f>IF(_imp!$C$2565="","",INDEX(_imp!$F$4:$F$4503,_imp!$C$2565))</f>
        <v/>
      </c>
      <c r="D2563" s="54">
        <f>IF(_imp!$C$2565="","",INDEX(_imp!$G$4:$G$4503,_imp!$C$2565))</f>
        <v/>
      </c>
      <c r="E2563" s="54">
        <f>IF(_imp!$C$2565="","",INDEX(_imp!$H$4:$H$4503,_imp!$C$2565))</f>
        <v/>
      </c>
      <c r="F2563" s="54">
        <f>IF(_imp!$C$2565="","",INDEX(_imp!$I$4:$I$4503,_imp!$C$2565))</f>
        <v/>
      </c>
      <c r="G2563" s="54">
        <f>IF(_imp!$C$2565="","",INDEX(_imp!$J$4:$J$4503,_imp!$C$2565))</f>
        <v/>
      </c>
      <c r="K2563" s="54">
        <f>IF(_imp!$C$2565="","",INDEX(_imp!$K$4:$K$4503,_imp!$C$2565))</f>
        <v/>
      </c>
    </row>
    <row r="2564">
      <c r="A2564" s="54">
        <f>IF(_imp!$C$2566="","",INDEX(_imp!$D$4:$D$4503,_imp!$C$2566))</f>
        <v/>
      </c>
      <c r="B2564" s="54">
        <f>IF(_imp!$C$2566="","",INDEX(_imp!$E$4:$E$4503,_imp!$C$2566))</f>
        <v/>
      </c>
      <c r="C2564" s="54">
        <f>IF(_imp!$C$2566="","",INDEX(_imp!$F$4:$F$4503,_imp!$C$2566))</f>
        <v/>
      </c>
      <c r="D2564" s="54">
        <f>IF(_imp!$C$2566="","",INDEX(_imp!$G$4:$G$4503,_imp!$C$2566))</f>
        <v/>
      </c>
      <c r="E2564" s="54">
        <f>IF(_imp!$C$2566="","",INDEX(_imp!$H$4:$H$4503,_imp!$C$2566))</f>
        <v/>
      </c>
      <c r="F2564" s="54">
        <f>IF(_imp!$C$2566="","",INDEX(_imp!$I$4:$I$4503,_imp!$C$2566))</f>
        <v/>
      </c>
      <c r="G2564" s="54">
        <f>IF(_imp!$C$2566="","",INDEX(_imp!$J$4:$J$4503,_imp!$C$2566))</f>
        <v/>
      </c>
      <c r="K2564" s="54">
        <f>IF(_imp!$C$2566="","",INDEX(_imp!$K$4:$K$4503,_imp!$C$2566))</f>
        <v/>
      </c>
    </row>
    <row r="2565">
      <c r="A2565" s="54">
        <f>IF(_imp!$C$2567="","",INDEX(_imp!$D$4:$D$4503,_imp!$C$2567))</f>
        <v/>
      </c>
      <c r="B2565" s="54">
        <f>IF(_imp!$C$2567="","",INDEX(_imp!$E$4:$E$4503,_imp!$C$2567))</f>
        <v/>
      </c>
      <c r="C2565" s="54">
        <f>IF(_imp!$C$2567="","",INDEX(_imp!$F$4:$F$4503,_imp!$C$2567))</f>
        <v/>
      </c>
      <c r="D2565" s="54">
        <f>IF(_imp!$C$2567="","",INDEX(_imp!$G$4:$G$4503,_imp!$C$2567))</f>
        <v/>
      </c>
      <c r="E2565" s="54">
        <f>IF(_imp!$C$2567="","",INDEX(_imp!$H$4:$H$4503,_imp!$C$2567))</f>
        <v/>
      </c>
      <c r="F2565" s="54">
        <f>IF(_imp!$C$2567="","",INDEX(_imp!$I$4:$I$4503,_imp!$C$2567))</f>
        <v/>
      </c>
      <c r="G2565" s="54">
        <f>IF(_imp!$C$2567="","",INDEX(_imp!$J$4:$J$4503,_imp!$C$2567))</f>
        <v/>
      </c>
      <c r="K2565" s="54">
        <f>IF(_imp!$C$2567="","",INDEX(_imp!$K$4:$K$4503,_imp!$C$2567))</f>
        <v/>
      </c>
    </row>
    <row r="2566">
      <c r="A2566" s="54">
        <f>IF(_imp!$C$2568="","",INDEX(_imp!$D$4:$D$4503,_imp!$C$2568))</f>
        <v/>
      </c>
      <c r="B2566" s="54">
        <f>IF(_imp!$C$2568="","",INDEX(_imp!$E$4:$E$4503,_imp!$C$2568))</f>
        <v/>
      </c>
      <c r="C2566" s="54">
        <f>IF(_imp!$C$2568="","",INDEX(_imp!$F$4:$F$4503,_imp!$C$2568))</f>
        <v/>
      </c>
      <c r="D2566" s="54">
        <f>IF(_imp!$C$2568="","",INDEX(_imp!$G$4:$G$4503,_imp!$C$2568))</f>
        <v/>
      </c>
      <c r="E2566" s="54">
        <f>IF(_imp!$C$2568="","",INDEX(_imp!$H$4:$H$4503,_imp!$C$2568))</f>
        <v/>
      </c>
      <c r="F2566" s="54">
        <f>IF(_imp!$C$2568="","",INDEX(_imp!$I$4:$I$4503,_imp!$C$2568))</f>
        <v/>
      </c>
      <c r="G2566" s="54">
        <f>IF(_imp!$C$2568="","",INDEX(_imp!$J$4:$J$4503,_imp!$C$2568))</f>
        <v/>
      </c>
      <c r="K2566" s="54">
        <f>IF(_imp!$C$2568="","",INDEX(_imp!$K$4:$K$4503,_imp!$C$2568))</f>
        <v/>
      </c>
    </row>
    <row r="2567">
      <c r="A2567" s="54">
        <f>IF(_imp!$C$2569="","",INDEX(_imp!$D$4:$D$4503,_imp!$C$2569))</f>
        <v/>
      </c>
      <c r="B2567" s="54">
        <f>IF(_imp!$C$2569="","",INDEX(_imp!$E$4:$E$4503,_imp!$C$2569))</f>
        <v/>
      </c>
      <c r="C2567" s="54">
        <f>IF(_imp!$C$2569="","",INDEX(_imp!$F$4:$F$4503,_imp!$C$2569))</f>
        <v/>
      </c>
      <c r="D2567" s="54">
        <f>IF(_imp!$C$2569="","",INDEX(_imp!$G$4:$G$4503,_imp!$C$2569))</f>
        <v/>
      </c>
      <c r="E2567" s="54">
        <f>IF(_imp!$C$2569="","",INDEX(_imp!$H$4:$H$4503,_imp!$C$2569))</f>
        <v/>
      </c>
      <c r="F2567" s="54">
        <f>IF(_imp!$C$2569="","",INDEX(_imp!$I$4:$I$4503,_imp!$C$2569))</f>
        <v/>
      </c>
      <c r="G2567" s="54">
        <f>IF(_imp!$C$2569="","",INDEX(_imp!$J$4:$J$4503,_imp!$C$2569))</f>
        <v/>
      </c>
      <c r="K2567" s="54">
        <f>IF(_imp!$C$2569="","",INDEX(_imp!$K$4:$K$4503,_imp!$C$2569))</f>
        <v/>
      </c>
    </row>
    <row r="2568">
      <c r="A2568" s="54">
        <f>IF(_imp!$C$2570="","",INDEX(_imp!$D$4:$D$4503,_imp!$C$2570))</f>
        <v/>
      </c>
      <c r="B2568" s="54">
        <f>IF(_imp!$C$2570="","",INDEX(_imp!$E$4:$E$4503,_imp!$C$2570))</f>
        <v/>
      </c>
      <c r="C2568" s="54">
        <f>IF(_imp!$C$2570="","",INDEX(_imp!$F$4:$F$4503,_imp!$C$2570))</f>
        <v/>
      </c>
      <c r="D2568" s="54">
        <f>IF(_imp!$C$2570="","",INDEX(_imp!$G$4:$G$4503,_imp!$C$2570))</f>
        <v/>
      </c>
      <c r="E2568" s="54">
        <f>IF(_imp!$C$2570="","",INDEX(_imp!$H$4:$H$4503,_imp!$C$2570))</f>
        <v/>
      </c>
      <c r="F2568" s="54">
        <f>IF(_imp!$C$2570="","",INDEX(_imp!$I$4:$I$4503,_imp!$C$2570))</f>
        <v/>
      </c>
      <c r="G2568" s="54">
        <f>IF(_imp!$C$2570="","",INDEX(_imp!$J$4:$J$4503,_imp!$C$2570))</f>
        <v/>
      </c>
      <c r="K2568" s="54">
        <f>IF(_imp!$C$2570="","",INDEX(_imp!$K$4:$K$4503,_imp!$C$2570))</f>
        <v/>
      </c>
    </row>
    <row r="2569">
      <c r="A2569" s="54">
        <f>IF(_imp!$C$2571="","",INDEX(_imp!$D$4:$D$4503,_imp!$C$2571))</f>
        <v/>
      </c>
      <c r="B2569" s="54">
        <f>IF(_imp!$C$2571="","",INDEX(_imp!$E$4:$E$4503,_imp!$C$2571))</f>
        <v/>
      </c>
      <c r="C2569" s="54">
        <f>IF(_imp!$C$2571="","",INDEX(_imp!$F$4:$F$4503,_imp!$C$2571))</f>
        <v/>
      </c>
      <c r="D2569" s="54">
        <f>IF(_imp!$C$2571="","",INDEX(_imp!$G$4:$G$4503,_imp!$C$2571))</f>
        <v/>
      </c>
      <c r="E2569" s="54">
        <f>IF(_imp!$C$2571="","",INDEX(_imp!$H$4:$H$4503,_imp!$C$2571))</f>
        <v/>
      </c>
      <c r="F2569" s="54">
        <f>IF(_imp!$C$2571="","",INDEX(_imp!$I$4:$I$4503,_imp!$C$2571))</f>
        <v/>
      </c>
      <c r="G2569" s="54">
        <f>IF(_imp!$C$2571="","",INDEX(_imp!$J$4:$J$4503,_imp!$C$2571))</f>
        <v/>
      </c>
      <c r="K2569" s="54">
        <f>IF(_imp!$C$2571="","",INDEX(_imp!$K$4:$K$4503,_imp!$C$2571))</f>
        <v/>
      </c>
    </row>
    <row r="2570">
      <c r="A2570" s="54">
        <f>IF(_imp!$C$2572="","",INDEX(_imp!$D$4:$D$4503,_imp!$C$2572))</f>
        <v/>
      </c>
      <c r="B2570" s="54">
        <f>IF(_imp!$C$2572="","",INDEX(_imp!$E$4:$E$4503,_imp!$C$2572))</f>
        <v/>
      </c>
      <c r="C2570" s="54">
        <f>IF(_imp!$C$2572="","",INDEX(_imp!$F$4:$F$4503,_imp!$C$2572))</f>
        <v/>
      </c>
      <c r="D2570" s="54">
        <f>IF(_imp!$C$2572="","",INDEX(_imp!$G$4:$G$4503,_imp!$C$2572))</f>
        <v/>
      </c>
      <c r="E2570" s="54">
        <f>IF(_imp!$C$2572="","",INDEX(_imp!$H$4:$H$4503,_imp!$C$2572))</f>
        <v/>
      </c>
      <c r="F2570" s="54">
        <f>IF(_imp!$C$2572="","",INDEX(_imp!$I$4:$I$4503,_imp!$C$2572))</f>
        <v/>
      </c>
      <c r="G2570" s="54">
        <f>IF(_imp!$C$2572="","",INDEX(_imp!$J$4:$J$4503,_imp!$C$2572))</f>
        <v/>
      </c>
      <c r="K2570" s="54">
        <f>IF(_imp!$C$2572="","",INDEX(_imp!$K$4:$K$4503,_imp!$C$2572))</f>
        <v/>
      </c>
    </row>
    <row r="2571">
      <c r="A2571" s="54">
        <f>IF(_imp!$C$2573="","",INDEX(_imp!$D$4:$D$4503,_imp!$C$2573))</f>
        <v/>
      </c>
      <c r="B2571" s="54">
        <f>IF(_imp!$C$2573="","",INDEX(_imp!$E$4:$E$4503,_imp!$C$2573))</f>
        <v/>
      </c>
      <c r="C2571" s="54">
        <f>IF(_imp!$C$2573="","",INDEX(_imp!$F$4:$F$4503,_imp!$C$2573))</f>
        <v/>
      </c>
      <c r="D2571" s="54">
        <f>IF(_imp!$C$2573="","",INDEX(_imp!$G$4:$G$4503,_imp!$C$2573))</f>
        <v/>
      </c>
      <c r="E2571" s="54">
        <f>IF(_imp!$C$2573="","",INDEX(_imp!$H$4:$H$4503,_imp!$C$2573))</f>
        <v/>
      </c>
      <c r="F2571" s="54">
        <f>IF(_imp!$C$2573="","",INDEX(_imp!$I$4:$I$4503,_imp!$C$2573))</f>
        <v/>
      </c>
      <c r="G2571" s="54">
        <f>IF(_imp!$C$2573="","",INDEX(_imp!$J$4:$J$4503,_imp!$C$2573))</f>
        <v/>
      </c>
      <c r="K2571" s="54">
        <f>IF(_imp!$C$2573="","",INDEX(_imp!$K$4:$K$4503,_imp!$C$2573))</f>
        <v/>
      </c>
    </row>
    <row r="2572">
      <c r="A2572" s="54">
        <f>IF(_imp!$C$2574="","",INDEX(_imp!$D$4:$D$4503,_imp!$C$2574))</f>
        <v/>
      </c>
      <c r="B2572" s="54">
        <f>IF(_imp!$C$2574="","",INDEX(_imp!$E$4:$E$4503,_imp!$C$2574))</f>
        <v/>
      </c>
      <c r="C2572" s="54">
        <f>IF(_imp!$C$2574="","",INDEX(_imp!$F$4:$F$4503,_imp!$C$2574))</f>
        <v/>
      </c>
      <c r="D2572" s="54">
        <f>IF(_imp!$C$2574="","",INDEX(_imp!$G$4:$G$4503,_imp!$C$2574))</f>
        <v/>
      </c>
      <c r="E2572" s="54">
        <f>IF(_imp!$C$2574="","",INDEX(_imp!$H$4:$H$4503,_imp!$C$2574))</f>
        <v/>
      </c>
      <c r="F2572" s="54">
        <f>IF(_imp!$C$2574="","",INDEX(_imp!$I$4:$I$4503,_imp!$C$2574))</f>
        <v/>
      </c>
      <c r="G2572" s="54">
        <f>IF(_imp!$C$2574="","",INDEX(_imp!$J$4:$J$4503,_imp!$C$2574))</f>
        <v/>
      </c>
      <c r="K2572" s="54">
        <f>IF(_imp!$C$2574="","",INDEX(_imp!$K$4:$K$4503,_imp!$C$2574))</f>
        <v/>
      </c>
    </row>
    <row r="2573">
      <c r="A2573" s="54">
        <f>IF(_imp!$C$2575="","",INDEX(_imp!$D$4:$D$4503,_imp!$C$2575))</f>
        <v/>
      </c>
      <c r="B2573" s="54">
        <f>IF(_imp!$C$2575="","",INDEX(_imp!$E$4:$E$4503,_imp!$C$2575))</f>
        <v/>
      </c>
      <c r="C2573" s="54">
        <f>IF(_imp!$C$2575="","",INDEX(_imp!$F$4:$F$4503,_imp!$C$2575))</f>
        <v/>
      </c>
      <c r="D2573" s="54">
        <f>IF(_imp!$C$2575="","",INDEX(_imp!$G$4:$G$4503,_imp!$C$2575))</f>
        <v/>
      </c>
      <c r="E2573" s="54">
        <f>IF(_imp!$C$2575="","",INDEX(_imp!$H$4:$H$4503,_imp!$C$2575))</f>
        <v/>
      </c>
      <c r="F2573" s="54">
        <f>IF(_imp!$C$2575="","",INDEX(_imp!$I$4:$I$4503,_imp!$C$2575))</f>
        <v/>
      </c>
      <c r="G2573" s="54">
        <f>IF(_imp!$C$2575="","",INDEX(_imp!$J$4:$J$4503,_imp!$C$2575))</f>
        <v/>
      </c>
      <c r="K2573" s="54">
        <f>IF(_imp!$C$2575="","",INDEX(_imp!$K$4:$K$4503,_imp!$C$2575))</f>
        <v/>
      </c>
    </row>
    <row r="2574">
      <c r="A2574" s="54">
        <f>IF(_imp!$C$2576="","",INDEX(_imp!$D$4:$D$4503,_imp!$C$2576))</f>
        <v/>
      </c>
      <c r="B2574" s="54">
        <f>IF(_imp!$C$2576="","",INDEX(_imp!$E$4:$E$4503,_imp!$C$2576))</f>
        <v/>
      </c>
      <c r="C2574" s="54">
        <f>IF(_imp!$C$2576="","",INDEX(_imp!$F$4:$F$4503,_imp!$C$2576))</f>
        <v/>
      </c>
      <c r="D2574" s="54">
        <f>IF(_imp!$C$2576="","",INDEX(_imp!$G$4:$G$4503,_imp!$C$2576))</f>
        <v/>
      </c>
      <c r="E2574" s="54">
        <f>IF(_imp!$C$2576="","",INDEX(_imp!$H$4:$H$4503,_imp!$C$2576))</f>
        <v/>
      </c>
      <c r="F2574" s="54">
        <f>IF(_imp!$C$2576="","",INDEX(_imp!$I$4:$I$4503,_imp!$C$2576))</f>
        <v/>
      </c>
      <c r="G2574" s="54">
        <f>IF(_imp!$C$2576="","",INDEX(_imp!$J$4:$J$4503,_imp!$C$2576))</f>
        <v/>
      </c>
      <c r="K2574" s="54">
        <f>IF(_imp!$C$2576="","",INDEX(_imp!$K$4:$K$4503,_imp!$C$2576))</f>
        <v/>
      </c>
    </row>
    <row r="2575">
      <c r="A2575" s="54">
        <f>IF(_imp!$C$2577="","",INDEX(_imp!$D$4:$D$4503,_imp!$C$2577))</f>
        <v/>
      </c>
      <c r="B2575" s="54">
        <f>IF(_imp!$C$2577="","",INDEX(_imp!$E$4:$E$4503,_imp!$C$2577))</f>
        <v/>
      </c>
      <c r="C2575" s="54">
        <f>IF(_imp!$C$2577="","",INDEX(_imp!$F$4:$F$4503,_imp!$C$2577))</f>
        <v/>
      </c>
      <c r="D2575" s="54">
        <f>IF(_imp!$C$2577="","",INDEX(_imp!$G$4:$G$4503,_imp!$C$2577))</f>
        <v/>
      </c>
      <c r="E2575" s="54">
        <f>IF(_imp!$C$2577="","",INDEX(_imp!$H$4:$H$4503,_imp!$C$2577))</f>
        <v/>
      </c>
      <c r="F2575" s="54">
        <f>IF(_imp!$C$2577="","",INDEX(_imp!$I$4:$I$4503,_imp!$C$2577))</f>
        <v/>
      </c>
      <c r="G2575" s="54">
        <f>IF(_imp!$C$2577="","",INDEX(_imp!$J$4:$J$4503,_imp!$C$2577))</f>
        <v/>
      </c>
      <c r="K2575" s="54">
        <f>IF(_imp!$C$2577="","",INDEX(_imp!$K$4:$K$4503,_imp!$C$2577))</f>
        <v/>
      </c>
    </row>
    <row r="2576">
      <c r="A2576" s="54">
        <f>IF(_imp!$C$2578="","",INDEX(_imp!$D$4:$D$4503,_imp!$C$2578))</f>
        <v/>
      </c>
      <c r="B2576" s="54">
        <f>IF(_imp!$C$2578="","",INDEX(_imp!$E$4:$E$4503,_imp!$C$2578))</f>
        <v/>
      </c>
      <c r="C2576" s="54">
        <f>IF(_imp!$C$2578="","",INDEX(_imp!$F$4:$F$4503,_imp!$C$2578))</f>
        <v/>
      </c>
      <c r="D2576" s="54">
        <f>IF(_imp!$C$2578="","",INDEX(_imp!$G$4:$G$4503,_imp!$C$2578))</f>
        <v/>
      </c>
      <c r="E2576" s="54">
        <f>IF(_imp!$C$2578="","",INDEX(_imp!$H$4:$H$4503,_imp!$C$2578))</f>
        <v/>
      </c>
      <c r="F2576" s="54">
        <f>IF(_imp!$C$2578="","",INDEX(_imp!$I$4:$I$4503,_imp!$C$2578))</f>
        <v/>
      </c>
      <c r="G2576" s="54">
        <f>IF(_imp!$C$2578="","",INDEX(_imp!$J$4:$J$4503,_imp!$C$2578))</f>
        <v/>
      </c>
      <c r="K2576" s="54">
        <f>IF(_imp!$C$2578="","",INDEX(_imp!$K$4:$K$4503,_imp!$C$2578))</f>
        <v/>
      </c>
    </row>
    <row r="2577">
      <c r="A2577" s="54">
        <f>IF(_imp!$C$2579="","",INDEX(_imp!$D$4:$D$4503,_imp!$C$2579))</f>
        <v/>
      </c>
      <c r="B2577" s="54">
        <f>IF(_imp!$C$2579="","",INDEX(_imp!$E$4:$E$4503,_imp!$C$2579))</f>
        <v/>
      </c>
      <c r="C2577" s="54">
        <f>IF(_imp!$C$2579="","",INDEX(_imp!$F$4:$F$4503,_imp!$C$2579))</f>
        <v/>
      </c>
      <c r="D2577" s="54">
        <f>IF(_imp!$C$2579="","",INDEX(_imp!$G$4:$G$4503,_imp!$C$2579))</f>
        <v/>
      </c>
      <c r="E2577" s="54">
        <f>IF(_imp!$C$2579="","",INDEX(_imp!$H$4:$H$4503,_imp!$C$2579))</f>
        <v/>
      </c>
      <c r="F2577" s="54">
        <f>IF(_imp!$C$2579="","",INDEX(_imp!$I$4:$I$4503,_imp!$C$2579))</f>
        <v/>
      </c>
      <c r="G2577" s="54">
        <f>IF(_imp!$C$2579="","",INDEX(_imp!$J$4:$J$4503,_imp!$C$2579))</f>
        <v/>
      </c>
      <c r="K2577" s="54">
        <f>IF(_imp!$C$2579="","",INDEX(_imp!$K$4:$K$4503,_imp!$C$2579))</f>
        <v/>
      </c>
    </row>
    <row r="2578">
      <c r="A2578" s="54">
        <f>IF(_imp!$C$2580="","",INDEX(_imp!$D$4:$D$4503,_imp!$C$2580))</f>
        <v/>
      </c>
      <c r="B2578" s="54">
        <f>IF(_imp!$C$2580="","",INDEX(_imp!$E$4:$E$4503,_imp!$C$2580))</f>
        <v/>
      </c>
      <c r="C2578" s="54">
        <f>IF(_imp!$C$2580="","",INDEX(_imp!$F$4:$F$4503,_imp!$C$2580))</f>
        <v/>
      </c>
      <c r="D2578" s="54">
        <f>IF(_imp!$C$2580="","",INDEX(_imp!$G$4:$G$4503,_imp!$C$2580))</f>
        <v/>
      </c>
      <c r="E2578" s="54">
        <f>IF(_imp!$C$2580="","",INDEX(_imp!$H$4:$H$4503,_imp!$C$2580))</f>
        <v/>
      </c>
      <c r="F2578" s="54">
        <f>IF(_imp!$C$2580="","",INDEX(_imp!$I$4:$I$4503,_imp!$C$2580))</f>
        <v/>
      </c>
      <c r="G2578" s="54">
        <f>IF(_imp!$C$2580="","",INDEX(_imp!$J$4:$J$4503,_imp!$C$2580))</f>
        <v/>
      </c>
      <c r="K2578" s="54">
        <f>IF(_imp!$C$2580="","",INDEX(_imp!$K$4:$K$4503,_imp!$C$2580))</f>
        <v/>
      </c>
    </row>
    <row r="2579">
      <c r="A2579" s="54">
        <f>IF(_imp!$C$2581="","",INDEX(_imp!$D$4:$D$4503,_imp!$C$2581))</f>
        <v/>
      </c>
      <c r="B2579" s="54">
        <f>IF(_imp!$C$2581="","",INDEX(_imp!$E$4:$E$4503,_imp!$C$2581))</f>
        <v/>
      </c>
      <c r="C2579" s="54">
        <f>IF(_imp!$C$2581="","",INDEX(_imp!$F$4:$F$4503,_imp!$C$2581))</f>
        <v/>
      </c>
      <c r="D2579" s="54">
        <f>IF(_imp!$C$2581="","",INDEX(_imp!$G$4:$G$4503,_imp!$C$2581))</f>
        <v/>
      </c>
      <c r="E2579" s="54">
        <f>IF(_imp!$C$2581="","",INDEX(_imp!$H$4:$H$4503,_imp!$C$2581))</f>
        <v/>
      </c>
      <c r="F2579" s="54">
        <f>IF(_imp!$C$2581="","",INDEX(_imp!$I$4:$I$4503,_imp!$C$2581))</f>
        <v/>
      </c>
      <c r="G2579" s="54">
        <f>IF(_imp!$C$2581="","",INDEX(_imp!$J$4:$J$4503,_imp!$C$2581))</f>
        <v/>
      </c>
      <c r="K2579" s="54">
        <f>IF(_imp!$C$2581="","",INDEX(_imp!$K$4:$K$4503,_imp!$C$2581))</f>
        <v/>
      </c>
    </row>
    <row r="2580">
      <c r="A2580" s="54">
        <f>IF(_imp!$C$2582="","",INDEX(_imp!$D$4:$D$4503,_imp!$C$2582))</f>
        <v/>
      </c>
      <c r="B2580" s="54">
        <f>IF(_imp!$C$2582="","",INDEX(_imp!$E$4:$E$4503,_imp!$C$2582))</f>
        <v/>
      </c>
      <c r="C2580" s="54">
        <f>IF(_imp!$C$2582="","",INDEX(_imp!$F$4:$F$4503,_imp!$C$2582))</f>
        <v/>
      </c>
      <c r="D2580" s="54">
        <f>IF(_imp!$C$2582="","",INDEX(_imp!$G$4:$G$4503,_imp!$C$2582))</f>
        <v/>
      </c>
      <c r="E2580" s="54">
        <f>IF(_imp!$C$2582="","",INDEX(_imp!$H$4:$H$4503,_imp!$C$2582))</f>
        <v/>
      </c>
      <c r="F2580" s="54">
        <f>IF(_imp!$C$2582="","",INDEX(_imp!$I$4:$I$4503,_imp!$C$2582))</f>
        <v/>
      </c>
      <c r="G2580" s="54">
        <f>IF(_imp!$C$2582="","",INDEX(_imp!$J$4:$J$4503,_imp!$C$2582))</f>
        <v/>
      </c>
      <c r="K2580" s="54">
        <f>IF(_imp!$C$2582="","",INDEX(_imp!$K$4:$K$4503,_imp!$C$2582))</f>
        <v/>
      </c>
    </row>
    <row r="2581">
      <c r="A2581" s="54">
        <f>IF(_imp!$C$2583="","",INDEX(_imp!$D$4:$D$4503,_imp!$C$2583))</f>
        <v/>
      </c>
      <c r="B2581" s="54">
        <f>IF(_imp!$C$2583="","",INDEX(_imp!$E$4:$E$4503,_imp!$C$2583))</f>
        <v/>
      </c>
      <c r="C2581" s="54">
        <f>IF(_imp!$C$2583="","",INDEX(_imp!$F$4:$F$4503,_imp!$C$2583))</f>
        <v/>
      </c>
      <c r="D2581" s="54">
        <f>IF(_imp!$C$2583="","",INDEX(_imp!$G$4:$G$4503,_imp!$C$2583))</f>
        <v/>
      </c>
      <c r="E2581" s="54">
        <f>IF(_imp!$C$2583="","",INDEX(_imp!$H$4:$H$4503,_imp!$C$2583))</f>
        <v/>
      </c>
      <c r="F2581" s="54">
        <f>IF(_imp!$C$2583="","",INDEX(_imp!$I$4:$I$4503,_imp!$C$2583))</f>
        <v/>
      </c>
      <c r="G2581" s="54">
        <f>IF(_imp!$C$2583="","",INDEX(_imp!$J$4:$J$4503,_imp!$C$2583))</f>
        <v/>
      </c>
      <c r="K2581" s="54">
        <f>IF(_imp!$C$2583="","",INDEX(_imp!$K$4:$K$4503,_imp!$C$2583))</f>
        <v/>
      </c>
    </row>
    <row r="2582">
      <c r="A2582" s="54">
        <f>IF(_imp!$C$2584="","",INDEX(_imp!$D$4:$D$4503,_imp!$C$2584))</f>
        <v/>
      </c>
      <c r="B2582" s="54">
        <f>IF(_imp!$C$2584="","",INDEX(_imp!$E$4:$E$4503,_imp!$C$2584))</f>
        <v/>
      </c>
      <c r="C2582" s="54">
        <f>IF(_imp!$C$2584="","",INDEX(_imp!$F$4:$F$4503,_imp!$C$2584))</f>
        <v/>
      </c>
      <c r="D2582" s="54">
        <f>IF(_imp!$C$2584="","",INDEX(_imp!$G$4:$G$4503,_imp!$C$2584))</f>
        <v/>
      </c>
      <c r="E2582" s="54">
        <f>IF(_imp!$C$2584="","",INDEX(_imp!$H$4:$H$4503,_imp!$C$2584))</f>
        <v/>
      </c>
      <c r="F2582" s="54">
        <f>IF(_imp!$C$2584="","",INDEX(_imp!$I$4:$I$4503,_imp!$C$2584))</f>
        <v/>
      </c>
      <c r="G2582" s="54">
        <f>IF(_imp!$C$2584="","",INDEX(_imp!$J$4:$J$4503,_imp!$C$2584))</f>
        <v/>
      </c>
      <c r="K2582" s="54">
        <f>IF(_imp!$C$2584="","",INDEX(_imp!$K$4:$K$4503,_imp!$C$2584))</f>
        <v/>
      </c>
    </row>
    <row r="2583">
      <c r="A2583" s="54">
        <f>IF(_imp!$C$2585="","",INDEX(_imp!$D$4:$D$4503,_imp!$C$2585))</f>
        <v/>
      </c>
      <c r="B2583" s="54">
        <f>IF(_imp!$C$2585="","",INDEX(_imp!$E$4:$E$4503,_imp!$C$2585))</f>
        <v/>
      </c>
      <c r="C2583" s="54">
        <f>IF(_imp!$C$2585="","",INDEX(_imp!$F$4:$F$4503,_imp!$C$2585))</f>
        <v/>
      </c>
      <c r="D2583" s="54">
        <f>IF(_imp!$C$2585="","",INDEX(_imp!$G$4:$G$4503,_imp!$C$2585))</f>
        <v/>
      </c>
      <c r="E2583" s="54">
        <f>IF(_imp!$C$2585="","",INDEX(_imp!$H$4:$H$4503,_imp!$C$2585))</f>
        <v/>
      </c>
      <c r="F2583" s="54">
        <f>IF(_imp!$C$2585="","",INDEX(_imp!$I$4:$I$4503,_imp!$C$2585))</f>
        <v/>
      </c>
      <c r="G2583" s="54">
        <f>IF(_imp!$C$2585="","",INDEX(_imp!$J$4:$J$4503,_imp!$C$2585))</f>
        <v/>
      </c>
      <c r="K2583" s="54">
        <f>IF(_imp!$C$2585="","",INDEX(_imp!$K$4:$K$4503,_imp!$C$2585))</f>
        <v/>
      </c>
    </row>
    <row r="2584">
      <c r="A2584" s="54">
        <f>IF(_imp!$C$2586="","",INDEX(_imp!$D$4:$D$4503,_imp!$C$2586))</f>
        <v/>
      </c>
      <c r="B2584" s="54">
        <f>IF(_imp!$C$2586="","",INDEX(_imp!$E$4:$E$4503,_imp!$C$2586))</f>
        <v/>
      </c>
      <c r="C2584" s="54">
        <f>IF(_imp!$C$2586="","",INDEX(_imp!$F$4:$F$4503,_imp!$C$2586))</f>
        <v/>
      </c>
      <c r="D2584" s="54">
        <f>IF(_imp!$C$2586="","",INDEX(_imp!$G$4:$G$4503,_imp!$C$2586))</f>
        <v/>
      </c>
      <c r="E2584" s="54">
        <f>IF(_imp!$C$2586="","",INDEX(_imp!$H$4:$H$4503,_imp!$C$2586))</f>
        <v/>
      </c>
      <c r="F2584" s="54">
        <f>IF(_imp!$C$2586="","",INDEX(_imp!$I$4:$I$4503,_imp!$C$2586))</f>
        <v/>
      </c>
      <c r="G2584" s="54">
        <f>IF(_imp!$C$2586="","",INDEX(_imp!$J$4:$J$4503,_imp!$C$2586))</f>
        <v/>
      </c>
      <c r="K2584" s="54">
        <f>IF(_imp!$C$2586="","",INDEX(_imp!$K$4:$K$4503,_imp!$C$2586))</f>
        <v/>
      </c>
    </row>
    <row r="2585">
      <c r="A2585" s="54">
        <f>IF(_imp!$C$2587="","",INDEX(_imp!$D$4:$D$4503,_imp!$C$2587))</f>
        <v/>
      </c>
      <c r="B2585" s="54">
        <f>IF(_imp!$C$2587="","",INDEX(_imp!$E$4:$E$4503,_imp!$C$2587))</f>
        <v/>
      </c>
      <c r="C2585" s="54">
        <f>IF(_imp!$C$2587="","",INDEX(_imp!$F$4:$F$4503,_imp!$C$2587))</f>
        <v/>
      </c>
      <c r="D2585" s="54">
        <f>IF(_imp!$C$2587="","",INDEX(_imp!$G$4:$G$4503,_imp!$C$2587))</f>
        <v/>
      </c>
      <c r="E2585" s="54">
        <f>IF(_imp!$C$2587="","",INDEX(_imp!$H$4:$H$4503,_imp!$C$2587))</f>
        <v/>
      </c>
      <c r="F2585" s="54">
        <f>IF(_imp!$C$2587="","",INDEX(_imp!$I$4:$I$4503,_imp!$C$2587))</f>
        <v/>
      </c>
      <c r="G2585" s="54">
        <f>IF(_imp!$C$2587="","",INDEX(_imp!$J$4:$J$4503,_imp!$C$2587))</f>
        <v/>
      </c>
      <c r="K2585" s="54">
        <f>IF(_imp!$C$2587="","",INDEX(_imp!$K$4:$K$4503,_imp!$C$2587))</f>
        <v/>
      </c>
    </row>
    <row r="2586">
      <c r="A2586" s="54">
        <f>IF(_imp!$C$2588="","",INDEX(_imp!$D$4:$D$4503,_imp!$C$2588))</f>
        <v/>
      </c>
      <c r="B2586" s="54">
        <f>IF(_imp!$C$2588="","",INDEX(_imp!$E$4:$E$4503,_imp!$C$2588))</f>
        <v/>
      </c>
      <c r="C2586" s="54">
        <f>IF(_imp!$C$2588="","",INDEX(_imp!$F$4:$F$4503,_imp!$C$2588))</f>
        <v/>
      </c>
      <c r="D2586" s="54">
        <f>IF(_imp!$C$2588="","",INDEX(_imp!$G$4:$G$4503,_imp!$C$2588))</f>
        <v/>
      </c>
      <c r="E2586" s="54">
        <f>IF(_imp!$C$2588="","",INDEX(_imp!$H$4:$H$4503,_imp!$C$2588))</f>
        <v/>
      </c>
      <c r="F2586" s="54">
        <f>IF(_imp!$C$2588="","",INDEX(_imp!$I$4:$I$4503,_imp!$C$2588))</f>
        <v/>
      </c>
      <c r="G2586" s="54">
        <f>IF(_imp!$C$2588="","",INDEX(_imp!$J$4:$J$4503,_imp!$C$2588))</f>
        <v/>
      </c>
      <c r="K2586" s="54">
        <f>IF(_imp!$C$2588="","",INDEX(_imp!$K$4:$K$4503,_imp!$C$2588))</f>
        <v/>
      </c>
    </row>
    <row r="2587">
      <c r="A2587" s="54">
        <f>IF(_imp!$C$2589="","",INDEX(_imp!$D$4:$D$4503,_imp!$C$2589))</f>
        <v/>
      </c>
      <c r="B2587" s="54">
        <f>IF(_imp!$C$2589="","",INDEX(_imp!$E$4:$E$4503,_imp!$C$2589))</f>
        <v/>
      </c>
      <c r="C2587" s="54">
        <f>IF(_imp!$C$2589="","",INDEX(_imp!$F$4:$F$4503,_imp!$C$2589))</f>
        <v/>
      </c>
      <c r="D2587" s="54">
        <f>IF(_imp!$C$2589="","",INDEX(_imp!$G$4:$G$4503,_imp!$C$2589))</f>
        <v/>
      </c>
      <c r="E2587" s="54">
        <f>IF(_imp!$C$2589="","",INDEX(_imp!$H$4:$H$4503,_imp!$C$2589))</f>
        <v/>
      </c>
      <c r="F2587" s="54">
        <f>IF(_imp!$C$2589="","",INDEX(_imp!$I$4:$I$4503,_imp!$C$2589))</f>
        <v/>
      </c>
      <c r="G2587" s="54">
        <f>IF(_imp!$C$2589="","",INDEX(_imp!$J$4:$J$4503,_imp!$C$2589))</f>
        <v/>
      </c>
      <c r="K2587" s="54">
        <f>IF(_imp!$C$2589="","",INDEX(_imp!$K$4:$K$4503,_imp!$C$2589))</f>
        <v/>
      </c>
    </row>
    <row r="2588">
      <c r="A2588" s="54">
        <f>IF(_imp!$C$2590="","",INDEX(_imp!$D$4:$D$4503,_imp!$C$2590))</f>
        <v/>
      </c>
      <c r="B2588" s="54">
        <f>IF(_imp!$C$2590="","",INDEX(_imp!$E$4:$E$4503,_imp!$C$2590))</f>
        <v/>
      </c>
      <c r="C2588" s="54">
        <f>IF(_imp!$C$2590="","",INDEX(_imp!$F$4:$F$4503,_imp!$C$2590))</f>
        <v/>
      </c>
      <c r="D2588" s="54">
        <f>IF(_imp!$C$2590="","",INDEX(_imp!$G$4:$G$4503,_imp!$C$2590))</f>
        <v/>
      </c>
      <c r="E2588" s="54">
        <f>IF(_imp!$C$2590="","",INDEX(_imp!$H$4:$H$4503,_imp!$C$2590))</f>
        <v/>
      </c>
      <c r="F2588" s="54">
        <f>IF(_imp!$C$2590="","",INDEX(_imp!$I$4:$I$4503,_imp!$C$2590))</f>
        <v/>
      </c>
      <c r="G2588" s="54">
        <f>IF(_imp!$C$2590="","",INDEX(_imp!$J$4:$J$4503,_imp!$C$2590))</f>
        <v/>
      </c>
      <c r="K2588" s="54">
        <f>IF(_imp!$C$2590="","",INDEX(_imp!$K$4:$K$4503,_imp!$C$2590))</f>
        <v/>
      </c>
    </row>
    <row r="2589">
      <c r="A2589" s="54">
        <f>IF(_imp!$C$2591="","",INDEX(_imp!$D$4:$D$4503,_imp!$C$2591))</f>
        <v/>
      </c>
      <c r="B2589" s="54">
        <f>IF(_imp!$C$2591="","",INDEX(_imp!$E$4:$E$4503,_imp!$C$2591))</f>
        <v/>
      </c>
      <c r="C2589" s="54">
        <f>IF(_imp!$C$2591="","",INDEX(_imp!$F$4:$F$4503,_imp!$C$2591))</f>
        <v/>
      </c>
      <c r="D2589" s="54">
        <f>IF(_imp!$C$2591="","",INDEX(_imp!$G$4:$G$4503,_imp!$C$2591))</f>
        <v/>
      </c>
      <c r="E2589" s="54">
        <f>IF(_imp!$C$2591="","",INDEX(_imp!$H$4:$H$4503,_imp!$C$2591))</f>
        <v/>
      </c>
      <c r="F2589" s="54">
        <f>IF(_imp!$C$2591="","",INDEX(_imp!$I$4:$I$4503,_imp!$C$2591))</f>
        <v/>
      </c>
      <c r="G2589" s="54">
        <f>IF(_imp!$C$2591="","",INDEX(_imp!$J$4:$J$4503,_imp!$C$2591))</f>
        <v/>
      </c>
      <c r="K2589" s="54">
        <f>IF(_imp!$C$2591="","",INDEX(_imp!$K$4:$K$4503,_imp!$C$2591))</f>
        <v/>
      </c>
    </row>
    <row r="2590">
      <c r="A2590" s="54">
        <f>IF(_imp!$C$2592="","",INDEX(_imp!$D$4:$D$4503,_imp!$C$2592))</f>
        <v/>
      </c>
      <c r="B2590" s="54">
        <f>IF(_imp!$C$2592="","",INDEX(_imp!$E$4:$E$4503,_imp!$C$2592))</f>
        <v/>
      </c>
      <c r="C2590" s="54">
        <f>IF(_imp!$C$2592="","",INDEX(_imp!$F$4:$F$4503,_imp!$C$2592))</f>
        <v/>
      </c>
      <c r="D2590" s="54">
        <f>IF(_imp!$C$2592="","",INDEX(_imp!$G$4:$G$4503,_imp!$C$2592))</f>
        <v/>
      </c>
      <c r="E2590" s="54">
        <f>IF(_imp!$C$2592="","",INDEX(_imp!$H$4:$H$4503,_imp!$C$2592))</f>
        <v/>
      </c>
      <c r="F2590" s="54">
        <f>IF(_imp!$C$2592="","",INDEX(_imp!$I$4:$I$4503,_imp!$C$2592))</f>
        <v/>
      </c>
      <c r="G2590" s="54">
        <f>IF(_imp!$C$2592="","",INDEX(_imp!$J$4:$J$4503,_imp!$C$2592))</f>
        <v/>
      </c>
      <c r="K2590" s="54">
        <f>IF(_imp!$C$2592="","",INDEX(_imp!$K$4:$K$4503,_imp!$C$2592))</f>
        <v/>
      </c>
    </row>
    <row r="2591">
      <c r="A2591" s="54">
        <f>IF(_imp!$C$2593="","",INDEX(_imp!$D$4:$D$4503,_imp!$C$2593))</f>
        <v/>
      </c>
      <c r="B2591" s="54">
        <f>IF(_imp!$C$2593="","",INDEX(_imp!$E$4:$E$4503,_imp!$C$2593))</f>
        <v/>
      </c>
      <c r="C2591" s="54">
        <f>IF(_imp!$C$2593="","",INDEX(_imp!$F$4:$F$4503,_imp!$C$2593))</f>
        <v/>
      </c>
      <c r="D2591" s="54">
        <f>IF(_imp!$C$2593="","",INDEX(_imp!$G$4:$G$4503,_imp!$C$2593))</f>
        <v/>
      </c>
      <c r="E2591" s="54">
        <f>IF(_imp!$C$2593="","",INDEX(_imp!$H$4:$H$4503,_imp!$C$2593))</f>
        <v/>
      </c>
      <c r="F2591" s="54">
        <f>IF(_imp!$C$2593="","",INDEX(_imp!$I$4:$I$4503,_imp!$C$2593))</f>
        <v/>
      </c>
      <c r="G2591" s="54">
        <f>IF(_imp!$C$2593="","",INDEX(_imp!$J$4:$J$4503,_imp!$C$2593))</f>
        <v/>
      </c>
      <c r="K2591" s="54">
        <f>IF(_imp!$C$2593="","",INDEX(_imp!$K$4:$K$4503,_imp!$C$2593))</f>
        <v/>
      </c>
    </row>
    <row r="2592">
      <c r="A2592" s="54">
        <f>IF(_imp!$C$2594="","",INDEX(_imp!$D$4:$D$4503,_imp!$C$2594))</f>
        <v/>
      </c>
      <c r="B2592" s="54">
        <f>IF(_imp!$C$2594="","",INDEX(_imp!$E$4:$E$4503,_imp!$C$2594))</f>
        <v/>
      </c>
      <c r="C2592" s="54">
        <f>IF(_imp!$C$2594="","",INDEX(_imp!$F$4:$F$4503,_imp!$C$2594))</f>
        <v/>
      </c>
      <c r="D2592" s="54">
        <f>IF(_imp!$C$2594="","",INDEX(_imp!$G$4:$G$4503,_imp!$C$2594))</f>
        <v/>
      </c>
      <c r="E2592" s="54">
        <f>IF(_imp!$C$2594="","",INDEX(_imp!$H$4:$H$4503,_imp!$C$2594))</f>
        <v/>
      </c>
      <c r="F2592" s="54">
        <f>IF(_imp!$C$2594="","",INDEX(_imp!$I$4:$I$4503,_imp!$C$2594))</f>
        <v/>
      </c>
      <c r="G2592" s="54">
        <f>IF(_imp!$C$2594="","",INDEX(_imp!$J$4:$J$4503,_imp!$C$2594))</f>
        <v/>
      </c>
      <c r="K2592" s="54">
        <f>IF(_imp!$C$2594="","",INDEX(_imp!$K$4:$K$4503,_imp!$C$2594))</f>
        <v/>
      </c>
    </row>
    <row r="2593">
      <c r="A2593" s="54">
        <f>IF(_imp!$C$2595="","",INDEX(_imp!$D$4:$D$4503,_imp!$C$2595))</f>
        <v/>
      </c>
      <c r="B2593" s="54">
        <f>IF(_imp!$C$2595="","",INDEX(_imp!$E$4:$E$4503,_imp!$C$2595))</f>
        <v/>
      </c>
      <c r="C2593" s="54">
        <f>IF(_imp!$C$2595="","",INDEX(_imp!$F$4:$F$4503,_imp!$C$2595))</f>
        <v/>
      </c>
      <c r="D2593" s="54">
        <f>IF(_imp!$C$2595="","",INDEX(_imp!$G$4:$G$4503,_imp!$C$2595))</f>
        <v/>
      </c>
      <c r="E2593" s="54">
        <f>IF(_imp!$C$2595="","",INDEX(_imp!$H$4:$H$4503,_imp!$C$2595))</f>
        <v/>
      </c>
      <c r="F2593" s="54">
        <f>IF(_imp!$C$2595="","",INDEX(_imp!$I$4:$I$4503,_imp!$C$2595))</f>
        <v/>
      </c>
      <c r="G2593" s="54">
        <f>IF(_imp!$C$2595="","",INDEX(_imp!$J$4:$J$4503,_imp!$C$2595))</f>
        <v/>
      </c>
      <c r="K2593" s="54">
        <f>IF(_imp!$C$2595="","",INDEX(_imp!$K$4:$K$4503,_imp!$C$2595))</f>
        <v/>
      </c>
    </row>
    <row r="2594">
      <c r="A2594" s="54">
        <f>IF(_imp!$C$2596="","",INDEX(_imp!$D$4:$D$4503,_imp!$C$2596))</f>
        <v/>
      </c>
      <c r="B2594" s="54">
        <f>IF(_imp!$C$2596="","",INDEX(_imp!$E$4:$E$4503,_imp!$C$2596))</f>
        <v/>
      </c>
      <c r="C2594" s="54">
        <f>IF(_imp!$C$2596="","",INDEX(_imp!$F$4:$F$4503,_imp!$C$2596))</f>
        <v/>
      </c>
      <c r="D2594" s="54">
        <f>IF(_imp!$C$2596="","",INDEX(_imp!$G$4:$G$4503,_imp!$C$2596))</f>
        <v/>
      </c>
      <c r="E2594" s="54">
        <f>IF(_imp!$C$2596="","",INDEX(_imp!$H$4:$H$4503,_imp!$C$2596))</f>
        <v/>
      </c>
      <c r="F2594" s="54">
        <f>IF(_imp!$C$2596="","",INDEX(_imp!$I$4:$I$4503,_imp!$C$2596))</f>
        <v/>
      </c>
      <c r="G2594" s="54">
        <f>IF(_imp!$C$2596="","",INDEX(_imp!$J$4:$J$4503,_imp!$C$2596))</f>
        <v/>
      </c>
      <c r="K2594" s="54">
        <f>IF(_imp!$C$2596="","",INDEX(_imp!$K$4:$K$4503,_imp!$C$2596))</f>
        <v/>
      </c>
    </row>
    <row r="2595">
      <c r="A2595" s="54">
        <f>IF(_imp!$C$2597="","",INDEX(_imp!$D$4:$D$4503,_imp!$C$2597))</f>
        <v/>
      </c>
      <c r="B2595" s="54">
        <f>IF(_imp!$C$2597="","",INDEX(_imp!$E$4:$E$4503,_imp!$C$2597))</f>
        <v/>
      </c>
      <c r="C2595" s="54">
        <f>IF(_imp!$C$2597="","",INDEX(_imp!$F$4:$F$4503,_imp!$C$2597))</f>
        <v/>
      </c>
      <c r="D2595" s="54">
        <f>IF(_imp!$C$2597="","",INDEX(_imp!$G$4:$G$4503,_imp!$C$2597))</f>
        <v/>
      </c>
      <c r="E2595" s="54">
        <f>IF(_imp!$C$2597="","",INDEX(_imp!$H$4:$H$4503,_imp!$C$2597))</f>
        <v/>
      </c>
      <c r="F2595" s="54">
        <f>IF(_imp!$C$2597="","",INDEX(_imp!$I$4:$I$4503,_imp!$C$2597))</f>
        <v/>
      </c>
      <c r="G2595" s="54">
        <f>IF(_imp!$C$2597="","",INDEX(_imp!$J$4:$J$4503,_imp!$C$2597))</f>
        <v/>
      </c>
      <c r="K2595" s="54">
        <f>IF(_imp!$C$2597="","",INDEX(_imp!$K$4:$K$4503,_imp!$C$2597))</f>
        <v/>
      </c>
    </row>
    <row r="2596">
      <c r="A2596" s="54">
        <f>IF(_imp!$C$2598="","",INDEX(_imp!$D$4:$D$4503,_imp!$C$2598))</f>
        <v/>
      </c>
      <c r="B2596" s="54">
        <f>IF(_imp!$C$2598="","",INDEX(_imp!$E$4:$E$4503,_imp!$C$2598))</f>
        <v/>
      </c>
      <c r="C2596" s="54">
        <f>IF(_imp!$C$2598="","",INDEX(_imp!$F$4:$F$4503,_imp!$C$2598))</f>
        <v/>
      </c>
      <c r="D2596" s="54">
        <f>IF(_imp!$C$2598="","",INDEX(_imp!$G$4:$G$4503,_imp!$C$2598))</f>
        <v/>
      </c>
      <c r="E2596" s="54">
        <f>IF(_imp!$C$2598="","",INDEX(_imp!$H$4:$H$4503,_imp!$C$2598))</f>
        <v/>
      </c>
      <c r="F2596" s="54">
        <f>IF(_imp!$C$2598="","",INDEX(_imp!$I$4:$I$4503,_imp!$C$2598))</f>
        <v/>
      </c>
      <c r="G2596" s="54">
        <f>IF(_imp!$C$2598="","",INDEX(_imp!$J$4:$J$4503,_imp!$C$2598))</f>
        <v/>
      </c>
      <c r="K2596" s="54">
        <f>IF(_imp!$C$2598="","",INDEX(_imp!$K$4:$K$4503,_imp!$C$2598))</f>
        <v/>
      </c>
    </row>
    <row r="2597">
      <c r="A2597" s="54">
        <f>IF(_imp!$C$2599="","",INDEX(_imp!$D$4:$D$4503,_imp!$C$2599))</f>
        <v/>
      </c>
      <c r="B2597" s="54">
        <f>IF(_imp!$C$2599="","",INDEX(_imp!$E$4:$E$4503,_imp!$C$2599))</f>
        <v/>
      </c>
      <c r="C2597" s="54">
        <f>IF(_imp!$C$2599="","",INDEX(_imp!$F$4:$F$4503,_imp!$C$2599))</f>
        <v/>
      </c>
      <c r="D2597" s="54">
        <f>IF(_imp!$C$2599="","",INDEX(_imp!$G$4:$G$4503,_imp!$C$2599))</f>
        <v/>
      </c>
      <c r="E2597" s="54">
        <f>IF(_imp!$C$2599="","",INDEX(_imp!$H$4:$H$4503,_imp!$C$2599))</f>
        <v/>
      </c>
      <c r="F2597" s="54">
        <f>IF(_imp!$C$2599="","",INDEX(_imp!$I$4:$I$4503,_imp!$C$2599))</f>
        <v/>
      </c>
      <c r="G2597" s="54">
        <f>IF(_imp!$C$2599="","",INDEX(_imp!$J$4:$J$4503,_imp!$C$2599))</f>
        <v/>
      </c>
      <c r="K2597" s="54">
        <f>IF(_imp!$C$2599="","",INDEX(_imp!$K$4:$K$4503,_imp!$C$2599))</f>
        <v/>
      </c>
    </row>
    <row r="2598">
      <c r="A2598" s="54">
        <f>IF(_imp!$C$2600="","",INDEX(_imp!$D$4:$D$4503,_imp!$C$2600))</f>
        <v/>
      </c>
      <c r="B2598" s="54">
        <f>IF(_imp!$C$2600="","",INDEX(_imp!$E$4:$E$4503,_imp!$C$2600))</f>
        <v/>
      </c>
      <c r="C2598" s="54">
        <f>IF(_imp!$C$2600="","",INDEX(_imp!$F$4:$F$4503,_imp!$C$2600))</f>
        <v/>
      </c>
      <c r="D2598" s="54">
        <f>IF(_imp!$C$2600="","",INDEX(_imp!$G$4:$G$4503,_imp!$C$2600))</f>
        <v/>
      </c>
      <c r="E2598" s="54">
        <f>IF(_imp!$C$2600="","",INDEX(_imp!$H$4:$H$4503,_imp!$C$2600))</f>
        <v/>
      </c>
      <c r="F2598" s="54">
        <f>IF(_imp!$C$2600="","",INDEX(_imp!$I$4:$I$4503,_imp!$C$2600))</f>
        <v/>
      </c>
      <c r="G2598" s="54">
        <f>IF(_imp!$C$2600="","",INDEX(_imp!$J$4:$J$4503,_imp!$C$2600))</f>
        <v/>
      </c>
      <c r="K2598" s="54">
        <f>IF(_imp!$C$2600="","",INDEX(_imp!$K$4:$K$4503,_imp!$C$2600))</f>
        <v/>
      </c>
    </row>
    <row r="2599">
      <c r="A2599" s="54">
        <f>IF(_imp!$C$2601="","",INDEX(_imp!$D$4:$D$4503,_imp!$C$2601))</f>
        <v/>
      </c>
      <c r="B2599" s="54">
        <f>IF(_imp!$C$2601="","",INDEX(_imp!$E$4:$E$4503,_imp!$C$2601))</f>
        <v/>
      </c>
      <c r="C2599" s="54">
        <f>IF(_imp!$C$2601="","",INDEX(_imp!$F$4:$F$4503,_imp!$C$2601))</f>
        <v/>
      </c>
      <c r="D2599" s="54">
        <f>IF(_imp!$C$2601="","",INDEX(_imp!$G$4:$G$4503,_imp!$C$2601))</f>
        <v/>
      </c>
      <c r="E2599" s="54">
        <f>IF(_imp!$C$2601="","",INDEX(_imp!$H$4:$H$4503,_imp!$C$2601))</f>
        <v/>
      </c>
      <c r="F2599" s="54">
        <f>IF(_imp!$C$2601="","",INDEX(_imp!$I$4:$I$4503,_imp!$C$2601))</f>
        <v/>
      </c>
      <c r="G2599" s="54">
        <f>IF(_imp!$C$2601="","",INDEX(_imp!$J$4:$J$4503,_imp!$C$2601))</f>
        <v/>
      </c>
      <c r="K2599" s="54">
        <f>IF(_imp!$C$2601="","",INDEX(_imp!$K$4:$K$4503,_imp!$C$2601))</f>
        <v/>
      </c>
    </row>
    <row r="2600">
      <c r="A2600" s="54">
        <f>IF(_imp!$C$2602="","",INDEX(_imp!$D$4:$D$4503,_imp!$C$2602))</f>
        <v/>
      </c>
      <c r="B2600" s="54">
        <f>IF(_imp!$C$2602="","",INDEX(_imp!$E$4:$E$4503,_imp!$C$2602))</f>
        <v/>
      </c>
      <c r="C2600" s="54">
        <f>IF(_imp!$C$2602="","",INDEX(_imp!$F$4:$F$4503,_imp!$C$2602))</f>
        <v/>
      </c>
      <c r="D2600" s="54">
        <f>IF(_imp!$C$2602="","",INDEX(_imp!$G$4:$G$4503,_imp!$C$2602))</f>
        <v/>
      </c>
      <c r="E2600" s="54">
        <f>IF(_imp!$C$2602="","",INDEX(_imp!$H$4:$H$4503,_imp!$C$2602))</f>
        <v/>
      </c>
      <c r="F2600" s="54">
        <f>IF(_imp!$C$2602="","",INDEX(_imp!$I$4:$I$4503,_imp!$C$2602))</f>
        <v/>
      </c>
      <c r="G2600" s="54">
        <f>IF(_imp!$C$2602="","",INDEX(_imp!$J$4:$J$4503,_imp!$C$2602))</f>
        <v/>
      </c>
      <c r="K2600" s="54">
        <f>IF(_imp!$C$2602="","",INDEX(_imp!$K$4:$K$4503,_imp!$C$2602))</f>
        <v/>
      </c>
    </row>
    <row r="2601">
      <c r="A2601" s="54">
        <f>IF(_imp!$C$2603="","",INDEX(_imp!$D$4:$D$4503,_imp!$C$2603))</f>
        <v/>
      </c>
      <c r="B2601" s="54">
        <f>IF(_imp!$C$2603="","",INDEX(_imp!$E$4:$E$4503,_imp!$C$2603))</f>
        <v/>
      </c>
      <c r="C2601" s="54">
        <f>IF(_imp!$C$2603="","",INDEX(_imp!$F$4:$F$4503,_imp!$C$2603))</f>
        <v/>
      </c>
      <c r="D2601" s="54">
        <f>IF(_imp!$C$2603="","",INDEX(_imp!$G$4:$G$4503,_imp!$C$2603))</f>
        <v/>
      </c>
      <c r="E2601" s="54">
        <f>IF(_imp!$C$2603="","",INDEX(_imp!$H$4:$H$4503,_imp!$C$2603))</f>
        <v/>
      </c>
      <c r="F2601" s="54">
        <f>IF(_imp!$C$2603="","",INDEX(_imp!$I$4:$I$4503,_imp!$C$2603))</f>
        <v/>
      </c>
      <c r="G2601" s="54">
        <f>IF(_imp!$C$2603="","",INDEX(_imp!$J$4:$J$4503,_imp!$C$2603))</f>
        <v/>
      </c>
      <c r="K2601" s="54">
        <f>IF(_imp!$C$2603="","",INDEX(_imp!$K$4:$K$4503,_imp!$C$2603))</f>
        <v/>
      </c>
    </row>
    <row r="2602">
      <c r="A2602" s="54">
        <f>IF(_imp!$C$2604="","",INDEX(_imp!$D$4:$D$4503,_imp!$C$2604))</f>
        <v/>
      </c>
      <c r="B2602" s="54">
        <f>IF(_imp!$C$2604="","",INDEX(_imp!$E$4:$E$4503,_imp!$C$2604))</f>
        <v/>
      </c>
      <c r="C2602" s="54">
        <f>IF(_imp!$C$2604="","",INDEX(_imp!$F$4:$F$4503,_imp!$C$2604))</f>
        <v/>
      </c>
      <c r="D2602" s="54">
        <f>IF(_imp!$C$2604="","",INDEX(_imp!$G$4:$G$4503,_imp!$C$2604))</f>
        <v/>
      </c>
      <c r="E2602" s="54">
        <f>IF(_imp!$C$2604="","",INDEX(_imp!$H$4:$H$4503,_imp!$C$2604))</f>
        <v/>
      </c>
      <c r="F2602" s="54">
        <f>IF(_imp!$C$2604="","",INDEX(_imp!$I$4:$I$4503,_imp!$C$2604))</f>
        <v/>
      </c>
      <c r="G2602" s="54">
        <f>IF(_imp!$C$2604="","",INDEX(_imp!$J$4:$J$4503,_imp!$C$2604))</f>
        <v/>
      </c>
      <c r="K2602" s="54">
        <f>IF(_imp!$C$2604="","",INDEX(_imp!$K$4:$K$4503,_imp!$C$2604))</f>
        <v/>
      </c>
    </row>
    <row r="2603">
      <c r="A2603" s="54">
        <f>IF(_imp!$C$2605="","",INDEX(_imp!$D$4:$D$4503,_imp!$C$2605))</f>
        <v/>
      </c>
      <c r="B2603" s="54">
        <f>IF(_imp!$C$2605="","",INDEX(_imp!$E$4:$E$4503,_imp!$C$2605))</f>
        <v/>
      </c>
      <c r="C2603" s="54">
        <f>IF(_imp!$C$2605="","",INDEX(_imp!$F$4:$F$4503,_imp!$C$2605))</f>
        <v/>
      </c>
      <c r="D2603" s="54">
        <f>IF(_imp!$C$2605="","",INDEX(_imp!$G$4:$G$4503,_imp!$C$2605))</f>
        <v/>
      </c>
      <c r="E2603" s="54">
        <f>IF(_imp!$C$2605="","",INDEX(_imp!$H$4:$H$4503,_imp!$C$2605))</f>
        <v/>
      </c>
      <c r="F2603" s="54">
        <f>IF(_imp!$C$2605="","",INDEX(_imp!$I$4:$I$4503,_imp!$C$2605))</f>
        <v/>
      </c>
      <c r="G2603" s="54">
        <f>IF(_imp!$C$2605="","",INDEX(_imp!$J$4:$J$4503,_imp!$C$2605))</f>
        <v/>
      </c>
      <c r="K2603" s="54">
        <f>IF(_imp!$C$2605="","",INDEX(_imp!$K$4:$K$4503,_imp!$C$2605))</f>
        <v/>
      </c>
    </row>
    <row r="2604">
      <c r="A2604" s="54">
        <f>IF(_imp!$C$2606="","",INDEX(_imp!$D$4:$D$4503,_imp!$C$2606))</f>
        <v/>
      </c>
      <c r="B2604" s="54">
        <f>IF(_imp!$C$2606="","",INDEX(_imp!$E$4:$E$4503,_imp!$C$2606))</f>
        <v/>
      </c>
      <c r="C2604" s="54">
        <f>IF(_imp!$C$2606="","",INDEX(_imp!$F$4:$F$4503,_imp!$C$2606))</f>
        <v/>
      </c>
      <c r="D2604" s="54">
        <f>IF(_imp!$C$2606="","",INDEX(_imp!$G$4:$G$4503,_imp!$C$2606))</f>
        <v/>
      </c>
      <c r="E2604" s="54">
        <f>IF(_imp!$C$2606="","",INDEX(_imp!$H$4:$H$4503,_imp!$C$2606))</f>
        <v/>
      </c>
      <c r="F2604" s="54">
        <f>IF(_imp!$C$2606="","",INDEX(_imp!$I$4:$I$4503,_imp!$C$2606))</f>
        <v/>
      </c>
      <c r="G2604" s="54">
        <f>IF(_imp!$C$2606="","",INDEX(_imp!$J$4:$J$4503,_imp!$C$2606))</f>
        <v/>
      </c>
      <c r="K2604" s="54">
        <f>IF(_imp!$C$2606="","",INDEX(_imp!$K$4:$K$4503,_imp!$C$2606))</f>
        <v/>
      </c>
    </row>
    <row r="2605">
      <c r="A2605" s="54">
        <f>IF(_imp!$C$2607="","",INDEX(_imp!$D$4:$D$4503,_imp!$C$2607))</f>
        <v/>
      </c>
      <c r="B2605" s="54">
        <f>IF(_imp!$C$2607="","",INDEX(_imp!$E$4:$E$4503,_imp!$C$2607))</f>
        <v/>
      </c>
      <c r="C2605" s="54">
        <f>IF(_imp!$C$2607="","",INDEX(_imp!$F$4:$F$4503,_imp!$C$2607))</f>
        <v/>
      </c>
      <c r="D2605" s="54">
        <f>IF(_imp!$C$2607="","",INDEX(_imp!$G$4:$G$4503,_imp!$C$2607))</f>
        <v/>
      </c>
      <c r="E2605" s="54">
        <f>IF(_imp!$C$2607="","",INDEX(_imp!$H$4:$H$4503,_imp!$C$2607))</f>
        <v/>
      </c>
      <c r="F2605" s="54">
        <f>IF(_imp!$C$2607="","",INDEX(_imp!$I$4:$I$4503,_imp!$C$2607))</f>
        <v/>
      </c>
      <c r="G2605" s="54">
        <f>IF(_imp!$C$2607="","",INDEX(_imp!$J$4:$J$4503,_imp!$C$2607))</f>
        <v/>
      </c>
      <c r="K2605" s="54">
        <f>IF(_imp!$C$2607="","",INDEX(_imp!$K$4:$K$4503,_imp!$C$2607))</f>
        <v/>
      </c>
    </row>
    <row r="2606">
      <c r="A2606" s="54">
        <f>IF(_imp!$C$2608="","",INDEX(_imp!$D$4:$D$4503,_imp!$C$2608))</f>
        <v/>
      </c>
      <c r="B2606" s="54">
        <f>IF(_imp!$C$2608="","",INDEX(_imp!$E$4:$E$4503,_imp!$C$2608))</f>
        <v/>
      </c>
      <c r="C2606" s="54">
        <f>IF(_imp!$C$2608="","",INDEX(_imp!$F$4:$F$4503,_imp!$C$2608))</f>
        <v/>
      </c>
      <c r="D2606" s="54">
        <f>IF(_imp!$C$2608="","",INDEX(_imp!$G$4:$G$4503,_imp!$C$2608))</f>
        <v/>
      </c>
      <c r="E2606" s="54">
        <f>IF(_imp!$C$2608="","",INDEX(_imp!$H$4:$H$4503,_imp!$C$2608))</f>
        <v/>
      </c>
      <c r="F2606" s="54">
        <f>IF(_imp!$C$2608="","",INDEX(_imp!$I$4:$I$4503,_imp!$C$2608))</f>
        <v/>
      </c>
      <c r="G2606" s="54">
        <f>IF(_imp!$C$2608="","",INDEX(_imp!$J$4:$J$4503,_imp!$C$2608))</f>
        <v/>
      </c>
      <c r="K2606" s="54">
        <f>IF(_imp!$C$2608="","",INDEX(_imp!$K$4:$K$4503,_imp!$C$2608))</f>
        <v/>
      </c>
    </row>
    <row r="2607">
      <c r="A2607" s="54">
        <f>IF(_imp!$C$2609="","",INDEX(_imp!$D$4:$D$4503,_imp!$C$2609))</f>
        <v/>
      </c>
      <c r="B2607" s="54">
        <f>IF(_imp!$C$2609="","",INDEX(_imp!$E$4:$E$4503,_imp!$C$2609))</f>
        <v/>
      </c>
      <c r="C2607" s="54">
        <f>IF(_imp!$C$2609="","",INDEX(_imp!$F$4:$F$4503,_imp!$C$2609))</f>
        <v/>
      </c>
      <c r="D2607" s="54">
        <f>IF(_imp!$C$2609="","",INDEX(_imp!$G$4:$G$4503,_imp!$C$2609))</f>
        <v/>
      </c>
      <c r="E2607" s="54">
        <f>IF(_imp!$C$2609="","",INDEX(_imp!$H$4:$H$4503,_imp!$C$2609))</f>
        <v/>
      </c>
      <c r="F2607" s="54">
        <f>IF(_imp!$C$2609="","",INDEX(_imp!$I$4:$I$4503,_imp!$C$2609))</f>
        <v/>
      </c>
      <c r="G2607" s="54">
        <f>IF(_imp!$C$2609="","",INDEX(_imp!$J$4:$J$4503,_imp!$C$2609))</f>
        <v/>
      </c>
      <c r="K2607" s="54">
        <f>IF(_imp!$C$2609="","",INDEX(_imp!$K$4:$K$4503,_imp!$C$2609))</f>
        <v/>
      </c>
    </row>
    <row r="2608">
      <c r="A2608" s="54">
        <f>IF(_imp!$C$2610="","",INDEX(_imp!$D$4:$D$4503,_imp!$C$2610))</f>
        <v/>
      </c>
      <c r="B2608" s="54">
        <f>IF(_imp!$C$2610="","",INDEX(_imp!$E$4:$E$4503,_imp!$C$2610))</f>
        <v/>
      </c>
      <c r="C2608" s="54">
        <f>IF(_imp!$C$2610="","",INDEX(_imp!$F$4:$F$4503,_imp!$C$2610))</f>
        <v/>
      </c>
      <c r="D2608" s="54">
        <f>IF(_imp!$C$2610="","",INDEX(_imp!$G$4:$G$4503,_imp!$C$2610))</f>
        <v/>
      </c>
      <c r="E2608" s="54">
        <f>IF(_imp!$C$2610="","",INDEX(_imp!$H$4:$H$4503,_imp!$C$2610))</f>
        <v/>
      </c>
      <c r="F2608" s="54">
        <f>IF(_imp!$C$2610="","",INDEX(_imp!$I$4:$I$4503,_imp!$C$2610))</f>
        <v/>
      </c>
      <c r="G2608" s="54">
        <f>IF(_imp!$C$2610="","",INDEX(_imp!$J$4:$J$4503,_imp!$C$2610))</f>
        <v/>
      </c>
      <c r="K2608" s="54">
        <f>IF(_imp!$C$2610="","",INDEX(_imp!$K$4:$K$4503,_imp!$C$2610))</f>
        <v/>
      </c>
    </row>
    <row r="2609">
      <c r="A2609" s="54">
        <f>IF(_imp!$C$2611="","",INDEX(_imp!$D$4:$D$4503,_imp!$C$2611))</f>
        <v/>
      </c>
      <c r="B2609" s="54">
        <f>IF(_imp!$C$2611="","",INDEX(_imp!$E$4:$E$4503,_imp!$C$2611))</f>
        <v/>
      </c>
      <c r="C2609" s="54">
        <f>IF(_imp!$C$2611="","",INDEX(_imp!$F$4:$F$4503,_imp!$C$2611))</f>
        <v/>
      </c>
      <c r="D2609" s="54">
        <f>IF(_imp!$C$2611="","",INDEX(_imp!$G$4:$G$4503,_imp!$C$2611))</f>
        <v/>
      </c>
      <c r="E2609" s="54">
        <f>IF(_imp!$C$2611="","",INDEX(_imp!$H$4:$H$4503,_imp!$C$2611))</f>
        <v/>
      </c>
      <c r="F2609" s="54">
        <f>IF(_imp!$C$2611="","",INDEX(_imp!$I$4:$I$4503,_imp!$C$2611))</f>
        <v/>
      </c>
      <c r="G2609" s="54">
        <f>IF(_imp!$C$2611="","",INDEX(_imp!$J$4:$J$4503,_imp!$C$2611))</f>
        <v/>
      </c>
      <c r="K2609" s="54">
        <f>IF(_imp!$C$2611="","",INDEX(_imp!$K$4:$K$4503,_imp!$C$2611))</f>
        <v/>
      </c>
    </row>
    <row r="2610">
      <c r="A2610" s="54">
        <f>IF(_imp!$C$2612="","",INDEX(_imp!$D$4:$D$4503,_imp!$C$2612))</f>
        <v/>
      </c>
      <c r="B2610" s="54">
        <f>IF(_imp!$C$2612="","",INDEX(_imp!$E$4:$E$4503,_imp!$C$2612))</f>
        <v/>
      </c>
      <c r="C2610" s="54">
        <f>IF(_imp!$C$2612="","",INDEX(_imp!$F$4:$F$4503,_imp!$C$2612))</f>
        <v/>
      </c>
      <c r="D2610" s="54">
        <f>IF(_imp!$C$2612="","",INDEX(_imp!$G$4:$G$4503,_imp!$C$2612))</f>
        <v/>
      </c>
      <c r="E2610" s="54">
        <f>IF(_imp!$C$2612="","",INDEX(_imp!$H$4:$H$4503,_imp!$C$2612))</f>
        <v/>
      </c>
      <c r="F2610" s="54">
        <f>IF(_imp!$C$2612="","",INDEX(_imp!$I$4:$I$4503,_imp!$C$2612))</f>
        <v/>
      </c>
      <c r="G2610" s="54">
        <f>IF(_imp!$C$2612="","",INDEX(_imp!$J$4:$J$4503,_imp!$C$2612))</f>
        <v/>
      </c>
      <c r="K2610" s="54">
        <f>IF(_imp!$C$2612="","",INDEX(_imp!$K$4:$K$4503,_imp!$C$2612))</f>
        <v/>
      </c>
    </row>
    <row r="2611">
      <c r="A2611" s="54">
        <f>IF(_imp!$C$2613="","",INDEX(_imp!$D$4:$D$4503,_imp!$C$2613))</f>
        <v/>
      </c>
      <c r="B2611" s="54">
        <f>IF(_imp!$C$2613="","",INDEX(_imp!$E$4:$E$4503,_imp!$C$2613))</f>
        <v/>
      </c>
      <c r="C2611" s="54">
        <f>IF(_imp!$C$2613="","",INDEX(_imp!$F$4:$F$4503,_imp!$C$2613))</f>
        <v/>
      </c>
      <c r="D2611" s="54">
        <f>IF(_imp!$C$2613="","",INDEX(_imp!$G$4:$G$4503,_imp!$C$2613))</f>
        <v/>
      </c>
      <c r="E2611" s="54">
        <f>IF(_imp!$C$2613="","",INDEX(_imp!$H$4:$H$4503,_imp!$C$2613))</f>
        <v/>
      </c>
      <c r="F2611" s="54">
        <f>IF(_imp!$C$2613="","",INDEX(_imp!$I$4:$I$4503,_imp!$C$2613))</f>
        <v/>
      </c>
      <c r="G2611" s="54">
        <f>IF(_imp!$C$2613="","",INDEX(_imp!$J$4:$J$4503,_imp!$C$2613))</f>
        <v/>
      </c>
      <c r="K2611" s="54">
        <f>IF(_imp!$C$2613="","",INDEX(_imp!$K$4:$K$4503,_imp!$C$2613))</f>
        <v/>
      </c>
    </row>
    <row r="2612">
      <c r="A2612" s="54">
        <f>IF(_imp!$C$2614="","",INDEX(_imp!$D$4:$D$4503,_imp!$C$2614))</f>
        <v/>
      </c>
      <c r="B2612" s="54">
        <f>IF(_imp!$C$2614="","",INDEX(_imp!$E$4:$E$4503,_imp!$C$2614))</f>
        <v/>
      </c>
      <c r="C2612" s="54">
        <f>IF(_imp!$C$2614="","",INDEX(_imp!$F$4:$F$4503,_imp!$C$2614))</f>
        <v/>
      </c>
      <c r="D2612" s="54">
        <f>IF(_imp!$C$2614="","",INDEX(_imp!$G$4:$G$4503,_imp!$C$2614))</f>
        <v/>
      </c>
      <c r="E2612" s="54">
        <f>IF(_imp!$C$2614="","",INDEX(_imp!$H$4:$H$4503,_imp!$C$2614))</f>
        <v/>
      </c>
      <c r="F2612" s="54">
        <f>IF(_imp!$C$2614="","",INDEX(_imp!$I$4:$I$4503,_imp!$C$2614))</f>
        <v/>
      </c>
      <c r="G2612" s="54">
        <f>IF(_imp!$C$2614="","",INDEX(_imp!$J$4:$J$4503,_imp!$C$2614))</f>
        <v/>
      </c>
      <c r="K2612" s="54">
        <f>IF(_imp!$C$2614="","",INDEX(_imp!$K$4:$K$4503,_imp!$C$2614))</f>
        <v/>
      </c>
    </row>
    <row r="2613">
      <c r="A2613" s="54">
        <f>IF(_imp!$C$2615="","",INDEX(_imp!$D$4:$D$4503,_imp!$C$2615))</f>
        <v/>
      </c>
      <c r="B2613" s="54">
        <f>IF(_imp!$C$2615="","",INDEX(_imp!$E$4:$E$4503,_imp!$C$2615))</f>
        <v/>
      </c>
      <c r="C2613" s="54">
        <f>IF(_imp!$C$2615="","",INDEX(_imp!$F$4:$F$4503,_imp!$C$2615))</f>
        <v/>
      </c>
      <c r="D2613" s="54">
        <f>IF(_imp!$C$2615="","",INDEX(_imp!$G$4:$G$4503,_imp!$C$2615))</f>
        <v/>
      </c>
      <c r="E2613" s="54">
        <f>IF(_imp!$C$2615="","",INDEX(_imp!$H$4:$H$4503,_imp!$C$2615))</f>
        <v/>
      </c>
      <c r="F2613" s="54">
        <f>IF(_imp!$C$2615="","",INDEX(_imp!$I$4:$I$4503,_imp!$C$2615))</f>
        <v/>
      </c>
      <c r="G2613" s="54">
        <f>IF(_imp!$C$2615="","",INDEX(_imp!$J$4:$J$4503,_imp!$C$2615))</f>
        <v/>
      </c>
      <c r="K2613" s="54">
        <f>IF(_imp!$C$2615="","",INDEX(_imp!$K$4:$K$4503,_imp!$C$2615))</f>
        <v/>
      </c>
    </row>
    <row r="2614">
      <c r="A2614" s="54">
        <f>IF(_imp!$C$2616="","",INDEX(_imp!$D$4:$D$4503,_imp!$C$2616))</f>
        <v/>
      </c>
      <c r="B2614" s="54">
        <f>IF(_imp!$C$2616="","",INDEX(_imp!$E$4:$E$4503,_imp!$C$2616))</f>
        <v/>
      </c>
      <c r="C2614" s="54">
        <f>IF(_imp!$C$2616="","",INDEX(_imp!$F$4:$F$4503,_imp!$C$2616))</f>
        <v/>
      </c>
      <c r="D2614" s="54">
        <f>IF(_imp!$C$2616="","",INDEX(_imp!$G$4:$G$4503,_imp!$C$2616))</f>
        <v/>
      </c>
      <c r="E2614" s="54">
        <f>IF(_imp!$C$2616="","",INDEX(_imp!$H$4:$H$4503,_imp!$C$2616))</f>
        <v/>
      </c>
      <c r="F2614" s="54">
        <f>IF(_imp!$C$2616="","",INDEX(_imp!$I$4:$I$4503,_imp!$C$2616))</f>
        <v/>
      </c>
      <c r="G2614" s="54">
        <f>IF(_imp!$C$2616="","",INDEX(_imp!$J$4:$J$4503,_imp!$C$2616))</f>
        <v/>
      </c>
      <c r="K2614" s="54">
        <f>IF(_imp!$C$2616="","",INDEX(_imp!$K$4:$K$4503,_imp!$C$2616))</f>
        <v/>
      </c>
    </row>
    <row r="2615">
      <c r="A2615" s="54">
        <f>IF(_imp!$C$2617="","",INDEX(_imp!$D$4:$D$4503,_imp!$C$2617))</f>
        <v/>
      </c>
      <c r="B2615" s="54">
        <f>IF(_imp!$C$2617="","",INDEX(_imp!$E$4:$E$4503,_imp!$C$2617))</f>
        <v/>
      </c>
      <c r="C2615" s="54">
        <f>IF(_imp!$C$2617="","",INDEX(_imp!$F$4:$F$4503,_imp!$C$2617))</f>
        <v/>
      </c>
      <c r="D2615" s="54">
        <f>IF(_imp!$C$2617="","",INDEX(_imp!$G$4:$G$4503,_imp!$C$2617))</f>
        <v/>
      </c>
      <c r="E2615" s="54">
        <f>IF(_imp!$C$2617="","",INDEX(_imp!$H$4:$H$4503,_imp!$C$2617))</f>
        <v/>
      </c>
      <c r="F2615" s="54">
        <f>IF(_imp!$C$2617="","",INDEX(_imp!$I$4:$I$4503,_imp!$C$2617))</f>
        <v/>
      </c>
      <c r="G2615" s="54">
        <f>IF(_imp!$C$2617="","",INDEX(_imp!$J$4:$J$4503,_imp!$C$2617))</f>
        <v/>
      </c>
      <c r="K2615" s="54">
        <f>IF(_imp!$C$2617="","",INDEX(_imp!$K$4:$K$4503,_imp!$C$2617))</f>
        <v/>
      </c>
    </row>
    <row r="2616">
      <c r="A2616" s="54">
        <f>IF(_imp!$C$2618="","",INDEX(_imp!$D$4:$D$4503,_imp!$C$2618))</f>
        <v/>
      </c>
      <c r="B2616" s="54">
        <f>IF(_imp!$C$2618="","",INDEX(_imp!$E$4:$E$4503,_imp!$C$2618))</f>
        <v/>
      </c>
      <c r="C2616" s="54">
        <f>IF(_imp!$C$2618="","",INDEX(_imp!$F$4:$F$4503,_imp!$C$2618))</f>
        <v/>
      </c>
      <c r="D2616" s="54">
        <f>IF(_imp!$C$2618="","",INDEX(_imp!$G$4:$G$4503,_imp!$C$2618))</f>
        <v/>
      </c>
      <c r="E2616" s="54">
        <f>IF(_imp!$C$2618="","",INDEX(_imp!$H$4:$H$4503,_imp!$C$2618))</f>
        <v/>
      </c>
      <c r="F2616" s="54">
        <f>IF(_imp!$C$2618="","",INDEX(_imp!$I$4:$I$4503,_imp!$C$2618))</f>
        <v/>
      </c>
      <c r="G2616" s="54">
        <f>IF(_imp!$C$2618="","",INDEX(_imp!$J$4:$J$4503,_imp!$C$2618))</f>
        <v/>
      </c>
      <c r="K2616" s="54">
        <f>IF(_imp!$C$2618="","",INDEX(_imp!$K$4:$K$4503,_imp!$C$2618))</f>
        <v/>
      </c>
    </row>
    <row r="2617">
      <c r="A2617" s="54">
        <f>IF(_imp!$C$2619="","",INDEX(_imp!$D$4:$D$4503,_imp!$C$2619))</f>
        <v/>
      </c>
      <c r="B2617" s="54">
        <f>IF(_imp!$C$2619="","",INDEX(_imp!$E$4:$E$4503,_imp!$C$2619))</f>
        <v/>
      </c>
      <c r="C2617" s="54">
        <f>IF(_imp!$C$2619="","",INDEX(_imp!$F$4:$F$4503,_imp!$C$2619))</f>
        <v/>
      </c>
      <c r="D2617" s="54">
        <f>IF(_imp!$C$2619="","",INDEX(_imp!$G$4:$G$4503,_imp!$C$2619))</f>
        <v/>
      </c>
      <c r="E2617" s="54">
        <f>IF(_imp!$C$2619="","",INDEX(_imp!$H$4:$H$4503,_imp!$C$2619))</f>
        <v/>
      </c>
      <c r="F2617" s="54">
        <f>IF(_imp!$C$2619="","",INDEX(_imp!$I$4:$I$4503,_imp!$C$2619))</f>
        <v/>
      </c>
      <c r="G2617" s="54">
        <f>IF(_imp!$C$2619="","",INDEX(_imp!$J$4:$J$4503,_imp!$C$2619))</f>
        <v/>
      </c>
      <c r="K2617" s="54">
        <f>IF(_imp!$C$2619="","",INDEX(_imp!$K$4:$K$4503,_imp!$C$2619))</f>
        <v/>
      </c>
    </row>
    <row r="2618">
      <c r="A2618" s="54">
        <f>IF(_imp!$C$2620="","",INDEX(_imp!$D$4:$D$4503,_imp!$C$2620))</f>
        <v/>
      </c>
      <c r="B2618" s="54">
        <f>IF(_imp!$C$2620="","",INDEX(_imp!$E$4:$E$4503,_imp!$C$2620))</f>
        <v/>
      </c>
      <c r="C2618" s="54">
        <f>IF(_imp!$C$2620="","",INDEX(_imp!$F$4:$F$4503,_imp!$C$2620))</f>
        <v/>
      </c>
      <c r="D2618" s="54">
        <f>IF(_imp!$C$2620="","",INDEX(_imp!$G$4:$G$4503,_imp!$C$2620))</f>
        <v/>
      </c>
      <c r="E2618" s="54">
        <f>IF(_imp!$C$2620="","",INDEX(_imp!$H$4:$H$4503,_imp!$C$2620))</f>
        <v/>
      </c>
      <c r="F2618" s="54">
        <f>IF(_imp!$C$2620="","",INDEX(_imp!$I$4:$I$4503,_imp!$C$2620))</f>
        <v/>
      </c>
      <c r="G2618" s="54">
        <f>IF(_imp!$C$2620="","",INDEX(_imp!$J$4:$J$4503,_imp!$C$2620))</f>
        <v/>
      </c>
      <c r="K2618" s="54">
        <f>IF(_imp!$C$2620="","",INDEX(_imp!$K$4:$K$4503,_imp!$C$2620))</f>
        <v/>
      </c>
    </row>
    <row r="2619">
      <c r="A2619" s="54">
        <f>IF(_imp!$C$2621="","",INDEX(_imp!$D$4:$D$4503,_imp!$C$2621))</f>
        <v/>
      </c>
      <c r="B2619" s="54">
        <f>IF(_imp!$C$2621="","",INDEX(_imp!$E$4:$E$4503,_imp!$C$2621))</f>
        <v/>
      </c>
      <c r="C2619" s="54">
        <f>IF(_imp!$C$2621="","",INDEX(_imp!$F$4:$F$4503,_imp!$C$2621))</f>
        <v/>
      </c>
      <c r="D2619" s="54">
        <f>IF(_imp!$C$2621="","",INDEX(_imp!$G$4:$G$4503,_imp!$C$2621))</f>
        <v/>
      </c>
      <c r="E2619" s="54">
        <f>IF(_imp!$C$2621="","",INDEX(_imp!$H$4:$H$4503,_imp!$C$2621))</f>
        <v/>
      </c>
      <c r="F2619" s="54">
        <f>IF(_imp!$C$2621="","",INDEX(_imp!$I$4:$I$4503,_imp!$C$2621))</f>
        <v/>
      </c>
      <c r="G2619" s="54">
        <f>IF(_imp!$C$2621="","",INDEX(_imp!$J$4:$J$4503,_imp!$C$2621))</f>
        <v/>
      </c>
      <c r="K2619" s="54">
        <f>IF(_imp!$C$2621="","",INDEX(_imp!$K$4:$K$4503,_imp!$C$2621))</f>
        <v/>
      </c>
    </row>
    <row r="2620">
      <c r="A2620" s="54">
        <f>IF(_imp!$C$2622="","",INDEX(_imp!$D$4:$D$4503,_imp!$C$2622))</f>
        <v/>
      </c>
      <c r="B2620" s="54">
        <f>IF(_imp!$C$2622="","",INDEX(_imp!$E$4:$E$4503,_imp!$C$2622))</f>
        <v/>
      </c>
      <c r="C2620" s="54">
        <f>IF(_imp!$C$2622="","",INDEX(_imp!$F$4:$F$4503,_imp!$C$2622))</f>
        <v/>
      </c>
      <c r="D2620" s="54">
        <f>IF(_imp!$C$2622="","",INDEX(_imp!$G$4:$G$4503,_imp!$C$2622))</f>
        <v/>
      </c>
      <c r="E2620" s="54">
        <f>IF(_imp!$C$2622="","",INDEX(_imp!$H$4:$H$4503,_imp!$C$2622))</f>
        <v/>
      </c>
      <c r="F2620" s="54">
        <f>IF(_imp!$C$2622="","",INDEX(_imp!$I$4:$I$4503,_imp!$C$2622))</f>
        <v/>
      </c>
      <c r="G2620" s="54">
        <f>IF(_imp!$C$2622="","",INDEX(_imp!$J$4:$J$4503,_imp!$C$2622))</f>
        <v/>
      </c>
      <c r="K2620" s="54">
        <f>IF(_imp!$C$2622="","",INDEX(_imp!$K$4:$K$4503,_imp!$C$2622))</f>
        <v/>
      </c>
    </row>
    <row r="2621">
      <c r="A2621" s="54">
        <f>IF(_imp!$C$2623="","",INDEX(_imp!$D$4:$D$4503,_imp!$C$2623))</f>
        <v/>
      </c>
      <c r="B2621" s="54">
        <f>IF(_imp!$C$2623="","",INDEX(_imp!$E$4:$E$4503,_imp!$C$2623))</f>
        <v/>
      </c>
      <c r="C2621" s="54">
        <f>IF(_imp!$C$2623="","",INDEX(_imp!$F$4:$F$4503,_imp!$C$2623))</f>
        <v/>
      </c>
      <c r="D2621" s="54">
        <f>IF(_imp!$C$2623="","",INDEX(_imp!$G$4:$G$4503,_imp!$C$2623))</f>
        <v/>
      </c>
      <c r="E2621" s="54">
        <f>IF(_imp!$C$2623="","",INDEX(_imp!$H$4:$H$4503,_imp!$C$2623))</f>
        <v/>
      </c>
      <c r="F2621" s="54">
        <f>IF(_imp!$C$2623="","",INDEX(_imp!$I$4:$I$4503,_imp!$C$2623))</f>
        <v/>
      </c>
      <c r="G2621" s="54">
        <f>IF(_imp!$C$2623="","",INDEX(_imp!$J$4:$J$4503,_imp!$C$2623))</f>
        <v/>
      </c>
      <c r="K2621" s="54">
        <f>IF(_imp!$C$2623="","",INDEX(_imp!$K$4:$K$4503,_imp!$C$2623))</f>
        <v/>
      </c>
    </row>
    <row r="2622">
      <c r="A2622" s="54">
        <f>IF(_imp!$C$2624="","",INDEX(_imp!$D$4:$D$4503,_imp!$C$2624))</f>
        <v/>
      </c>
      <c r="B2622" s="54">
        <f>IF(_imp!$C$2624="","",INDEX(_imp!$E$4:$E$4503,_imp!$C$2624))</f>
        <v/>
      </c>
      <c r="C2622" s="54">
        <f>IF(_imp!$C$2624="","",INDEX(_imp!$F$4:$F$4503,_imp!$C$2624))</f>
        <v/>
      </c>
      <c r="D2622" s="54">
        <f>IF(_imp!$C$2624="","",INDEX(_imp!$G$4:$G$4503,_imp!$C$2624))</f>
        <v/>
      </c>
      <c r="E2622" s="54">
        <f>IF(_imp!$C$2624="","",INDEX(_imp!$H$4:$H$4503,_imp!$C$2624))</f>
        <v/>
      </c>
      <c r="F2622" s="54">
        <f>IF(_imp!$C$2624="","",INDEX(_imp!$I$4:$I$4503,_imp!$C$2624))</f>
        <v/>
      </c>
      <c r="G2622" s="54">
        <f>IF(_imp!$C$2624="","",INDEX(_imp!$J$4:$J$4503,_imp!$C$2624))</f>
        <v/>
      </c>
      <c r="K2622" s="54">
        <f>IF(_imp!$C$2624="","",INDEX(_imp!$K$4:$K$4503,_imp!$C$2624))</f>
        <v/>
      </c>
    </row>
    <row r="2623">
      <c r="A2623" s="54">
        <f>IF(_imp!$C$2625="","",INDEX(_imp!$D$4:$D$4503,_imp!$C$2625))</f>
        <v/>
      </c>
      <c r="B2623" s="54">
        <f>IF(_imp!$C$2625="","",INDEX(_imp!$E$4:$E$4503,_imp!$C$2625))</f>
        <v/>
      </c>
      <c r="C2623" s="54">
        <f>IF(_imp!$C$2625="","",INDEX(_imp!$F$4:$F$4503,_imp!$C$2625))</f>
        <v/>
      </c>
      <c r="D2623" s="54">
        <f>IF(_imp!$C$2625="","",INDEX(_imp!$G$4:$G$4503,_imp!$C$2625))</f>
        <v/>
      </c>
      <c r="E2623" s="54">
        <f>IF(_imp!$C$2625="","",INDEX(_imp!$H$4:$H$4503,_imp!$C$2625))</f>
        <v/>
      </c>
      <c r="F2623" s="54">
        <f>IF(_imp!$C$2625="","",INDEX(_imp!$I$4:$I$4503,_imp!$C$2625))</f>
        <v/>
      </c>
      <c r="G2623" s="54">
        <f>IF(_imp!$C$2625="","",INDEX(_imp!$J$4:$J$4503,_imp!$C$2625))</f>
        <v/>
      </c>
      <c r="K2623" s="54">
        <f>IF(_imp!$C$2625="","",INDEX(_imp!$K$4:$K$4503,_imp!$C$2625))</f>
        <v/>
      </c>
    </row>
    <row r="2624">
      <c r="A2624" s="54">
        <f>IF(_imp!$C$2626="","",INDEX(_imp!$D$4:$D$4503,_imp!$C$2626))</f>
        <v/>
      </c>
      <c r="B2624" s="54">
        <f>IF(_imp!$C$2626="","",INDEX(_imp!$E$4:$E$4503,_imp!$C$2626))</f>
        <v/>
      </c>
      <c r="C2624" s="54">
        <f>IF(_imp!$C$2626="","",INDEX(_imp!$F$4:$F$4503,_imp!$C$2626))</f>
        <v/>
      </c>
      <c r="D2624" s="54">
        <f>IF(_imp!$C$2626="","",INDEX(_imp!$G$4:$G$4503,_imp!$C$2626))</f>
        <v/>
      </c>
      <c r="E2624" s="54">
        <f>IF(_imp!$C$2626="","",INDEX(_imp!$H$4:$H$4503,_imp!$C$2626))</f>
        <v/>
      </c>
      <c r="F2624" s="54">
        <f>IF(_imp!$C$2626="","",INDEX(_imp!$I$4:$I$4503,_imp!$C$2626))</f>
        <v/>
      </c>
      <c r="G2624" s="54">
        <f>IF(_imp!$C$2626="","",INDEX(_imp!$J$4:$J$4503,_imp!$C$2626))</f>
        <v/>
      </c>
      <c r="K2624" s="54">
        <f>IF(_imp!$C$2626="","",INDEX(_imp!$K$4:$K$4503,_imp!$C$2626))</f>
        <v/>
      </c>
    </row>
    <row r="2625">
      <c r="A2625" s="54">
        <f>IF(_imp!$C$2627="","",INDEX(_imp!$D$4:$D$4503,_imp!$C$2627))</f>
        <v/>
      </c>
      <c r="B2625" s="54">
        <f>IF(_imp!$C$2627="","",INDEX(_imp!$E$4:$E$4503,_imp!$C$2627))</f>
        <v/>
      </c>
      <c r="C2625" s="54">
        <f>IF(_imp!$C$2627="","",INDEX(_imp!$F$4:$F$4503,_imp!$C$2627))</f>
        <v/>
      </c>
      <c r="D2625" s="54">
        <f>IF(_imp!$C$2627="","",INDEX(_imp!$G$4:$G$4503,_imp!$C$2627))</f>
        <v/>
      </c>
      <c r="E2625" s="54">
        <f>IF(_imp!$C$2627="","",INDEX(_imp!$H$4:$H$4503,_imp!$C$2627))</f>
        <v/>
      </c>
      <c r="F2625" s="54">
        <f>IF(_imp!$C$2627="","",INDEX(_imp!$I$4:$I$4503,_imp!$C$2627))</f>
        <v/>
      </c>
      <c r="G2625" s="54">
        <f>IF(_imp!$C$2627="","",INDEX(_imp!$J$4:$J$4503,_imp!$C$2627))</f>
        <v/>
      </c>
      <c r="K2625" s="54">
        <f>IF(_imp!$C$2627="","",INDEX(_imp!$K$4:$K$4503,_imp!$C$2627))</f>
        <v/>
      </c>
    </row>
    <row r="2626">
      <c r="A2626" s="54">
        <f>IF(_imp!$C$2628="","",INDEX(_imp!$D$4:$D$4503,_imp!$C$2628))</f>
        <v/>
      </c>
      <c r="B2626" s="54">
        <f>IF(_imp!$C$2628="","",INDEX(_imp!$E$4:$E$4503,_imp!$C$2628))</f>
        <v/>
      </c>
      <c r="C2626" s="54">
        <f>IF(_imp!$C$2628="","",INDEX(_imp!$F$4:$F$4503,_imp!$C$2628))</f>
        <v/>
      </c>
      <c r="D2626" s="54">
        <f>IF(_imp!$C$2628="","",INDEX(_imp!$G$4:$G$4503,_imp!$C$2628))</f>
        <v/>
      </c>
      <c r="E2626" s="54">
        <f>IF(_imp!$C$2628="","",INDEX(_imp!$H$4:$H$4503,_imp!$C$2628))</f>
        <v/>
      </c>
      <c r="F2626" s="54">
        <f>IF(_imp!$C$2628="","",INDEX(_imp!$I$4:$I$4503,_imp!$C$2628))</f>
        <v/>
      </c>
      <c r="G2626" s="54">
        <f>IF(_imp!$C$2628="","",INDEX(_imp!$J$4:$J$4503,_imp!$C$2628))</f>
        <v/>
      </c>
      <c r="K2626" s="54">
        <f>IF(_imp!$C$2628="","",INDEX(_imp!$K$4:$K$4503,_imp!$C$2628))</f>
        <v/>
      </c>
    </row>
    <row r="2627">
      <c r="A2627" s="54">
        <f>IF(_imp!$C$2629="","",INDEX(_imp!$D$4:$D$4503,_imp!$C$2629))</f>
        <v/>
      </c>
      <c r="B2627" s="54">
        <f>IF(_imp!$C$2629="","",INDEX(_imp!$E$4:$E$4503,_imp!$C$2629))</f>
        <v/>
      </c>
      <c r="C2627" s="54">
        <f>IF(_imp!$C$2629="","",INDEX(_imp!$F$4:$F$4503,_imp!$C$2629))</f>
        <v/>
      </c>
      <c r="D2627" s="54">
        <f>IF(_imp!$C$2629="","",INDEX(_imp!$G$4:$G$4503,_imp!$C$2629))</f>
        <v/>
      </c>
      <c r="E2627" s="54">
        <f>IF(_imp!$C$2629="","",INDEX(_imp!$H$4:$H$4503,_imp!$C$2629))</f>
        <v/>
      </c>
      <c r="F2627" s="54">
        <f>IF(_imp!$C$2629="","",INDEX(_imp!$I$4:$I$4503,_imp!$C$2629))</f>
        <v/>
      </c>
      <c r="G2627" s="54">
        <f>IF(_imp!$C$2629="","",INDEX(_imp!$J$4:$J$4503,_imp!$C$2629))</f>
        <v/>
      </c>
      <c r="K2627" s="54">
        <f>IF(_imp!$C$2629="","",INDEX(_imp!$K$4:$K$4503,_imp!$C$2629))</f>
        <v/>
      </c>
    </row>
    <row r="2628">
      <c r="A2628" s="54">
        <f>IF(_imp!$C$2630="","",INDEX(_imp!$D$4:$D$4503,_imp!$C$2630))</f>
        <v/>
      </c>
      <c r="B2628" s="54">
        <f>IF(_imp!$C$2630="","",INDEX(_imp!$E$4:$E$4503,_imp!$C$2630))</f>
        <v/>
      </c>
      <c r="C2628" s="54">
        <f>IF(_imp!$C$2630="","",INDEX(_imp!$F$4:$F$4503,_imp!$C$2630))</f>
        <v/>
      </c>
      <c r="D2628" s="54">
        <f>IF(_imp!$C$2630="","",INDEX(_imp!$G$4:$G$4503,_imp!$C$2630))</f>
        <v/>
      </c>
      <c r="E2628" s="54">
        <f>IF(_imp!$C$2630="","",INDEX(_imp!$H$4:$H$4503,_imp!$C$2630))</f>
        <v/>
      </c>
      <c r="F2628" s="54">
        <f>IF(_imp!$C$2630="","",INDEX(_imp!$I$4:$I$4503,_imp!$C$2630))</f>
        <v/>
      </c>
      <c r="G2628" s="54">
        <f>IF(_imp!$C$2630="","",INDEX(_imp!$J$4:$J$4503,_imp!$C$2630))</f>
        <v/>
      </c>
      <c r="K2628" s="54">
        <f>IF(_imp!$C$2630="","",INDEX(_imp!$K$4:$K$4503,_imp!$C$2630))</f>
        <v/>
      </c>
    </row>
    <row r="2629">
      <c r="A2629" s="54">
        <f>IF(_imp!$C$2631="","",INDEX(_imp!$D$4:$D$4503,_imp!$C$2631))</f>
        <v/>
      </c>
      <c r="B2629" s="54">
        <f>IF(_imp!$C$2631="","",INDEX(_imp!$E$4:$E$4503,_imp!$C$2631))</f>
        <v/>
      </c>
      <c r="C2629" s="54">
        <f>IF(_imp!$C$2631="","",INDEX(_imp!$F$4:$F$4503,_imp!$C$2631))</f>
        <v/>
      </c>
      <c r="D2629" s="54">
        <f>IF(_imp!$C$2631="","",INDEX(_imp!$G$4:$G$4503,_imp!$C$2631))</f>
        <v/>
      </c>
      <c r="E2629" s="54">
        <f>IF(_imp!$C$2631="","",INDEX(_imp!$H$4:$H$4503,_imp!$C$2631))</f>
        <v/>
      </c>
      <c r="F2629" s="54">
        <f>IF(_imp!$C$2631="","",INDEX(_imp!$I$4:$I$4503,_imp!$C$2631))</f>
        <v/>
      </c>
      <c r="G2629" s="54">
        <f>IF(_imp!$C$2631="","",INDEX(_imp!$J$4:$J$4503,_imp!$C$2631))</f>
        <v/>
      </c>
      <c r="K2629" s="54">
        <f>IF(_imp!$C$2631="","",INDEX(_imp!$K$4:$K$4503,_imp!$C$2631))</f>
        <v/>
      </c>
    </row>
    <row r="2630">
      <c r="A2630" s="54">
        <f>IF(_imp!$C$2632="","",INDEX(_imp!$D$4:$D$4503,_imp!$C$2632))</f>
        <v/>
      </c>
      <c r="B2630" s="54">
        <f>IF(_imp!$C$2632="","",INDEX(_imp!$E$4:$E$4503,_imp!$C$2632))</f>
        <v/>
      </c>
      <c r="C2630" s="54">
        <f>IF(_imp!$C$2632="","",INDEX(_imp!$F$4:$F$4503,_imp!$C$2632))</f>
        <v/>
      </c>
      <c r="D2630" s="54">
        <f>IF(_imp!$C$2632="","",INDEX(_imp!$G$4:$G$4503,_imp!$C$2632))</f>
        <v/>
      </c>
      <c r="E2630" s="54">
        <f>IF(_imp!$C$2632="","",INDEX(_imp!$H$4:$H$4503,_imp!$C$2632))</f>
        <v/>
      </c>
      <c r="F2630" s="54">
        <f>IF(_imp!$C$2632="","",INDEX(_imp!$I$4:$I$4503,_imp!$C$2632))</f>
        <v/>
      </c>
      <c r="G2630" s="54">
        <f>IF(_imp!$C$2632="","",INDEX(_imp!$J$4:$J$4503,_imp!$C$2632))</f>
        <v/>
      </c>
      <c r="K2630" s="54">
        <f>IF(_imp!$C$2632="","",INDEX(_imp!$K$4:$K$4503,_imp!$C$2632))</f>
        <v/>
      </c>
    </row>
    <row r="2631">
      <c r="A2631" s="54">
        <f>IF(_imp!$C$2633="","",INDEX(_imp!$D$4:$D$4503,_imp!$C$2633))</f>
        <v/>
      </c>
      <c r="B2631" s="54">
        <f>IF(_imp!$C$2633="","",INDEX(_imp!$E$4:$E$4503,_imp!$C$2633))</f>
        <v/>
      </c>
      <c r="C2631" s="54">
        <f>IF(_imp!$C$2633="","",INDEX(_imp!$F$4:$F$4503,_imp!$C$2633))</f>
        <v/>
      </c>
      <c r="D2631" s="54">
        <f>IF(_imp!$C$2633="","",INDEX(_imp!$G$4:$G$4503,_imp!$C$2633))</f>
        <v/>
      </c>
      <c r="E2631" s="54">
        <f>IF(_imp!$C$2633="","",INDEX(_imp!$H$4:$H$4503,_imp!$C$2633))</f>
        <v/>
      </c>
      <c r="F2631" s="54">
        <f>IF(_imp!$C$2633="","",INDEX(_imp!$I$4:$I$4503,_imp!$C$2633))</f>
        <v/>
      </c>
      <c r="G2631" s="54">
        <f>IF(_imp!$C$2633="","",INDEX(_imp!$J$4:$J$4503,_imp!$C$2633))</f>
        <v/>
      </c>
      <c r="K2631" s="54">
        <f>IF(_imp!$C$2633="","",INDEX(_imp!$K$4:$K$4503,_imp!$C$2633))</f>
        <v/>
      </c>
    </row>
    <row r="2632">
      <c r="A2632" s="54">
        <f>IF(_imp!$C$2634="","",INDEX(_imp!$D$4:$D$4503,_imp!$C$2634))</f>
        <v/>
      </c>
      <c r="B2632" s="54">
        <f>IF(_imp!$C$2634="","",INDEX(_imp!$E$4:$E$4503,_imp!$C$2634))</f>
        <v/>
      </c>
      <c r="C2632" s="54">
        <f>IF(_imp!$C$2634="","",INDEX(_imp!$F$4:$F$4503,_imp!$C$2634))</f>
        <v/>
      </c>
      <c r="D2632" s="54">
        <f>IF(_imp!$C$2634="","",INDEX(_imp!$G$4:$G$4503,_imp!$C$2634))</f>
        <v/>
      </c>
      <c r="E2632" s="54">
        <f>IF(_imp!$C$2634="","",INDEX(_imp!$H$4:$H$4503,_imp!$C$2634))</f>
        <v/>
      </c>
      <c r="F2632" s="54">
        <f>IF(_imp!$C$2634="","",INDEX(_imp!$I$4:$I$4503,_imp!$C$2634))</f>
        <v/>
      </c>
      <c r="G2632" s="54">
        <f>IF(_imp!$C$2634="","",INDEX(_imp!$J$4:$J$4503,_imp!$C$2634))</f>
        <v/>
      </c>
      <c r="K2632" s="54">
        <f>IF(_imp!$C$2634="","",INDEX(_imp!$K$4:$K$4503,_imp!$C$2634))</f>
        <v/>
      </c>
    </row>
    <row r="2633">
      <c r="A2633" s="54">
        <f>IF(_imp!$C$2635="","",INDEX(_imp!$D$4:$D$4503,_imp!$C$2635))</f>
        <v/>
      </c>
      <c r="B2633" s="54">
        <f>IF(_imp!$C$2635="","",INDEX(_imp!$E$4:$E$4503,_imp!$C$2635))</f>
        <v/>
      </c>
      <c r="C2633" s="54">
        <f>IF(_imp!$C$2635="","",INDEX(_imp!$F$4:$F$4503,_imp!$C$2635))</f>
        <v/>
      </c>
      <c r="D2633" s="54">
        <f>IF(_imp!$C$2635="","",INDEX(_imp!$G$4:$G$4503,_imp!$C$2635))</f>
        <v/>
      </c>
      <c r="E2633" s="54">
        <f>IF(_imp!$C$2635="","",INDEX(_imp!$H$4:$H$4503,_imp!$C$2635))</f>
        <v/>
      </c>
      <c r="F2633" s="54">
        <f>IF(_imp!$C$2635="","",INDEX(_imp!$I$4:$I$4503,_imp!$C$2635))</f>
        <v/>
      </c>
      <c r="G2633" s="54">
        <f>IF(_imp!$C$2635="","",INDEX(_imp!$J$4:$J$4503,_imp!$C$2635))</f>
        <v/>
      </c>
      <c r="K2633" s="54">
        <f>IF(_imp!$C$2635="","",INDEX(_imp!$K$4:$K$4503,_imp!$C$2635))</f>
        <v/>
      </c>
    </row>
    <row r="2634">
      <c r="A2634" s="54">
        <f>IF(_imp!$C$2636="","",INDEX(_imp!$D$4:$D$4503,_imp!$C$2636))</f>
        <v/>
      </c>
      <c r="B2634" s="54">
        <f>IF(_imp!$C$2636="","",INDEX(_imp!$E$4:$E$4503,_imp!$C$2636))</f>
        <v/>
      </c>
      <c r="C2634" s="54">
        <f>IF(_imp!$C$2636="","",INDEX(_imp!$F$4:$F$4503,_imp!$C$2636))</f>
        <v/>
      </c>
      <c r="D2634" s="54">
        <f>IF(_imp!$C$2636="","",INDEX(_imp!$G$4:$G$4503,_imp!$C$2636))</f>
        <v/>
      </c>
      <c r="E2634" s="54">
        <f>IF(_imp!$C$2636="","",INDEX(_imp!$H$4:$H$4503,_imp!$C$2636))</f>
        <v/>
      </c>
      <c r="F2634" s="54">
        <f>IF(_imp!$C$2636="","",INDEX(_imp!$I$4:$I$4503,_imp!$C$2636))</f>
        <v/>
      </c>
      <c r="G2634" s="54">
        <f>IF(_imp!$C$2636="","",INDEX(_imp!$J$4:$J$4503,_imp!$C$2636))</f>
        <v/>
      </c>
      <c r="K2634" s="54">
        <f>IF(_imp!$C$2636="","",INDEX(_imp!$K$4:$K$4503,_imp!$C$2636))</f>
        <v/>
      </c>
    </row>
    <row r="2635">
      <c r="A2635" s="54">
        <f>IF(_imp!$C$2637="","",INDEX(_imp!$D$4:$D$4503,_imp!$C$2637))</f>
        <v/>
      </c>
      <c r="B2635" s="54">
        <f>IF(_imp!$C$2637="","",INDEX(_imp!$E$4:$E$4503,_imp!$C$2637))</f>
        <v/>
      </c>
      <c r="C2635" s="54">
        <f>IF(_imp!$C$2637="","",INDEX(_imp!$F$4:$F$4503,_imp!$C$2637))</f>
        <v/>
      </c>
      <c r="D2635" s="54">
        <f>IF(_imp!$C$2637="","",INDEX(_imp!$G$4:$G$4503,_imp!$C$2637))</f>
        <v/>
      </c>
      <c r="E2635" s="54">
        <f>IF(_imp!$C$2637="","",INDEX(_imp!$H$4:$H$4503,_imp!$C$2637))</f>
        <v/>
      </c>
      <c r="F2635" s="54">
        <f>IF(_imp!$C$2637="","",INDEX(_imp!$I$4:$I$4503,_imp!$C$2637))</f>
        <v/>
      </c>
      <c r="G2635" s="54">
        <f>IF(_imp!$C$2637="","",INDEX(_imp!$J$4:$J$4503,_imp!$C$2637))</f>
        <v/>
      </c>
      <c r="K2635" s="54">
        <f>IF(_imp!$C$2637="","",INDEX(_imp!$K$4:$K$4503,_imp!$C$2637))</f>
        <v/>
      </c>
    </row>
    <row r="2636">
      <c r="A2636" s="54">
        <f>IF(_imp!$C$2638="","",INDEX(_imp!$D$4:$D$4503,_imp!$C$2638))</f>
        <v/>
      </c>
      <c r="B2636" s="54">
        <f>IF(_imp!$C$2638="","",INDEX(_imp!$E$4:$E$4503,_imp!$C$2638))</f>
        <v/>
      </c>
      <c r="C2636" s="54">
        <f>IF(_imp!$C$2638="","",INDEX(_imp!$F$4:$F$4503,_imp!$C$2638))</f>
        <v/>
      </c>
      <c r="D2636" s="54">
        <f>IF(_imp!$C$2638="","",INDEX(_imp!$G$4:$G$4503,_imp!$C$2638))</f>
        <v/>
      </c>
      <c r="E2636" s="54">
        <f>IF(_imp!$C$2638="","",INDEX(_imp!$H$4:$H$4503,_imp!$C$2638))</f>
        <v/>
      </c>
      <c r="F2636" s="54">
        <f>IF(_imp!$C$2638="","",INDEX(_imp!$I$4:$I$4503,_imp!$C$2638))</f>
        <v/>
      </c>
      <c r="G2636" s="54">
        <f>IF(_imp!$C$2638="","",INDEX(_imp!$J$4:$J$4503,_imp!$C$2638))</f>
        <v/>
      </c>
      <c r="K2636" s="54">
        <f>IF(_imp!$C$2638="","",INDEX(_imp!$K$4:$K$4503,_imp!$C$2638))</f>
        <v/>
      </c>
    </row>
    <row r="2637">
      <c r="A2637" s="54">
        <f>IF(_imp!$C$2639="","",INDEX(_imp!$D$4:$D$4503,_imp!$C$2639))</f>
        <v/>
      </c>
      <c r="B2637" s="54">
        <f>IF(_imp!$C$2639="","",INDEX(_imp!$E$4:$E$4503,_imp!$C$2639))</f>
        <v/>
      </c>
      <c r="C2637" s="54">
        <f>IF(_imp!$C$2639="","",INDEX(_imp!$F$4:$F$4503,_imp!$C$2639))</f>
        <v/>
      </c>
      <c r="D2637" s="54">
        <f>IF(_imp!$C$2639="","",INDEX(_imp!$G$4:$G$4503,_imp!$C$2639))</f>
        <v/>
      </c>
      <c r="E2637" s="54">
        <f>IF(_imp!$C$2639="","",INDEX(_imp!$H$4:$H$4503,_imp!$C$2639))</f>
        <v/>
      </c>
      <c r="F2637" s="54">
        <f>IF(_imp!$C$2639="","",INDEX(_imp!$I$4:$I$4503,_imp!$C$2639))</f>
        <v/>
      </c>
      <c r="G2637" s="54">
        <f>IF(_imp!$C$2639="","",INDEX(_imp!$J$4:$J$4503,_imp!$C$2639))</f>
        <v/>
      </c>
      <c r="K2637" s="54">
        <f>IF(_imp!$C$2639="","",INDEX(_imp!$K$4:$K$4503,_imp!$C$2639))</f>
        <v/>
      </c>
    </row>
    <row r="2638">
      <c r="A2638" s="54">
        <f>IF(_imp!$C$2640="","",INDEX(_imp!$D$4:$D$4503,_imp!$C$2640))</f>
        <v/>
      </c>
      <c r="B2638" s="54">
        <f>IF(_imp!$C$2640="","",INDEX(_imp!$E$4:$E$4503,_imp!$C$2640))</f>
        <v/>
      </c>
      <c r="C2638" s="54">
        <f>IF(_imp!$C$2640="","",INDEX(_imp!$F$4:$F$4503,_imp!$C$2640))</f>
        <v/>
      </c>
      <c r="D2638" s="54">
        <f>IF(_imp!$C$2640="","",INDEX(_imp!$G$4:$G$4503,_imp!$C$2640))</f>
        <v/>
      </c>
      <c r="E2638" s="54">
        <f>IF(_imp!$C$2640="","",INDEX(_imp!$H$4:$H$4503,_imp!$C$2640))</f>
        <v/>
      </c>
      <c r="F2638" s="54">
        <f>IF(_imp!$C$2640="","",INDEX(_imp!$I$4:$I$4503,_imp!$C$2640))</f>
        <v/>
      </c>
      <c r="G2638" s="54">
        <f>IF(_imp!$C$2640="","",INDEX(_imp!$J$4:$J$4503,_imp!$C$2640))</f>
        <v/>
      </c>
      <c r="K2638" s="54">
        <f>IF(_imp!$C$2640="","",INDEX(_imp!$K$4:$K$4503,_imp!$C$2640))</f>
        <v/>
      </c>
    </row>
    <row r="2639">
      <c r="A2639" s="54">
        <f>IF(_imp!$C$2641="","",INDEX(_imp!$D$4:$D$4503,_imp!$C$2641))</f>
        <v/>
      </c>
      <c r="B2639" s="54">
        <f>IF(_imp!$C$2641="","",INDEX(_imp!$E$4:$E$4503,_imp!$C$2641))</f>
        <v/>
      </c>
      <c r="C2639" s="54">
        <f>IF(_imp!$C$2641="","",INDEX(_imp!$F$4:$F$4503,_imp!$C$2641))</f>
        <v/>
      </c>
      <c r="D2639" s="54">
        <f>IF(_imp!$C$2641="","",INDEX(_imp!$G$4:$G$4503,_imp!$C$2641))</f>
        <v/>
      </c>
      <c r="E2639" s="54">
        <f>IF(_imp!$C$2641="","",INDEX(_imp!$H$4:$H$4503,_imp!$C$2641))</f>
        <v/>
      </c>
      <c r="F2639" s="54">
        <f>IF(_imp!$C$2641="","",INDEX(_imp!$I$4:$I$4503,_imp!$C$2641))</f>
        <v/>
      </c>
      <c r="G2639" s="54">
        <f>IF(_imp!$C$2641="","",INDEX(_imp!$J$4:$J$4503,_imp!$C$2641))</f>
        <v/>
      </c>
      <c r="K2639" s="54">
        <f>IF(_imp!$C$2641="","",INDEX(_imp!$K$4:$K$4503,_imp!$C$2641))</f>
        <v/>
      </c>
    </row>
    <row r="2640">
      <c r="A2640" s="54">
        <f>IF(_imp!$C$2642="","",INDEX(_imp!$D$4:$D$4503,_imp!$C$2642))</f>
        <v/>
      </c>
      <c r="B2640" s="54">
        <f>IF(_imp!$C$2642="","",INDEX(_imp!$E$4:$E$4503,_imp!$C$2642))</f>
        <v/>
      </c>
      <c r="C2640" s="54">
        <f>IF(_imp!$C$2642="","",INDEX(_imp!$F$4:$F$4503,_imp!$C$2642))</f>
        <v/>
      </c>
      <c r="D2640" s="54">
        <f>IF(_imp!$C$2642="","",INDEX(_imp!$G$4:$G$4503,_imp!$C$2642))</f>
        <v/>
      </c>
      <c r="E2640" s="54">
        <f>IF(_imp!$C$2642="","",INDEX(_imp!$H$4:$H$4503,_imp!$C$2642))</f>
        <v/>
      </c>
      <c r="F2640" s="54">
        <f>IF(_imp!$C$2642="","",INDEX(_imp!$I$4:$I$4503,_imp!$C$2642))</f>
        <v/>
      </c>
      <c r="G2640" s="54">
        <f>IF(_imp!$C$2642="","",INDEX(_imp!$J$4:$J$4503,_imp!$C$2642))</f>
        <v/>
      </c>
      <c r="K2640" s="54">
        <f>IF(_imp!$C$2642="","",INDEX(_imp!$K$4:$K$4503,_imp!$C$2642))</f>
        <v/>
      </c>
    </row>
    <row r="2641">
      <c r="A2641" s="54">
        <f>IF(_imp!$C$2643="","",INDEX(_imp!$D$4:$D$4503,_imp!$C$2643))</f>
        <v/>
      </c>
      <c r="B2641" s="54">
        <f>IF(_imp!$C$2643="","",INDEX(_imp!$E$4:$E$4503,_imp!$C$2643))</f>
        <v/>
      </c>
      <c r="C2641" s="54">
        <f>IF(_imp!$C$2643="","",INDEX(_imp!$F$4:$F$4503,_imp!$C$2643))</f>
        <v/>
      </c>
      <c r="D2641" s="54">
        <f>IF(_imp!$C$2643="","",INDEX(_imp!$G$4:$G$4503,_imp!$C$2643))</f>
        <v/>
      </c>
      <c r="E2641" s="54">
        <f>IF(_imp!$C$2643="","",INDEX(_imp!$H$4:$H$4503,_imp!$C$2643))</f>
        <v/>
      </c>
      <c r="F2641" s="54">
        <f>IF(_imp!$C$2643="","",INDEX(_imp!$I$4:$I$4503,_imp!$C$2643))</f>
        <v/>
      </c>
      <c r="G2641" s="54">
        <f>IF(_imp!$C$2643="","",INDEX(_imp!$J$4:$J$4503,_imp!$C$2643))</f>
        <v/>
      </c>
      <c r="K2641" s="54">
        <f>IF(_imp!$C$2643="","",INDEX(_imp!$K$4:$K$4503,_imp!$C$2643))</f>
        <v/>
      </c>
    </row>
    <row r="2642">
      <c r="A2642" s="54">
        <f>IF(_imp!$C$2644="","",INDEX(_imp!$D$4:$D$4503,_imp!$C$2644))</f>
        <v/>
      </c>
      <c r="B2642" s="54">
        <f>IF(_imp!$C$2644="","",INDEX(_imp!$E$4:$E$4503,_imp!$C$2644))</f>
        <v/>
      </c>
      <c r="C2642" s="54">
        <f>IF(_imp!$C$2644="","",INDEX(_imp!$F$4:$F$4503,_imp!$C$2644))</f>
        <v/>
      </c>
      <c r="D2642" s="54">
        <f>IF(_imp!$C$2644="","",INDEX(_imp!$G$4:$G$4503,_imp!$C$2644))</f>
        <v/>
      </c>
      <c r="E2642" s="54">
        <f>IF(_imp!$C$2644="","",INDEX(_imp!$H$4:$H$4503,_imp!$C$2644))</f>
        <v/>
      </c>
      <c r="F2642" s="54">
        <f>IF(_imp!$C$2644="","",INDEX(_imp!$I$4:$I$4503,_imp!$C$2644))</f>
        <v/>
      </c>
      <c r="G2642" s="54">
        <f>IF(_imp!$C$2644="","",INDEX(_imp!$J$4:$J$4503,_imp!$C$2644))</f>
        <v/>
      </c>
      <c r="K2642" s="54">
        <f>IF(_imp!$C$2644="","",INDEX(_imp!$K$4:$K$4503,_imp!$C$2644))</f>
        <v/>
      </c>
    </row>
    <row r="2643">
      <c r="A2643" s="54">
        <f>IF(_imp!$C$2645="","",INDEX(_imp!$D$4:$D$4503,_imp!$C$2645))</f>
        <v/>
      </c>
      <c r="B2643" s="54">
        <f>IF(_imp!$C$2645="","",INDEX(_imp!$E$4:$E$4503,_imp!$C$2645))</f>
        <v/>
      </c>
      <c r="C2643" s="54">
        <f>IF(_imp!$C$2645="","",INDEX(_imp!$F$4:$F$4503,_imp!$C$2645))</f>
        <v/>
      </c>
      <c r="D2643" s="54">
        <f>IF(_imp!$C$2645="","",INDEX(_imp!$G$4:$G$4503,_imp!$C$2645))</f>
        <v/>
      </c>
      <c r="E2643" s="54">
        <f>IF(_imp!$C$2645="","",INDEX(_imp!$H$4:$H$4503,_imp!$C$2645))</f>
        <v/>
      </c>
      <c r="F2643" s="54">
        <f>IF(_imp!$C$2645="","",INDEX(_imp!$I$4:$I$4503,_imp!$C$2645))</f>
        <v/>
      </c>
      <c r="G2643" s="54">
        <f>IF(_imp!$C$2645="","",INDEX(_imp!$J$4:$J$4503,_imp!$C$2645))</f>
        <v/>
      </c>
      <c r="K2643" s="54">
        <f>IF(_imp!$C$2645="","",INDEX(_imp!$K$4:$K$4503,_imp!$C$2645))</f>
        <v/>
      </c>
    </row>
    <row r="2644">
      <c r="A2644" s="54">
        <f>IF(_imp!$C$2646="","",INDEX(_imp!$D$4:$D$4503,_imp!$C$2646))</f>
        <v/>
      </c>
      <c r="B2644" s="54">
        <f>IF(_imp!$C$2646="","",INDEX(_imp!$E$4:$E$4503,_imp!$C$2646))</f>
        <v/>
      </c>
      <c r="C2644" s="54">
        <f>IF(_imp!$C$2646="","",INDEX(_imp!$F$4:$F$4503,_imp!$C$2646))</f>
        <v/>
      </c>
      <c r="D2644" s="54">
        <f>IF(_imp!$C$2646="","",INDEX(_imp!$G$4:$G$4503,_imp!$C$2646))</f>
        <v/>
      </c>
      <c r="E2644" s="54">
        <f>IF(_imp!$C$2646="","",INDEX(_imp!$H$4:$H$4503,_imp!$C$2646))</f>
        <v/>
      </c>
      <c r="F2644" s="54">
        <f>IF(_imp!$C$2646="","",INDEX(_imp!$I$4:$I$4503,_imp!$C$2646))</f>
        <v/>
      </c>
      <c r="G2644" s="54">
        <f>IF(_imp!$C$2646="","",INDEX(_imp!$J$4:$J$4503,_imp!$C$2646))</f>
        <v/>
      </c>
      <c r="K2644" s="54">
        <f>IF(_imp!$C$2646="","",INDEX(_imp!$K$4:$K$4503,_imp!$C$2646))</f>
        <v/>
      </c>
    </row>
    <row r="2645">
      <c r="A2645" s="54">
        <f>IF(_imp!$C$2647="","",INDEX(_imp!$D$4:$D$4503,_imp!$C$2647))</f>
        <v/>
      </c>
      <c r="B2645" s="54">
        <f>IF(_imp!$C$2647="","",INDEX(_imp!$E$4:$E$4503,_imp!$C$2647))</f>
        <v/>
      </c>
      <c r="C2645" s="54">
        <f>IF(_imp!$C$2647="","",INDEX(_imp!$F$4:$F$4503,_imp!$C$2647))</f>
        <v/>
      </c>
      <c r="D2645" s="54">
        <f>IF(_imp!$C$2647="","",INDEX(_imp!$G$4:$G$4503,_imp!$C$2647))</f>
        <v/>
      </c>
      <c r="E2645" s="54">
        <f>IF(_imp!$C$2647="","",INDEX(_imp!$H$4:$H$4503,_imp!$C$2647))</f>
        <v/>
      </c>
      <c r="F2645" s="54">
        <f>IF(_imp!$C$2647="","",INDEX(_imp!$I$4:$I$4503,_imp!$C$2647))</f>
        <v/>
      </c>
      <c r="G2645" s="54">
        <f>IF(_imp!$C$2647="","",INDEX(_imp!$J$4:$J$4503,_imp!$C$2647))</f>
        <v/>
      </c>
      <c r="K2645" s="54">
        <f>IF(_imp!$C$2647="","",INDEX(_imp!$K$4:$K$4503,_imp!$C$2647))</f>
        <v/>
      </c>
    </row>
    <row r="2646">
      <c r="A2646" s="54">
        <f>IF(_imp!$C$2648="","",INDEX(_imp!$D$4:$D$4503,_imp!$C$2648))</f>
        <v/>
      </c>
      <c r="B2646" s="54">
        <f>IF(_imp!$C$2648="","",INDEX(_imp!$E$4:$E$4503,_imp!$C$2648))</f>
        <v/>
      </c>
      <c r="C2646" s="54">
        <f>IF(_imp!$C$2648="","",INDEX(_imp!$F$4:$F$4503,_imp!$C$2648))</f>
        <v/>
      </c>
      <c r="D2646" s="54">
        <f>IF(_imp!$C$2648="","",INDEX(_imp!$G$4:$G$4503,_imp!$C$2648))</f>
        <v/>
      </c>
      <c r="E2646" s="54">
        <f>IF(_imp!$C$2648="","",INDEX(_imp!$H$4:$H$4503,_imp!$C$2648))</f>
        <v/>
      </c>
      <c r="F2646" s="54">
        <f>IF(_imp!$C$2648="","",INDEX(_imp!$I$4:$I$4503,_imp!$C$2648))</f>
        <v/>
      </c>
      <c r="G2646" s="54">
        <f>IF(_imp!$C$2648="","",INDEX(_imp!$J$4:$J$4503,_imp!$C$2648))</f>
        <v/>
      </c>
      <c r="K2646" s="54">
        <f>IF(_imp!$C$2648="","",INDEX(_imp!$K$4:$K$4503,_imp!$C$2648))</f>
        <v/>
      </c>
    </row>
    <row r="2647">
      <c r="A2647" s="54">
        <f>IF(_imp!$C$2649="","",INDEX(_imp!$D$4:$D$4503,_imp!$C$2649))</f>
        <v/>
      </c>
      <c r="B2647" s="54">
        <f>IF(_imp!$C$2649="","",INDEX(_imp!$E$4:$E$4503,_imp!$C$2649))</f>
        <v/>
      </c>
      <c r="C2647" s="54">
        <f>IF(_imp!$C$2649="","",INDEX(_imp!$F$4:$F$4503,_imp!$C$2649))</f>
        <v/>
      </c>
      <c r="D2647" s="54">
        <f>IF(_imp!$C$2649="","",INDEX(_imp!$G$4:$G$4503,_imp!$C$2649))</f>
        <v/>
      </c>
      <c r="E2647" s="54">
        <f>IF(_imp!$C$2649="","",INDEX(_imp!$H$4:$H$4503,_imp!$C$2649))</f>
        <v/>
      </c>
      <c r="F2647" s="54">
        <f>IF(_imp!$C$2649="","",INDEX(_imp!$I$4:$I$4503,_imp!$C$2649))</f>
        <v/>
      </c>
      <c r="G2647" s="54">
        <f>IF(_imp!$C$2649="","",INDEX(_imp!$J$4:$J$4503,_imp!$C$2649))</f>
        <v/>
      </c>
      <c r="K2647" s="54">
        <f>IF(_imp!$C$2649="","",INDEX(_imp!$K$4:$K$4503,_imp!$C$2649))</f>
        <v/>
      </c>
    </row>
    <row r="2648">
      <c r="A2648" s="54">
        <f>IF(_imp!$C$2650="","",INDEX(_imp!$D$4:$D$4503,_imp!$C$2650))</f>
        <v/>
      </c>
      <c r="B2648" s="54">
        <f>IF(_imp!$C$2650="","",INDEX(_imp!$E$4:$E$4503,_imp!$C$2650))</f>
        <v/>
      </c>
      <c r="C2648" s="54">
        <f>IF(_imp!$C$2650="","",INDEX(_imp!$F$4:$F$4503,_imp!$C$2650))</f>
        <v/>
      </c>
      <c r="D2648" s="54">
        <f>IF(_imp!$C$2650="","",INDEX(_imp!$G$4:$G$4503,_imp!$C$2650))</f>
        <v/>
      </c>
      <c r="E2648" s="54">
        <f>IF(_imp!$C$2650="","",INDEX(_imp!$H$4:$H$4503,_imp!$C$2650))</f>
        <v/>
      </c>
      <c r="F2648" s="54">
        <f>IF(_imp!$C$2650="","",INDEX(_imp!$I$4:$I$4503,_imp!$C$2650))</f>
        <v/>
      </c>
      <c r="G2648" s="54">
        <f>IF(_imp!$C$2650="","",INDEX(_imp!$J$4:$J$4503,_imp!$C$2650))</f>
        <v/>
      </c>
      <c r="K2648" s="54">
        <f>IF(_imp!$C$2650="","",INDEX(_imp!$K$4:$K$4503,_imp!$C$2650))</f>
        <v/>
      </c>
    </row>
    <row r="2649">
      <c r="A2649" s="54">
        <f>IF(_imp!$C$2651="","",INDEX(_imp!$D$4:$D$4503,_imp!$C$2651))</f>
        <v/>
      </c>
      <c r="B2649" s="54">
        <f>IF(_imp!$C$2651="","",INDEX(_imp!$E$4:$E$4503,_imp!$C$2651))</f>
        <v/>
      </c>
      <c r="C2649" s="54">
        <f>IF(_imp!$C$2651="","",INDEX(_imp!$F$4:$F$4503,_imp!$C$2651))</f>
        <v/>
      </c>
      <c r="D2649" s="54">
        <f>IF(_imp!$C$2651="","",INDEX(_imp!$G$4:$G$4503,_imp!$C$2651))</f>
        <v/>
      </c>
      <c r="E2649" s="54">
        <f>IF(_imp!$C$2651="","",INDEX(_imp!$H$4:$H$4503,_imp!$C$2651))</f>
        <v/>
      </c>
      <c r="F2649" s="54">
        <f>IF(_imp!$C$2651="","",INDEX(_imp!$I$4:$I$4503,_imp!$C$2651))</f>
        <v/>
      </c>
      <c r="G2649" s="54">
        <f>IF(_imp!$C$2651="","",INDEX(_imp!$J$4:$J$4503,_imp!$C$2651))</f>
        <v/>
      </c>
      <c r="K2649" s="54">
        <f>IF(_imp!$C$2651="","",INDEX(_imp!$K$4:$K$4503,_imp!$C$2651))</f>
        <v/>
      </c>
    </row>
    <row r="2650">
      <c r="A2650" s="54">
        <f>IF(_imp!$C$2652="","",INDEX(_imp!$D$4:$D$4503,_imp!$C$2652))</f>
        <v/>
      </c>
      <c r="B2650" s="54">
        <f>IF(_imp!$C$2652="","",INDEX(_imp!$E$4:$E$4503,_imp!$C$2652))</f>
        <v/>
      </c>
      <c r="C2650" s="54">
        <f>IF(_imp!$C$2652="","",INDEX(_imp!$F$4:$F$4503,_imp!$C$2652))</f>
        <v/>
      </c>
      <c r="D2650" s="54">
        <f>IF(_imp!$C$2652="","",INDEX(_imp!$G$4:$G$4503,_imp!$C$2652))</f>
        <v/>
      </c>
      <c r="E2650" s="54">
        <f>IF(_imp!$C$2652="","",INDEX(_imp!$H$4:$H$4503,_imp!$C$2652))</f>
        <v/>
      </c>
      <c r="F2650" s="54">
        <f>IF(_imp!$C$2652="","",INDEX(_imp!$I$4:$I$4503,_imp!$C$2652))</f>
        <v/>
      </c>
      <c r="G2650" s="54">
        <f>IF(_imp!$C$2652="","",INDEX(_imp!$J$4:$J$4503,_imp!$C$2652))</f>
        <v/>
      </c>
      <c r="K2650" s="54">
        <f>IF(_imp!$C$2652="","",INDEX(_imp!$K$4:$K$4503,_imp!$C$2652))</f>
        <v/>
      </c>
    </row>
    <row r="2651">
      <c r="A2651" s="54">
        <f>IF(_imp!$C$2653="","",INDEX(_imp!$D$4:$D$4503,_imp!$C$2653))</f>
        <v/>
      </c>
      <c r="B2651" s="54">
        <f>IF(_imp!$C$2653="","",INDEX(_imp!$E$4:$E$4503,_imp!$C$2653))</f>
        <v/>
      </c>
      <c r="C2651" s="54">
        <f>IF(_imp!$C$2653="","",INDEX(_imp!$F$4:$F$4503,_imp!$C$2653))</f>
        <v/>
      </c>
      <c r="D2651" s="54">
        <f>IF(_imp!$C$2653="","",INDEX(_imp!$G$4:$G$4503,_imp!$C$2653))</f>
        <v/>
      </c>
      <c r="E2651" s="54">
        <f>IF(_imp!$C$2653="","",INDEX(_imp!$H$4:$H$4503,_imp!$C$2653))</f>
        <v/>
      </c>
      <c r="F2651" s="54">
        <f>IF(_imp!$C$2653="","",INDEX(_imp!$I$4:$I$4503,_imp!$C$2653))</f>
        <v/>
      </c>
      <c r="G2651" s="54">
        <f>IF(_imp!$C$2653="","",INDEX(_imp!$J$4:$J$4503,_imp!$C$2653))</f>
        <v/>
      </c>
      <c r="K2651" s="54">
        <f>IF(_imp!$C$2653="","",INDEX(_imp!$K$4:$K$4503,_imp!$C$2653))</f>
        <v/>
      </c>
    </row>
    <row r="2652">
      <c r="A2652" s="54">
        <f>IF(_imp!$C$2654="","",INDEX(_imp!$D$4:$D$4503,_imp!$C$2654))</f>
        <v/>
      </c>
      <c r="B2652" s="54">
        <f>IF(_imp!$C$2654="","",INDEX(_imp!$E$4:$E$4503,_imp!$C$2654))</f>
        <v/>
      </c>
      <c r="C2652" s="54">
        <f>IF(_imp!$C$2654="","",INDEX(_imp!$F$4:$F$4503,_imp!$C$2654))</f>
        <v/>
      </c>
      <c r="D2652" s="54">
        <f>IF(_imp!$C$2654="","",INDEX(_imp!$G$4:$G$4503,_imp!$C$2654))</f>
        <v/>
      </c>
      <c r="E2652" s="54">
        <f>IF(_imp!$C$2654="","",INDEX(_imp!$H$4:$H$4503,_imp!$C$2654))</f>
        <v/>
      </c>
      <c r="F2652" s="54">
        <f>IF(_imp!$C$2654="","",INDEX(_imp!$I$4:$I$4503,_imp!$C$2654))</f>
        <v/>
      </c>
      <c r="G2652" s="54">
        <f>IF(_imp!$C$2654="","",INDEX(_imp!$J$4:$J$4503,_imp!$C$2654))</f>
        <v/>
      </c>
      <c r="K2652" s="54">
        <f>IF(_imp!$C$2654="","",INDEX(_imp!$K$4:$K$4503,_imp!$C$2654))</f>
        <v/>
      </c>
    </row>
    <row r="2653">
      <c r="A2653" s="54">
        <f>IF(_imp!$C$2655="","",INDEX(_imp!$D$4:$D$4503,_imp!$C$2655))</f>
        <v/>
      </c>
      <c r="B2653" s="54">
        <f>IF(_imp!$C$2655="","",INDEX(_imp!$E$4:$E$4503,_imp!$C$2655))</f>
        <v/>
      </c>
      <c r="C2653" s="54">
        <f>IF(_imp!$C$2655="","",INDEX(_imp!$F$4:$F$4503,_imp!$C$2655))</f>
        <v/>
      </c>
      <c r="D2653" s="54">
        <f>IF(_imp!$C$2655="","",INDEX(_imp!$G$4:$G$4503,_imp!$C$2655))</f>
        <v/>
      </c>
      <c r="E2653" s="54">
        <f>IF(_imp!$C$2655="","",INDEX(_imp!$H$4:$H$4503,_imp!$C$2655))</f>
        <v/>
      </c>
      <c r="F2653" s="54">
        <f>IF(_imp!$C$2655="","",INDEX(_imp!$I$4:$I$4503,_imp!$C$2655))</f>
        <v/>
      </c>
      <c r="G2653" s="54">
        <f>IF(_imp!$C$2655="","",INDEX(_imp!$J$4:$J$4503,_imp!$C$2655))</f>
        <v/>
      </c>
      <c r="K2653" s="54">
        <f>IF(_imp!$C$2655="","",INDEX(_imp!$K$4:$K$4503,_imp!$C$2655))</f>
        <v/>
      </c>
    </row>
    <row r="2654">
      <c r="A2654" s="54">
        <f>IF(_imp!$C$2656="","",INDEX(_imp!$D$4:$D$4503,_imp!$C$2656))</f>
        <v/>
      </c>
      <c r="B2654" s="54">
        <f>IF(_imp!$C$2656="","",INDEX(_imp!$E$4:$E$4503,_imp!$C$2656))</f>
        <v/>
      </c>
      <c r="C2654" s="54">
        <f>IF(_imp!$C$2656="","",INDEX(_imp!$F$4:$F$4503,_imp!$C$2656))</f>
        <v/>
      </c>
      <c r="D2654" s="54">
        <f>IF(_imp!$C$2656="","",INDEX(_imp!$G$4:$G$4503,_imp!$C$2656))</f>
        <v/>
      </c>
      <c r="E2654" s="54">
        <f>IF(_imp!$C$2656="","",INDEX(_imp!$H$4:$H$4503,_imp!$C$2656))</f>
        <v/>
      </c>
      <c r="F2654" s="54">
        <f>IF(_imp!$C$2656="","",INDEX(_imp!$I$4:$I$4503,_imp!$C$2656))</f>
        <v/>
      </c>
      <c r="G2654" s="54">
        <f>IF(_imp!$C$2656="","",INDEX(_imp!$J$4:$J$4503,_imp!$C$2656))</f>
        <v/>
      </c>
      <c r="K2654" s="54">
        <f>IF(_imp!$C$2656="","",INDEX(_imp!$K$4:$K$4503,_imp!$C$2656))</f>
        <v/>
      </c>
    </row>
    <row r="2655">
      <c r="A2655" s="54">
        <f>IF(_imp!$C$2657="","",INDEX(_imp!$D$4:$D$4503,_imp!$C$2657))</f>
        <v/>
      </c>
      <c r="B2655" s="54">
        <f>IF(_imp!$C$2657="","",INDEX(_imp!$E$4:$E$4503,_imp!$C$2657))</f>
        <v/>
      </c>
      <c r="C2655" s="54">
        <f>IF(_imp!$C$2657="","",INDEX(_imp!$F$4:$F$4503,_imp!$C$2657))</f>
        <v/>
      </c>
      <c r="D2655" s="54">
        <f>IF(_imp!$C$2657="","",INDEX(_imp!$G$4:$G$4503,_imp!$C$2657))</f>
        <v/>
      </c>
      <c r="E2655" s="54">
        <f>IF(_imp!$C$2657="","",INDEX(_imp!$H$4:$H$4503,_imp!$C$2657))</f>
        <v/>
      </c>
      <c r="F2655" s="54">
        <f>IF(_imp!$C$2657="","",INDEX(_imp!$I$4:$I$4503,_imp!$C$2657))</f>
        <v/>
      </c>
      <c r="G2655" s="54">
        <f>IF(_imp!$C$2657="","",INDEX(_imp!$J$4:$J$4503,_imp!$C$2657))</f>
        <v/>
      </c>
      <c r="K2655" s="54">
        <f>IF(_imp!$C$2657="","",INDEX(_imp!$K$4:$K$4503,_imp!$C$2657))</f>
        <v/>
      </c>
    </row>
    <row r="2656">
      <c r="A2656" s="54">
        <f>IF(_imp!$C$2658="","",INDEX(_imp!$D$4:$D$4503,_imp!$C$2658))</f>
        <v/>
      </c>
      <c r="B2656" s="54">
        <f>IF(_imp!$C$2658="","",INDEX(_imp!$E$4:$E$4503,_imp!$C$2658))</f>
        <v/>
      </c>
      <c r="C2656" s="54">
        <f>IF(_imp!$C$2658="","",INDEX(_imp!$F$4:$F$4503,_imp!$C$2658))</f>
        <v/>
      </c>
      <c r="D2656" s="54">
        <f>IF(_imp!$C$2658="","",INDEX(_imp!$G$4:$G$4503,_imp!$C$2658))</f>
        <v/>
      </c>
      <c r="E2656" s="54">
        <f>IF(_imp!$C$2658="","",INDEX(_imp!$H$4:$H$4503,_imp!$C$2658))</f>
        <v/>
      </c>
      <c r="F2656" s="54">
        <f>IF(_imp!$C$2658="","",INDEX(_imp!$I$4:$I$4503,_imp!$C$2658))</f>
        <v/>
      </c>
      <c r="G2656" s="54">
        <f>IF(_imp!$C$2658="","",INDEX(_imp!$J$4:$J$4503,_imp!$C$2658))</f>
        <v/>
      </c>
      <c r="K2656" s="54">
        <f>IF(_imp!$C$2658="","",INDEX(_imp!$K$4:$K$4503,_imp!$C$2658))</f>
        <v/>
      </c>
    </row>
    <row r="2657">
      <c r="A2657" s="54">
        <f>IF(_imp!$C$2659="","",INDEX(_imp!$D$4:$D$4503,_imp!$C$2659))</f>
        <v/>
      </c>
      <c r="B2657" s="54">
        <f>IF(_imp!$C$2659="","",INDEX(_imp!$E$4:$E$4503,_imp!$C$2659))</f>
        <v/>
      </c>
      <c r="C2657" s="54">
        <f>IF(_imp!$C$2659="","",INDEX(_imp!$F$4:$F$4503,_imp!$C$2659))</f>
        <v/>
      </c>
      <c r="D2657" s="54">
        <f>IF(_imp!$C$2659="","",INDEX(_imp!$G$4:$G$4503,_imp!$C$2659))</f>
        <v/>
      </c>
      <c r="E2657" s="54">
        <f>IF(_imp!$C$2659="","",INDEX(_imp!$H$4:$H$4503,_imp!$C$2659))</f>
        <v/>
      </c>
      <c r="F2657" s="54">
        <f>IF(_imp!$C$2659="","",INDEX(_imp!$I$4:$I$4503,_imp!$C$2659))</f>
        <v/>
      </c>
      <c r="G2657" s="54">
        <f>IF(_imp!$C$2659="","",INDEX(_imp!$J$4:$J$4503,_imp!$C$2659))</f>
        <v/>
      </c>
      <c r="K2657" s="54">
        <f>IF(_imp!$C$2659="","",INDEX(_imp!$K$4:$K$4503,_imp!$C$2659))</f>
        <v/>
      </c>
    </row>
    <row r="2658">
      <c r="A2658" s="54">
        <f>IF(_imp!$C$2660="","",INDEX(_imp!$D$4:$D$4503,_imp!$C$2660))</f>
        <v/>
      </c>
      <c r="B2658" s="54">
        <f>IF(_imp!$C$2660="","",INDEX(_imp!$E$4:$E$4503,_imp!$C$2660))</f>
        <v/>
      </c>
      <c r="C2658" s="54">
        <f>IF(_imp!$C$2660="","",INDEX(_imp!$F$4:$F$4503,_imp!$C$2660))</f>
        <v/>
      </c>
      <c r="D2658" s="54">
        <f>IF(_imp!$C$2660="","",INDEX(_imp!$G$4:$G$4503,_imp!$C$2660))</f>
        <v/>
      </c>
      <c r="E2658" s="54">
        <f>IF(_imp!$C$2660="","",INDEX(_imp!$H$4:$H$4503,_imp!$C$2660))</f>
        <v/>
      </c>
      <c r="F2658" s="54">
        <f>IF(_imp!$C$2660="","",INDEX(_imp!$I$4:$I$4503,_imp!$C$2660))</f>
        <v/>
      </c>
      <c r="G2658" s="54">
        <f>IF(_imp!$C$2660="","",INDEX(_imp!$J$4:$J$4503,_imp!$C$2660))</f>
        <v/>
      </c>
      <c r="K2658" s="54">
        <f>IF(_imp!$C$2660="","",INDEX(_imp!$K$4:$K$4503,_imp!$C$2660))</f>
        <v/>
      </c>
    </row>
    <row r="2659">
      <c r="A2659" s="54">
        <f>IF(_imp!$C$2661="","",INDEX(_imp!$D$4:$D$4503,_imp!$C$2661))</f>
        <v/>
      </c>
      <c r="B2659" s="54">
        <f>IF(_imp!$C$2661="","",INDEX(_imp!$E$4:$E$4503,_imp!$C$2661))</f>
        <v/>
      </c>
      <c r="C2659" s="54">
        <f>IF(_imp!$C$2661="","",INDEX(_imp!$F$4:$F$4503,_imp!$C$2661))</f>
        <v/>
      </c>
      <c r="D2659" s="54">
        <f>IF(_imp!$C$2661="","",INDEX(_imp!$G$4:$G$4503,_imp!$C$2661))</f>
        <v/>
      </c>
      <c r="E2659" s="54">
        <f>IF(_imp!$C$2661="","",INDEX(_imp!$H$4:$H$4503,_imp!$C$2661))</f>
        <v/>
      </c>
      <c r="F2659" s="54">
        <f>IF(_imp!$C$2661="","",INDEX(_imp!$I$4:$I$4503,_imp!$C$2661))</f>
        <v/>
      </c>
      <c r="G2659" s="54">
        <f>IF(_imp!$C$2661="","",INDEX(_imp!$J$4:$J$4503,_imp!$C$2661))</f>
        <v/>
      </c>
      <c r="K2659" s="54">
        <f>IF(_imp!$C$2661="","",INDEX(_imp!$K$4:$K$4503,_imp!$C$2661))</f>
        <v/>
      </c>
    </row>
    <row r="2660">
      <c r="A2660" s="54">
        <f>IF(_imp!$C$2662="","",INDEX(_imp!$D$4:$D$4503,_imp!$C$2662))</f>
        <v/>
      </c>
      <c r="B2660" s="54">
        <f>IF(_imp!$C$2662="","",INDEX(_imp!$E$4:$E$4503,_imp!$C$2662))</f>
        <v/>
      </c>
      <c r="C2660" s="54">
        <f>IF(_imp!$C$2662="","",INDEX(_imp!$F$4:$F$4503,_imp!$C$2662))</f>
        <v/>
      </c>
      <c r="D2660" s="54">
        <f>IF(_imp!$C$2662="","",INDEX(_imp!$G$4:$G$4503,_imp!$C$2662))</f>
        <v/>
      </c>
      <c r="E2660" s="54">
        <f>IF(_imp!$C$2662="","",INDEX(_imp!$H$4:$H$4503,_imp!$C$2662))</f>
        <v/>
      </c>
      <c r="F2660" s="54">
        <f>IF(_imp!$C$2662="","",INDEX(_imp!$I$4:$I$4503,_imp!$C$2662))</f>
        <v/>
      </c>
      <c r="G2660" s="54">
        <f>IF(_imp!$C$2662="","",INDEX(_imp!$J$4:$J$4503,_imp!$C$2662))</f>
        <v/>
      </c>
      <c r="K2660" s="54">
        <f>IF(_imp!$C$2662="","",INDEX(_imp!$K$4:$K$4503,_imp!$C$2662))</f>
        <v/>
      </c>
    </row>
    <row r="2661">
      <c r="A2661" s="54">
        <f>IF(_imp!$C$2663="","",INDEX(_imp!$D$4:$D$4503,_imp!$C$2663))</f>
        <v/>
      </c>
      <c r="B2661" s="54">
        <f>IF(_imp!$C$2663="","",INDEX(_imp!$E$4:$E$4503,_imp!$C$2663))</f>
        <v/>
      </c>
      <c r="C2661" s="54">
        <f>IF(_imp!$C$2663="","",INDEX(_imp!$F$4:$F$4503,_imp!$C$2663))</f>
        <v/>
      </c>
      <c r="D2661" s="54">
        <f>IF(_imp!$C$2663="","",INDEX(_imp!$G$4:$G$4503,_imp!$C$2663))</f>
        <v/>
      </c>
      <c r="E2661" s="54">
        <f>IF(_imp!$C$2663="","",INDEX(_imp!$H$4:$H$4503,_imp!$C$2663))</f>
        <v/>
      </c>
      <c r="F2661" s="54">
        <f>IF(_imp!$C$2663="","",INDEX(_imp!$I$4:$I$4503,_imp!$C$2663))</f>
        <v/>
      </c>
      <c r="G2661" s="54">
        <f>IF(_imp!$C$2663="","",INDEX(_imp!$J$4:$J$4503,_imp!$C$2663))</f>
        <v/>
      </c>
      <c r="K2661" s="54">
        <f>IF(_imp!$C$2663="","",INDEX(_imp!$K$4:$K$4503,_imp!$C$2663))</f>
        <v/>
      </c>
    </row>
    <row r="2662">
      <c r="A2662" s="54">
        <f>IF(_imp!$C$2664="","",INDEX(_imp!$D$4:$D$4503,_imp!$C$2664))</f>
        <v/>
      </c>
      <c r="B2662" s="54">
        <f>IF(_imp!$C$2664="","",INDEX(_imp!$E$4:$E$4503,_imp!$C$2664))</f>
        <v/>
      </c>
      <c r="C2662" s="54">
        <f>IF(_imp!$C$2664="","",INDEX(_imp!$F$4:$F$4503,_imp!$C$2664))</f>
        <v/>
      </c>
      <c r="D2662" s="54">
        <f>IF(_imp!$C$2664="","",INDEX(_imp!$G$4:$G$4503,_imp!$C$2664))</f>
        <v/>
      </c>
      <c r="E2662" s="54">
        <f>IF(_imp!$C$2664="","",INDEX(_imp!$H$4:$H$4503,_imp!$C$2664))</f>
        <v/>
      </c>
      <c r="F2662" s="54">
        <f>IF(_imp!$C$2664="","",INDEX(_imp!$I$4:$I$4503,_imp!$C$2664))</f>
        <v/>
      </c>
      <c r="G2662" s="54">
        <f>IF(_imp!$C$2664="","",INDEX(_imp!$J$4:$J$4503,_imp!$C$2664))</f>
        <v/>
      </c>
      <c r="K2662" s="54">
        <f>IF(_imp!$C$2664="","",INDEX(_imp!$K$4:$K$4503,_imp!$C$2664))</f>
        <v/>
      </c>
    </row>
    <row r="2663">
      <c r="A2663" s="54">
        <f>IF(_imp!$C$2665="","",INDEX(_imp!$D$4:$D$4503,_imp!$C$2665))</f>
        <v/>
      </c>
      <c r="B2663" s="54">
        <f>IF(_imp!$C$2665="","",INDEX(_imp!$E$4:$E$4503,_imp!$C$2665))</f>
        <v/>
      </c>
      <c r="C2663" s="54">
        <f>IF(_imp!$C$2665="","",INDEX(_imp!$F$4:$F$4503,_imp!$C$2665))</f>
        <v/>
      </c>
      <c r="D2663" s="54">
        <f>IF(_imp!$C$2665="","",INDEX(_imp!$G$4:$G$4503,_imp!$C$2665))</f>
        <v/>
      </c>
      <c r="E2663" s="54">
        <f>IF(_imp!$C$2665="","",INDEX(_imp!$H$4:$H$4503,_imp!$C$2665))</f>
        <v/>
      </c>
      <c r="F2663" s="54">
        <f>IF(_imp!$C$2665="","",INDEX(_imp!$I$4:$I$4503,_imp!$C$2665))</f>
        <v/>
      </c>
      <c r="G2663" s="54">
        <f>IF(_imp!$C$2665="","",INDEX(_imp!$J$4:$J$4503,_imp!$C$2665))</f>
        <v/>
      </c>
      <c r="K2663" s="54">
        <f>IF(_imp!$C$2665="","",INDEX(_imp!$K$4:$K$4503,_imp!$C$2665))</f>
        <v/>
      </c>
    </row>
    <row r="2664">
      <c r="A2664" s="54">
        <f>IF(_imp!$C$2666="","",INDEX(_imp!$D$4:$D$4503,_imp!$C$2666))</f>
        <v/>
      </c>
      <c r="B2664" s="54">
        <f>IF(_imp!$C$2666="","",INDEX(_imp!$E$4:$E$4503,_imp!$C$2666))</f>
        <v/>
      </c>
      <c r="C2664" s="54">
        <f>IF(_imp!$C$2666="","",INDEX(_imp!$F$4:$F$4503,_imp!$C$2666))</f>
        <v/>
      </c>
      <c r="D2664" s="54">
        <f>IF(_imp!$C$2666="","",INDEX(_imp!$G$4:$G$4503,_imp!$C$2666))</f>
        <v/>
      </c>
      <c r="E2664" s="54">
        <f>IF(_imp!$C$2666="","",INDEX(_imp!$H$4:$H$4503,_imp!$C$2666))</f>
        <v/>
      </c>
      <c r="F2664" s="54">
        <f>IF(_imp!$C$2666="","",INDEX(_imp!$I$4:$I$4503,_imp!$C$2666))</f>
        <v/>
      </c>
      <c r="G2664" s="54">
        <f>IF(_imp!$C$2666="","",INDEX(_imp!$J$4:$J$4503,_imp!$C$2666))</f>
        <v/>
      </c>
      <c r="K2664" s="54">
        <f>IF(_imp!$C$2666="","",INDEX(_imp!$K$4:$K$4503,_imp!$C$2666))</f>
        <v/>
      </c>
    </row>
    <row r="2665">
      <c r="A2665" s="54">
        <f>IF(_imp!$C$2667="","",INDEX(_imp!$D$4:$D$4503,_imp!$C$2667))</f>
        <v/>
      </c>
      <c r="B2665" s="54">
        <f>IF(_imp!$C$2667="","",INDEX(_imp!$E$4:$E$4503,_imp!$C$2667))</f>
        <v/>
      </c>
      <c r="C2665" s="54">
        <f>IF(_imp!$C$2667="","",INDEX(_imp!$F$4:$F$4503,_imp!$C$2667))</f>
        <v/>
      </c>
      <c r="D2665" s="54">
        <f>IF(_imp!$C$2667="","",INDEX(_imp!$G$4:$G$4503,_imp!$C$2667))</f>
        <v/>
      </c>
      <c r="E2665" s="54">
        <f>IF(_imp!$C$2667="","",INDEX(_imp!$H$4:$H$4503,_imp!$C$2667))</f>
        <v/>
      </c>
      <c r="F2665" s="54">
        <f>IF(_imp!$C$2667="","",INDEX(_imp!$I$4:$I$4503,_imp!$C$2667))</f>
        <v/>
      </c>
      <c r="G2665" s="54">
        <f>IF(_imp!$C$2667="","",INDEX(_imp!$J$4:$J$4503,_imp!$C$2667))</f>
        <v/>
      </c>
      <c r="K2665" s="54">
        <f>IF(_imp!$C$2667="","",INDEX(_imp!$K$4:$K$4503,_imp!$C$2667))</f>
        <v/>
      </c>
    </row>
    <row r="2666">
      <c r="A2666" s="54">
        <f>IF(_imp!$C$2668="","",INDEX(_imp!$D$4:$D$4503,_imp!$C$2668))</f>
        <v/>
      </c>
      <c r="B2666" s="54">
        <f>IF(_imp!$C$2668="","",INDEX(_imp!$E$4:$E$4503,_imp!$C$2668))</f>
        <v/>
      </c>
      <c r="C2666" s="54">
        <f>IF(_imp!$C$2668="","",INDEX(_imp!$F$4:$F$4503,_imp!$C$2668))</f>
        <v/>
      </c>
      <c r="D2666" s="54">
        <f>IF(_imp!$C$2668="","",INDEX(_imp!$G$4:$G$4503,_imp!$C$2668))</f>
        <v/>
      </c>
      <c r="E2666" s="54">
        <f>IF(_imp!$C$2668="","",INDEX(_imp!$H$4:$H$4503,_imp!$C$2668))</f>
        <v/>
      </c>
      <c r="F2666" s="54">
        <f>IF(_imp!$C$2668="","",INDEX(_imp!$I$4:$I$4503,_imp!$C$2668))</f>
        <v/>
      </c>
      <c r="G2666" s="54">
        <f>IF(_imp!$C$2668="","",INDEX(_imp!$J$4:$J$4503,_imp!$C$2668))</f>
        <v/>
      </c>
      <c r="K2666" s="54">
        <f>IF(_imp!$C$2668="","",INDEX(_imp!$K$4:$K$4503,_imp!$C$2668))</f>
        <v/>
      </c>
    </row>
    <row r="2667">
      <c r="A2667" s="54">
        <f>IF(_imp!$C$2669="","",INDEX(_imp!$D$4:$D$4503,_imp!$C$2669))</f>
        <v/>
      </c>
      <c r="B2667" s="54">
        <f>IF(_imp!$C$2669="","",INDEX(_imp!$E$4:$E$4503,_imp!$C$2669))</f>
        <v/>
      </c>
      <c r="C2667" s="54">
        <f>IF(_imp!$C$2669="","",INDEX(_imp!$F$4:$F$4503,_imp!$C$2669))</f>
        <v/>
      </c>
      <c r="D2667" s="54">
        <f>IF(_imp!$C$2669="","",INDEX(_imp!$G$4:$G$4503,_imp!$C$2669))</f>
        <v/>
      </c>
      <c r="E2667" s="54">
        <f>IF(_imp!$C$2669="","",INDEX(_imp!$H$4:$H$4503,_imp!$C$2669))</f>
        <v/>
      </c>
      <c r="F2667" s="54">
        <f>IF(_imp!$C$2669="","",INDEX(_imp!$I$4:$I$4503,_imp!$C$2669))</f>
        <v/>
      </c>
      <c r="G2667" s="54">
        <f>IF(_imp!$C$2669="","",INDEX(_imp!$J$4:$J$4503,_imp!$C$2669))</f>
        <v/>
      </c>
      <c r="K2667" s="54">
        <f>IF(_imp!$C$2669="","",INDEX(_imp!$K$4:$K$4503,_imp!$C$2669))</f>
        <v/>
      </c>
    </row>
    <row r="2668">
      <c r="A2668" s="54">
        <f>IF(_imp!$C$2670="","",INDEX(_imp!$D$4:$D$4503,_imp!$C$2670))</f>
        <v/>
      </c>
      <c r="B2668" s="54">
        <f>IF(_imp!$C$2670="","",INDEX(_imp!$E$4:$E$4503,_imp!$C$2670))</f>
        <v/>
      </c>
      <c r="C2668" s="54">
        <f>IF(_imp!$C$2670="","",INDEX(_imp!$F$4:$F$4503,_imp!$C$2670))</f>
        <v/>
      </c>
      <c r="D2668" s="54">
        <f>IF(_imp!$C$2670="","",INDEX(_imp!$G$4:$G$4503,_imp!$C$2670))</f>
        <v/>
      </c>
      <c r="E2668" s="54">
        <f>IF(_imp!$C$2670="","",INDEX(_imp!$H$4:$H$4503,_imp!$C$2670))</f>
        <v/>
      </c>
      <c r="F2668" s="54">
        <f>IF(_imp!$C$2670="","",INDEX(_imp!$I$4:$I$4503,_imp!$C$2670))</f>
        <v/>
      </c>
      <c r="G2668" s="54">
        <f>IF(_imp!$C$2670="","",INDEX(_imp!$J$4:$J$4503,_imp!$C$2670))</f>
        <v/>
      </c>
      <c r="K2668" s="54">
        <f>IF(_imp!$C$2670="","",INDEX(_imp!$K$4:$K$4503,_imp!$C$2670))</f>
        <v/>
      </c>
    </row>
    <row r="2669">
      <c r="A2669" s="54">
        <f>IF(_imp!$C$2671="","",INDEX(_imp!$D$4:$D$4503,_imp!$C$2671))</f>
        <v/>
      </c>
      <c r="B2669" s="54">
        <f>IF(_imp!$C$2671="","",INDEX(_imp!$E$4:$E$4503,_imp!$C$2671))</f>
        <v/>
      </c>
      <c r="C2669" s="54">
        <f>IF(_imp!$C$2671="","",INDEX(_imp!$F$4:$F$4503,_imp!$C$2671))</f>
        <v/>
      </c>
      <c r="D2669" s="54">
        <f>IF(_imp!$C$2671="","",INDEX(_imp!$G$4:$G$4503,_imp!$C$2671))</f>
        <v/>
      </c>
      <c r="E2669" s="54">
        <f>IF(_imp!$C$2671="","",INDEX(_imp!$H$4:$H$4503,_imp!$C$2671))</f>
        <v/>
      </c>
      <c r="F2669" s="54">
        <f>IF(_imp!$C$2671="","",INDEX(_imp!$I$4:$I$4503,_imp!$C$2671))</f>
        <v/>
      </c>
      <c r="G2669" s="54">
        <f>IF(_imp!$C$2671="","",INDEX(_imp!$J$4:$J$4503,_imp!$C$2671))</f>
        <v/>
      </c>
      <c r="K2669" s="54">
        <f>IF(_imp!$C$2671="","",INDEX(_imp!$K$4:$K$4503,_imp!$C$2671))</f>
        <v/>
      </c>
    </row>
    <row r="2670">
      <c r="A2670" s="54">
        <f>IF(_imp!$C$2672="","",INDEX(_imp!$D$4:$D$4503,_imp!$C$2672))</f>
        <v/>
      </c>
      <c r="B2670" s="54">
        <f>IF(_imp!$C$2672="","",INDEX(_imp!$E$4:$E$4503,_imp!$C$2672))</f>
        <v/>
      </c>
      <c r="C2670" s="54">
        <f>IF(_imp!$C$2672="","",INDEX(_imp!$F$4:$F$4503,_imp!$C$2672))</f>
        <v/>
      </c>
      <c r="D2670" s="54">
        <f>IF(_imp!$C$2672="","",INDEX(_imp!$G$4:$G$4503,_imp!$C$2672))</f>
        <v/>
      </c>
      <c r="E2670" s="54">
        <f>IF(_imp!$C$2672="","",INDEX(_imp!$H$4:$H$4503,_imp!$C$2672))</f>
        <v/>
      </c>
      <c r="F2670" s="54">
        <f>IF(_imp!$C$2672="","",INDEX(_imp!$I$4:$I$4503,_imp!$C$2672))</f>
        <v/>
      </c>
      <c r="G2670" s="54">
        <f>IF(_imp!$C$2672="","",INDEX(_imp!$J$4:$J$4503,_imp!$C$2672))</f>
        <v/>
      </c>
      <c r="K2670" s="54">
        <f>IF(_imp!$C$2672="","",INDEX(_imp!$K$4:$K$4503,_imp!$C$2672))</f>
        <v/>
      </c>
    </row>
    <row r="2671">
      <c r="A2671" s="54">
        <f>IF(_imp!$C$2673="","",INDEX(_imp!$D$4:$D$4503,_imp!$C$2673))</f>
        <v/>
      </c>
      <c r="B2671" s="54">
        <f>IF(_imp!$C$2673="","",INDEX(_imp!$E$4:$E$4503,_imp!$C$2673))</f>
        <v/>
      </c>
      <c r="C2671" s="54">
        <f>IF(_imp!$C$2673="","",INDEX(_imp!$F$4:$F$4503,_imp!$C$2673))</f>
        <v/>
      </c>
      <c r="D2671" s="54">
        <f>IF(_imp!$C$2673="","",INDEX(_imp!$G$4:$G$4503,_imp!$C$2673))</f>
        <v/>
      </c>
      <c r="E2671" s="54">
        <f>IF(_imp!$C$2673="","",INDEX(_imp!$H$4:$H$4503,_imp!$C$2673))</f>
        <v/>
      </c>
      <c r="F2671" s="54">
        <f>IF(_imp!$C$2673="","",INDEX(_imp!$I$4:$I$4503,_imp!$C$2673))</f>
        <v/>
      </c>
      <c r="G2671" s="54">
        <f>IF(_imp!$C$2673="","",INDEX(_imp!$J$4:$J$4503,_imp!$C$2673))</f>
        <v/>
      </c>
      <c r="K2671" s="54">
        <f>IF(_imp!$C$2673="","",INDEX(_imp!$K$4:$K$4503,_imp!$C$2673))</f>
        <v/>
      </c>
    </row>
    <row r="2672">
      <c r="A2672" s="54">
        <f>IF(_imp!$C$2674="","",INDEX(_imp!$D$4:$D$4503,_imp!$C$2674))</f>
        <v/>
      </c>
      <c r="B2672" s="54">
        <f>IF(_imp!$C$2674="","",INDEX(_imp!$E$4:$E$4503,_imp!$C$2674))</f>
        <v/>
      </c>
      <c r="C2672" s="54">
        <f>IF(_imp!$C$2674="","",INDEX(_imp!$F$4:$F$4503,_imp!$C$2674))</f>
        <v/>
      </c>
      <c r="D2672" s="54">
        <f>IF(_imp!$C$2674="","",INDEX(_imp!$G$4:$G$4503,_imp!$C$2674))</f>
        <v/>
      </c>
      <c r="E2672" s="54">
        <f>IF(_imp!$C$2674="","",INDEX(_imp!$H$4:$H$4503,_imp!$C$2674))</f>
        <v/>
      </c>
      <c r="F2672" s="54">
        <f>IF(_imp!$C$2674="","",INDEX(_imp!$I$4:$I$4503,_imp!$C$2674))</f>
        <v/>
      </c>
      <c r="G2672" s="54">
        <f>IF(_imp!$C$2674="","",INDEX(_imp!$J$4:$J$4503,_imp!$C$2674))</f>
        <v/>
      </c>
      <c r="K2672" s="54">
        <f>IF(_imp!$C$2674="","",INDEX(_imp!$K$4:$K$4503,_imp!$C$2674))</f>
        <v/>
      </c>
    </row>
    <row r="2673">
      <c r="A2673" s="54">
        <f>IF(_imp!$C$2675="","",INDEX(_imp!$D$4:$D$4503,_imp!$C$2675))</f>
        <v/>
      </c>
      <c r="B2673" s="54">
        <f>IF(_imp!$C$2675="","",INDEX(_imp!$E$4:$E$4503,_imp!$C$2675))</f>
        <v/>
      </c>
      <c r="C2673" s="54">
        <f>IF(_imp!$C$2675="","",INDEX(_imp!$F$4:$F$4503,_imp!$C$2675))</f>
        <v/>
      </c>
      <c r="D2673" s="54">
        <f>IF(_imp!$C$2675="","",INDEX(_imp!$G$4:$G$4503,_imp!$C$2675))</f>
        <v/>
      </c>
      <c r="E2673" s="54">
        <f>IF(_imp!$C$2675="","",INDEX(_imp!$H$4:$H$4503,_imp!$C$2675))</f>
        <v/>
      </c>
      <c r="F2673" s="54">
        <f>IF(_imp!$C$2675="","",INDEX(_imp!$I$4:$I$4503,_imp!$C$2675))</f>
        <v/>
      </c>
      <c r="G2673" s="54">
        <f>IF(_imp!$C$2675="","",INDEX(_imp!$J$4:$J$4503,_imp!$C$2675))</f>
        <v/>
      </c>
      <c r="K2673" s="54">
        <f>IF(_imp!$C$2675="","",INDEX(_imp!$K$4:$K$4503,_imp!$C$2675))</f>
        <v/>
      </c>
    </row>
    <row r="2674">
      <c r="A2674" s="54">
        <f>IF(_imp!$C$2676="","",INDEX(_imp!$D$4:$D$4503,_imp!$C$2676))</f>
        <v/>
      </c>
      <c r="B2674" s="54">
        <f>IF(_imp!$C$2676="","",INDEX(_imp!$E$4:$E$4503,_imp!$C$2676))</f>
        <v/>
      </c>
      <c r="C2674" s="54">
        <f>IF(_imp!$C$2676="","",INDEX(_imp!$F$4:$F$4503,_imp!$C$2676))</f>
        <v/>
      </c>
      <c r="D2674" s="54">
        <f>IF(_imp!$C$2676="","",INDEX(_imp!$G$4:$G$4503,_imp!$C$2676))</f>
        <v/>
      </c>
      <c r="E2674" s="54">
        <f>IF(_imp!$C$2676="","",INDEX(_imp!$H$4:$H$4503,_imp!$C$2676))</f>
        <v/>
      </c>
      <c r="F2674" s="54">
        <f>IF(_imp!$C$2676="","",INDEX(_imp!$I$4:$I$4503,_imp!$C$2676))</f>
        <v/>
      </c>
      <c r="G2674" s="54">
        <f>IF(_imp!$C$2676="","",INDEX(_imp!$J$4:$J$4503,_imp!$C$2676))</f>
        <v/>
      </c>
      <c r="K2674" s="54">
        <f>IF(_imp!$C$2676="","",INDEX(_imp!$K$4:$K$4503,_imp!$C$2676))</f>
        <v/>
      </c>
    </row>
    <row r="2675">
      <c r="A2675" s="54">
        <f>IF(_imp!$C$2677="","",INDEX(_imp!$D$4:$D$4503,_imp!$C$2677))</f>
        <v/>
      </c>
      <c r="B2675" s="54">
        <f>IF(_imp!$C$2677="","",INDEX(_imp!$E$4:$E$4503,_imp!$C$2677))</f>
        <v/>
      </c>
      <c r="C2675" s="54">
        <f>IF(_imp!$C$2677="","",INDEX(_imp!$F$4:$F$4503,_imp!$C$2677))</f>
        <v/>
      </c>
      <c r="D2675" s="54">
        <f>IF(_imp!$C$2677="","",INDEX(_imp!$G$4:$G$4503,_imp!$C$2677))</f>
        <v/>
      </c>
      <c r="E2675" s="54">
        <f>IF(_imp!$C$2677="","",INDEX(_imp!$H$4:$H$4503,_imp!$C$2677))</f>
        <v/>
      </c>
      <c r="F2675" s="54">
        <f>IF(_imp!$C$2677="","",INDEX(_imp!$I$4:$I$4503,_imp!$C$2677))</f>
        <v/>
      </c>
      <c r="G2675" s="54">
        <f>IF(_imp!$C$2677="","",INDEX(_imp!$J$4:$J$4503,_imp!$C$2677))</f>
        <v/>
      </c>
      <c r="K2675" s="54">
        <f>IF(_imp!$C$2677="","",INDEX(_imp!$K$4:$K$4503,_imp!$C$2677))</f>
        <v/>
      </c>
    </row>
    <row r="2676">
      <c r="A2676" s="54">
        <f>IF(_imp!$C$2678="","",INDEX(_imp!$D$4:$D$4503,_imp!$C$2678))</f>
        <v/>
      </c>
      <c r="B2676" s="54">
        <f>IF(_imp!$C$2678="","",INDEX(_imp!$E$4:$E$4503,_imp!$C$2678))</f>
        <v/>
      </c>
      <c r="C2676" s="54">
        <f>IF(_imp!$C$2678="","",INDEX(_imp!$F$4:$F$4503,_imp!$C$2678))</f>
        <v/>
      </c>
      <c r="D2676" s="54">
        <f>IF(_imp!$C$2678="","",INDEX(_imp!$G$4:$G$4503,_imp!$C$2678))</f>
        <v/>
      </c>
      <c r="E2676" s="54">
        <f>IF(_imp!$C$2678="","",INDEX(_imp!$H$4:$H$4503,_imp!$C$2678))</f>
        <v/>
      </c>
      <c r="F2676" s="54">
        <f>IF(_imp!$C$2678="","",INDEX(_imp!$I$4:$I$4503,_imp!$C$2678))</f>
        <v/>
      </c>
      <c r="G2676" s="54">
        <f>IF(_imp!$C$2678="","",INDEX(_imp!$J$4:$J$4503,_imp!$C$2678))</f>
        <v/>
      </c>
      <c r="K2676" s="54">
        <f>IF(_imp!$C$2678="","",INDEX(_imp!$K$4:$K$4503,_imp!$C$2678))</f>
        <v/>
      </c>
    </row>
    <row r="2677">
      <c r="A2677" s="54">
        <f>IF(_imp!$C$2679="","",INDEX(_imp!$D$4:$D$4503,_imp!$C$2679))</f>
        <v/>
      </c>
      <c r="B2677" s="54">
        <f>IF(_imp!$C$2679="","",INDEX(_imp!$E$4:$E$4503,_imp!$C$2679))</f>
        <v/>
      </c>
      <c r="C2677" s="54">
        <f>IF(_imp!$C$2679="","",INDEX(_imp!$F$4:$F$4503,_imp!$C$2679))</f>
        <v/>
      </c>
      <c r="D2677" s="54">
        <f>IF(_imp!$C$2679="","",INDEX(_imp!$G$4:$G$4503,_imp!$C$2679))</f>
        <v/>
      </c>
      <c r="E2677" s="54">
        <f>IF(_imp!$C$2679="","",INDEX(_imp!$H$4:$H$4503,_imp!$C$2679))</f>
        <v/>
      </c>
      <c r="F2677" s="54">
        <f>IF(_imp!$C$2679="","",INDEX(_imp!$I$4:$I$4503,_imp!$C$2679))</f>
        <v/>
      </c>
      <c r="G2677" s="54">
        <f>IF(_imp!$C$2679="","",INDEX(_imp!$J$4:$J$4503,_imp!$C$2679))</f>
        <v/>
      </c>
      <c r="K2677" s="54">
        <f>IF(_imp!$C$2679="","",INDEX(_imp!$K$4:$K$4503,_imp!$C$2679))</f>
        <v/>
      </c>
    </row>
    <row r="2678">
      <c r="A2678" s="54">
        <f>IF(_imp!$C$2680="","",INDEX(_imp!$D$4:$D$4503,_imp!$C$2680))</f>
        <v/>
      </c>
      <c r="B2678" s="54">
        <f>IF(_imp!$C$2680="","",INDEX(_imp!$E$4:$E$4503,_imp!$C$2680))</f>
        <v/>
      </c>
      <c r="C2678" s="54">
        <f>IF(_imp!$C$2680="","",INDEX(_imp!$F$4:$F$4503,_imp!$C$2680))</f>
        <v/>
      </c>
      <c r="D2678" s="54">
        <f>IF(_imp!$C$2680="","",INDEX(_imp!$G$4:$G$4503,_imp!$C$2680))</f>
        <v/>
      </c>
      <c r="E2678" s="54">
        <f>IF(_imp!$C$2680="","",INDEX(_imp!$H$4:$H$4503,_imp!$C$2680))</f>
        <v/>
      </c>
      <c r="F2678" s="54">
        <f>IF(_imp!$C$2680="","",INDEX(_imp!$I$4:$I$4503,_imp!$C$2680))</f>
        <v/>
      </c>
      <c r="G2678" s="54">
        <f>IF(_imp!$C$2680="","",INDEX(_imp!$J$4:$J$4503,_imp!$C$2680))</f>
        <v/>
      </c>
      <c r="K2678" s="54">
        <f>IF(_imp!$C$2680="","",INDEX(_imp!$K$4:$K$4503,_imp!$C$2680))</f>
        <v/>
      </c>
    </row>
    <row r="2679">
      <c r="A2679" s="54">
        <f>IF(_imp!$C$2681="","",INDEX(_imp!$D$4:$D$4503,_imp!$C$2681))</f>
        <v/>
      </c>
      <c r="B2679" s="54">
        <f>IF(_imp!$C$2681="","",INDEX(_imp!$E$4:$E$4503,_imp!$C$2681))</f>
        <v/>
      </c>
      <c r="C2679" s="54">
        <f>IF(_imp!$C$2681="","",INDEX(_imp!$F$4:$F$4503,_imp!$C$2681))</f>
        <v/>
      </c>
      <c r="D2679" s="54">
        <f>IF(_imp!$C$2681="","",INDEX(_imp!$G$4:$G$4503,_imp!$C$2681))</f>
        <v/>
      </c>
      <c r="E2679" s="54">
        <f>IF(_imp!$C$2681="","",INDEX(_imp!$H$4:$H$4503,_imp!$C$2681))</f>
        <v/>
      </c>
      <c r="F2679" s="54">
        <f>IF(_imp!$C$2681="","",INDEX(_imp!$I$4:$I$4503,_imp!$C$2681))</f>
        <v/>
      </c>
      <c r="G2679" s="54">
        <f>IF(_imp!$C$2681="","",INDEX(_imp!$J$4:$J$4503,_imp!$C$2681))</f>
        <v/>
      </c>
      <c r="K2679" s="54">
        <f>IF(_imp!$C$2681="","",INDEX(_imp!$K$4:$K$4503,_imp!$C$2681))</f>
        <v/>
      </c>
    </row>
    <row r="2680">
      <c r="A2680" s="54">
        <f>IF(_imp!$C$2682="","",INDEX(_imp!$D$4:$D$4503,_imp!$C$2682))</f>
        <v/>
      </c>
      <c r="B2680" s="54">
        <f>IF(_imp!$C$2682="","",INDEX(_imp!$E$4:$E$4503,_imp!$C$2682))</f>
        <v/>
      </c>
      <c r="C2680" s="54">
        <f>IF(_imp!$C$2682="","",INDEX(_imp!$F$4:$F$4503,_imp!$C$2682))</f>
        <v/>
      </c>
      <c r="D2680" s="54">
        <f>IF(_imp!$C$2682="","",INDEX(_imp!$G$4:$G$4503,_imp!$C$2682))</f>
        <v/>
      </c>
      <c r="E2680" s="54">
        <f>IF(_imp!$C$2682="","",INDEX(_imp!$H$4:$H$4503,_imp!$C$2682))</f>
        <v/>
      </c>
      <c r="F2680" s="54">
        <f>IF(_imp!$C$2682="","",INDEX(_imp!$I$4:$I$4503,_imp!$C$2682))</f>
        <v/>
      </c>
      <c r="G2680" s="54">
        <f>IF(_imp!$C$2682="","",INDEX(_imp!$J$4:$J$4503,_imp!$C$2682))</f>
        <v/>
      </c>
      <c r="K2680" s="54">
        <f>IF(_imp!$C$2682="","",INDEX(_imp!$K$4:$K$4503,_imp!$C$2682))</f>
        <v/>
      </c>
    </row>
    <row r="2681">
      <c r="A2681" s="54">
        <f>IF(_imp!$C$2683="","",INDEX(_imp!$D$4:$D$4503,_imp!$C$2683))</f>
        <v/>
      </c>
      <c r="B2681" s="54">
        <f>IF(_imp!$C$2683="","",INDEX(_imp!$E$4:$E$4503,_imp!$C$2683))</f>
        <v/>
      </c>
      <c r="C2681" s="54">
        <f>IF(_imp!$C$2683="","",INDEX(_imp!$F$4:$F$4503,_imp!$C$2683))</f>
        <v/>
      </c>
      <c r="D2681" s="54">
        <f>IF(_imp!$C$2683="","",INDEX(_imp!$G$4:$G$4503,_imp!$C$2683))</f>
        <v/>
      </c>
      <c r="E2681" s="54">
        <f>IF(_imp!$C$2683="","",INDEX(_imp!$H$4:$H$4503,_imp!$C$2683))</f>
        <v/>
      </c>
      <c r="F2681" s="54">
        <f>IF(_imp!$C$2683="","",INDEX(_imp!$I$4:$I$4503,_imp!$C$2683))</f>
        <v/>
      </c>
      <c r="G2681" s="54">
        <f>IF(_imp!$C$2683="","",INDEX(_imp!$J$4:$J$4503,_imp!$C$2683))</f>
        <v/>
      </c>
      <c r="K2681" s="54">
        <f>IF(_imp!$C$2683="","",INDEX(_imp!$K$4:$K$4503,_imp!$C$2683))</f>
        <v/>
      </c>
    </row>
    <row r="2682">
      <c r="A2682" s="54">
        <f>IF(_imp!$C$2684="","",INDEX(_imp!$D$4:$D$4503,_imp!$C$2684))</f>
        <v/>
      </c>
      <c r="B2682" s="54">
        <f>IF(_imp!$C$2684="","",INDEX(_imp!$E$4:$E$4503,_imp!$C$2684))</f>
        <v/>
      </c>
      <c r="C2682" s="54">
        <f>IF(_imp!$C$2684="","",INDEX(_imp!$F$4:$F$4503,_imp!$C$2684))</f>
        <v/>
      </c>
      <c r="D2682" s="54">
        <f>IF(_imp!$C$2684="","",INDEX(_imp!$G$4:$G$4503,_imp!$C$2684))</f>
        <v/>
      </c>
      <c r="E2682" s="54">
        <f>IF(_imp!$C$2684="","",INDEX(_imp!$H$4:$H$4503,_imp!$C$2684))</f>
        <v/>
      </c>
      <c r="F2682" s="54">
        <f>IF(_imp!$C$2684="","",INDEX(_imp!$I$4:$I$4503,_imp!$C$2684))</f>
        <v/>
      </c>
      <c r="G2682" s="54">
        <f>IF(_imp!$C$2684="","",INDEX(_imp!$J$4:$J$4503,_imp!$C$2684))</f>
        <v/>
      </c>
      <c r="K2682" s="54">
        <f>IF(_imp!$C$2684="","",INDEX(_imp!$K$4:$K$4503,_imp!$C$2684))</f>
        <v/>
      </c>
    </row>
    <row r="2683">
      <c r="A2683" s="54">
        <f>IF(_imp!$C$2685="","",INDEX(_imp!$D$4:$D$4503,_imp!$C$2685))</f>
        <v/>
      </c>
      <c r="B2683" s="54">
        <f>IF(_imp!$C$2685="","",INDEX(_imp!$E$4:$E$4503,_imp!$C$2685))</f>
        <v/>
      </c>
      <c r="C2683" s="54">
        <f>IF(_imp!$C$2685="","",INDEX(_imp!$F$4:$F$4503,_imp!$C$2685))</f>
        <v/>
      </c>
      <c r="D2683" s="54">
        <f>IF(_imp!$C$2685="","",INDEX(_imp!$G$4:$G$4503,_imp!$C$2685))</f>
        <v/>
      </c>
      <c r="E2683" s="54">
        <f>IF(_imp!$C$2685="","",INDEX(_imp!$H$4:$H$4503,_imp!$C$2685))</f>
        <v/>
      </c>
      <c r="F2683" s="54">
        <f>IF(_imp!$C$2685="","",INDEX(_imp!$I$4:$I$4503,_imp!$C$2685))</f>
        <v/>
      </c>
      <c r="G2683" s="54">
        <f>IF(_imp!$C$2685="","",INDEX(_imp!$J$4:$J$4503,_imp!$C$2685))</f>
        <v/>
      </c>
      <c r="K2683" s="54">
        <f>IF(_imp!$C$2685="","",INDEX(_imp!$K$4:$K$4503,_imp!$C$2685))</f>
        <v/>
      </c>
    </row>
    <row r="2684">
      <c r="A2684" s="54">
        <f>IF(_imp!$C$2686="","",INDEX(_imp!$D$4:$D$4503,_imp!$C$2686))</f>
        <v/>
      </c>
      <c r="B2684" s="54">
        <f>IF(_imp!$C$2686="","",INDEX(_imp!$E$4:$E$4503,_imp!$C$2686))</f>
        <v/>
      </c>
      <c r="C2684" s="54">
        <f>IF(_imp!$C$2686="","",INDEX(_imp!$F$4:$F$4503,_imp!$C$2686))</f>
        <v/>
      </c>
      <c r="D2684" s="54">
        <f>IF(_imp!$C$2686="","",INDEX(_imp!$G$4:$G$4503,_imp!$C$2686))</f>
        <v/>
      </c>
      <c r="E2684" s="54">
        <f>IF(_imp!$C$2686="","",INDEX(_imp!$H$4:$H$4503,_imp!$C$2686))</f>
        <v/>
      </c>
      <c r="F2684" s="54">
        <f>IF(_imp!$C$2686="","",INDEX(_imp!$I$4:$I$4503,_imp!$C$2686))</f>
        <v/>
      </c>
      <c r="G2684" s="54">
        <f>IF(_imp!$C$2686="","",INDEX(_imp!$J$4:$J$4503,_imp!$C$2686))</f>
        <v/>
      </c>
      <c r="K2684" s="54">
        <f>IF(_imp!$C$2686="","",INDEX(_imp!$K$4:$K$4503,_imp!$C$2686))</f>
        <v/>
      </c>
    </row>
    <row r="2685">
      <c r="A2685" s="54">
        <f>IF(_imp!$C$2687="","",INDEX(_imp!$D$4:$D$4503,_imp!$C$2687))</f>
        <v/>
      </c>
      <c r="B2685" s="54">
        <f>IF(_imp!$C$2687="","",INDEX(_imp!$E$4:$E$4503,_imp!$C$2687))</f>
        <v/>
      </c>
      <c r="C2685" s="54">
        <f>IF(_imp!$C$2687="","",INDEX(_imp!$F$4:$F$4503,_imp!$C$2687))</f>
        <v/>
      </c>
      <c r="D2685" s="54">
        <f>IF(_imp!$C$2687="","",INDEX(_imp!$G$4:$G$4503,_imp!$C$2687))</f>
        <v/>
      </c>
      <c r="E2685" s="54">
        <f>IF(_imp!$C$2687="","",INDEX(_imp!$H$4:$H$4503,_imp!$C$2687))</f>
        <v/>
      </c>
      <c r="F2685" s="54">
        <f>IF(_imp!$C$2687="","",INDEX(_imp!$I$4:$I$4503,_imp!$C$2687))</f>
        <v/>
      </c>
      <c r="G2685" s="54">
        <f>IF(_imp!$C$2687="","",INDEX(_imp!$J$4:$J$4503,_imp!$C$2687))</f>
        <v/>
      </c>
      <c r="K2685" s="54">
        <f>IF(_imp!$C$2687="","",INDEX(_imp!$K$4:$K$4503,_imp!$C$2687))</f>
        <v/>
      </c>
    </row>
    <row r="2686">
      <c r="A2686" s="54">
        <f>IF(_imp!$C$2688="","",INDEX(_imp!$D$4:$D$4503,_imp!$C$2688))</f>
        <v/>
      </c>
      <c r="B2686" s="54">
        <f>IF(_imp!$C$2688="","",INDEX(_imp!$E$4:$E$4503,_imp!$C$2688))</f>
        <v/>
      </c>
      <c r="C2686" s="54">
        <f>IF(_imp!$C$2688="","",INDEX(_imp!$F$4:$F$4503,_imp!$C$2688))</f>
        <v/>
      </c>
      <c r="D2686" s="54">
        <f>IF(_imp!$C$2688="","",INDEX(_imp!$G$4:$G$4503,_imp!$C$2688))</f>
        <v/>
      </c>
      <c r="E2686" s="54">
        <f>IF(_imp!$C$2688="","",INDEX(_imp!$H$4:$H$4503,_imp!$C$2688))</f>
        <v/>
      </c>
      <c r="F2686" s="54">
        <f>IF(_imp!$C$2688="","",INDEX(_imp!$I$4:$I$4503,_imp!$C$2688))</f>
        <v/>
      </c>
      <c r="G2686" s="54">
        <f>IF(_imp!$C$2688="","",INDEX(_imp!$J$4:$J$4503,_imp!$C$2688))</f>
        <v/>
      </c>
      <c r="K2686" s="54">
        <f>IF(_imp!$C$2688="","",INDEX(_imp!$K$4:$K$4503,_imp!$C$2688))</f>
        <v/>
      </c>
    </row>
    <row r="2687">
      <c r="A2687" s="54">
        <f>IF(_imp!$C$2689="","",INDEX(_imp!$D$4:$D$4503,_imp!$C$2689))</f>
        <v/>
      </c>
      <c r="B2687" s="54">
        <f>IF(_imp!$C$2689="","",INDEX(_imp!$E$4:$E$4503,_imp!$C$2689))</f>
        <v/>
      </c>
      <c r="C2687" s="54">
        <f>IF(_imp!$C$2689="","",INDEX(_imp!$F$4:$F$4503,_imp!$C$2689))</f>
        <v/>
      </c>
      <c r="D2687" s="54">
        <f>IF(_imp!$C$2689="","",INDEX(_imp!$G$4:$G$4503,_imp!$C$2689))</f>
        <v/>
      </c>
      <c r="E2687" s="54">
        <f>IF(_imp!$C$2689="","",INDEX(_imp!$H$4:$H$4503,_imp!$C$2689))</f>
        <v/>
      </c>
      <c r="F2687" s="54">
        <f>IF(_imp!$C$2689="","",INDEX(_imp!$I$4:$I$4503,_imp!$C$2689))</f>
        <v/>
      </c>
      <c r="G2687" s="54">
        <f>IF(_imp!$C$2689="","",INDEX(_imp!$J$4:$J$4503,_imp!$C$2689))</f>
        <v/>
      </c>
      <c r="K2687" s="54">
        <f>IF(_imp!$C$2689="","",INDEX(_imp!$K$4:$K$4503,_imp!$C$2689))</f>
        <v/>
      </c>
    </row>
    <row r="2688">
      <c r="A2688" s="54">
        <f>IF(_imp!$C$2690="","",INDEX(_imp!$D$4:$D$4503,_imp!$C$2690))</f>
        <v/>
      </c>
      <c r="B2688" s="54">
        <f>IF(_imp!$C$2690="","",INDEX(_imp!$E$4:$E$4503,_imp!$C$2690))</f>
        <v/>
      </c>
      <c r="C2688" s="54">
        <f>IF(_imp!$C$2690="","",INDEX(_imp!$F$4:$F$4503,_imp!$C$2690))</f>
        <v/>
      </c>
      <c r="D2688" s="54">
        <f>IF(_imp!$C$2690="","",INDEX(_imp!$G$4:$G$4503,_imp!$C$2690))</f>
        <v/>
      </c>
      <c r="E2688" s="54">
        <f>IF(_imp!$C$2690="","",INDEX(_imp!$H$4:$H$4503,_imp!$C$2690))</f>
        <v/>
      </c>
      <c r="F2688" s="54">
        <f>IF(_imp!$C$2690="","",INDEX(_imp!$I$4:$I$4503,_imp!$C$2690))</f>
        <v/>
      </c>
      <c r="G2688" s="54">
        <f>IF(_imp!$C$2690="","",INDEX(_imp!$J$4:$J$4503,_imp!$C$2690))</f>
        <v/>
      </c>
      <c r="K2688" s="54">
        <f>IF(_imp!$C$2690="","",INDEX(_imp!$K$4:$K$4503,_imp!$C$2690))</f>
        <v/>
      </c>
    </row>
    <row r="2689">
      <c r="A2689" s="54">
        <f>IF(_imp!$C$2691="","",INDEX(_imp!$D$4:$D$4503,_imp!$C$2691))</f>
        <v/>
      </c>
      <c r="B2689" s="54">
        <f>IF(_imp!$C$2691="","",INDEX(_imp!$E$4:$E$4503,_imp!$C$2691))</f>
        <v/>
      </c>
      <c r="C2689" s="54">
        <f>IF(_imp!$C$2691="","",INDEX(_imp!$F$4:$F$4503,_imp!$C$2691))</f>
        <v/>
      </c>
      <c r="D2689" s="54">
        <f>IF(_imp!$C$2691="","",INDEX(_imp!$G$4:$G$4503,_imp!$C$2691))</f>
        <v/>
      </c>
      <c r="E2689" s="54">
        <f>IF(_imp!$C$2691="","",INDEX(_imp!$H$4:$H$4503,_imp!$C$2691))</f>
        <v/>
      </c>
      <c r="F2689" s="54">
        <f>IF(_imp!$C$2691="","",INDEX(_imp!$I$4:$I$4503,_imp!$C$2691))</f>
        <v/>
      </c>
      <c r="G2689" s="54">
        <f>IF(_imp!$C$2691="","",INDEX(_imp!$J$4:$J$4503,_imp!$C$2691))</f>
        <v/>
      </c>
      <c r="K2689" s="54">
        <f>IF(_imp!$C$2691="","",INDEX(_imp!$K$4:$K$4503,_imp!$C$2691))</f>
        <v/>
      </c>
    </row>
    <row r="2690">
      <c r="A2690" s="54">
        <f>IF(_imp!$C$2692="","",INDEX(_imp!$D$4:$D$4503,_imp!$C$2692))</f>
        <v/>
      </c>
      <c r="B2690" s="54">
        <f>IF(_imp!$C$2692="","",INDEX(_imp!$E$4:$E$4503,_imp!$C$2692))</f>
        <v/>
      </c>
      <c r="C2690" s="54">
        <f>IF(_imp!$C$2692="","",INDEX(_imp!$F$4:$F$4503,_imp!$C$2692))</f>
        <v/>
      </c>
      <c r="D2690" s="54">
        <f>IF(_imp!$C$2692="","",INDEX(_imp!$G$4:$G$4503,_imp!$C$2692))</f>
        <v/>
      </c>
      <c r="E2690" s="54">
        <f>IF(_imp!$C$2692="","",INDEX(_imp!$H$4:$H$4503,_imp!$C$2692))</f>
        <v/>
      </c>
      <c r="F2690" s="54">
        <f>IF(_imp!$C$2692="","",INDEX(_imp!$I$4:$I$4503,_imp!$C$2692))</f>
        <v/>
      </c>
      <c r="G2690" s="54">
        <f>IF(_imp!$C$2692="","",INDEX(_imp!$J$4:$J$4503,_imp!$C$2692))</f>
        <v/>
      </c>
      <c r="K2690" s="54">
        <f>IF(_imp!$C$2692="","",INDEX(_imp!$K$4:$K$4503,_imp!$C$2692))</f>
        <v/>
      </c>
    </row>
    <row r="2691">
      <c r="A2691" s="54">
        <f>IF(_imp!$C$2693="","",INDEX(_imp!$D$4:$D$4503,_imp!$C$2693))</f>
        <v/>
      </c>
      <c r="B2691" s="54">
        <f>IF(_imp!$C$2693="","",INDEX(_imp!$E$4:$E$4503,_imp!$C$2693))</f>
        <v/>
      </c>
      <c r="C2691" s="54">
        <f>IF(_imp!$C$2693="","",INDEX(_imp!$F$4:$F$4503,_imp!$C$2693))</f>
        <v/>
      </c>
      <c r="D2691" s="54">
        <f>IF(_imp!$C$2693="","",INDEX(_imp!$G$4:$G$4503,_imp!$C$2693))</f>
        <v/>
      </c>
      <c r="E2691" s="54">
        <f>IF(_imp!$C$2693="","",INDEX(_imp!$H$4:$H$4503,_imp!$C$2693))</f>
        <v/>
      </c>
      <c r="F2691" s="54">
        <f>IF(_imp!$C$2693="","",INDEX(_imp!$I$4:$I$4503,_imp!$C$2693))</f>
        <v/>
      </c>
      <c r="G2691" s="54">
        <f>IF(_imp!$C$2693="","",INDEX(_imp!$J$4:$J$4503,_imp!$C$2693))</f>
        <v/>
      </c>
      <c r="K2691" s="54">
        <f>IF(_imp!$C$2693="","",INDEX(_imp!$K$4:$K$4503,_imp!$C$2693))</f>
        <v/>
      </c>
    </row>
    <row r="2692">
      <c r="A2692" s="54">
        <f>IF(_imp!$C$2694="","",INDEX(_imp!$D$4:$D$4503,_imp!$C$2694))</f>
        <v/>
      </c>
      <c r="B2692" s="54">
        <f>IF(_imp!$C$2694="","",INDEX(_imp!$E$4:$E$4503,_imp!$C$2694))</f>
        <v/>
      </c>
      <c r="C2692" s="54">
        <f>IF(_imp!$C$2694="","",INDEX(_imp!$F$4:$F$4503,_imp!$C$2694))</f>
        <v/>
      </c>
      <c r="D2692" s="54">
        <f>IF(_imp!$C$2694="","",INDEX(_imp!$G$4:$G$4503,_imp!$C$2694))</f>
        <v/>
      </c>
      <c r="E2692" s="54">
        <f>IF(_imp!$C$2694="","",INDEX(_imp!$H$4:$H$4503,_imp!$C$2694))</f>
        <v/>
      </c>
      <c r="F2692" s="54">
        <f>IF(_imp!$C$2694="","",INDEX(_imp!$I$4:$I$4503,_imp!$C$2694))</f>
        <v/>
      </c>
      <c r="G2692" s="54">
        <f>IF(_imp!$C$2694="","",INDEX(_imp!$J$4:$J$4503,_imp!$C$2694))</f>
        <v/>
      </c>
      <c r="K2692" s="54">
        <f>IF(_imp!$C$2694="","",INDEX(_imp!$K$4:$K$4503,_imp!$C$2694))</f>
        <v/>
      </c>
    </row>
    <row r="2693">
      <c r="A2693" s="54">
        <f>IF(_imp!$C$2695="","",INDEX(_imp!$D$4:$D$4503,_imp!$C$2695))</f>
        <v/>
      </c>
      <c r="B2693" s="54">
        <f>IF(_imp!$C$2695="","",INDEX(_imp!$E$4:$E$4503,_imp!$C$2695))</f>
        <v/>
      </c>
      <c r="C2693" s="54">
        <f>IF(_imp!$C$2695="","",INDEX(_imp!$F$4:$F$4503,_imp!$C$2695))</f>
        <v/>
      </c>
      <c r="D2693" s="54">
        <f>IF(_imp!$C$2695="","",INDEX(_imp!$G$4:$G$4503,_imp!$C$2695))</f>
        <v/>
      </c>
      <c r="E2693" s="54">
        <f>IF(_imp!$C$2695="","",INDEX(_imp!$H$4:$H$4503,_imp!$C$2695))</f>
        <v/>
      </c>
      <c r="F2693" s="54">
        <f>IF(_imp!$C$2695="","",INDEX(_imp!$I$4:$I$4503,_imp!$C$2695))</f>
        <v/>
      </c>
      <c r="G2693" s="54">
        <f>IF(_imp!$C$2695="","",INDEX(_imp!$J$4:$J$4503,_imp!$C$2695))</f>
        <v/>
      </c>
      <c r="K2693" s="54">
        <f>IF(_imp!$C$2695="","",INDEX(_imp!$K$4:$K$4503,_imp!$C$2695))</f>
        <v/>
      </c>
    </row>
    <row r="2694">
      <c r="A2694" s="54">
        <f>IF(_imp!$C$2696="","",INDEX(_imp!$D$4:$D$4503,_imp!$C$2696))</f>
        <v/>
      </c>
      <c r="B2694" s="54">
        <f>IF(_imp!$C$2696="","",INDEX(_imp!$E$4:$E$4503,_imp!$C$2696))</f>
        <v/>
      </c>
      <c r="C2694" s="54">
        <f>IF(_imp!$C$2696="","",INDEX(_imp!$F$4:$F$4503,_imp!$C$2696))</f>
        <v/>
      </c>
      <c r="D2694" s="54">
        <f>IF(_imp!$C$2696="","",INDEX(_imp!$G$4:$G$4503,_imp!$C$2696))</f>
        <v/>
      </c>
      <c r="E2694" s="54">
        <f>IF(_imp!$C$2696="","",INDEX(_imp!$H$4:$H$4503,_imp!$C$2696))</f>
        <v/>
      </c>
      <c r="F2694" s="54">
        <f>IF(_imp!$C$2696="","",INDEX(_imp!$I$4:$I$4503,_imp!$C$2696))</f>
        <v/>
      </c>
      <c r="G2694" s="54">
        <f>IF(_imp!$C$2696="","",INDEX(_imp!$J$4:$J$4503,_imp!$C$2696))</f>
        <v/>
      </c>
      <c r="K2694" s="54">
        <f>IF(_imp!$C$2696="","",INDEX(_imp!$K$4:$K$4503,_imp!$C$2696))</f>
        <v/>
      </c>
    </row>
    <row r="2695">
      <c r="A2695" s="54">
        <f>IF(_imp!$C$2697="","",INDEX(_imp!$D$4:$D$4503,_imp!$C$2697))</f>
        <v/>
      </c>
      <c r="B2695" s="54">
        <f>IF(_imp!$C$2697="","",INDEX(_imp!$E$4:$E$4503,_imp!$C$2697))</f>
        <v/>
      </c>
      <c r="C2695" s="54">
        <f>IF(_imp!$C$2697="","",INDEX(_imp!$F$4:$F$4503,_imp!$C$2697))</f>
        <v/>
      </c>
      <c r="D2695" s="54">
        <f>IF(_imp!$C$2697="","",INDEX(_imp!$G$4:$G$4503,_imp!$C$2697))</f>
        <v/>
      </c>
      <c r="E2695" s="54">
        <f>IF(_imp!$C$2697="","",INDEX(_imp!$H$4:$H$4503,_imp!$C$2697))</f>
        <v/>
      </c>
      <c r="F2695" s="54">
        <f>IF(_imp!$C$2697="","",INDEX(_imp!$I$4:$I$4503,_imp!$C$2697))</f>
        <v/>
      </c>
      <c r="G2695" s="54">
        <f>IF(_imp!$C$2697="","",INDEX(_imp!$J$4:$J$4503,_imp!$C$2697))</f>
        <v/>
      </c>
      <c r="K2695" s="54">
        <f>IF(_imp!$C$2697="","",INDEX(_imp!$K$4:$K$4503,_imp!$C$2697))</f>
        <v/>
      </c>
    </row>
    <row r="2696">
      <c r="A2696" s="54">
        <f>IF(_imp!$C$2698="","",INDEX(_imp!$D$4:$D$4503,_imp!$C$2698))</f>
        <v/>
      </c>
      <c r="B2696" s="54">
        <f>IF(_imp!$C$2698="","",INDEX(_imp!$E$4:$E$4503,_imp!$C$2698))</f>
        <v/>
      </c>
      <c r="C2696" s="54">
        <f>IF(_imp!$C$2698="","",INDEX(_imp!$F$4:$F$4503,_imp!$C$2698))</f>
        <v/>
      </c>
      <c r="D2696" s="54">
        <f>IF(_imp!$C$2698="","",INDEX(_imp!$G$4:$G$4503,_imp!$C$2698))</f>
        <v/>
      </c>
      <c r="E2696" s="54">
        <f>IF(_imp!$C$2698="","",INDEX(_imp!$H$4:$H$4503,_imp!$C$2698))</f>
        <v/>
      </c>
      <c r="F2696" s="54">
        <f>IF(_imp!$C$2698="","",INDEX(_imp!$I$4:$I$4503,_imp!$C$2698))</f>
        <v/>
      </c>
      <c r="G2696" s="54">
        <f>IF(_imp!$C$2698="","",INDEX(_imp!$J$4:$J$4503,_imp!$C$2698))</f>
        <v/>
      </c>
      <c r="K2696" s="54">
        <f>IF(_imp!$C$2698="","",INDEX(_imp!$K$4:$K$4503,_imp!$C$2698))</f>
        <v/>
      </c>
    </row>
    <row r="2697">
      <c r="A2697" s="54">
        <f>IF(_imp!$C$2699="","",INDEX(_imp!$D$4:$D$4503,_imp!$C$2699))</f>
        <v/>
      </c>
      <c r="B2697" s="54">
        <f>IF(_imp!$C$2699="","",INDEX(_imp!$E$4:$E$4503,_imp!$C$2699))</f>
        <v/>
      </c>
      <c r="C2697" s="54">
        <f>IF(_imp!$C$2699="","",INDEX(_imp!$F$4:$F$4503,_imp!$C$2699))</f>
        <v/>
      </c>
      <c r="D2697" s="54">
        <f>IF(_imp!$C$2699="","",INDEX(_imp!$G$4:$G$4503,_imp!$C$2699))</f>
        <v/>
      </c>
      <c r="E2697" s="54">
        <f>IF(_imp!$C$2699="","",INDEX(_imp!$H$4:$H$4503,_imp!$C$2699))</f>
        <v/>
      </c>
      <c r="F2697" s="54">
        <f>IF(_imp!$C$2699="","",INDEX(_imp!$I$4:$I$4503,_imp!$C$2699))</f>
        <v/>
      </c>
      <c r="G2697" s="54">
        <f>IF(_imp!$C$2699="","",INDEX(_imp!$J$4:$J$4503,_imp!$C$2699))</f>
        <v/>
      </c>
      <c r="K2697" s="54">
        <f>IF(_imp!$C$2699="","",INDEX(_imp!$K$4:$K$4503,_imp!$C$2699))</f>
        <v/>
      </c>
    </row>
    <row r="2698">
      <c r="A2698" s="54">
        <f>IF(_imp!$C$2700="","",INDEX(_imp!$D$4:$D$4503,_imp!$C$2700))</f>
        <v/>
      </c>
      <c r="B2698" s="54">
        <f>IF(_imp!$C$2700="","",INDEX(_imp!$E$4:$E$4503,_imp!$C$2700))</f>
        <v/>
      </c>
      <c r="C2698" s="54">
        <f>IF(_imp!$C$2700="","",INDEX(_imp!$F$4:$F$4503,_imp!$C$2700))</f>
        <v/>
      </c>
      <c r="D2698" s="54">
        <f>IF(_imp!$C$2700="","",INDEX(_imp!$G$4:$G$4503,_imp!$C$2700))</f>
        <v/>
      </c>
      <c r="E2698" s="54">
        <f>IF(_imp!$C$2700="","",INDEX(_imp!$H$4:$H$4503,_imp!$C$2700))</f>
        <v/>
      </c>
      <c r="F2698" s="54">
        <f>IF(_imp!$C$2700="","",INDEX(_imp!$I$4:$I$4503,_imp!$C$2700))</f>
        <v/>
      </c>
      <c r="G2698" s="54">
        <f>IF(_imp!$C$2700="","",INDEX(_imp!$J$4:$J$4503,_imp!$C$2700))</f>
        <v/>
      </c>
      <c r="K2698" s="54">
        <f>IF(_imp!$C$2700="","",INDEX(_imp!$K$4:$K$4503,_imp!$C$2700))</f>
        <v/>
      </c>
    </row>
    <row r="2699">
      <c r="A2699" s="54">
        <f>IF(_imp!$C$2701="","",INDEX(_imp!$D$4:$D$4503,_imp!$C$2701))</f>
        <v/>
      </c>
      <c r="B2699" s="54">
        <f>IF(_imp!$C$2701="","",INDEX(_imp!$E$4:$E$4503,_imp!$C$2701))</f>
        <v/>
      </c>
      <c r="C2699" s="54">
        <f>IF(_imp!$C$2701="","",INDEX(_imp!$F$4:$F$4503,_imp!$C$2701))</f>
        <v/>
      </c>
      <c r="D2699" s="54">
        <f>IF(_imp!$C$2701="","",INDEX(_imp!$G$4:$G$4503,_imp!$C$2701))</f>
        <v/>
      </c>
      <c r="E2699" s="54">
        <f>IF(_imp!$C$2701="","",INDEX(_imp!$H$4:$H$4503,_imp!$C$2701))</f>
        <v/>
      </c>
      <c r="F2699" s="54">
        <f>IF(_imp!$C$2701="","",INDEX(_imp!$I$4:$I$4503,_imp!$C$2701))</f>
        <v/>
      </c>
      <c r="G2699" s="54">
        <f>IF(_imp!$C$2701="","",INDEX(_imp!$J$4:$J$4503,_imp!$C$2701))</f>
        <v/>
      </c>
      <c r="K2699" s="54">
        <f>IF(_imp!$C$2701="","",INDEX(_imp!$K$4:$K$4503,_imp!$C$2701))</f>
        <v/>
      </c>
    </row>
    <row r="2700">
      <c r="A2700" s="54">
        <f>IF(_imp!$C$2702="","",INDEX(_imp!$D$4:$D$4503,_imp!$C$2702))</f>
        <v/>
      </c>
      <c r="B2700" s="54">
        <f>IF(_imp!$C$2702="","",INDEX(_imp!$E$4:$E$4503,_imp!$C$2702))</f>
        <v/>
      </c>
      <c r="C2700" s="54">
        <f>IF(_imp!$C$2702="","",INDEX(_imp!$F$4:$F$4503,_imp!$C$2702))</f>
        <v/>
      </c>
      <c r="D2700" s="54">
        <f>IF(_imp!$C$2702="","",INDEX(_imp!$G$4:$G$4503,_imp!$C$2702))</f>
        <v/>
      </c>
      <c r="E2700" s="54">
        <f>IF(_imp!$C$2702="","",INDEX(_imp!$H$4:$H$4503,_imp!$C$2702))</f>
        <v/>
      </c>
      <c r="F2700" s="54">
        <f>IF(_imp!$C$2702="","",INDEX(_imp!$I$4:$I$4503,_imp!$C$2702))</f>
        <v/>
      </c>
      <c r="G2700" s="54">
        <f>IF(_imp!$C$2702="","",INDEX(_imp!$J$4:$J$4503,_imp!$C$2702))</f>
        <v/>
      </c>
      <c r="K2700" s="54">
        <f>IF(_imp!$C$2702="","",INDEX(_imp!$K$4:$K$4503,_imp!$C$2702))</f>
        <v/>
      </c>
    </row>
    <row r="2701">
      <c r="A2701" s="54">
        <f>IF(_imp!$C$2703="","",INDEX(_imp!$D$4:$D$4503,_imp!$C$2703))</f>
        <v/>
      </c>
      <c r="B2701" s="54">
        <f>IF(_imp!$C$2703="","",INDEX(_imp!$E$4:$E$4503,_imp!$C$2703))</f>
        <v/>
      </c>
      <c r="C2701" s="54">
        <f>IF(_imp!$C$2703="","",INDEX(_imp!$F$4:$F$4503,_imp!$C$2703))</f>
        <v/>
      </c>
      <c r="D2701" s="54">
        <f>IF(_imp!$C$2703="","",INDEX(_imp!$G$4:$G$4503,_imp!$C$2703))</f>
        <v/>
      </c>
      <c r="E2701" s="54">
        <f>IF(_imp!$C$2703="","",INDEX(_imp!$H$4:$H$4503,_imp!$C$2703))</f>
        <v/>
      </c>
      <c r="F2701" s="54">
        <f>IF(_imp!$C$2703="","",INDEX(_imp!$I$4:$I$4503,_imp!$C$2703))</f>
        <v/>
      </c>
      <c r="G2701" s="54">
        <f>IF(_imp!$C$2703="","",INDEX(_imp!$J$4:$J$4503,_imp!$C$2703))</f>
        <v/>
      </c>
      <c r="K2701" s="54">
        <f>IF(_imp!$C$2703="","",INDEX(_imp!$K$4:$K$4503,_imp!$C$2703))</f>
        <v/>
      </c>
    </row>
    <row r="2702">
      <c r="A2702" s="54">
        <f>IF(_imp!$C$2704="","",INDEX(_imp!$D$4:$D$4503,_imp!$C$2704))</f>
        <v/>
      </c>
      <c r="B2702" s="54">
        <f>IF(_imp!$C$2704="","",INDEX(_imp!$E$4:$E$4503,_imp!$C$2704))</f>
        <v/>
      </c>
      <c r="C2702" s="54">
        <f>IF(_imp!$C$2704="","",INDEX(_imp!$F$4:$F$4503,_imp!$C$2704))</f>
        <v/>
      </c>
      <c r="D2702" s="54">
        <f>IF(_imp!$C$2704="","",INDEX(_imp!$G$4:$G$4503,_imp!$C$2704))</f>
        <v/>
      </c>
      <c r="E2702" s="54">
        <f>IF(_imp!$C$2704="","",INDEX(_imp!$H$4:$H$4503,_imp!$C$2704))</f>
        <v/>
      </c>
      <c r="F2702" s="54">
        <f>IF(_imp!$C$2704="","",INDEX(_imp!$I$4:$I$4503,_imp!$C$2704))</f>
        <v/>
      </c>
      <c r="G2702" s="54">
        <f>IF(_imp!$C$2704="","",INDEX(_imp!$J$4:$J$4503,_imp!$C$2704))</f>
        <v/>
      </c>
      <c r="K2702" s="54">
        <f>IF(_imp!$C$2704="","",INDEX(_imp!$K$4:$K$4503,_imp!$C$2704))</f>
        <v/>
      </c>
    </row>
    <row r="2703">
      <c r="A2703" s="54">
        <f>IF(_imp!$C$2705="","",INDEX(_imp!$D$4:$D$4503,_imp!$C$2705))</f>
        <v/>
      </c>
      <c r="B2703" s="54">
        <f>IF(_imp!$C$2705="","",INDEX(_imp!$E$4:$E$4503,_imp!$C$2705))</f>
        <v/>
      </c>
      <c r="C2703" s="54">
        <f>IF(_imp!$C$2705="","",INDEX(_imp!$F$4:$F$4503,_imp!$C$2705))</f>
        <v/>
      </c>
      <c r="D2703" s="54">
        <f>IF(_imp!$C$2705="","",INDEX(_imp!$G$4:$G$4503,_imp!$C$2705))</f>
        <v/>
      </c>
      <c r="E2703" s="54">
        <f>IF(_imp!$C$2705="","",INDEX(_imp!$H$4:$H$4503,_imp!$C$2705))</f>
        <v/>
      </c>
      <c r="F2703" s="54">
        <f>IF(_imp!$C$2705="","",INDEX(_imp!$I$4:$I$4503,_imp!$C$2705))</f>
        <v/>
      </c>
      <c r="G2703" s="54">
        <f>IF(_imp!$C$2705="","",INDEX(_imp!$J$4:$J$4503,_imp!$C$2705))</f>
        <v/>
      </c>
      <c r="K2703" s="54">
        <f>IF(_imp!$C$2705="","",INDEX(_imp!$K$4:$K$4503,_imp!$C$2705))</f>
        <v/>
      </c>
    </row>
    <row r="2704">
      <c r="A2704" s="54">
        <f>IF(_imp!$C$2706="","",INDEX(_imp!$D$4:$D$4503,_imp!$C$2706))</f>
        <v/>
      </c>
      <c r="B2704" s="54">
        <f>IF(_imp!$C$2706="","",INDEX(_imp!$E$4:$E$4503,_imp!$C$2706))</f>
        <v/>
      </c>
      <c r="C2704" s="54">
        <f>IF(_imp!$C$2706="","",INDEX(_imp!$F$4:$F$4503,_imp!$C$2706))</f>
        <v/>
      </c>
      <c r="D2704" s="54">
        <f>IF(_imp!$C$2706="","",INDEX(_imp!$G$4:$G$4503,_imp!$C$2706))</f>
        <v/>
      </c>
      <c r="E2704" s="54">
        <f>IF(_imp!$C$2706="","",INDEX(_imp!$H$4:$H$4503,_imp!$C$2706))</f>
        <v/>
      </c>
      <c r="F2704" s="54">
        <f>IF(_imp!$C$2706="","",INDEX(_imp!$I$4:$I$4503,_imp!$C$2706))</f>
        <v/>
      </c>
      <c r="G2704" s="54">
        <f>IF(_imp!$C$2706="","",INDEX(_imp!$J$4:$J$4503,_imp!$C$2706))</f>
        <v/>
      </c>
      <c r="K2704" s="54">
        <f>IF(_imp!$C$2706="","",INDEX(_imp!$K$4:$K$4503,_imp!$C$2706))</f>
        <v/>
      </c>
    </row>
    <row r="2705">
      <c r="A2705" s="54">
        <f>IF(_imp!$C$2707="","",INDEX(_imp!$D$4:$D$4503,_imp!$C$2707))</f>
        <v/>
      </c>
      <c r="B2705" s="54">
        <f>IF(_imp!$C$2707="","",INDEX(_imp!$E$4:$E$4503,_imp!$C$2707))</f>
        <v/>
      </c>
      <c r="C2705" s="54">
        <f>IF(_imp!$C$2707="","",INDEX(_imp!$F$4:$F$4503,_imp!$C$2707))</f>
        <v/>
      </c>
      <c r="D2705" s="54">
        <f>IF(_imp!$C$2707="","",INDEX(_imp!$G$4:$G$4503,_imp!$C$2707))</f>
        <v/>
      </c>
      <c r="E2705" s="54">
        <f>IF(_imp!$C$2707="","",INDEX(_imp!$H$4:$H$4503,_imp!$C$2707))</f>
        <v/>
      </c>
      <c r="F2705" s="54">
        <f>IF(_imp!$C$2707="","",INDEX(_imp!$I$4:$I$4503,_imp!$C$2707))</f>
        <v/>
      </c>
      <c r="G2705" s="54">
        <f>IF(_imp!$C$2707="","",INDEX(_imp!$J$4:$J$4503,_imp!$C$2707))</f>
        <v/>
      </c>
      <c r="K2705" s="54">
        <f>IF(_imp!$C$2707="","",INDEX(_imp!$K$4:$K$4503,_imp!$C$2707))</f>
        <v/>
      </c>
    </row>
    <row r="2706">
      <c r="A2706" s="54">
        <f>IF(_imp!$C$2708="","",INDEX(_imp!$D$4:$D$4503,_imp!$C$2708))</f>
        <v/>
      </c>
      <c r="B2706" s="54">
        <f>IF(_imp!$C$2708="","",INDEX(_imp!$E$4:$E$4503,_imp!$C$2708))</f>
        <v/>
      </c>
      <c r="C2706" s="54">
        <f>IF(_imp!$C$2708="","",INDEX(_imp!$F$4:$F$4503,_imp!$C$2708))</f>
        <v/>
      </c>
      <c r="D2706" s="54">
        <f>IF(_imp!$C$2708="","",INDEX(_imp!$G$4:$G$4503,_imp!$C$2708))</f>
        <v/>
      </c>
      <c r="E2706" s="54">
        <f>IF(_imp!$C$2708="","",INDEX(_imp!$H$4:$H$4503,_imp!$C$2708))</f>
        <v/>
      </c>
      <c r="F2706" s="54">
        <f>IF(_imp!$C$2708="","",INDEX(_imp!$I$4:$I$4503,_imp!$C$2708))</f>
        <v/>
      </c>
      <c r="G2706" s="54">
        <f>IF(_imp!$C$2708="","",INDEX(_imp!$J$4:$J$4503,_imp!$C$2708))</f>
        <v/>
      </c>
      <c r="K2706" s="54">
        <f>IF(_imp!$C$2708="","",INDEX(_imp!$K$4:$K$4503,_imp!$C$2708))</f>
        <v/>
      </c>
    </row>
    <row r="2707">
      <c r="A2707" s="54">
        <f>IF(_imp!$C$2709="","",INDEX(_imp!$D$4:$D$4503,_imp!$C$2709))</f>
        <v/>
      </c>
      <c r="B2707" s="54">
        <f>IF(_imp!$C$2709="","",INDEX(_imp!$E$4:$E$4503,_imp!$C$2709))</f>
        <v/>
      </c>
      <c r="C2707" s="54">
        <f>IF(_imp!$C$2709="","",INDEX(_imp!$F$4:$F$4503,_imp!$C$2709))</f>
        <v/>
      </c>
      <c r="D2707" s="54">
        <f>IF(_imp!$C$2709="","",INDEX(_imp!$G$4:$G$4503,_imp!$C$2709))</f>
        <v/>
      </c>
      <c r="E2707" s="54">
        <f>IF(_imp!$C$2709="","",INDEX(_imp!$H$4:$H$4503,_imp!$C$2709))</f>
        <v/>
      </c>
      <c r="F2707" s="54">
        <f>IF(_imp!$C$2709="","",INDEX(_imp!$I$4:$I$4503,_imp!$C$2709))</f>
        <v/>
      </c>
      <c r="G2707" s="54">
        <f>IF(_imp!$C$2709="","",INDEX(_imp!$J$4:$J$4503,_imp!$C$2709))</f>
        <v/>
      </c>
      <c r="K2707" s="54">
        <f>IF(_imp!$C$2709="","",INDEX(_imp!$K$4:$K$4503,_imp!$C$2709))</f>
        <v/>
      </c>
    </row>
    <row r="2708">
      <c r="A2708" s="54">
        <f>IF(_imp!$C$2710="","",INDEX(_imp!$D$4:$D$4503,_imp!$C$2710))</f>
        <v/>
      </c>
      <c r="B2708" s="54">
        <f>IF(_imp!$C$2710="","",INDEX(_imp!$E$4:$E$4503,_imp!$C$2710))</f>
        <v/>
      </c>
      <c r="C2708" s="54">
        <f>IF(_imp!$C$2710="","",INDEX(_imp!$F$4:$F$4503,_imp!$C$2710))</f>
        <v/>
      </c>
      <c r="D2708" s="54">
        <f>IF(_imp!$C$2710="","",INDEX(_imp!$G$4:$G$4503,_imp!$C$2710))</f>
        <v/>
      </c>
      <c r="E2708" s="54">
        <f>IF(_imp!$C$2710="","",INDEX(_imp!$H$4:$H$4503,_imp!$C$2710))</f>
        <v/>
      </c>
      <c r="F2708" s="54">
        <f>IF(_imp!$C$2710="","",INDEX(_imp!$I$4:$I$4503,_imp!$C$2710))</f>
        <v/>
      </c>
      <c r="G2708" s="54">
        <f>IF(_imp!$C$2710="","",INDEX(_imp!$J$4:$J$4503,_imp!$C$2710))</f>
        <v/>
      </c>
      <c r="K2708" s="54">
        <f>IF(_imp!$C$2710="","",INDEX(_imp!$K$4:$K$4503,_imp!$C$2710))</f>
        <v/>
      </c>
    </row>
    <row r="2709">
      <c r="A2709" s="54">
        <f>IF(_imp!$C$2711="","",INDEX(_imp!$D$4:$D$4503,_imp!$C$2711))</f>
        <v/>
      </c>
      <c r="B2709" s="54">
        <f>IF(_imp!$C$2711="","",INDEX(_imp!$E$4:$E$4503,_imp!$C$2711))</f>
        <v/>
      </c>
      <c r="C2709" s="54">
        <f>IF(_imp!$C$2711="","",INDEX(_imp!$F$4:$F$4503,_imp!$C$2711))</f>
        <v/>
      </c>
      <c r="D2709" s="54">
        <f>IF(_imp!$C$2711="","",INDEX(_imp!$G$4:$G$4503,_imp!$C$2711))</f>
        <v/>
      </c>
      <c r="E2709" s="54">
        <f>IF(_imp!$C$2711="","",INDEX(_imp!$H$4:$H$4503,_imp!$C$2711))</f>
        <v/>
      </c>
      <c r="F2709" s="54">
        <f>IF(_imp!$C$2711="","",INDEX(_imp!$I$4:$I$4503,_imp!$C$2711))</f>
        <v/>
      </c>
      <c r="G2709" s="54">
        <f>IF(_imp!$C$2711="","",INDEX(_imp!$J$4:$J$4503,_imp!$C$2711))</f>
        <v/>
      </c>
      <c r="K2709" s="54">
        <f>IF(_imp!$C$2711="","",INDEX(_imp!$K$4:$K$4503,_imp!$C$2711))</f>
        <v/>
      </c>
    </row>
    <row r="2710">
      <c r="A2710" s="54">
        <f>IF(_imp!$C$2712="","",INDEX(_imp!$D$4:$D$4503,_imp!$C$2712))</f>
        <v/>
      </c>
      <c r="B2710" s="54">
        <f>IF(_imp!$C$2712="","",INDEX(_imp!$E$4:$E$4503,_imp!$C$2712))</f>
        <v/>
      </c>
      <c r="C2710" s="54">
        <f>IF(_imp!$C$2712="","",INDEX(_imp!$F$4:$F$4503,_imp!$C$2712))</f>
        <v/>
      </c>
      <c r="D2710" s="54">
        <f>IF(_imp!$C$2712="","",INDEX(_imp!$G$4:$G$4503,_imp!$C$2712))</f>
        <v/>
      </c>
      <c r="E2710" s="54">
        <f>IF(_imp!$C$2712="","",INDEX(_imp!$H$4:$H$4503,_imp!$C$2712))</f>
        <v/>
      </c>
      <c r="F2710" s="54">
        <f>IF(_imp!$C$2712="","",INDEX(_imp!$I$4:$I$4503,_imp!$C$2712))</f>
        <v/>
      </c>
      <c r="G2710" s="54">
        <f>IF(_imp!$C$2712="","",INDEX(_imp!$J$4:$J$4503,_imp!$C$2712))</f>
        <v/>
      </c>
      <c r="K2710" s="54">
        <f>IF(_imp!$C$2712="","",INDEX(_imp!$K$4:$K$4503,_imp!$C$2712))</f>
        <v/>
      </c>
    </row>
    <row r="2711">
      <c r="A2711" s="54">
        <f>IF(_imp!$C$2713="","",INDEX(_imp!$D$4:$D$4503,_imp!$C$2713))</f>
        <v/>
      </c>
      <c r="B2711" s="54">
        <f>IF(_imp!$C$2713="","",INDEX(_imp!$E$4:$E$4503,_imp!$C$2713))</f>
        <v/>
      </c>
      <c r="C2711" s="54">
        <f>IF(_imp!$C$2713="","",INDEX(_imp!$F$4:$F$4503,_imp!$C$2713))</f>
        <v/>
      </c>
      <c r="D2711" s="54">
        <f>IF(_imp!$C$2713="","",INDEX(_imp!$G$4:$G$4503,_imp!$C$2713))</f>
        <v/>
      </c>
      <c r="E2711" s="54">
        <f>IF(_imp!$C$2713="","",INDEX(_imp!$H$4:$H$4503,_imp!$C$2713))</f>
        <v/>
      </c>
      <c r="F2711" s="54">
        <f>IF(_imp!$C$2713="","",INDEX(_imp!$I$4:$I$4503,_imp!$C$2713))</f>
        <v/>
      </c>
      <c r="G2711" s="54">
        <f>IF(_imp!$C$2713="","",INDEX(_imp!$J$4:$J$4503,_imp!$C$2713))</f>
        <v/>
      </c>
      <c r="K2711" s="54">
        <f>IF(_imp!$C$2713="","",INDEX(_imp!$K$4:$K$4503,_imp!$C$2713))</f>
        <v/>
      </c>
    </row>
    <row r="2712">
      <c r="A2712" s="54">
        <f>IF(_imp!$C$2714="","",INDEX(_imp!$D$4:$D$4503,_imp!$C$2714))</f>
        <v/>
      </c>
      <c r="B2712" s="54">
        <f>IF(_imp!$C$2714="","",INDEX(_imp!$E$4:$E$4503,_imp!$C$2714))</f>
        <v/>
      </c>
      <c r="C2712" s="54">
        <f>IF(_imp!$C$2714="","",INDEX(_imp!$F$4:$F$4503,_imp!$C$2714))</f>
        <v/>
      </c>
      <c r="D2712" s="54">
        <f>IF(_imp!$C$2714="","",INDEX(_imp!$G$4:$G$4503,_imp!$C$2714))</f>
        <v/>
      </c>
      <c r="E2712" s="54">
        <f>IF(_imp!$C$2714="","",INDEX(_imp!$H$4:$H$4503,_imp!$C$2714))</f>
        <v/>
      </c>
      <c r="F2712" s="54">
        <f>IF(_imp!$C$2714="","",INDEX(_imp!$I$4:$I$4503,_imp!$C$2714))</f>
        <v/>
      </c>
      <c r="G2712" s="54">
        <f>IF(_imp!$C$2714="","",INDEX(_imp!$J$4:$J$4503,_imp!$C$2714))</f>
        <v/>
      </c>
      <c r="K2712" s="54">
        <f>IF(_imp!$C$2714="","",INDEX(_imp!$K$4:$K$4503,_imp!$C$2714))</f>
        <v/>
      </c>
    </row>
    <row r="2713">
      <c r="A2713" s="54">
        <f>IF(_imp!$C$2715="","",INDEX(_imp!$D$4:$D$4503,_imp!$C$2715))</f>
        <v/>
      </c>
      <c r="B2713" s="54">
        <f>IF(_imp!$C$2715="","",INDEX(_imp!$E$4:$E$4503,_imp!$C$2715))</f>
        <v/>
      </c>
      <c r="C2713" s="54">
        <f>IF(_imp!$C$2715="","",INDEX(_imp!$F$4:$F$4503,_imp!$C$2715))</f>
        <v/>
      </c>
      <c r="D2713" s="54">
        <f>IF(_imp!$C$2715="","",INDEX(_imp!$G$4:$G$4503,_imp!$C$2715))</f>
        <v/>
      </c>
      <c r="E2713" s="54">
        <f>IF(_imp!$C$2715="","",INDEX(_imp!$H$4:$H$4503,_imp!$C$2715))</f>
        <v/>
      </c>
      <c r="F2713" s="54">
        <f>IF(_imp!$C$2715="","",INDEX(_imp!$I$4:$I$4503,_imp!$C$2715))</f>
        <v/>
      </c>
      <c r="G2713" s="54">
        <f>IF(_imp!$C$2715="","",INDEX(_imp!$J$4:$J$4503,_imp!$C$2715))</f>
        <v/>
      </c>
      <c r="K2713" s="54">
        <f>IF(_imp!$C$2715="","",INDEX(_imp!$K$4:$K$4503,_imp!$C$2715))</f>
        <v/>
      </c>
    </row>
    <row r="2714">
      <c r="A2714" s="54">
        <f>IF(_imp!$C$2716="","",INDEX(_imp!$D$4:$D$4503,_imp!$C$2716))</f>
        <v/>
      </c>
      <c r="B2714" s="54">
        <f>IF(_imp!$C$2716="","",INDEX(_imp!$E$4:$E$4503,_imp!$C$2716))</f>
        <v/>
      </c>
      <c r="C2714" s="54">
        <f>IF(_imp!$C$2716="","",INDEX(_imp!$F$4:$F$4503,_imp!$C$2716))</f>
        <v/>
      </c>
      <c r="D2714" s="54">
        <f>IF(_imp!$C$2716="","",INDEX(_imp!$G$4:$G$4503,_imp!$C$2716))</f>
        <v/>
      </c>
      <c r="E2714" s="54">
        <f>IF(_imp!$C$2716="","",INDEX(_imp!$H$4:$H$4503,_imp!$C$2716))</f>
        <v/>
      </c>
      <c r="F2714" s="54">
        <f>IF(_imp!$C$2716="","",INDEX(_imp!$I$4:$I$4503,_imp!$C$2716))</f>
        <v/>
      </c>
      <c r="G2714" s="54">
        <f>IF(_imp!$C$2716="","",INDEX(_imp!$J$4:$J$4503,_imp!$C$2716))</f>
        <v/>
      </c>
      <c r="K2714" s="54">
        <f>IF(_imp!$C$2716="","",INDEX(_imp!$K$4:$K$4503,_imp!$C$2716))</f>
        <v/>
      </c>
    </row>
    <row r="2715">
      <c r="A2715" s="54">
        <f>IF(_imp!$C$2717="","",INDEX(_imp!$D$4:$D$4503,_imp!$C$2717))</f>
        <v/>
      </c>
      <c r="B2715" s="54">
        <f>IF(_imp!$C$2717="","",INDEX(_imp!$E$4:$E$4503,_imp!$C$2717))</f>
        <v/>
      </c>
      <c r="C2715" s="54">
        <f>IF(_imp!$C$2717="","",INDEX(_imp!$F$4:$F$4503,_imp!$C$2717))</f>
        <v/>
      </c>
      <c r="D2715" s="54">
        <f>IF(_imp!$C$2717="","",INDEX(_imp!$G$4:$G$4503,_imp!$C$2717))</f>
        <v/>
      </c>
      <c r="E2715" s="54">
        <f>IF(_imp!$C$2717="","",INDEX(_imp!$H$4:$H$4503,_imp!$C$2717))</f>
        <v/>
      </c>
      <c r="F2715" s="54">
        <f>IF(_imp!$C$2717="","",INDEX(_imp!$I$4:$I$4503,_imp!$C$2717))</f>
        <v/>
      </c>
      <c r="G2715" s="54">
        <f>IF(_imp!$C$2717="","",INDEX(_imp!$J$4:$J$4503,_imp!$C$2717))</f>
        <v/>
      </c>
      <c r="K2715" s="54">
        <f>IF(_imp!$C$2717="","",INDEX(_imp!$K$4:$K$4503,_imp!$C$2717))</f>
        <v/>
      </c>
    </row>
    <row r="2716">
      <c r="A2716" s="54">
        <f>IF(_imp!$C$2718="","",INDEX(_imp!$D$4:$D$4503,_imp!$C$2718))</f>
        <v/>
      </c>
      <c r="B2716" s="54">
        <f>IF(_imp!$C$2718="","",INDEX(_imp!$E$4:$E$4503,_imp!$C$2718))</f>
        <v/>
      </c>
      <c r="C2716" s="54">
        <f>IF(_imp!$C$2718="","",INDEX(_imp!$F$4:$F$4503,_imp!$C$2718))</f>
        <v/>
      </c>
      <c r="D2716" s="54">
        <f>IF(_imp!$C$2718="","",INDEX(_imp!$G$4:$G$4503,_imp!$C$2718))</f>
        <v/>
      </c>
      <c r="E2716" s="54">
        <f>IF(_imp!$C$2718="","",INDEX(_imp!$H$4:$H$4503,_imp!$C$2718))</f>
        <v/>
      </c>
      <c r="F2716" s="54">
        <f>IF(_imp!$C$2718="","",INDEX(_imp!$I$4:$I$4503,_imp!$C$2718))</f>
        <v/>
      </c>
      <c r="G2716" s="54">
        <f>IF(_imp!$C$2718="","",INDEX(_imp!$J$4:$J$4503,_imp!$C$2718))</f>
        <v/>
      </c>
      <c r="K2716" s="54">
        <f>IF(_imp!$C$2718="","",INDEX(_imp!$K$4:$K$4503,_imp!$C$2718))</f>
        <v/>
      </c>
    </row>
    <row r="2717">
      <c r="A2717" s="54">
        <f>IF(_imp!$C$2719="","",INDEX(_imp!$D$4:$D$4503,_imp!$C$2719))</f>
        <v/>
      </c>
      <c r="B2717" s="54">
        <f>IF(_imp!$C$2719="","",INDEX(_imp!$E$4:$E$4503,_imp!$C$2719))</f>
        <v/>
      </c>
      <c r="C2717" s="54">
        <f>IF(_imp!$C$2719="","",INDEX(_imp!$F$4:$F$4503,_imp!$C$2719))</f>
        <v/>
      </c>
      <c r="D2717" s="54">
        <f>IF(_imp!$C$2719="","",INDEX(_imp!$G$4:$G$4503,_imp!$C$2719))</f>
        <v/>
      </c>
      <c r="E2717" s="54">
        <f>IF(_imp!$C$2719="","",INDEX(_imp!$H$4:$H$4503,_imp!$C$2719))</f>
        <v/>
      </c>
      <c r="F2717" s="54">
        <f>IF(_imp!$C$2719="","",INDEX(_imp!$I$4:$I$4503,_imp!$C$2719))</f>
        <v/>
      </c>
      <c r="G2717" s="54">
        <f>IF(_imp!$C$2719="","",INDEX(_imp!$J$4:$J$4503,_imp!$C$2719))</f>
        <v/>
      </c>
      <c r="K2717" s="54">
        <f>IF(_imp!$C$2719="","",INDEX(_imp!$K$4:$K$4503,_imp!$C$2719))</f>
        <v/>
      </c>
    </row>
    <row r="2718">
      <c r="A2718" s="54">
        <f>IF(_imp!$C$2720="","",INDEX(_imp!$D$4:$D$4503,_imp!$C$2720))</f>
        <v/>
      </c>
      <c r="B2718" s="54">
        <f>IF(_imp!$C$2720="","",INDEX(_imp!$E$4:$E$4503,_imp!$C$2720))</f>
        <v/>
      </c>
      <c r="C2718" s="54">
        <f>IF(_imp!$C$2720="","",INDEX(_imp!$F$4:$F$4503,_imp!$C$2720))</f>
        <v/>
      </c>
      <c r="D2718" s="54">
        <f>IF(_imp!$C$2720="","",INDEX(_imp!$G$4:$G$4503,_imp!$C$2720))</f>
        <v/>
      </c>
      <c r="E2718" s="54">
        <f>IF(_imp!$C$2720="","",INDEX(_imp!$H$4:$H$4503,_imp!$C$2720))</f>
        <v/>
      </c>
      <c r="F2718" s="54">
        <f>IF(_imp!$C$2720="","",INDEX(_imp!$I$4:$I$4503,_imp!$C$2720))</f>
        <v/>
      </c>
      <c r="G2718" s="54">
        <f>IF(_imp!$C$2720="","",INDEX(_imp!$J$4:$J$4503,_imp!$C$2720))</f>
        <v/>
      </c>
      <c r="K2718" s="54">
        <f>IF(_imp!$C$2720="","",INDEX(_imp!$K$4:$K$4503,_imp!$C$2720))</f>
        <v/>
      </c>
    </row>
    <row r="2719">
      <c r="A2719" s="54">
        <f>IF(_imp!$C$2721="","",INDEX(_imp!$D$4:$D$4503,_imp!$C$2721))</f>
        <v/>
      </c>
      <c r="B2719" s="54">
        <f>IF(_imp!$C$2721="","",INDEX(_imp!$E$4:$E$4503,_imp!$C$2721))</f>
        <v/>
      </c>
      <c r="C2719" s="54">
        <f>IF(_imp!$C$2721="","",INDEX(_imp!$F$4:$F$4503,_imp!$C$2721))</f>
        <v/>
      </c>
      <c r="D2719" s="54">
        <f>IF(_imp!$C$2721="","",INDEX(_imp!$G$4:$G$4503,_imp!$C$2721))</f>
        <v/>
      </c>
      <c r="E2719" s="54">
        <f>IF(_imp!$C$2721="","",INDEX(_imp!$H$4:$H$4503,_imp!$C$2721))</f>
        <v/>
      </c>
      <c r="F2719" s="54">
        <f>IF(_imp!$C$2721="","",INDEX(_imp!$I$4:$I$4503,_imp!$C$2721))</f>
        <v/>
      </c>
      <c r="G2719" s="54">
        <f>IF(_imp!$C$2721="","",INDEX(_imp!$J$4:$J$4503,_imp!$C$2721))</f>
        <v/>
      </c>
      <c r="K2719" s="54">
        <f>IF(_imp!$C$2721="","",INDEX(_imp!$K$4:$K$4503,_imp!$C$2721))</f>
        <v/>
      </c>
    </row>
    <row r="2720">
      <c r="A2720" s="54">
        <f>IF(_imp!$C$2722="","",INDEX(_imp!$D$4:$D$4503,_imp!$C$2722))</f>
        <v/>
      </c>
      <c r="B2720" s="54">
        <f>IF(_imp!$C$2722="","",INDEX(_imp!$E$4:$E$4503,_imp!$C$2722))</f>
        <v/>
      </c>
      <c r="C2720" s="54">
        <f>IF(_imp!$C$2722="","",INDEX(_imp!$F$4:$F$4503,_imp!$C$2722))</f>
        <v/>
      </c>
      <c r="D2720" s="54">
        <f>IF(_imp!$C$2722="","",INDEX(_imp!$G$4:$G$4503,_imp!$C$2722))</f>
        <v/>
      </c>
      <c r="E2720" s="54">
        <f>IF(_imp!$C$2722="","",INDEX(_imp!$H$4:$H$4503,_imp!$C$2722))</f>
        <v/>
      </c>
      <c r="F2720" s="54">
        <f>IF(_imp!$C$2722="","",INDEX(_imp!$I$4:$I$4503,_imp!$C$2722))</f>
        <v/>
      </c>
      <c r="G2720" s="54">
        <f>IF(_imp!$C$2722="","",INDEX(_imp!$J$4:$J$4503,_imp!$C$2722))</f>
        <v/>
      </c>
      <c r="K2720" s="54">
        <f>IF(_imp!$C$2722="","",INDEX(_imp!$K$4:$K$4503,_imp!$C$2722))</f>
        <v/>
      </c>
    </row>
    <row r="2721">
      <c r="A2721" s="54">
        <f>IF(_imp!$C$2723="","",INDEX(_imp!$D$4:$D$4503,_imp!$C$2723))</f>
        <v/>
      </c>
      <c r="B2721" s="54">
        <f>IF(_imp!$C$2723="","",INDEX(_imp!$E$4:$E$4503,_imp!$C$2723))</f>
        <v/>
      </c>
      <c r="C2721" s="54">
        <f>IF(_imp!$C$2723="","",INDEX(_imp!$F$4:$F$4503,_imp!$C$2723))</f>
        <v/>
      </c>
      <c r="D2721" s="54">
        <f>IF(_imp!$C$2723="","",INDEX(_imp!$G$4:$G$4503,_imp!$C$2723))</f>
        <v/>
      </c>
      <c r="E2721" s="54">
        <f>IF(_imp!$C$2723="","",INDEX(_imp!$H$4:$H$4503,_imp!$C$2723))</f>
        <v/>
      </c>
      <c r="F2721" s="54">
        <f>IF(_imp!$C$2723="","",INDEX(_imp!$I$4:$I$4503,_imp!$C$2723))</f>
        <v/>
      </c>
      <c r="G2721" s="54">
        <f>IF(_imp!$C$2723="","",INDEX(_imp!$J$4:$J$4503,_imp!$C$2723))</f>
        <v/>
      </c>
      <c r="K2721" s="54">
        <f>IF(_imp!$C$2723="","",INDEX(_imp!$K$4:$K$4503,_imp!$C$2723))</f>
        <v/>
      </c>
    </row>
    <row r="2722">
      <c r="A2722" s="54">
        <f>IF(_imp!$C$2724="","",INDEX(_imp!$D$4:$D$4503,_imp!$C$2724))</f>
        <v/>
      </c>
      <c r="B2722" s="54">
        <f>IF(_imp!$C$2724="","",INDEX(_imp!$E$4:$E$4503,_imp!$C$2724))</f>
        <v/>
      </c>
      <c r="C2722" s="54">
        <f>IF(_imp!$C$2724="","",INDEX(_imp!$F$4:$F$4503,_imp!$C$2724))</f>
        <v/>
      </c>
      <c r="D2722" s="54">
        <f>IF(_imp!$C$2724="","",INDEX(_imp!$G$4:$G$4503,_imp!$C$2724))</f>
        <v/>
      </c>
      <c r="E2722" s="54">
        <f>IF(_imp!$C$2724="","",INDEX(_imp!$H$4:$H$4503,_imp!$C$2724))</f>
        <v/>
      </c>
      <c r="F2722" s="54">
        <f>IF(_imp!$C$2724="","",INDEX(_imp!$I$4:$I$4503,_imp!$C$2724))</f>
        <v/>
      </c>
      <c r="G2722" s="54">
        <f>IF(_imp!$C$2724="","",INDEX(_imp!$J$4:$J$4503,_imp!$C$2724))</f>
        <v/>
      </c>
      <c r="K2722" s="54">
        <f>IF(_imp!$C$2724="","",INDEX(_imp!$K$4:$K$4503,_imp!$C$2724))</f>
        <v/>
      </c>
    </row>
    <row r="2723">
      <c r="A2723" s="54">
        <f>IF(_imp!$C$2725="","",INDEX(_imp!$D$4:$D$4503,_imp!$C$2725))</f>
        <v/>
      </c>
      <c r="B2723" s="54">
        <f>IF(_imp!$C$2725="","",INDEX(_imp!$E$4:$E$4503,_imp!$C$2725))</f>
        <v/>
      </c>
      <c r="C2723" s="54">
        <f>IF(_imp!$C$2725="","",INDEX(_imp!$F$4:$F$4503,_imp!$C$2725))</f>
        <v/>
      </c>
      <c r="D2723" s="54">
        <f>IF(_imp!$C$2725="","",INDEX(_imp!$G$4:$G$4503,_imp!$C$2725))</f>
        <v/>
      </c>
      <c r="E2723" s="54">
        <f>IF(_imp!$C$2725="","",INDEX(_imp!$H$4:$H$4503,_imp!$C$2725))</f>
        <v/>
      </c>
      <c r="F2723" s="54">
        <f>IF(_imp!$C$2725="","",INDEX(_imp!$I$4:$I$4503,_imp!$C$2725))</f>
        <v/>
      </c>
      <c r="G2723" s="54">
        <f>IF(_imp!$C$2725="","",INDEX(_imp!$J$4:$J$4503,_imp!$C$2725))</f>
        <v/>
      </c>
      <c r="K2723" s="54">
        <f>IF(_imp!$C$2725="","",INDEX(_imp!$K$4:$K$4503,_imp!$C$2725))</f>
        <v/>
      </c>
    </row>
    <row r="2724">
      <c r="A2724" s="54">
        <f>IF(_imp!$C$2726="","",INDEX(_imp!$D$4:$D$4503,_imp!$C$2726))</f>
        <v/>
      </c>
      <c r="B2724" s="54">
        <f>IF(_imp!$C$2726="","",INDEX(_imp!$E$4:$E$4503,_imp!$C$2726))</f>
        <v/>
      </c>
      <c r="C2724" s="54">
        <f>IF(_imp!$C$2726="","",INDEX(_imp!$F$4:$F$4503,_imp!$C$2726))</f>
        <v/>
      </c>
      <c r="D2724" s="54">
        <f>IF(_imp!$C$2726="","",INDEX(_imp!$G$4:$G$4503,_imp!$C$2726))</f>
        <v/>
      </c>
      <c r="E2724" s="54">
        <f>IF(_imp!$C$2726="","",INDEX(_imp!$H$4:$H$4503,_imp!$C$2726))</f>
        <v/>
      </c>
      <c r="F2724" s="54">
        <f>IF(_imp!$C$2726="","",INDEX(_imp!$I$4:$I$4503,_imp!$C$2726))</f>
        <v/>
      </c>
      <c r="G2724" s="54">
        <f>IF(_imp!$C$2726="","",INDEX(_imp!$J$4:$J$4503,_imp!$C$2726))</f>
        <v/>
      </c>
      <c r="K2724" s="54">
        <f>IF(_imp!$C$2726="","",INDEX(_imp!$K$4:$K$4503,_imp!$C$2726))</f>
        <v/>
      </c>
    </row>
    <row r="2725">
      <c r="A2725" s="54">
        <f>IF(_imp!$C$2727="","",INDEX(_imp!$D$4:$D$4503,_imp!$C$2727))</f>
        <v/>
      </c>
      <c r="B2725" s="54">
        <f>IF(_imp!$C$2727="","",INDEX(_imp!$E$4:$E$4503,_imp!$C$2727))</f>
        <v/>
      </c>
      <c r="C2725" s="54">
        <f>IF(_imp!$C$2727="","",INDEX(_imp!$F$4:$F$4503,_imp!$C$2727))</f>
        <v/>
      </c>
      <c r="D2725" s="54">
        <f>IF(_imp!$C$2727="","",INDEX(_imp!$G$4:$G$4503,_imp!$C$2727))</f>
        <v/>
      </c>
      <c r="E2725" s="54">
        <f>IF(_imp!$C$2727="","",INDEX(_imp!$H$4:$H$4503,_imp!$C$2727))</f>
        <v/>
      </c>
      <c r="F2725" s="54">
        <f>IF(_imp!$C$2727="","",INDEX(_imp!$I$4:$I$4503,_imp!$C$2727))</f>
        <v/>
      </c>
      <c r="G2725" s="54">
        <f>IF(_imp!$C$2727="","",INDEX(_imp!$J$4:$J$4503,_imp!$C$2727))</f>
        <v/>
      </c>
      <c r="K2725" s="54">
        <f>IF(_imp!$C$2727="","",INDEX(_imp!$K$4:$K$4503,_imp!$C$2727))</f>
        <v/>
      </c>
    </row>
    <row r="2726">
      <c r="A2726" s="54">
        <f>IF(_imp!$C$2728="","",INDEX(_imp!$D$4:$D$4503,_imp!$C$2728))</f>
        <v/>
      </c>
      <c r="B2726" s="54">
        <f>IF(_imp!$C$2728="","",INDEX(_imp!$E$4:$E$4503,_imp!$C$2728))</f>
        <v/>
      </c>
      <c r="C2726" s="54">
        <f>IF(_imp!$C$2728="","",INDEX(_imp!$F$4:$F$4503,_imp!$C$2728))</f>
        <v/>
      </c>
      <c r="D2726" s="54">
        <f>IF(_imp!$C$2728="","",INDEX(_imp!$G$4:$G$4503,_imp!$C$2728))</f>
        <v/>
      </c>
      <c r="E2726" s="54">
        <f>IF(_imp!$C$2728="","",INDEX(_imp!$H$4:$H$4503,_imp!$C$2728))</f>
        <v/>
      </c>
      <c r="F2726" s="54">
        <f>IF(_imp!$C$2728="","",INDEX(_imp!$I$4:$I$4503,_imp!$C$2728))</f>
        <v/>
      </c>
      <c r="G2726" s="54">
        <f>IF(_imp!$C$2728="","",INDEX(_imp!$J$4:$J$4503,_imp!$C$2728))</f>
        <v/>
      </c>
      <c r="K2726" s="54">
        <f>IF(_imp!$C$2728="","",INDEX(_imp!$K$4:$K$4503,_imp!$C$2728))</f>
        <v/>
      </c>
    </row>
    <row r="2727">
      <c r="A2727" s="54">
        <f>IF(_imp!$C$2729="","",INDEX(_imp!$D$4:$D$4503,_imp!$C$2729))</f>
        <v/>
      </c>
      <c r="B2727" s="54">
        <f>IF(_imp!$C$2729="","",INDEX(_imp!$E$4:$E$4503,_imp!$C$2729))</f>
        <v/>
      </c>
      <c r="C2727" s="54">
        <f>IF(_imp!$C$2729="","",INDEX(_imp!$F$4:$F$4503,_imp!$C$2729))</f>
        <v/>
      </c>
      <c r="D2727" s="54">
        <f>IF(_imp!$C$2729="","",INDEX(_imp!$G$4:$G$4503,_imp!$C$2729))</f>
        <v/>
      </c>
      <c r="E2727" s="54">
        <f>IF(_imp!$C$2729="","",INDEX(_imp!$H$4:$H$4503,_imp!$C$2729))</f>
        <v/>
      </c>
      <c r="F2727" s="54">
        <f>IF(_imp!$C$2729="","",INDEX(_imp!$I$4:$I$4503,_imp!$C$2729))</f>
        <v/>
      </c>
      <c r="G2727" s="54">
        <f>IF(_imp!$C$2729="","",INDEX(_imp!$J$4:$J$4503,_imp!$C$2729))</f>
        <v/>
      </c>
      <c r="K2727" s="54">
        <f>IF(_imp!$C$2729="","",INDEX(_imp!$K$4:$K$4503,_imp!$C$2729))</f>
        <v/>
      </c>
    </row>
    <row r="2728">
      <c r="A2728" s="54">
        <f>IF(_imp!$C$2730="","",INDEX(_imp!$D$4:$D$4503,_imp!$C$2730))</f>
        <v/>
      </c>
      <c r="B2728" s="54">
        <f>IF(_imp!$C$2730="","",INDEX(_imp!$E$4:$E$4503,_imp!$C$2730))</f>
        <v/>
      </c>
      <c r="C2728" s="54">
        <f>IF(_imp!$C$2730="","",INDEX(_imp!$F$4:$F$4503,_imp!$C$2730))</f>
        <v/>
      </c>
      <c r="D2728" s="54">
        <f>IF(_imp!$C$2730="","",INDEX(_imp!$G$4:$G$4503,_imp!$C$2730))</f>
        <v/>
      </c>
      <c r="E2728" s="54">
        <f>IF(_imp!$C$2730="","",INDEX(_imp!$H$4:$H$4503,_imp!$C$2730))</f>
        <v/>
      </c>
      <c r="F2728" s="54">
        <f>IF(_imp!$C$2730="","",INDEX(_imp!$I$4:$I$4503,_imp!$C$2730))</f>
        <v/>
      </c>
      <c r="G2728" s="54">
        <f>IF(_imp!$C$2730="","",INDEX(_imp!$J$4:$J$4503,_imp!$C$2730))</f>
        <v/>
      </c>
      <c r="K2728" s="54">
        <f>IF(_imp!$C$2730="","",INDEX(_imp!$K$4:$K$4503,_imp!$C$2730))</f>
        <v/>
      </c>
    </row>
    <row r="2729">
      <c r="A2729" s="54">
        <f>IF(_imp!$C$2731="","",INDEX(_imp!$D$4:$D$4503,_imp!$C$2731))</f>
        <v/>
      </c>
      <c r="B2729" s="54">
        <f>IF(_imp!$C$2731="","",INDEX(_imp!$E$4:$E$4503,_imp!$C$2731))</f>
        <v/>
      </c>
      <c r="C2729" s="54">
        <f>IF(_imp!$C$2731="","",INDEX(_imp!$F$4:$F$4503,_imp!$C$2731))</f>
        <v/>
      </c>
      <c r="D2729" s="54">
        <f>IF(_imp!$C$2731="","",INDEX(_imp!$G$4:$G$4503,_imp!$C$2731))</f>
        <v/>
      </c>
      <c r="E2729" s="54">
        <f>IF(_imp!$C$2731="","",INDEX(_imp!$H$4:$H$4503,_imp!$C$2731))</f>
        <v/>
      </c>
      <c r="F2729" s="54">
        <f>IF(_imp!$C$2731="","",INDEX(_imp!$I$4:$I$4503,_imp!$C$2731))</f>
        <v/>
      </c>
      <c r="G2729" s="54">
        <f>IF(_imp!$C$2731="","",INDEX(_imp!$J$4:$J$4503,_imp!$C$2731))</f>
        <v/>
      </c>
      <c r="K2729" s="54">
        <f>IF(_imp!$C$2731="","",INDEX(_imp!$K$4:$K$4503,_imp!$C$2731))</f>
        <v/>
      </c>
    </row>
    <row r="2730">
      <c r="A2730" s="54">
        <f>IF(_imp!$C$2732="","",INDEX(_imp!$D$4:$D$4503,_imp!$C$2732))</f>
        <v/>
      </c>
      <c r="B2730" s="54">
        <f>IF(_imp!$C$2732="","",INDEX(_imp!$E$4:$E$4503,_imp!$C$2732))</f>
        <v/>
      </c>
      <c r="C2730" s="54">
        <f>IF(_imp!$C$2732="","",INDEX(_imp!$F$4:$F$4503,_imp!$C$2732))</f>
        <v/>
      </c>
      <c r="D2730" s="54">
        <f>IF(_imp!$C$2732="","",INDEX(_imp!$G$4:$G$4503,_imp!$C$2732))</f>
        <v/>
      </c>
      <c r="E2730" s="54">
        <f>IF(_imp!$C$2732="","",INDEX(_imp!$H$4:$H$4503,_imp!$C$2732))</f>
        <v/>
      </c>
      <c r="F2730" s="54">
        <f>IF(_imp!$C$2732="","",INDEX(_imp!$I$4:$I$4503,_imp!$C$2732))</f>
        <v/>
      </c>
      <c r="G2730" s="54">
        <f>IF(_imp!$C$2732="","",INDEX(_imp!$J$4:$J$4503,_imp!$C$2732))</f>
        <v/>
      </c>
      <c r="K2730" s="54">
        <f>IF(_imp!$C$2732="","",INDEX(_imp!$K$4:$K$4503,_imp!$C$2732))</f>
        <v/>
      </c>
    </row>
    <row r="2731">
      <c r="A2731" s="54">
        <f>IF(_imp!$C$2733="","",INDEX(_imp!$D$4:$D$4503,_imp!$C$2733))</f>
        <v/>
      </c>
      <c r="B2731" s="54">
        <f>IF(_imp!$C$2733="","",INDEX(_imp!$E$4:$E$4503,_imp!$C$2733))</f>
        <v/>
      </c>
      <c r="C2731" s="54">
        <f>IF(_imp!$C$2733="","",INDEX(_imp!$F$4:$F$4503,_imp!$C$2733))</f>
        <v/>
      </c>
      <c r="D2731" s="54">
        <f>IF(_imp!$C$2733="","",INDEX(_imp!$G$4:$G$4503,_imp!$C$2733))</f>
        <v/>
      </c>
      <c r="E2731" s="54">
        <f>IF(_imp!$C$2733="","",INDEX(_imp!$H$4:$H$4503,_imp!$C$2733))</f>
        <v/>
      </c>
      <c r="F2731" s="54">
        <f>IF(_imp!$C$2733="","",INDEX(_imp!$I$4:$I$4503,_imp!$C$2733))</f>
        <v/>
      </c>
      <c r="G2731" s="54">
        <f>IF(_imp!$C$2733="","",INDEX(_imp!$J$4:$J$4503,_imp!$C$2733))</f>
        <v/>
      </c>
      <c r="K2731" s="54">
        <f>IF(_imp!$C$2733="","",INDEX(_imp!$K$4:$K$4503,_imp!$C$2733))</f>
        <v/>
      </c>
    </row>
    <row r="2732">
      <c r="A2732" s="54">
        <f>IF(_imp!$C$2734="","",INDEX(_imp!$D$4:$D$4503,_imp!$C$2734))</f>
        <v/>
      </c>
      <c r="B2732" s="54">
        <f>IF(_imp!$C$2734="","",INDEX(_imp!$E$4:$E$4503,_imp!$C$2734))</f>
        <v/>
      </c>
      <c r="C2732" s="54">
        <f>IF(_imp!$C$2734="","",INDEX(_imp!$F$4:$F$4503,_imp!$C$2734))</f>
        <v/>
      </c>
      <c r="D2732" s="54">
        <f>IF(_imp!$C$2734="","",INDEX(_imp!$G$4:$G$4503,_imp!$C$2734))</f>
        <v/>
      </c>
      <c r="E2732" s="54">
        <f>IF(_imp!$C$2734="","",INDEX(_imp!$H$4:$H$4503,_imp!$C$2734))</f>
        <v/>
      </c>
      <c r="F2732" s="54">
        <f>IF(_imp!$C$2734="","",INDEX(_imp!$I$4:$I$4503,_imp!$C$2734))</f>
        <v/>
      </c>
      <c r="G2732" s="54">
        <f>IF(_imp!$C$2734="","",INDEX(_imp!$J$4:$J$4503,_imp!$C$2734))</f>
        <v/>
      </c>
      <c r="K2732" s="54">
        <f>IF(_imp!$C$2734="","",INDEX(_imp!$K$4:$K$4503,_imp!$C$2734))</f>
        <v/>
      </c>
    </row>
    <row r="2733">
      <c r="A2733" s="54">
        <f>IF(_imp!$C$2735="","",INDEX(_imp!$D$4:$D$4503,_imp!$C$2735))</f>
        <v/>
      </c>
      <c r="B2733" s="54">
        <f>IF(_imp!$C$2735="","",INDEX(_imp!$E$4:$E$4503,_imp!$C$2735))</f>
        <v/>
      </c>
      <c r="C2733" s="54">
        <f>IF(_imp!$C$2735="","",INDEX(_imp!$F$4:$F$4503,_imp!$C$2735))</f>
        <v/>
      </c>
      <c r="D2733" s="54">
        <f>IF(_imp!$C$2735="","",INDEX(_imp!$G$4:$G$4503,_imp!$C$2735))</f>
        <v/>
      </c>
      <c r="E2733" s="54">
        <f>IF(_imp!$C$2735="","",INDEX(_imp!$H$4:$H$4503,_imp!$C$2735))</f>
        <v/>
      </c>
      <c r="F2733" s="54">
        <f>IF(_imp!$C$2735="","",INDEX(_imp!$I$4:$I$4503,_imp!$C$2735))</f>
        <v/>
      </c>
      <c r="G2733" s="54">
        <f>IF(_imp!$C$2735="","",INDEX(_imp!$J$4:$J$4503,_imp!$C$2735))</f>
        <v/>
      </c>
      <c r="K2733" s="54">
        <f>IF(_imp!$C$2735="","",INDEX(_imp!$K$4:$K$4503,_imp!$C$2735))</f>
        <v/>
      </c>
    </row>
    <row r="2734">
      <c r="A2734" s="54">
        <f>IF(_imp!$C$2736="","",INDEX(_imp!$D$4:$D$4503,_imp!$C$2736))</f>
        <v/>
      </c>
      <c r="B2734" s="54">
        <f>IF(_imp!$C$2736="","",INDEX(_imp!$E$4:$E$4503,_imp!$C$2736))</f>
        <v/>
      </c>
      <c r="C2734" s="54">
        <f>IF(_imp!$C$2736="","",INDEX(_imp!$F$4:$F$4503,_imp!$C$2736))</f>
        <v/>
      </c>
      <c r="D2734" s="54">
        <f>IF(_imp!$C$2736="","",INDEX(_imp!$G$4:$G$4503,_imp!$C$2736))</f>
        <v/>
      </c>
      <c r="E2734" s="54">
        <f>IF(_imp!$C$2736="","",INDEX(_imp!$H$4:$H$4503,_imp!$C$2736))</f>
        <v/>
      </c>
      <c r="F2734" s="54">
        <f>IF(_imp!$C$2736="","",INDEX(_imp!$I$4:$I$4503,_imp!$C$2736))</f>
        <v/>
      </c>
      <c r="G2734" s="54">
        <f>IF(_imp!$C$2736="","",INDEX(_imp!$J$4:$J$4503,_imp!$C$2736))</f>
        <v/>
      </c>
      <c r="K2734" s="54">
        <f>IF(_imp!$C$2736="","",INDEX(_imp!$K$4:$K$4503,_imp!$C$2736))</f>
        <v/>
      </c>
    </row>
    <row r="2735">
      <c r="A2735" s="54">
        <f>IF(_imp!$C$2737="","",INDEX(_imp!$D$4:$D$4503,_imp!$C$2737))</f>
        <v/>
      </c>
      <c r="B2735" s="54">
        <f>IF(_imp!$C$2737="","",INDEX(_imp!$E$4:$E$4503,_imp!$C$2737))</f>
        <v/>
      </c>
      <c r="C2735" s="54">
        <f>IF(_imp!$C$2737="","",INDEX(_imp!$F$4:$F$4503,_imp!$C$2737))</f>
        <v/>
      </c>
      <c r="D2735" s="54">
        <f>IF(_imp!$C$2737="","",INDEX(_imp!$G$4:$G$4503,_imp!$C$2737))</f>
        <v/>
      </c>
      <c r="E2735" s="54">
        <f>IF(_imp!$C$2737="","",INDEX(_imp!$H$4:$H$4503,_imp!$C$2737))</f>
        <v/>
      </c>
      <c r="F2735" s="54">
        <f>IF(_imp!$C$2737="","",INDEX(_imp!$I$4:$I$4503,_imp!$C$2737))</f>
        <v/>
      </c>
      <c r="G2735" s="54">
        <f>IF(_imp!$C$2737="","",INDEX(_imp!$J$4:$J$4503,_imp!$C$2737))</f>
        <v/>
      </c>
      <c r="K2735" s="54">
        <f>IF(_imp!$C$2737="","",INDEX(_imp!$K$4:$K$4503,_imp!$C$2737))</f>
        <v/>
      </c>
    </row>
    <row r="2736">
      <c r="A2736" s="54">
        <f>IF(_imp!$C$2738="","",INDEX(_imp!$D$4:$D$4503,_imp!$C$2738))</f>
        <v/>
      </c>
      <c r="B2736" s="54">
        <f>IF(_imp!$C$2738="","",INDEX(_imp!$E$4:$E$4503,_imp!$C$2738))</f>
        <v/>
      </c>
      <c r="C2736" s="54">
        <f>IF(_imp!$C$2738="","",INDEX(_imp!$F$4:$F$4503,_imp!$C$2738))</f>
        <v/>
      </c>
      <c r="D2736" s="54">
        <f>IF(_imp!$C$2738="","",INDEX(_imp!$G$4:$G$4503,_imp!$C$2738))</f>
        <v/>
      </c>
      <c r="E2736" s="54">
        <f>IF(_imp!$C$2738="","",INDEX(_imp!$H$4:$H$4503,_imp!$C$2738))</f>
        <v/>
      </c>
      <c r="F2736" s="54">
        <f>IF(_imp!$C$2738="","",INDEX(_imp!$I$4:$I$4503,_imp!$C$2738))</f>
        <v/>
      </c>
      <c r="G2736" s="54">
        <f>IF(_imp!$C$2738="","",INDEX(_imp!$J$4:$J$4503,_imp!$C$2738))</f>
        <v/>
      </c>
      <c r="K2736" s="54">
        <f>IF(_imp!$C$2738="","",INDEX(_imp!$K$4:$K$4503,_imp!$C$2738))</f>
        <v/>
      </c>
    </row>
    <row r="2737">
      <c r="A2737" s="54">
        <f>IF(_imp!$C$2739="","",INDEX(_imp!$D$4:$D$4503,_imp!$C$2739))</f>
        <v/>
      </c>
      <c r="B2737" s="54">
        <f>IF(_imp!$C$2739="","",INDEX(_imp!$E$4:$E$4503,_imp!$C$2739))</f>
        <v/>
      </c>
      <c r="C2737" s="54">
        <f>IF(_imp!$C$2739="","",INDEX(_imp!$F$4:$F$4503,_imp!$C$2739))</f>
        <v/>
      </c>
      <c r="D2737" s="54">
        <f>IF(_imp!$C$2739="","",INDEX(_imp!$G$4:$G$4503,_imp!$C$2739))</f>
        <v/>
      </c>
      <c r="E2737" s="54">
        <f>IF(_imp!$C$2739="","",INDEX(_imp!$H$4:$H$4503,_imp!$C$2739))</f>
        <v/>
      </c>
      <c r="F2737" s="54">
        <f>IF(_imp!$C$2739="","",INDEX(_imp!$I$4:$I$4503,_imp!$C$2739))</f>
        <v/>
      </c>
      <c r="G2737" s="54">
        <f>IF(_imp!$C$2739="","",INDEX(_imp!$J$4:$J$4503,_imp!$C$2739))</f>
        <v/>
      </c>
      <c r="K2737" s="54">
        <f>IF(_imp!$C$2739="","",INDEX(_imp!$K$4:$K$4503,_imp!$C$2739))</f>
        <v/>
      </c>
    </row>
    <row r="2738">
      <c r="A2738" s="54">
        <f>IF(_imp!$C$2740="","",INDEX(_imp!$D$4:$D$4503,_imp!$C$2740))</f>
        <v/>
      </c>
      <c r="B2738" s="54">
        <f>IF(_imp!$C$2740="","",INDEX(_imp!$E$4:$E$4503,_imp!$C$2740))</f>
        <v/>
      </c>
      <c r="C2738" s="54">
        <f>IF(_imp!$C$2740="","",INDEX(_imp!$F$4:$F$4503,_imp!$C$2740))</f>
        <v/>
      </c>
      <c r="D2738" s="54">
        <f>IF(_imp!$C$2740="","",INDEX(_imp!$G$4:$G$4503,_imp!$C$2740))</f>
        <v/>
      </c>
      <c r="E2738" s="54">
        <f>IF(_imp!$C$2740="","",INDEX(_imp!$H$4:$H$4503,_imp!$C$2740))</f>
        <v/>
      </c>
      <c r="F2738" s="54">
        <f>IF(_imp!$C$2740="","",INDEX(_imp!$I$4:$I$4503,_imp!$C$2740))</f>
        <v/>
      </c>
      <c r="G2738" s="54">
        <f>IF(_imp!$C$2740="","",INDEX(_imp!$J$4:$J$4503,_imp!$C$2740))</f>
        <v/>
      </c>
      <c r="K2738" s="54">
        <f>IF(_imp!$C$2740="","",INDEX(_imp!$K$4:$K$4503,_imp!$C$2740))</f>
        <v/>
      </c>
    </row>
    <row r="2739">
      <c r="A2739" s="54">
        <f>IF(_imp!$C$2741="","",INDEX(_imp!$D$4:$D$4503,_imp!$C$2741))</f>
        <v/>
      </c>
      <c r="B2739" s="54">
        <f>IF(_imp!$C$2741="","",INDEX(_imp!$E$4:$E$4503,_imp!$C$2741))</f>
        <v/>
      </c>
      <c r="C2739" s="54">
        <f>IF(_imp!$C$2741="","",INDEX(_imp!$F$4:$F$4503,_imp!$C$2741))</f>
        <v/>
      </c>
      <c r="D2739" s="54">
        <f>IF(_imp!$C$2741="","",INDEX(_imp!$G$4:$G$4503,_imp!$C$2741))</f>
        <v/>
      </c>
      <c r="E2739" s="54">
        <f>IF(_imp!$C$2741="","",INDEX(_imp!$H$4:$H$4503,_imp!$C$2741))</f>
        <v/>
      </c>
      <c r="F2739" s="54">
        <f>IF(_imp!$C$2741="","",INDEX(_imp!$I$4:$I$4503,_imp!$C$2741))</f>
        <v/>
      </c>
      <c r="G2739" s="54">
        <f>IF(_imp!$C$2741="","",INDEX(_imp!$J$4:$J$4503,_imp!$C$2741))</f>
        <v/>
      </c>
      <c r="K2739" s="54">
        <f>IF(_imp!$C$2741="","",INDEX(_imp!$K$4:$K$4503,_imp!$C$2741))</f>
        <v/>
      </c>
    </row>
    <row r="2740">
      <c r="A2740" s="54">
        <f>IF(_imp!$C$2742="","",INDEX(_imp!$D$4:$D$4503,_imp!$C$2742))</f>
        <v/>
      </c>
      <c r="B2740" s="54">
        <f>IF(_imp!$C$2742="","",INDEX(_imp!$E$4:$E$4503,_imp!$C$2742))</f>
        <v/>
      </c>
      <c r="C2740" s="54">
        <f>IF(_imp!$C$2742="","",INDEX(_imp!$F$4:$F$4503,_imp!$C$2742))</f>
        <v/>
      </c>
      <c r="D2740" s="54">
        <f>IF(_imp!$C$2742="","",INDEX(_imp!$G$4:$G$4503,_imp!$C$2742))</f>
        <v/>
      </c>
      <c r="E2740" s="54">
        <f>IF(_imp!$C$2742="","",INDEX(_imp!$H$4:$H$4503,_imp!$C$2742))</f>
        <v/>
      </c>
      <c r="F2740" s="54">
        <f>IF(_imp!$C$2742="","",INDEX(_imp!$I$4:$I$4503,_imp!$C$2742))</f>
        <v/>
      </c>
      <c r="G2740" s="54">
        <f>IF(_imp!$C$2742="","",INDEX(_imp!$J$4:$J$4503,_imp!$C$2742))</f>
        <v/>
      </c>
      <c r="K2740" s="54">
        <f>IF(_imp!$C$2742="","",INDEX(_imp!$K$4:$K$4503,_imp!$C$2742))</f>
        <v/>
      </c>
    </row>
    <row r="2741">
      <c r="A2741" s="54">
        <f>IF(_imp!$C$2743="","",INDEX(_imp!$D$4:$D$4503,_imp!$C$2743))</f>
        <v/>
      </c>
      <c r="B2741" s="54">
        <f>IF(_imp!$C$2743="","",INDEX(_imp!$E$4:$E$4503,_imp!$C$2743))</f>
        <v/>
      </c>
      <c r="C2741" s="54">
        <f>IF(_imp!$C$2743="","",INDEX(_imp!$F$4:$F$4503,_imp!$C$2743))</f>
        <v/>
      </c>
      <c r="D2741" s="54">
        <f>IF(_imp!$C$2743="","",INDEX(_imp!$G$4:$G$4503,_imp!$C$2743))</f>
        <v/>
      </c>
      <c r="E2741" s="54">
        <f>IF(_imp!$C$2743="","",INDEX(_imp!$H$4:$H$4503,_imp!$C$2743))</f>
        <v/>
      </c>
      <c r="F2741" s="54">
        <f>IF(_imp!$C$2743="","",INDEX(_imp!$I$4:$I$4503,_imp!$C$2743))</f>
        <v/>
      </c>
      <c r="G2741" s="54">
        <f>IF(_imp!$C$2743="","",INDEX(_imp!$J$4:$J$4503,_imp!$C$2743))</f>
        <v/>
      </c>
      <c r="K2741" s="54">
        <f>IF(_imp!$C$2743="","",INDEX(_imp!$K$4:$K$4503,_imp!$C$2743))</f>
        <v/>
      </c>
    </row>
    <row r="2742">
      <c r="A2742" s="54">
        <f>IF(_imp!$C$2744="","",INDEX(_imp!$D$4:$D$4503,_imp!$C$2744))</f>
        <v/>
      </c>
      <c r="B2742" s="54">
        <f>IF(_imp!$C$2744="","",INDEX(_imp!$E$4:$E$4503,_imp!$C$2744))</f>
        <v/>
      </c>
      <c r="C2742" s="54">
        <f>IF(_imp!$C$2744="","",INDEX(_imp!$F$4:$F$4503,_imp!$C$2744))</f>
        <v/>
      </c>
      <c r="D2742" s="54">
        <f>IF(_imp!$C$2744="","",INDEX(_imp!$G$4:$G$4503,_imp!$C$2744))</f>
        <v/>
      </c>
      <c r="E2742" s="54">
        <f>IF(_imp!$C$2744="","",INDEX(_imp!$H$4:$H$4503,_imp!$C$2744))</f>
        <v/>
      </c>
      <c r="F2742" s="54">
        <f>IF(_imp!$C$2744="","",INDEX(_imp!$I$4:$I$4503,_imp!$C$2744))</f>
        <v/>
      </c>
      <c r="G2742" s="54">
        <f>IF(_imp!$C$2744="","",INDEX(_imp!$J$4:$J$4503,_imp!$C$2744))</f>
        <v/>
      </c>
      <c r="K2742" s="54">
        <f>IF(_imp!$C$2744="","",INDEX(_imp!$K$4:$K$4503,_imp!$C$2744))</f>
        <v/>
      </c>
    </row>
    <row r="2743">
      <c r="A2743" s="54">
        <f>IF(_imp!$C$2745="","",INDEX(_imp!$D$4:$D$4503,_imp!$C$2745))</f>
        <v/>
      </c>
      <c r="B2743" s="54">
        <f>IF(_imp!$C$2745="","",INDEX(_imp!$E$4:$E$4503,_imp!$C$2745))</f>
        <v/>
      </c>
      <c r="C2743" s="54">
        <f>IF(_imp!$C$2745="","",INDEX(_imp!$F$4:$F$4503,_imp!$C$2745))</f>
        <v/>
      </c>
      <c r="D2743" s="54">
        <f>IF(_imp!$C$2745="","",INDEX(_imp!$G$4:$G$4503,_imp!$C$2745))</f>
        <v/>
      </c>
      <c r="E2743" s="54">
        <f>IF(_imp!$C$2745="","",INDEX(_imp!$H$4:$H$4503,_imp!$C$2745))</f>
        <v/>
      </c>
      <c r="F2743" s="54">
        <f>IF(_imp!$C$2745="","",INDEX(_imp!$I$4:$I$4503,_imp!$C$2745))</f>
        <v/>
      </c>
      <c r="G2743" s="54">
        <f>IF(_imp!$C$2745="","",INDEX(_imp!$J$4:$J$4503,_imp!$C$2745))</f>
        <v/>
      </c>
      <c r="K2743" s="54">
        <f>IF(_imp!$C$2745="","",INDEX(_imp!$K$4:$K$4503,_imp!$C$2745))</f>
        <v/>
      </c>
    </row>
    <row r="2744">
      <c r="A2744" s="54">
        <f>IF(_imp!$C$2746="","",INDEX(_imp!$D$4:$D$4503,_imp!$C$2746))</f>
        <v/>
      </c>
      <c r="B2744" s="54">
        <f>IF(_imp!$C$2746="","",INDEX(_imp!$E$4:$E$4503,_imp!$C$2746))</f>
        <v/>
      </c>
      <c r="C2744" s="54">
        <f>IF(_imp!$C$2746="","",INDEX(_imp!$F$4:$F$4503,_imp!$C$2746))</f>
        <v/>
      </c>
      <c r="D2744" s="54">
        <f>IF(_imp!$C$2746="","",INDEX(_imp!$G$4:$G$4503,_imp!$C$2746))</f>
        <v/>
      </c>
      <c r="E2744" s="54">
        <f>IF(_imp!$C$2746="","",INDEX(_imp!$H$4:$H$4503,_imp!$C$2746))</f>
        <v/>
      </c>
      <c r="F2744" s="54">
        <f>IF(_imp!$C$2746="","",INDEX(_imp!$I$4:$I$4503,_imp!$C$2746))</f>
        <v/>
      </c>
      <c r="G2744" s="54">
        <f>IF(_imp!$C$2746="","",INDEX(_imp!$J$4:$J$4503,_imp!$C$2746))</f>
        <v/>
      </c>
      <c r="K2744" s="54">
        <f>IF(_imp!$C$2746="","",INDEX(_imp!$K$4:$K$4503,_imp!$C$2746))</f>
        <v/>
      </c>
    </row>
    <row r="2745">
      <c r="A2745" s="54">
        <f>IF(_imp!$C$2747="","",INDEX(_imp!$D$4:$D$4503,_imp!$C$2747))</f>
        <v/>
      </c>
      <c r="B2745" s="54">
        <f>IF(_imp!$C$2747="","",INDEX(_imp!$E$4:$E$4503,_imp!$C$2747))</f>
        <v/>
      </c>
      <c r="C2745" s="54">
        <f>IF(_imp!$C$2747="","",INDEX(_imp!$F$4:$F$4503,_imp!$C$2747))</f>
        <v/>
      </c>
      <c r="D2745" s="54">
        <f>IF(_imp!$C$2747="","",INDEX(_imp!$G$4:$G$4503,_imp!$C$2747))</f>
        <v/>
      </c>
      <c r="E2745" s="54">
        <f>IF(_imp!$C$2747="","",INDEX(_imp!$H$4:$H$4503,_imp!$C$2747))</f>
        <v/>
      </c>
      <c r="F2745" s="54">
        <f>IF(_imp!$C$2747="","",INDEX(_imp!$I$4:$I$4503,_imp!$C$2747))</f>
        <v/>
      </c>
      <c r="G2745" s="54">
        <f>IF(_imp!$C$2747="","",INDEX(_imp!$J$4:$J$4503,_imp!$C$2747))</f>
        <v/>
      </c>
      <c r="K2745" s="54">
        <f>IF(_imp!$C$2747="","",INDEX(_imp!$K$4:$K$4503,_imp!$C$2747))</f>
        <v/>
      </c>
    </row>
    <row r="2746">
      <c r="A2746" s="54">
        <f>IF(_imp!$C$2748="","",INDEX(_imp!$D$4:$D$4503,_imp!$C$2748))</f>
        <v/>
      </c>
      <c r="B2746" s="54">
        <f>IF(_imp!$C$2748="","",INDEX(_imp!$E$4:$E$4503,_imp!$C$2748))</f>
        <v/>
      </c>
      <c r="C2746" s="54">
        <f>IF(_imp!$C$2748="","",INDEX(_imp!$F$4:$F$4503,_imp!$C$2748))</f>
        <v/>
      </c>
      <c r="D2746" s="54">
        <f>IF(_imp!$C$2748="","",INDEX(_imp!$G$4:$G$4503,_imp!$C$2748))</f>
        <v/>
      </c>
      <c r="E2746" s="54">
        <f>IF(_imp!$C$2748="","",INDEX(_imp!$H$4:$H$4503,_imp!$C$2748))</f>
        <v/>
      </c>
      <c r="F2746" s="54">
        <f>IF(_imp!$C$2748="","",INDEX(_imp!$I$4:$I$4503,_imp!$C$2748))</f>
        <v/>
      </c>
      <c r="G2746" s="54">
        <f>IF(_imp!$C$2748="","",INDEX(_imp!$J$4:$J$4503,_imp!$C$2748))</f>
        <v/>
      </c>
      <c r="K2746" s="54">
        <f>IF(_imp!$C$2748="","",INDEX(_imp!$K$4:$K$4503,_imp!$C$2748))</f>
        <v/>
      </c>
    </row>
    <row r="2747">
      <c r="A2747" s="54">
        <f>IF(_imp!$C$2749="","",INDEX(_imp!$D$4:$D$4503,_imp!$C$2749))</f>
        <v/>
      </c>
      <c r="B2747" s="54">
        <f>IF(_imp!$C$2749="","",INDEX(_imp!$E$4:$E$4503,_imp!$C$2749))</f>
        <v/>
      </c>
      <c r="C2747" s="54">
        <f>IF(_imp!$C$2749="","",INDEX(_imp!$F$4:$F$4503,_imp!$C$2749))</f>
        <v/>
      </c>
      <c r="D2747" s="54">
        <f>IF(_imp!$C$2749="","",INDEX(_imp!$G$4:$G$4503,_imp!$C$2749))</f>
        <v/>
      </c>
      <c r="E2747" s="54">
        <f>IF(_imp!$C$2749="","",INDEX(_imp!$H$4:$H$4503,_imp!$C$2749))</f>
        <v/>
      </c>
      <c r="F2747" s="54">
        <f>IF(_imp!$C$2749="","",INDEX(_imp!$I$4:$I$4503,_imp!$C$2749))</f>
        <v/>
      </c>
      <c r="G2747" s="54">
        <f>IF(_imp!$C$2749="","",INDEX(_imp!$J$4:$J$4503,_imp!$C$2749))</f>
        <v/>
      </c>
      <c r="K2747" s="54">
        <f>IF(_imp!$C$2749="","",INDEX(_imp!$K$4:$K$4503,_imp!$C$2749))</f>
        <v/>
      </c>
    </row>
    <row r="2748">
      <c r="A2748" s="54">
        <f>IF(_imp!$C$2750="","",INDEX(_imp!$D$4:$D$4503,_imp!$C$2750))</f>
        <v/>
      </c>
      <c r="B2748" s="54">
        <f>IF(_imp!$C$2750="","",INDEX(_imp!$E$4:$E$4503,_imp!$C$2750))</f>
        <v/>
      </c>
      <c r="C2748" s="54">
        <f>IF(_imp!$C$2750="","",INDEX(_imp!$F$4:$F$4503,_imp!$C$2750))</f>
        <v/>
      </c>
      <c r="D2748" s="54">
        <f>IF(_imp!$C$2750="","",INDEX(_imp!$G$4:$G$4503,_imp!$C$2750))</f>
        <v/>
      </c>
      <c r="E2748" s="54">
        <f>IF(_imp!$C$2750="","",INDEX(_imp!$H$4:$H$4503,_imp!$C$2750))</f>
        <v/>
      </c>
      <c r="F2748" s="54">
        <f>IF(_imp!$C$2750="","",INDEX(_imp!$I$4:$I$4503,_imp!$C$2750))</f>
        <v/>
      </c>
      <c r="G2748" s="54">
        <f>IF(_imp!$C$2750="","",INDEX(_imp!$J$4:$J$4503,_imp!$C$2750))</f>
        <v/>
      </c>
      <c r="K2748" s="54">
        <f>IF(_imp!$C$2750="","",INDEX(_imp!$K$4:$K$4503,_imp!$C$2750))</f>
        <v/>
      </c>
    </row>
    <row r="2749">
      <c r="A2749" s="54">
        <f>IF(_imp!$C$2751="","",INDEX(_imp!$D$4:$D$4503,_imp!$C$2751))</f>
        <v/>
      </c>
      <c r="B2749" s="54">
        <f>IF(_imp!$C$2751="","",INDEX(_imp!$E$4:$E$4503,_imp!$C$2751))</f>
        <v/>
      </c>
      <c r="C2749" s="54">
        <f>IF(_imp!$C$2751="","",INDEX(_imp!$F$4:$F$4503,_imp!$C$2751))</f>
        <v/>
      </c>
      <c r="D2749" s="54">
        <f>IF(_imp!$C$2751="","",INDEX(_imp!$G$4:$G$4503,_imp!$C$2751))</f>
        <v/>
      </c>
      <c r="E2749" s="54">
        <f>IF(_imp!$C$2751="","",INDEX(_imp!$H$4:$H$4503,_imp!$C$2751))</f>
        <v/>
      </c>
      <c r="F2749" s="54">
        <f>IF(_imp!$C$2751="","",INDEX(_imp!$I$4:$I$4503,_imp!$C$2751))</f>
        <v/>
      </c>
      <c r="G2749" s="54">
        <f>IF(_imp!$C$2751="","",INDEX(_imp!$J$4:$J$4503,_imp!$C$2751))</f>
        <v/>
      </c>
      <c r="K2749" s="54">
        <f>IF(_imp!$C$2751="","",INDEX(_imp!$K$4:$K$4503,_imp!$C$2751))</f>
        <v/>
      </c>
    </row>
    <row r="2750">
      <c r="A2750" s="54">
        <f>IF(_imp!$C$2752="","",INDEX(_imp!$D$4:$D$4503,_imp!$C$2752))</f>
        <v/>
      </c>
      <c r="B2750" s="54">
        <f>IF(_imp!$C$2752="","",INDEX(_imp!$E$4:$E$4503,_imp!$C$2752))</f>
        <v/>
      </c>
      <c r="C2750" s="54">
        <f>IF(_imp!$C$2752="","",INDEX(_imp!$F$4:$F$4503,_imp!$C$2752))</f>
        <v/>
      </c>
      <c r="D2750" s="54">
        <f>IF(_imp!$C$2752="","",INDEX(_imp!$G$4:$G$4503,_imp!$C$2752))</f>
        <v/>
      </c>
      <c r="E2750" s="54">
        <f>IF(_imp!$C$2752="","",INDEX(_imp!$H$4:$H$4503,_imp!$C$2752))</f>
        <v/>
      </c>
      <c r="F2750" s="54">
        <f>IF(_imp!$C$2752="","",INDEX(_imp!$I$4:$I$4503,_imp!$C$2752))</f>
        <v/>
      </c>
      <c r="G2750" s="54">
        <f>IF(_imp!$C$2752="","",INDEX(_imp!$J$4:$J$4503,_imp!$C$2752))</f>
        <v/>
      </c>
      <c r="K2750" s="54">
        <f>IF(_imp!$C$2752="","",INDEX(_imp!$K$4:$K$4503,_imp!$C$2752))</f>
        <v/>
      </c>
    </row>
    <row r="2751">
      <c r="A2751" s="54">
        <f>IF(_imp!$C$2753="","",INDEX(_imp!$D$4:$D$4503,_imp!$C$2753))</f>
        <v/>
      </c>
      <c r="B2751" s="54">
        <f>IF(_imp!$C$2753="","",INDEX(_imp!$E$4:$E$4503,_imp!$C$2753))</f>
        <v/>
      </c>
      <c r="C2751" s="54">
        <f>IF(_imp!$C$2753="","",INDEX(_imp!$F$4:$F$4503,_imp!$C$2753))</f>
        <v/>
      </c>
      <c r="D2751" s="54">
        <f>IF(_imp!$C$2753="","",INDEX(_imp!$G$4:$G$4503,_imp!$C$2753))</f>
        <v/>
      </c>
      <c r="E2751" s="54">
        <f>IF(_imp!$C$2753="","",INDEX(_imp!$H$4:$H$4503,_imp!$C$2753))</f>
        <v/>
      </c>
      <c r="F2751" s="54">
        <f>IF(_imp!$C$2753="","",INDEX(_imp!$I$4:$I$4503,_imp!$C$2753))</f>
        <v/>
      </c>
      <c r="G2751" s="54">
        <f>IF(_imp!$C$2753="","",INDEX(_imp!$J$4:$J$4503,_imp!$C$2753))</f>
        <v/>
      </c>
      <c r="K2751" s="54">
        <f>IF(_imp!$C$2753="","",INDEX(_imp!$K$4:$K$4503,_imp!$C$2753))</f>
        <v/>
      </c>
    </row>
    <row r="2752">
      <c r="A2752" s="54">
        <f>IF(_imp!$C$2754="","",INDEX(_imp!$D$4:$D$4503,_imp!$C$2754))</f>
        <v/>
      </c>
      <c r="B2752" s="54">
        <f>IF(_imp!$C$2754="","",INDEX(_imp!$E$4:$E$4503,_imp!$C$2754))</f>
        <v/>
      </c>
      <c r="C2752" s="54">
        <f>IF(_imp!$C$2754="","",INDEX(_imp!$F$4:$F$4503,_imp!$C$2754))</f>
        <v/>
      </c>
      <c r="D2752" s="54">
        <f>IF(_imp!$C$2754="","",INDEX(_imp!$G$4:$G$4503,_imp!$C$2754))</f>
        <v/>
      </c>
      <c r="E2752" s="54">
        <f>IF(_imp!$C$2754="","",INDEX(_imp!$H$4:$H$4503,_imp!$C$2754))</f>
        <v/>
      </c>
      <c r="F2752" s="54">
        <f>IF(_imp!$C$2754="","",INDEX(_imp!$I$4:$I$4503,_imp!$C$2754))</f>
        <v/>
      </c>
      <c r="G2752" s="54">
        <f>IF(_imp!$C$2754="","",INDEX(_imp!$J$4:$J$4503,_imp!$C$2754))</f>
        <v/>
      </c>
      <c r="K2752" s="54">
        <f>IF(_imp!$C$2754="","",INDEX(_imp!$K$4:$K$4503,_imp!$C$2754))</f>
        <v/>
      </c>
    </row>
    <row r="2753">
      <c r="A2753" s="54">
        <f>IF(_imp!$C$2755="","",INDEX(_imp!$D$4:$D$4503,_imp!$C$2755))</f>
        <v/>
      </c>
      <c r="B2753" s="54">
        <f>IF(_imp!$C$2755="","",INDEX(_imp!$E$4:$E$4503,_imp!$C$2755))</f>
        <v/>
      </c>
      <c r="C2753" s="54">
        <f>IF(_imp!$C$2755="","",INDEX(_imp!$F$4:$F$4503,_imp!$C$2755))</f>
        <v/>
      </c>
      <c r="D2753" s="54">
        <f>IF(_imp!$C$2755="","",INDEX(_imp!$G$4:$G$4503,_imp!$C$2755))</f>
        <v/>
      </c>
      <c r="E2753" s="54">
        <f>IF(_imp!$C$2755="","",INDEX(_imp!$H$4:$H$4503,_imp!$C$2755))</f>
        <v/>
      </c>
      <c r="F2753" s="54">
        <f>IF(_imp!$C$2755="","",INDEX(_imp!$I$4:$I$4503,_imp!$C$2755))</f>
        <v/>
      </c>
      <c r="G2753" s="54">
        <f>IF(_imp!$C$2755="","",INDEX(_imp!$J$4:$J$4503,_imp!$C$2755))</f>
        <v/>
      </c>
      <c r="K2753" s="54">
        <f>IF(_imp!$C$2755="","",INDEX(_imp!$K$4:$K$4503,_imp!$C$2755))</f>
        <v/>
      </c>
    </row>
    <row r="2754">
      <c r="A2754" s="54">
        <f>IF(_imp!$C$2756="","",INDEX(_imp!$D$4:$D$4503,_imp!$C$2756))</f>
        <v/>
      </c>
      <c r="B2754" s="54">
        <f>IF(_imp!$C$2756="","",INDEX(_imp!$E$4:$E$4503,_imp!$C$2756))</f>
        <v/>
      </c>
      <c r="C2754" s="54">
        <f>IF(_imp!$C$2756="","",INDEX(_imp!$F$4:$F$4503,_imp!$C$2756))</f>
        <v/>
      </c>
      <c r="D2754" s="54">
        <f>IF(_imp!$C$2756="","",INDEX(_imp!$G$4:$G$4503,_imp!$C$2756))</f>
        <v/>
      </c>
      <c r="E2754" s="54">
        <f>IF(_imp!$C$2756="","",INDEX(_imp!$H$4:$H$4503,_imp!$C$2756))</f>
        <v/>
      </c>
      <c r="F2754" s="54">
        <f>IF(_imp!$C$2756="","",INDEX(_imp!$I$4:$I$4503,_imp!$C$2756))</f>
        <v/>
      </c>
      <c r="G2754" s="54">
        <f>IF(_imp!$C$2756="","",INDEX(_imp!$J$4:$J$4503,_imp!$C$2756))</f>
        <v/>
      </c>
      <c r="K2754" s="54">
        <f>IF(_imp!$C$2756="","",INDEX(_imp!$K$4:$K$4503,_imp!$C$2756))</f>
        <v/>
      </c>
    </row>
    <row r="2755">
      <c r="A2755" s="54">
        <f>IF(_imp!$C$2757="","",INDEX(_imp!$D$4:$D$4503,_imp!$C$2757))</f>
        <v/>
      </c>
      <c r="B2755" s="54">
        <f>IF(_imp!$C$2757="","",INDEX(_imp!$E$4:$E$4503,_imp!$C$2757))</f>
        <v/>
      </c>
      <c r="C2755" s="54">
        <f>IF(_imp!$C$2757="","",INDEX(_imp!$F$4:$F$4503,_imp!$C$2757))</f>
        <v/>
      </c>
      <c r="D2755" s="54">
        <f>IF(_imp!$C$2757="","",INDEX(_imp!$G$4:$G$4503,_imp!$C$2757))</f>
        <v/>
      </c>
      <c r="E2755" s="54">
        <f>IF(_imp!$C$2757="","",INDEX(_imp!$H$4:$H$4503,_imp!$C$2757))</f>
        <v/>
      </c>
      <c r="F2755" s="54">
        <f>IF(_imp!$C$2757="","",INDEX(_imp!$I$4:$I$4503,_imp!$C$2757))</f>
        <v/>
      </c>
      <c r="G2755" s="54">
        <f>IF(_imp!$C$2757="","",INDEX(_imp!$J$4:$J$4503,_imp!$C$2757))</f>
        <v/>
      </c>
      <c r="K2755" s="54">
        <f>IF(_imp!$C$2757="","",INDEX(_imp!$K$4:$K$4503,_imp!$C$2757))</f>
        <v/>
      </c>
    </row>
    <row r="2756">
      <c r="A2756" s="54">
        <f>IF(_imp!$C$2758="","",INDEX(_imp!$D$4:$D$4503,_imp!$C$2758))</f>
        <v/>
      </c>
      <c r="B2756" s="54">
        <f>IF(_imp!$C$2758="","",INDEX(_imp!$E$4:$E$4503,_imp!$C$2758))</f>
        <v/>
      </c>
      <c r="C2756" s="54">
        <f>IF(_imp!$C$2758="","",INDEX(_imp!$F$4:$F$4503,_imp!$C$2758))</f>
        <v/>
      </c>
      <c r="D2756" s="54">
        <f>IF(_imp!$C$2758="","",INDEX(_imp!$G$4:$G$4503,_imp!$C$2758))</f>
        <v/>
      </c>
      <c r="E2756" s="54">
        <f>IF(_imp!$C$2758="","",INDEX(_imp!$H$4:$H$4503,_imp!$C$2758))</f>
        <v/>
      </c>
      <c r="F2756" s="54">
        <f>IF(_imp!$C$2758="","",INDEX(_imp!$I$4:$I$4503,_imp!$C$2758))</f>
        <v/>
      </c>
      <c r="G2756" s="54">
        <f>IF(_imp!$C$2758="","",INDEX(_imp!$J$4:$J$4503,_imp!$C$2758))</f>
        <v/>
      </c>
      <c r="K2756" s="54">
        <f>IF(_imp!$C$2758="","",INDEX(_imp!$K$4:$K$4503,_imp!$C$2758))</f>
        <v/>
      </c>
    </row>
    <row r="2757">
      <c r="A2757" s="54">
        <f>IF(_imp!$C$2759="","",INDEX(_imp!$D$4:$D$4503,_imp!$C$2759))</f>
        <v/>
      </c>
      <c r="B2757" s="54">
        <f>IF(_imp!$C$2759="","",INDEX(_imp!$E$4:$E$4503,_imp!$C$2759))</f>
        <v/>
      </c>
      <c r="C2757" s="54">
        <f>IF(_imp!$C$2759="","",INDEX(_imp!$F$4:$F$4503,_imp!$C$2759))</f>
        <v/>
      </c>
      <c r="D2757" s="54">
        <f>IF(_imp!$C$2759="","",INDEX(_imp!$G$4:$G$4503,_imp!$C$2759))</f>
        <v/>
      </c>
      <c r="E2757" s="54">
        <f>IF(_imp!$C$2759="","",INDEX(_imp!$H$4:$H$4503,_imp!$C$2759))</f>
        <v/>
      </c>
      <c r="F2757" s="54">
        <f>IF(_imp!$C$2759="","",INDEX(_imp!$I$4:$I$4503,_imp!$C$2759))</f>
        <v/>
      </c>
      <c r="G2757" s="54">
        <f>IF(_imp!$C$2759="","",INDEX(_imp!$J$4:$J$4503,_imp!$C$2759))</f>
        <v/>
      </c>
      <c r="K2757" s="54">
        <f>IF(_imp!$C$2759="","",INDEX(_imp!$K$4:$K$4503,_imp!$C$2759))</f>
        <v/>
      </c>
    </row>
    <row r="2758">
      <c r="A2758" s="54">
        <f>IF(_imp!$C$2760="","",INDEX(_imp!$D$4:$D$4503,_imp!$C$2760))</f>
        <v/>
      </c>
      <c r="B2758" s="54">
        <f>IF(_imp!$C$2760="","",INDEX(_imp!$E$4:$E$4503,_imp!$C$2760))</f>
        <v/>
      </c>
      <c r="C2758" s="54">
        <f>IF(_imp!$C$2760="","",INDEX(_imp!$F$4:$F$4503,_imp!$C$2760))</f>
        <v/>
      </c>
      <c r="D2758" s="54">
        <f>IF(_imp!$C$2760="","",INDEX(_imp!$G$4:$G$4503,_imp!$C$2760))</f>
        <v/>
      </c>
      <c r="E2758" s="54">
        <f>IF(_imp!$C$2760="","",INDEX(_imp!$H$4:$H$4503,_imp!$C$2760))</f>
        <v/>
      </c>
      <c r="F2758" s="54">
        <f>IF(_imp!$C$2760="","",INDEX(_imp!$I$4:$I$4503,_imp!$C$2760))</f>
        <v/>
      </c>
      <c r="G2758" s="54">
        <f>IF(_imp!$C$2760="","",INDEX(_imp!$J$4:$J$4503,_imp!$C$2760))</f>
        <v/>
      </c>
      <c r="K2758" s="54">
        <f>IF(_imp!$C$2760="","",INDEX(_imp!$K$4:$K$4503,_imp!$C$2760))</f>
        <v/>
      </c>
    </row>
    <row r="2759">
      <c r="A2759" s="54">
        <f>IF(_imp!$C$2761="","",INDEX(_imp!$D$4:$D$4503,_imp!$C$2761))</f>
        <v/>
      </c>
      <c r="B2759" s="54">
        <f>IF(_imp!$C$2761="","",INDEX(_imp!$E$4:$E$4503,_imp!$C$2761))</f>
        <v/>
      </c>
      <c r="C2759" s="54">
        <f>IF(_imp!$C$2761="","",INDEX(_imp!$F$4:$F$4503,_imp!$C$2761))</f>
        <v/>
      </c>
      <c r="D2759" s="54">
        <f>IF(_imp!$C$2761="","",INDEX(_imp!$G$4:$G$4503,_imp!$C$2761))</f>
        <v/>
      </c>
      <c r="E2759" s="54">
        <f>IF(_imp!$C$2761="","",INDEX(_imp!$H$4:$H$4503,_imp!$C$2761))</f>
        <v/>
      </c>
      <c r="F2759" s="54">
        <f>IF(_imp!$C$2761="","",INDEX(_imp!$I$4:$I$4503,_imp!$C$2761))</f>
        <v/>
      </c>
      <c r="G2759" s="54">
        <f>IF(_imp!$C$2761="","",INDEX(_imp!$J$4:$J$4503,_imp!$C$2761))</f>
        <v/>
      </c>
      <c r="K2759" s="54">
        <f>IF(_imp!$C$2761="","",INDEX(_imp!$K$4:$K$4503,_imp!$C$2761))</f>
        <v/>
      </c>
    </row>
    <row r="2760">
      <c r="A2760" s="54">
        <f>IF(_imp!$C$2762="","",INDEX(_imp!$D$4:$D$4503,_imp!$C$2762))</f>
        <v/>
      </c>
      <c r="B2760" s="54">
        <f>IF(_imp!$C$2762="","",INDEX(_imp!$E$4:$E$4503,_imp!$C$2762))</f>
        <v/>
      </c>
      <c r="C2760" s="54">
        <f>IF(_imp!$C$2762="","",INDEX(_imp!$F$4:$F$4503,_imp!$C$2762))</f>
        <v/>
      </c>
      <c r="D2760" s="54">
        <f>IF(_imp!$C$2762="","",INDEX(_imp!$G$4:$G$4503,_imp!$C$2762))</f>
        <v/>
      </c>
      <c r="E2760" s="54">
        <f>IF(_imp!$C$2762="","",INDEX(_imp!$H$4:$H$4503,_imp!$C$2762))</f>
        <v/>
      </c>
      <c r="F2760" s="54">
        <f>IF(_imp!$C$2762="","",INDEX(_imp!$I$4:$I$4503,_imp!$C$2762))</f>
        <v/>
      </c>
      <c r="G2760" s="54">
        <f>IF(_imp!$C$2762="","",INDEX(_imp!$J$4:$J$4503,_imp!$C$2762))</f>
        <v/>
      </c>
      <c r="K2760" s="54">
        <f>IF(_imp!$C$2762="","",INDEX(_imp!$K$4:$K$4503,_imp!$C$2762))</f>
        <v/>
      </c>
    </row>
    <row r="2761">
      <c r="A2761" s="54">
        <f>IF(_imp!$C$2763="","",INDEX(_imp!$D$4:$D$4503,_imp!$C$2763))</f>
        <v/>
      </c>
      <c r="B2761" s="54">
        <f>IF(_imp!$C$2763="","",INDEX(_imp!$E$4:$E$4503,_imp!$C$2763))</f>
        <v/>
      </c>
      <c r="C2761" s="54">
        <f>IF(_imp!$C$2763="","",INDEX(_imp!$F$4:$F$4503,_imp!$C$2763))</f>
        <v/>
      </c>
      <c r="D2761" s="54">
        <f>IF(_imp!$C$2763="","",INDEX(_imp!$G$4:$G$4503,_imp!$C$2763))</f>
        <v/>
      </c>
      <c r="E2761" s="54">
        <f>IF(_imp!$C$2763="","",INDEX(_imp!$H$4:$H$4503,_imp!$C$2763))</f>
        <v/>
      </c>
      <c r="F2761" s="54">
        <f>IF(_imp!$C$2763="","",INDEX(_imp!$I$4:$I$4503,_imp!$C$2763))</f>
        <v/>
      </c>
      <c r="G2761" s="54">
        <f>IF(_imp!$C$2763="","",INDEX(_imp!$J$4:$J$4503,_imp!$C$2763))</f>
        <v/>
      </c>
      <c r="K2761" s="54">
        <f>IF(_imp!$C$2763="","",INDEX(_imp!$K$4:$K$4503,_imp!$C$2763))</f>
        <v/>
      </c>
    </row>
    <row r="2762">
      <c r="A2762" s="54">
        <f>IF(_imp!$C$2764="","",INDEX(_imp!$D$4:$D$4503,_imp!$C$2764))</f>
        <v/>
      </c>
      <c r="B2762" s="54">
        <f>IF(_imp!$C$2764="","",INDEX(_imp!$E$4:$E$4503,_imp!$C$2764))</f>
        <v/>
      </c>
      <c r="C2762" s="54">
        <f>IF(_imp!$C$2764="","",INDEX(_imp!$F$4:$F$4503,_imp!$C$2764))</f>
        <v/>
      </c>
      <c r="D2762" s="54">
        <f>IF(_imp!$C$2764="","",INDEX(_imp!$G$4:$G$4503,_imp!$C$2764))</f>
        <v/>
      </c>
      <c r="E2762" s="54">
        <f>IF(_imp!$C$2764="","",INDEX(_imp!$H$4:$H$4503,_imp!$C$2764))</f>
        <v/>
      </c>
      <c r="F2762" s="54">
        <f>IF(_imp!$C$2764="","",INDEX(_imp!$I$4:$I$4503,_imp!$C$2764))</f>
        <v/>
      </c>
      <c r="G2762" s="54">
        <f>IF(_imp!$C$2764="","",INDEX(_imp!$J$4:$J$4503,_imp!$C$2764))</f>
        <v/>
      </c>
      <c r="K2762" s="54">
        <f>IF(_imp!$C$2764="","",INDEX(_imp!$K$4:$K$4503,_imp!$C$2764))</f>
        <v/>
      </c>
    </row>
    <row r="2763">
      <c r="A2763" s="54">
        <f>IF(_imp!$C$2765="","",INDEX(_imp!$D$4:$D$4503,_imp!$C$2765))</f>
        <v/>
      </c>
      <c r="B2763" s="54">
        <f>IF(_imp!$C$2765="","",INDEX(_imp!$E$4:$E$4503,_imp!$C$2765))</f>
        <v/>
      </c>
      <c r="C2763" s="54">
        <f>IF(_imp!$C$2765="","",INDEX(_imp!$F$4:$F$4503,_imp!$C$2765))</f>
        <v/>
      </c>
      <c r="D2763" s="54">
        <f>IF(_imp!$C$2765="","",INDEX(_imp!$G$4:$G$4503,_imp!$C$2765))</f>
        <v/>
      </c>
      <c r="E2763" s="54">
        <f>IF(_imp!$C$2765="","",INDEX(_imp!$H$4:$H$4503,_imp!$C$2765))</f>
        <v/>
      </c>
      <c r="F2763" s="54">
        <f>IF(_imp!$C$2765="","",INDEX(_imp!$I$4:$I$4503,_imp!$C$2765))</f>
        <v/>
      </c>
      <c r="G2763" s="54">
        <f>IF(_imp!$C$2765="","",INDEX(_imp!$J$4:$J$4503,_imp!$C$2765))</f>
        <v/>
      </c>
      <c r="K2763" s="54">
        <f>IF(_imp!$C$2765="","",INDEX(_imp!$K$4:$K$4503,_imp!$C$2765))</f>
        <v/>
      </c>
    </row>
    <row r="2764">
      <c r="A2764" s="54">
        <f>IF(_imp!$C$2766="","",INDEX(_imp!$D$4:$D$4503,_imp!$C$2766))</f>
        <v/>
      </c>
      <c r="B2764" s="54">
        <f>IF(_imp!$C$2766="","",INDEX(_imp!$E$4:$E$4503,_imp!$C$2766))</f>
        <v/>
      </c>
      <c r="C2764" s="54">
        <f>IF(_imp!$C$2766="","",INDEX(_imp!$F$4:$F$4503,_imp!$C$2766))</f>
        <v/>
      </c>
      <c r="D2764" s="54">
        <f>IF(_imp!$C$2766="","",INDEX(_imp!$G$4:$G$4503,_imp!$C$2766))</f>
        <v/>
      </c>
      <c r="E2764" s="54">
        <f>IF(_imp!$C$2766="","",INDEX(_imp!$H$4:$H$4503,_imp!$C$2766))</f>
        <v/>
      </c>
      <c r="F2764" s="54">
        <f>IF(_imp!$C$2766="","",INDEX(_imp!$I$4:$I$4503,_imp!$C$2766))</f>
        <v/>
      </c>
      <c r="G2764" s="54">
        <f>IF(_imp!$C$2766="","",INDEX(_imp!$J$4:$J$4503,_imp!$C$2766))</f>
        <v/>
      </c>
      <c r="K2764" s="54">
        <f>IF(_imp!$C$2766="","",INDEX(_imp!$K$4:$K$4503,_imp!$C$2766))</f>
        <v/>
      </c>
    </row>
    <row r="2765">
      <c r="A2765" s="54">
        <f>IF(_imp!$C$2767="","",INDEX(_imp!$D$4:$D$4503,_imp!$C$2767))</f>
        <v/>
      </c>
      <c r="B2765" s="54">
        <f>IF(_imp!$C$2767="","",INDEX(_imp!$E$4:$E$4503,_imp!$C$2767))</f>
        <v/>
      </c>
      <c r="C2765" s="54">
        <f>IF(_imp!$C$2767="","",INDEX(_imp!$F$4:$F$4503,_imp!$C$2767))</f>
        <v/>
      </c>
      <c r="D2765" s="54">
        <f>IF(_imp!$C$2767="","",INDEX(_imp!$G$4:$G$4503,_imp!$C$2767))</f>
        <v/>
      </c>
      <c r="E2765" s="54">
        <f>IF(_imp!$C$2767="","",INDEX(_imp!$H$4:$H$4503,_imp!$C$2767))</f>
        <v/>
      </c>
      <c r="F2765" s="54">
        <f>IF(_imp!$C$2767="","",INDEX(_imp!$I$4:$I$4503,_imp!$C$2767))</f>
        <v/>
      </c>
      <c r="G2765" s="54">
        <f>IF(_imp!$C$2767="","",INDEX(_imp!$J$4:$J$4503,_imp!$C$2767))</f>
        <v/>
      </c>
      <c r="K2765" s="54">
        <f>IF(_imp!$C$2767="","",INDEX(_imp!$K$4:$K$4503,_imp!$C$2767))</f>
        <v/>
      </c>
    </row>
    <row r="2766">
      <c r="A2766" s="54">
        <f>IF(_imp!$C$2768="","",INDEX(_imp!$D$4:$D$4503,_imp!$C$2768))</f>
        <v/>
      </c>
      <c r="B2766" s="54">
        <f>IF(_imp!$C$2768="","",INDEX(_imp!$E$4:$E$4503,_imp!$C$2768))</f>
        <v/>
      </c>
      <c r="C2766" s="54">
        <f>IF(_imp!$C$2768="","",INDEX(_imp!$F$4:$F$4503,_imp!$C$2768))</f>
        <v/>
      </c>
      <c r="D2766" s="54">
        <f>IF(_imp!$C$2768="","",INDEX(_imp!$G$4:$G$4503,_imp!$C$2768))</f>
        <v/>
      </c>
      <c r="E2766" s="54">
        <f>IF(_imp!$C$2768="","",INDEX(_imp!$H$4:$H$4503,_imp!$C$2768))</f>
        <v/>
      </c>
      <c r="F2766" s="54">
        <f>IF(_imp!$C$2768="","",INDEX(_imp!$I$4:$I$4503,_imp!$C$2768))</f>
        <v/>
      </c>
      <c r="G2766" s="54">
        <f>IF(_imp!$C$2768="","",INDEX(_imp!$J$4:$J$4503,_imp!$C$2768))</f>
        <v/>
      </c>
      <c r="K2766" s="54">
        <f>IF(_imp!$C$2768="","",INDEX(_imp!$K$4:$K$4503,_imp!$C$2768))</f>
        <v/>
      </c>
    </row>
    <row r="2767">
      <c r="A2767" s="54">
        <f>IF(_imp!$C$2769="","",INDEX(_imp!$D$4:$D$4503,_imp!$C$2769))</f>
        <v/>
      </c>
      <c r="B2767" s="54">
        <f>IF(_imp!$C$2769="","",INDEX(_imp!$E$4:$E$4503,_imp!$C$2769))</f>
        <v/>
      </c>
      <c r="C2767" s="54">
        <f>IF(_imp!$C$2769="","",INDEX(_imp!$F$4:$F$4503,_imp!$C$2769))</f>
        <v/>
      </c>
      <c r="D2767" s="54">
        <f>IF(_imp!$C$2769="","",INDEX(_imp!$G$4:$G$4503,_imp!$C$2769))</f>
        <v/>
      </c>
      <c r="E2767" s="54">
        <f>IF(_imp!$C$2769="","",INDEX(_imp!$H$4:$H$4503,_imp!$C$2769))</f>
        <v/>
      </c>
      <c r="F2767" s="54">
        <f>IF(_imp!$C$2769="","",INDEX(_imp!$I$4:$I$4503,_imp!$C$2769))</f>
        <v/>
      </c>
      <c r="G2767" s="54">
        <f>IF(_imp!$C$2769="","",INDEX(_imp!$J$4:$J$4503,_imp!$C$2769))</f>
        <v/>
      </c>
      <c r="K2767" s="54">
        <f>IF(_imp!$C$2769="","",INDEX(_imp!$K$4:$K$4503,_imp!$C$2769))</f>
        <v/>
      </c>
    </row>
    <row r="2768">
      <c r="A2768" s="54">
        <f>IF(_imp!$C$2770="","",INDEX(_imp!$D$4:$D$4503,_imp!$C$2770))</f>
        <v/>
      </c>
      <c r="B2768" s="54">
        <f>IF(_imp!$C$2770="","",INDEX(_imp!$E$4:$E$4503,_imp!$C$2770))</f>
        <v/>
      </c>
      <c r="C2768" s="54">
        <f>IF(_imp!$C$2770="","",INDEX(_imp!$F$4:$F$4503,_imp!$C$2770))</f>
        <v/>
      </c>
      <c r="D2768" s="54">
        <f>IF(_imp!$C$2770="","",INDEX(_imp!$G$4:$G$4503,_imp!$C$2770))</f>
        <v/>
      </c>
      <c r="E2768" s="54">
        <f>IF(_imp!$C$2770="","",INDEX(_imp!$H$4:$H$4503,_imp!$C$2770))</f>
        <v/>
      </c>
      <c r="F2768" s="54">
        <f>IF(_imp!$C$2770="","",INDEX(_imp!$I$4:$I$4503,_imp!$C$2770))</f>
        <v/>
      </c>
      <c r="G2768" s="54">
        <f>IF(_imp!$C$2770="","",INDEX(_imp!$J$4:$J$4503,_imp!$C$2770))</f>
        <v/>
      </c>
      <c r="K2768" s="54">
        <f>IF(_imp!$C$2770="","",INDEX(_imp!$K$4:$K$4503,_imp!$C$2770))</f>
        <v/>
      </c>
    </row>
    <row r="2769">
      <c r="A2769" s="54">
        <f>IF(_imp!$C$2771="","",INDEX(_imp!$D$4:$D$4503,_imp!$C$2771))</f>
        <v/>
      </c>
      <c r="B2769" s="54">
        <f>IF(_imp!$C$2771="","",INDEX(_imp!$E$4:$E$4503,_imp!$C$2771))</f>
        <v/>
      </c>
      <c r="C2769" s="54">
        <f>IF(_imp!$C$2771="","",INDEX(_imp!$F$4:$F$4503,_imp!$C$2771))</f>
        <v/>
      </c>
      <c r="D2769" s="54">
        <f>IF(_imp!$C$2771="","",INDEX(_imp!$G$4:$G$4503,_imp!$C$2771))</f>
        <v/>
      </c>
      <c r="E2769" s="54">
        <f>IF(_imp!$C$2771="","",INDEX(_imp!$H$4:$H$4503,_imp!$C$2771))</f>
        <v/>
      </c>
      <c r="F2769" s="54">
        <f>IF(_imp!$C$2771="","",INDEX(_imp!$I$4:$I$4503,_imp!$C$2771))</f>
        <v/>
      </c>
      <c r="G2769" s="54">
        <f>IF(_imp!$C$2771="","",INDEX(_imp!$J$4:$J$4503,_imp!$C$2771))</f>
        <v/>
      </c>
      <c r="K2769" s="54">
        <f>IF(_imp!$C$2771="","",INDEX(_imp!$K$4:$K$4503,_imp!$C$2771))</f>
        <v/>
      </c>
    </row>
    <row r="2770">
      <c r="A2770" s="54">
        <f>IF(_imp!$C$2772="","",INDEX(_imp!$D$4:$D$4503,_imp!$C$2772))</f>
        <v/>
      </c>
      <c r="B2770" s="54">
        <f>IF(_imp!$C$2772="","",INDEX(_imp!$E$4:$E$4503,_imp!$C$2772))</f>
        <v/>
      </c>
      <c r="C2770" s="54">
        <f>IF(_imp!$C$2772="","",INDEX(_imp!$F$4:$F$4503,_imp!$C$2772))</f>
        <v/>
      </c>
      <c r="D2770" s="54">
        <f>IF(_imp!$C$2772="","",INDEX(_imp!$G$4:$G$4503,_imp!$C$2772))</f>
        <v/>
      </c>
      <c r="E2770" s="54">
        <f>IF(_imp!$C$2772="","",INDEX(_imp!$H$4:$H$4503,_imp!$C$2772))</f>
        <v/>
      </c>
      <c r="F2770" s="54">
        <f>IF(_imp!$C$2772="","",INDEX(_imp!$I$4:$I$4503,_imp!$C$2772))</f>
        <v/>
      </c>
      <c r="G2770" s="54">
        <f>IF(_imp!$C$2772="","",INDEX(_imp!$J$4:$J$4503,_imp!$C$2772))</f>
        <v/>
      </c>
      <c r="K2770" s="54">
        <f>IF(_imp!$C$2772="","",INDEX(_imp!$K$4:$K$4503,_imp!$C$2772))</f>
        <v/>
      </c>
    </row>
    <row r="2771">
      <c r="A2771" s="54">
        <f>IF(_imp!$C$2773="","",INDEX(_imp!$D$4:$D$4503,_imp!$C$2773))</f>
        <v/>
      </c>
      <c r="B2771" s="54">
        <f>IF(_imp!$C$2773="","",INDEX(_imp!$E$4:$E$4503,_imp!$C$2773))</f>
        <v/>
      </c>
      <c r="C2771" s="54">
        <f>IF(_imp!$C$2773="","",INDEX(_imp!$F$4:$F$4503,_imp!$C$2773))</f>
        <v/>
      </c>
      <c r="D2771" s="54">
        <f>IF(_imp!$C$2773="","",INDEX(_imp!$G$4:$G$4503,_imp!$C$2773))</f>
        <v/>
      </c>
      <c r="E2771" s="54">
        <f>IF(_imp!$C$2773="","",INDEX(_imp!$H$4:$H$4503,_imp!$C$2773))</f>
        <v/>
      </c>
      <c r="F2771" s="54">
        <f>IF(_imp!$C$2773="","",INDEX(_imp!$I$4:$I$4503,_imp!$C$2773))</f>
        <v/>
      </c>
      <c r="G2771" s="54">
        <f>IF(_imp!$C$2773="","",INDEX(_imp!$J$4:$J$4503,_imp!$C$2773))</f>
        <v/>
      </c>
      <c r="K2771" s="54">
        <f>IF(_imp!$C$2773="","",INDEX(_imp!$K$4:$K$4503,_imp!$C$2773))</f>
        <v/>
      </c>
    </row>
    <row r="2772">
      <c r="A2772" s="54">
        <f>IF(_imp!$C$2774="","",INDEX(_imp!$D$4:$D$4503,_imp!$C$2774))</f>
        <v/>
      </c>
      <c r="B2772" s="54">
        <f>IF(_imp!$C$2774="","",INDEX(_imp!$E$4:$E$4503,_imp!$C$2774))</f>
        <v/>
      </c>
      <c r="C2772" s="54">
        <f>IF(_imp!$C$2774="","",INDEX(_imp!$F$4:$F$4503,_imp!$C$2774))</f>
        <v/>
      </c>
      <c r="D2772" s="54">
        <f>IF(_imp!$C$2774="","",INDEX(_imp!$G$4:$G$4503,_imp!$C$2774))</f>
        <v/>
      </c>
      <c r="E2772" s="54">
        <f>IF(_imp!$C$2774="","",INDEX(_imp!$H$4:$H$4503,_imp!$C$2774))</f>
        <v/>
      </c>
      <c r="F2772" s="54">
        <f>IF(_imp!$C$2774="","",INDEX(_imp!$I$4:$I$4503,_imp!$C$2774))</f>
        <v/>
      </c>
      <c r="G2772" s="54">
        <f>IF(_imp!$C$2774="","",INDEX(_imp!$J$4:$J$4503,_imp!$C$2774))</f>
        <v/>
      </c>
      <c r="K2772" s="54">
        <f>IF(_imp!$C$2774="","",INDEX(_imp!$K$4:$K$4503,_imp!$C$2774))</f>
        <v/>
      </c>
    </row>
    <row r="2773">
      <c r="A2773" s="54">
        <f>IF(_imp!$C$2775="","",INDEX(_imp!$D$4:$D$4503,_imp!$C$2775))</f>
        <v/>
      </c>
      <c r="B2773" s="54">
        <f>IF(_imp!$C$2775="","",INDEX(_imp!$E$4:$E$4503,_imp!$C$2775))</f>
        <v/>
      </c>
      <c r="C2773" s="54">
        <f>IF(_imp!$C$2775="","",INDEX(_imp!$F$4:$F$4503,_imp!$C$2775))</f>
        <v/>
      </c>
      <c r="D2773" s="54">
        <f>IF(_imp!$C$2775="","",INDEX(_imp!$G$4:$G$4503,_imp!$C$2775))</f>
        <v/>
      </c>
      <c r="E2773" s="54">
        <f>IF(_imp!$C$2775="","",INDEX(_imp!$H$4:$H$4503,_imp!$C$2775))</f>
        <v/>
      </c>
      <c r="F2773" s="54">
        <f>IF(_imp!$C$2775="","",INDEX(_imp!$I$4:$I$4503,_imp!$C$2775))</f>
        <v/>
      </c>
      <c r="G2773" s="54">
        <f>IF(_imp!$C$2775="","",INDEX(_imp!$J$4:$J$4503,_imp!$C$2775))</f>
        <v/>
      </c>
      <c r="K2773" s="54">
        <f>IF(_imp!$C$2775="","",INDEX(_imp!$K$4:$K$4503,_imp!$C$2775))</f>
        <v/>
      </c>
    </row>
    <row r="2774">
      <c r="A2774" s="54">
        <f>IF(_imp!$C$2776="","",INDEX(_imp!$D$4:$D$4503,_imp!$C$2776))</f>
        <v/>
      </c>
      <c r="B2774" s="54">
        <f>IF(_imp!$C$2776="","",INDEX(_imp!$E$4:$E$4503,_imp!$C$2776))</f>
        <v/>
      </c>
      <c r="C2774" s="54">
        <f>IF(_imp!$C$2776="","",INDEX(_imp!$F$4:$F$4503,_imp!$C$2776))</f>
        <v/>
      </c>
      <c r="D2774" s="54">
        <f>IF(_imp!$C$2776="","",INDEX(_imp!$G$4:$G$4503,_imp!$C$2776))</f>
        <v/>
      </c>
      <c r="E2774" s="54">
        <f>IF(_imp!$C$2776="","",INDEX(_imp!$H$4:$H$4503,_imp!$C$2776))</f>
        <v/>
      </c>
      <c r="F2774" s="54">
        <f>IF(_imp!$C$2776="","",INDEX(_imp!$I$4:$I$4503,_imp!$C$2776))</f>
        <v/>
      </c>
      <c r="G2774" s="54">
        <f>IF(_imp!$C$2776="","",INDEX(_imp!$J$4:$J$4503,_imp!$C$2776))</f>
        <v/>
      </c>
      <c r="K2774" s="54">
        <f>IF(_imp!$C$2776="","",INDEX(_imp!$K$4:$K$4503,_imp!$C$2776))</f>
        <v/>
      </c>
    </row>
    <row r="2775">
      <c r="A2775" s="54">
        <f>IF(_imp!$C$2777="","",INDEX(_imp!$D$4:$D$4503,_imp!$C$2777))</f>
        <v/>
      </c>
      <c r="B2775" s="54">
        <f>IF(_imp!$C$2777="","",INDEX(_imp!$E$4:$E$4503,_imp!$C$2777))</f>
        <v/>
      </c>
      <c r="C2775" s="54">
        <f>IF(_imp!$C$2777="","",INDEX(_imp!$F$4:$F$4503,_imp!$C$2777))</f>
        <v/>
      </c>
      <c r="D2775" s="54">
        <f>IF(_imp!$C$2777="","",INDEX(_imp!$G$4:$G$4503,_imp!$C$2777))</f>
        <v/>
      </c>
      <c r="E2775" s="54">
        <f>IF(_imp!$C$2777="","",INDEX(_imp!$H$4:$H$4503,_imp!$C$2777))</f>
        <v/>
      </c>
      <c r="F2775" s="54">
        <f>IF(_imp!$C$2777="","",INDEX(_imp!$I$4:$I$4503,_imp!$C$2777))</f>
        <v/>
      </c>
      <c r="G2775" s="54">
        <f>IF(_imp!$C$2777="","",INDEX(_imp!$J$4:$J$4503,_imp!$C$2777))</f>
        <v/>
      </c>
      <c r="K2775" s="54">
        <f>IF(_imp!$C$2777="","",INDEX(_imp!$K$4:$K$4503,_imp!$C$2777))</f>
        <v/>
      </c>
    </row>
    <row r="2776">
      <c r="A2776" s="54">
        <f>IF(_imp!$C$2778="","",INDEX(_imp!$D$4:$D$4503,_imp!$C$2778))</f>
        <v/>
      </c>
      <c r="B2776" s="54">
        <f>IF(_imp!$C$2778="","",INDEX(_imp!$E$4:$E$4503,_imp!$C$2778))</f>
        <v/>
      </c>
      <c r="C2776" s="54">
        <f>IF(_imp!$C$2778="","",INDEX(_imp!$F$4:$F$4503,_imp!$C$2778))</f>
        <v/>
      </c>
      <c r="D2776" s="54">
        <f>IF(_imp!$C$2778="","",INDEX(_imp!$G$4:$G$4503,_imp!$C$2778))</f>
        <v/>
      </c>
      <c r="E2776" s="54">
        <f>IF(_imp!$C$2778="","",INDEX(_imp!$H$4:$H$4503,_imp!$C$2778))</f>
        <v/>
      </c>
      <c r="F2776" s="54">
        <f>IF(_imp!$C$2778="","",INDEX(_imp!$I$4:$I$4503,_imp!$C$2778))</f>
        <v/>
      </c>
      <c r="G2776" s="54">
        <f>IF(_imp!$C$2778="","",INDEX(_imp!$J$4:$J$4503,_imp!$C$2778))</f>
        <v/>
      </c>
      <c r="K2776" s="54">
        <f>IF(_imp!$C$2778="","",INDEX(_imp!$K$4:$K$4503,_imp!$C$2778))</f>
        <v/>
      </c>
    </row>
    <row r="2777">
      <c r="A2777" s="54">
        <f>IF(_imp!$C$2779="","",INDEX(_imp!$D$4:$D$4503,_imp!$C$2779))</f>
        <v/>
      </c>
      <c r="B2777" s="54">
        <f>IF(_imp!$C$2779="","",INDEX(_imp!$E$4:$E$4503,_imp!$C$2779))</f>
        <v/>
      </c>
      <c r="C2777" s="54">
        <f>IF(_imp!$C$2779="","",INDEX(_imp!$F$4:$F$4503,_imp!$C$2779))</f>
        <v/>
      </c>
      <c r="D2777" s="54">
        <f>IF(_imp!$C$2779="","",INDEX(_imp!$G$4:$G$4503,_imp!$C$2779))</f>
        <v/>
      </c>
      <c r="E2777" s="54">
        <f>IF(_imp!$C$2779="","",INDEX(_imp!$H$4:$H$4503,_imp!$C$2779))</f>
        <v/>
      </c>
      <c r="F2777" s="54">
        <f>IF(_imp!$C$2779="","",INDEX(_imp!$I$4:$I$4503,_imp!$C$2779))</f>
        <v/>
      </c>
      <c r="G2777" s="54">
        <f>IF(_imp!$C$2779="","",INDEX(_imp!$J$4:$J$4503,_imp!$C$2779))</f>
        <v/>
      </c>
      <c r="K2777" s="54">
        <f>IF(_imp!$C$2779="","",INDEX(_imp!$K$4:$K$4503,_imp!$C$2779))</f>
        <v/>
      </c>
    </row>
    <row r="2778">
      <c r="A2778" s="54">
        <f>IF(_imp!$C$2780="","",INDEX(_imp!$D$4:$D$4503,_imp!$C$2780))</f>
        <v/>
      </c>
      <c r="B2778" s="54">
        <f>IF(_imp!$C$2780="","",INDEX(_imp!$E$4:$E$4503,_imp!$C$2780))</f>
        <v/>
      </c>
      <c r="C2778" s="54">
        <f>IF(_imp!$C$2780="","",INDEX(_imp!$F$4:$F$4503,_imp!$C$2780))</f>
        <v/>
      </c>
      <c r="D2778" s="54">
        <f>IF(_imp!$C$2780="","",INDEX(_imp!$G$4:$G$4503,_imp!$C$2780))</f>
        <v/>
      </c>
      <c r="E2778" s="54">
        <f>IF(_imp!$C$2780="","",INDEX(_imp!$H$4:$H$4503,_imp!$C$2780))</f>
        <v/>
      </c>
      <c r="F2778" s="54">
        <f>IF(_imp!$C$2780="","",INDEX(_imp!$I$4:$I$4503,_imp!$C$2780))</f>
        <v/>
      </c>
      <c r="G2778" s="54">
        <f>IF(_imp!$C$2780="","",INDEX(_imp!$J$4:$J$4503,_imp!$C$2780))</f>
        <v/>
      </c>
      <c r="K2778" s="54">
        <f>IF(_imp!$C$2780="","",INDEX(_imp!$K$4:$K$4503,_imp!$C$2780))</f>
        <v/>
      </c>
    </row>
    <row r="2779">
      <c r="A2779" s="54">
        <f>IF(_imp!$C$2781="","",INDEX(_imp!$D$4:$D$4503,_imp!$C$2781))</f>
        <v/>
      </c>
      <c r="B2779" s="54">
        <f>IF(_imp!$C$2781="","",INDEX(_imp!$E$4:$E$4503,_imp!$C$2781))</f>
        <v/>
      </c>
      <c r="C2779" s="54">
        <f>IF(_imp!$C$2781="","",INDEX(_imp!$F$4:$F$4503,_imp!$C$2781))</f>
        <v/>
      </c>
      <c r="D2779" s="54">
        <f>IF(_imp!$C$2781="","",INDEX(_imp!$G$4:$G$4503,_imp!$C$2781))</f>
        <v/>
      </c>
      <c r="E2779" s="54">
        <f>IF(_imp!$C$2781="","",INDEX(_imp!$H$4:$H$4503,_imp!$C$2781))</f>
        <v/>
      </c>
      <c r="F2779" s="54">
        <f>IF(_imp!$C$2781="","",INDEX(_imp!$I$4:$I$4503,_imp!$C$2781))</f>
        <v/>
      </c>
      <c r="G2779" s="54">
        <f>IF(_imp!$C$2781="","",INDEX(_imp!$J$4:$J$4503,_imp!$C$2781))</f>
        <v/>
      </c>
      <c r="K2779" s="54">
        <f>IF(_imp!$C$2781="","",INDEX(_imp!$K$4:$K$4503,_imp!$C$2781))</f>
        <v/>
      </c>
    </row>
    <row r="2780">
      <c r="A2780" s="54">
        <f>IF(_imp!$C$2782="","",INDEX(_imp!$D$4:$D$4503,_imp!$C$2782))</f>
        <v/>
      </c>
      <c r="B2780" s="54">
        <f>IF(_imp!$C$2782="","",INDEX(_imp!$E$4:$E$4503,_imp!$C$2782))</f>
        <v/>
      </c>
      <c r="C2780" s="54">
        <f>IF(_imp!$C$2782="","",INDEX(_imp!$F$4:$F$4503,_imp!$C$2782))</f>
        <v/>
      </c>
      <c r="D2780" s="54">
        <f>IF(_imp!$C$2782="","",INDEX(_imp!$G$4:$G$4503,_imp!$C$2782))</f>
        <v/>
      </c>
      <c r="E2780" s="54">
        <f>IF(_imp!$C$2782="","",INDEX(_imp!$H$4:$H$4503,_imp!$C$2782))</f>
        <v/>
      </c>
      <c r="F2780" s="54">
        <f>IF(_imp!$C$2782="","",INDEX(_imp!$I$4:$I$4503,_imp!$C$2782))</f>
        <v/>
      </c>
      <c r="G2780" s="54">
        <f>IF(_imp!$C$2782="","",INDEX(_imp!$J$4:$J$4503,_imp!$C$2782))</f>
        <v/>
      </c>
      <c r="K2780" s="54">
        <f>IF(_imp!$C$2782="","",INDEX(_imp!$K$4:$K$4503,_imp!$C$2782))</f>
        <v/>
      </c>
    </row>
    <row r="2781">
      <c r="A2781" s="54">
        <f>IF(_imp!$C$2783="","",INDEX(_imp!$D$4:$D$4503,_imp!$C$2783))</f>
        <v/>
      </c>
      <c r="B2781" s="54">
        <f>IF(_imp!$C$2783="","",INDEX(_imp!$E$4:$E$4503,_imp!$C$2783))</f>
        <v/>
      </c>
      <c r="C2781" s="54">
        <f>IF(_imp!$C$2783="","",INDEX(_imp!$F$4:$F$4503,_imp!$C$2783))</f>
        <v/>
      </c>
      <c r="D2781" s="54">
        <f>IF(_imp!$C$2783="","",INDEX(_imp!$G$4:$G$4503,_imp!$C$2783))</f>
        <v/>
      </c>
      <c r="E2781" s="54">
        <f>IF(_imp!$C$2783="","",INDEX(_imp!$H$4:$H$4503,_imp!$C$2783))</f>
        <v/>
      </c>
      <c r="F2781" s="54">
        <f>IF(_imp!$C$2783="","",INDEX(_imp!$I$4:$I$4503,_imp!$C$2783))</f>
        <v/>
      </c>
      <c r="G2781" s="54">
        <f>IF(_imp!$C$2783="","",INDEX(_imp!$J$4:$J$4503,_imp!$C$2783))</f>
        <v/>
      </c>
      <c r="K2781" s="54">
        <f>IF(_imp!$C$2783="","",INDEX(_imp!$K$4:$K$4503,_imp!$C$2783))</f>
        <v/>
      </c>
    </row>
    <row r="2782">
      <c r="A2782" s="54">
        <f>IF(_imp!$C$2784="","",INDEX(_imp!$D$4:$D$4503,_imp!$C$2784))</f>
        <v/>
      </c>
      <c r="B2782" s="54">
        <f>IF(_imp!$C$2784="","",INDEX(_imp!$E$4:$E$4503,_imp!$C$2784))</f>
        <v/>
      </c>
      <c r="C2782" s="54">
        <f>IF(_imp!$C$2784="","",INDEX(_imp!$F$4:$F$4503,_imp!$C$2784))</f>
        <v/>
      </c>
      <c r="D2782" s="54">
        <f>IF(_imp!$C$2784="","",INDEX(_imp!$G$4:$G$4503,_imp!$C$2784))</f>
        <v/>
      </c>
      <c r="E2782" s="54">
        <f>IF(_imp!$C$2784="","",INDEX(_imp!$H$4:$H$4503,_imp!$C$2784))</f>
        <v/>
      </c>
      <c r="F2782" s="54">
        <f>IF(_imp!$C$2784="","",INDEX(_imp!$I$4:$I$4503,_imp!$C$2784))</f>
        <v/>
      </c>
      <c r="G2782" s="54">
        <f>IF(_imp!$C$2784="","",INDEX(_imp!$J$4:$J$4503,_imp!$C$2784))</f>
        <v/>
      </c>
      <c r="K2782" s="54">
        <f>IF(_imp!$C$2784="","",INDEX(_imp!$K$4:$K$4503,_imp!$C$2784))</f>
        <v/>
      </c>
    </row>
    <row r="2783">
      <c r="A2783" s="54">
        <f>IF(_imp!$C$2785="","",INDEX(_imp!$D$4:$D$4503,_imp!$C$2785))</f>
        <v/>
      </c>
      <c r="B2783" s="54">
        <f>IF(_imp!$C$2785="","",INDEX(_imp!$E$4:$E$4503,_imp!$C$2785))</f>
        <v/>
      </c>
      <c r="C2783" s="54">
        <f>IF(_imp!$C$2785="","",INDEX(_imp!$F$4:$F$4503,_imp!$C$2785))</f>
        <v/>
      </c>
      <c r="D2783" s="54">
        <f>IF(_imp!$C$2785="","",INDEX(_imp!$G$4:$G$4503,_imp!$C$2785))</f>
        <v/>
      </c>
      <c r="E2783" s="54">
        <f>IF(_imp!$C$2785="","",INDEX(_imp!$H$4:$H$4503,_imp!$C$2785))</f>
        <v/>
      </c>
      <c r="F2783" s="54">
        <f>IF(_imp!$C$2785="","",INDEX(_imp!$I$4:$I$4503,_imp!$C$2785))</f>
        <v/>
      </c>
      <c r="G2783" s="54">
        <f>IF(_imp!$C$2785="","",INDEX(_imp!$J$4:$J$4503,_imp!$C$2785))</f>
        <v/>
      </c>
      <c r="K2783" s="54">
        <f>IF(_imp!$C$2785="","",INDEX(_imp!$K$4:$K$4503,_imp!$C$2785))</f>
        <v/>
      </c>
    </row>
    <row r="2784">
      <c r="A2784" s="54">
        <f>IF(_imp!$C$2786="","",INDEX(_imp!$D$4:$D$4503,_imp!$C$2786))</f>
        <v/>
      </c>
      <c r="B2784" s="54">
        <f>IF(_imp!$C$2786="","",INDEX(_imp!$E$4:$E$4503,_imp!$C$2786))</f>
        <v/>
      </c>
      <c r="C2784" s="54">
        <f>IF(_imp!$C$2786="","",INDEX(_imp!$F$4:$F$4503,_imp!$C$2786))</f>
        <v/>
      </c>
      <c r="D2784" s="54">
        <f>IF(_imp!$C$2786="","",INDEX(_imp!$G$4:$G$4503,_imp!$C$2786))</f>
        <v/>
      </c>
      <c r="E2784" s="54">
        <f>IF(_imp!$C$2786="","",INDEX(_imp!$H$4:$H$4503,_imp!$C$2786))</f>
        <v/>
      </c>
      <c r="F2784" s="54">
        <f>IF(_imp!$C$2786="","",INDEX(_imp!$I$4:$I$4503,_imp!$C$2786))</f>
        <v/>
      </c>
      <c r="G2784" s="54">
        <f>IF(_imp!$C$2786="","",INDEX(_imp!$J$4:$J$4503,_imp!$C$2786))</f>
        <v/>
      </c>
      <c r="K2784" s="54">
        <f>IF(_imp!$C$2786="","",INDEX(_imp!$K$4:$K$4503,_imp!$C$2786))</f>
        <v/>
      </c>
    </row>
    <row r="2785">
      <c r="A2785" s="54">
        <f>IF(_imp!$C$2787="","",INDEX(_imp!$D$4:$D$4503,_imp!$C$2787))</f>
        <v/>
      </c>
      <c r="B2785" s="54">
        <f>IF(_imp!$C$2787="","",INDEX(_imp!$E$4:$E$4503,_imp!$C$2787))</f>
        <v/>
      </c>
      <c r="C2785" s="54">
        <f>IF(_imp!$C$2787="","",INDEX(_imp!$F$4:$F$4503,_imp!$C$2787))</f>
        <v/>
      </c>
      <c r="D2785" s="54">
        <f>IF(_imp!$C$2787="","",INDEX(_imp!$G$4:$G$4503,_imp!$C$2787))</f>
        <v/>
      </c>
      <c r="E2785" s="54">
        <f>IF(_imp!$C$2787="","",INDEX(_imp!$H$4:$H$4503,_imp!$C$2787))</f>
        <v/>
      </c>
      <c r="F2785" s="54">
        <f>IF(_imp!$C$2787="","",INDEX(_imp!$I$4:$I$4503,_imp!$C$2787))</f>
        <v/>
      </c>
      <c r="G2785" s="54">
        <f>IF(_imp!$C$2787="","",INDEX(_imp!$J$4:$J$4503,_imp!$C$2787))</f>
        <v/>
      </c>
      <c r="K2785" s="54">
        <f>IF(_imp!$C$2787="","",INDEX(_imp!$K$4:$K$4503,_imp!$C$2787))</f>
        <v/>
      </c>
    </row>
    <row r="2786">
      <c r="A2786" s="54">
        <f>IF(_imp!$C$2788="","",INDEX(_imp!$D$4:$D$4503,_imp!$C$2788))</f>
        <v/>
      </c>
      <c r="B2786" s="54">
        <f>IF(_imp!$C$2788="","",INDEX(_imp!$E$4:$E$4503,_imp!$C$2788))</f>
        <v/>
      </c>
      <c r="C2786" s="54">
        <f>IF(_imp!$C$2788="","",INDEX(_imp!$F$4:$F$4503,_imp!$C$2788))</f>
        <v/>
      </c>
      <c r="D2786" s="54">
        <f>IF(_imp!$C$2788="","",INDEX(_imp!$G$4:$G$4503,_imp!$C$2788))</f>
        <v/>
      </c>
      <c r="E2786" s="54">
        <f>IF(_imp!$C$2788="","",INDEX(_imp!$H$4:$H$4503,_imp!$C$2788))</f>
        <v/>
      </c>
      <c r="F2786" s="54">
        <f>IF(_imp!$C$2788="","",INDEX(_imp!$I$4:$I$4503,_imp!$C$2788))</f>
        <v/>
      </c>
      <c r="G2786" s="54">
        <f>IF(_imp!$C$2788="","",INDEX(_imp!$J$4:$J$4503,_imp!$C$2788))</f>
        <v/>
      </c>
      <c r="K2786" s="54">
        <f>IF(_imp!$C$2788="","",INDEX(_imp!$K$4:$K$4503,_imp!$C$2788))</f>
        <v/>
      </c>
    </row>
    <row r="2787">
      <c r="A2787" s="54">
        <f>IF(_imp!$C$2789="","",INDEX(_imp!$D$4:$D$4503,_imp!$C$2789))</f>
        <v/>
      </c>
      <c r="B2787" s="54">
        <f>IF(_imp!$C$2789="","",INDEX(_imp!$E$4:$E$4503,_imp!$C$2789))</f>
        <v/>
      </c>
      <c r="C2787" s="54">
        <f>IF(_imp!$C$2789="","",INDEX(_imp!$F$4:$F$4503,_imp!$C$2789))</f>
        <v/>
      </c>
      <c r="D2787" s="54">
        <f>IF(_imp!$C$2789="","",INDEX(_imp!$G$4:$G$4503,_imp!$C$2789))</f>
        <v/>
      </c>
      <c r="E2787" s="54">
        <f>IF(_imp!$C$2789="","",INDEX(_imp!$H$4:$H$4503,_imp!$C$2789))</f>
        <v/>
      </c>
      <c r="F2787" s="54">
        <f>IF(_imp!$C$2789="","",INDEX(_imp!$I$4:$I$4503,_imp!$C$2789))</f>
        <v/>
      </c>
      <c r="G2787" s="54">
        <f>IF(_imp!$C$2789="","",INDEX(_imp!$J$4:$J$4503,_imp!$C$2789))</f>
        <v/>
      </c>
      <c r="K2787" s="54">
        <f>IF(_imp!$C$2789="","",INDEX(_imp!$K$4:$K$4503,_imp!$C$2789))</f>
        <v/>
      </c>
    </row>
    <row r="2788">
      <c r="A2788" s="54">
        <f>IF(_imp!$C$2790="","",INDEX(_imp!$D$4:$D$4503,_imp!$C$2790))</f>
        <v/>
      </c>
      <c r="B2788" s="54">
        <f>IF(_imp!$C$2790="","",INDEX(_imp!$E$4:$E$4503,_imp!$C$2790))</f>
        <v/>
      </c>
      <c r="C2788" s="54">
        <f>IF(_imp!$C$2790="","",INDEX(_imp!$F$4:$F$4503,_imp!$C$2790))</f>
        <v/>
      </c>
      <c r="D2788" s="54">
        <f>IF(_imp!$C$2790="","",INDEX(_imp!$G$4:$G$4503,_imp!$C$2790))</f>
        <v/>
      </c>
      <c r="E2788" s="54">
        <f>IF(_imp!$C$2790="","",INDEX(_imp!$H$4:$H$4503,_imp!$C$2790))</f>
        <v/>
      </c>
      <c r="F2788" s="54">
        <f>IF(_imp!$C$2790="","",INDEX(_imp!$I$4:$I$4503,_imp!$C$2790))</f>
        <v/>
      </c>
      <c r="G2788" s="54">
        <f>IF(_imp!$C$2790="","",INDEX(_imp!$J$4:$J$4503,_imp!$C$2790))</f>
        <v/>
      </c>
      <c r="K2788" s="54">
        <f>IF(_imp!$C$2790="","",INDEX(_imp!$K$4:$K$4503,_imp!$C$2790))</f>
        <v/>
      </c>
    </row>
    <row r="2789">
      <c r="A2789" s="54">
        <f>IF(_imp!$C$2791="","",INDEX(_imp!$D$4:$D$4503,_imp!$C$2791))</f>
        <v/>
      </c>
      <c r="B2789" s="54">
        <f>IF(_imp!$C$2791="","",INDEX(_imp!$E$4:$E$4503,_imp!$C$2791))</f>
        <v/>
      </c>
      <c r="C2789" s="54">
        <f>IF(_imp!$C$2791="","",INDEX(_imp!$F$4:$F$4503,_imp!$C$2791))</f>
        <v/>
      </c>
      <c r="D2789" s="54">
        <f>IF(_imp!$C$2791="","",INDEX(_imp!$G$4:$G$4503,_imp!$C$2791))</f>
        <v/>
      </c>
      <c r="E2789" s="54">
        <f>IF(_imp!$C$2791="","",INDEX(_imp!$H$4:$H$4503,_imp!$C$2791))</f>
        <v/>
      </c>
      <c r="F2789" s="54">
        <f>IF(_imp!$C$2791="","",INDEX(_imp!$I$4:$I$4503,_imp!$C$2791))</f>
        <v/>
      </c>
      <c r="G2789" s="54">
        <f>IF(_imp!$C$2791="","",INDEX(_imp!$J$4:$J$4503,_imp!$C$2791))</f>
        <v/>
      </c>
      <c r="K2789" s="54">
        <f>IF(_imp!$C$2791="","",INDEX(_imp!$K$4:$K$4503,_imp!$C$2791))</f>
        <v/>
      </c>
    </row>
    <row r="2790">
      <c r="A2790" s="54">
        <f>IF(_imp!$C$2792="","",INDEX(_imp!$D$4:$D$4503,_imp!$C$2792))</f>
        <v/>
      </c>
      <c r="B2790" s="54">
        <f>IF(_imp!$C$2792="","",INDEX(_imp!$E$4:$E$4503,_imp!$C$2792))</f>
        <v/>
      </c>
      <c r="C2790" s="54">
        <f>IF(_imp!$C$2792="","",INDEX(_imp!$F$4:$F$4503,_imp!$C$2792))</f>
        <v/>
      </c>
      <c r="D2790" s="54">
        <f>IF(_imp!$C$2792="","",INDEX(_imp!$G$4:$G$4503,_imp!$C$2792))</f>
        <v/>
      </c>
      <c r="E2790" s="54">
        <f>IF(_imp!$C$2792="","",INDEX(_imp!$H$4:$H$4503,_imp!$C$2792))</f>
        <v/>
      </c>
      <c r="F2790" s="54">
        <f>IF(_imp!$C$2792="","",INDEX(_imp!$I$4:$I$4503,_imp!$C$2792))</f>
        <v/>
      </c>
      <c r="G2790" s="54">
        <f>IF(_imp!$C$2792="","",INDEX(_imp!$J$4:$J$4503,_imp!$C$2792))</f>
        <v/>
      </c>
      <c r="K2790" s="54">
        <f>IF(_imp!$C$2792="","",INDEX(_imp!$K$4:$K$4503,_imp!$C$2792))</f>
        <v/>
      </c>
    </row>
    <row r="2791">
      <c r="A2791" s="54">
        <f>IF(_imp!$C$2793="","",INDEX(_imp!$D$4:$D$4503,_imp!$C$2793))</f>
        <v/>
      </c>
      <c r="B2791" s="54">
        <f>IF(_imp!$C$2793="","",INDEX(_imp!$E$4:$E$4503,_imp!$C$2793))</f>
        <v/>
      </c>
      <c r="C2791" s="54">
        <f>IF(_imp!$C$2793="","",INDEX(_imp!$F$4:$F$4503,_imp!$C$2793))</f>
        <v/>
      </c>
      <c r="D2791" s="54">
        <f>IF(_imp!$C$2793="","",INDEX(_imp!$G$4:$G$4503,_imp!$C$2793))</f>
        <v/>
      </c>
      <c r="E2791" s="54">
        <f>IF(_imp!$C$2793="","",INDEX(_imp!$H$4:$H$4503,_imp!$C$2793))</f>
        <v/>
      </c>
      <c r="F2791" s="54">
        <f>IF(_imp!$C$2793="","",INDEX(_imp!$I$4:$I$4503,_imp!$C$2793))</f>
        <v/>
      </c>
      <c r="G2791" s="54">
        <f>IF(_imp!$C$2793="","",INDEX(_imp!$J$4:$J$4503,_imp!$C$2793))</f>
        <v/>
      </c>
      <c r="K2791" s="54">
        <f>IF(_imp!$C$2793="","",INDEX(_imp!$K$4:$K$4503,_imp!$C$2793))</f>
        <v/>
      </c>
    </row>
    <row r="2792">
      <c r="A2792" s="54">
        <f>IF(_imp!$C$2794="","",INDEX(_imp!$D$4:$D$4503,_imp!$C$2794))</f>
        <v/>
      </c>
      <c r="B2792" s="54">
        <f>IF(_imp!$C$2794="","",INDEX(_imp!$E$4:$E$4503,_imp!$C$2794))</f>
        <v/>
      </c>
      <c r="C2792" s="54">
        <f>IF(_imp!$C$2794="","",INDEX(_imp!$F$4:$F$4503,_imp!$C$2794))</f>
        <v/>
      </c>
      <c r="D2792" s="54">
        <f>IF(_imp!$C$2794="","",INDEX(_imp!$G$4:$G$4503,_imp!$C$2794))</f>
        <v/>
      </c>
      <c r="E2792" s="54">
        <f>IF(_imp!$C$2794="","",INDEX(_imp!$H$4:$H$4503,_imp!$C$2794))</f>
        <v/>
      </c>
      <c r="F2792" s="54">
        <f>IF(_imp!$C$2794="","",INDEX(_imp!$I$4:$I$4503,_imp!$C$2794))</f>
        <v/>
      </c>
      <c r="G2792" s="54">
        <f>IF(_imp!$C$2794="","",INDEX(_imp!$J$4:$J$4503,_imp!$C$2794))</f>
        <v/>
      </c>
      <c r="K2792" s="54">
        <f>IF(_imp!$C$2794="","",INDEX(_imp!$K$4:$K$4503,_imp!$C$2794))</f>
        <v/>
      </c>
    </row>
    <row r="2793">
      <c r="A2793" s="54">
        <f>IF(_imp!$C$2795="","",INDEX(_imp!$D$4:$D$4503,_imp!$C$2795))</f>
        <v/>
      </c>
      <c r="B2793" s="54">
        <f>IF(_imp!$C$2795="","",INDEX(_imp!$E$4:$E$4503,_imp!$C$2795))</f>
        <v/>
      </c>
      <c r="C2793" s="54">
        <f>IF(_imp!$C$2795="","",INDEX(_imp!$F$4:$F$4503,_imp!$C$2795))</f>
        <v/>
      </c>
      <c r="D2793" s="54">
        <f>IF(_imp!$C$2795="","",INDEX(_imp!$G$4:$G$4503,_imp!$C$2795))</f>
        <v/>
      </c>
      <c r="E2793" s="54">
        <f>IF(_imp!$C$2795="","",INDEX(_imp!$H$4:$H$4503,_imp!$C$2795))</f>
        <v/>
      </c>
      <c r="F2793" s="54">
        <f>IF(_imp!$C$2795="","",INDEX(_imp!$I$4:$I$4503,_imp!$C$2795))</f>
        <v/>
      </c>
      <c r="G2793" s="54">
        <f>IF(_imp!$C$2795="","",INDEX(_imp!$J$4:$J$4503,_imp!$C$2795))</f>
        <v/>
      </c>
      <c r="K2793" s="54">
        <f>IF(_imp!$C$2795="","",INDEX(_imp!$K$4:$K$4503,_imp!$C$2795))</f>
        <v/>
      </c>
    </row>
    <row r="2794">
      <c r="A2794" s="54">
        <f>IF(_imp!$C$2796="","",INDEX(_imp!$D$4:$D$4503,_imp!$C$2796))</f>
        <v/>
      </c>
      <c r="B2794" s="54">
        <f>IF(_imp!$C$2796="","",INDEX(_imp!$E$4:$E$4503,_imp!$C$2796))</f>
        <v/>
      </c>
      <c r="C2794" s="54">
        <f>IF(_imp!$C$2796="","",INDEX(_imp!$F$4:$F$4503,_imp!$C$2796))</f>
        <v/>
      </c>
      <c r="D2794" s="54">
        <f>IF(_imp!$C$2796="","",INDEX(_imp!$G$4:$G$4503,_imp!$C$2796))</f>
        <v/>
      </c>
      <c r="E2794" s="54">
        <f>IF(_imp!$C$2796="","",INDEX(_imp!$H$4:$H$4503,_imp!$C$2796))</f>
        <v/>
      </c>
      <c r="F2794" s="54">
        <f>IF(_imp!$C$2796="","",INDEX(_imp!$I$4:$I$4503,_imp!$C$2796))</f>
        <v/>
      </c>
      <c r="G2794" s="54">
        <f>IF(_imp!$C$2796="","",INDEX(_imp!$J$4:$J$4503,_imp!$C$2796))</f>
        <v/>
      </c>
      <c r="K2794" s="54">
        <f>IF(_imp!$C$2796="","",INDEX(_imp!$K$4:$K$4503,_imp!$C$2796))</f>
        <v/>
      </c>
    </row>
    <row r="2795">
      <c r="A2795" s="54">
        <f>IF(_imp!$C$2797="","",INDEX(_imp!$D$4:$D$4503,_imp!$C$2797))</f>
        <v/>
      </c>
      <c r="B2795" s="54">
        <f>IF(_imp!$C$2797="","",INDEX(_imp!$E$4:$E$4503,_imp!$C$2797))</f>
        <v/>
      </c>
      <c r="C2795" s="54">
        <f>IF(_imp!$C$2797="","",INDEX(_imp!$F$4:$F$4503,_imp!$C$2797))</f>
        <v/>
      </c>
      <c r="D2795" s="54">
        <f>IF(_imp!$C$2797="","",INDEX(_imp!$G$4:$G$4503,_imp!$C$2797))</f>
        <v/>
      </c>
      <c r="E2795" s="54">
        <f>IF(_imp!$C$2797="","",INDEX(_imp!$H$4:$H$4503,_imp!$C$2797))</f>
        <v/>
      </c>
      <c r="F2795" s="54">
        <f>IF(_imp!$C$2797="","",INDEX(_imp!$I$4:$I$4503,_imp!$C$2797))</f>
        <v/>
      </c>
      <c r="G2795" s="54">
        <f>IF(_imp!$C$2797="","",INDEX(_imp!$J$4:$J$4503,_imp!$C$2797))</f>
        <v/>
      </c>
      <c r="K2795" s="54">
        <f>IF(_imp!$C$2797="","",INDEX(_imp!$K$4:$K$4503,_imp!$C$2797))</f>
        <v/>
      </c>
    </row>
    <row r="2796">
      <c r="A2796" s="54">
        <f>IF(_imp!$C$2798="","",INDEX(_imp!$D$4:$D$4503,_imp!$C$2798))</f>
        <v/>
      </c>
      <c r="B2796" s="54">
        <f>IF(_imp!$C$2798="","",INDEX(_imp!$E$4:$E$4503,_imp!$C$2798))</f>
        <v/>
      </c>
      <c r="C2796" s="54">
        <f>IF(_imp!$C$2798="","",INDEX(_imp!$F$4:$F$4503,_imp!$C$2798))</f>
        <v/>
      </c>
      <c r="D2796" s="54">
        <f>IF(_imp!$C$2798="","",INDEX(_imp!$G$4:$G$4503,_imp!$C$2798))</f>
        <v/>
      </c>
      <c r="E2796" s="54">
        <f>IF(_imp!$C$2798="","",INDEX(_imp!$H$4:$H$4503,_imp!$C$2798))</f>
        <v/>
      </c>
      <c r="F2796" s="54">
        <f>IF(_imp!$C$2798="","",INDEX(_imp!$I$4:$I$4503,_imp!$C$2798))</f>
        <v/>
      </c>
      <c r="G2796" s="54">
        <f>IF(_imp!$C$2798="","",INDEX(_imp!$J$4:$J$4503,_imp!$C$2798))</f>
        <v/>
      </c>
      <c r="K2796" s="54">
        <f>IF(_imp!$C$2798="","",INDEX(_imp!$K$4:$K$4503,_imp!$C$2798))</f>
        <v/>
      </c>
    </row>
    <row r="2797">
      <c r="A2797" s="54">
        <f>IF(_imp!$C$2799="","",INDEX(_imp!$D$4:$D$4503,_imp!$C$2799))</f>
        <v/>
      </c>
      <c r="B2797" s="54">
        <f>IF(_imp!$C$2799="","",INDEX(_imp!$E$4:$E$4503,_imp!$C$2799))</f>
        <v/>
      </c>
      <c r="C2797" s="54">
        <f>IF(_imp!$C$2799="","",INDEX(_imp!$F$4:$F$4503,_imp!$C$2799))</f>
        <v/>
      </c>
      <c r="D2797" s="54">
        <f>IF(_imp!$C$2799="","",INDEX(_imp!$G$4:$G$4503,_imp!$C$2799))</f>
        <v/>
      </c>
      <c r="E2797" s="54">
        <f>IF(_imp!$C$2799="","",INDEX(_imp!$H$4:$H$4503,_imp!$C$2799))</f>
        <v/>
      </c>
      <c r="F2797" s="54">
        <f>IF(_imp!$C$2799="","",INDEX(_imp!$I$4:$I$4503,_imp!$C$2799))</f>
        <v/>
      </c>
      <c r="G2797" s="54">
        <f>IF(_imp!$C$2799="","",INDEX(_imp!$J$4:$J$4503,_imp!$C$2799))</f>
        <v/>
      </c>
      <c r="K2797" s="54">
        <f>IF(_imp!$C$2799="","",INDEX(_imp!$K$4:$K$4503,_imp!$C$2799))</f>
        <v/>
      </c>
    </row>
    <row r="2798">
      <c r="A2798" s="54">
        <f>IF(_imp!$C$2800="","",INDEX(_imp!$D$4:$D$4503,_imp!$C$2800))</f>
        <v/>
      </c>
      <c r="B2798" s="54">
        <f>IF(_imp!$C$2800="","",INDEX(_imp!$E$4:$E$4503,_imp!$C$2800))</f>
        <v/>
      </c>
      <c r="C2798" s="54">
        <f>IF(_imp!$C$2800="","",INDEX(_imp!$F$4:$F$4503,_imp!$C$2800))</f>
        <v/>
      </c>
      <c r="D2798" s="54">
        <f>IF(_imp!$C$2800="","",INDEX(_imp!$G$4:$G$4503,_imp!$C$2800))</f>
        <v/>
      </c>
      <c r="E2798" s="54">
        <f>IF(_imp!$C$2800="","",INDEX(_imp!$H$4:$H$4503,_imp!$C$2800))</f>
        <v/>
      </c>
      <c r="F2798" s="54">
        <f>IF(_imp!$C$2800="","",INDEX(_imp!$I$4:$I$4503,_imp!$C$2800))</f>
        <v/>
      </c>
      <c r="G2798" s="54">
        <f>IF(_imp!$C$2800="","",INDEX(_imp!$J$4:$J$4503,_imp!$C$2800))</f>
        <v/>
      </c>
      <c r="K2798" s="54">
        <f>IF(_imp!$C$2800="","",INDEX(_imp!$K$4:$K$4503,_imp!$C$2800))</f>
        <v/>
      </c>
    </row>
    <row r="2799">
      <c r="A2799" s="54">
        <f>IF(_imp!$C$2801="","",INDEX(_imp!$D$4:$D$4503,_imp!$C$2801))</f>
        <v/>
      </c>
      <c r="B2799" s="54">
        <f>IF(_imp!$C$2801="","",INDEX(_imp!$E$4:$E$4503,_imp!$C$2801))</f>
        <v/>
      </c>
      <c r="C2799" s="54">
        <f>IF(_imp!$C$2801="","",INDEX(_imp!$F$4:$F$4503,_imp!$C$2801))</f>
        <v/>
      </c>
      <c r="D2799" s="54">
        <f>IF(_imp!$C$2801="","",INDEX(_imp!$G$4:$G$4503,_imp!$C$2801))</f>
        <v/>
      </c>
      <c r="E2799" s="54">
        <f>IF(_imp!$C$2801="","",INDEX(_imp!$H$4:$H$4503,_imp!$C$2801))</f>
        <v/>
      </c>
      <c r="F2799" s="54">
        <f>IF(_imp!$C$2801="","",INDEX(_imp!$I$4:$I$4503,_imp!$C$2801))</f>
        <v/>
      </c>
      <c r="G2799" s="54">
        <f>IF(_imp!$C$2801="","",INDEX(_imp!$J$4:$J$4503,_imp!$C$2801))</f>
        <v/>
      </c>
      <c r="K2799" s="54">
        <f>IF(_imp!$C$2801="","",INDEX(_imp!$K$4:$K$4503,_imp!$C$2801))</f>
        <v/>
      </c>
    </row>
    <row r="2800">
      <c r="A2800" s="54">
        <f>IF(_imp!$C$2802="","",INDEX(_imp!$D$4:$D$4503,_imp!$C$2802))</f>
        <v/>
      </c>
      <c r="B2800" s="54">
        <f>IF(_imp!$C$2802="","",INDEX(_imp!$E$4:$E$4503,_imp!$C$2802))</f>
        <v/>
      </c>
      <c r="C2800" s="54">
        <f>IF(_imp!$C$2802="","",INDEX(_imp!$F$4:$F$4503,_imp!$C$2802))</f>
        <v/>
      </c>
      <c r="D2800" s="54">
        <f>IF(_imp!$C$2802="","",INDEX(_imp!$G$4:$G$4503,_imp!$C$2802))</f>
        <v/>
      </c>
      <c r="E2800" s="54">
        <f>IF(_imp!$C$2802="","",INDEX(_imp!$H$4:$H$4503,_imp!$C$2802))</f>
        <v/>
      </c>
      <c r="F2800" s="54">
        <f>IF(_imp!$C$2802="","",INDEX(_imp!$I$4:$I$4503,_imp!$C$2802))</f>
        <v/>
      </c>
      <c r="G2800" s="54">
        <f>IF(_imp!$C$2802="","",INDEX(_imp!$J$4:$J$4503,_imp!$C$2802))</f>
        <v/>
      </c>
      <c r="K2800" s="54">
        <f>IF(_imp!$C$2802="","",INDEX(_imp!$K$4:$K$4503,_imp!$C$2802))</f>
        <v/>
      </c>
    </row>
    <row r="2801">
      <c r="A2801" s="54">
        <f>IF(_imp!$C$2803="","",INDEX(_imp!$D$4:$D$4503,_imp!$C$2803))</f>
        <v/>
      </c>
      <c r="B2801" s="54">
        <f>IF(_imp!$C$2803="","",INDEX(_imp!$E$4:$E$4503,_imp!$C$2803))</f>
        <v/>
      </c>
      <c r="C2801" s="54">
        <f>IF(_imp!$C$2803="","",INDEX(_imp!$F$4:$F$4503,_imp!$C$2803))</f>
        <v/>
      </c>
      <c r="D2801" s="54">
        <f>IF(_imp!$C$2803="","",INDEX(_imp!$G$4:$G$4503,_imp!$C$2803))</f>
        <v/>
      </c>
      <c r="E2801" s="54">
        <f>IF(_imp!$C$2803="","",INDEX(_imp!$H$4:$H$4503,_imp!$C$2803))</f>
        <v/>
      </c>
      <c r="F2801" s="54">
        <f>IF(_imp!$C$2803="","",INDEX(_imp!$I$4:$I$4503,_imp!$C$2803))</f>
        <v/>
      </c>
      <c r="G2801" s="54">
        <f>IF(_imp!$C$2803="","",INDEX(_imp!$J$4:$J$4503,_imp!$C$2803))</f>
        <v/>
      </c>
      <c r="K2801" s="54">
        <f>IF(_imp!$C$2803="","",INDEX(_imp!$K$4:$K$4503,_imp!$C$2803))</f>
        <v/>
      </c>
    </row>
    <row r="2802">
      <c r="A2802" s="54">
        <f>IF(_imp!$C$2804="","",INDEX(_imp!$D$4:$D$4503,_imp!$C$2804))</f>
        <v/>
      </c>
      <c r="B2802" s="54">
        <f>IF(_imp!$C$2804="","",INDEX(_imp!$E$4:$E$4503,_imp!$C$2804))</f>
        <v/>
      </c>
      <c r="C2802" s="54">
        <f>IF(_imp!$C$2804="","",INDEX(_imp!$F$4:$F$4503,_imp!$C$2804))</f>
        <v/>
      </c>
      <c r="D2802" s="54">
        <f>IF(_imp!$C$2804="","",INDEX(_imp!$G$4:$G$4503,_imp!$C$2804))</f>
        <v/>
      </c>
      <c r="E2802" s="54">
        <f>IF(_imp!$C$2804="","",INDEX(_imp!$H$4:$H$4503,_imp!$C$2804))</f>
        <v/>
      </c>
      <c r="F2802" s="54">
        <f>IF(_imp!$C$2804="","",INDEX(_imp!$I$4:$I$4503,_imp!$C$2804))</f>
        <v/>
      </c>
      <c r="G2802" s="54">
        <f>IF(_imp!$C$2804="","",INDEX(_imp!$J$4:$J$4503,_imp!$C$2804))</f>
        <v/>
      </c>
      <c r="K2802" s="54">
        <f>IF(_imp!$C$2804="","",INDEX(_imp!$K$4:$K$4503,_imp!$C$2804))</f>
        <v/>
      </c>
    </row>
    <row r="2803">
      <c r="A2803" s="54">
        <f>IF(_imp!$C$2805="","",INDEX(_imp!$D$4:$D$4503,_imp!$C$2805))</f>
        <v/>
      </c>
      <c r="B2803" s="54">
        <f>IF(_imp!$C$2805="","",INDEX(_imp!$E$4:$E$4503,_imp!$C$2805))</f>
        <v/>
      </c>
      <c r="C2803" s="54">
        <f>IF(_imp!$C$2805="","",INDEX(_imp!$F$4:$F$4503,_imp!$C$2805))</f>
        <v/>
      </c>
      <c r="D2803" s="54">
        <f>IF(_imp!$C$2805="","",INDEX(_imp!$G$4:$G$4503,_imp!$C$2805))</f>
        <v/>
      </c>
      <c r="E2803" s="54">
        <f>IF(_imp!$C$2805="","",INDEX(_imp!$H$4:$H$4503,_imp!$C$2805))</f>
        <v/>
      </c>
      <c r="F2803" s="54">
        <f>IF(_imp!$C$2805="","",INDEX(_imp!$I$4:$I$4503,_imp!$C$2805))</f>
        <v/>
      </c>
      <c r="G2803" s="54">
        <f>IF(_imp!$C$2805="","",INDEX(_imp!$J$4:$J$4503,_imp!$C$2805))</f>
        <v/>
      </c>
      <c r="K2803" s="54">
        <f>IF(_imp!$C$2805="","",INDEX(_imp!$K$4:$K$4503,_imp!$C$2805))</f>
        <v/>
      </c>
    </row>
    <row r="2804">
      <c r="A2804" s="54">
        <f>IF(_imp!$C$2806="","",INDEX(_imp!$D$4:$D$4503,_imp!$C$2806))</f>
        <v/>
      </c>
      <c r="B2804" s="54">
        <f>IF(_imp!$C$2806="","",INDEX(_imp!$E$4:$E$4503,_imp!$C$2806))</f>
        <v/>
      </c>
      <c r="C2804" s="54">
        <f>IF(_imp!$C$2806="","",INDEX(_imp!$F$4:$F$4503,_imp!$C$2806))</f>
        <v/>
      </c>
      <c r="D2804" s="54">
        <f>IF(_imp!$C$2806="","",INDEX(_imp!$G$4:$G$4503,_imp!$C$2806))</f>
        <v/>
      </c>
      <c r="E2804" s="54">
        <f>IF(_imp!$C$2806="","",INDEX(_imp!$H$4:$H$4503,_imp!$C$2806))</f>
        <v/>
      </c>
      <c r="F2804" s="54">
        <f>IF(_imp!$C$2806="","",INDEX(_imp!$I$4:$I$4503,_imp!$C$2806))</f>
        <v/>
      </c>
      <c r="G2804" s="54">
        <f>IF(_imp!$C$2806="","",INDEX(_imp!$J$4:$J$4503,_imp!$C$2806))</f>
        <v/>
      </c>
      <c r="K2804" s="54">
        <f>IF(_imp!$C$2806="","",INDEX(_imp!$K$4:$K$4503,_imp!$C$2806))</f>
        <v/>
      </c>
    </row>
    <row r="2805">
      <c r="A2805" s="54">
        <f>IF(_imp!$C$2807="","",INDEX(_imp!$D$4:$D$4503,_imp!$C$2807))</f>
        <v/>
      </c>
      <c r="B2805" s="54">
        <f>IF(_imp!$C$2807="","",INDEX(_imp!$E$4:$E$4503,_imp!$C$2807))</f>
        <v/>
      </c>
      <c r="C2805" s="54">
        <f>IF(_imp!$C$2807="","",INDEX(_imp!$F$4:$F$4503,_imp!$C$2807))</f>
        <v/>
      </c>
      <c r="D2805" s="54">
        <f>IF(_imp!$C$2807="","",INDEX(_imp!$G$4:$G$4503,_imp!$C$2807))</f>
        <v/>
      </c>
      <c r="E2805" s="54">
        <f>IF(_imp!$C$2807="","",INDEX(_imp!$H$4:$H$4503,_imp!$C$2807))</f>
        <v/>
      </c>
      <c r="F2805" s="54">
        <f>IF(_imp!$C$2807="","",INDEX(_imp!$I$4:$I$4503,_imp!$C$2807))</f>
        <v/>
      </c>
      <c r="G2805" s="54">
        <f>IF(_imp!$C$2807="","",INDEX(_imp!$J$4:$J$4503,_imp!$C$2807))</f>
        <v/>
      </c>
      <c r="K2805" s="54">
        <f>IF(_imp!$C$2807="","",INDEX(_imp!$K$4:$K$4503,_imp!$C$2807))</f>
        <v/>
      </c>
    </row>
    <row r="2806">
      <c r="A2806" s="54">
        <f>IF(_imp!$C$2808="","",INDEX(_imp!$D$4:$D$4503,_imp!$C$2808))</f>
        <v/>
      </c>
      <c r="B2806" s="54">
        <f>IF(_imp!$C$2808="","",INDEX(_imp!$E$4:$E$4503,_imp!$C$2808))</f>
        <v/>
      </c>
      <c r="C2806" s="54">
        <f>IF(_imp!$C$2808="","",INDEX(_imp!$F$4:$F$4503,_imp!$C$2808))</f>
        <v/>
      </c>
      <c r="D2806" s="54">
        <f>IF(_imp!$C$2808="","",INDEX(_imp!$G$4:$G$4503,_imp!$C$2808))</f>
        <v/>
      </c>
      <c r="E2806" s="54">
        <f>IF(_imp!$C$2808="","",INDEX(_imp!$H$4:$H$4503,_imp!$C$2808))</f>
        <v/>
      </c>
      <c r="F2806" s="54">
        <f>IF(_imp!$C$2808="","",INDEX(_imp!$I$4:$I$4503,_imp!$C$2808))</f>
        <v/>
      </c>
      <c r="G2806" s="54">
        <f>IF(_imp!$C$2808="","",INDEX(_imp!$J$4:$J$4503,_imp!$C$2808))</f>
        <v/>
      </c>
      <c r="K2806" s="54">
        <f>IF(_imp!$C$2808="","",INDEX(_imp!$K$4:$K$4503,_imp!$C$2808))</f>
        <v/>
      </c>
    </row>
    <row r="2807">
      <c r="A2807" s="54">
        <f>IF(_imp!$C$2809="","",INDEX(_imp!$D$4:$D$4503,_imp!$C$2809))</f>
        <v/>
      </c>
      <c r="B2807" s="54">
        <f>IF(_imp!$C$2809="","",INDEX(_imp!$E$4:$E$4503,_imp!$C$2809))</f>
        <v/>
      </c>
      <c r="C2807" s="54">
        <f>IF(_imp!$C$2809="","",INDEX(_imp!$F$4:$F$4503,_imp!$C$2809))</f>
        <v/>
      </c>
      <c r="D2807" s="54">
        <f>IF(_imp!$C$2809="","",INDEX(_imp!$G$4:$G$4503,_imp!$C$2809))</f>
        <v/>
      </c>
      <c r="E2807" s="54">
        <f>IF(_imp!$C$2809="","",INDEX(_imp!$H$4:$H$4503,_imp!$C$2809))</f>
        <v/>
      </c>
      <c r="F2807" s="54">
        <f>IF(_imp!$C$2809="","",INDEX(_imp!$I$4:$I$4503,_imp!$C$2809))</f>
        <v/>
      </c>
      <c r="G2807" s="54">
        <f>IF(_imp!$C$2809="","",INDEX(_imp!$J$4:$J$4503,_imp!$C$2809))</f>
        <v/>
      </c>
      <c r="K2807" s="54">
        <f>IF(_imp!$C$2809="","",INDEX(_imp!$K$4:$K$4503,_imp!$C$2809))</f>
        <v/>
      </c>
    </row>
    <row r="2808">
      <c r="A2808" s="54">
        <f>IF(_imp!$C$2810="","",INDEX(_imp!$D$4:$D$4503,_imp!$C$2810))</f>
        <v/>
      </c>
      <c r="B2808" s="54">
        <f>IF(_imp!$C$2810="","",INDEX(_imp!$E$4:$E$4503,_imp!$C$2810))</f>
        <v/>
      </c>
      <c r="C2808" s="54">
        <f>IF(_imp!$C$2810="","",INDEX(_imp!$F$4:$F$4503,_imp!$C$2810))</f>
        <v/>
      </c>
      <c r="D2808" s="54">
        <f>IF(_imp!$C$2810="","",INDEX(_imp!$G$4:$G$4503,_imp!$C$2810))</f>
        <v/>
      </c>
      <c r="E2808" s="54">
        <f>IF(_imp!$C$2810="","",INDEX(_imp!$H$4:$H$4503,_imp!$C$2810))</f>
        <v/>
      </c>
      <c r="F2808" s="54">
        <f>IF(_imp!$C$2810="","",INDEX(_imp!$I$4:$I$4503,_imp!$C$2810))</f>
        <v/>
      </c>
      <c r="G2808" s="54">
        <f>IF(_imp!$C$2810="","",INDEX(_imp!$J$4:$J$4503,_imp!$C$2810))</f>
        <v/>
      </c>
      <c r="K2808" s="54">
        <f>IF(_imp!$C$2810="","",INDEX(_imp!$K$4:$K$4503,_imp!$C$2810))</f>
        <v/>
      </c>
    </row>
    <row r="2809">
      <c r="A2809" s="54">
        <f>IF(_imp!$C$2811="","",INDEX(_imp!$D$4:$D$4503,_imp!$C$2811))</f>
        <v/>
      </c>
      <c r="B2809" s="54">
        <f>IF(_imp!$C$2811="","",INDEX(_imp!$E$4:$E$4503,_imp!$C$2811))</f>
        <v/>
      </c>
      <c r="C2809" s="54">
        <f>IF(_imp!$C$2811="","",INDEX(_imp!$F$4:$F$4503,_imp!$C$2811))</f>
        <v/>
      </c>
      <c r="D2809" s="54">
        <f>IF(_imp!$C$2811="","",INDEX(_imp!$G$4:$G$4503,_imp!$C$2811))</f>
        <v/>
      </c>
      <c r="E2809" s="54">
        <f>IF(_imp!$C$2811="","",INDEX(_imp!$H$4:$H$4503,_imp!$C$2811))</f>
        <v/>
      </c>
      <c r="F2809" s="54">
        <f>IF(_imp!$C$2811="","",INDEX(_imp!$I$4:$I$4503,_imp!$C$2811))</f>
        <v/>
      </c>
      <c r="G2809" s="54">
        <f>IF(_imp!$C$2811="","",INDEX(_imp!$J$4:$J$4503,_imp!$C$2811))</f>
        <v/>
      </c>
      <c r="K2809" s="54">
        <f>IF(_imp!$C$2811="","",INDEX(_imp!$K$4:$K$4503,_imp!$C$2811))</f>
        <v/>
      </c>
    </row>
    <row r="2810">
      <c r="A2810" s="54">
        <f>IF(_imp!$C$2812="","",INDEX(_imp!$D$4:$D$4503,_imp!$C$2812))</f>
        <v/>
      </c>
      <c r="B2810" s="54">
        <f>IF(_imp!$C$2812="","",INDEX(_imp!$E$4:$E$4503,_imp!$C$2812))</f>
        <v/>
      </c>
      <c r="C2810" s="54">
        <f>IF(_imp!$C$2812="","",INDEX(_imp!$F$4:$F$4503,_imp!$C$2812))</f>
        <v/>
      </c>
      <c r="D2810" s="54">
        <f>IF(_imp!$C$2812="","",INDEX(_imp!$G$4:$G$4503,_imp!$C$2812))</f>
        <v/>
      </c>
      <c r="E2810" s="54">
        <f>IF(_imp!$C$2812="","",INDEX(_imp!$H$4:$H$4503,_imp!$C$2812))</f>
        <v/>
      </c>
      <c r="F2810" s="54">
        <f>IF(_imp!$C$2812="","",INDEX(_imp!$I$4:$I$4503,_imp!$C$2812))</f>
        <v/>
      </c>
      <c r="G2810" s="54">
        <f>IF(_imp!$C$2812="","",INDEX(_imp!$J$4:$J$4503,_imp!$C$2812))</f>
        <v/>
      </c>
      <c r="K2810" s="54">
        <f>IF(_imp!$C$2812="","",INDEX(_imp!$K$4:$K$4503,_imp!$C$2812))</f>
        <v/>
      </c>
    </row>
    <row r="2811">
      <c r="A2811" s="54">
        <f>IF(_imp!$C$2813="","",INDEX(_imp!$D$4:$D$4503,_imp!$C$2813))</f>
        <v/>
      </c>
      <c r="B2811" s="54">
        <f>IF(_imp!$C$2813="","",INDEX(_imp!$E$4:$E$4503,_imp!$C$2813))</f>
        <v/>
      </c>
      <c r="C2811" s="54">
        <f>IF(_imp!$C$2813="","",INDEX(_imp!$F$4:$F$4503,_imp!$C$2813))</f>
        <v/>
      </c>
      <c r="D2811" s="54">
        <f>IF(_imp!$C$2813="","",INDEX(_imp!$G$4:$G$4503,_imp!$C$2813))</f>
        <v/>
      </c>
      <c r="E2811" s="54">
        <f>IF(_imp!$C$2813="","",INDEX(_imp!$H$4:$H$4503,_imp!$C$2813))</f>
        <v/>
      </c>
      <c r="F2811" s="54">
        <f>IF(_imp!$C$2813="","",INDEX(_imp!$I$4:$I$4503,_imp!$C$2813))</f>
        <v/>
      </c>
      <c r="G2811" s="54">
        <f>IF(_imp!$C$2813="","",INDEX(_imp!$J$4:$J$4503,_imp!$C$2813))</f>
        <v/>
      </c>
      <c r="K2811" s="54">
        <f>IF(_imp!$C$2813="","",INDEX(_imp!$K$4:$K$4503,_imp!$C$2813))</f>
        <v/>
      </c>
    </row>
    <row r="2812">
      <c r="A2812" s="54">
        <f>IF(_imp!$C$2814="","",INDEX(_imp!$D$4:$D$4503,_imp!$C$2814))</f>
        <v/>
      </c>
      <c r="B2812" s="54">
        <f>IF(_imp!$C$2814="","",INDEX(_imp!$E$4:$E$4503,_imp!$C$2814))</f>
        <v/>
      </c>
      <c r="C2812" s="54">
        <f>IF(_imp!$C$2814="","",INDEX(_imp!$F$4:$F$4503,_imp!$C$2814))</f>
        <v/>
      </c>
      <c r="D2812" s="54">
        <f>IF(_imp!$C$2814="","",INDEX(_imp!$G$4:$G$4503,_imp!$C$2814))</f>
        <v/>
      </c>
      <c r="E2812" s="54">
        <f>IF(_imp!$C$2814="","",INDEX(_imp!$H$4:$H$4503,_imp!$C$2814))</f>
        <v/>
      </c>
      <c r="F2812" s="54">
        <f>IF(_imp!$C$2814="","",INDEX(_imp!$I$4:$I$4503,_imp!$C$2814))</f>
        <v/>
      </c>
      <c r="G2812" s="54">
        <f>IF(_imp!$C$2814="","",INDEX(_imp!$J$4:$J$4503,_imp!$C$2814))</f>
        <v/>
      </c>
      <c r="K2812" s="54">
        <f>IF(_imp!$C$2814="","",INDEX(_imp!$K$4:$K$4503,_imp!$C$2814))</f>
        <v/>
      </c>
    </row>
    <row r="2813">
      <c r="A2813" s="54">
        <f>IF(_imp!$C$2815="","",INDEX(_imp!$D$4:$D$4503,_imp!$C$2815))</f>
        <v/>
      </c>
      <c r="B2813" s="54">
        <f>IF(_imp!$C$2815="","",INDEX(_imp!$E$4:$E$4503,_imp!$C$2815))</f>
        <v/>
      </c>
      <c r="C2813" s="54">
        <f>IF(_imp!$C$2815="","",INDEX(_imp!$F$4:$F$4503,_imp!$C$2815))</f>
        <v/>
      </c>
      <c r="D2813" s="54">
        <f>IF(_imp!$C$2815="","",INDEX(_imp!$G$4:$G$4503,_imp!$C$2815))</f>
        <v/>
      </c>
      <c r="E2813" s="54">
        <f>IF(_imp!$C$2815="","",INDEX(_imp!$H$4:$H$4503,_imp!$C$2815))</f>
        <v/>
      </c>
      <c r="F2813" s="54">
        <f>IF(_imp!$C$2815="","",INDEX(_imp!$I$4:$I$4503,_imp!$C$2815))</f>
        <v/>
      </c>
      <c r="G2813" s="54">
        <f>IF(_imp!$C$2815="","",INDEX(_imp!$J$4:$J$4503,_imp!$C$2815))</f>
        <v/>
      </c>
      <c r="K2813" s="54">
        <f>IF(_imp!$C$2815="","",INDEX(_imp!$K$4:$K$4503,_imp!$C$2815))</f>
        <v/>
      </c>
    </row>
    <row r="2814">
      <c r="A2814" s="54">
        <f>IF(_imp!$C$2816="","",INDEX(_imp!$D$4:$D$4503,_imp!$C$2816))</f>
        <v/>
      </c>
      <c r="B2814" s="54">
        <f>IF(_imp!$C$2816="","",INDEX(_imp!$E$4:$E$4503,_imp!$C$2816))</f>
        <v/>
      </c>
      <c r="C2814" s="54">
        <f>IF(_imp!$C$2816="","",INDEX(_imp!$F$4:$F$4503,_imp!$C$2816))</f>
        <v/>
      </c>
      <c r="D2814" s="54">
        <f>IF(_imp!$C$2816="","",INDEX(_imp!$G$4:$G$4503,_imp!$C$2816))</f>
        <v/>
      </c>
      <c r="E2814" s="54">
        <f>IF(_imp!$C$2816="","",INDEX(_imp!$H$4:$H$4503,_imp!$C$2816))</f>
        <v/>
      </c>
      <c r="F2814" s="54">
        <f>IF(_imp!$C$2816="","",INDEX(_imp!$I$4:$I$4503,_imp!$C$2816))</f>
        <v/>
      </c>
      <c r="G2814" s="54">
        <f>IF(_imp!$C$2816="","",INDEX(_imp!$J$4:$J$4503,_imp!$C$2816))</f>
        <v/>
      </c>
      <c r="K2814" s="54">
        <f>IF(_imp!$C$2816="","",INDEX(_imp!$K$4:$K$4503,_imp!$C$2816))</f>
        <v/>
      </c>
    </row>
    <row r="2815">
      <c r="A2815" s="54">
        <f>IF(_imp!$C$2817="","",INDEX(_imp!$D$4:$D$4503,_imp!$C$2817))</f>
        <v/>
      </c>
      <c r="B2815" s="54">
        <f>IF(_imp!$C$2817="","",INDEX(_imp!$E$4:$E$4503,_imp!$C$2817))</f>
        <v/>
      </c>
      <c r="C2815" s="54">
        <f>IF(_imp!$C$2817="","",INDEX(_imp!$F$4:$F$4503,_imp!$C$2817))</f>
        <v/>
      </c>
      <c r="D2815" s="54">
        <f>IF(_imp!$C$2817="","",INDEX(_imp!$G$4:$G$4503,_imp!$C$2817))</f>
        <v/>
      </c>
      <c r="E2815" s="54">
        <f>IF(_imp!$C$2817="","",INDEX(_imp!$H$4:$H$4503,_imp!$C$2817))</f>
        <v/>
      </c>
      <c r="F2815" s="54">
        <f>IF(_imp!$C$2817="","",INDEX(_imp!$I$4:$I$4503,_imp!$C$2817))</f>
        <v/>
      </c>
      <c r="G2815" s="54">
        <f>IF(_imp!$C$2817="","",INDEX(_imp!$J$4:$J$4503,_imp!$C$2817))</f>
        <v/>
      </c>
      <c r="K2815" s="54">
        <f>IF(_imp!$C$2817="","",INDEX(_imp!$K$4:$K$4503,_imp!$C$2817))</f>
        <v/>
      </c>
    </row>
    <row r="2816">
      <c r="A2816" s="54">
        <f>IF(_imp!$C$2818="","",INDEX(_imp!$D$4:$D$4503,_imp!$C$2818))</f>
        <v/>
      </c>
      <c r="B2816" s="54">
        <f>IF(_imp!$C$2818="","",INDEX(_imp!$E$4:$E$4503,_imp!$C$2818))</f>
        <v/>
      </c>
      <c r="C2816" s="54">
        <f>IF(_imp!$C$2818="","",INDEX(_imp!$F$4:$F$4503,_imp!$C$2818))</f>
        <v/>
      </c>
      <c r="D2816" s="54">
        <f>IF(_imp!$C$2818="","",INDEX(_imp!$G$4:$G$4503,_imp!$C$2818))</f>
        <v/>
      </c>
      <c r="E2816" s="54">
        <f>IF(_imp!$C$2818="","",INDEX(_imp!$H$4:$H$4503,_imp!$C$2818))</f>
        <v/>
      </c>
      <c r="F2816" s="54">
        <f>IF(_imp!$C$2818="","",INDEX(_imp!$I$4:$I$4503,_imp!$C$2818))</f>
        <v/>
      </c>
      <c r="G2816" s="54">
        <f>IF(_imp!$C$2818="","",INDEX(_imp!$J$4:$J$4503,_imp!$C$2818))</f>
        <v/>
      </c>
      <c r="K2816" s="54">
        <f>IF(_imp!$C$2818="","",INDEX(_imp!$K$4:$K$4503,_imp!$C$2818))</f>
        <v/>
      </c>
    </row>
    <row r="2817">
      <c r="A2817" s="54">
        <f>IF(_imp!$C$2819="","",INDEX(_imp!$D$4:$D$4503,_imp!$C$2819))</f>
        <v/>
      </c>
      <c r="B2817" s="54">
        <f>IF(_imp!$C$2819="","",INDEX(_imp!$E$4:$E$4503,_imp!$C$2819))</f>
        <v/>
      </c>
      <c r="C2817" s="54">
        <f>IF(_imp!$C$2819="","",INDEX(_imp!$F$4:$F$4503,_imp!$C$2819))</f>
        <v/>
      </c>
      <c r="D2817" s="54">
        <f>IF(_imp!$C$2819="","",INDEX(_imp!$G$4:$G$4503,_imp!$C$2819))</f>
        <v/>
      </c>
      <c r="E2817" s="54">
        <f>IF(_imp!$C$2819="","",INDEX(_imp!$H$4:$H$4503,_imp!$C$2819))</f>
        <v/>
      </c>
      <c r="F2817" s="54">
        <f>IF(_imp!$C$2819="","",INDEX(_imp!$I$4:$I$4503,_imp!$C$2819))</f>
        <v/>
      </c>
      <c r="G2817" s="54">
        <f>IF(_imp!$C$2819="","",INDEX(_imp!$J$4:$J$4503,_imp!$C$2819))</f>
        <v/>
      </c>
      <c r="K2817" s="54">
        <f>IF(_imp!$C$2819="","",INDEX(_imp!$K$4:$K$4503,_imp!$C$2819))</f>
        <v/>
      </c>
    </row>
    <row r="2818">
      <c r="A2818" s="54">
        <f>IF(_imp!$C$2820="","",INDEX(_imp!$D$4:$D$4503,_imp!$C$2820))</f>
        <v/>
      </c>
      <c r="B2818" s="54">
        <f>IF(_imp!$C$2820="","",INDEX(_imp!$E$4:$E$4503,_imp!$C$2820))</f>
        <v/>
      </c>
      <c r="C2818" s="54">
        <f>IF(_imp!$C$2820="","",INDEX(_imp!$F$4:$F$4503,_imp!$C$2820))</f>
        <v/>
      </c>
      <c r="D2818" s="54">
        <f>IF(_imp!$C$2820="","",INDEX(_imp!$G$4:$G$4503,_imp!$C$2820))</f>
        <v/>
      </c>
      <c r="E2818" s="54">
        <f>IF(_imp!$C$2820="","",INDEX(_imp!$H$4:$H$4503,_imp!$C$2820))</f>
        <v/>
      </c>
      <c r="F2818" s="54">
        <f>IF(_imp!$C$2820="","",INDEX(_imp!$I$4:$I$4503,_imp!$C$2820))</f>
        <v/>
      </c>
      <c r="G2818" s="54">
        <f>IF(_imp!$C$2820="","",INDEX(_imp!$J$4:$J$4503,_imp!$C$2820))</f>
        <v/>
      </c>
      <c r="K2818" s="54">
        <f>IF(_imp!$C$2820="","",INDEX(_imp!$K$4:$K$4503,_imp!$C$2820))</f>
        <v/>
      </c>
    </row>
    <row r="2819">
      <c r="A2819" s="54">
        <f>IF(_imp!$C$2821="","",INDEX(_imp!$D$4:$D$4503,_imp!$C$2821))</f>
        <v/>
      </c>
      <c r="B2819" s="54">
        <f>IF(_imp!$C$2821="","",INDEX(_imp!$E$4:$E$4503,_imp!$C$2821))</f>
        <v/>
      </c>
      <c r="C2819" s="54">
        <f>IF(_imp!$C$2821="","",INDEX(_imp!$F$4:$F$4503,_imp!$C$2821))</f>
        <v/>
      </c>
      <c r="D2819" s="54">
        <f>IF(_imp!$C$2821="","",INDEX(_imp!$G$4:$G$4503,_imp!$C$2821))</f>
        <v/>
      </c>
      <c r="E2819" s="54">
        <f>IF(_imp!$C$2821="","",INDEX(_imp!$H$4:$H$4503,_imp!$C$2821))</f>
        <v/>
      </c>
      <c r="F2819" s="54">
        <f>IF(_imp!$C$2821="","",INDEX(_imp!$I$4:$I$4503,_imp!$C$2821))</f>
        <v/>
      </c>
      <c r="G2819" s="54">
        <f>IF(_imp!$C$2821="","",INDEX(_imp!$J$4:$J$4503,_imp!$C$2821))</f>
        <v/>
      </c>
      <c r="K2819" s="54">
        <f>IF(_imp!$C$2821="","",INDEX(_imp!$K$4:$K$4503,_imp!$C$2821))</f>
        <v/>
      </c>
    </row>
    <row r="2820">
      <c r="A2820" s="54">
        <f>IF(_imp!$C$2822="","",INDEX(_imp!$D$4:$D$4503,_imp!$C$2822))</f>
        <v/>
      </c>
      <c r="B2820" s="54">
        <f>IF(_imp!$C$2822="","",INDEX(_imp!$E$4:$E$4503,_imp!$C$2822))</f>
        <v/>
      </c>
      <c r="C2820" s="54">
        <f>IF(_imp!$C$2822="","",INDEX(_imp!$F$4:$F$4503,_imp!$C$2822))</f>
        <v/>
      </c>
      <c r="D2820" s="54">
        <f>IF(_imp!$C$2822="","",INDEX(_imp!$G$4:$G$4503,_imp!$C$2822))</f>
        <v/>
      </c>
      <c r="E2820" s="54">
        <f>IF(_imp!$C$2822="","",INDEX(_imp!$H$4:$H$4503,_imp!$C$2822))</f>
        <v/>
      </c>
      <c r="F2820" s="54">
        <f>IF(_imp!$C$2822="","",INDEX(_imp!$I$4:$I$4503,_imp!$C$2822))</f>
        <v/>
      </c>
      <c r="G2820" s="54">
        <f>IF(_imp!$C$2822="","",INDEX(_imp!$J$4:$J$4503,_imp!$C$2822))</f>
        <v/>
      </c>
      <c r="K2820" s="54">
        <f>IF(_imp!$C$2822="","",INDEX(_imp!$K$4:$K$4503,_imp!$C$2822))</f>
        <v/>
      </c>
    </row>
    <row r="2821">
      <c r="A2821" s="54">
        <f>IF(_imp!$C$2823="","",INDEX(_imp!$D$4:$D$4503,_imp!$C$2823))</f>
        <v/>
      </c>
      <c r="B2821" s="54">
        <f>IF(_imp!$C$2823="","",INDEX(_imp!$E$4:$E$4503,_imp!$C$2823))</f>
        <v/>
      </c>
      <c r="C2821" s="54">
        <f>IF(_imp!$C$2823="","",INDEX(_imp!$F$4:$F$4503,_imp!$C$2823))</f>
        <v/>
      </c>
      <c r="D2821" s="54">
        <f>IF(_imp!$C$2823="","",INDEX(_imp!$G$4:$G$4503,_imp!$C$2823))</f>
        <v/>
      </c>
      <c r="E2821" s="54">
        <f>IF(_imp!$C$2823="","",INDEX(_imp!$H$4:$H$4503,_imp!$C$2823))</f>
        <v/>
      </c>
      <c r="F2821" s="54">
        <f>IF(_imp!$C$2823="","",INDEX(_imp!$I$4:$I$4503,_imp!$C$2823))</f>
        <v/>
      </c>
      <c r="G2821" s="54">
        <f>IF(_imp!$C$2823="","",INDEX(_imp!$J$4:$J$4503,_imp!$C$2823))</f>
        <v/>
      </c>
      <c r="K2821" s="54">
        <f>IF(_imp!$C$2823="","",INDEX(_imp!$K$4:$K$4503,_imp!$C$2823))</f>
        <v/>
      </c>
    </row>
    <row r="2822">
      <c r="A2822" s="54">
        <f>IF(_imp!$C$2824="","",INDEX(_imp!$D$4:$D$4503,_imp!$C$2824))</f>
        <v/>
      </c>
      <c r="B2822" s="54">
        <f>IF(_imp!$C$2824="","",INDEX(_imp!$E$4:$E$4503,_imp!$C$2824))</f>
        <v/>
      </c>
      <c r="C2822" s="54">
        <f>IF(_imp!$C$2824="","",INDEX(_imp!$F$4:$F$4503,_imp!$C$2824))</f>
        <v/>
      </c>
      <c r="D2822" s="54">
        <f>IF(_imp!$C$2824="","",INDEX(_imp!$G$4:$G$4503,_imp!$C$2824))</f>
        <v/>
      </c>
      <c r="E2822" s="54">
        <f>IF(_imp!$C$2824="","",INDEX(_imp!$H$4:$H$4503,_imp!$C$2824))</f>
        <v/>
      </c>
      <c r="F2822" s="54">
        <f>IF(_imp!$C$2824="","",INDEX(_imp!$I$4:$I$4503,_imp!$C$2824))</f>
        <v/>
      </c>
      <c r="G2822" s="54">
        <f>IF(_imp!$C$2824="","",INDEX(_imp!$J$4:$J$4503,_imp!$C$2824))</f>
        <v/>
      </c>
      <c r="K2822" s="54">
        <f>IF(_imp!$C$2824="","",INDEX(_imp!$K$4:$K$4503,_imp!$C$2824))</f>
        <v/>
      </c>
    </row>
    <row r="2823">
      <c r="A2823" s="54">
        <f>IF(_imp!$C$2825="","",INDEX(_imp!$D$4:$D$4503,_imp!$C$2825))</f>
        <v/>
      </c>
      <c r="B2823" s="54">
        <f>IF(_imp!$C$2825="","",INDEX(_imp!$E$4:$E$4503,_imp!$C$2825))</f>
        <v/>
      </c>
      <c r="C2823" s="54">
        <f>IF(_imp!$C$2825="","",INDEX(_imp!$F$4:$F$4503,_imp!$C$2825))</f>
        <v/>
      </c>
      <c r="D2823" s="54">
        <f>IF(_imp!$C$2825="","",INDEX(_imp!$G$4:$G$4503,_imp!$C$2825))</f>
        <v/>
      </c>
      <c r="E2823" s="54">
        <f>IF(_imp!$C$2825="","",INDEX(_imp!$H$4:$H$4503,_imp!$C$2825))</f>
        <v/>
      </c>
      <c r="F2823" s="54">
        <f>IF(_imp!$C$2825="","",INDEX(_imp!$I$4:$I$4503,_imp!$C$2825))</f>
        <v/>
      </c>
      <c r="G2823" s="54">
        <f>IF(_imp!$C$2825="","",INDEX(_imp!$J$4:$J$4503,_imp!$C$2825))</f>
        <v/>
      </c>
      <c r="K2823" s="54">
        <f>IF(_imp!$C$2825="","",INDEX(_imp!$K$4:$K$4503,_imp!$C$2825))</f>
        <v/>
      </c>
    </row>
    <row r="2824">
      <c r="A2824" s="54">
        <f>IF(_imp!$C$2826="","",INDEX(_imp!$D$4:$D$4503,_imp!$C$2826))</f>
        <v/>
      </c>
      <c r="B2824" s="54">
        <f>IF(_imp!$C$2826="","",INDEX(_imp!$E$4:$E$4503,_imp!$C$2826))</f>
        <v/>
      </c>
      <c r="C2824" s="54">
        <f>IF(_imp!$C$2826="","",INDEX(_imp!$F$4:$F$4503,_imp!$C$2826))</f>
        <v/>
      </c>
      <c r="D2824" s="54">
        <f>IF(_imp!$C$2826="","",INDEX(_imp!$G$4:$G$4503,_imp!$C$2826))</f>
        <v/>
      </c>
      <c r="E2824" s="54">
        <f>IF(_imp!$C$2826="","",INDEX(_imp!$H$4:$H$4503,_imp!$C$2826))</f>
        <v/>
      </c>
      <c r="F2824" s="54">
        <f>IF(_imp!$C$2826="","",INDEX(_imp!$I$4:$I$4503,_imp!$C$2826))</f>
        <v/>
      </c>
      <c r="G2824" s="54">
        <f>IF(_imp!$C$2826="","",INDEX(_imp!$J$4:$J$4503,_imp!$C$2826))</f>
        <v/>
      </c>
      <c r="K2824" s="54">
        <f>IF(_imp!$C$2826="","",INDEX(_imp!$K$4:$K$4503,_imp!$C$2826))</f>
        <v/>
      </c>
    </row>
    <row r="2825">
      <c r="A2825" s="54">
        <f>IF(_imp!$C$2827="","",INDEX(_imp!$D$4:$D$4503,_imp!$C$2827))</f>
        <v/>
      </c>
      <c r="B2825" s="54">
        <f>IF(_imp!$C$2827="","",INDEX(_imp!$E$4:$E$4503,_imp!$C$2827))</f>
        <v/>
      </c>
      <c r="C2825" s="54">
        <f>IF(_imp!$C$2827="","",INDEX(_imp!$F$4:$F$4503,_imp!$C$2827))</f>
        <v/>
      </c>
      <c r="D2825" s="54">
        <f>IF(_imp!$C$2827="","",INDEX(_imp!$G$4:$G$4503,_imp!$C$2827))</f>
        <v/>
      </c>
      <c r="E2825" s="54">
        <f>IF(_imp!$C$2827="","",INDEX(_imp!$H$4:$H$4503,_imp!$C$2827))</f>
        <v/>
      </c>
      <c r="F2825" s="54">
        <f>IF(_imp!$C$2827="","",INDEX(_imp!$I$4:$I$4503,_imp!$C$2827))</f>
        <v/>
      </c>
      <c r="G2825" s="54">
        <f>IF(_imp!$C$2827="","",INDEX(_imp!$J$4:$J$4503,_imp!$C$2827))</f>
        <v/>
      </c>
      <c r="K2825" s="54">
        <f>IF(_imp!$C$2827="","",INDEX(_imp!$K$4:$K$4503,_imp!$C$2827))</f>
        <v/>
      </c>
    </row>
    <row r="2826">
      <c r="A2826" s="54">
        <f>IF(_imp!$C$2828="","",INDEX(_imp!$D$4:$D$4503,_imp!$C$2828))</f>
        <v/>
      </c>
      <c r="B2826" s="54">
        <f>IF(_imp!$C$2828="","",INDEX(_imp!$E$4:$E$4503,_imp!$C$2828))</f>
        <v/>
      </c>
      <c r="C2826" s="54">
        <f>IF(_imp!$C$2828="","",INDEX(_imp!$F$4:$F$4503,_imp!$C$2828))</f>
        <v/>
      </c>
      <c r="D2826" s="54">
        <f>IF(_imp!$C$2828="","",INDEX(_imp!$G$4:$G$4503,_imp!$C$2828))</f>
        <v/>
      </c>
      <c r="E2826" s="54">
        <f>IF(_imp!$C$2828="","",INDEX(_imp!$H$4:$H$4503,_imp!$C$2828))</f>
        <v/>
      </c>
      <c r="F2826" s="54">
        <f>IF(_imp!$C$2828="","",INDEX(_imp!$I$4:$I$4503,_imp!$C$2828))</f>
        <v/>
      </c>
      <c r="G2826" s="54">
        <f>IF(_imp!$C$2828="","",INDEX(_imp!$J$4:$J$4503,_imp!$C$2828))</f>
        <v/>
      </c>
      <c r="K2826" s="54">
        <f>IF(_imp!$C$2828="","",INDEX(_imp!$K$4:$K$4503,_imp!$C$2828))</f>
        <v/>
      </c>
    </row>
    <row r="2827">
      <c r="A2827" s="54">
        <f>IF(_imp!$C$2829="","",INDEX(_imp!$D$4:$D$4503,_imp!$C$2829))</f>
        <v/>
      </c>
      <c r="B2827" s="54">
        <f>IF(_imp!$C$2829="","",INDEX(_imp!$E$4:$E$4503,_imp!$C$2829))</f>
        <v/>
      </c>
      <c r="C2827" s="54">
        <f>IF(_imp!$C$2829="","",INDEX(_imp!$F$4:$F$4503,_imp!$C$2829))</f>
        <v/>
      </c>
      <c r="D2827" s="54">
        <f>IF(_imp!$C$2829="","",INDEX(_imp!$G$4:$G$4503,_imp!$C$2829))</f>
        <v/>
      </c>
      <c r="E2827" s="54">
        <f>IF(_imp!$C$2829="","",INDEX(_imp!$H$4:$H$4503,_imp!$C$2829))</f>
        <v/>
      </c>
      <c r="F2827" s="54">
        <f>IF(_imp!$C$2829="","",INDEX(_imp!$I$4:$I$4503,_imp!$C$2829))</f>
        <v/>
      </c>
      <c r="G2827" s="54">
        <f>IF(_imp!$C$2829="","",INDEX(_imp!$J$4:$J$4503,_imp!$C$2829))</f>
        <v/>
      </c>
      <c r="K2827" s="54">
        <f>IF(_imp!$C$2829="","",INDEX(_imp!$K$4:$K$4503,_imp!$C$2829))</f>
        <v/>
      </c>
    </row>
    <row r="2828">
      <c r="A2828" s="54">
        <f>IF(_imp!$C$2830="","",INDEX(_imp!$D$4:$D$4503,_imp!$C$2830))</f>
        <v/>
      </c>
      <c r="B2828" s="54">
        <f>IF(_imp!$C$2830="","",INDEX(_imp!$E$4:$E$4503,_imp!$C$2830))</f>
        <v/>
      </c>
      <c r="C2828" s="54">
        <f>IF(_imp!$C$2830="","",INDEX(_imp!$F$4:$F$4503,_imp!$C$2830))</f>
        <v/>
      </c>
      <c r="D2828" s="54">
        <f>IF(_imp!$C$2830="","",INDEX(_imp!$G$4:$G$4503,_imp!$C$2830))</f>
        <v/>
      </c>
      <c r="E2828" s="54">
        <f>IF(_imp!$C$2830="","",INDEX(_imp!$H$4:$H$4503,_imp!$C$2830))</f>
        <v/>
      </c>
      <c r="F2828" s="54">
        <f>IF(_imp!$C$2830="","",INDEX(_imp!$I$4:$I$4503,_imp!$C$2830))</f>
        <v/>
      </c>
      <c r="G2828" s="54">
        <f>IF(_imp!$C$2830="","",INDEX(_imp!$J$4:$J$4503,_imp!$C$2830))</f>
        <v/>
      </c>
      <c r="K2828" s="54">
        <f>IF(_imp!$C$2830="","",INDEX(_imp!$K$4:$K$4503,_imp!$C$2830))</f>
        <v/>
      </c>
    </row>
    <row r="2829">
      <c r="A2829" s="54">
        <f>IF(_imp!$C$2831="","",INDEX(_imp!$D$4:$D$4503,_imp!$C$2831))</f>
        <v/>
      </c>
      <c r="B2829" s="54">
        <f>IF(_imp!$C$2831="","",INDEX(_imp!$E$4:$E$4503,_imp!$C$2831))</f>
        <v/>
      </c>
      <c r="C2829" s="54">
        <f>IF(_imp!$C$2831="","",INDEX(_imp!$F$4:$F$4503,_imp!$C$2831))</f>
        <v/>
      </c>
      <c r="D2829" s="54">
        <f>IF(_imp!$C$2831="","",INDEX(_imp!$G$4:$G$4503,_imp!$C$2831))</f>
        <v/>
      </c>
      <c r="E2829" s="54">
        <f>IF(_imp!$C$2831="","",INDEX(_imp!$H$4:$H$4503,_imp!$C$2831))</f>
        <v/>
      </c>
      <c r="F2829" s="54">
        <f>IF(_imp!$C$2831="","",INDEX(_imp!$I$4:$I$4503,_imp!$C$2831))</f>
        <v/>
      </c>
      <c r="G2829" s="54">
        <f>IF(_imp!$C$2831="","",INDEX(_imp!$J$4:$J$4503,_imp!$C$2831))</f>
        <v/>
      </c>
      <c r="K2829" s="54">
        <f>IF(_imp!$C$2831="","",INDEX(_imp!$K$4:$K$4503,_imp!$C$2831))</f>
        <v/>
      </c>
    </row>
    <row r="2830">
      <c r="A2830" s="54">
        <f>IF(_imp!$C$2832="","",INDEX(_imp!$D$4:$D$4503,_imp!$C$2832))</f>
        <v/>
      </c>
      <c r="B2830" s="54">
        <f>IF(_imp!$C$2832="","",INDEX(_imp!$E$4:$E$4503,_imp!$C$2832))</f>
        <v/>
      </c>
      <c r="C2830" s="54">
        <f>IF(_imp!$C$2832="","",INDEX(_imp!$F$4:$F$4503,_imp!$C$2832))</f>
        <v/>
      </c>
      <c r="D2830" s="54">
        <f>IF(_imp!$C$2832="","",INDEX(_imp!$G$4:$G$4503,_imp!$C$2832))</f>
        <v/>
      </c>
      <c r="E2830" s="54">
        <f>IF(_imp!$C$2832="","",INDEX(_imp!$H$4:$H$4503,_imp!$C$2832))</f>
        <v/>
      </c>
      <c r="F2830" s="54">
        <f>IF(_imp!$C$2832="","",INDEX(_imp!$I$4:$I$4503,_imp!$C$2832))</f>
        <v/>
      </c>
      <c r="G2830" s="54">
        <f>IF(_imp!$C$2832="","",INDEX(_imp!$J$4:$J$4503,_imp!$C$2832))</f>
        <v/>
      </c>
      <c r="K2830" s="54">
        <f>IF(_imp!$C$2832="","",INDEX(_imp!$K$4:$K$4503,_imp!$C$2832))</f>
        <v/>
      </c>
    </row>
    <row r="2831">
      <c r="A2831" s="54">
        <f>IF(_imp!$C$2833="","",INDEX(_imp!$D$4:$D$4503,_imp!$C$2833))</f>
        <v/>
      </c>
      <c r="B2831" s="54">
        <f>IF(_imp!$C$2833="","",INDEX(_imp!$E$4:$E$4503,_imp!$C$2833))</f>
        <v/>
      </c>
      <c r="C2831" s="54">
        <f>IF(_imp!$C$2833="","",INDEX(_imp!$F$4:$F$4503,_imp!$C$2833))</f>
        <v/>
      </c>
      <c r="D2831" s="54">
        <f>IF(_imp!$C$2833="","",INDEX(_imp!$G$4:$G$4503,_imp!$C$2833))</f>
        <v/>
      </c>
      <c r="E2831" s="54">
        <f>IF(_imp!$C$2833="","",INDEX(_imp!$H$4:$H$4503,_imp!$C$2833))</f>
        <v/>
      </c>
      <c r="F2831" s="54">
        <f>IF(_imp!$C$2833="","",INDEX(_imp!$I$4:$I$4503,_imp!$C$2833))</f>
        <v/>
      </c>
      <c r="G2831" s="54">
        <f>IF(_imp!$C$2833="","",INDEX(_imp!$J$4:$J$4503,_imp!$C$2833))</f>
        <v/>
      </c>
      <c r="K2831" s="54">
        <f>IF(_imp!$C$2833="","",INDEX(_imp!$K$4:$K$4503,_imp!$C$2833))</f>
        <v/>
      </c>
    </row>
    <row r="2832">
      <c r="A2832" s="54">
        <f>IF(_imp!$C$2834="","",INDEX(_imp!$D$4:$D$4503,_imp!$C$2834))</f>
        <v/>
      </c>
      <c r="B2832" s="54">
        <f>IF(_imp!$C$2834="","",INDEX(_imp!$E$4:$E$4503,_imp!$C$2834))</f>
        <v/>
      </c>
      <c r="C2832" s="54">
        <f>IF(_imp!$C$2834="","",INDEX(_imp!$F$4:$F$4503,_imp!$C$2834))</f>
        <v/>
      </c>
      <c r="D2832" s="54">
        <f>IF(_imp!$C$2834="","",INDEX(_imp!$G$4:$G$4503,_imp!$C$2834))</f>
        <v/>
      </c>
      <c r="E2832" s="54">
        <f>IF(_imp!$C$2834="","",INDEX(_imp!$H$4:$H$4503,_imp!$C$2834))</f>
        <v/>
      </c>
      <c r="F2832" s="54">
        <f>IF(_imp!$C$2834="","",INDEX(_imp!$I$4:$I$4503,_imp!$C$2834))</f>
        <v/>
      </c>
      <c r="G2832" s="54">
        <f>IF(_imp!$C$2834="","",INDEX(_imp!$J$4:$J$4503,_imp!$C$2834))</f>
        <v/>
      </c>
      <c r="K2832" s="54">
        <f>IF(_imp!$C$2834="","",INDEX(_imp!$K$4:$K$4503,_imp!$C$2834))</f>
        <v/>
      </c>
    </row>
    <row r="2833">
      <c r="A2833" s="54">
        <f>IF(_imp!$C$2835="","",INDEX(_imp!$D$4:$D$4503,_imp!$C$2835))</f>
        <v/>
      </c>
      <c r="B2833" s="54">
        <f>IF(_imp!$C$2835="","",INDEX(_imp!$E$4:$E$4503,_imp!$C$2835))</f>
        <v/>
      </c>
      <c r="C2833" s="54">
        <f>IF(_imp!$C$2835="","",INDEX(_imp!$F$4:$F$4503,_imp!$C$2835))</f>
        <v/>
      </c>
      <c r="D2833" s="54">
        <f>IF(_imp!$C$2835="","",INDEX(_imp!$G$4:$G$4503,_imp!$C$2835))</f>
        <v/>
      </c>
      <c r="E2833" s="54">
        <f>IF(_imp!$C$2835="","",INDEX(_imp!$H$4:$H$4503,_imp!$C$2835))</f>
        <v/>
      </c>
      <c r="F2833" s="54">
        <f>IF(_imp!$C$2835="","",INDEX(_imp!$I$4:$I$4503,_imp!$C$2835))</f>
        <v/>
      </c>
      <c r="G2833" s="54">
        <f>IF(_imp!$C$2835="","",INDEX(_imp!$J$4:$J$4503,_imp!$C$2835))</f>
        <v/>
      </c>
      <c r="K2833" s="54">
        <f>IF(_imp!$C$2835="","",INDEX(_imp!$K$4:$K$4503,_imp!$C$2835))</f>
        <v/>
      </c>
    </row>
    <row r="2834">
      <c r="A2834" s="54">
        <f>IF(_imp!$C$2836="","",INDEX(_imp!$D$4:$D$4503,_imp!$C$2836))</f>
        <v/>
      </c>
      <c r="B2834" s="54">
        <f>IF(_imp!$C$2836="","",INDEX(_imp!$E$4:$E$4503,_imp!$C$2836))</f>
        <v/>
      </c>
      <c r="C2834" s="54">
        <f>IF(_imp!$C$2836="","",INDEX(_imp!$F$4:$F$4503,_imp!$C$2836))</f>
        <v/>
      </c>
      <c r="D2834" s="54">
        <f>IF(_imp!$C$2836="","",INDEX(_imp!$G$4:$G$4503,_imp!$C$2836))</f>
        <v/>
      </c>
      <c r="E2834" s="54">
        <f>IF(_imp!$C$2836="","",INDEX(_imp!$H$4:$H$4503,_imp!$C$2836))</f>
        <v/>
      </c>
      <c r="F2834" s="54">
        <f>IF(_imp!$C$2836="","",INDEX(_imp!$I$4:$I$4503,_imp!$C$2836))</f>
        <v/>
      </c>
      <c r="G2834" s="54">
        <f>IF(_imp!$C$2836="","",INDEX(_imp!$J$4:$J$4503,_imp!$C$2836))</f>
        <v/>
      </c>
      <c r="K2834" s="54">
        <f>IF(_imp!$C$2836="","",INDEX(_imp!$K$4:$K$4503,_imp!$C$2836))</f>
        <v/>
      </c>
    </row>
    <row r="2835">
      <c r="A2835" s="54">
        <f>IF(_imp!$C$2837="","",INDEX(_imp!$D$4:$D$4503,_imp!$C$2837))</f>
        <v/>
      </c>
      <c r="B2835" s="54">
        <f>IF(_imp!$C$2837="","",INDEX(_imp!$E$4:$E$4503,_imp!$C$2837))</f>
        <v/>
      </c>
      <c r="C2835" s="54">
        <f>IF(_imp!$C$2837="","",INDEX(_imp!$F$4:$F$4503,_imp!$C$2837))</f>
        <v/>
      </c>
      <c r="D2835" s="54">
        <f>IF(_imp!$C$2837="","",INDEX(_imp!$G$4:$G$4503,_imp!$C$2837))</f>
        <v/>
      </c>
      <c r="E2835" s="54">
        <f>IF(_imp!$C$2837="","",INDEX(_imp!$H$4:$H$4503,_imp!$C$2837))</f>
        <v/>
      </c>
      <c r="F2835" s="54">
        <f>IF(_imp!$C$2837="","",INDEX(_imp!$I$4:$I$4503,_imp!$C$2837))</f>
        <v/>
      </c>
      <c r="G2835" s="54">
        <f>IF(_imp!$C$2837="","",INDEX(_imp!$J$4:$J$4503,_imp!$C$2837))</f>
        <v/>
      </c>
      <c r="K2835" s="54">
        <f>IF(_imp!$C$2837="","",INDEX(_imp!$K$4:$K$4503,_imp!$C$2837))</f>
        <v/>
      </c>
    </row>
    <row r="2836">
      <c r="A2836" s="54">
        <f>IF(_imp!$C$2838="","",INDEX(_imp!$D$4:$D$4503,_imp!$C$2838))</f>
        <v/>
      </c>
      <c r="B2836" s="54">
        <f>IF(_imp!$C$2838="","",INDEX(_imp!$E$4:$E$4503,_imp!$C$2838))</f>
        <v/>
      </c>
      <c r="C2836" s="54">
        <f>IF(_imp!$C$2838="","",INDEX(_imp!$F$4:$F$4503,_imp!$C$2838))</f>
        <v/>
      </c>
      <c r="D2836" s="54">
        <f>IF(_imp!$C$2838="","",INDEX(_imp!$G$4:$G$4503,_imp!$C$2838))</f>
        <v/>
      </c>
      <c r="E2836" s="54">
        <f>IF(_imp!$C$2838="","",INDEX(_imp!$H$4:$H$4503,_imp!$C$2838))</f>
        <v/>
      </c>
      <c r="F2836" s="54">
        <f>IF(_imp!$C$2838="","",INDEX(_imp!$I$4:$I$4503,_imp!$C$2838))</f>
        <v/>
      </c>
      <c r="G2836" s="54">
        <f>IF(_imp!$C$2838="","",INDEX(_imp!$J$4:$J$4503,_imp!$C$2838))</f>
        <v/>
      </c>
      <c r="K2836" s="54">
        <f>IF(_imp!$C$2838="","",INDEX(_imp!$K$4:$K$4503,_imp!$C$2838))</f>
        <v/>
      </c>
    </row>
    <row r="2837">
      <c r="A2837" s="54">
        <f>IF(_imp!$C$2839="","",INDEX(_imp!$D$4:$D$4503,_imp!$C$2839))</f>
        <v/>
      </c>
      <c r="B2837" s="54">
        <f>IF(_imp!$C$2839="","",INDEX(_imp!$E$4:$E$4503,_imp!$C$2839))</f>
        <v/>
      </c>
      <c r="C2837" s="54">
        <f>IF(_imp!$C$2839="","",INDEX(_imp!$F$4:$F$4503,_imp!$C$2839))</f>
        <v/>
      </c>
      <c r="D2837" s="54">
        <f>IF(_imp!$C$2839="","",INDEX(_imp!$G$4:$G$4503,_imp!$C$2839))</f>
        <v/>
      </c>
      <c r="E2837" s="54">
        <f>IF(_imp!$C$2839="","",INDEX(_imp!$H$4:$H$4503,_imp!$C$2839))</f>
        <v/>
      </c>
      <c r="F2837" s="54">
        <f>IF(_imp!$C$2839="","",INDEX(_imp!$I$4:$I$4503,_imp!$C$2839))</f>
        <v/>
      </c>
      <c r="G2837" s="54">
        <f>IF(_imp!$C$2839="","",INDEX(_imp!$J$4:$J$4503,_imp!$C$2839))</f>
        <v/>
      </c>
      <c r="K2837" s="54">
        <f>IF(_imp!$C$2839="","",INDEX(_imp!$K$4:$K$4503,_imp!$C$2839))</f>
        <v/>
      </c>
    </row>
    <row r="2838">
      <c r="A2838" s="54">
        <f>IF(_imp!$C$2840="","",INDEX(_imp!$D$4:$D$4503,_imp!$C$2840))</f>
        <v/>
      </c>
      <c r="B2838" s="54">
        <f>IF(_imp!$C$2840="","",INDEX(_imp!$E$4:$E$4503,_imp!$C$2840))</f>
        <v/>
      </c>
      <c r="C2838" s="54">
        <f>IF(_imp!$C$2840="","",INDEX(_imp!$F$4:$F$4503,_imp!$C$2840))</f>
        <v/>
      </c>
      <c r="D2838" s="54">
        <f>IF(_imp!$C$2840="","",INDEX(_imp!$G$4:$G$4503,_imp!$C$2840))</f>
        <v/>
      </c>
      <c r="E2838" s="54">
        <f>IF(_imp!$C$2840="","",INDEX(_imp!$H$4:$H$4503,_imp!$C$2840))</f>
        <v/>
      </c>
      <c r="F2838" s="54">
        <f>IF(_imp!$C$2840="","",INDEX(_imp!$I$4:$I$4503,_imp!$C$2840))</f>
        <v/>
      </c>
      <c r="G2838" s="54">
        <f>IF(_imp!$C$2840="","",INDEX(_imp!$J$4:$J$4503,_imp!$C$2840))</f>
        <v/>
      </c>
      <c r="K2838" s="54">
        <f>IF(_imp!$C$2840="","",INDEX(_imp!$K$4:$K$4503,_imp!$C$2840))</f>
        <v/>
      </c>
    </row>
    <row r="2839">
      <c r="A2839" s="54">
        <f>IF(_imp!$C$2841="","",INDEX(_imp!$D$4:$D$4503,_imp!$C$2841))</f>
        <v/>
      </c>
      <c r="B2839" s="54">
        <f>IF(_imp!$C$2841="","",INDEX(_imp!$E$4:$E$4503,_imp!$C$2841))</f>
        <v/>
      </c>
      <c r="C2839" s="54">
        <f>IF(_imp!$C$2841="","",INDEX(_imp!$F$4:$F$4503,_imp!$C$2841))</f>
        <v/>
      </c>
      <c r="D2839" s="54">
        <f>IF(_imp!$C$2841="","",INDEX(_imp!$G$4:$G$4503,_imp!$C$2841))</f>
        <v/>
      </c>
      <c r="E2839" s="54">
        <f>IF(_imp!$C$2841="","",INDEX(_imp!$H$4:$H$4503,_imp!$C$2841))</f>
        <v/>
      </c>
      <c r="F2839" s="54">
        <f>IF(_imp!$C$2841="","",INDEX(_imp!$I$4:$I$4503,_imp!$C$2841))</f>
        <v/>
      </c>
      <c r="G2839" s="54">
        <f>IF(_imp!$C$2841="","",INDEX(_imp!$J$4:$J$4503,_imp!$C$2841))</f>
        <v/>
      </c>
      <c r="K2839" s="54">
        <f>IF(_imp!$C$2841="","",INDEX(_imp!$K$4:$K$4503,_imp!$C$2841))</f>
        <v/>
      </c>
    </row>
    <row r="2840">
      <c r="A2840" s="54">
        <f>IF(_imp!$C$2842="","",INDEX(_imp!$D$4:$D$4503,_imp!$C$2842))</f>
        <v/>
      </c>
      <c r="B2840" s="54">
        <f>IF(_imp!$C$2842="","",INDEX(_imp!$E$4:$E$4503,_imp!$C$2842))</f>
        <v/>
      </c>
      <c r="C2840" s="54">
        <f>IF(_imp!$C$2842="","",INDEX(_imp!$F$4:$F$4503,_imp!$C$2842))</f>
        <v/>
      </c>
      <c r="D2840" s="54">
        <f>IF(_imp!$C$2842="","",INDEX(_imp!$G$4:$G$4503,_imp!$C$2842))</f>
        <v/>
      </c>
      <c r="E2840" s="54">
        <f>IF(_imp!$C$2842="","",INDEX(_imp!$H$4:$H$4503,_imp!$C$2842))</f>
        <v/>
      </c>
      <c r="F2840" s="54">
        <f>IF(_imp!$C$2842="","",INDEX(_imp!$I$4:$I$4503,_imp!$C$2842))</f>
        <v/>
      </c>
      <c r="G2840" s="54">
        <f>IF(_imp!$C$2842="","",INDEX(_imp!$J$4:$J$4503,_imp!$C$2842))</f>
        <v/>
      </c>
      <c r="K2840" s="54">
        <f>IF(_imp!$C$2842="","",INDEX(_imp!$K$4:$K$4503,_imp!$C$2842))</f>
        <v/>
      </c>
    </row>
    <row r="2841">
      <c r="A2841" s="54">
        <f>IF(_imp!$C$2843="","",INDEX(_imp!$D$4:$D$4503,_imp!$C$2843))</f>
        <v/>
      </c>
      <c r="B2841" s="54">
        <f>IF(_imp!$C$2843="","",INDEX(_imp!$E$4:$E$4503,_imp!$C$2843))</f>
        <v/>
      </c>
      <c r="C2841" s="54">
        <f>IF(_imp!$C$2843="","",INDEX(_imp!$F$4:$F$4503,_imp!$C$2843))</f>
        <v/>
      </c>
      <c r="D2841" s="54">
        <f>IF(_imp!$C$2843="","",INDEX(_imp!$G$4:$G$4503,_imp!$C$2843))</f>
        <v/>
      </c>
      <c r="E2841" s="54">
        <f>IF(_imp!$C$2843="","",INDEX(_imp!$H$4:$H$4503,_imp!$C$2843))</f>
        <v/>
      </c>
      <c r="F2841" s="54">
        <f>IF(_imp!$C$2843="","",INDEX(_imp!$I$4:$I$4503,_imp!$C$2843))</f>
        <v/>
      </c>
      <c r="G2841" s="54">
        <f>IF(_imp!$C$2843="","",INDEX(_imp!$J$4:$J$4503,_imp!$C$2843))</f>
        <v/>
      </c>
      <c r="K2841" s="54">
        <f>IF(_imp!$C$2843="","",INDEX(_imp!$K$4:$K$4503,_imp!$C$2843))</f>
        <v/>
      </c>
    </row>
    <row r="2842">
      <c r="A2842" s="54">
        <f>IF(_imp!$C$2844="","",INDEX(_imp!$D$4:$D$4503,_imp!$C$2844))</f>
        <v/>
      </c>
      <c r="B2842" s="54">
        <f>IF(_imp!$C$2844="","",INDEX(_imp!$E$4:$E$4503,_imp!$C$2844))</f>
        <v/>
      </c>
      <c r="C2842" s="54">
        <f>IF(_imp!$C$2844="","",INDEX(_imp!$F$4:$F$4503,_imp!$C$2844))</f>
        <v/>
      </c>
      <c r="D2842" s="54">
        <f>IF(_imp!$C$2844="","",INDEX(_imp!$G$4:$G$4503,_imp!$C$2844))</f>
        <v/>
      </c>
      <c r="E2842" s="54">
        <f>IF(_imp!$C$2844="","",INDEX(_imp!$H$4:$H$4503,_imp!$C$2844))</f>
        <v/>
      </c>
      <c r="F2842" s="54">
        <f>IF(_imp!$C$2844="","",INDEX(_imp!$I$4:$I$4503,_imp!$C$2844))</f>
        <v/>
      </c>
      <c r="G2842" s="54">
        <f>IF(_imp!$C$2844="","",INDEX(_imp!$J$4:$J$4503,_imp!$C$2844))</f>
        <v/>
      </c>
      <c r="K2842" s="54">
        <f>IF(_imp!$C$2844="","",INDEX(_imp!$K$4:$K$4503,_imp!$C$2844))</f>
        <v/>
      </c>
    </row>
    <row r="2843">
      <c r="A2843" s="54">
        <f>IF(_imp!$C$2845="","",INDEX(_imp!$D$4:$D$4503,_imp!$C$2845))</f>
        <v/>
      </c>
      <c r="B2843" s="54">
        <f>IF(_imp!$C$2845="","",INDEX(_imp!$E$4:$E$4503,_imp!$C$2845))</f>
        <v/>
      </c>
      <c r="C2843" s="54">
        <f>IF(_imp!$C$2845="","",INDEX(_imp!$F$4:$F$4503,_imp!$C$2845))</f>
        <v/>
      </c>
      <c r="D2843" s="54">
        <f>IF(_imp!$C$2845="","",INDEX(_imp!$G$4:$G$4503,_imp!$C$2845))</f>
        <v/>
      </c>
      <c r="E2843" s="54">
        <f>IF(_imp!$C$2845="","",INDEX(_imp!$H$4:$H$4503,_imp!$C$2845))</f>
        <v/>
      </c>
      <c r="F2843" s="54">
        <f>IF(_imp!$C$2845="","",INDEX(_imp!$I$4:$I$4503,_imp!$C$2845))</f>
        <v/>
      </c>
      <c r="G2843" s="54">
        <f>IF(_imp!$C$2845="","",INDEX(_imp!$J$4:$J$4503,_imp!$C$2845))</f>
        <v/>
      </c>
      <c r="K2843" s="54">
        <f>IF(_imp!$C$2845="","",INDEX(_imp!$K$4:$K$4503,_imp!$C$2845))</f>
        <v/>
      </c>
    </row>
    <row r="2844">
      <c r="A2844" s="54">
        <f>IF(_imp!$C$2846="","",INDEX(_imp!$D$4:$D$4503,_imp!$C$2846))</f>
        <v/>
      </c>
      <c r="B2844" s="54">
        <f>IF(_imp!$C$2846="","",INDEX(_imp!$E$4:$E$4503,_imp!$C$2846))</f>
        <v/>
      </c>
      <c r="C2844" s="54">
        <f>IF(_imp!$C$2846="","",INDEX(_imp!$F$4:$F$4503,_imp!$C$2846))</f>
        <v/>
      </c>
      <c r="D2844" s="54">
        <f>IF(_imp!$C$2846="","",INDEX(_imp!$G$4:$G$4503,_imp!$C$2846))</f>
        <v/>
      </c>
      <c r="E2844" s="54">
        <f>IF(_imp!$C$2846="","",INDEX(_imp!$H$4:$H$4503,_imp!$C$2846))</f>
        <v/>
      </c>
      <c r="F2844" s="54">
        <f>IF(_imp!$C$2846="","",INDEX(_imp!$I$4:$I$4503,_imp!$C$2846))</f>
        <v/>
      </c>
      <c r="G2844" s="54">
        <f>IF(_imp!$C$2846="","",INDEX(_imp!$J$4:$J$4503,_imp!$C$2846))</f>
        <v/>
      </c>
      <c r="K2844" s="54">
        <f>IF(_imp!$C$2846="","",INDEX(_imp!$K$4:$K$4503,_imp!$C$2846))</f>
        <v/>
      </c>
    </row>
    <row r="2845">
      <c r="A2845" s="54">
        <f>IF(_imp!$C$2847="","",INDEX(_imp!$D$4:$D$4503,_imp!$C$2847))</f>
        <v/>
      </c>
      <c r="B2845" s="54">
        <f>IF(_imp!$C$2847="","",INDEX(_imp!$E$4:$E$4503,_imp!$C$2847))</f>
        <v/>
      </c>
      <c r="C2845" s="54">
        <f>IF(_imp!$C$2847="","",INDEX(_imp!$F$4:$F$4503,_imp!$C$2847))</f>
        <v/>
      </c>
      <c r="D2845" s="54">
        <f>IF(_imp!$C$2847="","",INDEX(_imp!$G$4:$G$4503,_imp!$C$2847))</f>
        <v/>
      </c>
      <c r="E2845" s="54">
        <f>IF(_imp!$C$2847="","",INDEX(_imp!$H$4:$H$4503,_imp!$C$2847))</f>
        <v/>
      </c>
      <c r="F2845" s="54">
        <f>IF(_imp!$C$2847="","",INDEX(_imp!$I$4:$I$4503,_imp!$C$2847))</f>
        <v/>
      </c>
      <c r="G2845" s="54">
        <f>IF(_imp!$C$2847="","",INDEX(_imp!$J$4:$J$4503,_imp!$C$2847))</f>
        <v/>
      </c>
      <c r="K2845" s="54">
        <f>IF(_imp!$C$2847="","",INDEX(_imp!$K$4:$K$4503,_imp!$C$2847))</f>
        <v/>
      </c>
    </row>
    <row r="2846">
      <c r="A2846" s="54">
        <f>IF(_imp!$C$2848="","",INDEX(_imp!$D$4:$D$4503,_imp!$C$2848))</f>
        <v/>
      </c>
      <c r="B2846" s="54">
        <f>IF(_imp!$C$2848="","",INDEX(_imp!$E$4:$E$4503,_imp!$C$2848))</f>
        <v/>
      </c>
      <c r="C2846" s="54">
        <f>IF(_imp!$C$2848="","",INDEX(_imp!$F$4:$F$4503,_imp!$C$2848))</f>
        <v/>
      </c>
      <c r="D2846" s="54">
        <f>IF(_imp!$C$2848="","",INDEX(_imp!$G$4:$G$4503,_imp!$C$2848))</f>
        <v/>
      </c>
      <c r="E2846" s="54">
        <f>IF(_imp!$C$2848="","",INDEX(_imp!$H$4:$H$4503,_imp!$C$2848))</f>
        <v/>
      </c>
      <c r="F2846" s="54">
        <f>IF(_imp!$C$2848="","",INDEX(_imp!$I$4:$I$4503,_imp!$C$2848))</f>
        <v/>
      </c>
      <c r="G2846" s="54">
        <f>IF(_imp!$C$2848="","",INDEX(_imp!$J$4:$J$4503,_imp!$C$2848))</f>
        <v/>
      </c>
      <c r="K2846" s="54">
        <f>IF(_imp!$C$2848="","",INDEX(_imp!$K$4:$K$4503,_imp!$C$2848))</f>
        <v/>
      </c>
    </row>
    <row r="2847">
      <c r="A2847" s="54">
        <f>IF(_imp!$C$2849="","",INDEX(_imp!$D$4:$D$4503,_imp!$C$2849))</f>
        <v/>
      </c>
      <c r="B2847" s="54">
        <f>IF(_imp!$C$2849="","",INDEX(_imp!$E$4:$E$4503,_imp!$C$2849))</f>
        <v/>
      </c>
      <c r="C2847" s="54">
        <f>IF(_imp!$C$2849="","",INDEX(_imp!$F$4:$F$4503,_imp!$C$2849))</f>
        <v/>
      </c>
      <c r="D2847" s="54">
        <f>IF(_imp!$C$2849="","",INDEX(_imp!$G$4:$G$4503,_imp!$C$2849))</f>
        <v/>
      </c>
      <c r="E2847" s="54">
        <f>IF(_imp!$C$2849="","",INDEX(_imp!$H$4:$H$4503,_imp!$C$2849))</f>
        <v/>
      </c>
      <c r="F2847" s="54">
        <f>IF(_imp!$C$2849="","",INDEX(_imp!$I$4:$I$4503,_imp!$C$2849))</f>
        <v/>
      </c>
      <c r="G2847" s="54">
        <f>IF(_imp!$C$2849="","",INDEX(_imp!$J$4:$J$4503,_imp!$C$2849))</f>
        <v/>
      </c>
      <c r="K2847" s="54">
        <f>IF(_imp!$C$2849="","",INDEX(_imp!$K$4:$K$4503,_imp!$C$2849))</f>
        <v/>
      </c>
    </row>
    <row r="2848">
      <c r="A2848" s="54">
        <f>IF(_imp!$C$2850="","",INDEX(_imp!$D$4:$D$4503,_imp!$C$2850))</f>
        <v/>
      </c>
      <c r="B2848" s="54">
        <f>IF(_imp!$C$2850="","",INDEX(_imp!$E$4:$E$4503,_imp!$C$2850))</f>
        <v/>
      </c>
      <c r="C2848" s="54">
        <f>IF(_imp!$C$2850="","",INDEX(_imp!$F$4:$F$4503,_imp!$C$2850))</f>
        <v/>
      </c>
      <c r="D2848" s="54">
        <f>IF(_imp!$C$2850="","",INDEX(_imp!$G$4:$G$4503,_imp!$C$2850))</f>
        <v/>
      </c>
      <c r="E2848" s="54">
        <f>IF(_imp!$C$2850="","",INDEX(_imp!$H$4:$H$4503,_imp!$C$2850))</f>
        <v/>
      </c>
      <c r="F2848" s="54">
        <f>IF(_imp!$C$2850="","",INDEX(_imp!$I$4:$I$4503,_imp!$C$2850))</f>
        <v/>
      </c>
      <c r="G2848" s="54">
        <f>IF(_imp!$C$2850="","",INDEX(_imp!$J$4:$J$4503,_imp!$C$2850))</f>
        <v/>
      </c>
      <c r="K2848" s="54">
        <f>IF(_imp!$C$2850="","",INDEX(_imp!$K$4:$K$4503,_imp!$C$2850))</f>
        <v/>
      </c>
    </row>
    <row r="2849">
      <c r="A2849" s="54">
        <f>IF(_imp!$C$2851="","",INDEX(_imp!$D$4:$D$4503,_imp!$C$2851))</f>
        <v/>
      </c>
      <c r="B2849" s="54">
        <f>IF(_imp!$C$2851="","",INDEX(_imp!$E$4:$E$4503,_imp!$C$2851))</f>
        <v/>
      </c>
      <c r="C2849" s="54">
        <f>IF(_imp!$C$2851="","",INDEX(_imp!$F$4:$F$4503,_imp!$C$2851))</f>
        <v/>
      </c>
      <c r="D2849" s="54">
        <f>IF(_imp!$C$2851="","",INDEX(_imp!$G$4:$G$4503,_imp!$C$2851))</f>
        <v/>
      </c>
      <c r="E2849" s="54">
        <f>IF(_imp!$C$2851="","",INDEX(_imp!$H$4:$H$4503,_imp!$C$2851))</f>
        <v/>
      </c>
      <c r="F2849" s="54">
        <f>IF(_imp!$C$2851="","",INDEX(_imp!$I$4:$I$4503,_imp!$C$2851))</f>
        <v/>
      </c>
      <c r="G2849" s="54">
        <f>IF(_imp!$C$2851="","",INDEX(_imp!$J$4:$J$4503,_imp!$C$2851))</f>
        <v/>
      </c>
      <c r="K2849" s="54">
        <f>IF(_imp!$C$2851="","",INDEX(_imp!$K$4:$K$4503,_imp!$C$2851))</f>
        <v/>
      </c>
    </row>
    <row r="2850">
      <c r="A2850" s="54">
        <f>IF(_imp!$C$2852="","",INDEX(_imp!$D$4:$D$4503,_imp!$C$2852))</f>
        <v/>
      </c>
      <c r="B2850" s="54">
        <f>IF(_imp!$C$2852="","",INDEX(_imp!$E$4:$E$4503,_imp!$C$2852))</f>
        <v/>
      </c>
      <c r="C2850" s="54">
        <f>IF(_imp!$C$2852="","",INDEX(_imp!$F$4:$F$4503,_imp!$C$2852))</f>
        <v/>
      </c>
      <c r="D2850" s="54">
        <f>IF(_imp!$C$2852="","",INDEX(_imp!$G$4:$G$4503,_imp!$C$2852))</f>
        <v/>
      </c>
      <c r="E2850" s="54">
        <f>IF(_imp!$C$2852="","",INDEX(_imp!$H$4:$H$4503,_imp!$C$2852))</f>
        <v/>
      </c>
      <c r="F2850" s="54">
        <f>IF(_imp!$C$2852="","",INDEX(_imp!$I$4:$I$4503,_imp!$C$2852))</f>
        <v/>
      </c>
      <c r="G2850" s="54">
        <f>IF(_imp!$C$2852="","",INDEX(_imp!$J$4:$J$4503,_imp!$C$2852))</f>
        <v/>
      </c>
      <c r="K2850" s="54">
        <f>IF(_imp!$C$2852="","",INDEX(_imp!$K$4:$K$4503,_imp!$C$2852))</f>
        <v/>
      </c>
    </row>
    <row r="2851">
      <c r="A2851" s="54">
        <f>IF(_imp!$C$2853="","",INDEX(_imp!$D$4:$D$4503,_imp!$C$2853))</f>
        <v/>
      </c>
      <c r="B2851" s="54">
        <f>IF(_imp!$C$2853="","",INDEX(_imp!$E$4:$E$4503,_imp!$C$2853))</f>
        <v/>
      </c>
      <c r="C2851" s="54">
        <f>IF(_imp!$C$2853="","",INDEX(_imp!$F$4:$F$4503,_imp!$C$2853))</f>
        <v/>
      </c>
      <c r="D2851" s="54">
        <f>IF(_imp!$C$2853="","",INDEX(_imp!$G$4:$G$4503,_imp!$C$2853))</f>
        <v/>
      </c>
      <c r="E2851" s="54">
        <f>IF(_imp!$C$2853="","",INDEX(_imp!$H$4:$H$4503,_imp!$C$2853))</f>
        <v/>
      </c>
      <c r="F2851" s="54">
        <f>IF(_imp!$C$2853="","",INDEX(_imp!$I$4:$I$4503,_imp!$C$2853))</f>
        <v/>
      </c>
      <c r="G2851" s="54">
        <f>IF(_imp!$C$2853="","",INDEX(_imp!$J$4:$J$4503,_imp!$C$2853))</f>
        <v/>
      </c>
      <c r="K2851" s="54">
        <f>IF(_imp!$C$2853="","",INDEX(_imp!$K$4:$K$4503,_imp!$C$2853))</f>
        <v/>
      </c>
    </row>
    <row r="2852">
      <c r="A2852" s="54">
        <f>IF(_imp!$C$2854="","",INDEX(_imp!$D$4:$D$4503,_imp!$C$2854))</f>
        <v/>
      </c>
      <c r="B2852" s="54">
        <f>IF(_imp!$C$2854="","",INDEX(_imp!$E$4:$E$4503,_imp!$C$2854))</f>
        <v/>
      </c>
      <c r="C2852" s="54">
        <f>IF(_imp!$C$2854="","",INDEX(_imp!$F$4:$F$4503,_imp!$C$2854))</f>
        <v/>
      </c>
      <c r="D2852" s="54">
        <f>IF(_imp!$C$2854="","",INDEX(_imp!$G$4:$G$4503,_imp!$C$2854))</f>
        <v/>
      </c>
      <c r="E2852" s="54">
        <f>IF(_imp!$C$2854="","",INDEX(_imp!$H$4:$H$4503,_imp!$C$2854))</f>
        <v/>
      </c>
      <c r="F2852" s="54">
        <f>IF(_imp!$C$2854="","",INDEX(_imp!$I$4:$I$4503,_imp!$C$2854))</f>
        <v/>
      </c>
      <c r="G2852" s="54">
        <f>IF(_imp!$C$2854="","",INDEX(_imp!$J$4:$J$4503,_imp!$C$2854))</f>
        <v/>
      </c>
      <c r="K2852" s="54">
        <f>IF(_imp!$C$2854="","",INDEX(_imp!$K$4:$K$4503,_imp!$C$2854))</f>
        <v/>
      </c>
    </row>
    <row r="2853">
      <c r="A2853" s="54">
        <f>IF(_imp!$C$2855="","",INDEX(_imp!$D$4:$D$4503,_imp!$C$2855))</f>
        <v/>
      </c>
      <c r="B2853" s="54">
        <f>IF(_imp!$C$2855="","",INDEX(_imp!$E$4:$E$4503,_imp!$C$2855))</f>
        <v/>
      </c>
      <c r="C2853" s="54">
        <f>IF(_imp!$C$2855="","",INDEX(_imp!$F$4:$F$4503,_imp!$C$2855))</f>
        <v/>
      </c>
      <c r="D2853" s="54">
        <f>IF(_imp!$C$2855="","",INDEX(_imp!$G$4:$G$4503,_imp!$C$2855))</f>
        <v/>
      </c>
      <c r="E2853" s="54">
        <f>IF(_imp!$C$2855="","",INDEX(_imp!$H$4:$H$4503,_imp!$C$2855))</f>
        <v/>
      </c>
      <c r="F2853" s="54">
        <f>IF(_imp!$C$2855="","",INDEX(_imp!$I$4:$I$4503,_imp!$C$2855))</f>
        <v/>
      </c>
      <c r="G2853" s="54">
        <f>IF(_imp!$C$2855="","",INDEX(_imp!$J$4:$J$4503,_imp!$C$2855))</f>
        <v/>
      </c>
      <c r="K2853" s="54">
        <f>IF(_imp!$C$2855="","",INDEX(_imp!$K$4:$K$4503,_imp!$C$2855))</f>
        <v/>
      </c>
    </row>
    <row r="2854">
      <c r="A2854" s="54">
        <f>IF(_imp!$C$2856="","",INDEX(_imp!$D$4:$D$4503,_imp!$C$2856))</f>
        <v/>
      </c>
      <c r="B2854" s="54">
        <f>IF(_imp!$C$2856="","",INDEX(_imp!$E$4:$E$4503,_imp!$C$2856))</f>
        <v/>
      </c>
      <c r="C2854" s="54">
        <f>IF(_imp!$C$2856="","",INDEX(_imp!$F$4:$F$4503,_imp!$C$2856))</f>
        <v/>
      </c>
      <c r="D2854" s="54">
        <f>IF(_imp!$C$2856="","",INDEX(_imp!$G$4:$G$4503,_imp!$C$2856))</f>
        <v/>
      </c>
      <c r="E2854" s="54">
        <f>IF(_imp!$C$2856="","",INDEX(_imp!$H$4:$H$4503,_imp!$C$2856))</f>
        <v/>
      </c>
      <c r="F2854" s="54">
        <f>IF(_imp!$C$2856="","",INDEX(_imp!$I$4:$I$4503,_imp!$C$2856))</f>
        <v/>
      </c>
      <c r="G2854" s="54">
        <f>IF(_imp!$C$2856="","",INDEX(_imp!$J$4:$J$4503,_imp!$C$2856))</f>
        <v/>
      </c>
      <c r="K2854" s="54">
        <f>IF(_imp!$C$2856="","",INDEX(_imp!$K$4:$K$4503,_imp!$C$2856))</f>
        <v/>
      </c>
    </row>
    <row r="2855">
      <c r="A2855" s="54">
        <f>IF(_imp!$C$2857="","",INDEX(_imp!$D$4:$D$4503,_imp!$C$2857))</f>
        <v/>
      </c>
      <c r="B2855" s="54">
        <f>IF(_imp!$C$2857="","",INDEX(_imp!$E$4:$E$4503,_imp!$C$2857))</f>
        <v/>
      </c>
      <c r="C2855" s="54">
        <f>IF(_imp!$C$2857="","",INDEX(_imp!$F$4:$F$4503,_imp!$C$2857))</f>
        <v/>
      </c>
      <c r="D2855" s="54">
        <f>IF(_imp!$C$2857="","",INDEX(_imp!$G$4:$G$4503,_imp!$C$2857))</f>
        <v/>
      </c>
      <c r="E2855" s="54">
        <f>IF(_imp!$C$2857="","",INDEX(_imp!$H$4:$H$4503,_imp!$C$2857))</f>
        <v/>
      </c>
      <c r="F2855" s="54">
        <f>IF(_imp!$C$2857="","",INDEX(_imp!$I$4:$I$4503,_imp!$C$2857))</f>
        <v/>
      </c>
      <c r="G2855" s="54">
        <f>IF(_imp!$C$2857="","",INDEX(_imp!$J$4:$J$4503,_imp!$C$2857))</f>
        <v/>
      </c>
      <c r="K2855" s="54">
        <f>IF(_imp!$C$2857="","",INDEX(_imp!$K$4:$K$4503,_imp!$C$2857))</f>
        <v/>
      </c>
    </row>
    <row r="2856">
      <c r="A2856" s="54">
        <f>IF(_imp!$C$2858="","",INDEX(_imp!$D$4:$D$4503,_imp!$C$2858))</f>
        <v/>
      </c>
      <c r="B2856" s="54">
        <f>IF(_imp!$C$2858="","",INDEX(_imp!$E$4:$E$4503,_imp!$C$2858))</f>
        <v/>
      </c>
      <c r="C2856" s="54">
        <f>IF(_imp!$C$2858="","",INDEX(_imp!$F$4:$F$4503,_imp!$C$2858))</f>
        <v/>
      </c>
      <c r="D2856" s="54">
        <f>IF(_imp!$C$2858="","",INDEX(_imp!$G$4:$G$4503,_imp!$C$2858))</f>
        <v/>
      </c>
      <c r="E2856" s="54">
        <f>IF(_imp!$C$2858="","",INDEX(_imp!$H$4:$H$4503,_imp!$C$2858))</f>
        <v/>
      </c>
      <c r="F2856" s="54">
        <f>IF(_imp!$C$2858="","",INDEX(_imp!$I$4:$I$4503,_imp!$C$2858))</f>
        <v/>
      </c>
      <c r="G2856" s="54">
        <f>IF(_imp!$C$2858="","",INDEX(_imp!$J$4:$J$4503,_imp!$C$2858))</f>
        <v/>
      </c>
      <c r="K2856" s="54">
        <f>IF(_imp!$C$2858="","",INDEX(_imp!$K$4:$K$4503,_imp!$C$2858))</f>
        <v/>
      </c>
    </row>
    <row r="2857">
      <c r="A2857" s="54">
        <f>IF(_imp!$C$2859="","",INDEX(_imp!$D$4:$D$4503,_imp!$C$2859))</f>
        <v/>
      </c>
      <c r="B2857" s="54">
        <f>IF(_imp!$C$2859="","",INDEX(_imp!$E$4:$E$4503,_imp!$C$2859))</f>
        <v/>
      </c>
      <c r="C2857" s="54">
        <f>IF(_imp!$C$2859="","",INDEX(_imp!$F$4:$F$4503,_imp!$C$2859))</f>
        <v/>
      </c>
      <c r="D2857" s="54">
        <f>IF(_imp!$C$2859="","",INDEX(_imp!$G$4:$G$4503,_imp!$C$2859))</f>
        <v/>
      </c>
      <c r="E2857" s="54">
        <f>IF(_imp!$C$2859="","",INDEX(_imp!$H$4:$H$4503,_imp!$C$2859))</f>
        <v/>
      </c>
      <c r="F2857" s="54">
        <f>IF(_imp!$C$2859="","",INDEX(_imp!$I$4:$I$4503,_imp!$C$2859))</f>
        <v/>
      </c>
      <c r="G2857" s="54">
        <f>IF(_imp!$C$2859="","",INDEX(_imp!$J$4:$J$4503,_imp!$C$2859))</f>
        <v/>
      </c>
      <c r="K2857" s="54">
        <f>IF(_imp!$C$2859="","",INDEX(_imp!$K$4:$K$4503,_imp!$C$2859))</f>
        <v/>
      </c>
    </row>
    <row r="2858">
      <c r="A2858" s="54">
        <f>IF(_imp!$C$2860="","",INDEX(_imp!$D$4:$D$4503,_imp!$C$2860))</f>
        <v/>
      </c>
      <c r="B2858" s="54">
        <f>IF(_imp!$C$2860="","",INDEX(_imp!$E$4:$E$4503,_imp!$C$2860))</f>
        <v/>
      </c>
      <c r="C2858" s="54">
        <f>IF(_imp!$C$2860="","",INDEX(_imp!$F$4:$F$4503,_imp!$C$2860))</f>
        <v/>
      </c>
      <c r="D2858" s="54">
        <f>IF(_imp!$C$2860="","",INDEX(_imp!$G$4:$G$4503,_imp!$C$2860))</f>
        <v/>
      </c>
      <c r="E2858" s="54">
        <f>IF(_imp!$C$2860="","",INDEX(_imp!$H$4:$H$4503,_imp!$C$2860))</f>
        <v/>
      </c>
      <c r="F2858" s="54">
        <f>IF(_imp!$C$2860="","",INDEX(_imp!$I$4:$I$4503,_imp!$C$2860))</f>
        <v/>
      </c>
      <c r="G2858" s="54">
        <f>IF(_imp!$C$2860="","",INDEX(_imp!$J$4:$J$4503,_imp!$C$2860))</f>
        <v/>
      </c>
      <c r="K2858" s="54">
        <f>IF(_imp!$C$2860="","",INDEX(_imp!$K$4:$K$4503,_imp!$C$2860))</f>
        <v/>
      </c>
    </row>
    <row r="2859">
      <c r="A2859" s="54">
        <f>IF(_imp!$C$2861="","",INDEX(_imp!$D$4:$D$4503,_imp!$C$2861))</f>
        <v/>
      </c>
      <c r="B2859" s="54">
        <f>IF(_imp!$C$2861="","",INDEX(_imp!$E$4:$E$4503,_imp!$C$2861))</f>
        <v/>
      </c>
      <c r="C2859" s="54">
        <f>IF(_imp!$C$2861="","",INDEX(_imp!$F$4:$F$4503,_imp!$C$2861))</f>
        <v/>
      </c>
      <c r="D2859" s="54">
        <f>IF(_imp!$C$2861="","",INDEX(_imp!$G$4:$G$4503,_imp!$C$2861))</f>
        <v/>
      </c>
      <c r="E2859" s="54">
        <f>IF(_imp!$C$2861="","",INDEX(_imp!$H$4:$H$4503,_imp!$C$2861))</f>
        <v/>
      </c>
      <c r="F2859" s="54">
        <f>IF(_imp!$C$2861="","",INDEX(_imp!$I$4:$I$4503,_imp!$C$2861))</f>
        <v/>
      </c>
      <c r="G2859" s="54">
        <f>IF(_imp!$C$2861="","",INDEX(_imp!$J$4:$J$4503,_imp!$C$2861))</f>
        <v/>
      </c>
      <c r="K2859" s="54">
        <f>IF(_imp!$C$2861="","",INDEX(_imp!$K$4:$K$4503,_imp!$C$2861))</f>
        <v/>
      </c>
    </row>
    <row r="2860">
      <c r="A2860" s="54">
        <f>IF(_imp!$C$2862="","",INDEX(_imp!$D$4:$D$4503,_imp!$C$2862))</f>
        <v/>
      </c>
      <c r="B2860" s="54">
        <f>IF(_imp!$C$2862="","",INDEX(_imp!$E$4:$E$4503,_imp!$C$2862))</f>
        <v/>
      </c>
      <c r="C2860" s="54">
        <f>IF(_imp!$C$2862="","",INDEX(_imp!$F$4:$F$4503,_imp!$C$2862))</f>
        <v/>
      </c>
      <c r="D2860" s="54">
        <f>IF(_imp!$C$2862="","",INDEX(_imp!$G$4:$G$4503,_imp!$C$2862))</f>
        <v/>
      </c>
      <c r="E2860" s="54">
        <f>IF(_imp!$C$2862="","",INDEX(_imp!$H$4:$H$4503,_imp!$C$2862))</f>
        <v/>
      </c>
      <c r="F2860" s="54">
        <f>IF(_imp!$C$2862="","",INDEX(_imp!$I$4:$I$4503,_imp!$C$2862))</f>
        <v/>
      </c>
      <c r="G2860" s="54">
        <f>IF(_imp!$C$2862="","",INDEX(_imp!$J$4:$J$4503,_imp!$C$2862))</f>
        <v/>
      </c>
      <c r="K2860" s="54">
        <f>IF(_imp!$C$2862="","",INDEX(_imp!$K$4:$K$4503,_imp!$C$2862))</f>
        <v/>
      </c>
    </row>
    <row r="2861">
      <c r="A2861" s="54">
        <f>IF(_imp!$C$2863="","",INDEX(_imp!$D$4:$D$4503,_imp!$C$2863))</f>
        <v/>
      </c>
      <c r="B2861" s="54">
        <f>IF(_imp!$C$2863="","",INDEX(_imp!$E$4:$E$4503,_imp!$C$2863))</f>
        <v/>
      </c>
      <c r="C2861" s="54">
        <f>IF(_imp!$C$2863="","",INDEX(_imp!$F$4:$F$4503,_imp!$C$2863))</f>
        <v/>
      </c>
      <c r="D2861" s="54">
        <f>IF(_imp!$C$2863="","",INDEX(_imp!$G$4:$G$4503,_imp!$C$2863))</f>
        <v/>
      </c>
      <c r="E2861" s="54">
        <f>IF(_imp!$C$2863="","",INDEX(_imp!$H$4:$H$4503,_imp!$C$2863))</f>
        <v/>
      </c>
      <c r="F2861" s="54">
        <f>IF(_imp!$C$2863="","",INDEX(_imp!$I$4:$I$4503,_imp!$C$2863))</f>
        <v/>
      </c>
      <c r="G2861" s="54">
        <f>IF(_imp!$C$2863="","",INDEX(_imp!$J$4:$J$4503,_imp!$C$2863))</f>
        <v/>
      </c>
      <c r="K2861" s="54">
        <f>IF(_imp!$C$2863="","",INDEX(_imp!$K$4:$K$4503,_imp!$C$2863))</f>
        <v/>
      </c>
    </row>
    <row r="2862">
      <c r="A2862" s="54">
        <f>IF(_imp!$C$2864="","",INDEX(_imp!$D$4:$D$4503,_imp!$C$2864))</f>
        <v/>
      </c>
      <c r="B2862" s="54">
        <f>IF(_imp!$C$2864="","",INDEX(_imp!$E$4:$E$4503,_imp!$C$2864))</f>
        <v/>
      </c>
      <c r="C2862" s="54">
        <f>IF(_imp!$C$2864="","",INDEX(_imp!$F$4:$F$4503,_imp!$C$2864))</f>
        <v/>
      </c>
      <c r="D2862" s="54">
        <f>IF(_imp!$C$2864="","",INDEX(_imp!$G$4:$G$4503,_imp!$C$2864))</f>
        <v/>
      </c>
      <c r="E2862" s="54">
        <f>IF(_imp!$C$2864="","",INDEX(_imp!$H$4:$H$4503,_imp!$C$2864))</f>
        <v/>
      </c>
      <c r="F2862" s="54">
        <f>IF(_imp!$C$2864="","",INDEX(_imp!$I$4:$I$4503,_imp!$C$2864))</f>
        <v/>
      </c>
      <c r="G2862" s="54">
        <f>IF(_imp!$C$2864="","",INDEX(_imp!$J$4:$J$4503,_imp!$C$2864))</f>
        <v/>
      </c>
      <c r="K2862" s="54">
        <f>IF(_imp!$C$2864="","",INDEX(_imp!$K$4:$K$4503,_imp!$C$2864))</f>
        <v/>
      </c>
    </row>
    <row r="2863">
      <c r="A2863" s="54">
        <f>IF(_imp!$C$2865="","",INDEX(_imp!$D$4:$D$4503,_imp!$C$2865))</f>
        <v/>
      </c>
      <c r="B2863" s="54">
        <f>IF(_imp!$C$2865="","",INDEX(_imp!$E$4:$E$4503,_imp!$C$2865))</f>
        <v/>
      </c>
      <c r="C2863" s="54">
        <f>IF(_imp!$C$2865="","",INDEX(_imp!$F$4:$F$4503,_imp!$C$2865))</f>
        <v/>
      </c>
      <c r="D2863" s="54">
        <f>IF(_imp!$C$2865="","",INDEX(_imp!$G$4:$G$4503,_imp!$C$2865))</f>
        <v/>
      </c>
      <c r="E2863" s="54">
        <f>IF(_imp!$C$2865="","",INDEX(_imp!$H$4:$H$4503,_imp!$C$2865))</f>
        <v/>
      </c>
      <c r="F2863" s="54">
        <f>IF(_imp!$C$2865="","",INDEX(_imp!$I$4:$I$4503,_imp!$C$2865))</f>
        <v/>
      </c>
      <c r="G2863" s="54">
        <f>IF(_imp!$C$2865="","",INDEX(_imp!$J$4:$J$4503,_imp!$C$2865))</f>
        <v/>
      </c>
      <c r="K2863" s="54">
        <f>IF(_imp!$C$2865="","",INDEX(_imp!$K$4:$K$4503,_imp!$C$2865))</f>
        <v/>
      </c>
    </row>
    <row r="2864">
      <c r="A2864" s="54">
        <f>IF(_imp!$C$2866="","",INDEX(_imp!$D$4:$D$4503,_imp!$C$2866))</f>
        <v/>
      </c>
      <c r="B2864" s="54">
        <f>IF(_imp!$C$2866="","",INDEX(_imp!$E$4:$E$4503,_imp!$C$2866))</f>
        <v/>
      </c>
      <c r="C2864" s="54">
        <f>IF(_imp!$C$2866="","",INDEX(_imp!$F$4:$F$4503,_imp!$C$2866))</f>
        <v/>
      </c>
      <c r="D2864" s="54">
        <f>IF(_imp!$C$2866="","",INDEX(_imp!$G$4:$G$4503,_imp!$C$2866))</f>
        <v/>
      </c>
      <c r="E2864" s="54">
        <f>IF(_imp!$C$2866="","",INDEX(_imp!$H$4:$H$4503,_imp!$C$2866))</f>
        <v/>
      </c>
      <c r="F2864" s="54">
        <f>IF(_imp!$C$2866="","",INDEX(_imp!$I$4:$I$4503,_imp!$C$2866))</f>
        <v/>
      </c>
      <c r="G2864" s="54">
        <f>IF(_imp!$C$2866="","",INDEX(_imp!$J$4:$J$4503,_imp!$C$2866))</f>
        <v/>
      </c>
      <c r="K2864" s="54">
        <f>IF(_imp!$C$2866="","",INDEX(_imp!$K$4:$K$4503,_imp!$C$2866))</f>
        <v/>
      </c>
    </row>
    <row r="2865">
      <c r="A2865" s="54">
        <f>IF(_imp!$C$2867="","",INDEX(_imp!$D$4:$D$4503,_imp!$C$2867))</f>
        <v/>
      </c>
      <c r="B2865" s="54">
        <f>IF(_imp!$C$2867="","",INDEX(_imp!$E$4:$E$4503,_imp!$C$2867))</f>
        <v/>
      </c>
      <c r="C2865" s="54">
        <f>IF(_imp!$C$2867="","",INDEX(_imp!$F$4:$F$4503,_imp!$C$2867))</f>
        <v/>
      </c>
      <c r="D2865" s="54">
        <f>IF(_imp!$C$2867="","",INDEX(_imp!$G$4:$G$4503,_imp!$C$2867))</f>
        <v/>
      </c>
      <c r="E2865" s="54">
        <f>IF(_imp!$C$2867="","",INDEX(_imp!$H$4:$H$4503,_imp!$C$2867))</f>
        <v/>
      </c>
      <c r="F2865" s="54">
        <f>IF(_imp!$C$2867="","",INDEX(_imp!$I$4:$I$4503,_imp!$C$2867))</f>
        <v/>
      </c>
      <c r="G2865" s="54">
        <f>IF(_imp!$C$2867="","",INDEX(_imp!$J$4:$J$4503,_imp!$C$2867))</f>
        <v/>
      </c>
      <c r="K2865" s="54">
        <f>IF(_imp!$C$2867="","",INDEX(_imp!$K$4:$K$4503,_imp!$C$2867))</f>
        <v/>
      </c>
    </row>
    <row r="2866">
      <c r="A2866" s="54">
        <f>IF(_imp!$C$2868="","",INDEX(_imp!$D$4:$D$4503,_imp!$C$2868))</f>
        <v/>
      </c>
      <c r="B2866" s="54">
        <f>IF(_imp!$C$2868="","",INDEX(_imp!$E$4:$E$4503,_imp!$C$2868))</f>
        <v/>
      </c>
      <c r="C2866" s="54">
        <f>IF(_imp!$C$2868="","",INDEX(_imp!$F$4:$F$4503,_imp!$C$2868))</f>
        <v/>
      </c>
      <c r="D2866" s="54">
        <f>IF(_imp!$C$2868="","",INDEX(_imp!$G$4:$G$4503,_imp!$C$2868))</f>
        <v/>
      </c>
      <c r="E2866" s="54">
        <f>IF(_imp!$C$2868="","",INDEX(_imp!$H$4:$H$4503,_imp!$C$2868))</f>
        <v/>
      </c>
      <c r="F2866" s="54">
        <f>IF(_imp!$C$2868="","",INDEX(_imp!$I$4:$I$4503,_imp!$C$2868))</f>
        <v/>
      </c>
      <c r="G2866" s="54">
        <f>IF(_imp!$C$2868="","",INDEX(_imp!$J$4:$J$4503,_imp!$C$2868))</f>
        <v/>
      </c>
      <c r="K2866" s="54">
        <f>IF(_imp!$C$2868="","",INDEX(_imp!$K$4:$K$4503,_imp!$C$2868))</f>
        <v/>
      </c>
    </row>
    <row r="2867">
      <c r="A2867" s="54">
        <f>IF(_imp!$C$2869="","",INDEX(_imp!$D$4:$D$4503,_imp!$C$2869))</f>
        <v/>
      </c>
      <c r="B2867" s="54">
        <f>IF(_imp!$C$2869="","",INDEX(_imp!$E$4:$E$4503,_imp!$C$2869))</f>
        <v/>
      </c>
      <c r="C2867" s="54">
        <f>IF(_imp!$C$2869="","",INDEX(_imp!$F$4:$F$4503,_imp!$C$2869))</f>
        <v/>
      </c>
      <c r="D2867" s="54">
        <f>IF(_imp!$C$2869="","",INDEX(_imp!$G$4:$G$4503,_imp!$C$2869))</f>
        <v/>
      </c>
      <c r="E2867" s="54">
        <f>IF(_imp!$C$2869="","",INDEX(_imp!$H$4:$H$4503,_imp!$C$2869))</f>
        <v/>
      </c>
      <c r="F2867" s="54">
        <f>IF(_imp!$C$2869="","",INDEX(_imp!$I$4:$I$4503,_imp!$C$2869))</f>
        <v/>
      </c>
      <c r="G2867" s="54">
        <f>IF(_imp!$C$2869="","",INDEX(_imp!$J$4:$J$4503,_imp!$C$2869))</f>
        <v/>
      </c>
      <c r="K2867" s="54">
        <f>IF(_imp!$C$2869="","",INDEX(_imp!$K$4:$K$4503,_imp!$C$2869))</f>
        <v/>
      </c>
    </row>
    <row r="2868">
      <c r="A2868" s="54">
        <f>IF(_imp!$C$2870="","",INDEX(_imp!$D$4:$D$4503,_imp!$C$2870))</f>
        <v/>
      </c>
      <c r="B2868" s="54">
        <f>IF(_imp!$C$2870="","",INDEX(_imp!$E$4:$E$4503,_imp!$C$2870))</f>
        <v/>
      </c>
      <c r="C2868" s="54">
        <f>IF(_imp!$C$2870="","",INDEX(_imp!$F$4:$F$4503,_imp!$C$2870))</f>
        <v/>
      </c>
      <c r="D2868" s="54">
        <f>IF(_imp!$C$2870="","",INDEX(_imp!$G$4:$G$4503,_imp!$C$2870))</f>
        <v/>
      </c>
      <c r="E2868" s="54">
        <f>IF(_imp!$C$2870="","",INDEX(_imp!$H$4:$H$4503,_imp!$C$2870))</f>
        <v/>
      </c>
      <c r="F2868" s="54">
        <f>IF(_imp!$C$2870="","",INDEX(_imp!$I$4:$I$4503,_imp!$C$2870))</f>
        <v/>
      </c>
      <c r="G2868" s="54">
        <f>IF(_imp!$C$2870="","",INDEX(_imp!$J$4:$J$4503,_imp!$C$2870))</f>
        <v/>
      </c>
      <c r="K2868" s="54">
        <f>IF(_imp!$C$2870="","",INDEX(_imp!$K$4:$K$4503,_imp!$C$2870))</f>
        <v/>
      </c>
    </row>
    <row r="2869">
      <c r="A2869" s="54">
        <f>IF(_imp!$C$2871="","",INDEX(_imp!$D$4:$D$4503,_imp!$C$2871))</f>
        <v/>
      </c>
      <c r="B2869" s="54">
        <f>IF(_imp!$C$2871="","",INDEX(_imp!$E$4:$E$4503,_imp!$C$2871))</f>
        <v/>
      </c>
      <c r="C2869" s="54">
        <f>IF(_imp!$C$2871="","",INDEX(_imp!$F$4:$F$4503,_imp!$C$2871))</f>
        <v/>
      </c>
      <c r="D2869" s="54">
        <f>IF(_imp!$C$2871="","",INDEX(_imp!$G$4:$G$4503,_imp!$C$2871))</f>
        <v/>
      </c>
      <c r="E2869" s="54">
        <f>IF(_imp!$C$2871="","",INDEX(_imp!$H$4:$H$4503,_imp!$C$2871))</f>
        <v/>
      </c>
      <c r="F2869" s="54">
        <f>IF(_imp!$C$2871="","",INDEX(_imp!$I$4:$I$4503,_imp!$C$2871))</f>
        <v/>
      </c>
      <c r="G2869" s="54">
        <f>IF(_imp!$C$2871="","",INDEX(_imp!$J$4:$J$4503,_imp!$C$2871))</f>
        <v/>
      </c>
      <c r="K2869" s="54">
        <f>IF(_imp!$C$2871="","",INDEX(_imp!$K$4:$K$4503,_imp!$C$2871))</f>
        <v/>
      </c>
    </row>
    <row r="2870">
      <c r="A2870" s="54">
        <f>IF(_imp!$C$2872="","",INDEX(_imp!$D$4:$D$4503,_imp!$C$2872))</f>
        <v/>
      </c>
      <c r="B2870" s="54">
        <f>IF(_imp!$C$2872="","",INDEX(_imp!$E$4:$E$4503,_imp!$C$2872))</f>
        <v/>
      </c>
      <c r="C2870" s="54">
        <f>IF(_imp!$C$2872="","",INDEX(_imp!$F$4:$F$4503,_imp!$C$2872))</f>
        <v/>
      </c>
      <c r="D2870" s="54">
        <f>IF(_imp!$C$2872="","",INDEX(_imp!$G$4:$G$4503,_imp!$C$2872))</f>
        <v/>
      </c>
      <c r="E2870" s="54">
        <f>IF(_imp!$C$2872="","",INDEX(_imp!$H$4:$H$4503,_imp!$C$2872))</f>
        <v/>
      </c>
      <c r="F2870" s="54">
        <f>IF(_imp!$C$2872="","",INDEX(_imp!$I$4:$I$4503,_imp!$C$2872))</f>
        <v/>
      </c>
      <c r="G2870" s="54">
        <f>IF(_imp!$C$2872="","",INDEX(_imp!$J$4:$J$4503,_imp!$C$2872))</f>
        <v/>
      </c>
      <c r="K2870" s="54">
        <f>IF(_imp!$C$2872="","",INDEX(_imp!$K$4:$K$4503,_imp!$C$2872))</f>
        <v/>
      </c>
    </row>
    <row r="2871">
      <c r="A2871" s="54">
        <f>IF(_imp!$C$2873="","",INDEX(_imp!$D$4:$D$4503,_imp!$C$2873))</f>
        <v/>
      </c>
      <c r="B2871" s="54">
        <f>IF(_imp!$C$2873="","",INDEX(_imp!$E$4:$E$4503,_imp!$C$2873))</f>
        <v/>
      </c>
      <c r="C2871" s="54">
        <f>IF(_imp!$C$2873="","",INDEX(_imp!$F$4:$F$4503,_imp!$C$2873))</f>
        <v/>
      </c>
      <c r="D2871" s="54">
        <f>IF(_imp!$C$2873="","",INDEX(_imp!$G$4:$G$4503,_imp!$C$2873))</f>
        <v/>
      </c>
      <c r="E2871" s="54">
        <f>IF(_imp!$C$2873="","",INDEX(_imp!$H$4:$H$4503,_imp!$C$2873))</f>
        <v/>
      </c>
      <c r="F2871" s="54">
        <f>IF(_imp!$C$2873="","",INDEX(_imp!$I$4:$I$4503,_imp!$C$2873))</f>
        <v/>
      </c>
      <c r="G2871" s="54">
        <f>IF(_imp!$C$2873="","",INDEX(_imp!$J$4:$J$4503,_imp!$C$2873))</f>
        <v/>
      </c>
      <c r="K2871" s="54">
        <f>IF(_imp!$C$2873="","",INDEX(_imp!$K$4:$K$4503,_imp!$C$2873))</f>
        <v/>
      </c>
    </row>
    <row r="2872">
      <c r="A2872" s="54">
        <f>IF(_imp!$C$2874="","",INDEX(_imp!$D$4:$D$4503,_imp!$C$2874))</f>
        <v/>
      </c>
      <c r="B2872" s="54">
        <f>IF(_imp!$C$2874="","",INDEX(_imp!$E$4:$E$4503,_imp!$C$2874))</f>
        <v/>
      </c>
      <c r="C2872" s="54">
        <f>IF(_imp!$C$2874="","",INDEX(_imp!$F$4:$F$4503,_imp!$C$2874))</f>
        <v/>
      </c>
      <c r="D2872" s="54">
        <f>IF(_imp!$C$2874="","",INDEX(_imp!$G$4:$G$4503,_imp!$C$2874))</f>
        <v/>
      </c>
      <c r="E2872" s="54">
        <f>IF(_imp!$C$2874="","",INDEX(_imp!$H$4:$H$4503,_imp!$C$2874))</f>
        <v/>
      </c>
      <c r="F2872" s="54">
        <f>IF(_imp!$C$2874="","",INDEX(_imp!$I$4:$I$4503,_imp!$C$2874))</f>
        <v/>
      </c>
      <c r="G2872" s="54">
        <f>IF(_imp!$C$2874="","",INDEX(_imp!$J$4:$J$4503,_imp!$C$2874))</f>
        <v/>
      </c>
      <c r="K2872" s="54">
        <f>IF(_imp!$C$2874="","",INDEX(_imp!$K$4:$K$4503,_imp!$C$2874))</f>
        <v/>
      </c>
    </row>
    <row r="2873">
      <c r="A2873" s="54">
        <f>IF(_imp!$C$2875="","",INDEX(_imp!$D$4:$D$4503,_imp!$C$2875))</f>
        <v/>
      </c>
      <c r="B2873" s="54">
        <f>IF(_imp!$C$2875="","",INDEX(_imp!$E$4:$E$4503,_imp!$C$2875))</f>
        <v/>
      </c>
      <c r="C2873" s="54">
        <f>IF(_imp!$C$2875="","",INDEX(_imp!$F$4:$F$4503,_imp!$C$2875))</f>
        <v/>
      </c>
      <c r="D2873" s="54">
        <f>IF(_imp!$C$2875="","",INDEX(_imp!$G$4:$G$4503,_imp!$C$2875))</f>
        <v/>
      </c>
      <c r="E2873" s="54">
        <f>IF(_imp!$C$2875="","",INDEX(_imp!$H$4:$H$4503,_imp!$C$2875))</f>
        <v/>
      </c>
      <c r="F2873" s="54">
        <f>IF(_imp!$C$2875="","",INDEX(_imp!$I$4:$I$4503,_imp!$C$2875))</f>
        <v/>
      </c>
      <c r="G2873" s="54">
        <f>IF(_imp!$C$2875="","",INDEX(_imp!$J$4:$J$4503,_imp!$C$2875))</f>
        <v/>
      </c>
      <c r="K2873" s="54">
        <f>IF(_imp!$C$2875="","",INDEX(_imp!$K$4:$K$4503,_imp!$C$2875))</f>
        <v/>
      </c>
    </row>
    <row r="2874">
      <c r="A2874" s="54">
        <f>IF(_imp!$C$2876="","",INDEX(_imp!$D$4:$D$4503,_imp!$C$2876))</f>
        <v/>
      </c>
      <c r="B2874" s="54">
        <f>IF(_imp!$C$2876="","",INDEX(_imp!$E$4:$E$4503,_imp!$C$2876))</f>
        <v/>
      </c>
      <c r="C2874" s="54">
        <f>IF(_imp!$C$2876="","",INDEX(_imp!$F$4:$F$4503,_imp!$C$2876))</f>
        <v/>
      </c>
      <c r="D2874" s="54">
        <f>IF(_imp!$C$2876="","",INDEX(_imp!$G$4:$G$4503,_imp!$C$2876))</f>
        <v/>
      </c>
      <c r="E2874" s="54">
        <f>IF(_imp!$C$2876="","",INDEX(_imp!$H$4:$H$4503,_imp!$C$2876))</f>
        <v/>
      </c>
      <c r="F2874" s="54">
        <f>IF(_imp!$C$2876="","",INDEX(_imp!$I$4:$I$4503,_imp!$C$2876))</f>
        <v/>
      </c>
      <c r="G2874" s="54">
        <f>IF(_imp!$C$2876="","",INDEX(_imp!$J$4:$J$4503,_imp!$C$2876))</f>
        <v/>
      </c>
      <c r="K2874" s="54">
        <f>IF(_imp!$C$2876="","",INDEX(_imp!$K$4:$K$4503,_imp!$C$2876))</f>
        <v/>
      </c>
    </row>
    <row r="2875">
      <c r="A2875" s="54">
        <f>IF(_imp!$C$2877="","",INDEX(_imp!$D$4:$D$4503,_imp!$C$2877))</f>
        <v/>
      </c>
      <c r="B2875" s="54">
        <f>IF(_imp!$C$2877="","",INDEX(_imp!$E$4:$E$4503,_imp!$C$2877))</f>
        <v/>
      </c>
      <c r="C2875" s="54">
        <f>IF(_imp!$C$2877="","",INDEX(_imp!$F$4:$F$4503,_imp!$C$2877))</f>
        <v/>
      </c>
      <c r="D2875" s="54">
        <f>IF(_imp!$C$2877="","",INDEX(_imp!$G$4:$G$4503,_imp!$C$2877))</f>
        <v/>
      </c>
      <c r="E2875" s="54">
        <f>IF(_imp!$C$2877="","",INDEX(_imp!$H$4:$H$4503,_imp!$C$2877))</f>
        <v/>
      </c>
      <c r="F2875" s="54">
        <f>IF(_imp!$C$2877="","",INDEX(_imp!$I$4:$I$4503,_imp!$C$2877))</f>
        <v/>
      </c>
      <c r="G2875" s="54">
        <f>IF(_imp!$C$2877="","",INDEX(_imp!$J$4:$J$4503,_imp!$C$2877))</f>
        <v/>
      </c>
      <c r="K2875" s="54">
        <f>IF(_imp!$C$2877="","",INDEX(_imp!$K$4:$K$4503,_imp!$C$2877))</f>
        <v/>
      </c>
    </row>
    <row r="2876">
      <c r="A2876" s="54">
        <f>IF(_imp!$C$2878="","",INDEX(_imp!$D$4:$D$4503,_imp!$C$2878))</f>
        <v/>
      </c>
      <c r="B2876" s="54">
        <f>IF(_imp!$C$2878="","",INDEX(_imp!$E$4:$E$4503,_imp!$C$2878))</f>
        <v/>
      </c>
      <c r="C2876" s="54">
        <f>IF(_imp!$C$2878="","",INDEX(_imp!$F$4:$F$4503,_imp!$C$2878))</f>
        <v/>
      </c>
      <c r="D2876" s="54">
        <f>IF(_imp!$C$2878="","",INDEX(_imp!$G$4:$G$4503,_imp!$C$2878))</f>
        <v/>
      </c>
      <c r="E2876" s="54">
        <f>IF(_imp!$C$2878="","",INDEX(_imp!$H$4:$H$4503,_imp!$C$2878))</f>
        <v/>
      </c>
      <c r="F2876" s="54">
        <f>IF(_imp!$C$2878="","",INDEX(_imp!$I$4:$I$4503,_imp!$C$2878))</f>
        <v/>
      </c>
      <c r="G2876" s="54">
        <f>IF(_imp!$C$2878="","",INDEX(_imp!$J$4:$J$4503,_imp!$C$2878))</f>
        <v/>
      </c>
      <c r="K2876" s="54">
        <f>IF(_imp!$C$2878="","",INDEX(_imp!$K$4:$K$4503,_imp!$C$2878))</f>
        <v/>
      </c>
    </row>
    <row r="2877">
      <c r="A2877" s="54">
        <f>IF(_imp!$C$2879="","",INDEX(_imp!$D$4:$D$4503,_imp!$C$2879))</f>
        <v/>
      </c>
      <c r="B2877" s="54">
        <f>IF(_imp!$C$2879="","",INDEX(_imp!$E$4:$E$4503,_imp!$C$2879))</f>
        <v/>
      </c>
      <c r="C2877" s="54">
        <f>IF(_imp!$C$2879="","",INDEX(_imp!$F$4:$F$4503,_imp!$C$2879))</f>
        <v/>
      </c>
      <c r="D2877" s="54">
        <f>IF(_imp!$C$2879="","",INDEX(_imp!$G$4:$G$4503,_imp!$C$2879))</f>
        <v/>
      </c>
      <c r="E2877" s="54">
        <f>IF(_imp!$C$2879="","",INDEX(_imp!$H$4:$H$4503,_imp!$C$2879))</f>
        <v/>
      </c>
      <c r="F2877" s="54">
        <f>IF(_imp!$C$2879="","",INDEX(_imp!$I$4:$I$4503,_imp!$C$2879))</f>
        <v/>
      </c>
      <c r="G2877" s="54">
        <f>IF(_imp!$C$2879="","",INDEX(_imp!$J$4:$J$4503,_imp!$C$2879))</f>
        <v/>
      </c>
      <c r="K2877" s="54">
        <f>IF(_imp!$C$2879="","",INDEX(_imp!$K$4:$K$4503,_imp!$C$2879))</f>
        <v/>
      </c>
    </row>
    <row r="2878">
      <c r="A2878" s="54">
        <f>IF(_imp!$C$2880="","",INDEX(_imp!$D$4:$D$4503,_imp!$C$2880))</f>
        <v/>
      </c>
      <c r="B2878" s="54">
        <f>IF(_imp!$C$2880="","",INDEX(_imp!$E$4:$E$4503,_imp!$C$2880))</f>
        <v/>
      </c>
      <c r="C2878" s="54">
        <f>IF(_imp!$C$2880="","",INDEX(_imp!$F$4:$F$4503,_imp!$C$2880))</f>
        <v/>
      </c>
      <c r="D2878" s="54">
        <f>IF(_imp!$C$2880="","",INDEX(_imp!$G$4:$G$4503,_imp!$C$2880))</f>
        <v/>
      </c>
      <c r="E2878" s="54">
        <f>IF(_imp!$C$2880="","",INDEX(_imp!$H$4:$H$4503,_imp!$C$2880))</f>
        <v/>
      </c>
      <c r="F2878" s="54">
        <f>IF(_imp!$C$2880="","",INDEX(_imp!$I$4:$I$4503,_imp!$C$2880))</f>
        <v/>
      </c>
      <c r="G2878" s="54">
        <f>IF(_imp!$C$2880="","",INDEX(_imp!$J$4:$J$4503,_imp!$C$2880))</f>
        <v/>
      </c>
      <c r="K2878" s="54">
        <f>IF(_imp!$C$2880="","",INDEX(_imp!$K$4:$K$4503,_imp!$C$2880))</f>
        <v/>
      </c>
    </row>
    <row r="2879">
      <c r="A2879" s="54">
        <f>IF(_imp!$C$2881="","",INDEX(_imp!$D$4:$D$4503,_imp!$C$2881))</f>
        <v/>
      </c>
      <c r="B2879" s="54">
        <f>IF(_imp!$C$2881="","",INDEX(_imp!$E$4:$E$4503,_imp!$C$2881))</f>
        <v/>
      </c>
      <c r="C2879" s="54">
        <f>IF(_imp!$C$2881="","",INDEX(_imp!$F$4:$F$4503,_imp!$C$2881))</f>
        <v/>
      </c>
      <c r="D2879" s="54">
        <f>IF(_imp!$C$2881="","",INDEX(_imp!$G$4:$G$4503,_imp!$C$2881))</f>
        <v/>
      </c>
      <c r="E2879" s="54">
        <f>IF(_imp!$C$2881="","",INDEX(_imp!$H$4:$H$4503,_imp!$C$2881))</f>
        <v/>
      </c>
      <c r="F2879" s="54">
        <f>IF(_imp!$C$2881="","",INDEX(_imp!$I$4:$I$4503,_imp!$C$2881))</f>
        <v/>
      </c>
      <c r="G2879" s="54">
        <f>IF(_imp!$C$2881="","",INDEX(_imp!$J$4:$J$4503,_imp!$C$2881))</f>
        <v/>
      </c>
      <c r="K2879" s="54">
        <f>IF(_imp!$C$2881="","",INDEX(_imp!$K$4:$K$4503,_imp!$C$2881))</f>
        <v/>
      </c>
    </row>
    <row r="2880">
      <c r="A2880" s="54">
        <f>IF(_imp!$C$2882="","",INDEX(_imp!$D$4:$D$4503,_imp!$C$2882))</f>
        <v/>
      </c>
      <c r="B2880" s="54">
        <f>IF(_imp!$C$2882="","",INDEX(_imp!$E$4:$E$4503,_imp!$C$2882))</f>
        <v/>
      </c>
      <c r="C2880" s="54">
        <f>IF(_imp!$C$2882="","",INDEX(_imp!$F$4:$F$4503,_imp!$C$2882))</f>
        <v/>
      </c>
      <c r="D2880" s="54">
        <f>IF(_imp!$C$2882="","",INDEX(_imp!$G$4:$G$4503,_imp!$C$2882))</f>
        <v/>
      </c>
      <c r="E2880" s="54">
        <f>IF(_imp!$C$2882="","",INDEX(_imp!$H$4:$H$4503,_imp!$C$2882))</f>
        <v/>
      </c>
      <c r="F2880" s="54">
        <f>IF(_imp!$C$2882="","",INDEX(_imp!$I$4:$I$4503,_imp!$C$2882))</f>
        <v/>
      </c>
      <c r="G2880" s="54">
        <f>IF(_imp!$C$2882="","",INDEX(_imp!$J$4:$J$4503,_imp!$C$2882))</f>
        <v/>
      </c>
      <c r="K2880" s="54">
        <f>IF(_imp!$C$2882="","",INDEX(_imp!$K$4:$K$4503,_imp!$C$2882))</f>
        <v/>
      </c>
    </row>
    <row r="2881">
      <c r="A2881" s="54">
        <f>IF(_imp!$C$2883="","",INDEX(_imp!$D$4:$D$4503,_imp!$C$2883))</f>
        <v/>
      </c>
      <c r="B2881" s="54">
        <f>IF(_imp!$C$2883="","",INDEX(_imp!$E$4:$E$4503,_imp!$C$2883))</f>
        <v/>
      </c>
      <c r="C2881" s="54">
        <f>IF(_imp!$C$2883="","",INDEX(_imp!$F$4:$F$4503,_imp!$C$2883))</f>
        <v/>
      </c>
      <c r="D2881" s="54">
        <f>IF(_imp!$C$2883="","",INDEX(_imp!$G$4:$G$4503,_imp!$C$2883))</f>
        <v/>
      </c>
      <c r="E2881" s="54">
        <f>IF(_imp!$C$2883="","",INDEX(_imp!$H$4:$H$4503,_imp!$C$2883))</f>
        <v/>
      </c>
      <c r="F2881" s="54">
        <f>IF(_imp!$C$2883="","",INDEX(_imp!$I$4:$I$4503,_imp!$C$2883))</f>
        <v/>
      </c>
      <c r="G2881" s="54">
        <f>IF(_imp!$C$2883="","",INDEX(_imp!$J$4:$J$4503,_imp!$C$2883))</f>
        <v/>
      </c>
      <c r="K2881" s="54">
        <f>IF(_imp!$C$2883="","",INDEX(_imp!$K$4:$K$4503,_imp!$C$2883))</f>
        <v/>
      </c>
    </row>
    <row r="2882">
      <c r="A2882" s="54">
        <f>IF(_imp!$C$2884="","",INDEX(_imp!$D$4:$D$4503,_imp!$C$2884))</f>
        <v/>
      </c>
      <c r="B2882" s="54">
        <f>IF(_imp!$C$2884="","",INDEX(_imp!$E$4:$E$4503,_imp!$C$2884))</f>
        <v/>
      </c>
      <c r="C2882" s="54">
        <f>IF(_imp!$C$2884="","",INDEX(_imp!$F$4:$F$4503,_imp!$C$2884))</f>
        <v/>
      </c>
      <c r="D2882" s="54">
        <f>IF(_imp!$C$2884="","",INDEX(_imp!$G$4:$G$4503,_imp!$C$2884))</f>
        <v/>
      </c>
      <c r="E2882" s="54">
        <f>IF(_imp!$C$2884="","",INDEX(_imp!$H$4:$H$4503,_imp!$C$2884))</f>
        <v/>
      </c>
      <c r="F2882" s="54">
        <f>IF(_imp!$C$2884="","",INDEX(_imp!$I$4:$I$4503,_imp!$C$2884))</f>
        <v/>
      </c>
      <c r="G2882" s="54">
        <f>IF(_imp!$C$2884="","",INDEX(_imp!$J$4:$J$4503,_imp!$C$2884))</f>
        <v/>
      </c>
      <c r="K2882" s="54">
        <f>IF(_imp!$C$2884="","",INDEX(_imp!$K$4:$K$4503,_imp!$C$2884))</f>
        <v/>
      </c>
    </row>
    <row r="2883">
      <c r="A2883" s="54">
        <f>IF(_imp!$C$2885="","",INDEX(_imp!$D$4:$D$4503,_imp!$C$2885))</f>
        <v/>
      </c>
      <c r="B2883" s="54">
        <f>IF(_imp!$C$2885="","",INDEX(_imp!$E$4:$E$4503,_imp!$C$2885))</f>
        <v/>
      </c>
      <c r="C2883" s="54">
        <f>IF(_imp!$C$2885="","",INDEX(_imp!$F$4:$F$4503,_imp!$C$2885))</f>
        <v/>
      </c>
      <c r="D2883" s="54">
        <f>IF(_imp!$C$2885="","",INDEX(_imp!$G$4:$G$4503,_imp!$C$2885))</f>
        <v/>
      </c>
      <c r="E2883" s="54">
        <f>IF(_imp!$C$2885="","",INDEX(_imp!$H$4:$H$4503,_imp!$C$2885))</f>
        <v/>
      </c>
      <c r="F2883" s="54">
        <f>IF(_imp!$C$2885="","",INDEX(_imp!$I$4:$I$4503,_imp!$C$2885))</f>
        <v/>
      </c>
      <c r="G2883" s="54">
        <f>IF(_imp!$C$2885="","",INDEX(_imp!$J$4:$J$4503,_imp!$C$2885))</f>
        <v/>
      </c>
      <c r="K2883" s="54">
        <f>IF(_imp!$C$2885="","",INDEX(_imp!$K$4:$K$4503,_imp!$C$2885))</f>
        <v/>
      </c>
    </row>
    <row r="2884">
      <c r="A2884" s="54">
        <f>IF(_imp!$C$2886="","",INDEX(_imp!$D$4:$D$4503,_imp!$C$2886))</f>
        <v/>
      </c>
      <c r="B2884" s="54">
        <f>IF(_imp!$C$2886="","",INDEX(_imp!$E$4:$E$4503,_imp!$C$2886))</f>
        <v/>
      </c>
      <c r="C2884" s="54">
        <f>IF(_imp!$C$2886="","",INDEX(_imp!$F$4:$F$4503,_imp!$C$2886))</f>
        <v/>
      </c>
      <c r="D2884" s="54">
        <f>IF(_imp!$C$2886="","",INDEX(_imp!$G$4:$G$4503,_imp!$C$2886))</f>
        <v/>
      </c>
      <c r="E2884" s="54">
        <f>IF(_imp!$C$2886="","",INDEX(_imp!$H$4:$H$4503,_imp!$C$2886))</f>
        <v/>
      </c>
      <c r="F2884" s="54">
        <f>IF(_imp!$C$2886="","",INDEX(_imp!$I$4:$I$4503,_imp!$C$2886))</f>
        <v/>
      </c>
      <c r="G2884" s="54">
        <f>IF(_imp!$C$2886="","",INDEX(_imp!$J$4:$J$4503,_imp!$C$2886))</f>
        <v/>
      </c>
      <c r="K2884" s="54">
        <f>IF(_imp!$C$2886="","",INDEX(_imp!$K$4:$K$4503,_imp!$C$2886))</f>
        <v/>
      </c>
    </row>
    <row r="2885">
      <c r="A2885" s="54">
        <f>IF(_imp!$C$2887="","",INDEX(_imp!$D$4:$D$4503,_imp!$C$2887))</f>
        <v/>
      </c>
      <c r="B2885" s="54">
        <f>IF(_imp!$C$2887="","",INDEX(_imp!$E$4:$E$4503,_imp!$C$2887))</f>
        <v/>
      </c>
      <c r="C2885" s="54">
        <f>IF(_imp!$C$2887="","",INDEX(_imp!$F$4:$F$4503,_imp!$C$2887))</f>
        <v/>
      </c>
      <c r="D2885" s="54">
        <f>IF(_imp!$C$2887="","",INDEX(_imp!$G$4:$G$4503,_imp!$C$2887))</f>
        <v/>
      </c>
      <c r="E2885" s="54">
        <f>IF(_imp!$C$2887="","",INDEX(_imp!$H$4:$H$4503,_imp!$C$2887))</f>
        <v/>
      </c>
      <c r="F2885" s="54">
        <f>IF(_imp!$C$2887="","",INDEX(_imp!$I$4:$I$4503,_imp!$C$2887))</f>
        <v/>
      </c>
      <c r="G2885" s="54">
        <f>IF(_imp!$C$2887="","",INDEX(_imp!$J$4:$J$4503,_imp!$C$2887))</f>
        <v/>
      </c>
      <c r="K2885" s="54">
        <f>IF(_imp!$C$2887="","",INDEX(_imp!$K$4:$K$4503,_imp!$C$2887))</f>
        <v/>
      </c>
    </row>
    <row r="2886">
      <c r="A2886" s="54">
        <f>IF(_imp!$C$2888="","",INDEX(_imp!$D$4:$D$4503,_imp!$C$2888))</f>
        <v/>
      </c>
      <c r="B2886" s="54">
        <f>IF(_imp!$C$2888="","",INDEX(_imp!$E$4:$E$4503,_imp!$C$2888))</f>
        <v/>
      </c>
      <c r="C2886" s="54">
        <f>IF(_imp!$C$2888="","",INDEX(_imp!$F$4:$F$4503,_imp!$C$2888))</f>
        <v/>
      </c>
      <c r="D2886" s="54">
        <f>IF(_imp!$C$2888="","",INDEX(_imp!$G$4:$G$4503,_imp!$C$2888))</f>
        <v/>
      </c>
      <c r="E2886" s="54">
        <f>IF(_imp!$C$2888="","",INDEX(_imp!$H$4:$H$4503,_imp!$C$2888))</f>
        <v/>
      </c>
      <c r="F2886" s="54">
        <f>IF(_imp!$C$2888="","",INDEX(_imp!$I$4:$I$4503,_imp!$C$2888))</f>
        <v/>
      </c>
      <c r="G2886" s="54">
        <f>IF(_imp!$C$2888="","",INDEX(_imp!$J$4:$J$4503,_imp!$C$2888))</f>
        <v/>
      </c>
      <c r="K2886" s="54">
        <f>IF(_imp!$C$2888="","",INDEX(_imp!$K$4:$K$4503,_imp!$C$2888))</f>
        <v/>
      </c>
    </row>
    <row r="2887">
      <c r="A2887" s="54">
        <f>IF(_imp!$C$2889="","",INDEX(_imp!$D$4:$D$4503,_imp!$C$2889))</f>
        <v/>
      </c>
      <c r="B2887" s="54">
        <f>IF(_imp!$C$2889="","",INDEX(_imp!$E$4:$E$4503,_imp!$C$2889))</f>
        <v/>
      </c>
      <c r="C2887" s="54">
        <f>IF(_imp!$C$2889="","",INDEX(_imp!$F$4:$F$4503,_imp!$C$2889))</f>
        <v/>
      </c>
      <c r="D2887" s="54">
        <f>IF(_imp!$C$2889="","",INDEX(_imp!$G$4:$G$4503,_imp!$C$2889))</f>
        <v/>
      </c>
      <c r="E2887" s="54">
        <f>IF(_imp!$C$2889="","",INDEX(_imp!$H$4:$H$4503,_imp!$C$2889))</f>
        <v/>
      </c>
      <c r="F2887" s="54">
        <f>IF(_imp!$C$2889="","",INDEX(_imp!$I$4:$I$4503,_imp!$C$2889))</f>
        <v/>
      </c>
      <c r="G2887" s="54">
        <f>IF(_imp!$C$2889="","",INDEX(_imp!$J$4:$J$4503,_imp!$C$2889))</f>
        <v/>
      </c>
      <c r="K2887" s="54">
        <f>IF(_imp!$C$2889="","",INDEX(_imp!$K$4:$K$4503,_imp!$C$2889))</f>
        <v/>
      </c>
    </row>
    <row r="2888">
      <c r="A2888" s="54">
        <f>IF(_imp!$C$2890="","",INDEX(_imp!$D$4:$D$4503,_imp!$C$2890))</f>
        <v/>
      </c>
      <c r="B2888" s="54">
        <f>IF(_imp!$C$2890="","",INDEX(_imp!$E$4:$E$4503,_imp!$C$2890))</f>
        <v/>
      </c>
      <c r="C2888" s="54">
        <f>IF(_imp!$C$2890="","",INDEX(_imp!$F$4:$F$4503,_imp!$C$2890))</f>
        <v/>
      </c>
      <c r="D2888" s="54">
        <f>IF(_imp!$C$2890="","",INDEX(_imp!$G$4:$G$4503,_imp!$C$2890))</f>
        <v/>
      </c>
      <c r="E2888" s="54">
        <f>IF(_imp!$C$2890="","",INDEX(_imp!$H$4:$H$4503,_imp!$C$2890))</f>
        <v/>
      </c>
      <c r="F2888" s="54">
        <f>IF(_imp!$C$2890="","",INDEX(_imp!$I$4:$I$4503,_imp!$C$2890))</f>
        <v/>
      </c>
      <c r="G2888" s="54">
        <f>IF(_imp!$C$2890="","",INDEX(_imp!$J$4:$J$4503,_imp!$C$2890))</f>
        <v/>
      </c>
      <c r="K2888" s="54">
        <f>IF(_imp!$C$2890="","",INDEX(_imp!$K$4:$K$4503,_imp!$C$2890))</f>
        <v/>
      </c>
    </row>
    <row r="2889">
      <c r="A2889" s="54">
        <f>IF(_imp!$C$2891="","",INDEX(_imp!$D$4:$D$4503,_imp!$C$2891))</f>
        <v/>
      </c>
      <c r="B2889" s="54">
        <f>IF(_imp!$C$2891="","",INDEX(_imp!$E$4:$E$4503,_imp!$C$2891))</f>
        <v/>
      </c>
      <c r="C2889" s="54">
        <f>IF(_imp!$C$2891="","",INDEX(_imp!$F$4:$F$4503,_imp!$C$2891))</f>
        <v/>
      </c>
      <c r="D2889" s="54">
        <f>IF(_imp!$C$2891="","",INDEX(_imp!$G$4:$G$4503,_imp!$C$2891))</f>
        <v/>
      </c>
      <c r="E2889" s="54">
        <f>IF(_imp!$C$2891="","",INDEX(_imp!$H$4:$H$4503,_imp!$C$2891))</f>
        <v/>
      </c>
      <c r="F2889" s="54">
        <f>IF(_imp!$C$2891="","",INDEX(_imp!$I$4:$I$4503,_imp!$C$2891))</f>
        <v/>
      </c>
      <c r="G2889" s="54">
        <f>IF(_imp!$C$2891="","",INDEX(_imp!$J$4:$J$4503,_imp!$C$2891))</f>
        <v/>
      </c>
      <c r="K2889" s="54">
        <f>IF(_imp!$C$2891="","",INDEX(_imp!$K$4:$K$4503,_imp!$C$2891))</f>
        <v/>
      </c>
    </row>
    <row r="2890">
      <c r="A2890" s="54">
        <f>IF(_imp!$C$2892="","",INDEX(_imp!$D$4:$D$4503,_imp!$C$2892))</f>
        <v/>
      </c>
      <c r="B2890" s="54">
        <f>IF(_imp!$C$2892="","",INDEX(_imp!$E$4:$E$4503,_imp!$C$2892))</f>
        <v/>
      </c>
      <c r="C2890" s="54">
        <f>IF(_imp!$C$2892="","",INDEX(_imp!$F$4:$F$4503,_imp!$C$2892))</f>
        <v/>
      </c>
      <c r="D2890" s="54">
        <f>IF(_imp!$C$2892="","",INDEX(_imp!$G$4:$G$4503,_imp!$C$2892))</f>
        <v/>
      </c>
      <c r="E2890" s="54">
        <f>IF(_imp!$C$2892="","",INDEX(_imp!$H$4:$H$4503,_imp!$C$2892))</f>
        <v/>
      </c>
      <c r="F2890" s="54">
        <f>IF(_imp!$C$2892="","",INDEX(_imp!$I$4:$I$4503,_imp!$C$2892))</f>
        <v/>
      </c>
      <c r="G2890" s="54">
        <f>IF(_imp!$C$2892="","",INDEX(_imp!$J$4:$J$4503,_imp!$C$2892))</f>
        <v/>
      </c>
      <c r="K2890" s="54">
        <f>IF(_imp!$C$2892="","",INDEX(_imp!$K$4:$K$4503,_imp!$C$2892))</f>
        <v/>
      </c>
    </row>
    <row r="2891">
      <c r="A2891" s="54">
        <f>IF(_imp!$C$2893="","",INDEX(_imp!$D$4:$D$4503,_imp!$C$2893))</f>
        <v/>
      </c>
      <c r="B2891" s="54">
        <f>IF(_imp!$C$2893="","",INDEX(_imp!$E$4:$E$4503,_imp!$C$2893))</f>
        <v/>
      </c>
      <c r="C2891" s="54">
        <f>IF(_imp!$C$2893="","",INDEX(_imp!$F$4:$F$4503,_imp!$C$2893))</f>
        <v/>
      </c>
      <c r="D2891" s="54">
        <f>IF(_imp!$C$2893="","",INDEX(_imp!$G$4:$G$4503,_imp!$C$2893))</f>
        <v/>
      </c>
      <c r="E2891" s="54">
        <f>IF(_imp!$C$2893="","",INDEX(_imp!$H$4:$H$4503,_imp!$C$2893))</f>
        <v/>
      </c>
      <c r="F2891" s="54">
        <f>IF(_imp!$C$2893="","",INDEX(_imp!$I$4:$I$4503,_imp!$C$2893))</f>
        <v/>
      </c>
      <c r="G2891" s="54">
        <f>IF(_imp!$C$2893="","",INDEX(_imp!$J$4:$J$4503,_imp!$C$2893))</f>
        <v/>
      </c>
      <c r="K2891" s="54">
        <f>IF(_imp!$C$2893="","",INDEX(_imp!$K$4:$K$4503,_imp!$C$2893))</f>
        <v/>
      </c>
    </row>
    <row r="2892">
      <c r="A2892" s="54">
        <f>IF(_imp!$C$2894="","",INDEX(_imp!$D$4:$D$4503,_imp!$C$2894))</f>
        <v/>
      </c>
      <c r="B2892" s="54">
        <f>IF(_imp!$C$2894="","",INDEX(_imp!$E$4:$E$4503,_imp!$C$2894))</f>
        <v/>
      </c>
      <c r="C2892" s="54">
        <f>IF(_imp!$C$2894="","",INDEX(_imp!$F$4:$F$4503,_imp!$C$2894))</f>
        <v/>
      </c>
      <c r="D2892" s="54">
        <f>IF(_imp!$C$2894="","",INDEX(_imp!$G$4:$G$4503,_imp!$C$2894))</f>
        <v/>
      </c>
      <c r="E2892" s="54">
        <f>IF(_imp!$C$2894="","",INDEX(_imp!$H$4:$H$4503,_imp!$C$2894))</f>
        <v/>
      </c>
      <c r="F2892" s="54">
        <f>IF(_imp!$C$2894="","",INDEX(_imp!$I$4:$I$4503,_imp!$C$2894))</f>
        <v/>
      </c>
      <c r="G2892" s="54">
        <f>IF(_imp!$C$2894="","",INDEX(_imp!$J$4:$J$4503,_imp!$C$2894))</f>
        <v/>
      </c>
      <c r="K2892" s="54">
        <f>IF(_imp!$C$2894="","",INDEX(_imp!$K$4:$K$4503,_imp!$C$2894))</f>
        <v/>
      </c>
    </row>
    <row r="2893">
      <c r="A2893" s="54">
        <f>IF(_imp!$C$2895="","",INDEX(_imp!$D$4:$D$4503,_imp!$C$2895))</f>
        <v/>
      </c>
      <c r="B2893" s="54">
        <f>IF(_imp!$C$2895="","",INDEX(_imp!$E$4:$E$4503,_imp!$C$2895))</f>
        <v/>
      </c>
      <c r="C2893" s="54">
        <f>IF(_imp!$C$2895="","",INDEX(_imp!$F$4:$F$4503,_imp!$C$2895))</f>
        <v/>
      </c>
      <c r="D2893" s="54">
        <f>IF(_imp!$C$2895="","",INDEX(_imp!$G$4:$G$4503,_imp!$C$2895))</f>
        <v/>
      </c>
      <c r="E2893" s="54">
        <f>IF(_imp!$C$2895="","",INDEX(_imp!$H$4:$H$4503,_imp!$C$2895))</f>
        <v/>
      </c>
      <c r="F2893" s="54">
        <f>IF(_imp!$C$2895="","",INDEX(_imp!$I$4:$I$4503,_imp!$C$2895))</f>
        <v/>
      </c>
      <c r="G2893" s="54">
        <f>IF(_imp!$C$2895="","",INDEX(_imp!$J$4:$J$4503,_imp!$C$2895))</f>
        <v/>
      </c>
      <c r="K2893" s="54">
        <f>IF(_imp!$C$2895="","",INDEX(_imp!$K$4:$K$4503,_imp!$C$2895))</f>
        <v/>
      </c>
    </row>
    <row r="2894">
      <c r="A2894" s="54">
        <f>IF(_imp!$C$2896="","",INDEX(_imp!$D$4:$D$4503,_imp!$C$2896))</f>
        <v/>
      </c>
      <c r="B2894" s="54">
        <f>IF(_imp!$C$2896="","",INDEX(_imp!$E$4:$E$4503,_imp!$C$2896))</f>
        <v/>
      </c>
      <c r="C2894" s="54">
        <f>IF(_imp!$C$2896="","",INDEX(_imp!$F$4:$F$4503,_imp!$C$2896))</f>
        <v/>
      </c>
      <c r="D2894" s="54">
        <f>IF(_imp!$C$2896="","",INDEX(_imp!$G$4:$G$4503,_imp!$C$2896))</f>
        <v/>
      </c>
      <c r="E2894" s="54">
        <f>IF(_imp!$C$2896="","",INDEX(_imp!$H$4:$H$4503,_imp!$C$2896))</f>
        <v/>
      </c>
      <c r="F2894" s="54">
        <f>IF(_imp!$C$2896="","",INDEX(_imp!$I$4:$I$4503,_imp!$C$2896))</f>
        <v/>
      </c>
      <c r="G2894" s="54">
        <f>IF(_imp!$C$2896="","",INDEX(_imp!$J$4:$J$4503,_imp!$C$2896))</f>
        <v/>
      </c>
      <c r="K2894" s="54">
        <f>IF(_imp!$C$2896="","",INDEX(_imp!$K$4:$K$4503,_imp!$C$2896))</f>
        <v/>
      </c>
    </row>
    <row r="2895">
      <c r="A2895" s="54">
        <f>IF(_imp!$C$2897="","",INDEX(_imp!$D$4:$D$4503,_imp!$C$2897))</f>
        <v/>
      </c>
      <c r="B2895" s="54">
        <f>IF(_imp!$C$2897="","",INDEX(_imp!$E$4:$E$4503,_imp!$C$2897))</f>
        <v/>
      </c>
      <c r="C2895" s="54">
        <f>IF(_imp!$C$2897="","",INDEX(_imp!$F$4:$F$4503,_imp!$C$2897))</f>
        <v/>
      </c>
      <c r="D2895" s="54">
        <f>IF(_imp!$C$2897="","",INDEX(_imp!$G$4:$G$4503,_imp!$C$2897))</f>
        <v/>
      </c>
      <c r="E2895" s="54">
        <f>IF(_imp!$C$2897="","",INDEX(_imp!$H$4:$H$4503,_imp!$C$2897))</f>
        <v/>
      </c>
      <c r="F2895" s="54">
        <f>IF(_imp!$C$2897="","",INDEX(_imp!$I$4:$I$4503,_imp!$C$2897))</f>
        <v/>
      </c>
      <c r="G2895" s="54">
        <f>IF(_imp!$C$2897="","",INDEX(_imp!$J$4:$J$4503,_imp!$C$2897))</f>
        <v/>
      </c>
      <c r="K2895" s="54">
        <f>IF(_imp!$C$2897="","",INDEX(_imp!$K$4:$K$4503,_imp!$C$2897))</f>
        <v/>
      </c>
    </row>
    <row r="2896">
      <c r="A2896" s="54">
        <f>IF(_imp!$C$2898="","",INDEX(_imp!$D$4:$D$4503,_imp!$C$2898))</f>
        <v/>
      </c>
      <c r="B2896" s="54">
        <f>IF(_imp!$C$2898="","",INDEX(_imp!$E$4:$E$4503,_imp!$C$2898))</f>
        <v/>
      </c>
      <c r="C2896" s="54">
        <f>IF(_imp!$C$2898="","",INDEX(_imp!$F$4:$F$4503,_imp!$C$2898))</f>
        <v/>
      </c>
      <c r="D2896" s="54">
        <f>IF(_imp!$C$2898="","",INDEX(_imp!$G$4:$G$4503,_imp!$C$2898))</f>
        <v/>
      </c>
      <c r="E2896" s="54">
        <f>IF(_imp!$C$2898="","",INDEX(_imp!$H$4:$H$4503,_imp!$C$2898))</f>
        <v/>
      </c>
      <c r="F2896" s="54">
        <f>IF(_imp!$C$2898="","",INDEX(_imp!$I$4:$I$4503,_imp!$C$2898))</f>
        <v/>
      </c>
      <c r="G2896" s="54">
        <f>IF(_imp!$C$2898="","",INDEX(_imp!$J$4:$J$4503,_imp!$C$2898))</f>
        <v/>
      </c>
      <c r="K2896" s="54">
        <f>IF(_imp!$C$2898="","",INDEX(_imp!$K$4:$K$4503,_imp!$C$2898))</f>
        <v/>
      </c>
    </row>
    <row r="2897">
      <c r="A2897" s="54">
        <f>IF(_imp!$C$2899="","",INDEX(_imp!$D$4:$D$4503,_imp!$C$2899))</f>
        <v/>
      </c>
      <c r="B2897" s="54">
        <f>IF(_imp!$C$2899="","",INDEX(_imp!$E$4:$E$4503,_imp!$C$2899))</f>
        <v/>
      </c>
      <c r="C2897" s="54">
        <f>IF(_imp!$C$2899="","",INDEX(_imp!$F$4:$F$4503,_imp!$C$2899))</f>
        <v/>
      </c>
      <c r="D2897" s="54">
        <f>IF(_imp!$C$2899="","",INDEX(_imp!$G$4:$G$4503,_imp!$C$2899))</f>
        <v/>
      </c>
      <c r="E2897" s="54">
        <f>IF(_imp!$C$2899="","",INDEX(_imp!$H$4:$H$4503,_imp!$C$2899))</f>
        <v/>
      </c>
      <c r="F2897" s="54">
        <f>IF(_imp!$C$2899="","",INDEX(_imp!$I$4:$I$4503,_imp!$C$2899))</f>
        <v/>
      </c>
      <c r="G2897" s="54">
        <f>IF(_imp!$C$2899="","",INDEX(_imp!$J$4:$J$4503,_imp!$C$2899))</f>
        <v/>
      </c>
      <c r="K2897" s="54">
        <f>IF(_imp!$C$2899="","",INDEX(_imp!$K$4:$K$4503,_imp!$C$2899))</f>
        <v/>
      </c>
    </row>
    <row r="2898">
      <c r="A2898" s="54">
        <f>IF(_imp!$C$2900="","",INDEX(_imp!$D$4:$D$4503,_imp!$C$2900))</f>
        <v/>
      </c>
      <c r="B2898" s="54">
        <f>IF(_imp!$C$2900="","",INDEX(_imp!$E$4:$E$4503,_imp!$C$2900))</f>
        <v/>
      </c>
      <c r="C2898" s="54">
        <f>IF(_imp!$C$2900="","",INDEX(_imp!$F$4:$F$4503,_imp!$C$2900))</f>
        <v/>
      </c>
      <c r="D2898" s="54">
        <f>IF(_imp!$C$2900="","",INDEX(_imp!$G$4:$G$4503,_imp!$C$2900))</f>
        <v/>
      </c>
      <c r="E2898" s="54">
        <f>IF(_imp!$C$2900="","",INDEX(_imp!$H$4:$H$4503,_imp!$C$2900))</f>
        <v/>
      </c>
      <c r="F2898" s="54">
        <f>IF(_imp!$C$2900="","",INDEX(_imp!$I$4:$I$4503,_imp!$C$2900))</f>
        <v/>
      </c>
      <c r="G2898" s="54">
        <f>IF(_imp!$C$2900="","",INDEX(_imp!$J$4:$J$4503,_imp!$C$2900))</f>
        <v/>
      </c>
      <c r="K2898" s="54">
        <f>IF(_imp!$C$2900="","",INDEX(_imp!$K$4:$K$4503,_imp!$C$2900))</f>
        <v/>
      </c>
    </row>
    <row r="2899">
      <c r="A2899" s="54">
        <f>IF(_imp!$C$2901="","",INDEX(_imp!$D$4:$D$4503,_imp!$C$2901))</f>
        <v/>
      </c>
      <c r="B2899" s="54">
        <f>IF(_imp!$C$2901="","",INDEX(_imp!$E$4:$E$4503,_imp!$C$2901))</f>
        <v/>
      </c>
      <c r="C2899" s="54">
        <f>IF(_imp!$C$2901="","",INDEX(_imp!$F$4:$F$4503,_imp!$C$2901))</f>
        <v/>
      </c>
      <c r="D2899" s="54">
        <f>IF(_imp!$C$2901="","",INDEX(_imp!$G$4:$G$4503,_imp!$C$2901))</f>
        <v/>
      </c>
      <c r="E2899" s="54">
        <f>IF(_imp!$C$2901="","",INDEX(_imp!$H$4:$H$4503,_imp!$C$2901))</f>
        <v/>
      </c>
      <c r="F2899" s="54">
        <f>IF(_imp!$C$2901="","",INDEX(_imp!$I$4:$I$4503,_imp!$C$2901))</f>
        <v/>
      </c>
      <c r="G2899" s="54">
        <f>IF(_imp!$C$2901="","",INDEX(_imp!$J$4:$J$4503,_imp!$C$2901))</f>
        <v/>
      </c>
      <c r="K2899" s="54">
        <f>IF(_imp!$C$2901="","",INDEX(_imp!$K$4:$K$4503,_imp!$C$2901))</f>
        <v/>
      </c>
    </row>
    <row r="2900">
      <c r="A2900" s="54">
        <f>IF(_imp!$C$2902="","",INDEX(_imp!$D$4:$D$4503,_imp!$C$2902))</f>
        <v/>
      </c>
      <c r="B2900" s="54">
        <f>IF(_imp!$C$2902="","",INDEX(_imp!$E$4:$E$4503,_imp!$C$2902))</f>
        <v/>
      </c>
      <c r="C2900" s="54">
        <f>IF(_imp!$C$2902="","",INDEX(_imp!$F$4:$F$4503,_imp!$C$2902))</f>
        <v/>
      </c>
      <c r="D2900" s="54">
        <f>IF(_imp!$C$2902="","",INDEX(_imp!$G$4:$G$4503,_imp!$C$2902))</f>
        <v/>
      </c>
      <c r="E2900" s="54">
        <f>IF(_imp!$C$2902="","",INDEX(_imp!$H$4:$H$4503,_imp!$C$2902))</f>
        <v/>
      </c>
      <c r="F2900" s="54">
        <f>IF(_imp!$C$2902="","",INDEX(_imp!$I$4:$I$4503,_imp!$C$2902))</f>
        <v/>
      </c>
      <c r="G2900" s="54">
        <f>IF(_imp!$C$2902="","",INDEX(_imp!$J$4:$J$4503,_imp!$C$2902))</f>
        <v/>
      </c>
      <c r="K2900" s="54">
        <f>IF(_imp!$C$2902="","",INDEX(_imp!$K$4:$K$4503,_imp!$C$2902))</f>
        <v/>
      </c>
    </row>
    <row r="2901">
      <c r="A2901" s="54">
        <f>IF(_imp!$C$2903="","",INDEX(_imp!$D$4:$D$4503,_imp!$C$2903))</f>
        <v/>
      </c>
      <c r="B2901" s="54">
        <f>IF(_imp!$C$2903="","",INDEX(_imp!$E$4:$E$4503,_imp!$C$2903))</f>
        <v/>
      </c>
      <c r="C2901" s="54">
        <f>IF(_imp!$C$2903="","",INDEX(_imp!$F$4:$F$4503,_imp!$C$2903))</f>
        <v/>
      </c>
      <c r="D2901" s="54">
        <f>IF(_imp!$C$2903="","",INDEX(_imp!$G$4:$G$4503,_imp!$C$2903))</f>
        <v/>
      </c>
      <c r="E2901" s="54">
        <f>IF(_imp!$C$2903="","",INDEX(_imp!$H$4:$H$4503,_imp!$C$2903))</f>
        <v/>
      </c>
      <c r="F2901" s="54">
        <f>IF(_imp!$C$2903="","",INDEX(_imp!$I$4:$I$4503,_imp!$C$2903))</f>
        <v/>
      </c>
      <c r="G2901" s="54">
        <f>IF(_imp!$C$2903="","",INDEX(_imp!$J$4:$J$4503,_imp!$C$2903))</f>
        <v/>
      </c>
      <c r="K2901" s="54">
        <f>IF(_imp!$C$2903="","",INDEX(_imp!$K$4:$K$4503,_imp!$C$2903))</f>
        <v/>
      </c>
    </row>
    <row r="2902">
      <c r="A2902" s="54">
        <f>IF(_imp!$C$2904="","",INDEX(_imp!$D$4:$D$4503,_imp!$C$2904))</f>
        <v/>
      </c>
      <c r="B2902" s="54">
        <f>IF(_imp!$C$2904="","",INDEX(_imp!$E$4:$E$4503,_imp!$C$2904))</f>
        <v/>
      </c>
      <c r="C2902" s="54">
        <f>IF(_imp!$C$2904="","",INDEX(_imp!$F$4:$F$4503,_imp!$C$2904))</f>
        <v/>
      </c>
      <c r="D2902" s="54">
        <f>IF(_imp!$C$2904="","",INDEX(_imp!$G$4:$G$4503,_imp!$C$2904))</f>
        <v/>
      </c>
      <c r="E2902" s="54">
        <f>IF(_imp!$C$2904="","",INDEX(_imp!$H$4:$H$4503,_imp!$C$2904))</f>
        <v/>
      </c>
      <c r="F2902" s="54">
        <f>IF(_imp!$C$2904="","",INDEX(_imp!$I$4:$I$4503,_imp!$C$2904))</f>
        <v/>
      </c>
      <c r="G2902" s="54">
        <f>IF(_imp!$C$2904="","",INDEX(_imp!$J$4:$J$4503,_imp!$C$2904))</f>
        <v/>
      </c>
      <c r="K2902" s="54">
        <f>IF(_imp!$C$2904="","",INDEX(_imp!$K$4:$K$4503,_imp!$C$2904))</f>
        <v/>
      </c>
    </row>
    <row r="2903">
      <c r="A2903" s="54">
        <f>IF(_imp!$C$2905="","",INDEX(_imp!$D$4:$D$4503,_imp!$C$2905))</f>
        <v/>
      </c>
      <c r="B2903" s="54">
        <f>IF(_imp!$C$2905="","",INDEX(_imp!$E$4:$E$4503,_imp!$C$2905))</f>
        <v/>
      </c>
      <c r="C2903" s="54">
        <f>IF(_imp!$C$2905="","",INDEX(_imp!$F$4:$F$4503,_imp!$C$2905))</f>
        <v/>
      </c>
      <c r="D2903" s="54">
        <f>IF(_imp!$C$2905="","",INDEX(_imp!$G$4:$G$4503,_imp!$C$2905))</f>
        <v/>
      </c>
      <c r="E2903" s="54">
        <f>IF(_imp!$C$2905="","",INDEX(_imp!$H$4:$H$4503,_imp!$C$2905))</f>
        <v/>
      </c>
      <c r="F2903" s="54">
        <f>IF(_imp!$C$2905="","",INDEX(_imp!$I$4:$I$4503,_imp!$C$2905))</f>
        <v/>
      </c>
      <c r="G2903" s="54">
        <f>IF(_imp!$C$2905="","",INDEX(_imp!$J$4:$J$4503,_imp!$C$2905))</f>
        <v/>
      </c>
      <c r="K2903" s="54">
        <f>IF(_imp!$C$2905="","",INDEX(_imp!$K$4:$K$4503,_imp!$C$2905))</f>
        <v/>
      </c>
    </row>
    <row r="2904">
      <c r="A2904" s="54">
        <f>IF(_imp!$C$2906="","",INDEX(_imp!$D$4:$D$4503,_imp!$C$2906))</f>
        <v/>
      </c>
      <c r="B2904" s="54">
        <f>IF(_imp!$C$2906="","",INDEX(_imp!$E$4:$E$4503,_imp!$C$2906))</f>
        <v/>
      </c>
      <c r="C2904" s="54">
        <f>IF(_imp!$C$2906="","",INDEX(_imp!$F$4:$F$4503,_imp!$C$2906))</f>
        <v/>
      </c>
      <c r="D2904" s="54">
        <f>IF(_imp!$C$2906="","",INDEX(_imp!$G$4:$G$4503,_imp!$C$2906))</f>
        <v/>
      </c>
      <c r="E2904" s="54">
        <f>IF(_imp!$C$2906="","",INDEX(_imp!$H$4:$H$4503,_imp!$C$2906))</f>
        <v/>
      </c>
      <c r="F2904" s="54">
        <f>IF(_imp!$C$2906="","",INDEX(_imp!$I$4:$I$4503,_imp!$C$2906))</f>
        <v/>
      </c>
      <c r="G2904" s="54">
        <f>IF(_imp!$C$2906="","",INDEX(_imp!$J$4:$J$4503,_imp!$C$2906))</f>
        <v/>
      </c>
      <c r="K2904" s="54">
        <f>IF(_imp!$C$2906="","",INDEX(_imp!$K$4:$K$4503,_imp!$C$2906))</f>
        <v/>
      </c>
    </row>
    <row r="2905">
      <c r="A2905" s="54">
        <f>IF(_imp!$C$2907="","",INDEX(_imp!$D$4:$D$4503,_imp!$C$2907))</f>
        <v/>
      </c>
      <c r="B2905" s="54">
        <f>IF(_imp!$C$2907="","",INDEX(_imp!$E$4:$E$4503,_imp!$C$2907))</f>
        <v/>
      </c>
      <c r="C2905" s="54">
        <f>IF(_imp!$C$2907="","",INDEX(_imp!$F$4:$F$4503,_imp!$C$2907))</f>
        <v/>
      </c>
      <c r="D2905" s="54">
        <f>IF(_imp!$C$2907="","",INDEX(_imp!$G$4:$G$4503,_imp!$C$2907))</f>
        <v/>
      </c>
      <c r="E2905" s="54">
        <f>IF(_imp!$C$2907="","",INDEX(_imp!$H$4:$H$4503,_imp!$C$2907))</f>
        <v/>
      </c>
      <c r="F2905" s="54">
        <f>IF(_imp!$C$2907="","",INDEX(_imp!$I$4:$I$4503,_imp!$C$2907))</f>
        <v/>
      </c>
      <c r="G2905" s="54">
        <f>IF(_imp!$C$2907="","",INDEX(_imp!$J$4:$J$4503,_imp!$C$2907))</f>
        <v/>
      </c>
      <c r="K2905" s="54">
        <f>IF(_imp!$C$2907="","",INDEX(_imp!$K$4:$K$4503,_imp!$C$2907))</f>
        <v/>
      </c>
    </row>
    <row r="2906">
      <c r="A2906" s="54">
        <f>IF(_imp!$C$2908="","",INDEX(_imp!$D$4:$D$4503,_imp!$C$2908))</f>
        <v/>
      </c>
      <c r="B2906" s="54">
        <f>IF(_imp!$C$2908="","",INDEX(_imp!$E$4:$E$4503,_imp!$C$2908))</f>
        <v/>
      </c>
      <c r="C2906" s="54">
        <f>IF(_imp!$C$2908="","",INDEX(_imp!$F$4:$F$4503,_imp!$C$2908))</f>
        <v/>
      </c>
      <c r="D2906" s="54">
        <f>IF(_imp!$C$2908="","",INDEX(_imp!$G$4:$G$4503,_imp!$C$2908))</f>
        <v/>
      </c>
      <c r="E2906" s="54">
        <f>IF(_imp!$C$2908="","",INDEX(_imp!$H$4:$H$4503,_imp!$C$2908))</f>
        <v/>
      </c>
      <c r="F2906" s="54">
        <f>IF(_imp!$C$2908="","",INDEX(_imp!$I$4:$I$4503,_imp!$C$2908))</f>
        <v/>
      </c>
      <c r="G2906" s="54">
        <f>IF(_imp!$C$2908="","",INDEX(_imp!$J$4:$J$4503,_imp!$C$2908))</f>
        <v/>
      </c>
      <c r="K2906" s="54">
        <f>IF(_imp!$C$2908="","",INDEX(_imp!$K$4:$K$4503,_imp!$C$2908))</f>
        <v/>
      </c>
    </row>
    <row r="2907">
      <c r="A2907" s="54">
        <f>IF(_imp!$C$2909="","",INDEX(_imp!$D$4:$D$4503,_imp!$C$2909))</f>
        <v/>
      </c>
      <c r="B2907" s="54">
        <f>IF(_imp!$C$2909="","",INDEX(_imp!$E$4:$E$4503,_imp!$C$2909))</f>
        <v/>
      </c>
      <c r="C2907" s="54">
        <f>IF(_imp!$C$2909="","",INDEX(_imp!$F$4:$F$4503,_imp!$C$2909))</f>
        <v/>
      </c>
      <c r="D2907" s="54">
        <f>IF(_imp!$C$2909="","",INDEX(_imp!$G$4:$G$4503,_imp!$C$2909))</f>
        <v/>
      </c>
      <c r="E2907" s="54">
        <f>IF(_imp!$C$2909="","",INDEX(_imp!$H$4:$H$4503,_imp!$C$2909))</f>
        <v/>
      </c>
      <c r="F2907" s="54">
        <f>IF(_imp!$C$2909="","",INDEX(_imp!$I$4:$I$4503,_imp!$C$2909))</f>
        <v/>
      </c>
      <c r="G2907" s="54">
        <f>IF(_imp!$C$2909="","",INDEX(_imp!$J$4:$J$4503,_imp!$C$2909))</f>
        <v/>
      </c>
      <c r="K2907" s="54">
        <f>IF(_imp!$C$2909="","",INDEX(_imp!$K$4:$K$4503,_imp!$C$2909))</f>
        <v/>
      </c>
    </row>
    <row r="2908">
      <c r="A2908" s="54">
        <f>IF(_imp!$C$2910="","",INDEX(_imp!$D$4:$D$4503,_imp!$C$2910))</f>
        <v/>
      </c>
      <c r="B2908" s="54">
        <f>IF(_imp!$C$2910="","",INDEX(_imp!$E$4:$E$4503,_imp!$C$2910))</f>
        <v/>
      </c>
      <c r="C2908" s="54">
        <f>IF(_imp!$C$2910="","",INDEX(_imp!$F$4:$F$4503,_imp!$C$2910))</f>
        <v/>
      </c>
      <c r="D2908" s="54">
        <f>IF(_imp!$C$2910="","",INDEX(_imp!$G$4:$G$4503,_imp!$C$2910))</f>
        <v/>
      </c>
      <c r="E2908" s="54">
        <f>IF(_imp!$C$2910="","",INDEX(_imp!$H$4:$H$4503,_imp!$C$2910))</f>
        <v/>
      </c>
      <c r="F2908" s="54">
        <f>IF(_imp!$C$2910="","",INDEX(_imp!$I$4:$I$4503,_imp!$C$2910))</f>
        <v/>
      </c>
      <c r="G2908" s="54">
        <f>IF(_imp!$C$2910="","",INDEX(_imp!$J$4:$J$4503,_imp!$C$2910))</f>
        <v/>
      </c>
      <c r="K2908" s="54">
        <f>IF(_imp!$C$2910="","",INDEX(_imp!$K$4:$K$4503,_imp!$C$2910))</f>
        <v/>
      </c>
    </row>
    <row r="2909">
      <c r="A2909" s="54">
        <f>IF(_imp!$C$2911="","",INDEX(_imp!$D$4:$D$4503,_imp!$C$2911))</f>
        <v/>
      </c>
      <c r="B2909" s="54">
        <f>IF(_imp!$C$2911="","",INDEX(_imp!$E$4:$E$4503,_imp!$C$2911))</f>
        <v/>
      </c>
      <c r="C2909" s="54">
        <f>IF(_imp!$C$2911="","",INDEX(_imp!$F$4:$F$4503,_imp!$C$2911))</f>
        <v/>
      </c>
      <c r="D2909" s="54">
        <f>IF(_imp!$C$2911="","",INDEX(_imp!$G$4:$G$4503,_imp!$C$2911))</f>
        <v/>
      </c>
      <c r="E2909" s="54">
        <f>IF(_imp!$C$2911="","",INDEX(_imp!$H$4:$H$4503,_imp!$C$2911))</f>
        <v/>
      </c>
      <c r="F2909" s="54">
        <f>IF(_imp!$C$2911="","",INDEX(_imp!$I$4:$I$4503,_imp!$C$2911))</f>
        <v/>
      </c>
      <c r="G2909" s="54">
        <f>IF(_imp!$C$2911="","",INDEX(_imp!$J$4:$J$4503,_imp!$C$2911))</f>
        <v/>
      </c>
      <c r="K2909" s="54">
        <f>IF(_imp!$C$2911="","",INDEX(_imp!$K$4:$K$4503,_imp!$C$2911))</f>
        <v/>
      </c>
    </row>
    <row r="2910">
      <c r="A2910" s="54">
        <f>IF(_imp!$C$2912="","",INDEX(_imp!$D$4:$D$4503,_imp!$C$2912))</f>
        <v/>
      </c>
      <c r="B2910" s="54">
        <f>IF(_imp!$C$2912="","",INDEX(_imp!$E$4:$E$4503,_imp!$C$2912))</f>
        <v/>
      </c>
      <c r="C2910" s="54">
        <f>IF(_imp!$C$2912="","",INDEX(_imp!$F$4:$F$4503,_imp!$C$2912))</f>
        <v/>
      </c>
      <c r="D2910" s="54">
        <f>IF(_imp!$C$2912="","",INDEX(_imp!$G$4:$G$4503,_imp!$C$2912))</f>
        <v/>
      </c>
      <c r="E2910" s="54">
        <f>IF(_imp!$C$2912="","",INDEX(_imp!$H$4:$H$4503,_imp!$C$2912))</f>
        <v/>
      </c>
      <c r="F2910" s="54">
        <f>IF(_imp!$C$2912="","",INDEX(_imp!$I$4:$I$4503,_imp!$C$2912))</f>
        <v/>
      </c>
      <c r="G2910" s="54">
        <f>IF(_imp!$C$2912="","",INDEX(_imp!$J$4:$J$4503,_imp!$C$2912))</f>
        <v/>
      </c>
      <c r="K2910" s="54">
        <f>IF(_imp!$C$2912="","",INDEX(_imp!$K$4:$K$4503,_imp!$C$2912))</f>
        <v/>
      </c>
    </row>
    <row r="2911">
      <c r="A2911" s="54">
        <f>IF(_imp!$C$2913="","",INDEX(_imp!$D$4:$D$4503,_imp!$C$2913))</f>
        <v/>
      </c>
      <c r="B2911" s="54">
        <f>IF(_imp!$C$2913="","",INDEX(_imp!$E$4:$E$4503,_imp!$C$2913))</f>
        <v/>
      </c>
      <c r="C2911" s="54">
        <f>IF(_imp!$C$2913="","",INDEX(_imp!$F$4:$F$4503,_imp!$C$2913))</f>
        <v/>
      </c>
      <c r="D2911" s="54">
        <f>IF(_imp!$C$2913="","",INDEX(_imp!$G$4:$G$4503,_imp!$C$2913))</f>
        <v/>
      </c>
      <c r="E2911" s="54">
        <f>IF(_imp!$C$2913="","",INDEX(_imp!$H$4:$H$4503,_imp!$C$2913))</f>
        <v/>
      </c>
      <c r="F2911" s="54">
        <f>IF(_imp!$C$2913="","",INDEX(_imp!$I$4:$I$4503,_imp!$C$2913))</f>
        <v/>
      </c>
      <c r="G2911" s="54">
        <f>IF(_imp!$C$2913="","",INDEX(_imp!$J$4:$J$4503,_imp!$C$2913))</f>
        <v/>
      </c>
      <c r="K2911" s="54">
        <f>IF(_imp!$C$2913="","",INDEX(_imp!$K$4:$K$4503,_imp!$C$2913))</f>
        <v/>
      </c>
    </row>
    <row r="2912">
      <c r="A2912" s="54">
        <f>IF(_imp!$C$2914="","",INDEX(_imp!$D$4:$D$4503,_imp!$C$2914))</f>
        <v/>
      </c>
      <c r="B2912" s="54">
        <f>IF(_imp!$C$2914="","",INDEX(_imp!$E$4:$E$4503,_imp!$C$2914))</f>
        <v/>
      </c>
      <c r="C2912" s="54">
        <f>IF(_imp!$C$2914="","",INDEX(_imp!$F$4:$F$4503,_imp!$C$2914))</f>
        <v/>
      </c>
      <c r="D2912" s="54">
        <f>IF(_imp!$C$2914="","",INDEX(_imp!$G$4:$G$4503,_imp!$C$2914))</f>
        <v/>
      </c>
      <c r="E2912" s="54">
        <f>IF(_imp!$C$2914="","",INDEX(_imp!$H$4:$H$4503,_imp!$C$2914))</f>
        <v/>
      </c>
      <c r="F2912" s="54">
        <f>IF(_imp!$C$2914="","",INDEX(_imp!$I$4:$I$4503,_imp!$C$2914))</f>
        <v/>
      </c>
      <c r="G2912" s="54">
        <f>IF(_imp!$C$2914="","",INDEX(_imp!$J$4:$J$4503,_imp!$C$2914))</f>
        <v/>
      </c>
      <c r="K2912" s="54">
        <f>IF(_imp!$C$2914="","",INDEX(_imp!$K$4:$K$4503,_imp!$C$2914))</f>
        <v/>
      </c>
    </row>
    <row r="2913">
      <c r="A2913" s="54">
        <f>IF(_imp!$C$2915="","",INDEX(_imp!$D$4:$D$4503,_imp!$C$2915))</f>
        <v/>
      </c>
      <c r="B2913" s="54">
        <f>IF(_imp!$C$2915="","",INDEX(_imp!$E$4:$E$4503,_imp!$C$2915))</f>
        <v/>
      </c>
      <c r="C2913" s="54">
        <f>IF(_imp!$C$2915="","",INDEX(_imp!$F$4:$F$4503,_imp!$C$2915))</f>
        <v/>
      </c>
      <c r="D2913" s="54">
        <f>IF(_imp!$C$2915="","",INDEX(_imp!$G$4:$G$4503,_imp!$C$2915))</f>
        <v/>
      </c>
      <c r="E2913" s="54">
        <f>IF(_imp!$C$2915="","",INDEX(_imp!$H$4:$H$4503,_imp!$C$2915))</f>
        <v/>
      </c>
      <c r="F2913" s="54">
        <f>IF(_imp!$C$2915="","",INDEX(_imp!$I$4:$I$4503,_imp!$C$2915))</f>
        <v/>
      </c>
      <c r="G2913" s="54">
        <f>IF(_imp!$C$2915="","",INDEX(_imp!$J$4:$J$4503,_imp!$C$2915))</f>
        <v/>
      </c>
      <c r="K2913" s="54">
        <f>IF(_imp!$C$2915="","",INDEX(_imp!$K$4:$K$4503,_imp!$C$2915))</f>
        <v/>
      </c>
    </row>
    <row r="2914">
      <c r="A2914" s="54">
        <f>IF(_imp!$C$2916="","",INDEX(_imp!$D$4:$D$4503,_imp!$C$2916))</f>
        <v/>
      </c>
      <c r="B2914" s="54">
        <f>IF(_imp!$C$2916="","",INDEX(_imp!$E$4:$E$4503,_imp!$C$2916))</f>
        <v/>
      </c>
      <c r="C2914" s="54">
        <f>IF(_imp!$C$2916="","",INDEX(_imp!$F$4:$F$4503,_imp!$C$2916))</f>
        <v/>
      </c>
      <c r="D2914" s="54">
        <f>IF(_imp!$C$2916="","",INDEX(_imp!$G$4:$G$4503,_imp!$C$2916))</f>
        <v/>
      </c>
      <c r="E2914" s="54">
        <f>IF(_imp!$C$2916="","",INDEX(_imp!$H$4:$H$4503,_imp!$C$2916))</f>
        <v/>
      </c>
      <c r="F2914" s="54">
        <f>IF(_imp!$C$2916="","",INDEX(_imp!$I$4:$I$4503,_imp!$C$2916))</f>
        <v/>
      </c>
      <c r="G2914" s="54">
        <f>IF(_imp!$C$2916="","",INDEX(_imp!$J$4:$J$4503,_imp!$C$2916))</f>
        <v/>
      </c>
      <c r="K2914" s="54">
        <f>IF(_imp!$C$2916="","",INDEX(_imp!$K$4:$K$4503,_imp!$C$2916))</f>
        <v/>
      </c>
    </row>
    <row r="2915">
      <c r="A2915" s="54">
        <f>IF(_imp!$C$2917="","",INDEX(_imp!$D$4:$D$4503,_imp!$C$2917))</f>
        <v/>
      </c>
      <c r="B2915" s="54">
        <f>IF(_imp!$C$2917="","",INDEX(_imp!$E$4:$E$4503,_imp!$C$2917))</f>
        <v/>
      </c>
      <c r="C2915" s="54">
        <f>IF(_imp!$C$2917="","",INDEX(_imp!$F$4:$F$4503,_imp!$C$2917))</f>
        <v/>
      </c>
      <c r="D2915" s="54">
        <f>IF(_imp!$C$2917="","",INDEX(_imp!$G$4:$G$4503,_imp!$C$2917))</f>
        <v/>
      </c>
      <c r="E2915" s="54">
        <f>IF(_imp!$C$2917="","",INDEX(_imp!$H$4:$H$4503,_imp!$C$2917))</f>
        <v/>
      </c>
      <c r="F2915" s="54">
        <f>IF(_imp!$C$2917="","",INDEX(_imp!$I$4:$I$4503,_imp!$C$2917))</f>
        <v/>
      </c>
      <c r="G2915" s="54">
        <f>IF(_imp!$C$2917="","",INDEX(_imp!$J$4:$J$4503,_imp!$C$2917))</f>
        <v/>
      </c>
      <c r="K2915" s="54">
        <f>IF(_imp!$C$2917="","",INDEX(_imp!$K$4:$K$4503,_imp!$C$2917))</f>
        <v/>
      </c>
    </row>
    <row r="2916">
      <c r="A2916" s="54">
        <f>IF(_imp!$C$2918="","",INDEX(_imp!$D$4:$D$4503,_imp!$C$2918))</f>
        <v/>
      </c>
      <c r="B2916" s="54">
        <f>IF(_imp!$C$2918="","",INDEX(_imp!$E$4:$E$4503,_imp!$C$2918))</f>
        <v/>
      </c>
      <c r="C2916" s="54">
        <f>IF(_imp!$C$2918="","",INDEX(_imp!$F$4:$F$4503,_imp!$C$2918))</f>
        <v/>
      </c>
      <c r="D2916" s="54">
        <f>IF(_imp!$C$2918="","",INDEX(_imp!$G$4:$G$4503,_imp!$C$2918))</f>
        <v/>
      </c>
      <c r="E2916" s="54">
        <f>IF(_imp!$C$2918="","",INDEX(_imp!$H$4:$H$4503,_imp!$C$2918))</f>
        <v/>
      </c>
      <c r="F2916" s="54">
        <f>IF(_imp!$C$2918="","",INDEX(_imp!$I$4:$I$4503,_imp!$C$2918))</f>
        <v/>
      </c>
      <c r="G2916" s="54">
        <f>IF(_imp!$C$2918="","",INDEX(_imp!$J$4:$J$4503,_imp!$C$2918))</f>
        <v/>
      </c>
      <c r="K2916" s="54">
        <f>IF(_imp!$C$2918="","",INDEX(_imp!$K$4:$K$4503,_imp!$C$2918))</f>
        <v/>
      </c>
    </row>
    <row r="2917">
      <c r="A2917" s="54">
        <f>IF(_imp!$C$2919="","",INDEX(_imp!$D$4:$D$4503,_imp!$C$2919))</f>
        <v/>
      </c>
      <c r="B2917" s="54">
        <f>IF(_imp!$C$2919="","",INDEX(_imp!$E$4:$E$4503,_imp!$C$2919))</f>
        <v/>
      </c>
      <c r="C2917" s="54">
        <f>IF(_imp!$C$2919="","",INDEX(_imp!$F$4:$F$4503,_imp!$C$2919))</f>
        <v/>
      </c>
      <c r="D2917" s="54">
        <f>IF(_imp!$C$2919="","",INDEX(_imp!$G$4:$G$4503,_imp!$C$2919))</f>
        <v/>
      </c>
      <c r="E2917" s="54">
        <f>IF(_imp!$C$2919="","",INDEX(_imp!$H$4:$H$4503,_imp!$C$2919))</f>
        <v/>
      </c>
      <c r="F2917" s="54">
        <f>IF(_imp!$C$2919="","",INDEX(_imp!$I$4:$I$4503,_imp!$C$2919))</f>
        <v/>
      </c>
      <c r="G2917" s="54">
        <f>IF(_imp!$C$2919="","",INDEX(_imp!$J$4:$J$4503,_imp!$C$2919))</f>
        <v/>
      </c>
      <c r="K2917" s="54">
        <f>IF(_imp!$C$2919="","",INDEX(_imp!$K$4:$K$4503,_imp!$C$2919))</f>
        <v/>
      </c>
    </row>
    <row r="2918">
      <c r="A2918" s="54">
        <f>IF(_imp!$C$2920="","",INDEX(_imp!$D$4:$D$4503,_imp!$C$2920))</f>
        <v/>
      </c>
      <c r="B2918" s="54">
        <f>IF(_imp!$C$2920="","",INDEX(_imp!$E$4:$E$4503,_imp!$C$2920))</f>
        <v/>
      </c>
      <c r="C2918" s="54">
        <f>IF(_imp!$C$2920="","",INDEX(_imp!$F$4:$F$4503,_imp!$C$2920))</f>
        <v/>
      </c>
      <c r="D2918" s="54">
        <f>IF(_imp!$C$2920="","",INDEX(_imp!$G$4:$G$4503,_imp!$C$2920))</f>
        <v/>
      </c>
      <c r="E2918" s="54">
        <f>IF(_imp!$C$2920="","",INDEX(_imp!$H$4:$H$4503,_imp!$C$2920))</f>
        <v/>
      </c>
      <c r="F2918" s="54">
        <f>IF(_imp!$C$2920="","",INDEX(_imp!$I$4:$I$4503,_imp!$C$2920))</f>
        <v/>
      </c>
      <c r="G2918" s="54">
        <f>IF(_imp!$C$2920="","",INDEX(_imp!$J$4:$J$4503,_imp!$C$2920))</f>
        <v/>
      </c>
      <c r="K2918" s="54">
        <f>IF(_imp!$C$2920="","",INDEX(_imp!$K$4:$K$4503,_imp!$C$2920))</f>
        <v/>
      </c>
    </row>
    <row r="2919">
      <c r="A2919" s="54">
        <f>IF(_imp!$C$2921="","",INDEX(_imp!$D$4:$D$4503,_imp!$C$2921))</f>
        <v/>
      </c>
      <c r="B2919" s="54">
        <f>IF(_imp!$C$2921="","",INDEX(_imp!$E$4:$E$4503,_imp!$C$2921))</f>
        <v/>
      </c>
      <c r="C2919" s="54">
        <f>IF(_imp!$C$2921="","",INDEX(_imp!$F$4:$F$4503,_imp!$C$2921))</f>
        <v/>
      </c>
      <c r="D2919" s="54">
        <f>IF(_imp!$C$2921="","",INDEX(_imp!$G$4:$G$4503,_imp!$C$2921))</f>
        <v/>
      </c>
      <c r="E2919" s="54">
        <f>IF(_imp!$C$2921="","",INDEX(_imp!$H$4:$H$4503,_imp!$C$2921))</f>
        <v/>
      </c>
      <c r="F2919" s="54">
        <f>IF(_imp!$C$2921="","",INDEX(_imp!$I$4:$I$4503,_imp!$C$2921))</f>
        <v/>
      </c>
      <c r="G2919" s="54">
        <f>IF(_imp!$C$2921="","",INDEX(_imp!$J$4:$J$4503,_imp!$C$2921))</f>
        <v/>
      </c>
      <c r="K2919" s="54">
        <f>IF(_imp!$C$2921="","",INDEX(_imp!$K$4:$K$4503,_imp!$C$2921))</f>
        <v/>
      </c>
    </row>
    <row r="2920">
      <c r="A2920" s="54">
        <f>IF(_imp!$C$2922="","",INDEX(_imp!$D$4:$D$4503,_imp!$C$2922))</f>
        <v/>
      </c>
      <c r="B2920" s="54">
        <f>IF(_imp!$C$2922="","",INDEX(_imp!$E$4:$E$4503,_imp!$C$2922))</f>
        <v/>
      </c>
      <c r="C2920" s="54">
        <f>IF(_imp!$C$2922="","",INDEX(_imp!$F$4:$F$4503,_imp!$C$2922))</f>
        <v/>
      </c>
      <c r="D2920" s="54">
        <f>IF(_imp!$C$2922="","",INDEX(_imp!$G$4:$G$4503,_imp!$C$2922))</f>
        <v/>
      </c>
      <c r="E2920" s="54">
        <f>IF(_imp!$C$2922="","",INDEX(_imp!$H$4:$H$4503,_imp!$C$2922))</f>
        <v/>
      </c>
      <c r="F2920" s="54">
        <f>IF(_imp!$C$2922="","",INDEX(_imp!$I$4:$I$4503,_imp!$C$2922))</f>
        <v/>
      </c>
      <c r="G2920" s="54">
        <f>IF(_imp!$C$2922="","",INDEX(_imp!$J$4:$J$4503,_imp!$C$2922))</f>
        <v/>
      </c>
      <c r="K2920" s="54">
        <f>IF(_imp!$C$2922="","",INDEX(_imp!$K$4:$K$4503,_imp!$C$2922))</f>
        <v/>
      </c>
    </row>
    <row r="2921">
      <c r="A2921" s="54">
        <f>IF(_imp!$C$2923="","",INDEX(_imp!$D$4:$D$4503,_imp!$C$2923))</f>
        <v/>
      </c>
      <c r="B2921" s="54">
        <f>IF(_imp!$C$2923="","",INDEX(_imp!$E$4:$E$4503,_imp!$C$2923))</f>
        <v/>
      </c>
      <c r="C2921" s="54">
        <f>IF(_imp!$C$2923="","",INDEX(_imp!$F$4:$F$4503,_imp!$C$2923))</f>
        <v/>
      </c>
      <c r="D2921" s="54">
        <f>IF(_imp!$C$2923="","",INDEX(_imp!$G$4:$G$4503,_imp!$C$2923))</f>
        <v/>
      </c>
      <c r="E2921" s="54">
        <f>IF(_imp!$C$2923="","",INDEX(_imp!$H$4:$H$4503,_imp!$C$2923))</f>
        <v/>
      </c>
      <c r="F2921" s="54">
        <f>IF(_imp!$C$2923="","",INDEX(_imp!$I$4:$I$4503,_imp!$C$2923))</f>
        <v/>
      </c>
      <c r="G2921" s="54">
        <f>IF(_imp!$C$2923="","",INDEX(_imp!$J$4:$J$4503,_imp!$C$2923))</f>
        <v/>
      </c>
      <c r="K2921" s="54">
        <f>IF(_imp!$C$2923="","",INDEX(_imp!$K$4:$K$4503,_imp!$C$2923))</f>
        <v/>
      </c>
    </row>
    <row r="2922">
      <c r="A2922" s="54">
        <f>IF(_imp!$C$2924="","",INDEX(_imp!$D$4:$D$4503,_imp!$C$2924))</f>
        <v/>
      </c>
      <c r="B2922" s="54">
        <f>IF(_imp!$C$2924="","",INDEX(_imp!$E$4:$E$4503,_imp!$C$2924))</f>
        <v/>
      </c>
      <c r="C2922" s="54">
        <f>IF(_imp!$C$2924="","",INDEX(_imp!$F$4:$F$4503,_imp!$C$2924))</f>
        <v/>
      </c>
      <c r="D2922" s="54">
        <f>IF(_imp!$C$2924="","",INDEX(_imp!$G$4:$G$4503,_imp!$C$2924))</f>
        <v/>
      </c>
      <c r="E2922" s="54">
        <f>IF(_imp!$C$2924="","",INDEX(_imp!$H$4:$H$4503,_imp!$C$2924))</f>
        <v/>
      </c>
      <c r="F2922" s="54">
        <f>IF(_imp!$C$2924="","",INDEX(_imp!$I$4:$I$4503,_imp!$C$2924))</f>
        <v/>
      </c>
      <c r="G2922" s="54">
        <f>IF(_imp!$C$2924="","",INDEX(_imp!$J$4:$J$4503,_imp!$C$2924))</f>
        <v/>
      </c>
      <c r="K2922" s="54">
        <f>IF(_imp!$C$2924="","",INDEX(_imp!$K$4:$K$4503,_imp!$C$2924))</f>
        <v/>
      </c>
    </row>
    <row r="2923">
      <c r="A2923" s="54">
        <f>IF(_imp!$C$2925="","",INDEX(_imp!$D$4:$D$4503,_imp!$C$2925))</f>
        <v/>
      </c>
      <c r="B2923" s="54">
        <f>IF(_imp!$C$2925="","",INDEX(_imp!$E$4:$E$4503,_imp!$C$2925))</f>
        <v/>
      </c>
      <c r="C2923" s="54">
        <f>IF(_imp!$C$2925="","",INDEX(_imp!$F$4:$F$4503,_imp!$C$2925))</f>
        <v/>
      </c>
      <c r="D2923" s="54">
        <f>IF(_imp!$C$2925="","",INDEX(_imp!$G$4:$G$4503,_imp!$C$2925))</f>
        <v/>
      </c>
      <c r="E2923" s="54">
        <f>IF(_imp!$C$2925="","",INDEX(_imp!$H$4:$H$4503,_imp!$C$2925))</f>
        <v/>
      </c>
      <c r="F2923" s="54">
        <f>IF(_imp!$C$2925="","",INDEX(_imp!$I$4:$I$4503,_imp!$C$2925))</f>
        <v/>
      </c>
      <c r="G2923" s="54">
        <f>IF(_imp!$C$2925="","",INDEX(_imp!$J$4:$J$4503,_imp!$C$2925))</f>
        <v/>
      </c>
      <c r="K2923" s="54">
        <f>IF(_imp!$C$2925="","",INDEX(_imp!$K$4:$K$4503,_imp!$C$2925))</f>
        <v/>
      </c>
    </row>
    <row r="2924">
      <c r="A2924" s="54">
        <f>IF(_imp!$C$2926="","",INDEX(_imp!$D$4:$D$4503,_imp!$C$2926))</f>
        <v/>
      </c>
      <c r="B2924" s="54">
        <f>IF(_imp!$C$2926="","",INDEX(_imp!$E$4:$E$4503,_imp!$C$2926))</f>
        <v/>
      </c>
      <c r="C2924" s="54">
        <f>IF(_imp!$C$2926="","",INDEX(_imp!$F$4:$F$4503,_imp!$C$2926))</f>
        <v/>
      </c>
      <c r="D2924" s="54">
        <f>IF(_imp!$C$2926="","",INDEX(_imp!$G$4:$G$4503,_imp!$C$2926))</f>
        <v/>
      </c>
      <c r="E2924" s="54">
        <f>IF(_imp!$C$2926="","",INDEX(_imp!$H$4:$H$4503,_imp!$C$2926))</f>
        <v/>
      </c>
      <c r="F2924" s="54">
        <f>IF(_imp!$C$2926="","",INDEX(_imp!$I$4:$I$4503,_imp!$C$2926))</f>
        <v/>
      </c>
      <c r="G2924" s="54">
        <f>IF(_imp!$C$2926="","",INDEX(_imp!$J$4:$J$4503,_imp!$C$2926))</f>
        <v/>
      </c>
      <c r="K2924" s="54">
        <f>IF(_imp!$C$2926="","",INDEX(_imp!$K$4:$K$4503,_imp!$C$2926))</f>
        <v/>
      </c>
    </row>
    <row r="2925">
      <c r="A2925" s="54">
        <f>IF(_imp!$C$2927="","",INDEX(_imp!$D$4:$D$4503,_imp!$C$2927))</f>
        <v/>
      </c>
      <c r="B2925" s="54">
        <f>IF(_imp!$C$2927="","",INDEX(_imp!$E$4:$E$4503,_imp!$C$2927))</f>
        <v/>
      </c>
      <c r="C2925" s="54">
        <f>IF(_imp!$C$2927="","",INDEX(_imp!$F$4:$F$4503,_imp!$C$2927))</f>
        <v/>
      </c>
      <c r="D2925" s="54">
        <f>IF(_imp!$C$2927="","",INDEX(_imp!$G$4:$G$4503,_imp!$C$2927))</f>
        <v/>
      </c>
      <c r="E2925" s="54">
        <f>IF(_imp!$C$2927="","",INDEX(_imp!$H$4:$H$4503,_imp!$C$2927))</f>
        <v/>
      </c>
      <c r="F2925" s="54">
        <f>IF(_imp!$C$2927="","",INDEX(_imp!$I$4:$I$4503,_imp!$C$2927))</f>
        <v/>
      </c>
      <c r="G2925" s="54">
        <f>IF(_imp!$C$2927="","",INDEX(_imp!$J$4:$J$4503,_imp!$C$2927))</f>
        <v/>
      </c>
      <c r="K2925" s="54">
        <f>IF(_imp!$C$2927="","",INDEX(_imp!$K$4:$K$4503,_imp!$C$2927))</f>
        <v/>
      </c>
    </row>
    <row r="2926">
      <c r="A2926" s="54">
        <f>IF(_imp!$C$2928="","",INDEX(_imp!$D$4:$D$4503,_imp!$C$2928))</f>
        <v/>
      </c>
      <c r="B2926" s="54">
        <f>IF(_imp!$C$2928="","",INDEX(_imp!$E$4:$E$4503,_imp!$C$2928))</f>
        <v/>
      </c>
      <c r="C2926" s="54">
        <f>IF(_imp!$C$2928="","",INDEX(_imp!$F$4:$F$4503,_imp!$C$2928))</f>
        <v/>
      </c>
      <c r="D2926" s="54">
        <f>IF(_imp!$C$2928="","",INDEX(_imp!$G$4:$G$4503,_imp!$C$2928))</f>
        <v/>
      </c>
      <c r="E2926" s="54">
        <f>IF(_imp!$C$2928="","",INDEX(_imp!$H$4:$H$4503,_imp!$C$2928))</f>
        <v/>
      </c>
      <c r="F2926" s="54">
        <f>IF(_imp!$C$2928="","",INDEX(_imp!$I$4:$I$4503,_imp!$C$2928))</f>
        <v/>
      </c>
      <c r="G2926" s="54">
        <f>IF(_imp!$C$2928="","",INDEX(_imp!$J$4:$J$4503,_imp!$C$2928))</f>
        <v/>
      </c>
      <c r="K2926" s="54">
        <f>IF(_imp!$C$2928="","",INDEX(_imp!$K$4:$K$4503,_imp!$C$2928))</f>
        <v/>
      </c>
    </row>
    <row r="2927">
      <c r="A2927" s="54">
        <f>IF(_imp!$C$2929="","",INDEX(_imp!$D$4:$D$4503,_imp!$C$2929))</f>
        <v/>
      </c>
      <c r="B2927" s="54">
        <f>IF(_imp!$C$2929="","",INDEX(_imp!$E$4:$E$4503,_imp!$C$2929))</f>
        <v/>
      </c>
      <c r="C2927" s="54">
        <f>IF(_imp!$C$2929="","",INDEX(_imp!$F$4:$F$4503,_imp!$C$2929))</f>
        <v/>
      </c>
      <c r="D2927" s="54">
        <f>IF(_imp!$C$2929="","",INDEX(_imp!$G$4:$G$4503,_imp!$C$2929))</f>
        <v/>
      </c>
      <c r="E2927" s="54">
        <f>IF(_imp!$C$2929="","",INDEX(_imp!$H$4:$H$4503,_imp!$C$2929))</f>
        <v/>
      </c>
      <c r="F2927" s="54">
        <f>IF(_imp!$C$2929="","",INDEX(_imp!$I$4:$I$4503,_imp!$C$2929))</f>
        <v/>
      </c>
      <c r="G2927" s="54">
        <f>IF(_imp!$C$2929="","",INDEX(_imp!$J$4:$J$4503,_imp!$C$2929))</f>
        <v/>
      </c>
      <c r="K2927" s="54">
        <f>IF(_imp!$C$2929="","",INDEX(_imp!$K$4:$K$4503,_imp!$C$2929))</f>
        <v/>
      </c>
    </row>
    <row r="2928">
      <c r="A2928" s="54">
        <f>IF(_imp!$C$2930="","",INDEX(_imp!$D$4:$D$4503,_imp!$C$2930))</f>
        <v/>
      </c>
      <c r="B2928" s="54">
        <f>IF(_imp!$C$2930="","",INDEX(_imp!$E$4:$E$4503,_imp!$C$2930))</f>
        <v/>
      </c>
      <c r="C2928" s="54">
        <f>IF(_imp!$C$2930="","",INDEX(_imp!$F$4:$F$4503,_imp!$C$2930))</f>
        <v/>
      </c>
      <c r="D2928" s="54">
        <f>IF(_imp!$C$2930="","",INDEX(_imp!$G$4:$G$4503,_imp!$C$2930))</f>
        <v/>
      </c>
      <c r="E2928" s="54">
        <f>IF(_imp!$C$2930="","",INDEX(_imp!$H$4:$H$4503,_imp!$C$2930))</f>
        <v/>
      </c>
      <c r="F2928" s="54">
        <f>IF(_imp!$C$2930="","",INDEX(_imp!$I$4:$I$4503,_imp!$C$2930))</f>
        <v/>
      </c>
      <c r="G2928" s="54">
        <f>IF(_imp!$C$2930="","",INDEX(_imp!$J$4:$J$4503,_imp!$C$2930))</f>
        <v/>
      </c>
      <c r="K2928" s="54">
        <f>IF(_imp!$C$2930="","",INDEX(_imp!$K$4:$K$4503,_imp!$C$2930))</f>
        <v/>
      </c>
    </row>
    <row r="2929">
      <c r="A2929" s="54">
        <f>IF(_imp!$C$2931="","",INDEX(_imp!$D$4:$D$4503,_imp!$C$2931))</f>
        <v/>
      </c>
      <c r="B2929" s="54">
        <f>IF(_imp!$C$2931="","",INDEX(_imp!$E$4:$E$4503,_imp!$C$2931))</f>
        <v/>
      </c>
      <c r="C2929" s="54">
        <f>IF(_imp!$C$2931="","",INDEX(_imp!$F$4:$F$4503,_imp!$C$2931))</f>
        <v/>
      </c>
      <c r="D2929" s="54">
        <f>IF(_imp!$C$2931="","",INDEX(_imp!$G$4:$G$4503,_imp!$C$2931))</f>
        <v/>
      </c>
      <c r="E2929" s="54">
        <f>IF(_imp!$C$2931="","",INDEX(_imp!$H$4:$H$4503,_imp!$C$2931))</f>
        <v/>
      </c>
      <c r="F2929" s="54">
        <f>IF(_imp!$C$2931="","",INDEX(_imp!$I$4:$I$4503,_imp!$C$2931))</f>
        <v/>
      </c>
      <c r="G2929" s="54">
        <f>IF(_imp!$C$2931="","",INDEX(_imp!$J$4:$J$4503,_imp!$C$2931))</f>
        <v/>
      </c>
      <c r="K2929" s="54">
        <f>IF(_imp!$C$2931="","",INDEX(_imp!$K$4:$K$4503,_imp!$C$2931))</f>
        <v/>
      </c>
    </row>
    <row r="2930">
      <c r="A2930" s="54">
        <f>IF(_imp!$C$2932="","",INDEX(_imp!$D$4:$D$4503,_imp!$C$2932))</f>
        <v/>
      </c>
      <c r="B2930" s="54">
        <f>IF(_imp!$C$2932="","",INDEX(_imp!$E$4:$E$4503,_imp!$C$2932))</f>
        <v/>
      </c>
      <c r="C2930" s="54">
        <f>IF(_imp!$C$2932="","",INDEX(_imp!$F$4:$F$4503,_imp!$C$2932))</f>
        <v/>
      </c>
      <c r="D2930" s="54">
        <f>IF(_imp!$C$2932="","",INDEX(_imp!$G$4:$G$4503,_imp!$C$2932))</f>
        <v/>
      </c>
      <c r="E2930" s="54">
        <f>IF(_imp!$C$2932="","",INDEX(_imp!$H$4:$H$4503,_imp!$C$2932))</f>
        <v/>
      </c>
      <c r="F2930" s="54">
        <f>IF(_imp!$C$2932="","",INDEX(_imp!$I$4:$I$4503,_imp!$C$2932))</f>
        <v/>
      </c>
      <c r="G2930" s="54">
        <f>IF(_imp!$C$2932="","",INDEX(_imp!$J$4:$J$4503,_imp!$C$2932))</f>
        <v/>
      </c>
      <c r="K2930" s="54">
        <f>IF(_imp!$C$2932="","",INDEX(_imp!$K$4:$K$4503,_imp!$C$2932))</f>
        <v/>
      </c>
    </row>
    <row r="2931">
      <c r="A2931" s="54">
        <f>IF(_imp!$C$2933="","",INDEX(_imp!$D$4:$D$4503,_imp!$C$2933))</f>
        <v/>
      </c>
      <c r="B2931" s="54">
        <f>IF(_imp!$C$2933="","",INDEX(_imp!$E$4:$E$4503,_imp!$C$2933))</f>
        <v/>
      </c>
      <c r="C2931" s="54">
        <f>IF(_imp!$C$2933="","",INDEX(_imp!$F$4:$F$4503,_imp!$C$2933))</f>
        <v/>
      </c>
      <c r="D2931" s="54">
        <f>IF(_imp!$C$2933="","",INDEX(_imp!$G$4:$G$4503,_imp!$C$2933))</f>
        <v/>
      </c>
      <c r="E2931" s="54">
        <f>IF(_imp!$C$2933="","",INDEX(_imp!$H$4:$H$4503,_imp!$C$2933))</f>
        <v/>
      </c>
      <c r="F2931" s="54">
        <f>IF(_imp!$C$2933="","",INDEX(_imp!$I$4:$I$4503,_imp!$C$2933))</f>
        <v/>
      </c>
      <c r="G2931" s="54">
        <f>IF(_imp!$C$2933="","",INDEX(_imp!$J$4:$J$4503,_imp!$C$2933))</f>
        <v/>
      </c>
      <c r="K2931" s="54">
        <f>IF(_imp!$C$2933="","",INDEX(_imp!$K$4:$K$4503,_imp!$C$2933))</f>
        <v/>
      </c>
    </row>
    <row r="2932">
      <c r="A2932" s="54">
        <f>IF(_imp!$C$2934="","",INDEX(_imp!$D$4:$D$4503,_imp!$C$2934))</f>
        <v/>
      </c>
      <c r="B2932" s="54">
        <f>IF(_imp!$C$2934="","",INDEX(_imp!$E$4:$E$4503,_imp!$C$2934))</f>
        <v/>
      </c>
      <c r="C2932" s="54">
        <f>IF(_imp!$C$2934="","",INDEX(_imp!$F$4:$F$4503,_imp!$C$2934))</f>
        <v/>
      </c>
      <c r="D2932" s="54">
        <f>IF(_imp!$C$2934="","",INDEX(_imp!$G$4:$G$4503,_imp!$C$2934))</f>
        <v/>
      </c>
      <c r="E2932" s="54">
        <f>IF(_imp!$C$2934="","",INDEX(_imp!$H$4:$H$4503,_imp!$C$2934))</f>
        <v/>
      </c>
      <c r="F2932" s="54">
        <f>IF(_imp!$C$2934="","",INDEX(_imp!$I$4:$I$4503,_imp!$C$2934))</f>
        <v/>
      </c>
      <c r="G2932" s="54">
        <f>IF(_imp!$C$2934="","",INDEX(_imp!$J$4:$J$4503,_imp!$C$2934))</f>
        <v/>
      </c>
      <c r="K2932" s="54">
        <f>IF(_imp!$C$2934="","",INDEX(_imp!$K$4:$K$4503,_imp!$C$2934))</f>
        <v/>
      </c>
    </row>
    <row r="2933">
      <c r="A2933" s="54">
        <f>IF(_imp!$C$2935="","",INDEX(_imp!$D$4:$D$4503,_imp!$C$2935))</f>
        <v/>
      </c>
      <c r="B2933" s="54">
        <f>IF(_imp!$C$2935="","",INDEX(_imp!$E$4:$E$4503,_imp!$C$2935))</f>
        <v/>
      </c>
      <c r="C2933" s="54">
        <f>IF(_imp!$C$2935="","",INDEX(_imp!$F$4:$F$4503,_imp!$C$2935))</f>
        <v/>
      </c>
      <c r="D2933" s="54">
        <f>IF(_imp!$C$2935="","",INDEX(_imp!$G$4:$G$4503,_imp!$C$2935))</f>
        <v/>
      </c>
      <c r="E2933" s="54">
        <f>IF(_imp!$C$2935="","",INDEX(_imp!$H$4:$H$4503,_imp!$C$2935))</f>
        <v/>
      </c>
      <c r="F2933" s="54">
        <f>IF(_imp!$C$2935="","",INDEX(_imp!$I$4:$I$4503,_imp!$C$2935))</f>
        <v/>
      </c>
      <c r="G2933" s="54">
        <f>IF(_imp!$C$2935="","",INDEX(_imp!$J$4:$J$4503,_imp!$C$2935))</f>
        <v/>
      </c>
      <c r="K2933" s="54">
        <f>IF(_imp!$C$2935="","",INDEX(_imp!$K$4:$K$4503,_imp!$C$2935))</f>
        <v/>
      </c>
    </row>
    <row r="2934">
      <c r="A2934" s="54">
        <f>IF(_imp!$C$2936="","",INDEX(_imp!$D$4:$D$4503,_imp!$C$2936))</f>
        <v/>
      </c>
      <c r="B2934" s="54">
        <f>IF(_imp!$C$2936="","",INDEX(_imp!$E$4:$E$4503,_imp!$C$2936))</f>
        <v/>
      </c>
      <c r="C2934" s="54">
        <f>IF(_imp!$C$2936="","",INDEX(_imp!$F$4:$F$4503,_imp!$C$2936))</f>
        <v/>
      </c>
      <c r="D2934" s="54">
        <f>IF(_imp!$C$2936="","",INDEX(_imp!$G$4:$G$4503,_imp!$C$2936))</f>
        <v/>
      </c>
      <c r="E2934" s="54">
        <f>IF(_imp!$C$2936="","",INDEX(_imp!$H$4:$H$4503,_imp!$C$2936))</f>
        <v/>
      </c>
      <c r="F2934" s="54">
        <f>IF(_imp!$C$2936="","",INDEX(_imp!$I$4:$I$4503,_imp!$C$2936))</f>
        <v/>
      </c>
      <c r="G2934" s="54">
        <f>IF(_imp!$C$2936="","",INDEX(_imp!$J$4:$J$4503,_imp!$C$2936))</f>
        <v/>
      </c>
      <c r="K2934" s="54">
        <f>IF(_imp!$C$2936="","",INDEX(_imp!$K$4:$K$4503,_imp!$C$2936))</f>
        <v/>
      </c>
    </row>
    <row r="2935">
      <c r="A2935" s="54">
        <f>IF(_imp!$C$2937="","",INDEX(_imp!$D$4:$D$4503,_imp!$C$2937))</f>
        <v/>
      </c>
      <c r="B2935" s="54">
        <f>IF(_imp!$C$2937="","",INDEX(_imp!$E$4:$E$4503,_imp!$C$2937))</f>
        <v/>
      </c>
      <c r="C2935" s="54">
        <f>IF(_imp!$C$2937="","",INDEX(_imp!$F$4:$F$4503,_imp!$C$2937))</f>
        <v/>
      </c>
      <c r="D2935" s="54">
        <f>IF(_imp!$C$2937="","",INDEX(_imp!$G$4:$G$4503,_imp!$C$2937))</f>
        <v/>
      </c>
      <c r="E2935" s="54">
        <f>IF(_imp!$C$2937="","",INDEX(_imp!$H$4:$H$4503,_imp!$C$2937))</f>
        <v/>
      </c>
      <c r="F2935" s="54">
        <f>IF(_imp!$C$2937="","",INDEX(_imp!$I$4:$I$4503,_imp!$C$2937))</f>
        <v/>
      </c>
      <c r="G2935" s="54">
        <f>IF(_imp!$C$2937="","",INDEX(_imp!$J$4:$J$4503,_imp!$C$2937))</f>
        <v/>
      </c>
      <c r="K2935" s="54">
        <f>IF(_imp!$C$2937="","",INDEX(_imp!$K$4:$K$4503,_imp!$C$2937))</f>
        <v/>
      </c>
    </row>
    <row r="2936">
      <c r="A2936" s="54">
        <f>IF(_imp!$C$2938="","",INDEX(_imp!$D$4:$D$4503,_imp!$C$2938))</f>
        <v/>
      </c>
      <c r="B2936" s="54">
        <f>IF(_imp!$C$2938="","",INDEX(_imp!$E$4:$E$4503,_imp!$C$2938))</f>
        <v/>
      </c>
      <c r="C2936" s="54">
        <f>IF(_imp!$C$2938="","",INDEX(_imp!$F$4:$F$4503,_imp!$C$2938))</f>
        <v/>
      </c>
      <c r="D2936" s="54">
        <f>IF(_imp!$C$2938="","",INDEX(_imp!$G$4:$G$4503,_imp!$C$2938))</f>
        <v/>
      </c>
      <c r="E2936" s="54">
        <f>IF(_imp!$C$2938="","",INDEX(_imp!$H$4:$H$4503,_imp!$C$2938))</f>
        <v/>
      </c>
      <c r="F2936" s="54">
        <f>IF(_imp!$C$2938="","",INDEX(_imp!$I$4:$I$4503,_imp!$C$2938))</f>
        <v/>
      </c>
      <c r="G2936" s="54">
        <f>IF(_imp!$C$2938="","",INDEX(_imp!$J$4:$J$4503,_imp!$C$2938))</f>
        <v/>
      </c>
      <c r="K2936" s="54">
        <f>IF(_imp!$C$2938="","",INDEX(_imp!$K$4:$K$4503,_imp!$C$2938))</f>
        <v/>
      </c>
    </row>
    <row r="2937">
      <c r="A2937" s="54">
        <f>IF(_imp!$C$2939="","",INDEX(_imp!$D$4:$D$4503,_imp!$C$2939))</f>
        <v/>
      </c>
      <c r="B2937" s="54">
        <f>IF(_imp!$C$2939="","",INDEX(_imp!$E$4:$E$4503,_imp!$C$2939))</f>
        <v/>
      </c>
      <c r="C2937" s="54">
        <f>IF(_imp!$C$2939="","",INDEX(_imp!$F$4:$F$4503,_imp!$C$2939))</f>
        <v/>
      </c>
      <c r="D2937" s="54">
        <f>IF(_imp!$C$2939="","",INDEX(_imp!$G$4:$G$4503,_imp!$C$2939))</f>
        <v/>
      </c>
      <c r="E2937" s="54">
        <f>IF(_imp!$C$2939="","",INDEX(_imp!$H$4:$H$4503,_imp!$C$2939))</f>
        <v/>
      </c>
      <c r="F2937" s="54">
        <f>IF(_imp!$C$2939="","",INDEX(_imp!$I$4:$I$4503,_imp!$C$2939))</f>
        <v/>
      </c>
      <c r="G2937" s="54">
        <f>IF(_imp!$C$2939="","",INDEX(_imp!$J$4:$J$4503,_imp!$C$2939))</f>
        <v/>
      </c>
      <c r="K2937" s="54">
        <f>IF(_imp!$C$2939="","",INDEX(_imp!$K$4:$K$4503,_imp!$C$2939))</f>
        <v/>
      </c>
    </row>
    <row r="2938">
      <c r="A2938" s="54">
        <f>IF(_imp!$C$2940="","",INDEX(_imp!$D$4:$D$4503,_imp!$C$2940))</f>
        <v/>
      </c>
      <c r="B2938" s="54">
        <f>IF(_imp!$C$2940="","",INDEX(_imp!$E$4:$E$4503,_imp!$C$2940))</f>
        <v/>
      </c>
      <c r="C2938" s="54">
        <f>IF(_imp!$C$2940="","",INDEX(_imp!$F$4:$F$4503,_imp!$C$2940))</f>
        <v/>
      </c>
      <c r="D2938" s="54">
        <f>IF(_imp!$C$2940="","",INDEX(_imp!$G$4:$G$4503,_imp!$C$2940))</f>
        <v/>
      </c>
      <c r="E2938" s="54">
        <f>IF(_imp!$C$2940="","",INDEX(_imp!$H$4:$H$4503,_imp!$C$2940))</f>
        <v/>
      </c>
      <c r="F2938" s="54">
        <f>IF(_imp!$C$2940="","",INDEX(_imp!$I$4:$I$4503,_imp!$C$2940))</f>
        <v/>
      </c>
      <c r="G2938" s="54">
        <f>IF(_imp!$C$2940="","",INDEX(_imp!$J$4:$J$4503,_imp!$C$2940))</f>
        <v/>
      </c>
      <c r="K2938" s="54">
        <f>IF(_imp!$C$2940="","",INDEX(_imp!$K$4:$K$4503,_imp!$C$2940))</f>
        <v/>
      </c>
    </row>
    <row r="2939">
      <c r="A2939" s="54">
        <f>IF(_imp!$C$2941="","",INDEX(_imp!$D$4:$D$4503,_imp!$C$2941))</f>
        <v/>
      </c>
      <c r="B2939" s="54">
        <f>IF(_imp!$C$2941="","",INDEX(_imp!$E$4:$E$4503,_imp!$C$2941))</f>
        <v/>
      </c>
      <c r="C2939" s="54">
        <f>IF(_imp!$C$2941="","",INDEX(_imp!$F$4:$F$4503,_imp!$C$2941))</f>
        <v/>
      </c>
      <c r="D2939" s="54">
        <f>IF(_imp!$C$2941="","",INDEX(_imp!$G$4:$G$4503,_imp!$C$2941))</f>
        <v/>
      </c>
      <c r="E2939" s="54">
        <f>IF(_imp!$C$2941="","",INDEX(_imp!$H$4:$H$4503,_imp!$C$2941))</f>
        <v/>
      </c>
      <c r="F2939" s="54">
        <f>IF(_imp!$C$2941="","",INDEX(_imp!$I$4:$I$4503,_imp!$C$2941))</f>
        <v/>
      </c>
      <c r="G2939" s="54">
        <f>IF(_imp!$C$2941="","",INDEX(_imp!$J$4:$J$4503,_imp!$C$2941))</f>
        <v/>
      </c>
      <c r="K2939" s="54">
        <f>IF(_imp!$C$2941="","",INDEX(_imp!$K$4:$K$4503,_imp!$C$2941))</f>
        <v/>
      </c>
    </row>
    <row r="2940">
      <c r="A2940" s="54">
        <f>IF(_imp!$C$2942="","",INDEX(_imp!$D$4:$D$4503,_imp!$C$2942))</f>
        <v/>
      </c>
      <c r="B2940" s="54">
        <f>IF(_imp!$C$2942="","",INDEX(_imp!$E$4:$E$4503,_imp!$C$2942))</f>
        <v/>
      </c>
      <c r="C2940" s="54">
        <f>IF(_imp!$C$2942="","",INDEX(_imp!$F$4:$F$4503,_imp!$C$2942))</f>
        <v/>
      </c>
      <c r="D2940" s="54">
        <f>IF(_imp!$C$2942="","",INDEX(_imp!$G$4:$G$4503,_imp!$C$2942))</f>
        <v/>
      </c>
      <c r="E2940" s="54">
        <f>IF(_imp!$C$2942="","",INDEX(_imp!$H$4:$H$4503,_imp!$C$2942))</f>
        <v/>
      </c>
      <c r="F2940" s="54">
        <f>IF(_imp!$C$2942="","",INDEX(_imp!$I$4:$I$4503,_imp!$C$2942))</f>
        <v/>
      </c>
      <c r="G2940" s="54">
        <f>IF(_imp!$C$2942="","",INDEX(_imp!$J$4:$J$4503,_imp!$C$2942))</f>
        <v/>
      </c>
      <c r="K2940" s="54">
        <f>IF(_imp!$C$2942="","",INDEX(_imp!$K$4:$K$4503,_imp!$C$2942))</f>
        <v/>
      </c>
    </row>
    <row r="2941">
      <c r="A2941" s="54">
        <f>IF(_imp!$C$2943="","",INDEX(_imp!$D$4:$D$4503,_imp!$C$2943))</f>
        <v/>
      </c>
      <c r="B2941" s="54">
        <f>IF(_imp!$C$2943="","",INDEX(_imp!$E$4:$E$4503,_imp!$C$2943))</f>
        <v/>
      </c>
      <c r="C2941" s="54">
        <f>IF(_imp!$C$2943="","",INDEX(_imp!$F$4:$F$4503,_imp!$C$2943))</f>
        <v/>
      </c>
      <c r="D2941" s="54">
        <f>IF(_imp!$C$2943="","",INDEX(_imp!$G$4:$G$4503,_imp!$C$2943))</f>
        <v/>
      </c>
      <c r="E2941" s="54">
        <f>IF(_imp!$C$2943="","",INDEX(_imp!$H$4:$H$4503,_imp!$C$2943))</f>
        <v/>
      </c>
      <c r="F2941" s="54">
        <f>IF(_imp!$C$2943="","",INDEX(_imp!$I$4:$I$4503,_imp!$C$2943))</f>
        <v/>
      </c>
      <c r="G2941" s="54">
        <f>IF(_imp!$C$2943="","",INDEX(_imp!$J$4:$J$4503,_imp!$C$2943))</f>
        <v/>
      </c>
      <c r="K2941" s="54">
        <f>IF(_imp!$C$2943="","",INDEX(_imp!$K$4:$K$4503,_imp!$C$2943))</f>
        <v/>
      </c>
    </row>
    <row r="2942">
      <c r="A2942" s="54">
        <f>IF(_imp!$C$2944="","",INDEX(_imp!$D$4:$D$4503,_imp!$C$2944))</f>
        <v/>
      </c>
      <c r="B2942" s="54">
        <f>IF(_imp!$C$2944="","",INDEX(_imp!$E$4:$E$4503,_imp!$C$2944))</f>
        <v/>
      </c>
      <c r="C2942" s="54">
        <f>IF(_imp!$C$2944="","",INDEX(_imp!$F$4:$F$4503,_imp!$C$2944))</f>
        <v/>
      </c>
      <c r="D2942" s="54">
        <f>IF(_imp!$C$2944="","",INDEX(_imp!$G$4:$G$4503,_imp!$C$2944))</f>
        <v/>
      </c>
      <c r="E2942" s="54">
        <f>IF(_imp!$C$2944="","",INDEX(_imp!$H$4:$H$4503,_imp!$C$2944))</f>
        <v/>
      </c>
      <c r="F2942" s="54">
        <f>IF(_imp!$C$2944="","",INDEX(_imp!$I$4:$I$4503,_imp!$C$2944))</f>
        <v/>
      </c>
      <c r="G2942" s="54">
        <f>IF(_imp!$C$2944="","",INDEX(_imp!$J$4:$J$4503,_imp!$C$2944))</f>
        <v/>
      </c>
      <c r="K2942" s="54">
        <f>IF(_imp!$C$2944="","",INDEX(_imp!$K$4:$K$4503,_imp!$C$2944))</f>
        <v/>
      </c>
    </row>
    <row r="2943">
      <c r="A2943" s="54">
        <f>IF(_imp!$C$2945="","",INDEX(_imp!$D$4:$D$4503,_imp!$C$2945))</f>
        <v/>
      </c>
      <c r="B2943" s="54">
        <f>IF(_imp!$C$2945="","",INDEX(_imp!$E$4:$E$4503,_imp!$C$2945))</f>
        <v/>
      </c>
      <c r="C2943" s="54">
        <f>IF(_imp!$C$2945="","",INDEX(_imp!$F$4:$F$4503,_imp!$C$2945))</f>
        <v/>
      </c>
      <c r="D2943" s="54">
        <f>IF(_imp!$C$2945="","",INDEX(_imp!$G$4:$G$4503,_imp!$C$2945))</f>
        <v/>
      </c>
      <c r="E2943" s="54">
        <f>IF(_imp!$C$2945="","",INDEX(_imp!$H$4:$H$4503,_imp!$C$2945))</f>
        <v/>
      </c>
      <c r="F2943" s="54">
        <f>IF(_imp!$C$2945="","",INDEX(_imp!$I$4:$I$4503,_imp!$C$2945))</f>
        <v/>
      </c>
      <c r="G2943" s="54">
        <f>IF(_imp!$C$2945="","",INDEX(_imp!$J$4:$J$4503,_imp!$C$2945))</f>
        <v/>
      </c>
      <c r="K2943" s="54">
        <f>IF(_imp!$C$2945="","",INDEX(_imp!$K$4:$K$4503,_imp!$C$2945))</f>
        <v/>
      </c>
    </row>
    <row r="2944">
      <c r="A2944" s="54">
        <f>IF(_imp!$C$2946="","",INDEX(_imp!$D$4:$D$4503,_imp!$C$2946))</f>
        <v/>
      </c>
      <c r="B2944" s="54">
        <f>IF(_imp!$C$2946="","",INDEX(_imp!$E$4:$E$4503,_imp!$C$2946))</f>
        <v/>
      </c>
      <c r="C2944" s="54">
        <f>IF(_imp!$C$2946="","",INDEX(_imp!$F$4:$F$4503,_imp!$C$2946))</f>
        <v/>
      </c>
      <c r="D2944" s="54">
        <f>IF(_imp!$C$2946="","",INDEX(_imp!$G$4:$G$4503,_imp!$C$2946))</f>
        <v/>
      </c>
      <c r="E2944" s="54">
        <f>IF(_imp!$C$2946="","",INDEX(_imp!$H$4:$H$4503,_imp!$C$2946))</f>
        <v/>
      </c>
      <c r="F2944" s="54">
        <f>IF(_imp!$C$2946="","",INDEX(_imp!$I$4:$I$4503,_imp!$C$2946))</f>
        <v/>
      </c>
      <c r="G2944" s="54">
        <f>IF(_imp!$C$2946="","",INDEX(_imp!$J$4:$J$4503,_imp!$C$2946))</f>
        <v/>
      </c>
      <c r="K2944" s="54">
        <f>IF(_imp!$C$2946="","",INDEX(_imp!$K$4:$K$4503,_imp!$C$2946))</f>
        <v/>
      </c>
    </row>
    <row r="2945">
      <c r="A2945" s="54">
        <f>IF(_imp!$C$2947="","",INDEX(_imp!$D$4:$D$4503,_imp!$C$2947))</f>
        <v/>
      </c>
      <c r="B2945" s="54">
        <f>IF(_imp!$C$2947="","",INDEX(_imp!$E$4:$E$4503,_imp!$C$2947))</f>
        <v/>
      </c>
      <c r="C2945" s="54">
        <f>IF(_imp!$C$2947="","",INDEX(_imp!$F$4:$F$4503,_imp!$C$2947))</f>
        <v/>
      </c>
      <c r="D2945" s="54">
        <f>IF(_imp!$C$2947="","",INDEX(_imp!$G$4:$G$4503,_imp!$C$2947))</f>
        <v/>
      </c>
      <c r="E2945" s="54">
        <f>IF(_imp!$C$2947="","",INDEX(_imp!$H$4:$H$4503,_imp!$C$2947))</f>
        <v/>
      </c>
      <c r="F2945" s="54">
        <f>IF(_imp!$C$2947="","",INDEX(_imp!$I$4:$I$4503,_imp!$C$2947))</f>
        <v/>
      </c>
      <c r="G2945" s="54">
        <f>IF(_imp!$C$2947="","",INDEX(_imp!$J$4:$J$4503,_imp!$C$2947))</f>
        <v/>
      </c>
      <c r="K2945" s="54">
        <f>IF(_imp!$C$2947="","",INDEX(_imp!$K$4:$K$4503,_imp!$C$2947))</f>
        <v/>
      </c>
    </row>
    <row r="2946">
      <c r="A2946" s="54">
        <f>IF(_imp!$C$2948="","",INDEX(_imp!$D$4:$D$4503,_imp!$C$2948))</f>
        <v/>
      </c>
      <c r="B2946" s="54">
        <f>IF(_imp!$C$2948="","",INDEX(_imp!$E$4:$E$4503,_imp!$C$2948))</f>
        <v/>
      </c>
      <c r="C2946" s="54">
        <f>IF(_imp!$C$2948="","",INDEX(_imp!$F$4:$F$4503,_imp!$C$2948))</f>
        <v/>
      </c>
      <c r="D2946" s="54">
        <f>IF(_imp!$C$2948="","",INDEX(_imp!$G$4:$G$4503,_imp!$C$2948))</f>
        <v/>
      </c>
      <c r="E2946" s="54">
        <f>IF(_imp!$C$2948="","",INDEX(_imp!$H$4:$H$4503,_imp!$C$2948))</f>
        <v/>
      </c>
      <c r="F2946" s="54">
        <f>IF(_imp!$C$2948="","",INDEX(_imp!$I$4:$I$4503,_imp!$C$2948))</f>
        <v/>
      </c>
      <c r="G2946" s="54">
        <f>IF(_imp!$C$2948="","",INDEX(_imp!$J$4:$J$4503,_imp!$C$2948))</f>
        <v/>
      </c>
      <c r="K2946" s="54">
        <f>IF(_imp!$C$2948="","",INDEX(_imp!$K$4:$K$4503,_imp!$C$2948))</f>
        <v/>
      </c>
    </row>
    <row r="2947">
      <c r="A2947" s="54">
        <f>IF(_imp!$C$2949="","",INDEX(_imp!$D$4:$D$4503,_imp!$C$2949))</f>
        <v/>
      </c>
      <c r="B2947" s="54">
        <f>IF(_imp!$C$2949="","",INDEX(_imp!$E$4:$E$4503,_imp!$C$2949))</f>
        <v/>
      </c>
      <c r="C2947" s="54">
        <f>IF(_imp!$C$2949="","",INDEX(_imp!$F$4:$F$4503,_imp!$C$2949))</f>
        <v/>
      </c>
      <c r="D2947" s="54">
        <f>IF(_imp!$C$2949="","",INDEX(_imp!$G$4:$G$4503,_imp!$C$2949))</f>
        <v/>
      </c>
      <c r="E2947" s="54">
        <f>IF(_imp!$C$2949="","",INDEX(_imp!$H$4:$H$4503,_imp!$C$2949))</f>
        <v/>
      </c>
      <c r="F2947" s="54">
        <f>IF(_imp!$C$2949="","",INDEX(_imp!$I$4:$I$4503,_imp!$C$2949))</f>
        <v/>
      </c>
      <c r="G2947" s="54">
        <f>IF(_imp!$C$2949="","",INDEX(_imp!$J$4:$J$4503,_imp!$C$2949))</f>
        <v/>
      </c>
      <c r="K2947" s="54">
        <f>IF(_imp!$C$2949="","",INDEX(_imp!$K$4:$K$4503,_imp!$C$2949))</f>
        <v/>
      </c>
    </row>
    <row r="2948">
      <c r="A2948" s="54">
        <f>IF(_imp!$C$2950="","",INDEX(_imp!$D$4:$D$4503,_imp!$C$2950))</f>
        <v/>
      </c>
      <c r="B2948" s="54">
        <f>IF(_imp!$C$2950="","",INDEX(_imp!$E$4:$E$4503,_imp!$C$2950))</f>
        <v/>
      </c>
      <c r="C2948" s="54">
        <f>IF(_imp!$C$2950="","",INDEX(_imp!$F$4:$F$4503,_imp!$C$2950))</f>
        <v/>
      </c>
      <c r="D2948" s="54">
        <f>IF(_imp!$C$2950="","",INDEX(_imp!$G$4:$G$4503,_imp!$C$2950))</f>
        <v/>
      </c>
      <c r="E2948" s="54">
        <f>IF(_imp!$C$2950="","",INDEX(_imp!$H$4:$H$4503,_imp!$C$2950))</f>
        <v/>
      </c>
      <c r="F2948" s="54">
        <f>IF(_imp!$C$2950="","",INDEX(_imp!$I$4:$I$4503,_imp!$C$2950))</f>
        <v/>
      </c>
      <c r="G2948" s="54">
        <f>IF(_imp!$C$2950="","",INDEX(_imp!$J$4:$J$4503,_imp!$C$2950))</f>
        <v/>
      </c>
      <c r="K2948" s="54">
        <f>IF(_imp!$C$2950="","",INDEX(_imp!$K$4:$K$4503,_imp!$C$2950))</f>
        <v/>
      </c>
    </row>
    <row r="2949">
      <c r="A2949" s="54">
        <f>IF(_imp!$C$2951="","",INDEX(_imp!$D$4:$D$4503,_imp!$C$2951))</f>
        <v/>
      </c>
      <c r="B2949" s="54">
        <f>IF(_imp!$C$2951="","",INDEX(_imp!$E$4:$E$4503,_imp!$C$2951))</f>
        <v/>
      </c>
      <c r="C2949" s="54">
        <f>IF(_imp!$C$2951="","",INDEX(_imp!$F$4:$F$4503,_imp!$C$2951))</f>
        <v/>
      </c>
      <c r="D2949" s="54">
        <f>IF(_imp!$C$2951="","",INDEX(_imp!$G$4:$G$4503,_imp!$C$2951))</f>
        <v/>
      </c>
      <c r="E2949" s="54">
        <f>IF(_imp!$C$2951="","",INDEX(_imp!$H$4:$H$4503,_imp!$C$2951))</f>
        <v/>
      </c>
      <c r="F2949" s="54">
        <f>IF(_imp!$C$2951="","",INDEX(_imp!$I$4:$I$4503,_imp!$C$2951))</f>
        <v/>
      </c>
      <c r="G2949" s="54">
        <f>IF(_imp!$C$2951="","",INDEX(_imp!$J$4:$J$4503,_imp!$C$2951))</f>
        <v/>
      </c>
      <c r="K2949" s="54">
        <f>IF(_imp!$C$2951="","",INDEX(_imp!$K$4:$K$4503,_imp!$C$2951))</f>
        <v/>
      </c>
    </row>
    <row r="2950">
      <c r="A2950" s="54">
        <f>IF(_imp!$C$2952="","",INDEX(_imp!$D$4:$D$4503,_imp!$C$2952))</f>
        <v/>
      </c>
      <c r="B2950" s="54">
        <f>IF(_imp!$C$2952="","",INDEX(_imp!$E$4:$E$4503,_imp!$C$2952))</f>
        <v/>
      </c>
      <c r="C2950" s="54">
        <f>IF(_imp!$C$2952="","",INDEX(_imp!$F$4:$F$4503,_imp!$C$2952))</f>
        <v/>
      </c>
      <c r="D2950" s="54">
        <f>IF(_imp!$C$2952="","",INDEX(_imp!$G$4:$G$4503,_imp!$C$2952))</f>
        <v/>
      </c>
      <c r="E2950" s="54">
        <f>IF(_imp!$C$2952="","",INDEX(_imp!$H$4:$H$4503,_imp!$C$2952))</f>
        <v/>
      </c>
      <c r="F2950" s="54">
        <f>IF(_imp!$C$2952="","",INDEX(_imp!$I$4:$I$4503,_imp!$C$2952))</f>
        <v/>
      </c>
      <c r="G2950" s="54">
        <f>IF(_imp!$C$2952="","",INDEX(_imp!$J$4:$J$4503,_imp!$C$2952))</f>
        <v/>
      </c>
      <c r="K2950" s="54">
        <f>IF(_imp!$C$2952="","",INDEX(_imp!$K$4:$K$4503,_imp!$C$2952))</f>
        <v/>
      </c>
    </row>
    <row r="2951">
      <c r="A2951" s="54">
        <f>IF(_imp!$C$2953="","",INDEX(_imp!$D$4:$D$4503,_imp!$C$2953))</f>
        <v/>
      </c>
      <c r="B2951" s="54">
        <f>IF(_imp!$C$2953="","",INDEX(_imp!$E$4:$E$4503,_imp!$C$2953))</f>
        <v/>
      </c>
      <c r="C2951" s="54">
        <f>IF(_imp!$C$2953="","",INDEX(_imp!$F$4:$F$4503,_imp!$C$2953))</f>
        <v/>
      </c>
      <c r="D2951" s="54">
        <f>IF(_imp!$C$2953="","",INDEX(_imp!$G$4:$G$4503,_imp!$C$2953))</f>
        <v/>
      </c>
      <c r="E2951" s="54">
        <f>IF(_imp!$C$2953="","",INDEX(_imp!$H$4:$H$4503,_imp!$C$2953))</f>
        <v/>
      </c>
      <c r="F2951" s="54">
        <f>IF(_imp!$C$2953="","",INDEX(_imp!$I$4:$I$4503,_imp!$C$2953))</f>
        <v/>
      </c>
      <c r="G2951" s="54">
        <f>IF(_imp!$C$2953="","",INDEX(_imp!$J$4:$J$4503,_imp!$C$2953))</f>
        <v/>
      </c>
      <c r="K2951" s="54">
        <f>IF(_imp!$C$2953="","",INDEX(_imp!$K$4:$K$4503,_imp!$C$2953))</f>
        <v/>
      </c>
    </row>
    <row r="2952">
      <c r="A2952" s="54">
        <f>IF(_imp!$C$2954="","",INDEX(_imp!$D$4:$D$4503,_imp!$C$2954))</f>
        <v/>
      </c>
      <c r="B2952" s="54">
        <f>IF(_imp!$C$2954="","",INDEX(_imp!$E$4:$E$4503,_imp!$C$2954))</f>
        <v/>
      </c>
      <c r="C2952" s="54">
        <f>IF(_imp!$C$2954="","",INDEX(_imp!$F$4:$F$4503,_imp!$C$2954))</f>
        <v/>
      </c>
      <c r="D2952" s="54">
        <f>IF(_imp!$C$2954="","",INDEX(_imp!$G$4:$G$4503,_imp!$C$2954))</f>
        <v/>
      </c>
      <c r="E2952" s="54">
        <f>IF(_imp!$C$2954="","",INDEX(_imp!$H$4:$H$4503,_imp!$C$2954))</f>
        <v/>
      </c>
      <c r="F2952" s="54">
        <f>IF(_imp!$C$2954="","",INDEX(_imp!$I$4:$I$4503,_imp!$C$2954))</f>
        <v/>
      </c>
      <c r="G2952" s="54">
        <f>IF(_imp!$C$2954="","",INDEX(_imp!$J$4:$J$4503,_imp!$C$2954))</f>
        <v/>
      </c>
      <c r="K2952" s="54">
        <f>IF(_imp!$C$2954="","",INDEX(_imp!$K$4:$K$4503,_imp!$C$2954))</f>
        <v/>
      </c>
    </row>
    <row r="2953">
      <c r="A2953" s="54">
        <f>IF(_imp!$C$2955="","",INDEX(_imp!$D$4:$D$4503,_imp!$C$2955))</f>
        <v/>
      </c>
      <c r="B2953" s="54">
        <f>IF(_imp!$C$2955="","",INDEX(_imp!$E$4:$E$4503,_imp!$C$2955))</f>
        <v/>
      </c>
      <c r="C2953" s="54">
        <f>IF(_imp!$C$2955="","",INDEX(_imp!$F$4:$F$4503,_imp!$C$2955))</f>
        <v/>
      </c>
      <c r="D2953" s="54">
        <f>IF(_imp!$C$2955="","",INDEX(_imp!$G$4:$G$4503,_imp!$C$2955))</f>
        <v/>
      </c>
      <c r="E2953" s="54">
        <f>IF(_imp!$C$2955="","",INDEX(_imp!$H$4:$H$4503,_imp!$C$2955))</f>
        <v/>
      </c>
      <c r="F2953" s="54">
        <f>IF(_imp!$C$2955="","",INDEX(_imp!$I$4:$I$4503,_imp!$C$2955))</f>
        <v/>
      </c>
      <c r="G2953" s="54">
        <f>IF(_imp!$C$2955="","",INDEX(_imp!$J$4:$J$4503,_imp!$C$2955))</f>
        <v/>
      </c>
      <c r="K2953" s="54">
        <f>IF(_imp!$C$2955="","",INDEX(_imp!$K$4:$K$4503,_imp!$C$2955))</f>
        <v/>
      </c>
    </row>
    <row r="2954">
      <c r="A2954" s="54">
        <f>IF(_imp!$C$2956="","",INDEX(_imp!$D$4:$D$4503,_imp!$C$2956))</f>
        <v/>
      </c>
      <c r="B2954" s="54">
        <f>IF(_imp!$C$2956="","",INDEX(_imp!$E$4:$E$4503,_imp!$C$2956))</f>
        <v/>
      </c>
      <c r="C2954" s="54">
        <f>IF(_imp!$C$2956="","",INDEX(_imp!$F$4:$F$4503,_imp!$C$2956))</f>
        <v/>
      </c>
      <c r="D2954" s="54">
        <f>IF(_imp!$C$2956="","",INDEX(_imp!$G$4:$G$4503,_imp!$C$2956))</f>
        <v/>
      </c>
      <c r="E2954" s="54">
        <f>IF(_imp!$C$2956="","",INDEX(_imp!$H$4:$H$4503,_imp!$C$2956))</f>
        <v/>
      </c>
      <c r="F2954" s="54">
        <f>IF(_imp!$C$2956="","",INDEX(_imp!$I$4:$I$4503,_imp!$C$2956))</f>
        <v/>
      </c>
      <c r="G2954" s="54">
        <f>IF(_imp!$C$2956="","",INDEX(_imp!$J$4:$J$4503,_imp!$C$2956))</f>
        <v/>
      </c>
      <c r="K2954" s="54">
        <f>IF(_imp!$C$2956="","",INDEX(_imp!$K$4:$K$4503,_imp!$C$2956))</f>
        <v/>
      </c>
    </row>
    <row r="2955">
      <c r="A2955" s="54">
        <f>IF(_imp!$C$2957="","",INDEX(_imp!$D$4:$D$4503,_imp!$C$2957))</f>
        <v/>
      </c>
      <c r="B2955" s="54">
        <f>IF(_imp!$C$2957="","",INDEX(_imp!$E$4:$E$4503,_imp!$C$2957))</f>
        <v/>
      </c>
      <c r="C2955" s="54">
        <f>IF(_imp!$C$2957="","",INDEX(_imp!$F$4:$F$4503,_imp!$C$2957))</f>
        <v/>
      </c>
      <c r="D2955" s="54">
        <f>IF(_imp!$C$2957="","",INDEX(_imp!$G$4:$G$4503,_imp!$C$2957))</f>
        <v/>
      </c>
      <c r="E2955" s="54">
        <f>IF(_imp!$C$2957="","",INDEX(_imp!$H$4:$H$4503,_imp!$C$2957))</f>
        <v/>
      </c>
      <c r="F2955" s="54">
        <f>IF(_imp!$C$2957="","",INDEX(_imp!$I$4:$I$4503,_imp!$C$2957))</f>
        <v/>
      </c>
      <c r="G2955" s="54">
        <f>IF(_imp!$C$2957="","",INDEX(_imp!$J$4:$J$4503,_imp!$C$2957))</f>
        <v/>
      </c>
      <c r="K2955" s="54">
        <f>IF(_imp!$C$2957="","",INDEX(_imp!$K$4:$K$4503,_imp!$C$2957))</f>
        <v/>
      </c>
    </row>
    <row r="2956">
      <c r="A2956" s="54">
        <f>IF(_imp!$C$2958="","",INDEX(_imp!$D$4:$D$4503,_imp!$C$2958))</f>
        <v/>
      </c>
      <c r="B2956" s="54">
        <f>IF(_imp!$C$2958="","",INDEX(_imp!$E$4:$E$4503,_imp!$C$2958))</f>
        <v/>
      </c>
      <c r="C2956" s="54">
        <f>IF(_imp!$C$2958="","",INDEX(_imp!$F$4:$F$4503,_imp!$C$2958))</f>
        <v/>
      </c>
      <c r="D2956" s="54">
        <f>IF(_imp!$C$2958="","",INDEX(_imp!$G$4:$G$4503,_imp!$C$2958))</f>
        <v/>
      </c>
      <c r="E2956" s="54">
        <f>IF(_imp!$C$2958="","",INDEX(_imp!$H$4:$H$4503,_imp!$C$2958))</f>
        <v/>
      </c>
      <c r="F2956" s="54">
        <f>IF(_imp!$C$2958="","",INDEX(_imp!$I$4:$I$4503,_imp!$C$2958))</f>
        <v/>
      </c>
      <c r="G2956" s="54">
        <f>IF(_imp!$C$2958="","",INDEX(_imp!$J$4:$J$4503,_imp!$C$2958))</f>
        <v/>
      </c>
      <c r="K2956" s="54">
        <f>IF(_imp!$C$2958="","",INDEX(_imp!$K$4:$K$4503,_imp!$C$2958))</f>
        <v/>
      </c>
    </row>
    <row r="2957">
      <c r="A2957" s="54">
        <f>IF(_imp!$C$2959="","",INDEX(_imp!$D$4:$D$4503,_imp!$C$2959))</f>
        <v/>
      </c>
      <c r="B2957" s="54">
        <f>IF(_imp!$C$2959="","",INDEX(_imp!$E$4:$E$4503,_imp!$C$2959))</f>
        <v/>
      </c>
      <c r="C2957" s="54">
        <f>IF(_imp!$C$2959="","",INDEX(_imp!$F$4:$F$4503,_imp!$C$2959))</f>
        <v/>
      </c>
      <c r="D2957" s="54">
        <f>IF(_imp!$C$2959="","",INDEX(_imp!$G$4:$G$4503,_imp!$C$2959))</f>
        <v/>
      </c>
      <c r="E2957" s="54">
        <f>IF(_imp!$C$2959="","",INDEX(_imp!$H$4:$H$4503,_imp!$C$2959))</f>
        <v/>
      </c>
      <c r="F2957" s="54">
        <f>IF(_imp!$C$2959="","",INDEX(_imp!$I$4:$I$4503,_imp!$C$2959))</f>
        <v/>
      </c>
      <c r="G2957" s="54">
        <f>IF(_imp!$C$2959="","",INDEX(_imp!$J$4:$J$4503,_imp!$C$2959))</f>
        <v/>
      </c>
      <c r="K2957" s="54">
        <f>IF(_imp!$C$2959="","",INDEX(_imp!$K$4:$K$4503,_imp!$C$2959))</f>
        <v/>
      </c>
    </row>
    <row r="2958">
      <c r="A2958" s="54">
        <f>IF(_imp!$C$2960="","",INDEX(_imp!$D$4:$D$4503,_imp!$C$2960))</f>
        <v/>
      </c>
      <c r="B2958" s="54">
        <f>IF(_imp!$C$2960="","",INDEX(_imp!$E$4:$E$4503,_imp!$C$2960))</f>
        <v/>
      </c>
      <c r="C2958" s="54">
        <f>IF(_imp!$C$2960="","",INDEX(_imp!$F$4:$F$4503,_imp!$C$2960))</f>
        <v/>
      </c>
      <c r="D2958" s="54">
        <f>IF(_imp!$C$2960="","",INDEX(_imp!$G$4:$G$4503,_imp!$C$2960))</f>
        <v/>
      </c>
      <c r="E2958" s="54">
        <f>IF(_imp!$C$2960="","",INDEX(_imp!$H$4:$H$4503,_imp!$C$2960))</f>
        <v/>
      </c>
      <c r="F2958" s="54">
        <f>IF(_imp!$C$2960="","",INDEX(_imp!$I$4:$I$4503,_imp!$C$2960))</f>
        <v/>
      </c>
      <c r="G2958" s="54">
        <f>IF(_imp!$C$2960="","",INDEX(_imp!$J$4:$J$4503,_imp!$C$2960))</f>
        <v/>
      </c>
      <c r="K2958" s="54">
        <f>IF(_imp!$C$2960="","",INDEX(_imp!$K$4:$K$4503,_imp!$C$2960))</f>
        <v/>
      </c>
    </row>
    <row r="2959">
      <c r="A2959" s="54">
        <f>IF(_imp!$C$2961="","",INDEX(_imp!$D$4:$D$4503,_imp!$C$2961))</f>
        <v/>
      </c>
      <c r="B2959" s="54">
        <f>IF(_imp!$C$2961="","",INDEX(_imp!$E$4:$E$4503,_imp!$C$2961))</f>
        <v/>
      </c>
      <c r="C2959" s="54">
        <f>IF(_imp!$C$2961="","",INDEX(_imp!$F$4:$F$4503,_imp!$C$2961))</f>
        <v/>
      </c>
      <c r="D2959" s="54">
        <f>IF(_imp!$C$2961="","",INDEX(_imp!$G$4:$G$4503,_imp!$C$2961))</f>
        <v/>
      </c>
      <c r="E2959" s="54">
        <f>IF(_imp!$C$2961="","",INDEX(_imp!$H$4:$H$4503,_imp!$C$2961))</f>
        <v/>
      </c>
      <c r="F2959" s="54">
        <f>IF(_imp!$C$2961="","",INDEX(_imp!$I$4:$I$4503,_imp!$C$2961))</f>
        <v/>
      </c>
      <c r="G2959" s="54">
        <f>IF(_imp!$C$2961="","",INDEX(_imp!$J$4:$J$4503,_imp!$C$2961))</f>
        <v/>
      </c>
      <c r="K2959" s="54">
        <f>IF(_imp!$C$2961="","",INDEX(_imp!$K$4:$K$4503,_imp!$C$2961))</f>
        <v/>
      </c>
    </row>
    <row r="2960">
      <c r="A2960" s="54">
        <f>IF(_imp!$C$2962="","",INDEX(_imp!$D$4:$D$4503,_imp!$C$2962))</f>
        <v/>
      </c>
      <c r="B2960" s="54">
        <f>IF(_imp!$C$2962="","",INDEX(_imp!$E$4:$E$4503,_imp!$C$2962))</f>
        <v/>
      </c>
      <c r="C2960" s="54">
        <f>IF(_imp!$C$2962="","",INDEX(_imp!$F$4:$F$4503,_imp!$C$2962))</f>
        <v/>
      </c>
      <c r="D2960" s="54">
        <f>IF(_imp!$C$2962="","",INDEX(_imp!$G$4:$G$4503,_imp!$C$2962))</f>
        <v/>
      </c>
      <c r="E2960" s="54">
        <f>IF(_imp!$C$2962="","",INDEX(_imp!$H$4:$H$4503,_imp!$C$2962))</f>
        <v/>
      </c>
      <c r="F2960" s="54">
        <f>IF(_imp!$C$2962="","",INDEX(_imp!$I$4:$I$4503,_imp!$C$2962))</f>
        <v/>
      </c>
      <c r="G2960" s="54">
        <f>IF(_imp!$C$2962="","",INDEX(_imp!$J$4:$J$4503,_imp!$C$2962))</f>
        <v/>
      </c>
      <c r="K2960" s="54">
        <f>IF(_imp!$C$2962="","",INDEX(_imp!$K$4:$K$4503,_imp!$C$2962))</f>
        <v/>
      </c>
    </row>
    <row r="2961">
      <c r="A2961" s="54">
        <f>IF(_imp!$C$2963="","",INDEX(_imp!$D$4:$D$4503,_imp!$C$2963))</f>
        <v/>
      </c>
      <c r="B2961" s="54">
        <f>IF(_imp!$C$2963="","",INDEX(_imp!$E$4:$E$4503,_imp!$C$2963))</f>
        <v/>
      </c>
      <c r="C2961" s="54">
        <f>IF(_imp!$C$2963="","",INDEX(_imp!$F$4:$F$4503,_imp!$C$2963))</f>
        <v/>
      </c>
      <c r="D2961" s="54">
        <f>IF(_imp!$C$2963="","",INDEX(_imp!$G$4:$G$4503,_imp!$C$2963))</f>
        <v/>
      </c>
      <c r="E2961" s="54">
        <f>IF(_imp!$C$2963="","",INDEX(_imp!$H$4:$H$4503,_imp!$C$2963))</f>
        <v/>
      </c>
      <c r="F2961" s="54">
        <f>IF(_imp!$C$2963="","",INDEX(_imp!$I$4:$I$4503,_imp!$C$2963))</f>
        <v/>
      </c>
      <c r="G2961" s="54">
        <f>IF(_imp!$C$2963="","",INDEX(_imp!$J$4:$J$4503,_imp!$C$2963))</f>
        <v/>
      </c>
      <c r="K2961" s="54">
        <f>IF(_imp!$C$2963="","",INDEX(_imp!$K$4:$K$4503,_imp!$C$2963))</f>
        <v/>
      </c>
    </row>
    <row r="2962">
      <c r="A2962" s="54">
        <f>IF(_imp!$C$2964="","",INDEX(_imp!$D$4:$D$4503,_imp!$C$2964))</f>
        <v/>
      </c>
      <c r="B2962" s="54">
        <f>IF(_imp!$C$2964="","",INDEX(_imp!$E$4:$E$4503,_imp!$C$2964))</f>
        <v/>
      </c>
      <c r="C2962" s="54">
        <f>IF(_imp!$C$2964="","",INDEX(_imp!$F$4:$F$4503,_imp!$C$2964))</f>
        <v/>
      </c>
      <c r="D2962" s="54">
        <f>IF(_imp!$C$2964="","",INDEX(_imp!$G$4:$G$4503,_imp!$C$2964))</f>
        <v/>
      </c>
      <c r="E2962" s="54">
        <f>IF(_imp!$C$2964="","",INDEX(_imp!$H$4:$H$4503,_imp!$C$2964))</f>
        <v/>
      </c>
      <c r="F2962" s="54">
        <f>IF(_imp!$C$2964="","",INDEX(_imp!$I$4:$I$4503,_imp!$C$2964))</f>
        <v/>
      </c>
      <c r="G2962" s="54">
        <f>IF(_imp!$C$2964="","",INDEX(_imp!$J$4:$J$4503,_imp!$C$2964))</f>
        <v/>
      </c>
      <c r="K2962" s="54">
        <f>IF(_imp!$C$2964="","",INDEX(_imp!$K$4:$K$4503,_imp!$C$2964))</f>
        <v/>
      </c>
    </row>
    <row r="2963">
      <c r="A2963" s="54">
        <f>IF(_imp!$C$2965="","",INDEX(_imp!$D$4:$D$4503,_imp!$C$2965))</f>
        <v/>
      </c>
      <c r="B2963" s="54">
        <f>IF(_imp!$C$2965="","",INDEX(_imp!$E$4:$E$4503,_imp!$C$2965))</f>
        <v/>
      </c>
      <c r="C2963" s="54">
        <f>IF(_imp!$C$2965="","",INDEX(_imp!$F$4:$F$4503,_imp!$C$2965))</f>
        <v/>
      </c>
      <c r="D2963" s="54">
        <f>IF(_imp!$C$2965="","",INDEX(_imp!$G$4:$G$4503,_imp!$C$2965))</f>
        <v/>
      </c>
      <c r="E2963" s="54">
        <f>IF(_imp!$C$2965="","",INDEX(_imp!$H$4:$H$4503,_imp!$C$2965))</f>
        <v/>
      </c>
      <c r="F2963" s="54">
        <f>IF(_imp!$C$2965="","",INDEX(_imp!$I$4:$I$4503,_imp!$C$2965))</f>
        <v/>
      </c>
      <c r="G2963" s="54">
        <f>IF(_imp!$C$2965="","",INDEX(_imp!$J$4:$J$4503,_imp!$C$2965))</f>
        <v/>
      </c>
      <c r="K2963" s="54">
        <f>IF(_imp!$C$2965="","",INDEX(_imp!$K$4:$K$4503,_imp!$C$2965))</f>
        <v/>
      </c>
    </row>
    <row r="2964">
      <c r="A2964" s="54">
        <f>IF(_imp!$C$2966="","",INDEX(_imp!$D$4:$D$4503,_imp!$C$2966))</f>
        <v/>
      </c>
      <c r="B2964" s="54">
        <f>IF(_imp!$C$2966="","",INDEX(_imp!$E$4:$E$4503,_imp!$C$2966))</f>
        <v/>
      </c>
      <c r="C2964" s="54">
        <f>IF(_imp!$C$2966="","",INDEX(_imp!$F$4:$F$4503,_imp!$C$2966))</f>
        <v/>
      </c>
      <c r="D2964" s="54">
        <f>IF(_imp!$C$2966="","",INDEX(_imp!$G$4:$G$4503,_imp!$C$2966))</f>
        <v/>
      </c>
      <c r="E2964" s="54">
        <f>IF(_imp!$C$2966="","",INDEX(_imp!$H$4:$H$4503,_imp!$C$2966))</f>
        <v/>
      </c>
      <c r="F2964" s="54">
        <f>IF(_imp!$C$2966="","",INDEX(_imp!$I$4:$I$4503,_imp!$C$2966))</f>
        <v/>
      </c>
      <c r="G2964" s="54">
        <f>IF(_imp!$C$2966="","",INDEX(_imp!$J$4:$J$4503,_imp!$C$2966))</f>
        <v/>
      </c>
      <c r="K2964" s="54">
        <f>IF(_imp!$C$2966="","",INDEX(_imp!$K$4:$K$4503,_imp!$C$2966))</f>
        <v/>
      </c>
    </row>
    <row r="2965">
      <c r="A2965" s="54">
        <f>IF(_imp!$C$2967="","",INDEX(_imp!$D$4:$D$4503,_imp!$C$2967))</f>
        <v/>
      </c>
      <c r="B2965" s="54">
        <f>IF(_imp!$C$2967="","",INDEX(_imp!$E$4:$E$4503,_imp!$C$2967))</f>
        <v/>
      </c>
      <c r="C2965" s="54">
        <f>IF(_imp!$C$2967="","",INDEX(_imp!$F$4:$F$4503,_imp!$C$2967))</f>
        <v/>
      </c>
      <c r="D2965" s="54">
        <f>IF(_imp!$C$2967="","",INDEX(_imp!$G$4:$G$4503,_imp!$C$2967))</f>
        <v/>
      </c>
      <c r="E2965" s="54">
        <f>IF(_imp!$C$2967="","",INDEX(_imp!$H$4:$H$4503,_imp!$C$2967))</f>
        <v/>
      </c>
      <c r="F2965" s="54">
        <f>IF(_imp!$C$2967="","",INDEX(_imp!$I$4:$I$4503,_imp!$C$2967))</f>
        <v/>
      </c>
      <c r="G2965" s="54">
        <f>IF(_imp!$C$2967="","",INDEX(_imp!$J$4:$J$4503,_imp!$C$2967))</f>
        <v/>
      </c>
      <c r="K2965" s="54">
        <f>IF(_imp!$C$2967="","",INDEX(_imp!$K$4:$K$4503,_imp!$C$2967))</f>
        <v/>
      </c>
    </row>
    <row r="2966">
      <c r="A2966" s="54">
        <f>IF(_imp!$C$2968="","",INDEX(_imp!$D$4:$D$4503,_imp!$C$2968))</f>
        <v/>
      </c>
      <c r="B2966" s="54">
        <f>IF(_imp!$C$2968="","",INDEX(_imp!$E$4:$E$4503,_imp!$C$2968))</f>
        <v/>
      </c>
      <c r="C2966" s="54">
        <f>IF(_imp!$C$2968="","",INDEX(_imp!$F$4:$F$4503,_imp!$C$2968))</f>
        <v/>
      </c>
      <c r="D2966" s="54">
        <f>IF(_imp!$C$2968="","",INDEX(_imp!$G$4:$G$4503,_imp!$C$2968))</f>
        <v/>
      </c>
      <c r="E2966" s="54">
        <f>IF(_imp!$C$2968="","",INDEX(_imp!$H$4:$H$4503,_imp!$C$2968))</f>
        <v/>
      </c>
      <c r="F2966" s="54">
        <f>IF(_imp!$C$2968="","",INDEX(_imp!$I$4:$I$4503,_imp!$C$2968))</f>
        <v/>
      </c>
      <c r="G2966" s="54">
        <f>IF(_imp!$C$2968="","",INDEX(_imp!$J$4:$J$4503,_imp!$C$2968))</f>
        <v/>
      </c>
      <c r="K2966" s="54">
        <f>IF(_imp!$C$2968="","",INDEX(_imp!$K$4:$K$4503,_imp!$C$2968))</f>
        <v/>
      </c>
    </row>
    <row r="2967">
      <c r="A2967" s="54">
        <f>IF(_imp!$C$2969="","",INDEX(_imp!$D$4:$D$4503,_imp!$C$2969))</f>
        <v/>
      </c>
      <c r="B2967" s="54">
        <f>IF(_imp!$C$2969="","",INDEX(_imp!$E$4:$E$4503,_imp!$C$2969))</f>
        <v/>
      </c>
      <c r="C2967" s="54">
        <f>IF(_imp!$C$2969="","",INDEX(_imp!$F$4:$F$4503,_imp!$C$2969))</f>
        <v/>
      </c>
      <c r="D2967" s="54">
        <f>IF(_imp!$C$2969="","",INDEX(_imp!$G$4:$G$4503,_imp!$C$2969))</f>
        <v/>
      </c>
      <c r="E2967" s="54">
        <f>IF(_imp!$C$2969="","",INDEX(_imp!$H$4:$H$4503,_imp!$C$2969))</f>
        <v/>
      </c>
      <c r="F2967" s="54">
        <f>IF(_imp!$C$2969="","",INDEX(_imp!$I$4:$I$4503,_imp!$C$2969))</f>
        <v/>
      </c>
      <c r="G2967" s="54">
        <f>IF(_imp!$C$2969="","",INDEX(_imp!$J$4:$J$4503,_imp!$C$2969))</f>
        <v/>
      </c>
      <c r="K2967" s="54">
        <f>IF(_imp!$C$2969="","",INDEX(_imp!$K$4:$K$4503,_imp!$C$2969))</f>
        <v/>
      </c>
    </row>
    <row r="2968">
      <c r="A2968" s="54">
        <f>IF(_imp!$C$2970="","",INDEX(_imp!$D$4:$D$4503,_imp!$C$2970))</f>
        <v/>
      </c>
      <c r="B2968" s="54">
        <f>IF(_imp!$C$2970="","",INDEX(_imp!$E$4:$E$4503,_imp!$C$2970))</f>
        <v/>
      </c>
      <c r="C2968" s="54">
        <f>IF(_imp!$C$2970="","",INDEX(_imp!$F$4:$F$4503,_imp!$C$2970))</f>
        <v/>
      </c>
      <c r="D2968" s="54">
        <f>IF(_imp!$C$2970="","",INDEX(_imp!$G$4:$G$4503,_imp!$C$2970))</f>
        <v/>
      </c>
      <c r="E2968" s="54">
        <f>IF(_imp!$C$2970="","",INDEX(_imp!$H$4:$H$4503,_imp!$C$2970))</f>
        <v/>
      </c>
      <c r="F2968" s="54">
        <f>IF(_imp!$C$2970="","",INDEX(_imp!$I$4:$I$4503,_imp!$C$2970))</f>
        <v/>
      </c>
      <c r="G2968" s="54">
        <f>IF(_imp!$C$2970="","",INDEX(_imp!$J$4:$J$4503,_imp!$C$2970))</f>
        <v/>
      </c>
      <c r="K2968" s="54">
        <f>IF(_imp!$C$2970="","",INDEX(_imp!$K$4:$K$4503,_imp!$C$2970))</f>
        <v/>
      </c>
    </row>
    <row r="2969">
      <c r="A2969" s="54">
        <f>IF(_imp!$C$2971="","",INDEX(_imp!$D$4:$D$4503,_imp!$C$2971))</f>
        <v/>
      </c>
      <c r="B2969" s="54">
        <f>IF(_imp!$C$2971="","",INDEX(_imp!$E$4:$E$4503,_imp!$C$2971))</f>
        <v/>
      </c>
      <c r="C2969" s="54">
        <f>IF(_imp!$C$2971="","",INDEX(_imp!$F$4:$F$4503,_imp!$C$2971))</f>
        <v/>
      </c>
      <c r="D2969" s="54">
        <f>IF(_imp!$C$2971="","",INDEX(_imp!$G$4:$G$4503,_imp!$C$2971))</f>
        <v/>
      </c>
      <c r="E2969" s="54">
        <f>IF(_imp!$C$2971="","",INDEX(_imp!$H$4:$H$4503,_imp!$C$2971))</f>
        <v/>
      </c>
      <c r="F2969" s="54">
        <f>IF(_imp!$C$2971="","",INDEX(_imp!$I$4:$I$4503,_imp!$C$2971))</f>
        <v/>
      </c>
      <c r="G2969" s="54">
        <f>IF(_imp!$C$2971="","",INDEX(_imp!$J$4:$J$4503,_imp!$C$2971))</f>
        <v/>
      </c>
      <c r="K2969" s="54">
        <f>IF(_imp!$C$2971="","",INDEX(_imp!$K$4:$K$4503,_imp!$C$2971))</f>
        <v/>
      </c>
    </row>
    <row r="2970">
      <c r="A2970" s="54">
        <f>IF(_imp!$C$2972="","",INDEX(_imp!$D$4:$D$4503,_imp!$C$2972))</f>
        <v/>
      </c>
      <c r="B2970" s="54">
        <f>IF(_imp!$C$2972="","",INDEX(_imp!$E$4:$E$4503,_imp!$C$2972))</f>
        <v/>
      </c>
      <c r="C2970" s="54">
        <f>IF(_imp!$C$2972="","",INDEX(_imp!$F$4:$F$4503,_imp!$C$2972))</f>
        <v/>
      </c>
      <c r="D2970" s="54">
        <f>IF(_imp!$C$2972="","",INDEX(_imp!$G$4:$G$4503,_imp!$C$2972))</f>
        <v/>
      </c>
      <c r="E2970" s="54">
        <f>IF(_imp!$C$2972="","",INDEX(_imp!$H$4:$H$4503,_imp!$C$2972))</f>
        <v/>
      </c>
      <c r="F2970" s="54">
        <f>IF(_imp!$C$2972="","",INDEX(_imp!$I$4:$I$4503,_imp!$C$2972))</f>
        <v/>
      </c>
      <c r="G2970" s="54">
        <f>IF(_imp!$C$2972="","",INDEX(_imp!$J$4:$J$4503,_imp!$C$2972))</f>
        <v/>
      </c>
      <c r="K2970" s="54">
        <f>IF(_imp!$C$2972="","",INDEX(_imp!$K$4:$K$4503,_imp!$C$2972))</f>
        <v/>
      </c>
    </row>
    <row r="2971">
      <c r="A2971" s="54">
        <f>IF(_imp!$C$2973="","",INDEX(_imp!$D$4:$D$4503,_imp!$C$2973))</f>
        <v/>
      </c>
      <c r="B2971" s="54">
        <f>IF(_imp!$C$2973="","",INDEX(_imp!$E$4:$E$4503,_imp!$C$2973))</f>
        <v/>
      </c>
      <c r="C2971" s="54">
        <f>IF(_imp!$C$2973="","",INDEX(_imp!$F$4:$F$4503,_imp!$C$2973))</f>
        <v/>
      </c>
      <c r="D2971" s="54">
        <f>IF(_imp!$C$2973="","",INDEX(_imp!$G$4:$G$4503,_imp!$C$2973))</f>
        <v/>
      </c>
      <c r="E2971" s="54">
        <f>IF(_imp!$C$2973="","",INDEX(_imp!$H$4:$H$4503,_imp!$C$2973))</f>
        <v/>
      </c>
      <c r="F2971" s="54">
        <f>IF(_imp!$C$2973="","",INDEX(_imp!$I$4:$I$4503,_imp!$C$2973))</f>
        <v/>
      </c>
      <c r="G2971" s="54">
        <f>IF(_imp!$C$2973="","",INDEX(_imp!$J$4:$J$4503,_imp!$C$2973))</f>
        <v/>
      </c>
      <c r="K2971" s="54">
        <f>IF(_imp!$C$2973="","",INDEX(_imp!$K$4:$K$4503,_imp!$C$2973))</f>
        <v/>
      </c>
    </row>
    <row r="2972">
      <c r="A2972" s="54">
        <f>IF(_imp!$C$2974="","",INDEX(_imp!$D$4:$D$4503,_imp!$C$2974))</f>
        <v/>
      </c>
      <c r="B2972" s="54">
        <f>IF(_imp!$C$2974="","",INDEX(_imp!$E$4:$E$4503,_imp!$C$2974))</f>
        <v/>
      </c>
      <c r="C2972" s="54">
        <f>IF(_imp!$C$2974="","",INDEX(_imp!$F$4:$F$4503,_imp!$C$2974))</f>
        <v/>
      </c>
      <c r="D2972" s="54">
        <f>IF(_imp!$C$2974="","",INDEX(_imp!$G$4:$G$4503,_imp!$C$2974))</f>
        <v/>
      </c>
      <c r="E2972" s="54">
        <f>IF(_imp!$C$2974="","",INDEX(_imp!$H$4:$H$4503,_imp!$C$2974))</f>
        <v/>
      </c>
      <c r="F2972" s="54">
        <f>IF(_imp!$C$2974="","",INDEX(_imp!$I$4:$I$4503,_imp!$C$2974))</f>
        <v/>
      </c>
      <c r="G2972" s="54">
        <f>IF(_imp!$C$2974="","",INDEX(_imp!$J$4:$J$4503,_imp!$C$2974))</f>
        <v/>
      </c>
      <c r="K2972" s="54">
        <f>IF(_imp!$C$2974="","",INDEX(_imp!$K$4:$K$4503,_imp!$C$2974))</f>
        <v/>
      </c>
    </row>
    <row r="2973">
      <c r="A2973" s="54">
        <f>IF(_imp!$C$2975="","",INDEX(_imp!$D$4:$D$4503,_imp!$C$2975))</f>
        <v/>
      </c>
      <c r="B2973" s="54">
        <f>IF(_imp!$C$2975="","",INDEX(_imp!$E$4:$E$4503,_imp!$C$2975))</f>
        <v/>
      </c>
      <c r="C2973" s="54">
        <f>IF(_imp!$C$2975="","",INDEX(_imp!$F$4:$F$4503,_imp!$C$2975))</f>
        <v/>
      </c>
      <c r="D2973" s="54">
        <f>IF(_imp!$C$2975="","",INDEX(_imp!$G$4:$G$4503,_imp!$C$2975))</f>
        <v/>
      </c>
      <c r="E2973" s="54">
        <f>IF(_imp!$C$2975="","",INDEX(_imp!$H$4:$H$4503,_imp!$C$2975))</f>
        <v/>
      </c>
      <c r="F2973" s="54">
        <f>IF(_imp!$C$2975="","",INDEX(_imp!$I$4:$I$4503,_imp!$C$2975))</f>
        <v/>
      </c>
      <c r="G2973" s="54">
        <f>IF(_imp!$C$2975="","",INDEX(_imp!$J$4:$J$4503,_imp!$C$2975))</f>
        <v/>
      </c>
      <c r="K2973" s="54">
        <f>IF(_imp!$C$2975="","",INDEX(_imp!$K$4:$K$4503,_imp!$C$2975))</f>
        <v/>
      </c>
    </row>
    <row r="2974">
      <c r="A2974" s="54">
        <f>IF(_imp!$C$2976="","",INDEX(_imp!$D$4:$D$4503,_imp!$C$2976))</f>
        <v/>
      </c>
      <c r="B2974" s="54">
        <f>IF(_imp!$C$2976="","",INDEX(_imp!$E$4:$E$4503,_imp!$C$2976))</f>
        <v/>
      </c>
      <c r="C2974" s="54">
        <f>IF(_imp!$C$2976="","",INDEX(_imp!$F$4:$F$4503,_imp!$C$2976))</f>
        <v/>
      </c>
      <c r="D2974" s="54">
        <f>IF(_imp!$C$2976="","",INDEX(_imp!$G$4:$G$4503,_imp!$C$2976))</f>
        <v/>
      </c>
      <c r="E2974" s="54">
        <f>IF(_imp!$C$2976="","",INDEX(_imp!$H$4:$H$4503,_imp!$C$2976))</f>
        <v/>
      </c>
      <c r="F2974" s="54">
        <f>IF(_imp!$C$2976="","",INDEX(_imp!$I$4:$I$4503,_imp!$C$2976))</f>
        <v/>
      </c>
      <c r="G2974" s="54">
        <f>IF(_imp!$C$2976="","",INDEX(_imp!$J$4:$J$4503,_imp!$C$2976))</f>
        <v/>
      </c>
      <c r="K2974" s="54">
        <f>IF(_imp!$C$2976="","",INDEX(_imp!$K$4:$K$4503,_imp!$C$2976))</f>
        <v/>
      </c>
    </row>
    <row r="2975">
      <c r="A2975" s="54">
        <f>IF(_imp!$C$2977="","",INDEX(_imp!$D$4:$D$4503,_imp!$C$2977))</f>
        <v/>
      </c>
      <c r="B2975" s="54">
        <f>IF(_imp!$C$2977="","",INDEX(_imp!$E$4:$E$4503,_imp!$C$2977))</f>
        <v/>
      </c>
      <c r="C2975" s="54">
        <f>IF(_imp!$C$2977="","",INDEX(_imp!$F$4:$F$4503,_imp!$C$2977))</f>
        <v/>
      </c>
      <c r="D2975" s="54">
        <f>IF(_imp!$C$2977="","",INDEX(_imp!$G$4:$G$4503,_imp!$C$2977))</f>
        <v/>
      </c>
      <c r="E2975" s="54">
        <f>IF(_imp!$C$2977="","",INDEX(_imp!$H$4:$H$4503,_imp!$C$2977))</f>
        <v/>
      </c>
      <c r="F2975" s="54">
        <f>IF(_imp!$C$2977="","",INDEX(_imp!$I$4:$I$4503,_imp!$C$2977))</f>
        <v/>
      </c>
      <c r="G2975" s="54">
        <f>IF(_imp!$C$2977="","",INDEX(_imp!$J$4:$J$4503,_imp!$C$2977))</f>
        <v/>
      </c>
      <c r="K2975" s="54">
        <f>IF(_imp!$C$2977="","",INDEX(_imp!$K$4:$K$4503,_imp!$C$2977))</f>
        <v/>
      </c>
    </row>
    <row r="2976">
      <c r="A2976" s="54">
        <f>IF(_imp!$C$2978="","",INDEX(_imp!$D$4:$D$4503,_imp!$C$2978))</f>
        <v/>
      </c>
      <c r="B2976" s="54">
        <f>IF(_imp!$C$2978="","",INDEX(_imp!$E$4:$E$4503,_imp!$C$2978))</f>
        <v/>
      </c>
      <c r="C2976" s="54">
        <f>IF(_imp!$C$2978="","",INDEX(_imp!$F$4:$F$4503,_imp!$C$2978))</f>
        <v/>
      </c>
      <c r="D2976" s="54">
        <f>IF(_imp!$C$2978="","",INDEX(_imp!$G$4:$G$4503,_imp!$C$2978))</f>
        <v/>
      </c>
      <c r="E2976" s="54">
        <f>IF(_imp!$C$2978="","",INDEX(_imp!$H$4:$H$4503,_imp!$C$2978))</f>
        <v/>
      </c>
      <c r="F2976" s="54">
        <f>IF(_imp!$C$2978="","",INDEX(_imp!$I$4:$I$4503,_imp!$C$2978))</f>
        <v/>
      </c>
      <c r="G2976" s="54">
        <f>IF(_imp!$C$2978="","",INDEX(_imp!$J$4:$J$4503,_imp!$C$2978))</f>
        <v/>
      </c>
      <c r="K2976" s="54">
        <f>IF(_imp!$C$2978="","",INDEX(_imp!$K$4:$K$4503,_imp!$C$2978))</f>
        <v/>
      </c>
    </row>
    <row r="2977">
      <c r="A2977" s="54">
        <f>IF(_imp!$C$2979="","",INDEX(_imp!$D$4:$D$4503,_imp!$C$2979))</f>
        <v/>
      </c>
      <c r="B2977" s="54">
        <f>IF(_imp!$C$2979="","",INDEX(_imp!$E$4:$E$4503,_imp!$C$2979))</f>
        <v/>
      </c>
      <c r="C2977" s="54">
        <f>IF(_imp!$C$2979="","",INDEX(_imp!$F$4:$F$4503,_imp!$C$2979))</f>
        <v/>
      </c>
      <c r="D2977" s="54">
        <f>IF(_imp!$C$2979="","",INDEX(_imp!$G$4:$G$4503,_imp!$C$2979))</f>
        <v/>
      </c>
      <c r="E2977" s="54">
        <f>IF(_imp!$C$2979="","",INDEX(_imp!$H$4:$H$4503,_imp!$C$2979))</f>
        <v/>
      </c>
      <c r="F2977" s="54">
        <f>IF(_imp!$C$2979="","",INDEX(_imp!$I$4:$I$4503,_imp!$C$2979))</f>
        <v/>
      </c>
      <c r="G2977" s="54">
        <f>IF(_imp!$C$2979="","",INDEX(_imp!$J$4:$J$4503,_imp!$C$2979))</f>
        <v/>
      </c>
      <c r="K2977" s="54">
        <f>IF(_imp!$C$2979="","",INDEX(_imp!$K$4:$K$4503,_imp!$C$2979))</f>
        <v/>
      </c>
    </row>
    <row r="2978">
      <c r="A2978" s="54">
        <f>IF(_imp!$C$2980="","",INDEX(_imp!$D$4:$D$4503,_imp!$C$2980))</f>
        <v/>
      </c>
      <c r="B2978" s="54">
        <f>IF(_imp!$C$2980="","",INDEX(_imp!$E$4:$E$4503,_imp!$C$2980))</f>
        <v/>
      </c>
      <c r="C2978" s="54">
        <f>IF(_imp!$C$2980="","",INDEX(_imp!$F$4:$F$4503,_imp!$C$2980))</f>
        <v/>
      </c>
      <c r="D2978" s="54">
        <f>IF(_imp!$C$2980="","",INDEX(_imp!$G$4:$G$4503,_imp!$C$2980))</f>
        <v/>
      </c>
      <c r="E2978" s="54">
        <f>IF(_imp!$C$2980="","",INDEX(_imp!$H$4:$H$4503,_imp!$C$2980))</f>
        <v/>
      </c>
      <c r="F2978" s="54">
        <f>IF(_imp!$C$2980="","",INDEX(_imp!$I$4:$I$4503,_imp!$C$2980))</f>
        <v/>
      </c>
      <c r="G2978" s="54">
        <f>IF(_imp!$C$2980="","",INDEX(_imp!$J$4:$J$4503,_imp!$C$2980))</f>
        <v/>
      </c>
      <c r="K2978" s="54">
        <f>IF(_imp!$C$2980="","",INDEX(_imp!$K$4:$K$4503,_imp!$C$2980))</f>
        <v/>
      </c>
    </row>
    <row r="2979">
      <c r="A2979" s="54">
        <f>IF(_imp!$C$2981="","",INDEX(_imp!$D$4:$D$4503,_imp!$C$2981))</f>
        <v/>
      </c>
      <c r="B2979" s="54">
        <f>IF(_imp!$C$2981="","",INDEX(_imp!$E$4:$E$4503,_imp!$C$2981))</f>
        <v/>
      </c>
      <c r="C2979" s="54">
        <f>IF(_imp!$C$2981="","",INDEX(_imp!$F$4:$F$4503,_imp!$C$2981))</f>
        <v/>
      </c>
      <c r="D2979" s="54">
        <f>IF(_imp!$C$2981="","",INDEX(_imp!$G$4:$G$4503,_imp!$C$2981))</f>
        <v/>
      </c>
      <c r="E2979" s="54">
        <f>IF(_imp!$C$2981="","",INDEX(_imp!$H$4:$H$4503,_imp!$C$2981))</f>
        <v/>
      </c>
      <c r="F2979" s="54">
        <f>IF(_imp!$C$2981="","",INDEX(_imp!$I$4:$I$4503,_imp!$C$2981))</f>
        <v/>
      </c>
      <c r="G2979" s="54">
        <f>IF(_imp!$C$2981="","",INDEX(_imp!$J$4:$J$4503,_imp!$C$2981))</f>
        <v/>
      </c>
      <c r="K2979" s="54">
        <f>IF(_imp!$C$2981="","",INDEX(_imp!$K$4:$K$4503,_imp!$C$2981))</f>
        <v/>
      </c>
    </row>
    <row r="2980">
      <c r="A2980" s="54">
        <f>IF(_imp!$C$2982="","",INDEX(_imp!$D$4:$D$4503,_imp!$C$2982))</f>
        <v/>
      </c>
      <c r="B2980" s="54">
        <f>IF(_imp!$C$2982="","",INDEX(_imp!$E$4:$E$4503,_imp!$C$2982))</f>
        <v/>
      </c>
      <c r="C2980" s="54">
        <f>IF(_imp!$C$2982="","",INDEX(_imp!$F$4:$F$4503,_imp!$C$2982))</f>
        <v/>
      </c>
      <c r="D2980" s="54">
        <f>IF(_imp!$C$2982="","",INDEX(_imp!$G$4:$G$4503,_imp!$C$2982))</f>
        <v/>
      </c>
      <c r="E2980" s="54">
        <f>IF(_imp!$C$2982="","",INDEX(_imp!$H$4:$H$4503,_imp!$C$2982))</f>
        <v/>
      </c>
      <c r="F2980" s="54">
        <f>IF(_imp!$C$2982="","",INDEX(_imp!$I$4:$I$4503,_imp!$C$2982))</f>
        <v/>
      </c>
      <c r="G2980" s="54">
        <f>IF(_imp!$C$2982="","",INDEX(_imp!$J$4:$J$4503,_imp!$C$2982))</f>
        <v/>
      </c>
      <c r="K2980" s="54">
        <f>IF(_imp!$C$2982="","",INDEX(_imp!$K$4:$K$4503,_imp!$C$2982))</f>
        <v/>
      </c>
    </row>
    <row r="2981">
      <c r="A2981" s="54">
        <f>IF(_imp!$C$2983="","",INDEX(_imp!$D$4:$D$4503,_imp!$C$2983))</f>
        <v/>
      </c>
      <c r="B2981" s="54">
        <f>IF(_imp!$C$2983="","",INDEX(_imp!$E$4:$E$4503,_imp!$C$2983))</f>
        <v/>
      </c>
      <c r="C2981" s="54">
        <f>IF(_imp!$C$2983="","",INDEX(_imp!$F$4:$F$4503,_imp!$C$2983))</f>
        <v/>
      </c>
      <c r="D2981" s="54">
        <f>IF(_imp!$C$2983="","",INDEX(_imp!$G$4:$G$4503,_imp!$C$2983))</f>
        <v/>
      </c>
      <c r="E2981" s="54">
        <f>IF(_imp!$C$2983="","",INDEX(_imp!$H$4:$H$4503,_imp!$C$2983))</f>
        <v/>
      </c>
      <c r="F2981" s="54">
        <f>IF(_imp!$C$2983="","",INDEX(_imp!$I$4:$I$4503,_imp!$C$2983))</f>
        <v/>
      </c>
      <c r="G2981" s="54">
        <f>IF(_imp!$C$2983="","",INDEX(_imp!$J$4:$J$4503,_imp!$C$2983))</f>
        <v/>
      </c>
      <c r="K2981" s="54">
        <f>IF(_imp!$C$2983="","",INDEX(_imp!$K$4:$K$4503,_imp!$C$2983))</f>
        <v/>
      </c>
    </row>
    <row r="2982">
      <c r="A2982" s="54">
        <f>IF(_imp!$C$2984="","",INDEX(_imp!$D$4:$D$4503,_imp!$C$2984))</f>
        <v/>
      </c>
      <c r="B2982" s="54">
        <f>IF(_imp!$C$2984="","",INDEX(_imp!$E$4:$E$4503,_imp!$C$2984))</f>
        <v/>
      </c>
      <c r="C2982" s="54">
        <f>IF(_imp!$C$2984="","",INDEX(_imp!$F$4:$F$4503,_imp!$C$2984))</f>
        <v/>
      </c>
      <c r="D2982" s="54">
        <f>IF(_imp!$C$2984="","",INDEX(_imp!$G$4:$G$4503,_imp!$C$2984))</f>
        <v/>
      </c>
      <c r="E2982" s="54">
        <f>IF(_imp!$C$2984="","",INDEX(_imp!$H$4:$H$4503,_imp!$C$2984))</f>
        <v/>
      </c>
      <c r="F2982" s="54">
        <f>IF(_imp!$C$2984="","",INDEX(_imp!$I$4:$I$4503,_imp!$C$2984))</f>
        <v/>
      </c>
      <c r="G2982" s="54">
        <f>IF(_imp!$C$2984="","",INDEX(_imp!$J$4:$J$4503,_imp!$C$2984))</f>
        <v/>
      </c>
      <c r="K2982" s="54">
        <f>IF(_imp!$C$2984="","",INDEX(_imp!$K$4:$K$4503,_imp!$C$2984))</f>
        <v/>
      </c>
    </row>
    <row r="2983">
      <c r="A2983" s="54">
        <f>IF(_imp!$C$2985="","",INDEX(_imp!$D$4:$D$4503,_imp!$C$2985))</f>
        <v/>
      </c>
      <c r="B2983" s="54">
        <f>IF(_imp!$C$2985="","",INDEX(_imp!$E$4:$E$4503,_imp!$C$2985))</f>
        <v/>
      </c>
      <c r="C2983" s="54">
        <f>IF(_imp!$C$2985="","",INDEX(_imp!$F$4:$F$4503,_imp!$C$2985))</f>
        <v/>
      </c>
      <c r="D2983" s="54">
        <f>IF(_imp!$C$2985="","",INDEX(_imp!$G$4:$G$4503,_imp!$C$2985))</f>
        <v/>
      </c>
      <c r="E2983" s="54">
        <f>IF(_imp!$C$2985="","",INDEX(_imp!$H$4:$H$4503,_imp!$C$2985))</f>
        <v/>
      </c>
      <c r="F2983" s="54">
        <f>IF(_imp!$C$2985="","",INDEX(_imp!$I$4:$I$4503,_imp!$C$2985))</f>
        <v/>
      </c>
      <c r="G2983" s="54">
        <f>IF(_imp!$C$2985="","",INDEX(_imp!$J$4:$J$4503,_imp!$C$2985))</f>
        <v/>
      </c>
      <c r="K2983" s="54">
        <f>IF(_imp!$C$2985="","",INDEX(_imp!$K$4:$K$4503,_imp!$C$2985))</f>
        <v/>
      </c>
    </row>
    <row r="2984">
      <c r="A2984" s="54">
        <f>IF(_imp!$C$2986="","",INDEX(_imp!$D$4:$D$4503,_imp!$C$2986))</f>
        <v/>
      </c>
      <c r="B2984" s="54">
        <f>IF(_imp!$C$2986="","",INDEX(_imp!$E$4:$E$4503,_imp!$C$2986))</f>
        <v/>
      </c>
      <c r="C2984" s="54">
        <f>IF(_imp!$C$2986="","",INDEX(_imp!$F$4:$F$4503,_imp!$C$2986))</f>
        <v/>
      </c>
      <c r="D2984" s="54">
        <f>IF(_imp!$C$2986="","",INDEX(_imp!$G$4:$G$4503,_imp!$C$2986))</f>
        <v/>
      </c>
      <c r="E2984" s="54">
        <f>IF(_imp!$C$2986="","",INDEX(_imp!$H$4:$H$4503,_imp!$C$2986))</f>
        <v/>
      </c>
      <c r="F2984" s="54">
        <f>IF(_imp!$C$2986="","",INDEX(_imp!$I$4:$I$4503,_imp!$C$2986))</f>
        <v/>
      </c>
      <c r="G2984" s="54">
        <f>IF(_imp!$C$2986="","",INDEX(_imp!$J$4:$J$4503,_imp!$C$2986))</f>
        <v/>
      </c>
      <c r="K2984" s="54">
        <f>IF(_imp!$C$2986="","",INDEX(_imp!$K$4:$K$4503,_imp!$C$2986))</f>
        <v/>
      </c>
    </row>
    <row r="2985">
      <c r="A2985" s="54">
        <f>IF(_imp!$C$2987="","",INDEX(_imp!$D$4:$D$4503,_imp!$C$2987))</f>
        <v/>
      </c>
      <c r="B2985" s="54">
        <f>IF(_imp!$C$2987="","",INDEX(_imp!$E$4:$E$4503,_imp!$C$2987))</f>
        <v/>
      </c>
      <c r="C2985" s="54">
        <f>IF(_imp!$C$2987="","",INDEX(_imp!$F$4:$F$4503,_imp!$C$2987))</f>
        <v/>
      </c>
      <c r="D2985" s="54">
        <f>IF(_imp!$C$2987="","",INDEX(_imp!$G$4:$G$4503,_imp!$C$2987))</f>
        <v/>
      </c>
      <c r="E2985" s="54">
        <f>IF(_imp!$C$2987="","",INDEX(_imp!$H$4:$H$4503,_imp!$C$2987))</f>
        <v/>
      </c>
      <c r="F2985" s="54">
        <f>IF(_imp!$C$2987="","",INDEX(_imp!$I$4:$I$4503,_imp!$C$2987))</f>
        <v/>
      </c>
      <c r="G2985" s="54">
        <f>IF(_imp!$C$2987="","",INDEX(_imp!$J$4:$J$4503,_imp!$C$2987))</f>
        <v/>
      </c>
      <c r="K2985" s="54">
        <f>IF(_imp!$C$2987="","",INDEX(_imp!$K$4:$K$4503,_imp!$C$2987))</f>
        <v/>
      </c>
    </row>
    <row r="2986">
      <c r="A2986" s="54">
        <f>IF(_imp!$C$2988="","",INDEX(_imp!$D$4:$D$4503,_imp!$C$2988))</f>
        <v/>
      </c>
      <c r="B2986" s="54">
        <f>IF(_imp!$C$2988="","",INDEX(_imp!$E$4:$E$4503,_imp!$C$2988))</f>
        <v/>
      </c>
      <c r="C2986" s="54">
        <f>IF(_imp!$C$2988="","",INDEX(_imp!$F$4:$F$4503,_imp!$C$2988))</f>
        <v/>
      </c>
      <c r="D2986" s="54">
        <f>IF(_imp!$C$2988="","",INDEX(_imp!$G$4:$G$4503,_imp!$C$2988))</f>
        <v/>
      </c>
      <c r="E2986" s="54">
        <f>IF(_imp!$C$2988="","",INDEX(_imp!$H$4:$H$4503,_imp!$C$2988))</f>
        <v/>
      </c>
      <c r="F2986" s="54">
        <f>IF(_imp!$C$2988="","",INDEX(_imp!$I$4:$I$4503,_imp!$C$2988))</f>
        <v/>
      </c>
      <c r="G2986" s="54">
        <f>IF(_imp!$C$2988="","",INDEX(_imp!$J$4:$J$4503,_imp!$C$2988))</f>
        <v/>
      </c>
      <c r="K2986" s="54">
        <f>IF(_imp!$C$2988="","",INDEX(_imp!$K$4:$K$4503,_imp!$C$2988))</f>
        <v/>
      </c>
    </row>
    <row r="2987">
      <c r="A2987" s="54">
        <f>IF(_imp!$C$2989="","",INDEX(_imp!$D$4:$D$4503,_imp!$C$2989))</f>
        <v/>
      </c>
      <c r="B2987" s="54">
        <f>IF(_imp!$C$2989="","",INDEX(_imp!$E$4:$E$4503,_imp!$C$2989))</f>
        <v/>
      </c>
      <c r="C2987" s="54">
        <f>IF(_imp!$C$2989="","",INDEX(_imp!$F$4:$F$4503,_imp!$C$2989))</f>
        <v/>
      </c>
      <c r="D2987" s="54">
        <f>IF(_imp!$C$2989="","",INDEX(_imp!$G$4:$G$4503,_imp!$C$2989))</f>
        <v/>
      </c>
      <c r="E2987" s="54">
        <f>IF(_imp!$C$2989="","",INDEX(_imp!$H$4:$H$4503,_imp!$C$2989))</f>
        <v/>
      </c>
      <c r="F2987" s="54">
        <f>IF(_imp!$C$2989="","",INDEX(_imp!$I$4:$I$4503,_imp!$C$2989))</f>
        <v/>
      </c>
      <c r="G2987" s="54">
        <f>IF(_imp!$C$2989="","",INDEX(_imp!$J$4:$J$4503,_imp!$C$2989))</f>
        <v/>
      </c>
      <c r="K2987" s="54">
        <f>IF(_imp!$C$2989="","",INDEX(_imp!$K$4:$K$4503,_imp!$C$2989))</f>
        <v/>
      </c>
    </row>
    <row r="2988">
      <c r="A2988" s="54">
        <f>IF(_imp!$C$2990="","",INDEX(_imp!$D$4:$D$4503,_imp!$C$2990))</f>
        <v/>
      </c>
      <c r="B2988" s="54">
        <f>IF(_imp!$C$2990="","",INDEX(_imp!$E$4:$E$4503,_imp!$C$2990))</f>
        <v/>
      </c>
      <c r="C2988" s="54">
        <f>IF(_imp!$C$2990="","",INDEX(_imp!$F$4:$F$4503,_imp!$C$2990))</f>
        <v/>
      </c>
      <c r="D2988" s="54">
        <f>IF(_imp!$C$2990="","",INDEX(_imp!$G$4:$G$4503,_imp!$C$2990))</f>
        <v/>
      </c>
      <c r="E2988" s="54">
        <f>IF(_imp!$C$2990="","",INDEX(_imp!$H$4:$H$4503,_imp!$C$2990))</f>
        <v/>
      </c>
      <c r="F2988" s="54">
        <f>IF(_imp!$C$2990="","",INDEX(_imp!$I$4:$I$4503,_imp!$C$2990))</f>
        <v/>
      </c>
      <c r="G2988" s="54">
        <f>IF(_imp!$C$2990="","",INDEX(_imp!$J$4:$J$4503,_imp!$C$2990))</f>
        <v/>
      </c>
      <c r="K2988" s="54">
        <f>IF(_imp!$C$2990="","",INDEX(_imp!$K$4:$K$4503,_imp!$C$2990))</f>
        <v/>
      </c>
    </row>
    <row r="2989">
      <c r="A2989" s="54">
        <f>IF(_imp!$C$2991="","",INDEX(_imp!$D$4:$D$4503,_imp!$C$2991))</f>
        <v/>
      </c>
      <c r="B2989" s="54">
        <f>IF(_imp!$C$2991="","",INDEX(_imp!$E$4:$E$4503,_imp!$C$2991))</f>
        <v/>
      </c>
      <c r="C2989" s="54">
        <f>IF(_imp!$C$2991="","",INDEX(_imp!$F$4:$F$4503,_imp!$C$2991))</f>
        <v/>
      </c>
      <c r="D2989" s="54">
        <f>IF(_imp!$C$2991="","",INDEX(_imp!$G$4:$G$4503,_imp!$C$2991))</f>
        <v/>
      </c>
      <c r="E2989" s="54">
        <f>IF(_imp!$C$2991="","",INDEX(_imp!$H$4:$H$4503,_imp!$C$2991))</f>
        <v/>
      </c>
      <c r="F2989" s="54">
        <f>IF(_imp!$C$2991="","",INDEX(_imp!$I$4:$I$4503,_imp!$C$2991))</f>
        <v/>
      </c>
      <c r="G2989" s="54">
        <f>IF(_imp!$C$2991="","",INDEX(_imp!$J$4:$J$4503,_imp!$C$2991))</f>
        <v/>
      </c>
      <c r="K2989" s="54">
        <f>IF(_imp!$C$2991="","",INDEX(_imp!$K$4:$K$4503,_imp!$C$2991))</f>
        <v/>
      </c>
    </row>
    <row r="2990">
      <c r="A2990" s="54">
        <f>IF(_imp!$C$2992="","",INDEX(_imp!$D$4:$D$4503,_imp!$C$2992))</f>
        <v/>
      </c>
      <c r="B2990" s="54">
        <f>IF(_imp!$C$2992="","",INDEX(_imp!$E$4:$E$4503,_imp!$C$2992))</f>
        <v/>
      </c>
      <c r="C2990" s="54">
        <f>IF(_imp!$C$2992="","",INDEX(_imp!$F$4:$F$4503,_imp!$C$2992))</f>
        <v/>
      </c>
      <c r="D2990" s="54">
        <f>IF(_imp!$C$2992="","",INDEX(_imp!$G$4:$G$4503,_imp!$C$2992))</f>
        <v/>
      </c>
      <c r="E2990" s="54">
        <f>IF(_imp!$C$2992="","",INDEX(_imp!$H$4:$H$4503,_imp!$C$2992))</f>
        <v/>
      </c>
      <c r="F2990" s="54">
        <f>IF(_imp!$C$2992="","",INDEX(_imp!$I$4:$I$4503,_imp!$C$2992))</f>
        <v/>
      </c>
      <c r="G2990" s="54">
        <f>IF(_imp!$C$2992="","",INDEX(_imp!$J$4:$J$4503,_imp!$C$2992))</f>
        <v/>
      </c>
      <c r="K2990" s="54">
        <f>IF(_imp!$C$2992="","",INDEX(_imp!$K$4:$K$4503,_imp!$C$2992))</f>
        <v/>
      </c>
    </row>
    <row r="2991">
      <c r="A2991" s="54">
        <f>IF(_imp!$C$2993="","",INDEX(_imp!$D$4:$D$4503,_imp!$C$2993))</f>
        <v/>
      </c>
      <c r="B2991" s="54">
        <f>IF(_imp!$C$2993="","",INDEX(_imp!$E$4:$E$4503,_imp!$C$2993))</f>
        <v/>
      </c>
      <c r="C2991" s="54">
        <f>IF(_imp!$C$2993="","",INDEX(_imp!$F$4:$F$4503,_imp!$C$2993))</f>
        <v/>
      </c>
      <c r="D2991" s="54">
        <f>IF(_imp!$C$2993="","",INDEX(_imp!$G$4:$G$4503,_imp!$C$2993))</f>
        <v/>
      </c>
      <c r="E2991" s="54">
        <f>IF(_imp!$C$2993="","",INDEX(_imp!$H$4:$H$4503,_imp!$C$2993))</f>
        <v/>
      </c>
      <c r="F2991" s="54">
        <f>IF(_imp!$C$2993="","",INDEX(_imp!$I$4:$I$4503,_imp!$C$2993))</f>
        <v/>
      </c>
      <c r="G2991" s="54">
        <f>IF(_imp!$C$2993="","",INDEX(_imp!$J$4:$J$4503,_imp!$C$2993))</f>
        <v/>
      </c>
      <c r="K2991" s="54">
        <f>IF(_imp!$C$2993="","",INDEX(_imp!$K$4:$K$4503,_imp!$C$2993))</f>
        <v/>
      </c>
    </row>
    <row r="2992">
      <c r="A2992" s="54">
        <f>IF(_imp!$C$2994="","",INDEX(_imp!$D$4:$D$4503,_imp!$C$2994))</f>
        <v/>
      </c>
      <c r="B2992" s="54">
        <f>IF(_imp!$C$2994="","",INDEX(_imp!$E$4:$E$4503,_imp!$C$2994))</f>
        <v/>
      </c>
      <c r="C2992" s="54">
        <f>IF(_imp!$C$2994="","",INDEX(_imp!$F$4:$F$4503,_imp!$C$2994))</f>
        <v/>
      </c>
      <c r="D2992" s="54">
        <f>IF(_imp!$C$2994="","",INDEX(_imp!$G$4:$G$4503,_imp!$C$2994))</f>
        <v/>
      </c>
      <c r="E2992" s="54">
        <f>IF(_imp!$C$2994="","",INDEX(_imp!$H$4:$H$4503,_imp!$C$2994))</f>
        <v/>
      </c>
      <c r="F2992" s="54">
        <f>IF(_imp!$C$2994="","",INDEX(_imp!$I$4:$I$4503,_imp!$C$2994))</f>
        <v/>
      </c>
      <c r="G2992" s="54">
        <f>IF(_imp!$C$2994="","",INDEX(_imp!$J$4:$J$4503,_imp!$C$2994))</f>
        <v/>
      </c>
      <c r="K2992" s="54">
        <f>IF(_imp!$C$2994="","",INDEX(_imp!$K$4:$K$4503,_imp!$C$2994))</f>
        <v/>
      </c>
    </row>
    <row r="2993">
      <c r="A2993" s="54">
        <f>IF(_imp!$C$2995="","",INDEX(_imp!$D$4:$D$4503,_imp!$C$2995))</f>
        <v/>
      </c>
      <c r="B2993" s="54">
        <f>IF(_imp!$C$2995="","",INDEX(_imp!$E$4:$E$4503,_imp!$C$2995))</f>
        <v/>
      </c>
      <c r="C2993" s="54">
        <f>IF(_imp!$C$2995="","",INDEX(_imp!$F$4:$F$4503,_imp!$C$2995))</f>
        <v/>
      </c>
      <c r="D2993" s="54">
        <f>IF(_imp!$C$2995="","",INDEX(_imp!$G$4:$G$4503,_imp!$C$2995))</f>
        <v/>
      </c>
      <c r="E2993" s="54">
        <f>IF(_imp!$C$2995="","",INDEX(_imp!$H$4:$H$4503,_imp!$C$2995))</f>
        <v/>
      </c>
      <c r="F2993" s="54">
        <f>IF(_imp!$C$2995="","",INDEX(_imp!$I$4:$I$4503,_imp!$C$2995))</f>
        <v/>
      </c>
      <c r="G2993" s="54">
        <f>IF(_imp!$C$2995="","",INDEX(_imp!$J$4:$J$4503,_imp!$C$2995))</f>
        <v/>
      </c>
      <c r="K2993" s="54">
        <f>IF(_imp!$C$2995="","",INDEX(_imp!$K$4:$K$4503,_imp!$C$2995))</f>
        <v/>
      </c>
    </row>
    <row r="2994">
      <c r="A2994" s="54">
        <f>IF(_imp!$C$2996="","",INDEX(_imp!$D$4:$D$4503,_imp!$C$2996))</f>
        <v/>
      </c>
      <c r="B2994" s="54">
        <f>IF(_imp!$C$2996="","",INDEX(_imp!$E$4:$E$4503,_imp!$C$2996))</f>
        <v/>
      </c>
      <c r="C2994" s="54">
        <f>IF(_imp!$C$2996="","",INDEX(_imp!$F$4:$F$4503,_imp!$C$2996))</f>
        <v/>
      </c>
      <c r="D2994" s="54">
        <f>IF(_imp!$C$2996="","",INDEX(_imp!$G$4:$G$4503,_imp!$C$2996))</f>
        <v/>
      </c>
      <c r="E2994" s="54">
        <f>IF(_imp!$C$2996="","",INDEX(_imp!$H$4:$H$4503,_imp!$C$2996))</f>
        <v/>
      </c>
      <c r="F2994" s="54">
        <f>IF(_imp!$C$2996="","",INDEX(_imp!$I$4:$I$4503,_imp!$C$2996))</f>
        <v/>
      </c>
      <c r="G2994" s="54">
        <f>IF(_imp!$C$2996="","",INDEX(_imp!$J$4:$J$4503,_imp!$C$2996))</f>
        <v/>
      </c>
      <c r="K2994" s="54">
        <f>IF(_imp!$C$2996="","",INDEX(_imp!$K$4:$K$4503,_imp!$C$2996))</f>
        <v/>
      </c>
    </row>
    <row r="2995">
      <c r="A2995" s="54">
        <f>IF(_imp!$C$2997="","",INDEX(_imp!$D$4:$D$4503,_imp!$C$2997))</f>
        <v/>
      </c>
      <c r="B2995" s="54">
        <f>IF(_imp!$C$2997="","",INDEX(_imp!$E$4:$E$4503,_imp!$C$2997))</f>
        <v/>
      </c>
      <c r="C2995" s="54">
        <f>IF(_imp!$C$2997="","",INDEX(_imp!$F$4:$F$4503,_imp!$C$2997))</f>
        <v/>
      </c>
      <c r="D2995" s="54">
        <f>IF(_imp!$C$2997="","",INDEX(_imp!$G$4:$G$4503,_imp!$C$2997))</f>
        <v/>
      </c>
      <c r="E2995" s="54">
        <f>IF(_imp!$C$2997="","",INDEX(_imp!$H$4:$H$4503,_imp!$C$2997))</f>
        <v/>
      </c>
      <c r="F2995" s="54">
        <f>IF(_imp!$C$2997="","",INDEX(_imp!$I$4:$I$4503,_imp!$C$2997))</f>
        <v/>
      </c>
      <c r="G2995" s="54">
        <f>IF(_imp!$C$2997="","",INDEX(_imp!$J$4:$J$4503,_imp!$C$2997))</f>
        <v/>
      </c>
      <c r="K2995" s="54">
        <f>IF(_imp!$C$2997="","",INDEX(_imp!$K$4:$K$4503,_imp!$C$2997))</f>
        <v/>
      </c>
    </row>
    <row r="2996">
      <c r="A2996" s="54">
        <f>IF(_imp!$C$2998="","",INDEX(_imp!$D$4:$D$4503,_imp!$C$2998))</f>
        <v/>
      </c>
      <c r="B2996" s="54">
        <f>IF(_imp!$C$2998="","",INDEX(_imp!$E$4:$E$4503,_imp!$C$2998))</f>
        <v/>
      </c>
      <c r="C2996" s="54">
        <f>IF(_imp!$C$2998="","",INDEX(_imp!$F$4:$F$4503,_imp!$C$2998))</f>
        <v/>
      </c>
      <c r="D2996" s="54">
        <f>IF(_imp!$C$2998="","",INDEX(_imp!$G$4:$G$4503,_imp!$C$2998))</f>
        <v/>
      </c>
      <c r="E2996" s="54">
        <f>IF(_imp!$C$2998="","",INDEX(_imp!$H$4:$H$4503,_imp!$C$2998))</f>
        <v/>
      </c>
      <c r="F2996" s="54">
        <f>IF(_imp!$C$2998="","",INDEX(_imp!$I$4:$I$4503,_imp!$C$2998))</f>
        <v/>
      </c>
      <c r="G2996" s="54">
        <f>IF(_imp!$C$2998="","",INDEX(_imp!$J$4:$J$4503,_imp!$C$2998))</f>
        <v/>
      </c>
      <c r="K2996" s="54">
        <f>IF(_imp!$C$2998="","",INDEX(_imp!$K$4:$K$4503,_imp!$C$2998))</f>
        <v/>
      </c>
    </row>
    <row r="2997">
      <c r="A2997" s="54">
        <f>IF(_imp!$C$2999="","",INDEX(_imp!$D$4:$D$4503,_imp!$C$2999))</f>
        <v/>
      </c>
      <c r="B2997" s="54">
        <f>IF(_imp!$C$2999="","",INDEX(_imp!$E$4:$E$4503,_imp!$C$2999))</f>
        <v/>
      </c>
      <c r="C2997" s="54">
        <f>IF(_imp!$C$2999="","",INDEX(_imp!$F$4:$F$4503,_imp!$C$2999))</f>
        <v/>
      </c>
      <c r="D2997" s="54">
        <f>IF(_imp!$C$2999="","",INDEX(_imp!$G$4:$G$4503,_imp!$C$2999))</f>
        <v/>
      </c>
      <c r="E2997" s="54">
        <f>IF(_imp!$C$2999="","",INDEX(_imp!$H$4:$H$4503,_imp!$C$2999))</f>
        <v/>
      </c>
      <c r="F2997" s="54">
        <f>IF(_imp!$C$2999="","",INDEX(_imp!$I$4:$I$4503,_imp!$C$2999))</f>
        <v/>
      </c>
      <c r="G2997" s="54">
        <f>IF(_imp!$C$2999="","",INDEX(_imp!$J$4:$J$4503,_imp!$C$2999))</f>
        <v/>
      </c>
      <c r="K2997" s="54">
        <f>IF(_imp!$C$2999="","",INDEX(_imp!$K$4:$K$4503,_imp!$C$2999))</f>
        <v/>
      </c>
    </row>
    <row r="2998">
      <c r="A2998" s="54">
        <f>IF(_imp!$C$3000="","",INDEX(_imp!$D$4:$D$4503,_imp!$C$3000))</f>
        <v/>
      </c>
      <c r="B2998" s="54">
        <f>IF(_imp!$C$3000="","",INDEX(_imp!$E$4:$E$4503,_imp!$C$3000))</f>
        <v/>
      </c>
      <c r="C2998" s="54">
        <f>IF(_imp!$C$3000="","",INDEX(_imp!$F$4:$F$4503,_imp!$C$3000))</f>
        <v/>
      </c>
      <c r="D2998" s="54">
        <f>IF(_imp!$C$3000="","",INDEX(_imp!$G$4:$G$4503,_imp!$C$3000))</f>
        <v/>
      </c>
      <c r="E2998" s="54">
        <f>IF(_imp!$C$3000="","",INDEX(_imp!$H$4:$H$4503,_imp!$C$3000))</f>
        <v/>
      </c>
      <c r="F2998" s="54">
        <f>IF(_imp!$C$3000="","",INDEX(_imp!$I$4:$I$4503,_imp!$C$3000))</f>
        <v/>
      </c>
      <c r="G2998" s="54">
        <f>IF(_imp!$C$3000="","",INDEX(_imp!$J$4:$J$4503,_imp!$C$3000))</f>
        <v/>
      </c>
      <c r="K2998" s="54">
        <f>IF(_imp!$C$3000="","",INDEX(_imp!$K$4:$K$4503,_imp!$C$3000))</f>
        <v/>
      </c>
    </row>
    <row r="2999">
      <c r="A2999" s="54">
        <f>IF(_imp!$C$3001="","",INDEX(_imp!$D$4:$D$4503,_imp!$C$3001))</f>
        <v/>
      </c>
      <c r="B2999" s="54">
        <f>IF(_imp!$C$3001="","",INDEX(_imp!$E$4:$E$4503,_imp!$C$3001))</f>
        <v/>
      </c>
      <c r="C2999" s="54">
        <f>IF(_imp!$C$3001="","",INDEX(_imp!$F$4:$F$4503,_imp!$C$3001))</f>
        <v/>
      </c>
      <c r="D2999" s="54">
        <f>IF(_imp!$C$3001="","",INDEX(_imp!$G$4:$G$4503,_imp!$C$3001))</f>
        <v/>
      </c>
      <c r="E2999" s="54">
        <f>IF(_imp!$C$3001="","",INDEX(_imp!$H$4:$H$4503,_imp!$C$3001))</f>
        <v/>
      </c>
      <c r="F2999" s="54">
        <f>IF(_imp!$C$3001="","",INDEX(_imp!$I$4:$I$4503,_imp!$C$3001))</f>
        <v/>
      </c>
      <c r="G2999" s="54">
        <f>IF(_imp!$C$3001="","",INDEX(_imp!$J$4:$J$4503,_imp!$C$3001))</f>
        <v/>
      </c>
      <c r="K2999" s="54">
        <f>IF(_imp!$C$3001="","",INDEX(_imp!$K$4:$K$4503,_imp!$C$3001))</f>
        <v/>
      </c>
    </row>
    <row r="3000">
      <c r="A3000" s="54">
        <f>IF(_imp!$C$3002="","",INDEX(_imp!$D$4:$D$4503,_imp!$C$3002))</f>
        <v/>
      </c>
      <c r="B3000" s="54">
        <f>IF(_imp!$C$3002="","",INDEX(_imp!$E$4:$E$4503,_imp!$C$3002))</f>
        <v/>
      </c>
      <c r="C3000" s="54">
        <f>IF(_imp!$C$3002="","",INDEX(_imp!$F$4:$F$4503,_imp!$C$3002))</f>
        <v/>
      </c>
      <c r="D3000" s="54">
        <f>IF(_imp!$C$3002="","",INDEX(_imp!$G$4:$G$4503,_imp!$C$3002))</f>
        <v/>
      </c>
      <c r="E3000" s="54">
        <f>IF(_imp!$C$3002="","",INDEX(_imp!$H$4:$H$4503,_imp!$C$3002))</f>
        <v/>
      </c>
      <c r="F3000" s="54">
        <f>IF(_imp!$C$3002="","",INDEX(_imp!$I$4:$I$4503,_imp!$C$3002))</f>
        <v/>
      </c>
      <c r="G3000" s="54">
        <f>IF(_imp!$C$3002="","",INDEX(_imp!$J$4:$J$4503,_imp!$C$3002))</f>
        <v/>
      </c>
      <c r="K3000" s="54">
        <f>IF(_imp!$C$3002="","",INDEX(_imp!$K$4:$K$4503,_imp!$C$3002))</f>
        <v/>
      </c>
    </row>
    <row r="3001">
      <c r="A3001" s="54">
        <f>IF(_imp!$C$3003="","",INDEX(_imp!$D$4:$D$4503,_imp!$C$3003))</f>
        <v/>
      </c>
      <c r="B3001" s="54">
        <f>IF(_imp!$C$3003="","",INDEX(_imp!$E$4:$E$4503,_imp!$C$3003))</f>
        <v/>
      </c>
      <c r="C3001" s="54">
        <f>IF(_imp!$C$3003="","",INDEX(_imp!$F$4:$F$4503,_imp!$C$3003))</f>
        <v/>
      </c>
      <c r="D3001" s="54">
        <f>IF(_imp!$C$3003="","",INDEX(_imp!$G$4:$G$4503,_imp!$C$3003))</f>
        <v/>
      </c>
      <c r="E3001" s="54">
        <f>IF(_imp!$C$3003="","",INDEX(_imp!$H$4:$H$4503,_imp!$C$3003))</f>
        <v/>
      </c>
      <c r="F3001" s="54">
        <f>IF(_imp!$C$3003="","",INDEX(_imp!$I$4:$I$4503,_imp!$C$3003))</f>
        <v/>
      </c>
      <c r="G3001" s="54">
        <f>IF(_imp!$C$3003="","",INDEX(_imp!$J$4:$J$4503,_imp!$C$3003))</f>
        <v/>
      </c>
      <c r="K3001" s="54">
        <f>IF(_imp!$C$3003="","",INDEX(_imp!$K$4:$K$4503,_imp!$C$3003))</f>
        <v/>
      </c>
    </row>
    <row r="3002">
      <c r="A3002" s="54">
        <f>IF(_imp!$C$3004="","",INDEX(_imp!$D$4:$D$4503,_imp!$C$3004))</f>
        <v/>
      </c>
      <c r="B3002" s="54">
        <f>IF(_imp!$C$3004="","",INDEX(_imp!$E$4:$E$4503,_imp!$C$3004))</f>
        <v/>
      </c>
      <c r="C3002" s="54">
        <f>IF(_imp!$C$3004="","",INDEX(_imp!$F$4:$F$4503,_imp!$C$3004))</f>
        <v/>
      </c>
      <c r="D3002" s="54">
        <f>IF(_imp!$C$3004="","",INDEX(_imp!$G$4:$G$4503,_imp!$C$3004))</f>
        <v/>
      </c>
      <c r="E3002" s="54">
        <f>IF(_imp!$C$3004="","",INDEX(_imp!$H$4:$H$4503,_imp!$C$3004))</f>
        <v/>
      </c>
      <c r="F3002" s="54">
        <f>IF(_imp!$C$3004="","",INDEX(_imp!$I$4:$I$4503,_imp!$C$3004))</f>
        <v/>
      </c>
      <c r="G3002" s="54">
        <f>IF(_imp!$C$3004="","",INDEX(_imp!$J$4:$J$4503,_imp!$C$3004))</f>
        <v/>
      </c>
      <c r="K3002" s="54">
        <f>IF(_imp!$C$3004="","",INDEX(_imp!$K$4:$K$4503,_imp!$C$3004))</f>
        <v/>
      </c>
    </row>
    <row r="3003">
      <c r="A3003" s="54">
        <f>IF(_imp!$C$3005="","",INDEX(_imp!$D$4:$D$4503,_imp!$C$3005))</f>
        <v/>
      </c>
      <c r="B3003" s="54">
        <f>IF(_imp!$C$3005="","",INDEX(_imp!$E$4:$E$4503,_imp!$C$3005))</f>
        <v/>
      </c>
      <c r="C3003" s="54">
        <f>IF(_imp!$C$3005="","",INDEX(_imp!$F$4:$F$4503,_imp!$C$3005))</f>
        <v/>
      </c>
      <c r="D3003" s="54">
        <f>IF(_imp!$C$3005="","",INDEX(_imp!$G$4:$G$4503,_imp!$C$3005))</f>
        <v/>
      </c>
      <c r="E3003" s="54">
        <f>IF(_imp!$C$3005="","",INDEX(_imp!$H$4:$H$4503,_imp!$C$3005))</f>
        <v/>
      </c>
      <c r="F3003" s="54">
        <f>IF(_imp!$C$3005="","",INDEX(_imp!$I$4:$I$4503,_imp!$C$3005))</f>
        <v/>
      </c>
      <c r="G3003" s="54">
        <f>IF(_imp!$C$3005="","",INDEX(_imp!$J$4:$J$4503,_imp!$C$3005))</f>
        <v/>
      </c>
      <c r="K3003" s="54">
        <f>IF(_imp!$C$3005="","",INDEX(_imp!$K$4:$K$4503,_imp!$C$3005))</f>
        <v/>
      </c>
    </row>
    <row r="3004">
      <c r="A3004" s="54">
        <f>IF(_imp!$C$3006="","",INDEX(_imp!$D$4:$D$4503,_imp!$C$3006))</f>
        <v/>
      </c>
      <c r="B3004" s="54">
        <f>IF(_imp!$C$3006="","",INDEX(_imp!$E$4:$E$4503,_imp!$C$3006))</f>
        <v/>
      </c>
      <c r="C3004" s="54">
        <f>IF(_imp!$C$3006="","",INDEX(_imp!$F$4:$F$4503,_imp!$C$3006))</f>
        <v/>
      </c>
      <c r="D3004" s="54">
        <f>IF(_imp!$C$3006="","",INDEX(_imp!$G$4:$G$4503,_imp!$C$3006))</f>
        <v/>
      </c>
      <c r="E3004" s="54">
        <f>IF(_imp!$C$3006="","",INDEX(_imp!$H$4:$H$4503,_imp!$C$3006))</f>
        <v/>
      </c>
      <c r="F3004" s="54">
        <f>IF(_imp!$C$3006="","",INDEX(_imp!$I$4:$I$4503,_imp!$C$3006))</f>
        <v/>
      </c>
      <c r="G3004" s="54">
        <f>IF(_imp!$C$3006="","",INDEX(_imp!$J$4:$J$4503,_imp!$C$3006))</f>
        <v/>
      </c>
      <c r="K3004" s="54">
        <f>IF(_imp!$C$3006="","",INDEX(_imp!$K$4:$K$4503,_imp!$C$3006))</f>
        <v/>
      </c>
    </row>
    <row r="3005">
      <c r="A3005" s="54">
        <f>IF(_imp!$C$3007="","",INDEX(_imp!$D$4:$D$4503,_imp!$C$3007))</f>
        <v/>
      </c>
      <c r="B3005" s="54">
        <f>IF(_imp!$C$3007="","",INDEX(_imp!$E$4:$E$4503,_imp!$C$3007))</f>
        <v/>
      </c>
      <c r="C3005" s="54">
        <f>IF(_imp!$C$3007="","",INDEX(_imp!$F$4:$F$4503,_imp!$C$3007))</f>
        <v/>
      </c>
      <c r="D3005" s="54">
        <f>IF(_imp!$C$3007="","",INDEX(_imp!$G$4:$G$4503,_imp!$C$3007))</f>
        <v/>
      </c>
      <c r="E3005" s="54">
        <f>IF(_imp!$C$3007="","",INDEX(_imp!$H$4:$H$4503,_imp!$C$3007))</f>
        <v/>
      </c>
      <c r="F3005" s="54">
        <f>IF(_imp!$C$3007="","",INDEX(_imp!$I$4:$I$4503,_imp!$C$3007))</f>
        <v/>
      </c>
      <c r="G3005" s="54">
        <f>IF(_imp!$C$3007="","",INDEX(_imp!$J$4:$J$4503,_imp!$C$3007))</f>
        <v/>
      </c>
      <c r="K3005" s="54">
        <f>IF(_imp!$C$3007="","",INDEX(_imp!$K$4:$K$4503,_imp!$C$3007))</f>
        <v/>
      </c>
    </row>
    <row r="3006">
      <c r="A3006" s="54">
        <f>IF(_imp!$C$3008="","",INDEX(_imp!$D$4:$D$4503,_imp!$C$3008))</f>
        <v/>
      </c>
      <c r="B3006" s="54">
        <f>IF(_imp!$C$3008="","",INDEX(_imp!$E$4:$E$4503,_imp!$C$3008))</f>
        <v/>
      </c>
      <c r="C3006" s="54">
        <f>IF(_imp!$C$3008="","",INDEX(_imp!$F$4:$F$4503,_imp!$C$3008))</f>
        <v/>
      </c>
      <c r="D3006" s="54">
        <f>IF(_imp!$C$3008="","",INDEX(_imp!$G$4:$G$4503,_imp!$C$3008))</f>
        <v/>
      </c>
      <c r="E3006" s="54">
        <f>IF(_imp!$C$3008="","",INDEX(_imp!$H$4:$H$4503,_imp!$C$3008))</f>
        <v/>
      </c>
      <c r="F3006" s="54">
        <f>IF(_imp!$C$3008="","",INDEX(_imp!$I$4:$I$4503,_imp!$C$3008))</f>
        <v/>
      </c>
      <c r="G3006" s="54">
        <f>IF(_imp!$C$3008="","",INDEX(_imp!$J$4:$J$4503,_imp!$C$3008))</f>
        <v/>
      </c>
      <c r="K3006" s="54">
        <f>IF(_imp!$C$3008="","",INDEX(_imp!$K$4:$K$4503,_imp!$C$3008))</f>
        <v/>
      </c>
    </row>
    <row r="3007">
      <c r="A3007" s="54">
        <f>IF(_imp!$C$3009="","",INDEX(_imp!$D$4:$D$4503,_imp!$C$3009))</f>
        <v/>
      </c>
      <c r="B3007" s="54">
        <f>IF(_imp!$C$3009="","",INDEX(_imp!$E$4:$E$4503,_imp!$C$3009))</f>
        <v/>
      </c>
      <c r="C3007" s="54">
        <f>IF(_imp!$C$3009="","",INDEX(_imp!$F$4:$F$4503,_imp!$C$3009))</f>
        <v/>
      </c>
      <c r="D3007" s="54">
        <f>IF(_imp!$C$3009="","",INDEX(_imp!$G$4:$G$4503,_imp!$C$3009))</f>
        <v/>
      </c>
      <c r="E3007" s="54">
        <f>IF(_imp!$C$3009="","",INDEX(_imp!$H$4:$H$4503,_imp!$C$3009))</f>
        <v/>
      </c>
      <c r="F3007" s="54">
        <f>IF(_imp!$C$3009="","",INDEX(_imp!$I$4:$I$4503,_imp!$C$3009))</f>
        <v/>
      </c>
      <c r="G3007" s="54">
        <f>IF(_imp!$C$3009="","",INDEX(_imp!$J$4:$J$4503,_imp!$C$3009))</f>
        <v/>
      </c>
      <c r="K3007" s="54">
        <f>IF(_imp!$C$3009="","",INDEX(_imp!$K$4:$K$4503,_imp!$C$3009))</f>
        <v/>
      </c>
    </row>
    <row r="3008">
      <c r="A3008" s="54">
        <f>IF(_imp!$C$3010="","",INDEX(_imp!$D$4:$D$4503,_imp!$C$3010))</f>
        <v/>
      </c>
      <c r="B3008" s="54">
        <f>IF(_imp!$C$3010="","",INDEX(_imp!$E$4:$E$4503,_imp!$C$3010))</f>
        <v/>
      </c>
      <c r="C3008" s="54">
        <f>IF(_imp!$C$3010="","",INDEX(_imp!$F$4:$F$4503,_imp!$C$3010))</f>
        <v/>
      </c>
      <c r="D3008" s="54">
        <f>IF(_imp!$C$3010="","",INDEX(_imp!$G$4:$G$4503,_imp!$C$3010))</f>
        <v/>
      </c>
      <c r="E3008" s="54">
        <f>IF(_imp!$C$3010="","",INDEX(_imp!$H$4:$H$4503,_imp!$C$3010))</f>
        <v/>
      </c>
      <c r="F3008" s="54">
        <f>IF(_imp!$C$3010="","",INDEX(_imp!$I$4:$I$4503,_imp!$C$3010))</f>
        <v/>
      </c>
      <c r="G3008" s="54">
        <f>IF(_imp!$C$3010="","",INDEX(_imp!$J$4:$J$4503,_imp!$C$3010))</f>
        <v/>
      </c>
      <c r="K3008" s="54">
        <f>IF(_imp!$C$3010="","",INDEX(_imp!$K$4:$K$4503,_imp!$C$3010))</f>
        <v/>
      </c>
    </row>
    <row r="3009">
      <c r="A3009" s="54">
        <f>IF(_imp!$C$3011="","",INDEX(_imp!$D$4:$D$4503,_imp!$C$3011))</f>
        <v/>
      </c>
      <c r="B3009" s="54">
        <f>IF(_imp!$C$3011="","",INDEX(_imp!$E$4:$E$4503,_imp!$C$3011))</f>
        <v/>
      </c>
      <c r="C3009" s="54">
        <f>IF(_imp!$C$3011="","",INDEX(_imp!$F$4:$F$4503,_imp!$C$3011))</f>
        <v/>
      </c>
      <c r="D3009" s="54">
        <f>IF(_imp!$C$3011="","",INDEX(_imp!$G$4:$G$4503,_imp!$C$3011))</f>
        <v/>
      </c>
      <c r="E3009" s="54">
        <f>IF(_imp!$C$3011="","",INDEX(_imp!$H$4:$H$4503,_imp!$C$3011))</f>
        <v/>
      </c>
      <c r="F3009" s="54">
        <f>IF(_imp!$C$3011="","",INDEX(_imp!$I$4:$I$4503,_imp!$C$3011))</f>
        <v/>
      </c>
      <c r="G3009" s="54">
        <f>IF(_imp!$C$3011="","",INDEX(_imp!$J$4:$J$4503,_imp!$C$3011))</f>
        <v/>
      </c>
      <c r="K3009" s="54">
        <f>IF(_imp!$C$3011="","",INDEX(_imp!$K$4:$K$4503,_imp!$C$3011))</f>
        <v/>
      </c>
    </row>
    <row r="3010">
      <c r="A3010" s="54">
        <f>IF(_imp!$C$3012="","",INDEX(_imp!$D$4:$D$4503,_imp!$C$3012))</f>
        <v/>
      </c>
      <c r="B3010" s="54">
        <f>IF(_imp!$C$3012="","",INDEX(_imp!$E$4:$E$4503,_imp!$C$3012))</f>
        <v/>
      </c>
      <c r="C3010" s="54">
        <f>IF(_imp!$C$3012="","",INDEX(_imp!$F$4:$F$4503,_imp!$C$3012))</f>
        <v/>
      </c>
      <c r="D3010" s="54">
        <f>IF(_imp!$C$3012="","",INDEX(_imp!$G$4:$G$4503,_imp!$C$3012))</f>
        <v/>
      </c>
      <c r="E3010" s="54">
        <f>IF(_imp!$C$3012="","",INDEX(_imp!$H$4:$H$4503,_imp!$C$3012))</f>
        <v/>
      </c>
      <c r="F3010" s="54">
        <f>IF(_imp!$C$3012="","",INDEX(_imp!$I$4:$I$4503,_imp!$C$3012))</f>
        <v/>
      </c>
      <c r="G3010" s="54">
        <f>IF(_imp!$C$3012="","",INDEX(_imp!$J$4:$J$4503,_imp!$C$3012))</f>
        <v/>
      </c>
      <c r="K3010" s="54">
        <f>IF(_imp!$C$3012="","",INDEX(_imp!$K$4:$K$4503,_imp!$C$3012))</f>
        <v/>
      </c>
    </row>
    <row r="3011">
      <c r="A3011" s="54">
        <f>IF(_imp!$C$3013="","",INDEX(_imp!$D$4:$D$4503,_imp!$C$3013))</f>
        <v/>
      </c>
      <c r="B3011" s="54">
        <f>IF(_imp!$C$3013="","",INDEX(_imp!$E$4:$E$4503,_imp!$C$3013))</f>
        <v/>
      </c>
      <c r="C3011" s="54">
        <f>IF(_imp!$C$3013="","",INDEX(_imp!$F$4:$F$4503,_imp!$C$3013))</f>
        <v/>
      </c>
      <c r="D3011" s="54">
        <f>IF(_imp!$C$3013="","",INDEX(_imp!$G$4:$G$4503,_imp!$C$3013))</f>
        <v/>
      </c>
      <c r="E3011" s="54">
        <f>IF(_imp!$C$3013="","",INDEX(_imp!$H$4:$H$4503,_imp!$C$3013))</f>
        <v/>
      </c>
      <c r="F3011" s="54">
        <f>IF(_imp!$C$3013="","",INDEX(_imp!$I$4:$I$4503,_imp!$C$3013))</f>
        <v/>
      </c>
      <c r="G3011" s="54">
        <f>IF(_imp!$C$3013="","",INDEX(_imp!$J$4:$J$4503,_imp!$C$3013))</f>
        <v/>
      </c>
      <c r="K3011" s="54">
        <f>IF(_imp!$C$3013="","",INDEX(_imp!$K$4:$K$4503,_imp!$C$3013))</f>
        <v/>
      </c>
    </row>
    <row r="3012">
      <c r="A3012" s="54">
        <f>IF(_imp!$C$3014="","",INDEX(_imp!$D$4:$D$4503,_imp!$C$3014))</f>
        <v/>
      </c>
      <c r="B3012" s="54">
        <f>IF(_imp!$C$3014="","",INDEX(_imp!$E$4:$E$4503,_imp!$C$3014))</f>
        <v/>
      </c>
      <c r="C3012" s="54">
        <f>IF(_imp!$C$3014="","",INDEX(_imp!$F$4:$F$4503,_imp!$C$3014))</f>
        <v/>
      </c>
      <c r="D3012" s="54">
        <f>IF(_imp!$C$3014="","",INDEX(_imp!$G$4:$G$4503,_imp!$C$3014))</f>
        <v/>
      </c>
      <c r="E3012" s="54">
        <f>IF(_imp!$C$3014="","",INDEX(_imp!$H$4:$H$4503,_imp!$C$3014))</f>
        <v/>
      </c>
      <c r="F3012" s="54">
        <f>IF(_imp!$C$3014="","",INDEX(_imp!$I$4:$I$4503,_imp!$C$3014))</f>
        <v/>
      </c>
      <c r="G3012" s="54">
        <f>IF(_imp!$C$3014="","",INDEX(_imp!$J$4:$J$4503,_imp!$C$3014))</f>
        <v/>
      </c>
      <c r="K3012" s="54">
        <f>IF(_imp!$C$3014="","",INDEX(_imp!$K$4:$K$4503,_imp!$C$3014))</f>
        <v/>
      </c>
    </row>
    <row r="3013">
      <c r="A3013" s="54">
        <f>IF(_imp!$C$3015="","",INDEX(_imp!$D$4:$D$4503,_imp!$C$3015))</f>
        <v/>
      </c>
      <c r="B3013" s="54">
        <f>IF(_imp!$C$3015="","",INDEX(_imp!$E$4:$E$4503,_imp!$C$3015))</f>
        <v/>
      </c>
      <c r="C3013" s="54">
        <f>IF(_imp!$C$3015="","",INDEX(_imp!$F$4:$F$4503,_imp!$C$3015))</f>
        <v/>
      </c>
      <c r="D3013" s="54">
        <f>IF(_imp!$C$3015="","",INDEX(_imp!$G$4:$G$4503,_imp!$C$3015))</f>
        <v/>
      </c>
      <c r="E3013" s="54">
        <f>IF(_imp!$C$3015="","",INDEX(_imp!$H$4:$H$4503,_imp!$C$3015))</f>
        <v/>
      </c>
      <c r="F3013" s="54">
        <f>IF(_imp!$C$3015="","",INDEX(_imp!$I$4:$I$4503,_imp!$C$3015))</f>
        <v/>
      </c>
      <c r="G3013" s="54">
        <f>IF(_imp!$C$3015="","",INDEX(_imp!$J$4:$J$4503,_imp!$C$3015))</f>
        <v/>
      </c>
      <c r="K3013" s="54">
        <f>IF(_imp!$C$3015="","",INDEX(_imp!$K$4:$K$4503,_imp!$C$3015))</f>
        <v/>
      </c>
    </row>
    <row r="3014">
      <c r="A3014" s="54">
        <f>IF(_imp!$C$3016="","",INDEX(_imp!$D$4:$D$4503,_imp!$C$3016))</f>
        <v/>
      </c>
      <c r="B3014" s="54">
        <f>IF(_imp!$C$3016="","",INDEX(_imp!$E$4:$E$4503,_imp!$C$3016))</f>
        <v/>
      </c>
      <c r="C3014" s="54">
        <f>IF(_imp!$C$3016="","",INDEX(_imp!$F$4:$F$4503,_imp!$C$3016))</f>
        <v/>
      </c>
      <c r="D3014" s="54">
        <f>IF(_imp!$C$3016="","",INDEX(_imp!$G$4:$G$4503,_imp!$C$3016))</f>
        <v/>
      </c>
      <c r="E3014" s="54">
        <f>IF(_imp!$C$3016="","",INDEX(_imp!$H$4:$H$4503,_imp!$C$3016))</f>
        <v/>
      </c>
      <c r="F3014" s="54">
        <f>IF(_imp!$C$3016="","",INDEX(_imp!$I$4:$I$4503,_imp!$C$3016))</f>
        <v/>
      </c>
      <c r="G3014" s="54">
        <f>IF(_imp!$C$3016="","",INDEX(_imp!$J$4:$J$4503,_imp!$C$3016))</f>
        <v/>
      </c>
      <c r="K3014" s="54">
        <f>IF(_imp!$C$3016="","",INDEX(_imp!$K$4:$K$4503,_imp!$C$3016))</f>
        <v/>
      </c>
    </row>
    <row r="3015">
      <c r="A3015" s="54">
        <f>IF(_imp!$C$3017="","",INDEX(_imp!$D$4:$D$4503,_imp!$C$3017))</f>
        <v/>
      </c>
      <c r="B3015" s="54">
        <f>IF(_imp!$C$3017="","",INDEX(_imp!$E$4:$E$4503,_imp!$C$3017))</f>
        <v/>
      </c>
      <c r="C3015" s="54">
        <f>IF(_imp!$C$3017="","",INDEX(_imp!$F$4:$F$4503,_imp!$C$3017))</f>
        <v/>
      </c>
      <c r="D3015" s="54">
        <f>IF(_imp!$C$3017="","",INDEX(_imp!$G$4:$G$4503,_imp!$C$3017))</f>
        <v/>
      </c>
      <c r="E3015" s="54">
        <f>IF(_imp!$C$3017="","",INDEX(_imp!$H$4:$H$4503,_imp!$C$3017))</f>
        <v/>
      </c>
      <c r="F3015" s="54">
        <f>IF(_imp!$C$3017="","",INDEX(_imp!$I$4:$I$4503,_imp!$C$3017))</f>
        <v/>
      </c>
      <c r="G3015" s="54">
        <f>IF(_imp!$C$3017="","",INDEX(_imp!$J$4:$J$4503,_imp!$C$3017))</f>
        <v/>
      </c>
      <c r="K3015" s="54">
        <f>IF(_imp!$C$3017="","",INDEX(_imp!$K$4:$K$4503,_imp!$C$3017))</f>
        <v/>
      </c>
    </row>
    <row r="3016">
      <c r="A3016" s="54">
        <f>IF(_imp!$C$3018="","",INDEX(_imp!$D$4:$D$4503,_imp!$C$3018))</f>
        <v/>
      </c>
      <c r="B3016" s="54">
        <f>IF(_imp!$C$3018="","",INDEX(_imp!$E$4:$E$4503,_imp!$C$3018))</f>
        <v/>
      </c>
      <c r="C3016" s="54">
        <f>IF(_imp!$C$3018="","",INDEX(_imp!$F$4:$F$4503,_imp!$C$3018))</f>
        <v/>
      </c>
      <c r="D3016" s="54">
        <f>IF(_imp!$C$3018="","",INDEX(_imp!$G$4:$G$4503,_imp!$C$3018))</f>
        <v/>
      </c>
      <c r="E3016" s="54">
        <f>IF(_imp!$C$3018="","",INDEX(_imp!$H$4:$H$4503,_imp!$C$3018))</f>
        <v/>
      </c>
      <c r="F3016" s="54">
        <f>IF(_imp!$C$3018="","",INDEX(_imp!$I$4:$I$4503,_imp!$C$3018))</f>
        <v/>
      </c>
      <c r="G3016" s="54">
        <f>IF(_imp!$C$3018="","",INDEX(_imp!$J$4:$J$4503,_imp!$C$3018))</f>
        <v/>
      </c>
      <c r="K3016" s="54">
        <f>IF(_imp!$C$3018="","",INDEX(_imp!$K$4:$K$4503,_imp!$C$3018))</f>
        <v/>
      </c>
    </row>
    <row r="3017">
      <c r="A3017" s="54">
        <f>IF(_imp!$C$3019="","",INDEX(_imp!$D$4:$D$4503,_imp!$C$3019))</f>
        <v/>
      </c>
      <c r="B3017" s="54">
        <f>IF(_imp!$C$3019="","",INDEX(_imp!$E$4:$E$4503,_imp!$C$3019))</f>
        <v/>
      </c>
      <c r="C3017" s="54">
        <f>IF(_imp!$C$3019="","",INDEX(_imp!$F$4:$F$4503,_imp!$C$3019))</f>
        <v/>
      </c>
      <c r="D3017" s="54">
        <f>IF(_imp!$C$3019="","",INDEX(_imp!$G$4:$G$4503,_imp!$C$3019))</f>
        <v/>
      </c>
      <c r="E3017" s="54">
        <f>IF(_imp!$C$3019="","",INDEX(_imp!$H$4:$H$4503,_imp!$C$3019))</f>
        <v/>
      </c>
      <c r="F3017" s="54">
        <f>IF(_imp!$C$3019="","",INDEX(_imp!$I$4:$I$4503,_imp!$C$3019))</f>
        <v/>
      </c>
      <c r="G3017" s="54">
        <f>IF(_imp!$C$3019="","",INDEX(_imp!$J$4:$J$4503,_imp!$C$3019))</f>
        <v/>
      </c>
      <c r="K3017" s="54">
        <f>IF(_imp!$C$3019="","",INDEX(_imp!$K$4:$K$4503,_imp!$C$3019))</f>
        <v/>
      </c>
    </row>
    <row r="3018">
      <c r="A3018" s="54">
        <f>IF(_imp!$C$3020="","",INDEX(_imp!$D$4:$D$4503,_imp!$C$3020))</f>
        <v/>
      </c>
      <c r="B3018" s="54">
        <f>IF(_imp!$C$3020="","",INDEX(_imp!$E$4:$E$4503,_imp!$C$3020))</f>
        <v/>
      </c>
      <c r="C3018" s="54">
        <f>IF(_imp!$C$3020="","",INDEX(_imp!$F$4:$F$4503,_imp!$C$3020))</f>
        <v/>
      </c>
      <c r="D3018" s="54">
        <f>IF(_imp!$C$3020="","",INDEX(_imp!$G$4:$G$4503,_imp!$C$3020))</f>
        <v/>
      </c>
      <c r="E3018" s="54">
        <f>IF(_imp!$C$3020="","",INDEX(_imp!$H$4:$H$4503,_imp!$C$3020))</f>
        <v/>
      </c>
      <c r="F3018" s="54">
        <f>IF(_imp!$C$3020="","",INDEX(_imp!$I$4:$I$4503,_imp!$C$3020))</f>
        <v/>
      </c>
      <c r="G3018" s="54">
        <f>IF(_imp!$C$3020="","",INDEX(_imp!$J$4:$J$4503,_imp!$C$3020))</f>
        <v/>
      </c>
      <c r="K3018" s="54">
        <f>IF(_imp!$C$3020="","",INDEX(_imp!$K$4:$K$4503,_imp!$C$3020))</f>
        <v/>
      </c>
    </row>
    <row r="3019">
      <c r="A3019" s="54">
        <f>IF(_imp!$C$3021="","",INDEX(_imp!$D$4:$D$4503,_imp!$C$3021))</f>
        <v/>
      </c>
      <c r="B3019" s="54">
        <f>IF(_imp!$C$3021="","",INDEX(_imp!$E$4:$E$4503,_imp!$C$3021))</f>
        <v/>
      </c>
      <c r="C3019" s="54">
        <f>IF(_imp!$C$3021="","",INDEX(_imp!$F$4:$F$4503,_imp!$C$3021))</f>
        <v/>
      </c>
      <c r="D3019" s="54">
        <f>IF(_imp!$C$3021="","",INDEX(_imp!$G$4:$G$4503,_imp!$C$3021))</f>
        <v/>
      </c>
      <c r="E3019" s="54">
        <f>IF(_imp!$C$3021="","",INDEX(_imp!$H$4:$H$4503,_imp!$C$3021))</f>
        <v/>
      </c>
      <c r="F3019" s="54">
        <f>IF(_imp!$C$3021="","",INDEX(_imp!$I$4:$I$4503,_imp!$C$3021))</f>
        <v/>
      </c>
      <c r="G3019" s="54">
        <f>IF(_imp!$C$3021="","",INDEX(_imp!$J$4:$J$4503,_imp!$C$3021))</f>
        <v/>
      </c>
      <c r="K3019" s="54">
        <f>IF(_imp!$C$3021="","",INDEX(_imp!$K$4:$K$4503,_imp!$C$3021))</f>
        <v/>
      </c>
    </row>
    <row r="3020">
      <c r="A3020" s="54">
        <f>IF(_imp!$C$3022="","",INDEX(_imp!$D$4:$D$4503,_imp!$C$3022))</f>
        <v/>
      </c>
      <c r="B3020" s="54">
        <f>IF(_imp!$C$3022="","",INDEX(_imp!$E$4:$E$4503,_imp!$C$3022))</f>
        <v/>
      </c>
      <c r="C3020" s="54">
        <f>IF(_imp!$C$3022="","",INDEX(_imp!$F$4:$F$4503,_imp!$C$3022))</f>
        <v/>
      </c>
      <c r="D3020" s="54">
        <f>IF(_imp!$C$3022="","",INDEX(_imp!$G$4:$G$4503,_imp!$C$3022))</f>
        <v/>
      </c>
      <c r="E3020" s="54">
        <f>IF(_imp!$C$3022="","",INDEX(_imp!$H$4:$H$4503,_imp!$C$3022))</f>
        <v/>
      </c>
      <c r="F3020" s="54">
        <f>IF(_imp!$C$3022="","",INDEX(_imp!$I$4:$I$4503,_imp!$C$3022))</f>
        <v/>
      </c>
      <c r="G3020" s="54">
        <f>IF(_imp!$C$3022="","",INDEX(_imp!$J$4:$J$4503,_imp!$C$3022))</f>
        <v/>
      </c>
      <c r="K3020" s="54">
        <f>IF(_imp!$C$3022="","",INDEX(_imp!$K$4:$K$4503,_imp!$C$3022))</f>
        <v/>
      </c>
    </row>
    <row r="3021">
      <c r="A3021" s="54">
        <f>IF(_imp!$C$3023="","",INDEX(_imp!$D$4:$D$4503,_imp!$C$3023))</f>
        <v/>
      </c>
      <c r="B3021" s="54">
        <f>IF(_imp!$C$3023="","",INDEX(_imp!$E$4:$E$4503,_imp!$C$3023))</f>
        <v/>
      </c>
      <c r="C3021" s="54">
        <f>IF(_imp!$C$3023="","",INDEX(_imp!$F$4:$F$4503,_imp!$C$3023))</f>
        <v/>
      </c>
      <c r="D3021" s="54">
        <f>IF(_imp!$C$3023="","",INDEX(_imp!$G$4:$G$4503,_imp!$C$3023))</f>
        <v/>
      </c>
      <c r="E3021" s="54">
        <f>IF(_imp!$C$3023="","",INDEX(_imp!$H$4:$H$4503,_imp!$C$3023))</f>
        <v/>
      </c>
      <c r="F3021" s="54">
        <f>IF(_imp!$C$3023="","",INDEX(_imp!$I$4:$I$4503,_imp!$C$3023))</f>
        <v/>
      </c>
      <c r="G3021" s="54">
        <f>IF(_imp!$C$3023="","",INDEX(_imp!$J$4:$J$4503,_imp!$C$3023))</f>
        <v/>
      </c>
      <c r="K3021" s="54">
        <f>IF(_imp!$C$3023="","",INDEX(_imp!$K$4:$K$4503,_imp!$C$3023))</f>
        <v/>
      </c>
    </row>
    <row r="3022">
      <c r="A3022" s="54">
        <f>IF(_imp!$C$3024="","",INDEX(_imp!$D$4:$D$4503,_imp!$C$3024))</f>
        <v/>
      </c>
      <c r="B3022" s="54">
        <f>IF(_imp!$C$3024="","",INDEX(_imp!$E$4:$E$4503,_imp!$C$3024))</f>
        <v/>
      </c>
      <c r="C3022" s="54">
        <f>IF(_imp!$C$3024="","",INDEX(_imp!$F$4:$F$4503,_imp!$C$3024))</f>
        <v/>
      </c>
      <c r="D3022" s="54">
        <f>IF(_imp!$C$3024="","",INDEX(_imp!$G$4:$G$4503,_imp!$C$3024))</f>
        <v/>
      </c>
      <c r="E3022" s="54">
        <f>IF(_imp!$C$3024="","",INDEX(_imp!$H$4:$H$4503,_imp!$C$3024))</f>
        <v/>
      </c>
      <c r="F3022" s="54">
        <f>IF(_imp!$C$3024="","",INDEX(_imp!$I$4:$I$4503,_imp!$C$3024))</f>
        <v/>
      </c>
      <c r="G3022" s="54">
        <f>IF(_imp!$C$3024="","",INDEX(_imp!$J$4:$J$4503,_imp!$C$3024))</f>
        <v/>
      </c>
      <c r="K3022" s="54">
        <f>IF(_imp!$C$3024="","",INDEX(_imp!$K$4:$K$4503,_imp!$C$3024))</f>
        <v/>
      </c>
    </row>
    <row r="3023">
      <c r="A3023" s="54">
        <f>IF(_imp!$C$3025="","",INDEX(_imp!$D$4:$D$4503,_imp!$C$3025))</f>
        <v/>
      </c>
      <c r="B3023" s="54">
        <f>IF(_imp!$C$3025="","",INDEX(_imp!$E$4:$E$4503,_imp!$C$3025))</f>
        <v/>
      </c>
      <c r="C3023" s="54">
        <f>IF(_imp!$C$3025="","",INDEX(_imp!$F$4:$F$4503,_imp!$C$3025))</f>
        <v/>
      </c>
      <c r="D3023" s="54">
        <f>IF(_imp!$C$3025="","",INDEX(_imp!$G$4:$G$4503,_imp!$C$3025))</f>
        <v/>
      </c>
      <c r="E3023" s="54">
        <f>IF(_imp!$C$3025="","",INDEX(_imp!$H$4:$H$4503,_imp!$C$3025))</f>
        <v/>
      </c>
      <c r="F3023" s="54">
        <f>IF(_imp!$C$3025="","",INDEX(_imp!$I$4:$I$4503,_imp!$C$3025))</f>
        <v/>
      </c>
      <c r="G3023" s="54">
        <f>IF(_imp!$C$3025="","",INDEX(_imp!$J$4:$J$4503,_imp!$C$3025))</f>
        <v/>
      </c>
      <c r="K3023" s="54">
        <f>IF(_imp!$C$3025="","",INDEX(_imp!$K$4:$K$4503,_imp!$C$3025))</f>
        <v/>
      </c>
    </row>
    <row r="3024">
      <c r="A3024" s="54">
        <f>IF(_imp!$C$3026="","",INDEX(_imp!$D$4:$D$4503,_imp!$C$3026))</f>
        <v/>
      </c>
      <c r="B3024" s="54">
        <f>IF(_imp!$C$3026="","",INDEX(_imp!$E$4:$E$4503,_imp!$C$3026))</f>
        <v/>
      </c>
      <c r="C3024" s="54">
        <f>IF(_imp!$C$3026="","",INDEX(_imp!$F$4:$F$4503,_imp!$C$3026))</f>
        <v/>
      </c>
      <c r="D3024" s="54">
        <f>IF(_imp!$C$3026="","",INDEX(_imp!$G$4:$G$4503,_imp!$C$3026))</f>
        <v/>
      </c>
      <c r="E3024" s="54">
        <f>IF(_imp!$C$3026="","",INDEX(_imp!$H$4:$H$4503,_imp!$C$3026))</f>
        <v/>
      </c>
      <c r="F3024" s="54">
        <f>IF(_imp!$C$3026="","",INDEX(_imp!$I$4:$I$4503,_imp!$C$3026))</f>
        <v/>
      </c>
      <c r="G3024" s="54">
        <f>IF(_imp!$C$3026="","",INDEX(_imp!$J$4:$J$4503,_imp!$C$3026))</f>
        <v/>
      </c>
      <c r="K3024" s="54">
        <f>IF(_imp!$C$3026="","",INDEX(_imp!$K$4:$K$4503,_imp!$C$3026))</f>
        <v/>
      </c>
    </row>
    <row r="3025">
      <c r="A3025" s="54">
        <f>IF(_imp!$C$3027="","",INDEX(_imp!$D$4:$D$4503,_imp!$C$3027))</f>
        <v/>
      </c>
      <c r="B3025" s="54">
        <f>IF(_imp!$C$3027="","",INDEX(_imp!$E$4:$E$4503,_imp!$C$3027))</f>
        <v/>
      </c>
      <c r="C3025" s="54">
        <f>IF(_imp!$C$3027="","",INDEX(_imp!$F$4:$F$4503,_imp!$C$3027))</f>
        <v/>
      </c>
      <c r="D3025" s="54">
        <f>IF(_imp!$C$3027="","",INDEX(_imp!$G$4:$G$4503,_imp!$C$3027))</f>
        <v/>
      </c>
      <c r="E3025" s="54">
        <f>IF(_imp!$C$3027="","",INDEX(_imp!$H$4:$H$4503,_imp!$C$3027))</f>
        <v/>
      </c>
      <c r="F3025" s="54">
        <f>IF(_imp!$C$3027="","",INDEX(_imp!$I$4:$I$4503,_imp!$C$3027))</f>
        <v/>
      </c>
      <c r="G3025" s="54">
        <f>IF(_imp!$C$3027="","",INDEX(_imp!$J$4:$J$4503,_imp!$C$3027))</f>
        <v/>
      </c>
      <c r="K3025" s="54">
        <f>IF(_imp!$C$3027="","",INDEX(_imp!$K$4:$K$4503,_imp!$C$3027))</f>
        <v/>
      </c>
    </row>
    <row r="3026">
      <c r="A3026" s="54">
        <f>IF(_imp!$C$3028="","",INDEX(_imp!$D$4:$D$4503,_imp!$C$3028))</f>
        <v/>
      </c>
      <c r="B3026" s="54">
        <f>IF(_imp!$C$3028="","",INDEX(_imp!$E$4:$E$4503,_imp!$C$3028))</f>
        <v/>
      </c>
      <c r="C3026" s="54">
        <f>IF(_imp!$C$3028="","",INDEX(_imp!$F$4:$F$4503,_imp!$C$3028))</f>
        <v/>
      </c>
      <c r="D3026" s="54">
        <f>IF(_imp!$C$3028="","",INDEX(_imp!$G$4:$G$4503,_imp!$C$3028))</f>
        <v/>
      </c>
      <c r="E3026" s="54">
        <f>IF(_imp!$C$3028="","",INDEX(_imp!$H$4:$H$4503,_imp!$C$3028))</f>
        <v/>
      </c>
      <c r="F3026" s="54">
        <f>IF(_imp!$C$3028="","",INDEX(_imp!$I$4:$I$4503,_imp!$C$3028))</f>
        <v/>
      </c>
      <c r="G3026" s="54">
        <f>IF(_imp!$C$3028="","",INDEX(_imp!$J$4:$J$4503,_imp!$C$3028))</f>
        <v/>
      </c>
      <c r="K3026" s="54">
        <f>IF(_imp!$C$3028="","",INDEX(_imp!$K$4:$K$4503,_imp!$C$3028))</f>
        <v/>
      </c>
    </row>
    <row r="3027">
      <c r="A3027" s="54">
        <f>IF(_imp!$C$3029="","",INDEX(_imp!$D$4:$D$4503,_imp!$C$3029))</f>
        <v/>
      </c>
      <c r="B3027" s="54">
        <f>IF(_imp!$C$3029="","",INDEX(_imp!$E$4:$E$4503,_imp!$C$3029))</f>
        <v/>
      </c>
      <c r="C3027" s="54">
        <f>IF(_imp!$C$3029="","",INDEX(_imp!$F$4:$F$4503,_imp!$C$3029))</f>
        <v/>
      </c>
      <c r="D3027" s="54">
        <f>IF(_imp!$C$3029="","",INDEX(_imp!$G$4:$G$4503,_imp!$C$3029))</f>
        <v/>
      </c>
      <c r="E3027" s="54">
        <f>IF(_imp!$C$3029="","",INDEX(_imp!$H$4:$H$4503,_imp!$C$3029))</f>
        <v/>
      </c>
      <c r="F3027" s="54">
        <f>IF(_imp!$C$3029="","",INDEX(_imp!$I$4:$I$4503,_imp!$C$3029))</f>
        <v/>
      </c>
      <c r="G3027" s="54">
        <f>IF(_imp!$C$3029="","",INDEX(_imp!$J$4:$J$4503,_imp!$C$3029))</f>
        <v/>
      </c>
      <c r="K3027" s="54">
        <f>IF(_imp!$C$3029="","",INDEX(_imp!$K$4:$K$4503,_imp!$C$3029))</f>
        <v/>
      </c>
    </row>
    <row r="3028">
      <c r="A3028" s="54">
        <f>IF(_imp!$C$3030="","",INDEX(_imp!$D$4:$D$4503,_imp!$C$3030))</f>
        <v/>
      </c>
      <c r="B3028" s="54">
        <f>IF(_imp!$C$3030="","",INDEX(_imp!$E$4:$E$4503,_imp!$C$3030))</f>
        <v/>
      </c>
      <c r="C3028" s="54">
        <f>IF(_imp!$C$3030="","",INDEX(_imp!$F$4:$F$4503,_imp!$C$3030))</f>
        <v/>
      </c>
      <c r="D3028" s="54">
        <f>IF(_imp!$C$3030="","",INDEX(_imp!$G$4:$G$4503,_imp!$C$3030))</f>
        <v/>
      </c>
      <c r="E3028" s="54">
        <f>IF(_imp!$C$3030="","",INDEX(_imp!$H$4:$H$4503,_imp!$C$3030))</f>
        <v/>
      </c>
      <c r="F3028" s="54">
        <f>IF(_imp!$C$3030="","",INDEX(_imp!$I$4:$I$4503,_imp!$C$3030))</f>
        <v/>
      </c>
      <c r="G3028" s="54">
        <f>IF(_imp!$C$3030="","",INDEX(_imp!$J$4:$J$4503,_imp!$C$3030))</f>
        <v/>
      </c>
      <c r="K3028" s="54">
        <f>IF(_imp!$C$3030="","",INDEX(_imp!$K$4:$K$4503,_imp!$C$3030))</f>
        <v/>
      </c>
    </row>
    <row r="3029">
      <c r="A3029" s="54">
        <f>IF(_imp!$C$3031="","",INDEX(_imp!$D$4:$D$4503,_imp!$C$3031))</f>
        <v/>
      </c>
      <c r="B3029" s="54">
        <f>IF(_imp!$C$3031="","",INDEX(_imp!$E$4:$E$4503,_imp!$C$3031))</f>
        <v/>
      </c>
      <c r="C3029" s="54">
        <f>IF(_imp!$C$3031="","",INDEX(_imp!$F$4:$F$4503,_imp!$C$3031))</f>
        <v/>
      </c>
      <c r="D3029" s="54">
        <f>IF(_imp!$C$3031="","",INDEX(_imp!$G$4:$G$4503,_imp!$C$3031))</f>
        <v/>
      </c>
      <c r="E3029" s="54">
        <f>IF(_imp!$C$3031="","",INDEX(_imp!$H$4:$H$4503,_imp!$C$3031))</f>
        <v/>
      </c>
      <c r="F3029" s="54">
        <f>IF(_imp!$C$3031="","",INDEX(_imp!$I$4:$I$4503,_imp!$C$3031))</f>
        <v/>
      </c>
      <c r="G3029" s="54">
        <f>IF(_imp!$C$3031="","",INDEX(_imp!$J$4:$J$4503,_imp!$C$3031))</f>
        <v/>
      </c>
      <c r="K3029" s="54">
        <f>IF(_imp!$C$3031="","",INDEX(_imp!$K$4:$K$4503,_imp!$C$3031))</f>
        <v/>
      </c>
    </row>
    <row r="3030">
      <c r="A3030" s="54">
        <f>IF(_imp!$C$3032="","",INDEX(_imp!$D$4:$D$4503,_imp!$C$3032))</f>
        <v/>
      </c>
      <c r="B3030" s="54">
        <f>IF(_imp!$C$3032="","",INDEX(_imp!$E$4:$E$4503,_imp!$C$3032))</f>
        <v/>
      </c>
      <c r="C3030" s="54">
        <f>IF(_imp!$C$3032="","",INDEX(_imp!$F$4:$F$4503,_imp!$C$3032))</f>
        <v/>
      </c>
      <c r="D3030" s="54">
        <f>IF(_imp!$C$3032="","",INDEX(_imp!$G$4:$G$4503,_imp!$C$3032))</f>
        <v/>
      </c>
      <c r="E3030" s="54">
        <f>IF(_imp!$C$3032="","",INDEX(_imp!$H$4:$H$4503,_imp!$C$3032))</f>
        <v/>
      </c>
      <c r="F3030" s="54">
        <f>IF(_imp!$C$3032="","",INDEX(_imp!$I$4:$I$4503,_imp!$C$3032))</f>
        <v/>
      </c>
      <c r="G3030" s="54">
        <f>IF(_imp!$C$3032="","",INDEX(_imp!$J$4:$J$4503,_imp!$C$3032))</f>
        <v/>
      </c>
      <c r="K3030" s="54">
        <f>IF(_imp!$C$3032="","",INDEX(_imp!$K$4:$K$4503,_imp!$C$3032))</f>
        <v/>
      </c>
    </row>
    <row r="3031">
      <c r="A3031" s="54">
        <f>IF(_imp!$C$3033="","",INDEX(_imp!$D$4:$D$4503,_imp!$C$3033))</f>
        <v/>
      </c>
      <c r="B3031" s="54">
        <f>IF(_imp!$C$3033="","",INDEX(_imp!$E$4:$E$4503,_imp!$C$3033))</f>
        <v/>
      </c>
      <c r="C3031" s="54">
        <f>IF(_imp!$C$3033="","",INDEX(_imp!$F$4:$F$4503,_imp!$C$3033))</f>
        <v/>
      </c>
      <c r="D3031" s="54">
        <f>IF(_imp!$C$3033="","",INDEX(_imp!$G$4:$G$4503,_imp!$C$3033))</f>
        <v/>
      </c>
      <c r="E3031" s="54">
        <f>IF(_imp!$C$3033="","",INDEX(_imp!$H$4:$H$4503,_imp!$C$3033))</f>
        <v/>
      </c>
      <c r="F3031" s="54">
        <f>IF(_imp!$C$3033="","",INDEX(_imp!$I$4:$I$4503,_imp!$C$3033))</f>
        <v/>
      </c>
      <c r="G3031" s="54">
        <f>IF(_imp!$C$3033="","",INDEX(_imp!$J$4:$J$4503,_imp!$C$3033))</f>
        <v/>
      </c>
      <c r="K3031" s="54">
        <f>IF(_imp!$C$3033="","",INDEX(_imp!$K$4:$K$4503,_imp!$C$3033))</f>
        <v/>
      </c>
    </row>
    <row r="3032">
      <c r="A3032" s="54">
        <f>IF(_imp!$C$3034="","",INDEX(_imp!$D$4:$D$4503,_imp!$C$3034))</f>
        <v/>
      </c>
      <c r="B3032" s="54">
        <f>IF(_imp!$C$3034="","",INDEX(_imp!$E$4:$E$4503,_imp!$C$3034))</f>
        <v/>
      </c>
      <c r="C3032" s="54">
        <f>IF(_imp!$C$3034="","",INDEX(_imp!$F$4:$F$4503,_imp!$C$3034))</f>
        <v/>
      </c>
      <c r="D3032" s="54">
        <f>IF(_imp!$C$3034="","",INDEX(_imp!$G$4:$G$4503,_imp!$C$3034))</f>
        <v/>
      </c>
      <c r="E3032" s="54">
        <f>IF(_imp!$C$3034="","",INDEX(_imp!$H$4:$H$4503,_imp!$C$3034))</f>
        <v/>
      </c>
      <c r="F3032" s="54">
        <f>IF(_imp!$C$3034="","",INDEX(_imp!$I$4:$I$4503,_imp!$C$3034))</f>
        <v/>
      </c>
      <c r="G3032" s="54">
        <f>IF(_imp!$C$3034="","",INDEX(_imp!$J$4:$J$4503,_imp!$C$3034))</f>
        <v/>
      </c>
      <c r="K3032" s="54">
        <f>IF(_imp!$C$3034="","",INDEX(_imp!$K$4:$K$4503,_imp!$C$3034))</f>
        <v/>
      </c>
    </row>
    <row r="3033">
      <c r="A3033" s="54">
        <f>IF(_imp!$C$3035="","",INDEX(_imp!$D$4:$D$4503,_imp!$C$3035))</f>
        <v/>
      </c>
      <c r="B3033" s="54">
        <f>IF(_imp!$C$3035="","",INDEX(_imp!$E$4:$E$4503,_imp!$C$3035))</f>
        <v/>
      </c>
      <c r="C3033" s="54">
        <f>IF(_imp!$C$3035="","",INDEX(_imp!$F$4:$F$4503,_imp!$C$3035))</f>
        <v/>
      </c>
      <c r="D3033" s="54">
        <f>IF(_imp!$C$3035="","",INDEX(_imp!$G$4:$G$4503,_imp!$C$3035))</f>
        <v/>
      </c>
      <c r="E3033" s="54">
        <f>IF(_imp!$C$3035="","",INDEX(_imp!$H$4:$H$4503,_imp!$C$3035))</f>
        <v/>
      </c>
      <c r="F3033" s="54">
        <f>IF(_imp!$C$3035="","",INDEX(_imp!$I$4:$I$4503,_imp!$C$3035))</f>
        <v/>
      </c>
      <c r="G3033" s="54">
        <f>IF(_imp!$C$3035="","",INDEX(_imp!$J$4:$J$4503,_imp!$C$3035))</f>
        <v/>
      </c>
      <c r="K3033" s="54">
        <f>IF(_imp!$C$3035="","",INDEX(_imp!$K$4:$K$4503,_imp!$C$3035))</f>
        <v/>
      </c>
    </row>
    <row r="3034">
      <c r="A3034" s="54">
        <f>IF(_imp!$C$3036="","",INDEX(_imp!$D$4:$D$4503,_imp!$C$3036))</f>
        <v/>
      </c>
      <c r="B3034" s="54">
        <f>IF(_imp!$C$3036="","",INDEX(_imp!$E$4:$E$4503,_imp!$C$3036))</f>
        <v/>
      </c>
      <c r="C3034" s="54">
        <f>IF(_imp!$C$3036="","",INDEX(_imp!$F$4:$F$4503,_imp!$C$3036))</f>
        <v/>
      </c>
      <c r="D3034" s="54">
        <f>IF(_imp!$C$3036="","",INDEX(_imp!$G$4:$G$4503,_imp!$C$3036))</f>
        <v/>
      </c>
      <c r="E3034" s="54">
        <f>IF(_imp!$C$3036="","",INDEX(_imp!$H$4:$H$4503,_imp!$C$3036))</f>
        <v/>
      </c>
      <c r="F3034" s="54">
        <f>IF(_imp!$C$3036="","",INDEX(_imp!$I$4:$I$4503,_imp!$C$3036))</f>
        <v/>
      </c>
      <c r="G3034" s="54">
        <f>IF(_imp!$C$3036="","",INDEX(_imp!$J$4:$J$4503,_imp!$C$3036))</f>
        <v/>
      </c>
      <c r="K3034" s="54">
        <f>IF(_imp!$C$3036="","",INDEX(_imp!$K$4:$K$4503,_imp!$C$3036))</f>
        <v/>
      </c>
    </row>
    <row r="3035">
      <c r="A3035" s="54">
        <f>IF(_imp!$C$3037="","",INDEX(_imp!$D$4:$D$4503,_imp!$C$3037))</f>
        <v/>
      </c>
      <c r="B3035" s="54">
        <f>IF(_imp!$C$3037="","",INDEX(_imp!$E$4:$E$4503,_imp!$C$3037))</f>
        <v/>
      </c>
      <c r="C3035" s="54">
        <f>IF(_imp!$C$3037="","",INDEX(_imp!$F$4:$F$4503,_imp!$C$3037))</f>
        <v/>
      </c>
      <c r="D3035" s="54">
        <f>IF(_imp!$C$3037="","",INDEX(_imp!$G$4:$G$4503,_imp!$C$3037))</f>
        <v/>
      </c>
      <c r="E3035" s="54">
        <f>IF(_imp!$C$3037="","",INDEX(_imp!$H$4:$H$4503,_imp!$C$3037))</f>
        <v/>
      </c>
      <c r="F3035" s="54">
        <f>IF(_imp!$C$3037="","",INDEX(_imp!$I$4:$I$4503,_imp!$C$3037))</f>
        <v/>
      </c>
      <c r="G3035" s="54">
        <f>IF(_imp!$C$3037="","",INDEX(_imp!$J$4:$J$4503,_imp!$C$3037))</f>
        <v/>
      </c>
      <c r="K3035" s="54">
        <f>IF(_imp!$C$3037="","",INDEX(_imp!$K$4:$K$4503,_imp!$C$3037))</f>
        <v/>
      </c>
    </row>
    <row r="3036">
      <c r="A3036" s="54">
        <f>IF(_imp!$C$3038="","",INDEX(_imp!$D$4:$D$4503,_imp!$C$3038))</f>
        <v/>
      </c>
      <c r="B3036" s="54">
        <f>IF(_imp!$C$3038="","",INDEX(_imp!$E$4:$E$4503,_imp!$C$3038))</f>
        <v/>
      </c>
      <c r="C3036" s="54">
        <f>IF(_imp!$C$3038="","",INDEX(_imp!$F$4:$F$4503,_imp!$C$3038))</f>
        <v/>
      </c>
      <c r="D3036" s="54">
        <f>IF(_imp!$C$3038="","",INDEX(_imp!$G$4:$G$4503,_imp!$C$3038))</f>
        <v/>
      </c>
      <c r="E3036" s="54">
        <f>IF(_imp!$C$3038="","",INDEX(_imp!$H$4:$H$4503,_imp!$C$3038))</f>
        <v/>
      </c>
      <c r="F3036" s="54">
        <f>IF(_imp!$C$3038="","",INDEX(_imp!$I$4:$I$4503,_imp!$C$3038))</f>
        <v/>
      </c>
      <c r="G3036" s="54">
        <f>IF(_imp!$C$3038="","",INDEX(_imp!$J$4:$J$4503,_imp!$C$3038))</f>
        <v/>
      </c>
      <c r="K3036" s="54">
        <f>IF(_imp!$C$3038="","",INDEX(_imp!$K$4:$K$4503,_imp!$C$3038))</f>
        <v/>
      </c>
    </row>
    <row r="3037">
      <c r="A3037" s="54">
        <f>IF(_imp!$C$3039="","",INDEX(_imp!$D$4:$D$4503,_imp!$C$3039))</f>
        <v/>
      </c>
      <c r="B3037" s="54">
        <f>IF(_imp!$C$3039="","",INDEX(_imp!$E$4:$E$4503,_imp!$C$3039))</f>
        <v/>
      </c>
      <c r="C3037" s="54">
        <f>IF(_imp!$C$3039="","",INDEX(_imp!$F$4:$F$4503,_imp!$C$3039))</f>
        <v/>
      </c>
      <c r="D3037" s="54">
        <f>IF(_imp!$C$3039="","",INDEX(_imp!$G$4:$G$4503,_imp!$C$3039))</f>
        <v/>
      </c>
      <c r="E3037" s="54">
        <f>IF(_imp!$C$3039="","",INDEX(_imp!$H$4:$H$4503,_imp!$C$3039))</f>
        <v/>
      </c>
      <c r="F3037" s="54">
        <f>IF(_imp!$C$3039="","",INDEX(_imp!$I$4:$I$4503,_imp!$C$3039))</f>
        <v/>
      </c>
      <c r="G3037" s="54">
        <f>IF(_imp!$C$3039="","",INDEX(_imp!$J$4:$J$4503,_imp!$C$3039))</f>
        <v/>
      </c>
      <c r="K3037" s="54">
        <f>IF(_imp!$C$3039="","",INDEX(_imp!$K$4:$K$4503,_imp!$C$3039))</f>
        <v/>
      </c>
    </row>
    <row r="3038">
      <c r="A3038" s="54">
        <f>IF(_imp!$C$3040="","",INDEX(_imp!$D$4:$D$4503,_imp!$C$3040))</f>
        <v/>
      </c>
      <c r="B3038" s="54">
        <f>IF(_imp!$C$3040="","",INDEX(_imp!$E$4:$E$4503,_imp!$C$3040))</f>
        <v/>
      </c>
      <c r="C3038" s="54">
        <f>IF(_imp!$C$3040="","",INDEX(_imp!$F$4:$F$4503,_imp!$C$3040))</f>
        <v/>
      </c>
      <c r="D3038" s="54">
        <f>IF(_imp!$C$3040="","",INDEX(_imp!$G$4:$G$4503,_imp!$C$3040))</f>
        <v/>
      </c>
      <c r="E3038" s="54">
        <f>IF(_imp!$C$3040="","",INDEX(_imp!$H$4:$H$4503,_imp!$C$3040))</f>
        <v/>
      </c>
      <c r="F3038" s="54">
        <f>IF(_imp!$C$3040="","",INDEX(_imp!$I$4:$I$4503,_imp!$C$3040))</f>
        <v/>
      </c>
      <c r="G3038" s="54">
        <f>IF(_imp!$C$3040="","",INDEX(_imp!$J$4:$J$4503,_imp!$C$3040))</f>
        <v/>
      </c>
      <c r="K3038" s="54">
        <f>IF(_imp!$C$3040="","",INDEX(_imp!$K$4:$K$4503,_imp!$C$3040))</f>
        <v/>
      </c>
    </row>
    <row r="3039">
      <c r="A3039" s="54">
        <f>IF(_imp!$C$3041="","",INDEX(_imp!$D$4:$D$4503,_imp!$C$3041))</f>
        <v/>
      </c>
      <c r="B3039" s="54">
        <f>IF(_imp!$C$3041="","",INDEX(_imp!$E$4:$E$4503,_imp!$C$3041))</f>
        <v/>
      </c>
      <c r="C3039" s="54">
        <f>IF(_imp!$C$3041="","",INDEX(_imp!$F$4:$F$4503,_imp!$C$3041))</f>
        <v/>
      </c>
      <c r="D3039" s="54">
        <f>IF(_imp!$C$3041="","",INDEX(_imp!$G$4:$G$4503,_imp!$C$3041))</f>
        <v/>
      </c>
      <c r="E3039" s="54">
        <f>IF(_imp!$C$3041="","",INDEX(_imp!$H$4:$H$4503,_imp!$C$3041))</f>
        <v/>
      </c>
      <c r="F3039" s="54">
        <f>IF(_imp!$C$3041="","",INDEX(_imp!$I$4:$I$4503,_imp!$C$3041))</f>
        <v/>
      </c>
      <c r="G3039" s="54">
        <f>IF(_imp!$C$3041="","",INDEX(_imp!$J$4:$J$4503,_imp!$C$3041))</f>
        <v/>
      </c>
      <c r="K3039" s="54">
        <f>IF(_imp!$C$3041="","",INDEX(_imp!$K$4:$K$4503,_imp!$C$3041))</f>
        <v/>
      </c>
    </row>
    <row r="3040">
      <c r="A3040" s="54">
        <f>IF(_imp!$C$3042="","",INDEX(_imp!$D$4:$D$4503,_imp!$C$3042))</f>
        <v/>
      </c>
      <c r="B3040" s="54">
        <f>IF(_imp!$C$3042="","",INDEX(_imp!$E$4:$E$4503,_imp!$C$3042))</f>
        <v/>
      </c>
      <c r="C3040" s="54">
        <f>IF(_imp!$C$3042="","",INDEX(_imp!$F$4:$F$4503,_imp!$C$3042))</f>
        <v/>
      </c>
      <c r="D3040" s="54">
        <f>IF(_imp!$C$3042="","",INDEX(_imp!$G$4:$G$4503,_imp!$C$3042))</f>
        <v/>
      </c>
      <c r="E3040" s="54">
        <f>IF(_imp!$C$3042="","",INDEX(_imp!$H$4:$H$4503,_imp!$C$3042))</f>
        <v/>
      </c>
      <c r="F3040" s="54">
        <f>IF(_imp!$C$3042="","",INDEX(_imp!$I$4:$I$4503,_imp!$C$3042))</f>
        <v/>
      </c>
      <c r="G3040" s="54">
        <f>IF(_imp!$C$3042="","",INDEX(_imp!$J$4:$J$4503,_imp!$C$3042))</f>
        <v/>
      </c>
      <c r="K3040" s="54">
        <f>IF(_imp!$C$3042="","",INDEX(_imp!$K$4:$K$4503,_imp!$C$3042))</f>
        <v/>
      </c>
    </row>
    <row r="3041">
      <c r="A3041" s="54">
        <f>IF(_imp!$C$3043="","",INDEX(_imp!$D$4:$D$4503,_imp!$C$3043))</f>
        <v/>
      </c>
      <c r="B3041" s="54">
        <f>IF(_imp!$C$3043="","",INDEX(_imp!$E$4:$E$4503,_imp!$C$3043))</f>
        <v/>
      </c>
      <c r="C3041" s="54">
        <f>IF(_imp!$C$3043="","",INDEX(_imp!$F$4:$F$4503,_imp!$C$3043))</f>
        <v/>
      </c>
      <c r="D3041" s="54">
        <f>IF(_imp!$C$3043="","",INDEX(_imp!$G$4:$G$4503,_imp!$C$3043))</f>
        <v/>
      </c>
      <c r="E3041" s="54">
        <f>IF(_imp!$C$3043="","",INDEX(_imp!$H$4:$H$4503,_imp!$C$3043))</f>
        <v/>
      </c>
      <c r="F3041" s="54">
        <f>IF(_imp!$C$3043="","",INDEX(_imp!$I$4:$I$4503,_imp!$C$3043))</f>
        <v/>
      </c>
      <c r="G3041" s="54">
        <f>IF(_imp!$C$3043="","",INDEX(_imp!$J$4:$J$4503,_imp!$C$3043))</f>
        <v/>
      </c>
      <c r="K3041" s="54">
        <f>IF(_imp!$C$3043="","",INDEX(_imp!$K$4:$K$4503,_imp!$C$3043))</f>
        <v/>
      </c>
    </row>
    <row r="3042">
      <c r="A3042" s="54">
        <f>IF(_imp!$C$3044="","",INDEX(_imp!$D$4:$D$4503,_imp!$C$3044))</f>
        <v/>
      </c>
      <c r="B3042" s="54">
        <f>IF(_imp!$C$3044="","",INDEX(_imp!$E$4:$E$4503,_imp!$C$3044))</f>
        <v/>
      </c>
      <c r="C3042" s="54">
        <f>IF(_imp!$C$3044="","",INDEX(_imp!$F$4:$F$4503,_imp!$C$3044))</f>
        <v/>
      </c>
      <c r="D3042" s="54">
        <f>IF(_imp!$C$3044="","",INDEX(_imp!$G$4:$G$4503,_imp!$C$3044))</f>
        <v/>
      </c>
      <c r="E3042" s="54">
        <f>IF(_imp!$C$3044="","",INDEX(_imp!$H$4:$H$4503,_imp!$C$3044))</f>
        <v/>
      </c>
      <c r="F3042" s="54">
        <f>IF(_imp!$C$3044="","",INDEX(_imp!$I$4:$I$4503,_imp!$C$3044))</f>
        <v/>
      </c>
      <c r="G3042" s="54">
        <f>IF(_imp!$C$3044="","",INDEX(_imp!$J$4:$J$4503,_imp!$C$3044))</f>
        <v/>
      </c>
      <c r="K3042" s="54">
        <f>IF(_imp!$C$3044="","",INDEX(_imp!$K$4:$K$4503,_imp!$C$3044))</f>
        <v/>
      </c>
    </row>
    <row r="3043">
      <c r="A3043" s="54">
        <f>IF(_imp!$C$3045="","",INDEX(_imp!$D$4:$D$4503,_imp!$C$3045))</f>
        <v/>
      </c>
      <c r="B3043" s="54">
        <f>IF(_imp!$C$3045="","",INDEX(_imp!$E$4:$E$4503,_imp!$C$3045))</f>
        <v/>
      </c>
      <c r="C3043" s="54">
        <f>IF(_imp!$C$3045="","",INDEX(_imp!$F$4:$F$4503,_imp!$C$3045))</f>
        <v/>
      </c>
      <c r="D3043" s="54">
        <f>IF(_imp!$C$3045="","",INDEX(_imp!$G$4:$G$4503,_imp!$C$3045))</f>
        <v/>
      </c>
      <c r="E3043" s="54">
        <f>IF(_imp!$C$3045="","",INDEX(_imp!$H$4:$H$4503,_imp!$C$3045))</f>
        <v/>
      </c>
      <c r="F3043" s="54">
        <f>IF(_imp!$C$3045="","",INDEX(_imp!$I$4:$I$4503,_imp!$C$3045))</f>
        <v/>
      </c>
      <c r="G3043" s="54">
        <f>IF(_imp!$C$3045="","",INDEX(_imp!$J$4:$J$4503,_imp!$C$3045))</f>
        <v/>
      </c>
      <c r="K3043" s="54">
        <f>IF(_imp!$C$3045="","",INDEX(_imp!$K$4:$K$4503,_imp!$C$3045))</f>
        <v/>
      </c>
    </row>
    <row r="3044">
      <c r="A3044" s="54">
        <f>IF(_imp!$C$3046="","",INDEX(_imp!$D$4:$D$4503,_imp!$C$3046))</f>
        <v/>
      </c>
      <c r="B3044" s="54">
        <f>IF(_imp!$C$3046="","",INDEX(_imp!$E$4:$E$4503,_imp!$C$3046))</f>
        <v/>
      </c>
      <c r="C3044" s="54">
        <f>IF(_imp!$C$3046="","",INDEX(_imp!$F$4:$F$4503,_imp!$C$3046))</f>
        <v/>
      </c>
      <c r="D3044" s="54">
        <f>IF(_imp!$C$3046="","",INDEX(_imp!$G$4:$G$4503,_imp!$C$3046))</f>
        <v/>
      </c>
      <c r="E3044" s="54">
        <f>IF(_imp!$C$3046="","",INDEX(_imp!$H$4:$H$4503,_imp!$C$3046))</f>
        <v/>
      </c>
      <c r="F3044" s="54">
        <f>IF(_imp!$C$3046="","",INDEX(_imp!$I$4:$I$4503,_imp!$C$3046))</f>
        <v/>
      </c>
      <c r="G3044" s="54">
        <f>IF(_imp!$C$3046="","",INDEX(_imp!$J$4:$J$4503,_imp!$C$3046))</f>
        <v/>
      </c>
      <c r="K3044" s="54">
        <f>IF(_imp!$C$3046="","",INDEX(_imp!$K$4:$K$4503,_imp!$C$3046))</f>
        <v/>
      </c>
    </row>
    <row r="3045">
      <c r="A3045" s="54">
        <f>IF(_imp!$C$3047="","",INDEX(_imp!$D$4:$D$4503,_imp!$C$3047))</f>
        <v/>
      </c>
      <c r="B3045" s="54">
        <f>IF(_imp!$C$3047="","",INDEX(_imp!$E$4:$E$4503,_imp!$C$3047))</f>
        <v/>
      </c>
      <c r="C3045" s="54">
        <f>IF(_imp!$C$3047="","",INDEX(_imp!$F$4:$F$4503,_imp!$C$3047))</f>
        <v/>
      </c>
      <c r="D3045" s="54">
        <f>IF(_imp!$C$3047="","",INDEX(_imp!$G$4:$G$4503,_imp!$C$3047))</f>
        <v/>
      </c>
      <c r="E3045" s="54">
        <f>IF(_imp!$C$3047="","",INDEX(_imp!$H$4:$H$4503,_imp!$C$3047))</f>
        <v/>
      </c>
      <c r="F3045" s="54">
        <f>IF(_imp!$C$3047="","",INDEX(_imp!$I$4:$I$4503,_imp!$C$3047))</f>
        <v/>
      </c>
      <c r="G3045" s="54">
        <f>IF(_imp!$C$3047="","",INDEX(_imp!$J$4:$J$4503,_imp!$C$3047))</f>
        <v/>
      </c>
      <c r="K3045" s="54">
        <f>IF(_imp!$C$3047="","",INDEX(_imp!$K$4:$K$4503,_imp!$C$3047))</f>
        <v/>
      </c>
    </row>
    <row r="3046">
      <c r="A3046" s="54">
        <f>IF(_imp!$C$3048="","",INDEX(_imp!$D$4:$D$4503,_imp!$C$3048))</f>
        <v/>
      </c>
      <c r="B3046" s="54">
        <f>IF(_imp!$C$3048="","",INDEX(_imp!$E$4:$E$4503,_imp!$C$3048))</f>
        <v/>
      </c>
      <c r="C3046" s="54">
        <f>IF(_imp!$C$3048="","",INDEX(_imp!$F$4:$F$4503,_imp!$C$3048))</f>
        <v/>
      </c>
      <c r="D3046" s="54">
        <f>IF(_imp!$C$3048="","",INDEX(_imp!$G$4:$G$4503,_imp!$C$3048))</f>
        <v/>
      </c>
      <c r="E3046" s="54">
        <f>IF(_imp!$C$3048="","",INDEX(_imp!$H$4:$H$4503,_imp!$C$3048))</f>
        <v/>
      </c>
      <c r="F3046" s="54">
        <f>IF(_imp!$C$3048="","",INDEX(_imp!$I$4:$I$4503,_imp!$C$3048))</f>
        <v/>
      </c>
      <c r="G3046" s="54">
        <f>IF(_imp!$C$3048="","",INDEX(_imp!$J$4:$J$4503,_imp!$C$3048))</f>
        <v/>
      </c>
      <c r="K3046" s="54">
        <f>IF(_imp!$C$3048="","",INDEX(_imp!$K$4:$K$4503,_imp!$C$3048))</f>
        <v/>
      </c>
    </row>
    <row r="3047">
      <c r="A3047" s="54">
        <f>IF(_imp!$C$3049="","",INDEX(_imp!$D$4:$D$4503,_imp!$C$3049))</f>
        <v/>
      </c>
      <c r="B3047" s="54">
        <f>IF(_imp!$C$3049="","",INDEX(_imp!$E$4:$E$4503,_imp!$C$3049))</f>
        <v/>
      </c>
      <c r="C3047" s="54">
        <f>IF(_imp!$C$3049="","",INDEX(_imp!$F$4:$F$4503,_imp!$C$3049))</f>
        <v/>
      </c>
      <c r="D3047" s="54">
        <f>IF(_imp!$C$3049="","",INDEX(_imp!$G$4:$G$4503,_imp!$C$3049))</f>
        <v/>
      </c>
      <c r="E3047" s="54">
        <f>IF(_imp!$C$3049="","",INDEX(_imp!$H$4:$H$4503,_imp!$C$3049))</f>
        <v/>
      </c>
      <c r="F3047" s="54">
        <f>IF(_imp!$C$3049="","",INDEX(_imp!$I$4:$I$4503,_imp!$C$3049))</f>
        <v/>
      </c>
      <c r="G3047" s="54">
        <f>IF(_imp!$C$3049="","",INDEX(_imp!$J$4:$J$4503,_imp!$C$3049))</f>
        <v/>
      </c>
      <c r="K3047" s="54">
        <f>IF(_imp!$C$3049="","",INDEX(_imp!$K$4:$K$4503,_imp!$C$3049))</f>
        <v/>
      </c>
    </row>
    <row r="3048">
      <c r="A3048" s="54">
        <f>IF(_imp!$C$3050="","",INDEX(_imp!$D$4:$D$4503,_imp!$C$3050))</f>
        <v/>
      </c>
      <c r="B3048" s="54">
        <f>IF(_imp!$C$3050="","",INDEX(_imp!$E$4:$E$4503,_imp!$C$3050))</f>
        <v/>
      </c>
      <c r="C3048" s="54">
        <f>IF(_imp!$C$3050="","",INDEX(_imp!$F$4:$F$4503,_imp!$C$3050))</f>
        <v/>
      </c>
      <c r="D3048" s="54">
        <f>IF(_imp!$C$3050="","",INDEX(_imp!$G$4:$G$4503,_imp!$C$3050))</f>
        <v/>
      </c>
      <c r="E3048" s="54">
        <f>IF(_imp!$C$3050="","",INDEX(_imp!$H$4:$H$4503,_imp!$C$3050))</f>
        <v/>
      </c>
      <c r="F3048" s="54">
        <f>IF(_imp!$C$3050="","",INDEX(_imp!$I$4:$I$4503,_imp!$C$3050))</f>
        <v/>
      </c>
      <c r="G3048" s="54">
        <f>IF(_imp!$C$3050="","",INDEX(_imp!$J$4:$J$4503,_imp!$C$3050))</f>
        <v/>
      </c>
      <c r="K3048" s="54">
        <f>IF(_imp!$C$3050="","",INDEX(_imp!$K$4:$K$4503,_imp!$C$3050))</f>
        <v/>
      </c>
    </row>
    <row r="3049">
      <c r="A3049" s="54">
        <f>IF(_imp!$C$3051="","",INDEX(_imp!$D$4:$D$4503,_imp!$C$3051))</f>
        <v/>
      </c>
      <c r="B3049" s="54">
        <f>IF(_imp!$C$3051="","",INDEX(_imp!$E$4:$E$4503,_imp!$C$3051))</f>
        <v/>
      </c>
      <c r="C3049" s="54">
        <f>IF(_imp!$C$3051="","",INDEX(_imp!$F$4:$F$4503,_imp!$C$3051))</f>
        <v/>
      </c>
      <c r="D3049" s="54">
        <f>IF(_imp!$C$3051="","",INDEX(_imp!$G$4:$G$4503,_imp!$C$3051))</f>
        <v/>
      </c>
      <c r="E3049" s="54">
        <f>IF(_imp!$C$3051="","",INDEX(_imp!$H$4:$H$4503,_imp!$C$3051))</f>
        <v/>
      </c>
      <c r="F3049" s="54">
        <f>IF(_imp!$C$3051="","",INDEX(_imp!$I$4:$I$4503,_imp!$C$3051))</f>
        <v/>
      </c>
      <c r="G3049" s="54">
        <f>IF(_imp!$C$3051="","",INDEX(_imp!$J$4:$J$4503,_imp!$C$3051))</f>
        <v/>
      </c>
      <c r="K3049" s="54">
        <f>IF(_imp!$C$3051="","",INDEX(_imp!$K$4:$K$4503,_imp!$C$3051))</f>
        <v/>
      </c>
    </row>
    <row r="3050">
      <c r="A3050" s="54">
        <f>IF(_imp!$C$3052="","",INDEX(_imp!$D$4:$D$4503,_imp!$C$3052))</f>
        <v/>
      </c>
      <c r="B3050" s="54">
        <f>IF(_imp!$C$3052="","",INDEX(_imp!$E$4:$E$4503,_imp!$C$3052))</f>
        <v/>
      </c>
      <c r="C3050" s="54">
        <f>IF(_imp!$C$3052="","",INDEX(_imp!$F$4:$F$4503,_imp!$C$3052))</f>
        <v/>
      </c>
      <c r="D3050" s="54">
        <f>IF(_imp!$C$3052="","",INDEX(_imp!$G$4:$G$4503,_imp!$C$3052))</f>
        <v/>
      </c>
      <c r="E3050" s="54">
        <f>IF(_imp!$C$3052="","",INDEX(_imp!$H$4:$H$4503,_imp!$C$3052))</f>
        <v/>
      </c>
      <c r="F3050" s="54">
        <f>IF(_imp!$C$3052="","",INDEX(_imp!$I$4:$I$4503,_imp!$C$3052))</f>
        <v/>
      </c>
      <c r="G3050" s="54">
        <f>IF(_imp!$C$3052="","",INDEX(_imp!$J$4:$J$4503,_imp!$C$3052))</f>
        <v/>
      </c>
      <c r="K3050" s="54">
        <f>IF(_imp!$C$3052="","",INDEX(_imp!$K$4:$K$4503,_imp!$C$3052))</f>
        <v/>
      </c>
    </row>
    <row r="3051">
      <c r="A3051" s="54">
        <f>IF(_imp!$C$3053="","",INDEX(_imp!$D$4:$D$4503,_imp!$C$3053))</f>
        <v/>
      </c>
      <c r="B3051" s="54">
        <f>IF(_imp!$C$3053="","",INDEX(_imp!$E$4:$E$4503,_imp!$C$3053))</f>
        <v/>
      </c>
      <c r="C3051" s="54">
        <f>IF(_imp!$C$3053="","",INDEX(_imp!$F$4:$F$4503,_imp!$C$3053))</f>
        <v/>
      </c>
      <c r="D3051" s="54">
        <f>IF(_imp!$C$3053="","",INDEX(_imp!$G$4:$G$4503,_imp!$C$3053))</f>
        <v/>
      </c>
      <c r="E3051" s="54">
        <f>IF(_imp!$C$3053="","",INDEX(_imp!$H$4:$H$4503,_imp!$C$3053))</f>
        <v/>
      </c>
      <c r="F3051" s="54">
        <f>IF(_imp!$C$3053="","",INDEX(_imp!$I$4:$I$4503,_imp!$C$3053))</f>
        <v/>
      </c>
      <c r="G3051" s="54">
        <f>IF(_imp!$C$3053="","",INDEX(_imp!$J$4:$J$4503,_imp!$C$3053))</f>
        <v/>
      </c>
      <c r="K3051" s="54">
        <f>IF(_imp!$C$3053="","",INDEX(_imp!$K$4:$K$4503,_imp!$C$3053))</f>
        <v/>
      </c>
    </row>
    <row r="3052">
      <c r="A3052" s="54">
        <f>IF(_imp!$C$3054="","",INDEX(_imp!$D$4:$D$4503,_imp!$C$3054))</f>
        <v/>
      </c>
      <c r="B3052" s="54">
        <f>IF(_imp!$C$3054="","",INDEX(_imp!$E$4:$E$4503,_imp!$C$3054))</f>
        <v/>
      </c>
      <c r="C3052" s="54">
        <f>IF(_imp!$C$3054="","",INDEX(_imp!$F$4:$F$4503,_imp!$C$3054))</f>
        <v/>
      </c>
      <c r="D3052" s="54">
        <f>IF(_imp!$C$3054="","",INDEX(_imp!$G$4:$G$4503,_imp!$C$3054))</f>
        <v/>
      </c>
      <c r="E3052" s="54">
        <f>IF(_imp!$C$3054="","",INDEX(_imp!$H$4:$H$4503,_imp!$C$3054))</f>
        <v/>
      </c>
      <c r="F3052" s="54">
        <f>IF(_imp!$C$3054="","",INDEX(_imp!$I$4:$I$4503,_imp!$C$3054))</f>
        <v/>
      </c>
      <c r="G3052" s="54">
        <f>IF(_imp!$C$3054="","",INDEX(_imp!$J$4:$J$4503,_imp!$C$3054))</f>
        <v/>
      </c>
      <c r="K3052" s="54">
        <f>IF(_imp!$C$3054="","",INDEX(_imp!$K$4:$K$4503,_imp!$C$3054))</f>
        <v/>
      </c>
    </row>
    <row r="3053">
      <c r="A3053" s="54">
        <f>IF(_imp!$C$3055="","",INDEX(_imp!$D$4:$D$4503,_imp!$C$3055))</f>
        <v/>
      </c>
      <c r="B3053" s="54">
        <f>IF(_imp!$C$3055="","",INDEX(_imp!$E$4:$E$4503,_imp!$C$3055))</f>
        <v/>
      </c>
      <c r="C3053" s="54">
        <f>IF(_imp!$C$3055="","",INDEX(_imp!$F$4:$F$4503,_imp!$C$3055))</f>
        <v/>
      </c>
      <c r="D3053" s="54">
        <f>IF(_imp!$C$3055="","",INDEX(_imp!$G$4:$G$4503,_imp!$C$3055))</f>
        <v/>
      </c>
      <c r="E3053" s="54">
        <f>IF(_imp!$C$3055="","",INDEX(_imp!$H$4:$H$4503,_imp!$C$3055))</f>
        <v/>
      </c>
      <c r="F3053" s="54">
        <f>IF(_imp!$C$3055="","",INDEX(_imp!$I$4:$I$4503,_imp!$C$3055))</f>
        <v/>
      </c>
      <c r="G3053" s="54">
        <f>IF(_imp!$C$3055="","",INDEX(_imp!$J$4:$J$4503,_imp!$C$3055))</f>
        <v/>
      </c>
      <c r="K3053" s="54">
        <f>IF(_imp!$C$3055="","",INDEX(_imp!$K$4:$K$4503,_imp!$C$3055))</f>
        <v/>
      </c>
    </row>
    <row r="3054">
      <c r="A3054" s="54">
        <f>IF(_imp!$C$3056="","",INDEX(_imp!$D$4:$D$4503,_imp!$C$3056))</f>
        <v/>
      </c>
      <c r="B3054" s="54">
        <f>IF(_imp!$C$3056="","",INDEX(_imp!$E$4:$E$4503,_imp!$C$3056))</f>
        <v/>
      </c>
      <c r="C3054" s="54">
        <f>IF(_imp!$C$3056="","",INDEX(_imp!$F$4:$F$4503,_imp!$C$3056))</f>
        <v/>
      </c>
      <c r="D3054" s="54">
        <f>IF(_imp!$C$3056="","",INDEX(_imp!$G$4:$G$4503,_imp!$C$3056))</f>
        <v/>
      </c>
      <c r="E3054" s="54">
        <f>IF(_imp!$C$3056="","",INDEX(_imp!$H$4:$H$4503,_imp!$C$3056))</f>
        <v/>
      </c>
      <c r="F3054" s="54">
        <f>IF(_imp!$C$3056="","",INDEX(_imp!$I$4:$I$4503,_imp!$C$3056))</f>
        <v/>
      </c>
      <c r="G3054" s="54">
        <f>IF(_imp!$C$3056="","",INDEX(_imp!$J$4:$J$4503,_imp!$C$3056))</f>
        <v/>
      </c>
      <c r="K3054" s="54">
        <f>IF(_imp!$C$3056="","",INDEX(_imp!$K$4:$K$4503,_imp!$C$3056))</f>
        <v/>
      </c>
    </row>
    <row r="3055">
      <c r="A3055" s="54">
        <f>IF(_imp!$C$3057="","",INDEX(_imp!$D$4:$D$4503,_imp!$C$3057))</f>
        <v/>
      </c>
      <c r="B3055" s="54">
        <f>IF(_imp!$C$3057="","",INDEX(_imp!$E$4:$E$4503,_imp!$C$3057))</f>
        <v/>
      </c>
      <c r="C3055" s="54">
        <f>IF(_imp!$C$3057="","",INDEX(_imp!$F$4:$F$4503,_imp!$C$3057))</f>
        <v/>
      </c>
      <c r="D3055" s="54">
        <f>IF(_imp!$C$3057="","",INDEX(_imp!$G$4:$G$4503,_imp!$C$3057))</f>
        <v/>
      </c>
      <c r="E3055" s="54">
        <f>IF(_imp!$C$3057="","",INDEX(_imp!$H$4:$H$4503,_imp!$C$3057))</f>
        <v/>
      </c>
      <c r="F3055" s="54">
        <f>IF(_imp!$C$3057="","",INDEX(_imp!$I$4:$I$4503,_imp!$C$3057))</f>
        <v/>
      </c>
      <c r="G3055" s="54">
        <f>IF(_imp!$C$3057="","",INDEX(_imp!$J$4:$J$4503,_imp!$C$3057))</f>
        <v/>
      </c>
      <c r="K3055" s="54">
        <f>IF(_imp!$C$3057="","",INDEX(_imp!$K$4:$K$4503,_imp!$C$3057))</f>
        <v/>
      </c>
    </row>
    <row r="3056">
      <c r="A3056" s="54">
        <f>IF(_imp!$C$3058="","",INDEX(_imp!$D$4:$D$4503,_imp!$C$3058))</f>
        <v/>
      </c>
      <c r="B3056" s="54">
        <f>IF(_imp!$C$3058="","",INDEX(_imp!$E$4:$E$4503,_imp!$C$3058))</f>
        <v/>
      </c>
      <c r="C3056" s="54">
        <f>IF(_imp!$C$3058="","",INDEX(_imp!$F$4:$F$4503,_imp!$C$3058))</f>
        <v/>
      </c>
      <c r="D3056" s="54">
        <f>IF(_imp!$C$3058="","",INDEX(_imp!$G$4:$G$4503,_imp!$C$3058))</f>
        <v/>
      </c>
      <c r="E3056" s="54">
        <f>IF(_imp!$C$3058="","",INDEX(_imp!$H$4:$H$4503,_imp!$C$3058))</f>
        <v/>
      </c>
      <c r="F3056" s="54">
        <f>IF(_imp!$C$3058="","",INDEX(_imp!$I$4:$I$4503,_imp!$C$3058))</f>
        <v/>
      </c>
      <c r="G3056" s="54">
        <f>IF(_imp!$C$3058="","",INDEX(_imp!$J$4:$J$4503,_imp!$C$3058))</f>
        <v/>
      </c>
      <c r="K3056" s="54">
        <f>IF(_imp!$C$3058="","",INDEX(_imp!$K$4:$K$4503,_imp!$C$3058))</f>
        <v/>
      </c>
    </row>
    <row r="3057">
      <c r="A3057" s="54">
        <f>IF(_imp!$C$3059="","",INDEX(_imp!$D$4:$D$4503,_imp!$C$3059))</f>
        <v/>
      </c>
      <c r="B3057" s="54">
        <f>IF(_imp!$C$3059="","",INDEX(_imp!$E$4:$E$4503,_imp!$C$3059))</f>
        <v/>
      </c>
      <c r="C3057" s="54">
        <f>IF(_imp!$C$3059="","",INDEX(_imp!$F$4:$F$4503,_imp!$C$3059))</f>
        <v/>
      </c>
      <c r="D3057" s="54">
        <f>IF(_imp!$C$3059="","",INDEX(_imp!$G$4:$G$4503,_imp!$C$3059))</f>
        <v/>
      </c>
      <c r="E3057" s="54">
        <f>IF(_imp!$C$3059="","",INDEX(_imp!$H$4:$H$4503,_imp!$C$3059))</f>
        <v/>
      </c>
      <c r="F3057" s="54">
        <f>IF(_imp!$C$3059="","",INDEX(_imp!$I$4:$I$4503,_imp!$C$3059))</f>
        <v/>
      </c>
      <c r="G3057" s="54">
        <f>IF(_imp!$C$3059="","",INDEX(_imp!$J$4:$J$4503,_imp!$C$3059))</f>
        <v/>
      </c>
      <c r="K3057" s="54">
        <f>IF(_imp!$C$3059="","",INDEX(_imp!$K$4:$K$4503,_imp!$C$3059))</f>
        <v/>
      </c>
    </row>
    <row r="3058">
      <c r="A3058" s="54">
        <f>IF(_imp!$C$3060="","",INDEX(_imp!$D$4:$D$4503,_imp!$C$3060))</f>
        <v/>
      </c>
      <c r="B3058" s="54">
        <f>IF(_imp!$C$3060="","",INDEX(_imp!$E$4:$E$4503,_imp!$C$3060))</f>
        <v/>
      </c>
      <c r="C3058" s="54">
        <f>IF(_imp!$C$3060="","",INDEX(_imp!$F$4:$F$4503,_imp!$C$3060))</f>
        <v/>
      </c>
      <c r="D3058" s="54">
        <f>IF(_imp!$C$3060="","",INDEX(_imp!$G$4:$G$4503,_imp!$C$3060))</f>
        <v/>
      </c>
      <c r="E3058" s="54">
        <f>IF(_imp!$C$3060="","",INDEX(_imp!$H$4:$H$4503,_imp!$C$3060))</f>
        <v/>
      </c>
      <c r="F3058" s="54">
        <f>IF(_imp!$C$3060="","",INDEX(_imp!$I$4:$I$4503,_imp!$C$3060))</f>
        <v/>
      </c>
      <c r="G3058" s="54">
        <f>IF(_imp!$C$3060="","",INDEX(_imp!$J$4:$J$4503,_imp!$C$3060))</f>
        <v/>
      </c>
      <c r="K3058" s="54">
        <f>IF(_imp!$C$3060="","",INDEX(_imp!$K$4:$K$4503,_imp!$C$3060))</f>
        <v/>
      </c>
    </row>
    <row r="3059">
      <c r="A3059" s="54">
        <f>IF(_imp!$C$3061="","",INDEX(_imp!$D$4:$D$4503,_imp!$C$3061))</f>
        <v/>
      </c>
      <c r="B3059" s="54">
        <f>IF(_imp!$C$3061="","",INDEX(_imp!$E$4:$E$4503,_imp!$C$3061))</f>
        <v/>
      </c>
      <c r="C3059" s="54">
        <f>IF(_imp!$C$3061="","",INDEX(_imp!$F$4:$F$4503,_imp!$C$3061))</f>
        <v/>
      </c>
      <c r="D3059" s="54">
        <f>IF(_imp!$C$3061="","",INDEX(_imp!$G$4:$G$4503,_imp!$C$3061))</f>
        <v/>
      </c>
      <c r="E3059" s="54">
        <f>IF(_imp!$C$3061="","",INDEX(_imp!$H$4:$H$4503,_imp!$C$3061))</f>
        <v/>
      </c>
      <c r="F3059" s="54">
        <f>IF(_imp!$C$3061="","",INDEX(_imp!$I$4:$I$4503,_imp!$C$3061))</f>
        <v/>
      </c>
      <c r="G3059" s="54">
        <f>IF(_imp!$C$3061="","",INDEX(_imp!$J$4:$J$4503,_imp!$C$3061))</f>
        <v/>
      </c>
      <c r="K3059" s="54">
        <f>IF(_imp!$C$3061="","",INDEX(_imp!$K$4:$K$4503,_imp!$C$3061))</f>
        <v/>
      </c>
    </row>
    <row r="3060">
      <c r="A3060" s="54">
        <f>IF(_imp!$C$3062="","",INDEX(_imp!$D$4:$D$4503,_imp!$C$3062))</f>
        <v/>
      </c>
      <c r="B3060" s="54">
        <f>IF(_imp!$C$3062="","",INDEX(_imp!$E$4:$E$4503,_imp!$C$3062))</f>
        <v/>
      </c>
      <c r="C3060" s="54">
        <f>IF(_imp!$C$3062="","",INDEX(_imp!$F$4:$F$4503,_imp!$C$3062))</f>
        <v/>
      </c>
      <c r="D3060" s="54">
        <f>IF(_imp!$C$3062="","",INDEX(_imp!$G$4:$G$4503,_imp!$C$3062))</f>
        <v/>
      </c>
      <c r="E3060" s="54">
        <f>IF(_imp!$C$3062="","",INDEX(_imp!$H$4:$H$4503,_imp!$C$3062))</f>
        <v/>
      </c>
      <c r="F3060" s="54">
        <f>IF(_imp!$C$3062="","",INDEX(_imp!$I$4:$I$4503,_imp!$C$3062))</f>
        <v/>
      </c>
      <c r="G3060" s="54">
        <f>IF(_imp!$C$3062="","",INDEX(_imp!$J$4:$J$4503,_imp!$C$3062))</f>
        <v/>
      </c>
      <c r="K3060" s="54">
        <f>IF(_imp!$C$3062="","",INDEX(_imp!$K$4:$K$4503,_imp!$C$3062))</f>
        <v/>
      </c>
    </row>
    <row r="3061">
      <c r="A3061" s="54">
        <f>IF(_imp!$C$3063="","",INDEX(_imp!$D$4:$D$4503,_imp!$C$3063))</f>
        <v/>
      </c>
      <c r="B3061" s="54">
        <f>IF(_imp!$C$3063="","",INDEX(_imp!$E$4:$E$4503,_imp!$C$3063))</f>
        <v/>
      </c>
      <c r="C3061" s="54">
        <f>IF(_imp!$C$3063="","",INDEX(_imp!$F$4:$F$4503,_imp!$C$3063))</f>
        <v/>
      </c>
      <c r="D3061" s="54">
        <f>IF(_imp!$C$3063="","",INDEX(_imp!$G$4:$G$4503,_imp!$C$3063))</f>
        <v/>
      </c>
      <c r="E3061" s="54">
        <f>IF(_imp!$C$3063="","",INDEX(_imp!$H$4:$H$4503,_imp!$C$3063))</f>
        <v/>
      </c>
      <c r="F3061" s="54">
        <f>IF(_imp!$C$3063="","",INDEX(_imp!$I$4:$I$4503,_imp!$C$3063))</f>
        <v/>
      </c>
      <c r="G3061" s="54">
        <f>IF(_imp!$C$3063="","",INDEX(_imp!$J$4:$J$4503,_imp!$C$3063))</f>
        <v/>
      </c>
      <c r="K3061" s="54">
        <f>IF(_imp!$C$3063="","",INDEX(_imp!$K$4:$K$4503,_imp!$C$3063))</f>
        <v/>
      </c>
    </row>
    <row r="3062">
      <c r="A3062" s="54">
        <f>IF(_imp!$C$3064="","",INDEX(_imp!$D$4:$D$4503,_imp!$C$3064))</f>
        <v/>
      </c>
      <c r="B3062" s="54">
        <f>IF(_imp!$C$3064="","",INDEX(_imp!$E$4:$E$4503,_imp!$C$3064))</f>
        <v/>
      </c>
      <c r="C3062" s="54">
        <f>IF(_imp!$C$3064="","",INDEX(_imp!$F$4:$F$4503,_imp!$C$3064))</f>
        <v/>
      </c>
      <c r="D3062" s="54">
        <f>IF(_imp!$C$3064="","",INDEX(_imp!$G$4:$G$4503,_imp!$C$3064))</f>
        <v/>
      </c>
      <c r="E3062" s="54">
        <f>IF(_imp!$C$3064="","",INDEX(_imp!$H$4:$H$4503,_imp!$C$3064))</f>
        <v/>
      </c>
      <c r="F3062" s="54">
        <f>IF(_imp!$C$3064="","",INDEX(_imp!$I$4:$I$4503,_imp!$C$3064))</f>
        <v/>
      </c>
      <c r="G3062" s="54">
        <f>IF(_imp!$C$3064="","",INDEX(_imp!$J$4:$J$4503,_imp!$C$3064))</f>
        <v/>
      </c>
      <c r="K3062" s="54">
        <f>IF(_imp!$C$3064="","",INDEX(_imp!$K$4:$K$4503,_imp!$C$3064))</f>
        <v/>
      </c>
    </row>
    <row r="3063">
      <c r="A3063" s="54">
        <f>IF(_imp!$C$3065="","",INDEX(_imp!$D$4:$D$4503,_imp!$C$3065))</f>
        <v/>
      </c>
      <c r="B3063" s="54">
        <f>IF(_imp!$C$3065="","",INDEX(_imp!$E$4:$E$4503,_imp!$C$3065))</f>
        <v/>
      </c>
      <c r="C3063" s="54">
        <f>IF(_imp!$C$3065="","",INDEX(_imp!$F$4:$F$4503,_imp!$C$3065))</f>
        <v/>
      </c>
      <c r="D3063" s="54">
        <f>IF(_imp!$C$3065="","",INDEX(_imp!$G$4:$G$4503,_imp!$C$3065))</f>
        <v/>
      </c>
      <c r="E3063" s="54">
        <f>IF(_imp!$C$3065="","",INDEX(_imp!$H$4:$H$4503,_imp!$C$3065))</f>
        <v/>
      </c>
      <c r="F3063" s="54">
        <f>IF(_imp!$C$3065="","",INDEX(_imp!$I$4:$I$4503,_imp!$C$3065))</f>
        <v/>
      </c>
      <c r="G3063" s="54">
        <f>IF(_imp!$C$3065="","",INDEX(_imp!$J$4:$J$4503,_imp!$C$3065))</f>
        <v/>
      </c>
      <c r="K3063" s="54">
        <f>IF(_imp!$C$3065="","",INDEX(_imp!$K$4:$K$4503,_imp!$C$3065))</f>
        <v/>
      </c>
    </row>
    <row r="3064">
      <c r="A3064" s="54">
        <f>IF(_imp!$C$3066="","",INDEX(_imp!$D$4:$D$4503,_imp!$C$3066))</f>
        <v/>
      </c>
      <c r="B3064" s="54">
        <f>IF(_imp!$C$3066="","",INDEX(_imp!$E$4:$E$4503,_imp!$C$3066))</f>
        <v/>
      </c>
      <c r="C3064" s="54">
        <f>IF(_imp!$C$3066="","",INDEX(_imp!$F$4:$F$4503,_imp!$C$3066))</f>
        <v/>
      </c>
      <c r="D3064" s="54">
        <f>IF(_imp!$C$3066="","",INDEX(_imp!$G$4:$G$4503,_imp!$C$3066))</f>
        <v/>
      </c>
      <c r="E3064" s="54">
        <f>IF(_imp!$C$3066="","",INDEX(_imp!$H$4:$H$4503,_imp!$C$3066))</f>
        <v/>
      </c>
      <c r="F3064" s="54">
        <f>IF(_imp!$C$3066="","",INDEX(_imp!$I$4:$I$4503,_imp!$C$3066))</f>
        <v/>
      </c>
      <c r="G3064" s="54">
        <f>IF(_imp!$C$3066="","",INDEX(_imp!$J$4:$J$4503,_imp!$C$3066))</f>
        <v/>
      </c>
      <c r="K3064" s="54">
        <f>IF(_imp!$C$3066="","",INDEX(_imp!$K$4:$K$4503,_imp!$C$3066))</f>
        <v/>
      </c>
    </row>
    <row r="3065">
      <c r="A3065" s="54">
        <f>IF(_imp!$C$3067="","",INDEX(_imp!$D$4:$D$4503,_imp!$C$3067))</f>
        <v/>
      </c>
      <c r="B3065" s="54">
        <f>IF(_imp!$C$3067="","",INDEX(_imp!$E$4:$E$4503,_imp!$C$3067))</f>
        <v/>
      </c>
      <c r="C3065" s="54">
        <f>IF(_imp!$C$3067="","",INDEX(_imp!$F$4:$F$4503,_imp!$C$3067))</f>
        <v/>
      </c>
      <c r="D3065" s="54">
        <f>IF(_imp!$C$3067="","",INDEX(_imp!$G$4:$G$4503,_imp!$C$3067))</f>
        <v/>
      </c>
      <c r="E3065" s="54">
        <f>IF(_imp!$C$3067="","",INDEX(_imp!$H$4:$H$4503,_imp!$C$3067))</f>
        <v/>
      </c>
      <c r="F3065" s="54">
        <f>IF(_imp!$C$3067="","",INDEX(_imp!$I$4:$I$4503,_imp!$C$3067))</f>
        <v/>
      </c>
      <c r="G3065" s="54">
        <f>IF(_imp!$C$3067="","",INDEX(_imp!$J$4:$J$4503,_imp!$C$3067))</f>
        <v/>
      </c>
      <c r="K3065" s="54">
        <f>IF(_imp!$C$3067="","",INDEX(_imp!$K$4:$K$4503,_imp!$C$3067))</f>
        <v/>
      </c>
    </row>
    <row r="3066">
      <c r="A3066" s="54">
        <f>IF(_imp!$C$3068="","",INDEX(_imp!$D$4:$D$4503,_imp!$C$3068))</f>
        <v/>
      </c>
      <c r="B3066" s="54">
        <f>IF(_imp!$C$3068="","",INDEX(_imp!$E$4:$E$4503,_imp!$C$3068))</f>
        <v/>
      </c>
      <c r="C3066" s="54">
        <f>IF(_imp!$C$3068="","",INDEX(_imp!$F$4:$F$4503,_imp!$C$3068))</f>
        <v/>
      </c>
      <c r="D3066" s="54">
        <f>IF(_imp!$C$3068="","",INDEX(_imp!$G$4:$G$4503,_imp!$C$3068))</f>
        <v/>
      </c>
      <c r="E3066" s="54">
        <f>IF(_imp!$C$3068="","",INDEX(_imp!$H$4:$H$4503,_imp!$C$3068))</f>
        <v/>
      </c>
      <c r="F3066" s="54">
        <f>IF(_imp!$C$3068="","",INDEX(_imp!$I$4:$I$4503,_imp!$C$3068))</f>
        <v/>
      </c>
      <c r="G3066" s="54">
        <f>IF(_imp!$C$3068="","",INDEX(_imp!$J$4:$J$4503,_imp!$C$3068))</f>
        <v/>
      </c>
      <c r="K3066" s="54">
        <f>IF(_imp!$C$3068="","",INDEX(_imp!$K$4:$K$4503,_imp!$C$3068))</f>
        <v/>
      </c>
    </row>
    <row r="3067">
      <c r="A3067" s="54">
        <f>IF(_imp!$C$3069="","",INDEX(_imp!$D$4:$D$4503,_imp!$C$3069))</f>
        <v/>
      </c>
      <c r="B3067" s="54">
        <f>IF(_imp!$C$3069="","",INDEX(_imp!$E$4:$E$4503,_imp!$C$3069))</f>
        <v/>
      </c>
      <c r="C3067" s="54">
        <f>IF(_imp!$C$3069="","",INDEX(_imp!$F$4:$F$4503,_imp!$C$3069))</f>
        <v/>
      </c>
      <c r="D3067" s="54">
        <f>IF(_imp!$C$3069="","",INDEX(_imp!$G$4:$G$4503,_imp!$C$3069))</f>
        <v/>
      </c>
      <c r="E3067" s="54">
        <f>IF(_imp!$C$3069="","",INDEX(_imp!$H$4:$H$4503,_imp!$C$3069))</f>
        <v/>
      </c>
      <c r="F3067" s="54">
        <f>IF(_imp!$C$3069="","",INDEX(_imp!$I$4:$I$4503,_imp!$C$3069))</f>
        <v/>
      </c>
      <c r="G3067" s="54">
        <f>IF(_imp!$C$3069="","",INDEX(_imp!$J$4:$J$4503,_imp!$C$3069))</f>
        <v/>
      </c>
      <c r="K3067" s="54">
        <f>IF(_imp!$C$3069="","",INDEX(_imp!$K$4:$K$4503,_imp!$C$3069))</f>
        <v/>
      </c>
    </row>
    <row r="3068">
      <c r="A3068" s="54">
        <f>IF(_imp!$C$3070="","",INDEX(_imp!$D$4:$D$4503,_imp!$C$3070))</f>
        <v/>
      </c>
      <c r="B3068" s="54">
        <f>IF(_imp!$C$3070="","",INDEX(_imp!$E$4:$E$4503,_imp!$C$3070))</f>
        <v/>
      </c>
      <c r="C3068" s="54">
        <f>IF(_imp!$C$3070="","",INDEX(_imp!$F$4:$F$4503,_imp!$C$3070))</f>
        <v/>
      </c>
      <c r="D3068" s="54">
        <f>IF(_imp!$C$3070="","",INDEX(_imp!$G$4:$G$4503,_imp!$C$3070))</f>
        <v/>
      </c>
      <c r="E3068" s="54">
        <f>IF(_imp!$C$3070="","",INDEX(_imp!$H$4:$H$4503,_imp!$C$3070))</f>
        <v/>
      </c>
      <c r="F3068" s="54">
        <f>IF(_imp!$C$3070="","",INDEX(_imp!$I$4:$I$4503,_imp!$C$3070))</f>
        <v/>
      </c>
      <c r="G3068" s="54">
        <f>IF(_imp!$C$3070="","",INDEX(_imp!$J$4:$J$4503,_imp!$C$3070))</f>
        <v/>
      </c>
      <c r="K3068" s="54">
        <f>IF(_imp!$C$3070="","",INDEX(_imp!$K$4:$K$4503,_imp!$C$3070))</f>
        <v/>
      </c>
    </row>
    <row r="3069">
      <c r="A3069" s="54">
        <f>IF(_imp!$C$3071="","",INDEX(_imp!$D$4:$D$4503,_imp!$C$3071))</f>
        <v/>
      </c>
      <c r="B3069" s="54">
        <f>IF(_imp!$C$3071="","",INDEX(_imp!$E$4:$E$4503,_imp!$C$3071))</f>
        <v/>
      </c>
      <c r="C3069" s="54">
        <f>IF(_imp!$C$3071="","",INDEX(_imp!$F$4:$F$4503,_imp!$C$3071))</f>
        <v/>
      </c>
      <c r="D3069" s="54">
        <f>IF(_imp!$C$3071="","",INDEX(_imp!$G$4:$G$4503,_imp!$C$3071))</f>
        <v/>
      </c>
      <c r="E3069" s="54">
        <f>IF(_imp!$C$3071="","",INDEX(_imp!$H$4:$H$4503,_imp!$C$3071))</f>
        <v/>
      </c>
      <c r="F3069" s="54">
        <f>IF(_imp!$C$3071="","",INDEX(_imp!$I$4:$I$4503,_imp!$C$3071))</f>
        <v/>
      </c>
      <c r="G3069" s="54">
        <f>IF(_imp!$C$3071="","",INDEX(_imp!$J$4:$J$4503,_imp!$C$3071))</f>
        <v/>
      </c>
      <c r="K3069" s="54">
        <f>IF(_imp!$C$3071="","",INDEX(_imp!$K$4:$K$4503,_imp!$C$3071))</f>
        <v/>
      </c>
    </row>
    <row r="3070">
      <c r="A3070" s="54">
        <f>IF(_imp!$C$3072="","",INDEX(_imp!$D$4:$D$4503,_imp!$C$3072))</f>
        <v/>
      </c>
      <c r="B3070" s="54">
        <f>IF(_imp!$C$3072="","",INDEX(_imp!$E$4:$E$4503,_imp!$C$3072))</f>
        <v/>
      </c>
      <c r="C3070" s="54">
        <f>IF(_imp!$C$3072="","",INDEX(_imp!$F$4:$F$4503,_imp!$C$3072))</f>
        <v/>
      </c>
      <c r="D3070" s="54">
        <f>IF(_imp!$C$3072="","",INDEX(_imp!$G$4:$G$4503,_imp!$C$3072))</f>
        <v/>
      </c>
      <c r="E3070" s="54">
        <f>IF(_imp!$C$3072="","",INDEX(_imp!$H$4:$H$4503,_imp!$C$3072))</f>
        <v/>
      </c>
      <c r="F3070" s="54">
        <f>IF(_imp!$C$3072="","",INDEX(_imp!$I$4:$I$4503,_imp!$C$3072))</f>
        <v/>
      </c>
      <c r="G3070" s="54">
        <f>IF(_imp!$C$3072="","",INDEX(_imp!$J$4:$J$4503,_imp!$C$3072))</f>
        <v/>
      </c>
      <c r="K3070" s="54">
        <f>IF(_imp!$C$3072="","",INDEX(_imp!$K$4:$K$4503,_imp!$C$3072))</f>
        <v/>
      </c>
    </row>
    <row r="3071">
      <c r="A3071" s="54">
        <f>IF(_imp!$C$3073="","",INDEX(_imp!$D$4:$D$4503,_imp!$C$3073))</f>
        <v/>
      </c>
      <c r="B3071" s="54">
        <f>IF(_imp!$C$3073="","",INDEX(_imp!$E$4:$E$4503,_imp!$C$3073))</f>
        <v/>
      </c>
      <c r="C3071" s="54">
        <f>IF(_imp!$C$3073="","",INDEX(_imp!$F$4:$F$4503,_imp!$C$3073))</f>
        <v/>
      </c>
      <c r="D3071" s="54">
        <f>IF(_imp!$C$3073="","",INDEX(_imp!$G$4:$G$4503,_imp!$C$3073))</f>
        <v/>
      </c>
      <c r="E3071" s="54">
        <f>IF(_imp!$C$3073="","",INDEX(_imp!$H$4:$H$4503,_imp!$C$3073))</f>
        <v/>
      </c>
      <c r="F3071" s="54">
        <f>IF(_imp!$C$3073="","",INDEX(_imp!$I$4:$I$4503,_imp!$C$3073))</f>
        <v/>
      </c>
      <c r="G3071" s="54">
        <f>IF(_imp!$C$3073="","",INDEX(_imp!$J$4:$J$4503,_imp!$C$3073))</f>
        <v/>
      </c>
      <c r="K3071" s="54">
        <f>IF(_imp!$C$3073="","",INDEX(_imp!$K$4:$K$4503,_imp!$C$3073))</f>
        <v/>
      </c>
    </row>
    <row r="3072">
      <c r="A3072" s="54">
        <f>IF(_imp!$C$3074="","",INDEX(_imp!$D$4:$D$4503,_imp!$C$3074))</f>
        <v/>
      </c>
      <c r="B3072" s="54">
        <f>IF(_imp!$C$3074="","",INDEX(_imp!$E$4:$E$4503,_imp!$C$3074))</f>
        <v/>
      </c>
      <c r="C3072" s="54">
        <f>IF(_imp!$C$3074="","",INDEX(_imp!$F$4:$F$4503,_imp!$C$3074))</f>
        <v/>
      </c>
      <c r="D3072" s="54">
        <f>IF(_imp!$C$3074="","",INDEX(_imp!$G$4:$G$4503,_imp!$C$3074))</f>
        <v/>
      </c>
      <c r="E3072" s="54">
        <f>IF(_imp!$C$3074="","",INDEX(_imp!$H$4:$H$4503,_imp!$C$3074))</f>
        <v/>
      </c>
      <c r="F3072" s="54">
        <f>IF(_imp!$C$3074="","",INDEX(_imp!$I$4:$I$4503,_imp!$C$3074))</f>
        <v/>
      </c>
      <c r="G3072" s="54">
        <f>IF(_imp!$C$3074="","",INDEX(_imp!$J$4:$J$4503,_imp!$C$3074))</f>
        <v/>
      </c>
      <c r="K3072" s="54">
        <f>IF(_imp!$C$3074="","",INDEX(_imp!$K$4:$K$4503,_imp!$C$3074))</f>
        <v/>
      </c>
    </row>
    <row r="3073">
      <c r="A3073" s="54">
        <f>IF(_imp!$C$3075="","",INDEX(_imp!$D$4:$D$4503,_imp!$C$3075))</f>
        <v/>
      </c>
      <c r="B3073" s="54">
        <f>IF(_imp!$C$3075="","",INDEX(_imp!$E$4:$E$4503,_imp!$C$3075))</f>
        <v/>
      </c>
      <c r="C3073" s="54">
        <f>IF(_imp!$C$3075="","",INDEX(_imp!$F$4:$F$4503,_imp!$C$3075))</f>
        <v/>
      </c>
      <c r="D3073" s="54">
        <f>IF(_imp!$C$3075="","",INDEX(_imp!$G$4:$G$4503,_imp!$C$3075))</f>
        <v/>
      </c>
      <c r="E3073" s="54">
        <f>IF(_imp!$C$3075="","",INDEX(_imp!$H$4:$H$4503,_imp!$C$3075))</f>
        <v/>
      </c>
      <c r="F3073" s="54">
        <f>IF(_imp!$C$3075="","",INDEX(_imp!$I$4:$I$4503,_imp!$C$3075))</f>
        <v/>
      </c>
      <c r="G3073" s="54">
        <f>IF(_imp!$C$3075="","",INDEX(_imp!$J$4:$J$4503,_imp!$C$3075))</f>
        <v/>
      </c>
      <c r="K3073" s="54">
        <f>IF(_imp!$C$3075="","",INDEX(_imp!$K$4:$K$4503,_imp!$C$3075))</f>
        <v/>
      </c>
    </row>
    <row r="3074">
      <c r="A3074" s="54">
        <f>IF(_imp!$C$3076="","",INDEX(_imp!$D$4:$D$4503,_imp!$C$3076))</f>
        <v/>
      </c>
      <c r="B3074" s="54">
        <f>IF(_imp!$C$3076="","",INDEX(_imp!$E$4:$E$4503,_imp!$C$3076))</f>
        <v/>
      </c>
      <c r="C3074" s="54">
        <f>IF(_imp!$C$3076="","",INDEX(_imp!$F$4:$F$4503,_imp!$C$3076))</f>
        <v/>
      </c>
      <c r="D3074" s="54">
        <f>IF(_imp!$C$3076="","",INDEX(_imp!$G$4:$G$4503,_imp!$C$3076))</f>
        <v/>
      </c>
      <c r="E3074" s="54">
        <f>IF(_imp!$C$3076="","",INDEX(_imp!$H$4:$H$4503,_imp!$C$3076))</f>
        <v/>
      </c>
      <c r="F3074" s="54">
        <f>IF(_imp!$C$3076="","",INDEX(_imp!$I$4:$I$4503,_imp!$C$3076))</f>
        <v/>
      </c>
      <c r="G3074" s="54">
        <f>IF(_imp!$C$3076="","",INDEX(_imp!$J$4:$J$4503,_imp!$C$3076))</f>
        <v/>
      </c>
      <c r="K3074" s="54">
        <f>IF(_imp!$C$3076="","",INDEX(_imp!$K$4:$K$4503,_imp!$C$3076))</f>
        <v/>
      </c>
    </row>
    <row r="3075">
      <c r="A3075" s="54">
        <f>IF(_imp!$C$3077="","",INDEX(_imp!$D$4:$D$4503,_imp!$C$3077))</f>
        <v/>
      </c>
      <c r="B3075" s="54">
        <f>IF(_imp!$C$3077="","",INDEX(_imp!$E$4:$E$4503,_imp!$C$3077))</f>
        <v/>
      </c>
      <c r="C3075" s="54">
        <f>IF(_imp!$C$3077="","",INDEX(_imp!$F$4:$F$4503,_imp!$C$3077))</f>
        <v/>
      </c>
      <c r="D3075" s="54">
        <f>IF(_imp!$C$3077="","",INDEX(_imp!$G$4:$G$4503,_imp!$C$3077))</f>
        <v/>
      </c>
      <c r="E3075" s="54">
        <f>IF(_imp!$C$3077="","",INDEX(_imp!$H$4:$H$4503,_imp!$C$3077))</f>
        <v/>
      </c>
      <c r="F3075" s="54">
        <f>IF(_imp!$C$3077="","",INDEX(_imp!$I$4:$I$4503,_imp!$C$3077))</f>
        <v/>
      </c>
      <c r="G3075" s="54">
        <f>IF(_imp!$C$3077="","",INDEX(_imp!$J$4:$J$4503,_imp!$C$3077))</f>
        <v/>
      </c>
      <c r="K3075" s="54">
        <f>IF(_imp!$C$3077="","",INDEX(_imp!$K$4:$K$4503,_imp!$C$3077))</f>
        <v/>
      </c>
    </row>
    <row r="3076">
      <c r="A3076" s="54">
        <f>IF(_imp!$C$3078="","",INDEX(_imp!$D$4:$D$4503,_imp!$C$3078))</f>
        <v/>
      </c>
      <c r="B3076" s="54">
        <f>IF(_imp!$C$3078="","",INDEX(_imp!$E$4:$E$4503,_imp!$C$3078))</f>
        <v/>
      </c>
      <c r="C3076" s="54">
        <f>IF(_imp!$C$3078="","",INDEX(_imp!$F$4:$F$4503,_imp!$C$3078))</f>
        <v/>
      </c>
      <c r="D3076" s="54">
        <f>IF(_imp!$C$3078="","",INDEX(_imp!$G$4:$G$4503,_imp!$C$3078))</f>
        <v/>
      </c>
      <c r="E3076" s="54">
        <f>IF(_imp!$C$3078="","",INDEX(_imp!$H$4:$H$4503,_imp!$C$3078))</f>
        <v/>
      </c>
      <c r="F3076" s="54">
        <f>IF(_imp!$C$3078="","",INDEX(_imp!$I$4:$I$4503,_imp!$C$3078))</f>
        <v/>
      </c>
      <c r="G3076" s="54">
        <f>IF(_imp!$C$3078="","",INDEX(_imp!$J$4:$J$4503,_imp!$C$3078))</f>
        <v/>
      </c>
      <c r="K3076" s="54">
        <f>IF(_imp!$C$3078="","",INDEX(_imp!$K$4:$K$4503,_imp!$C$3078))</f>
        <v/>
      </c>
    </row>
    <row r="3077">
      <c r="A3077" s="54">
        <f>IF(_imp!$C$3079="","",INDEX(_imp!$D$4:$D$4503,_imp!$C$3079))</f>
        <v/>
      </c>
      <c r="B3077" s="54">
        <f>IF(_imp!$C$3079="","",INDEX(_imp!$E$4:$E$4503,_imp!$C$3079))</f>
        <v/>
      </c>
      <c r="C3077" s="54">
        <f>IF(_imp!$C$3079="","",INDEX(_imp!$F$4:$F$4503,_imp!$C$3079))</f>
        <v/>
      </c>
      <c r="D3077" s="54">
        <f>IF(_imp!$C$3079="","",INDEX(_imp!$G$4:$G$4503,_imp!$C$3079))</f>
        <v/>
      </c>
      <c r="E3077" s="54">
        <f>IF(_imp!$C$3079="","",INDEX(_imp!$H$4:$H$4503,_imp!$C$3079))</f>
        <v/>
      </c>
      <c r="F3077" s="54">
        <f>IF(_imp!$C$3079="","",INDEX(_imp!$I$4:$I$4503,_imp!$C$3079))</f>
        <v/>
      </c>
      <c r="G3077" s="54">
        <f>IF(_imp!$C$3079="","",INDEX(_imp!$J$4:$J$4503,_imp!$C$3079))</f>
        <v/>
      </c>
      <c r="K3077" s="54">
        <f>IF(_imp!$C$3079="","",INDEX(_imp!$K$4:$K$4503,_imp!$C$3079))</f>
        <v/>
      </c>
    </row>
    <row r="3078">
      <c r="A3078" s="54">
        <f>IF(_imp!$C$3080="","",INDEX(_imp!$D$4:$D$4503,_imp!$C$3080))</f>
        <v/>
      </c>
      <c r="B3078" s="54">
        <f>IF(_imp!$C$3080="","",INDEX(_imp!$E$4:$E$4503,_imp!$C$3080))</f>
        <v/>
      </c>
      <c r="C3078" s="54">
        <f>IF(_imp!$C$3080="","",INDEX(_imp!$F$4:$F$4503,_imp!$C$3080))</f>
        <v/>
      </c>
      <c r="D3078" s="54">
        <f>IF(_imp!$C$3080="","",INDEX(_imp!$G$4:$G$4503,_imp!$C$3080))</f>
        <v/>
      </c>
      <c r="E3078" s="54">
        <f>IF(_imp!$C$3080="","",INDEX(_imp!$H$4:$H$4503,_imp!$C$3080))</f>
        <v/>
      </c>
      <c r="F3078" s="54">
        <f>IF(_imp!$C$3080="","",INDEX(_imp!$I$4:$I$4503,_imp!$C$3080))</f>
        <v/>
      </c>
      <c r="G3078" s="54">
        <f>IF(_imp!$C$3080="","",INDEX(_imp!$J$4:$J$4503,_imp!$C$3080))</f>
        <v/>
      </c>
      <c r="K3078" s="54">
        <f>IF(_imp!$C$3080="","",INDEX(_imp!$K$4:$K$4503,_imp!$C$3080))</f>
        <v/>
      </c>
    </row>
    <row r="3079">
      <c r="A3079" s="54">
        <f>IF(_imp!$C$3081="","",INDEX(_imp!$D$4:$D$4503,_imp!$C$3081))</f>
        <v/>
      </c>
      <c r="B3079" s="54">
        <f>IF(_imp!$C$3081="","",INDEX(_imp!$E$4:$E$4503,_imp!$C$3081))</f>
        <v/>
      </c>
      <c r="C3079" s="54">
        <f>IF(_imp!$C$3081="","",INDEX(_imp!$F$4:$F$4503,_imp!$C$3081))</f>
        <v/>
      </c>
      <c r="D3079" s="54">
        <f>IF(_imp!$C$3081="","",INDEX(_imp!$G$4:$G$4503,_imp!$C$3081))</f>
        <v/>
      </c>
      <c r="E3079" s="54">
        <f>IF(_imp!$C$3081="","",INDEX(_imp!$H$4:$H$4503,_imp!$C$3081))</f>
        <v/>
      </c>
      <c r="F3079" s="54">
        <f>IF(_imp!$C$3081="","",INDEX(_imp!$I$4:$I$4503,_imp!$C$3081))</f>
        <v/>
      </c>
      <c r="G3079" s="54">
        <f>IF(_imp!$C$3081="","",INDEX(_imp!$J$4:$J$4503,_imp!$C$3081))</f>
        <v/>
      </c>
      <c r="K3079" s="54">
        <f>IF(_imp!$C$3081="","",INDEX(_imp!$K$4:$K$4503,_imp!$C$3081))</f>
        <v/>
      </c>
    </row>
    <row r="3080">
      <c r="A3080" s="54">
        <f>IF(_imp!$C$3082="","",INDEX(_imp!$D$4:$D$4503,_imp!$C$3082))</f>
        <v/>
      </c>
      <c r="B3080" s="54">
        <f>IF(_imp!$C$3082="","",INDEX(_imp!$E$4:$E$4503,_imp!$C$3082))</f>
        <v/>
      </c>
      <c r="C3080" s="54">
        <f>IF(_imp!$C$3082="","",INDEX(_imp!$F$4:$F$4503,_imp!$C$3082))</f>
        <v/>
      </c>
      <c r="D3080" s="54">
        <f>IF(_imp!$C$3082="","",INDEX(_imp!$G$4:$G$4503,_imp!$C$3082))</f>
        <v/>
      </c>
      <c r="E3080" s="54">
        <f>IF(_imp!$C$3082="","",INDEX(_imp!$H$4:$H$4503,_imp!$C$3082))</f>
        <v/>
      </c>
      <c r="F3080" s="54">
        <f>IF(_imp!$C$3082="","",INDEX(_imp!$I$4:$I$4503,_imp!$C$3082))</f>
        <v/>
      </c>
      <c r="G3080" s="54">
        <f>IF(_imp!$C$3082="","",INDEX(_imp!$J$4:$J$4503,_imp!$C$3082))</f>
        <v/>
      </c>
      <c r="K3080" s="54">
        <f>IF(_imp!$C$3082="","",INDEX(_imp!$K$4:$K$4503,_imp!$C$3082))</f>
        <v/>
      </c>
    </row>
    <row r="3081">
      <c r="A3081" s="54">
        <f>IF(_imp!$C$3083="","",INDEX(_imp!$D$4:$D$4503,_imp!$C$3083))</f>
        <v/>
      </c>
      <c r="B3081" s="54">
        <f>IF(_imp!$C$3083="","",INDEX(_imp!$E$4:$E$4503,_imp!$C$3083))</f>
        <v/>
      </c>
      <c r="C3081" s="54">
        <f>IF(_imp!$C$3083="","",INDEX(_imp!$F$4:$F$4503,_imp!$C$3083))</f>
        <v/>
      </c>
      <c r="D3081" s="54">
        <f>IF(_imp!$C$3083="","",INDEX(_imp!$G$4:$G$4503,_imp!$C$3083))</f>
        <v/>
      </c>
      <c r="E3081" s="54">
        <f>IF(_imp!$C$3083="","",INDEX(_imp!$H$4:$H$4503,_imp!$C$3083))</f>
        <v/>
      </c>
      <c r="F3081" s="54">
        <f>IF(_imp!$C$3083="","",INDEX(_imp!$I$4:$I$4503,_imp!$C$3083))</f>
        <v/>
      </c>
      <c r="G3081" s="54">
        <f>IF(_imp!$C$3083="","",INDEX(_imp!$J$4:$J$4503,_imp!$C$3083))</f>
        <v/>
      </c>
      <c r="K3081" s="54">
        <f>IF(_imp!$C$3083="","",INDEX(_imp!$K$4:$K$4503,_imp!$C$3083))</f>
        <v/>
      </c>
    </row>
    <row r="3082">
      <c r="A3082" s="54">
        <f>IF(_imp!$C$3084="","",INDEX(_imp!$D$4:$D$4503,_imp!$C$3084))</f>
        <v/>
      </c>
      <c r="B3082" s="54">
        <f>IF(_imp!$C$3084="","",INDEX(_imp!$E$4:$E$4503,_imp!$C$3084))</f>
        <v/>
      </c>
      <c r="C3082" s="54">
        <f>IF(_imp!$C$3084="","",INDEX(_imp!$F$4:$F$4503,_imp!$C$3084))</f>
        <v/>
      </c>
      <c r="D3082" s="54">
        <f>IF(_imp!$C$3084="","",INDEX(_imp!$G$4:$G$4503,_imp!$C$3084))</f>
        <v/>
      </c>
      <c r="E3082" s="54">
        <f>IF(_imp!$C$3084="","",INDEX(_imp!$H$4:$H$4503,_imp!$C$3084))</f>
        <v/>
      </c>
      <c r="F3082" s="54">
        <f>IF(_imp!$C$3084="","",INDEX(_imp!$I$4:$I$4503,_imp!$C$3084))</f>
        <v/>
      </c>
      <c r="G3082" s="54">
        <f>IF(_imp!$C$3084="","",INDEX(_imp!$J$4:$J$4503,_imp!$C$3084))</f>
        <v/>
      </c>
      <c r="K3082" s="54">
        <f>IF(_imp!$C$3084="","",INDEX(_imp!$K$4:$K$4503,_imp!$C$3084))</f>
        <v/>
      </c>
    </row>
    <row r="3083">
      <c r="A3083" s="54">
        <f>IF(_imp!$C$3085="","",INDEX(_imp!$D$4:$D$4503,_imp!$C$3085))</f>
        <v/>
      </c>
      <c r="B3083" s="54">
        <f>IF(_imp!$C$3085="","",INDEX(_imp!$E$4:$E$4503,_imp!$C$3085))</f>
        <v/>
      </c>
      <c r="C3083" s="54">
        <f>IF(_imp!$C$3085="","",INDEX(_imp!$F$4:$F$4503,_imp!$C$3085))</f>
        <v/>
      </c>
      <c r="D3083" s="54">
        <f>IF(_imp!$C$3085="","",INDEX(_imp!$G$4:$G$4503,_imp!$C$3085))</f>
        <v/>
      </c>
      <c r="E3083" s="54">
        <f>IF(_imp!$C$3085="","",INDEX(_imp!$H$4:$H$4503,_imp!$C$3085))</f>
        <v/>
      </c>
      <c r="F3083" s="54">
        <f>IF(_imp!$C$3085="","",INDEX(_imp!$I$4:$I$4503,_imp!$C$3085))</f>
        <v/>
      </c>
      <c r="G3083" s="54">
        <f>IF(_imp!$C$3085="","",INDEX(_imp!$J$4:$J$4503,_imp!$C$3085))</f>
        <v/>
      </c>
      <c r="K3083" s="54">
        <f>IF(_imp!$C$3085="","",INDEX(_imp!$K$4:$K$4503,_imp!$C$3085))</f>
        <v/>
      </c>
    </row>
    <row r="3084">
      <c r="A3084" s="54">
        <f>IF(_imp!$C$3086="","",INDEX(_imp!$D$4:$D$4503,_imp!$C$3086))</f>
        <v/>
      </c>
      <c r="B3084" s="54">
        <f>IF(_imp!$C$3086="","",INDEX(_imp!$E$4:$E$4503,_imp!$C$3086))</f>
        <v/>
      </c>
      <c r="C3084" s="54">
        <f>IF(_imp!$C$3086="","",INDEX(_imp!$F$4:$F$4503,_imp!$C$3086))</f>
        <v/>
      </c>
      <c r="D3084" s="54">
        <f>IF(_imp!$C$3086="","",INDEX(_imp!$G$4:$G$4503,_imp!$C$3086))</f>
        <v/>
      </c>
      <c r="E3084" s="54">
        <f>IF(_imp!$C$3086="","",INDEX(_imp!$H$4:$H$4503,_imp!$C$3086))</f>
        <v/>
      </c>
      <c r="F3084" s="54">
        <f>IF(_imp!$C$3086="","",INDEX(_imp!$I$4:$I$4503,_imp!$C$3086))</f>
        <v/>
      </c>
      <c r="G3084" s="54">
        <f>IF(_imp!$C$3086="","",INDEX(_imp!$J$4:$J$4503,_imp!$C$3086))</f>
        <v/>
      </c>
      <c r="K3084" s="54">
        <f>IF(_imp!$C$3086="","",INDEX(_imp!$K$4:$K$4503,_imp!$C$3086))</f>
        <v/>
      </c>
    </row>
    <row r="3085">
      <c r="A3085" s="54">
        <f>IF(_imp!$C$3087="","",INDEX(_imp!$D$4:$D$4503,_imp!$C$3087))</f>
        <v/>
      </c>
      <c r="B3085" s="54">
        <f>IF(_imp!$C$3087="","",INDEX(_imp!$E$4:$E$4503,_imp!$C$3087))</f>
        <v/>
      </c>
      <c r="C3085" s="54">
        <f>IF(_imp!$C$3087="","",INDEX(_imp!$F$4:$F$4503,_imp!$C$3087))</f>
        <v/>
      </c>
      <c r="D3085" s="54">
        <f>IF(_imp!$C$3087="","",INDEX(_imp!$G$4:$G$4503,_imp!$C$3087))</f>
        <v/>
      </c>
      <c r="E3085" s="54">
        <f>IF(_imp!$C$3087="","",INDEX(_imp!$H$4:$H$4503,_imp!$C$3087))</f>
        <v/>
      </c>
      <c r="F3085" s="54">
        <f>IF(_imp!$C$3087="","",INDEX(_imp!$I$4:$I$4503,_imp!$C$3087))</f>
        <v/>
      </c>
      <c r="G3085" s="54">
        <f>IF(_imp!$C$3087="","",INDEX(_imp!$J$4:$J$4503,_imp!$C$3087))</f>
        <v/>
      </c>
      <c r="K3085" s="54">
        <f>IF(_imp!$C$3087="","",INDEX(_imp!$K$4:$K$4503,_imp!$C$3087))</f>
        <v/>
      </c>
    </row>
    <row r="3086">
      <c r="A3086" s="54">
        <f>IF(_imp!$C$3088="","",INDEX(_imp!$D$4:$D$4503,_imp!$C$3088))</f>
        <v/>
      </c>
      <c r="B3086" s="54">
        <f>IF(_imp!$C$3088="","",INDEX(_imp!$E$4:$E$4503,_imp!$C$3088))</f>
        <v/>
      </c>
      <c r="C3086" s="54">
        <f>IF(_imp!$C$3088="","",INDEX(_imp!$F$4:$F$4503,_imp!$C$3088))</f>
        <v/>
      </c>
      <c r="D3086" s="54">
        <f>IF(_imp!$C$3088="","",INDEX(_imp!$G$4:$G$4503,_imp!$C$3088))</f>
        <v/>
      </c>
      <c r="E3086" s="54">
        <f>IF(_imp!$C$3088="","",INDEX(_imp!$H$4:$H$4503,_imp!$C$3088))</f>
        <v/>
      </c>
      <c r="F3086" s="54">
        <f>IF(_imp!$C$3088="","",INDEX(_imp!$I$4:$I$4503,_imp!$C$3088))</f>
        <v/>
      </c>
      <c r="G3086" s="54">
        <f>IF(_imp!$C$3088="","",INDEX(_imp!$J$4:$J$4503,_imp!$C$3088))</f>
        <v/>
      </c>
      <c r="K3086" s="54">
        <f>IF(_imp!$C$3088="","",INDEX(_imp!$K$4:$K$4503,_imp!$C$3088))</f>
        <v/>
      </c>
    </row>
    <row r="3087">
      <c r="A3087" s="54">
        <f>IF(_imp!$C$3089="","",INDEX(_imp!$D$4:$D$4503,_imp!$C$3089))</f>
        <v/>
      </c>
      <c r="B3087" s="54">
        <f>IF(_imp!$C$3089="","",INDEX(_imp!$E$4:$E$4503,_imp!$C$3089))</f>
        <v/>
      </c>
      <c r="C3087" s="54">
        <f>IF(_imp!$C$3089="","",INDEX(_imp!$F$4:$F$4503,_imp!$C$3089))</f>
        <v/>
      </c>
      <c r="D3087" s="54">
        <f>IF(_imp!$C$3089="","",INDEX(_imp!$G$4:$G$4503,_imp!$C$3089))</f>
        <v/>
      </c>
      <c r="E3087" s="54">
        <f>IF(_imp!$C$3089="","",INDEX(_imp!$H$4:$H$4503,_imp!$C$3089))</f>
        <v/>
      </c>
      <c r="F3087" s="54">
        <f>IF(_imp!$C$3089="","",INDEX(_imp!$I$4:$I$4503,_imp!$C$3089))</f>
        <v/>
      </c>
      <c r="G3087" s="54">
        <f>IF(_imp!$C$3089="","",INDEX(_imp!$J$4:$J$4503,_imp!$C$3089))</f>
        <v/>
      </c>
      <c r="K3087" s="54">
        <f>IF(_imp!$C$3089="","",INDEX(_imp!$K$4:$K$4503,_imp!$C$3089))</f>
        <v/>
      </c>
    </row>
    <row r="3088">
      <c r="A3088" s="54">
        <f>IF(_imp!$C$3090="","",INDEX(_imp!$D$4:$D$4503,_imp!$C$3090))</f>
        <v/>
      </c>
      <c r="B3088" s="54">
        <f>IF(_imp!$C$3090="","",INDEX(_imp!$E$4:$E$4503,_imp!$C$3090))</f>
        <v/>
      </c>
      <c r="C3088" s="54">
        <f>IF(_imp!$C$3090="","",INDEX(_imp!$F$4:$F$4503,_imp!$C$3090))</f>
        <v/>
      </c>
      <c r="D3088" s="54">
        <f>IF(_imp!$C$3090="","",INDEX(_imp!$G$4:$G$4503,_imp!$C$3090))</f>
        <v/>
      </c>
      <c r="E3088" s="54">
        <f>IF(_imp!$C$3090="","",INDEX(_imp!$H$4:$H$4503,_imp!$C$3090))</f>
        <v/>
      </c>
      <c r="F3088" s="54">
        <f>IF(_imp!$C$3090="","",INDEX(_imp!$I$4:$I$4503,_imp!$C$3090))</f>
        <v/>
      </c>
      <c r="G3088" s="54">
        <f>IF(_imp!$C$3090="","",INDEX(_imp!$J$4:$J$4503,_imp!$C$3090))</f>
        <v/>
      </c>
      <c r="K3088" s="54">
        <f>IF(_imp!$C$3090="","",INDEX(_imp!$K$4:$K$4503,_imp!$C$3090))</f>
        <v/>
      </c>
    </row>
    <row r="3089">
      <c r="A3089" s="54">
        <f>IF(_imp!$C$3091="","",INDEX(_imp!$D$4:$D$4503,_imp!$C$3091))</f>
        <v/>
      </c>
      <c r="B3089" s="54">
        <f>IF(_imp!$C$3091="","",INDEX(_imp!$E$4:$E$4503,_imp!$C$3091))</f>
        <v/>
      </c>
      <c r="C3089" s="54">
        <f>IF(_imp!$C$3091="","",INDEX(_imp!$F$4:$F$4503,_imp!$C$3091))</f>
        <v/>
      </c>
      <c r="D3089" s="54">
        <f>IF(_imp!$C$3091="","",INDEX(_imp!$G$4:$G$4503,_imp!$C$3091))</f>
        <v/>
      </c>
      <c r="E3089" s="54">
        <f>IF(_imp!$C$3091="","",INDEX(_imp!$H$4:$H$4503,_imp!$C$3091))</f>
        <v/>
      </c>
      <c r="F3089" s="54">
        <f>IF(_imp!$C$3091="","",INDEX(_imp!$I$4:$I$4503,_imp!$C$3091))</f>
        <v/>
      </c>
      <c r="G3089" s="54">
        <f>IF(_imp!$C$3091="","",INDEX(_imp!$J$4:$J$4503,_imp!$C$3091))</f>
        <v/>
      </c>
      <c r="K3089" s="54">
        <f>IF(_imp!$C$3091="","",INDEX(_imp!$K$4:$K$4503,_imp!$C$3091))</f>
        <v/>
      </c>
    </row>
    <row r="3090">
      <c r="A3090" s="54">
        <f>IF(_imp!$C$3092="","",INDEX(_imp!$D$4:$D$4503,_imp!$C$3092))</f>
        <v/>
      </c>
      <c r="B3090" s="54">
        <f>IF(_imp!$C$3092="","",INDEX(_imp!$E$4:$E$4503,_imp!$C$3092))</f>
        <v/>
      </c>
      <c r="C3090" s="54">
        <f>IF(_imp!$C$3092="","",INDEX(_imp!$F$4:$F$4503,_imp!$C$3092))</f>
        <v/>
      </c>
      <c r="D3090" s="54">
        <f>IF(_imp!$C$3092="","",INDEX(_imp!$G$4:$G$4503,_imp!$C$3092))</f>
        <v/>
      </c>
      <c r="E3090" s="54">
        <f>IF(_imp!$C$3092="","",INDEX(_imp!$H$4:$H$4503,_imp!$C$3092))</f>
        <v/>
      </c>
      <c r="F3090" s="54">
        <f>IF(_imp!$C$3092="","",INDEX(_imp!$I$4:$I$4503,_imp!$C$3092))</f>
        <v/>
      </c>
      <c r="G3090" s="54">
        <f>IF(_imp!$C$3092="","",INDEX(_imp!$J$4:$J$4503,_imp!$C$3092))</f>
        <v/>
      </c>
      <c r="K3090" s="54">
        <f>IF(_imp!$C$3092="","",INDEX(_imp!$K$4:$K$4503,_imp!$C$3092))</f>
        <v/>
      </c>
    </row>
    <row r="3091">
      <c r="A3091" s="54">
        <f>IF(_imp!$C$3093="","",INDEX(_imp!$D$4:$D$4503,_imp!$C$3093))</f>
        <v/>
      </c>
      <c r="B3091" s="54">
        <f>IF(_imp!$C$3093="","",INDEX(_imp!$E$4:$E$4503,_imp!$C$3093))</f>
        <v/>
      </c>
      <c r="C3091" s="54">
        <f>IF(_imp!$C$3093="","",INDEX(_imp!$F$4:$F$4503,_imp!$C$3093))</f>
        <v/>
      </c>
      <c r="D3091" s="54">
        <f>IF(_imp!$C$3093="","",INDEX(_imp!$G$4:$G$4503,_imp!$C$3093))</f>
        <v/>
      </c>
      <c r="E3091" s="54">
        <f>IF(_imp!$C$3093="","",INDEX(_imp!$H$4:$H$4503,_imp!$C$3093))</f>
        <v/>
      </c>
      <c r="F3091" s="54">
        <f>IF(_imp!$C$3093="","",INDEX(_imp!$I$4:$I$4503,_imp!$C$3093))</f>
        <v/>
      </c>
      <c r="G3091" s="54">
        <f>IF(_imp!$C$3093="","",INDEX(_imp!$J$4:$J$4503,_imp!$C$3093))</f>
        <v/>
      </c>
      <c r="K3091" s="54">
        <f>IF(_imp!$C$3093="","",INDEX(_imp!$K$4:$K$4503,_imp!$C$3093))</f>
        <v/>
      </c>
    </row>
    <row r="3092">
      <c r="A3092" s="54">
        <f>IF(_imp!$C$3094="","",INDEX(_imp!$D$4:$D$4503,_imp!$C$3094))</f>
        <v/>
      </c>
      <c r="B3092" s="54">
        <f>IF(_imp!$C$3094="","",INDEX(_imp!$E$4:$E$4503,_imp!$C$3094))</f>
        <v/>
      </c>
      <c r="C3092" s="54">
        <f>IF(_imp!$C$3094="","",INDEX(_imp!$F$4:$F$4503,_imp!$C$3094))</f>
        <v/>
      </c>
      <c r="D3092" s="54">
        <f>IF(_imp!$C$3094="","",INDEX(_imp!$G$4:$G$4503,_imp!$C$3094))</f>
        <v/>
      </c>
      <c r="E3092" s="54">
        <f>IF(_imp!$C$3094="","",INDEX(_imp!$H$4:$H$4503,_imp!$C$3094))</f>
        <v/>
      </c>
      <c r="F3092" s="54">
        <f>IF(_imp!$C$3094="","",INDEX(_imp!$I$4:$I$4503,_imp!$C$3094))</f>
        <v/>
      </c>
      <c r="G3092" s="54">
        <f>IF(_imp!$C$3094="","",INDEX(_imp!$J$4:$J$4503,_imp!$C$3094))</f>
        <v/>
      </c>
      <c r="K3092" s="54">
        <f>IF(_imp!$C$3094="","",INDEX(_imp!$K$4:$K$4503,_imp!$C$3094))</f>
        <v/>
      </c>
    </row>
    <row r="3093">
      <c r="A3093" s="54">
        <f>IF(_imp!$C$3095="","",INDEX(_imp!$D$4:$D$4503,_imp!$C$3095))</f>
        <v/>
      </c>
      <c r="B3093" s="54">
        <f>IF(_imp!$C$3095="","",INDEX(_imp!$E$4:$E$4503,_imp!$C$3095))</f>
        <v/>
      </c>
      <c r="C3093" s="54">
        <f>IF(_imp!$C$3095="","",INDEX(_imp!$F$4:$F$4503,_imp!$C$3095))</f>
        <v/>
      </c>
      <c r="D3093" s="54">
        <f>IF(_imp!$C$3095="","",INDEX(_imp!$G$4:$G$4503,_imp!$C$3095))</f>
        <v/>
      </c>
      <c r="E3093" s="54">
        <f>IF(_imp!$C$3095="","",INDEX(_imp!$H$4:$H$4503,_imp!$C$3095))</f>
        <v/>
      </c>
      <c r="F3093" s="54">
        <f>IF(_imp!$C$3095="","",INDEX(_imp!$I$4:$I$4503,_imp!$C$3095))</f>
        <v/>
      </c>
      <c r="G3093" s="54">
        <f>IF(_imp!$C$3095="","",INDEX(_imp!$J$4:$J$4503,_imp!$C$3095))</f>
        <v/>
      </c>
      <c r="K3093" s="54">
        <f>IF(_imp!$C$3095="","",INDEX(_imp!$K$4:$K$4503,_imp!$C$3095))</f>
        <v/>
      </c>
    </row>
    <row r="3094">
      <c r="A3094" s="54">
        <f>IF(_imp!$C$3096="","",INDEX(_imp!$D$4:$D$4503,_imp!$C$3096))</f>
        <v/>
      </c>
      <c r="B3094" s="54">
        <f>IF(_imp!$C$3096="","",INDEX(_imp!$E$4:$E$4503,_imp!$C$3096))</f>
        <v/>
      </c>
      <c r="C3094" s="54">
        <f>IF(_imp!$C$3096="","",INDEX(_imp!$F$4:$F$4503,_imp!$C$3096))</f>
        <v/>
      </c>
      <c r="D3094" s="54">
        <f>IF(_imp!$C$3096="","",INDEX(_imp!$G$4:$G$4503,_imp!$C$3096))</f>
        <v/>
      </c>
      <c r="E3094" s="54">
        <f>IF(_imp!$C$3096="","",INDEX(_imp!$H$4:$H$4503,_imp!$C$3096))</f>
        <v/>
      </c>
      <c r="F3094" s="54">
        <f>IF(_imp!$C$3096="","",INDEX(_imp!$I$4:$I$4503,_imp!$C$3096))</f>
        <v/>
      </c>
      <c r="G3094" s="54">
        <f>IF(_imp!$C$3096="","",INDEX(_imp!$J$4:$J$4503,_imp!$C$3096))</f>
        <v/>
      </c>
      <c r="K3094" s="54">
        <f>IF(_imp!$C$3096="","",INDEX(_imp!$K$4:$K$4503,_imp!$C$3096))</f>
        <v/>
      </c>
    </row>
    <row r="3095">
      <c r="A3095" s="54">
        <f>IF(_imp!$C$3097="","",INDEX(_imp!$D$4:$D$4503,_imp!$C$3097))</f>
        <v/>
      </c>
      <c r="B3095" s="54">
        <f>IF(_imp!$C$3097="","",INDEX(_imp!$E$4:$E$4503,_imp!$C$3097))</f>
        <v/>
      </c>
      <c r="C3095" s="54">
        <f>IF(_imp!$C$3097="","",INDEX(_imp!$F$4:$F$4503,_imp!$C$3097))</f>
        <v/>
      </c>
      <c r="D3095" s="54">
        <f>IF(_imp!$C$3097="","",INDEX(_imp!$G$4:$G$4503,_imp!$C$3097))</f>
        <v/>
      </c>
      <c r="E3095" s="54">
        <f>IF(_imp!$C$3097="","",INDEX(_imp!$H$4:$H$4503,_imp!$C$3097))</f>
        <v/>
      </c>
      <c r="F3095" s="54">
        <f>IF(_imp!$C$3097="","",INDEX(_imp!$I$4:$I$4503,_imp!$C$3097))</f>
        <v/>
      </c>
      <c r="G3095" s="54">
        <f>IF(_imp!$C$3097="","",INDEX(_imp!$J$4:$J$4503,_imp!$C$3097))</f>
        <v/>
      </c>
      <c r="K3095" s="54">
        <f>IF(_imp!$C$3097="","",INDEX(_imp!$K$4:$K$4503,_imp!$C$3097))</f>
        <v/>
      </c>
    </row>
    <row r="3096">
      <c r="A3096" s="54">
        <f>IF(_imp!$C$3098="","",INDEX(_imp!$D$4:$D$4503,_imp!$C$3098))</f>
        <v/>
      </c>
      <c r="B3096" s="54">
        <f>IF(_imp!$C$3098="","",INDEX(_imp!$E$4:$E$4503,_imp!$C$3098))</f>
        <v/>
      </c>
      <c r="C3096" s="54">
        <f>IF(_imp!$C$3098="","",INDEX(_imp!$F$4:$F$4503,_imp!$C$3098))</f>
        <v/>
      </c>
      <c r="D3096" s="54">
        <f>IF(_imp!$C$3098="","",INDEX(_imp!$G$4:$G$4503,_imp!$C$3098))</f>
        <v/>
      </c>
      <c r="E3096" s="54">
        <f>IF(_imp!$C$3098="","",INDEX(_imp!$H$4:$H$4503,_imp!$C$3098))</f>
        <v/>
      </c>
      <c r="F3096" s="54">
        <f>IF(_imp!$C$3098="","",INDEX(_imp!$I$4:$I$4503,_imp!$C$3098))</f>
        <v/>
      </c>
      <c r="G3096" s="54">
        <f>IF(_imp!$C$3098="","",INDEX(_imp!$J$4:$J$4503,_imp!$C$3098))</f>
        <v/>
      </c>
      <c r="K3096" s="54">
        <f>IF(_imp!$C$3098="","",INDEX(_imp!$K$4:$K$4503,_imp!$C$3098))</f>
        <v/>
      </c>
    </row>
    <row r="3097">
      <c r="A3097" s="54">
        <f>IF(_imp!$C$3099="","",INDEX(_imp!$D$4:$D$4503,_imp!$C$3099))</f>
        <v/>
      </c>
      <c r="B3097" s="54">
        <f>IF(_imp!$C$3099="","",INDEX(_imp!$E$4:$E$4503,_imp!$C$3099))</f>
        <v/>
      </c>
      <c r="C3097" s="54">
        <f>IF(_imp!$C$3099="","",INDEX(_imp!$F$4:$F$4503,_imp!$C$3099))</f>
        <v/>
      </c>
      <c r="D3097" s="54">
        <f>IF(_imp!$C$3099="","",INDEX(_imp!$G$4:$G$4503,_imp!$C$3099))</f>
        <v/>
      </c>
      <c r="E3097" s="54">
        <f>IF(_imp!$C$3099="","",INDEX(_imp!$H$4:$H$4503,_imp!$C$3099))</f>
        <v/>
      </c>
      <c r="F3097" s="54">
        <f>IF(_imp!$C$3099="","",INDEX(_imp!$I$4:$I$4503,_imp!$C$3099))</f>
        <v/>
      </c>
      <c r="G3097" s="54">
        <f>IF(_imp!$C$3099="","",INDEX(_imp!$J$4:$J$4503,_imp!$C$3099))</f>
        <v/>
      </c>
      <c r="K3097" s="54">
        <f>IF(_imp!$C$3099="","",INDEX(_imp!$K$4:$K$4503,_imp!$C$3099))</f>
        <v/>
      </c>
    </row>
    <row r="3098">
      <c r="A3098" s="54">
        <f>IF(_imp!$C$3100="","",INDEX(_imp!$D$4:$D$4503,_imp!$C$3100))</f>
        <v/>
      </c>
      <c r="B3098" s="54">
        <f>IF(_imp!$C$3100="","",INDEX(_imp!$E$4:$E$4503,_imp!$C$3100))</f>
        <v/>
      </c>
      <c r="C3098" s="54">
        <f>IF(_imp!$C$3100="","",INDEX(_imp!$F$4:$F$4503,_imp!$C$3100))</f>
        <v/>
      </c>
      <c r="D3098" s="54">
        <f>IF(_imp!$C$3100="","",INDEX(_imp!$G$4:$G$4503,_imp!$C$3100))</f>
        <v/>
      </c>
      <c r="E3098" s="54">
        <f>IF(_imp!$C$3100="","",INDEX(_imp!$H$4:$H$4503,_imp!$C$3100))</f>
        <v/>
      </c>
      <c r="F3098" s="54">
        <f>IF(_imp!$C$3100="","",INDEX(_imp!$I$4:$I$4503,_imp!$C$3100))</f>
        <v/>
      </c>
      <c r="G3098" s="54">
        <f>IF(_imp!$C$3100="","",INDEX(_imp!$J$4:$J$4503,_imp!$C$3100))</f>
        <v/>
      </c>
      <c r="K3098" s="54">
        <f>IF(_imp!$C$3100="","",INDEX(_imp!$K$4:$K$4503,_imp!$C$3100))</f>
        <v/>
      </c>
    </row>
    <row r="3099">
      <c r="A3099" s="54">
        <f>IF(_imp!$C$3101="","",INDEX(_imp!$D$4:$D$4503,_imp!$C$3101))</f>
        <v/>
      </c>
      <c r="B3099" s="54">
        <f>IF(_imp!$C$3101="","",INDEX(_imp!$E$4:$E$4503,_imp!$C$3101))</f>
        <v/>
      </c>
      <c r="C3099" s="54">
        <f>IF(_imp!$C$3101="","",INDEX(_imp!$F$4:$F$4503,_imp!$C$3101))</f>
        <v/>
      </c>
      <c r="D3099" s="54">
        <f>IF(_imp!$C$3101="","",INDEX(_imp!$G$4:$G$4503,_imp!$C$3101))</f>
        <v/>
      </c>
      <c r="E3099" s="54">
        <f>IF(_imp!$C$3101="","",INDEX(_imp!$H$4:$H$4503,_imp!$C$3101))</f>
        <v/>
      </c>
      <c r="F3099" s="54">
        <f>IF(_imp!$C$3101="","",INDEX(_imp!$I$4:$I$4503,_imp!$C$3101))</f>
        <v/>
      </c>
      <c r="G3099" s="54">
        <f>IF(_imp!$C$3101="","",INDEX(_imp!$J$4:$J$4503,_imp!$C$3101))</f>
        <v/>
      </c>
      <c r="K3099" s="54">
        <f>IF(_imp!$C$3101="","",INDEX(_imp!$K$4:$K$4503,_imp!$C$3101))</f>
        <v/>
      </c>
    </row>
    <row r="3100">
      <c r="A3100" s="54">
        <f>IF(_imp!$C$3102="","",INDEX(_imp!$D$4:$D$4503,_imp!$C$3102))</f>
        <v/>
      </c>
      <c r="B3100" s="54">
        <f>IF(_imp!$C$3102="","",INDEX(_imp!$E$4:$E$4503,_imp!$C$3102))</f>
        <v/>
      </c>
      <c r="C3100" s="54">
        <f>IF(_imp!$C$3102="","",INDEX(_imp!$F$4:$F$4503,_imp!$C$3102))</f>
        <v/>
      </c>
      <c r="D3100" s="54">
        <f>IF(_imp!$C$3102="","",INDEX(_imp!$G$4:$G$4503,_imp!$C$3102))</f>
        <v/>
      </c>
      <c r="E3100" s="54">
        <f>IF(_imp!$C$3102="","",INDEX(_imp!$H$4:$H$4503,_imp!$C$3102))</f>
        <v/>
      </c>
      <c r="F3100" s="54">
        <f>IF(_imp!$C$3102="","",INDEX(_imp!$I$4:$I$4503,_imp!$C$3102))</f>
        <v/>
      </c>
      <c r="G3100" s="54">
        <f>IF(_imp!$C$3102="","",INDEX(_imp!$J$4:$J$4503,_imp!$C$3102))</f>
        <v/>
      </c>
      <c r="K3100" s="54">
        <f>IF(_imp!$C$3102="","",INDEX(_imp!$K$4:$K$4503,_imp!$C$3102))</f>
        <v/>
      </c>
    </row>
    <row r="3101">
      <c r="A3101" s="54">
        <f>IF(_imp!$C$3103="","",INDEX(_imp!$D$4:$D$4503,_imp!$C$3103))</f>
        <v/>
      </c>
      <c r="B3101" s="54">
        <f>IF(_imp!$C$3103="","",INDEX(_imp!$E$4:$E$4503,_imp!$C$3103))</f>
        <v/>
      </c>
      <c r="C3101" s="54">
        <f>IF(_imp!$C$3103="","",INDEX(_imp!$F$4:$F$4503,_imp!$C$3103))</f>
        <v/>
      </c>
      <c r="D3101" s="54">
        <f>IF(_imp!$C$3103="","",INDEX(_imp!$G$4:$G$4503,_imp!$C$3103))</f>
        <v/>
      </c>
      <c r="E3101" s="54">
        <f>IF(_imp!$C$3103="","",INDEX(_imp!$H$4:$H$4503,_imp!$C$3103))</f>
        <v/>
      </c>
      <c r="F3101" s="54">
        <f>IF(_imp!$C$3103="","",INDEX(_imp!$I$4:$I$4503,_imp!$C$3103))</f>
        <v/>
      </c>
      <c r="G3101" s="54">
        <f>IF(_imp!$C$3103="","",INDEX(_imp!$J$4:$J$4503,_imp!$C$3103))</f>
        <v/>
      </c>
      <c r="K3101" s="54">
        <f>IF(_imp!$C$3103="","",INDEX(_imp!$K$4:$K$4503,_imp!$C$3103))</f>
        <v/>
      </c>
    </row>
    <row r="3102">
      <c r="A3102" s="54">
        <f>IF(_imp!$C$3104="","",INDEX(_imp!$D$4:$D$4503,_imp!$C$3104))</f>
        <v/>
      </c>
      <c r="B3102" s="54">
        <f>IF(_imp!$C$3104="","",INDEX(_imp!$E$4:$E$4503,_imp!$C$3104))</f>
        <v/>
      </c>
      <c r="C3102" s="54">
        <f>IF(_imp!$C$3104="","",INDEX(_imp!$F$4:$F$4503,_imp!$C$3104))</f>
        <v/>
      </c>
      <c r="D3102" s="54">
        <f>IF(_imp!$C$3104="","",INDEX(_imp!$G$4:$G$4503,_imp!$C$3104))</f>
        <v/>
      </c>
      <c r="E3102" s="54">
        <f>IF(_imp!$C$3104="","",INDEX(_imp!$H$4:$H$4503,_imp!$C$3104))</f>
        <v/>
      </c>
      <c r="F3102" s="54">
        <f>IF(_imp!$C$3104="","",INDEX(_imp!$I$4:$I$4503,_imp!$C$3104))</f>
        <v/>
      </c>
      <c r="G3102" s="54">
        <f>IF(_imp!$C$3104="","",INDEX(_imp!$J$4:$J$4503,_imp!$C$3104))</f>
        <v/>
      </c>
      <c r="K3102" s="54">
        <f>IF(_imp!$C$3104="","",INDEX(_imp!$K$4:$K$4503,_imp!$C$3104))</f>
        <v/>
      </c>
    </row>
    <row r="3103">
      <c r="A3103" s="54">
        <f>IF(_imp!$C$3105="","",INDEX(_imp!$D$4:$D$4503,_imp!$C$3105))</f>
        <v/>
      </c>
      <c r="B3103" s="54">
        <f>IF(_imp!$C$3105="","",INDEX(_imp!$E$4:$E$4503,_imp!$C$3105))</f>
        <v/>
      </c>
      <c r="C3103" s="54">
        <f>IF(_imp!$C$3105="","",INDEX(_imp!$F$4:$F$4503,_imp!$C$3105))</f>
        <v/>
      </c>
      <c r="D3103" s="54">
        <f>IF(_imp!$C$3105="","",INDEX(_imp!$G$4:$G$4503,_imp!$C$3105))</f>
        <v/>
      </c>
      <c r="E3103" s="54">
        <f>IF(_imp!$C$3105="","",INDEX(_imp!$H$4:$H$4503,_imp!$C$3105))</f>
        <v/>
      </c>
      <c r="F3103" s="54">
        <f>IF(_imp!$C$3105="","",INDEX(_imp!$I$4:$I$4503,_imp!$C$3105))</f>
        <v/>
      </c>
      <c r="G3103" s="54">
        <f>IF(_imp!$C$3105="","",INDEX(_imp!$J$4:$J$4503,_imp!$C$3105))</f>
        <v/>
      </c>
      <c r="K3103" s="54">
        <f>IF(_imp!$C$3105="","",INDEX(_imp!$K$4:$K$4503,_imp!$C$3105))</f>
        <v/>
      </c>
    </row>
    <row r="3104">
      <c r="A3104" s="54">
        <f>IF(_imp!$C$3106="","",INDEX(_imp!$D$4:$D$4503,_imp!$C$3106))</f>
        <v/>
      </c>
      <c r="B3104" s="54">
        <f>IF(_imp!$C$3106="","",INDEX(_imp!$E$4:$E$4503,_imp!$C$3106))</f>
        <v/>
      </c>
      <c r="C3104" s="54">
        <f>IF(_imp!$C$3106="","",INDEX(_imp!$F$4:$F$4503,_imp!$C$3106))</f>
        <v/>
      </c>
      <c r="D3104" s="54">
        <f>IF(_imp!$C$3106="","",INDEX(_imp!$G$4:$G$4503,_imp!$C$3106))</f>
        <v/>
      </c>
      <c r="E3104" s="54">
        <f>IF(_imp!$C$3106="","",INDEX(_imp!$H$4:$H$4503,_imp!$C$3106))</f>
        <v/>
      </c>
      <c r="F3104" s="54">
        <f>IF(_imp!$C$3106="","",INDEX(_imp!$I$4:$I$4503,_imp!$C$3106))</f>
        <v/>
      </c>
      <c r="G3104" s="54">
        <f>IF(_imp!$C$3106="","",INDEX(_imp!$J$4:$J$4503,_imp!$C$3106))</f>
        <v/>
      </c>
      <c r="K3104" s="54">
        <f>IF(_imp!$C$3106="","",INDEX(_imp!$K$4:$K$4503,_imp!$C$3106))</f>
        <v/>
      </c>
    </row>
    <row r="3105">
      <c r="A3105" s="54">
        <f>IF(_imp!$C$3107="","",INDEX(_imp!$D$4:$D$4503,_imp!$C$3107))</f>
        <v/>
      </c>
      <c r="B3105" s="54">
        <f>IF(_imp!$C$3107="","",INDEX(_imp!$E$4:$E$4503,_imp!$C$3107))</f>
        <v/>
      </c>
      <c r="C3105" s="54">
        <f>IF(_imp!$C$3107="","",INDEX(_imp!$F$4:$F$4503,_imp!$C$3107))</f>
        <v/>
      </c>
      <c r="D3105" s="54">
        <f>IF(_imp!$C$3107="","",INDEX(_imp!$G$4:$G$4503,_imp!$C$3107))</f>
        <v/>
      </c>
      <c r="E3105" s="54">
        <f>IF(_imp!$C$3107="","",INDEX(_imp!$H$4:$H$4503,_imp!$C$3107))</f>
        <v/>
      </c>
      <c r="F3105" s="54">
        <f>IF(_imp!$C$3107="","",INDEX(_imp!$I$4:$I$4503,_imp!$C$3107))</f>
        <v/>
      </c>
      <c r="G3105" s="54">
        <f>IF(_imp!$C$3107="","",INDEX(_imp!$J$4:$J$4503,_imp!$C$3107))</f>
        <v/>
      </c>
      <c r="K3105" s="54">
        <f>IF(_imp!$C$3107="","",INDEX(_imp!$K$4:$K$4503,_imp!$C$3107))</f>
        <v/>
      </c>
    </row>
    <row r="3106">
      <c r="A3106" s="54">
        <f>IF(_imp!$C$3108="","",INDEX(_imp!$D$4:$D$4503,_imp!$C$3108))</f>
        <v/>
      </c>
      <c r="B3106" s="54">
        <f>IF(_imp!$C$3108="","",INDEX(_imp!$E$4:$E$4503,_imp!$C$3108))</f>
        <v/>
      </c>
      <c r="C3106" s="54">
        <f>IF(_imp!$C$3108="","",INDEX(_imp!$F$4:$F$4503,_imp!$C$3108))</f>
        <v/>
      </c>
      <c r="D3106" s="54">
        <f>IF(_imp!$C$3108="","",INDEX(_imp!$G$4:$G$4503,_imp!$C$3108))</f>
        <v/>
      </c>
      <c r="E3106" s="54">
        <f>IF(_imp!$C$3108="","",INDEX(_imp!$H$4:$H$4503,_imp!$C$3108))</f>
        <v/>
      </c>
      <c r="F3106" s="54">
        <f>IF(_imp!$C$3108="","",INDEX(_imp!$I$4:$I$4503,_imp!$C$3108))</f>
        <v/>
      </c>
      <c r="G3106" s="54">
        <f>IF(_imp!$C$3108="","",INDEX(_imp!$J$4:$J$4503,_imp!$C$3108))</f>
        <v/>
      </c>
      <c r="K3106" s="54">
        <f>IF(_imp!$C$3108="","",INDEX(_imp!$K$4:$K$4503,_imp!$C$3108))</f>
        <v/>
      </c>
    </row>
    <row r="3107">
      <c r="A3107" s="54">
        <f>IF(_imp!$C$3109="","",INDEX(_imp!$D$4:$D$4503,_imp!$C$3109))</f>
        <v/>
      </c>
      <c r="B3107" s="54">
        <f>IF(_imp!$C$3109="","",INDEX(_imp!$E$4:$E$4503,_imp!$C$3109))</f>
        <v/>
      </c>
      <c r="C3107" s="54">
        <f>IF(_imp!$C$3109="","",INDEX(_imp!$F$4:$F$4503,_imp!$C$3109))</f>
        <v/>
      </c>
      <c r="D3107" s="54">
        <f>IF(_imp!$C$3109="","",INDEX(_imp!$G$4:$G$4503,_imp!$C$3109))</f>
        <v/>
      </c>
      <c r="E3107" s="54">
        <f>IF(_imp!$C$3109="","",INDEX(_imp!$H$4:$H$4503,_imp!$C$3109))</f>
        <v/>
      </c>
      <c r="F3107" s="54">
        <f>IF(_imp!$C$3109="","",INDEX(_imp!$I$4:$I$4503,_imp!$C$3109))</f>
        <v/>
      </c>
      <c r="G3107" s="54">
        <f>IF(_imp!$C$3109="","",INDEX(_imp!$J$4:$J$4503,_imp!$C$3109))</f>
        <v/>
      </c>
      <c r="K3107" s="54">
        <f>IF(_imp!$C$3109="","",INDEX(_imp!$K$4:$K$4503,_imp!$C$3109))</f>
        <v/>
      </c>
    </row>
    <row r="3108">
      <c r="A3108" s="54">
        <f>IF(_imp!$C$3110="","",INDEX(_imp!$D$4:$D$4503,_imp!$C$3110))</f>
        <v/>
      </c>
      <c r="B3108" s="54">
        <f>IF(_imp!$C$3110="","",INDEX(_imp!$E$4:$E$4503,_imp!$C$3110))</f>
        <v/>
      </c>
      <c r="C3108" s="54">
        <f>IF(_imp!$C$3110="","",INDEX(_imp!$F$4:$F$4503,_imp!$C$3110))</f>
        <v/>
      </c>
      <c r="D3108" s="54">
        <f>IF(_imp!$C$3110="","",INDEX(_imp!$G$4:$G$4503,_imp!$C$3110))</f>
        <v/>
      </c>
      <c r="E3108" s="54">
        <f>IF(_imp!$C$3110="","",INDEX(_imp!$H$4:$H$4503,_imp!$C$3110))</f>
        <v/>
      </c>
      <c r="F3108" s="54">
        <f>IF(_imp!$C$3110="","",INDEX(_imp!$I$4:$I$4503,_imp!$C$3110))</f>
        <v/>
      </c>
      <c r="G3108" s="54">
        <f>IF(_imp!$C$3110="","",INDEX(_imp!$J$4:$J$4503,_imp!$C$3110))</f>
        <v/>
      </c>
      <c r="K3108" s="54">
        <f>IF(_imp!$C$3110="","",INDEX(_imp!$K$4:$K$4503,_imp!$C$3110))</f>
        <v/>
      </c>
    </row>
    <row r="3109">
      <c r="A3109" s="54">
        <f>IF(_imp!$C$3111="","",INDEX(_imp!$D$4:$D$4503,_imp!$C$3111))</f>
        <v/>
      </c>
      <c r="B3109" s="54">
        <f>IF(_imp!$C$3111="","",INDEX(_imp!$E$4:$E$4503,_imp!$C$3111))</f>
        <v/>
      </c>
      <c r="C3109" s="54">
        <f>IF(_imp!$C$3111="","",INDEX(_imp!$F$4:$F$4503,_imp!$C$3111))</f>
        <v/>
      </c>
      <c r="D3109" s="54">
        <f>IF(_imp!$C$3111="","",INDEX(_imp!$G$4:$G$4503,_imp!$C$3111))</f>
        <v/>
      </c>
      <c r="E3109" s="54">
        <f>IF(_imp!$C$3111="","",INDEX(_imp!$H$4:$H$4503,_imp!$C$3111))</f>
        <v/>
      </c>
      <c r="F3109" s="54">
        <f>IF(_imp!$C$3111="","",INDEX(_imp!$I$4:$I$4503,_imp!$C$3111))</f>
        <v/>
      </c>
      <c r="G3109" s="54">
        <f>IF(_imp!$C$3111="","",INDEX(_imp!$J$4:$J$4503,_imp!$C$3111))</f>
        <v/>
      </c>
      <c r="K3109" s="54">
        <f>IF(_imp!$C$3111="","",INDEX(_imp!$K$4:$K$4503,_imp!$C$3111))</f>
        <v/>
      </c>
    </row>
    <row r="3110">
      <c r="A3110" s="54">
        <f>IF(_imp!$C$3112="","",INDEX(_imp!$D$4:$D$4503,_imp!$C$3112))</f>
        <v/>
      </c>
      <c r="B3110" s="54">
        <f>IF(_imp!$C$3112="","",INDEX(_imp!$E$4:$E$4503,_imp!$C$3112))</f>
        <v/>
      </c>
      <c r="C3110" s="54">
        <f>IF(_imp!$C$3112="","",INDEX(_imp!$F$4:$F$4503,_imp!$C$3112))</f>
        <v/>
      </c>
      <c r="D3110" s="54">
        <f>IF(_imp!$C$3112="","",INDEX(_imp!$G$4:$G$4503,_imp!$C$3112))</f>
        <v/>
      </c>
      <c r="E3110" s="54">
        <f>IF(_imp!$C$3112="","",INDEX(_imp!$H$4:$H$4503,_imp!$C$3112))</f>
        <v/>
      </c>
      <c r="F3110" s="54">
        <f>IF(_imp!$C$3112="","",INDEX(_imp!$I$4:$I$4503,_imp!$C$3112))</f>
        <v/>
      </c>
      <c r="G3110" s="54">
        <f>IF(_imp!$C$3112="","",INDEX(_imp!$J$4:$J$4503,_imp!$C$3112))</f>
        <v/>
      </c>
      <c r="K3110" s="54">
        <f>IF(_imp!$C$3112="","",INDEX(_imp!$K$4:$K$4503,_imp!$C$3112))</f>
        <v/>
      </c>
    </row>
    <row r="3111">
      <c r="A3111" s="54">
        <f>IF(_imp!$C$3113="","",INDEX(_imp!$D$4:$D$4503,_imp!$C$3113))</f>
        <v/>
      </c>
      <c r="B3111" s="54">
        <f>IF(_imp!$C$3113="","",INDEX(_imp!$E$4:$E$4503,_imp!$C$3113))</f>
        <v/>
      </c>
      <c r="C3111" s="54">
        <f>IF(_imp!$C$3113="","",INDEX(_imp!$F$4:$F$4503,_imp!$C$3113))</f>
        <v/>
      </c>
      <c r="D3111" s="54">
        <f>IF(_imp!$C$3113="","",INDEX(_imp!$G$4:$G$4503,_imp!$C$3113))</f>
        <v/>
      </c>
      <c r="E3111" s="54">
        <f>IF(_imp!$C$3113="","",INDEX(_imp!$H$4:$H$4503,_imp!$C$3113))</f>
        <v/>
      </c>
      <c r="F3111" s="54">
        <f>IF(_imp!$C$3113="","",INDEX(_imp!$I$4:$I$4503,_imp!$C$3113))</f>
        <v/>
      </c>
      <c r="G3111" s="54">
        <f>IF(_imp!$C$3113="","",INDEX(_imp!$J$4:$J$4503,_imp!$C$3113))</f>
        <v/>
      </c>
      <c r="K3111" s="54">
        <f>IF(_imp!$C$3113="","",INDEX(_imp!$K$4:$K$4503,_imp!$C$3113))</f>
        <v/>
      </c>
    </row>
    <row r="3112">
      <c r="A3112" s="54">
        <f>IF(_imp!$C$3114="","",INDEX(_imp!$D$4:$D$4503,_imp!$C$3114))</f>
        <v/>
      </c>
      <c r="B3112" s="54">
        <f>IF(_imp!$C$3114="","",INDEX(_imp!$E$4:$E$4503,_imp!$C$3114))</f>
        <v/>
      </c>
      <c r="C3112" s="54">
        <f>IF(_imp!$C$3114="","",INDEX(_imp!$F$4:$F$4503,_imp!$C$3114))</f>
        <v/>
      </c>
      <c r="D3112" s="54">
        <f>IF(_imp!$C$3114="","",INDEX(_imp!$G$4:$G$4503,_imp!$C$3114))</f>
        <v/>
      </c>
      <c r="E3112" s="54">
        <f>IF(_imp!$C$3114="","",INDEX(_imp!$H$4:$H$4503,_imp!$C$3114))</f>
        <v/>
      </c>
      <c r="F3112" s="54">
        <f>IF(_imp!$C$3114="","",INDEX(_imp!$I$4:$I$4503,_imp!$C$3114))</f>
        <v/>
      </c>
      <c r="G3112" s="54">
        <f>IF(_imp!$C$3114="","",INDEX(_imp!$J$4:$J$4503,_imp!$C$3114))</f>
        <v/>
      </c>
      <c r="K3112" s="54">
        <f>IF(_imp!$C$3114="","",INDEX(_imp!$K$4:$K$4503,_imp!$C$3114))</f>
        <v/>
      </c>
    </row>
    <row r="3113">
      <c r="A3113" s="54">
        <f>IF(_imp!$C$3115="","",INDEX(_imp!$D$4:$D$4503,_imp!$C$3115))</f>
        <v/>
      </c>
      <c r="B3113" s="54">
        <f>IF(_imp!$C$3115="","",INDEX(_imp!$E$4:$E$4503,_imp!$C$3115))</f>
        <v/>
      </c>
      <c r="C3113" s="54">
        <f>IF(_imp!$C$3115="","",INDEX(_imp!$F$4:$F$4503,_imp!$C$3115))</f>
        <v/>
      </c>
      <c r="D3113" s="54">
        <f>IF(_imp!$C$3115="","",INDEX(_imp!$G$4:$G$4503,_imp!$C$3115))</f>
        <v/>
      </c>
      <c r="E3113" s="54">
        <f>IF(_imp!$C$3115="","",INDEX(_imp!$H$4:$H$4503,_imp!$C$3115))</f>
        <v/>
      </c>
      <c r="F3113" s="54">
        <f>IF(_imp!$C$3115="","",INDEX(_imp!$I$4:$I$4503,_imp!$C$3115))</f>
        <v/>
      </c>
      <c r="G3113" s="54">
        <f>IF(_imp!$C$3115="","",INDEX(_imp!$J$4:$J$4503,_imp!$C$3115))</f>
        <v/>
      </c>
      <c r="K3113" s="54">
        <f>IF(_imp!$C$3115="","",INDEX(_imp!$K$4:$K$4503,_imp!$C$3115))</f>
        <v/>
      </c>
    </row>
    <row r="3114">
      <c r="A3114" s="54">
        <f>IF(_imp!$C$3116="","",INDEX(_imp!$D$4:$D$4503,_imp!$C$3116))</f>
        <v/>
      </c>
      <c r="B3114" s="54">
        <f>IF(_imp!$C$3116="","",INDEX(_imp!$E$4:$E$4503,_imp!$C$3116))</f>
        <v/>
      </c>
      <c r="C3114" s="54">
        <f>IF(_imp!$C$3116="","",INDEX(_imp!$F$4:$F$4503,_imp!$C$3116))</f>
        <v/>
      </c>
      <c r="D3114" s="54">
        <f>IF(_imp!$C$3116="","",INDEX(_imp!$G$4:$G$4503,_imp!$C$3116))</f>
        <v/>
      </c>
      <c r="E3114" s="54">
        <f>IF(_imp!$C$3116="","",INDEX(_imp!$H$4:$H$4503,_imp!$C$3116))</f>
        <v/>
      </c>
      <c r="F3114" s="54">
        <f>IF(_imp!$C$3116="","",INDEX(_imp!$I$4:$I$4503,_imp!$C$3116))</f>
        <v/>
      </c>
      <c r="G3114" s="54">
        <f>IF(_imp!$C$3116="","",INDEX(_imp!$J$4:$J$4503,_imp!$C$3116))</f>
        <v/>
      </c>
      <c r="K3114" s="54">
        <f>IF(_imp!$C$3116="","",INDEX(_imp!$K$4:$K$4503,_imp!$C$3116))</f>
        <v/>
      </c>
    </row>
    <row r="3115">
      <c r="A3115" s="54">
        <f>IF(_imp!$C$3117="","",INDEX(_imp!$D$4:$D$4503,_imp!$C$3117))</f>
        <v/>
      </c>
      <c r="B3115" s="54">
        <f>IF(_imp!$C$3117="","",INDEX(_imp!$E$4:$E$4503,_imp!$C$3117))</f>
        <v/>
      </c>
      <c r="C3115" s="54">
        <f>IF(_imp!$C$3117="","",INDEX(_imp!$F$4:$F$4503,_imp!$C$3117))</f>
        <v/>
      </c>
      <c r="D3115" s="54">
        <f>IF(_imp!$C$3117="","",INDEX(_imp!$G$4:$G$4503,_imp!$C$3117))</f>
        <v/>
      </c>
      <c r="E3115" s="54">
        <f>IF(_imp!$C$3117="","",INDEX(_imp!$H$4:$H$4503,_imp!$C$3117))</f>
        <v/>
      </c>
      <c r="F3115" s="54">
        <f>IF(_imp!$C$3117="","",INDEX(_imp!$I$4:$I$4503,_imp!$C$3117))</f>
        <v/>
      </c>
      <c r="G3115" s="54">
        <f>IF(_imp!$C$3117="","",INDEX(_imp!$J$4:$J$4503,_imp!$C$3117))</f>
        <v/>
      </c>
      <c r="K3115" s="54">
        <f>IF(_imp!$C$3117="","",INDEX(_imp!$K$4:$K$4503,_imp!$C$3117))</f>
        <v/>
      </c>
    </row>
    <row r="3116">
      <c r="A3116" s="54">
        <f>IF(_imp!$C$3118="","",INDEX(_imp!$D$4:$D$4503,_imp!$C$3118))</f>
        <v/>
      </c>
      <c r="B3116" s="54">
        <f>IF(_imp!$C$3118="","",INDEX(_imp!$E$4:$E$4503,_imp!$C$3118))</f>
        <v/>
      </c>
      <c r="C3116" s="54">
        <f>IF(_imp!$C$3118="","",INDEX(_imp!$F$4:$F$4503,_imp!$C$3118))</f>
        <v/>
      </c>
      <c r="D3116" s="54">
        <f>IF(_imp!$C$3118="","",INDEX(_imp!$G$4:$G$4503,_imp!$C$3118))</f>
        <v/>
      </c>
      <c r="E3116" s="54">
        <f>IF(_imp!$C$3118="","",INDEX(_imp!$H$4:$H$4503,_imp!$C$3118))</f>
        <v/>
      </c>
      <c r="F3116" s="54">
        <f>IF(_imp!$C$3118="","",INDEX(_imp!$I$4:$I$4503,_imp!$C$3118))</f>
        <v/>
      </c>
      <c r="G3116" s="54">
        <f>IF(_imp!$C$3118="","",INDEX(_imp!$J$4:$J$4503,_imp!$C$3118))</f>
        <v/>
      </c>
      <c r="K3116" s="54">
        <f>IF(_imp!$C$3118="","",INDEX(_imp!$K$4:$K$4503,_imp!$C$3118))</f>
        <v/>
      </c>
    </row>
    <row r="3117">
      <c r="A3117" s="54">
        <f>IF(_imp!$C$3119="","",INDEX(_imp!$D$4:$D$4503,_imp!$C$3119))</f>
        <v/>
      </c>
      <c r="B3117" s="54">
        <f>IF(_imp!$C$3119="","",INDEX(_imp!$E$4:$E$4503,_imp!$C$3119))</f>
        <v/>
      </c>
      <c r="C3117" s="54">
        <f>IF(_imp!$C$3119="","",INDEX(_imp!$F$4:$F$4503,_imp!$C$3119))</f>
        <v/>
      </c>
      <c r="D3117" s="54">
        <f>IF(_imp!$C$3119="","",INDEX(_imp!$G$4:$G$4503,_imp!$C$3119))</f>
        <v/>
      </c>
      <c r="E3117" s="54">
        <f>IF(_imp!$C$3119="","",INDEX(_imp!$H$4:$H$4503,_imp!$C$3119))</f>
        <v/>
      </c>
      <c r="F3117" s="54">
        <f>IF(_imp!$C$3119="","",INDEX(_imp!$I$4:$I$4503,_imp!$C$3119))</f>
        <v/>
      </c>
      <c r="G3117" s="54">
        <f>IF(_imp!$C$3119="","",INDEX(_imp!$J$4:$J$4503,_imp!$C$3119))</f>
        <v/>
      </c>
      <c r="K3117" s="54">
        <f>IF(_imp!$C$3119="","",INDEX(_imp!$K$4:$K$4503,_imp!$C$3119))</f>
        <v/>
      </c>
    </row>
    <row r="3118">
      <c r="A3118" s="54">
        <f>IF(_imp!$C$3120="","",INDEX(_imp!$D$4:$D$4503,_imp!$C$3120))</f>
        <v/>
      </c>
      <c r="B3118" s="54">
        <f>IF(_imp!$C$3120="","",INDEX(_imp!$E$4:$E$4503,_imp!$C$3120))</f>
        <v/>
      </c>
      <c r="C3118" s="54">
        <f>IF(_imp!$C$3120="","",INDEX(_imp!$F$4:$F$4503,_imp!$C$3120))</f>
        <v/>
      </c>
      <c r="D3118" s="54">
        <f>IF(_imp!$C$3120="","",INDEX(_imp!$G$4:$G$4503,_imp!$C$3120))</f>
        <v/>
      </c>
      <c r="E3118" s="54">
        <f>IF(_imp!$C$3120="","",INDEX(_imp!$H$4:$H$4503,_imp!$C$3120))</f>
        <v/>
      </c>
      <c r="F3118" s="54">
        <f>IF(_imp!$C$3120="","",INDEX(_imp!$I$4:$I$4503,_imp!$C$3120))</f>
        <v/>
      </c>
      <c r="G3118" s="54">
        <f>IF(_imp!$C$3120="","",INDEX(_imp!$J$4:$J$4503,_imp!$C$3120))</f>
        <v/>
      </c>
      <c r="K3118" s="54">
        <f>IF(_imp!$C$3120="","",INDEX(_imp!$K$4:$K$4503,_imp!$C$3120))</f>
        <v/>
      </c>
    </row>
    <row r="3119">
      <c r="A3119" s="54">
        <f>IF(_imp!$C$3121="","",INDEX(_imp!$D$4:$D$4503,_imp!$C$3121))</f>
        <v/>
      </c>
      <c r="B3119" s="54">
        <f>IF(_imp!$C$3121="","",INDEX(_imp!$E$4:$E$4503,_imp!$C$3121))</f>
        <v/>
      </c>
      <c r="C3119" s="54">
        <f>IF(_imp!$C$3121="","",INDEX(_imp!$F$4:$F$4503,_imp!$C$3121))</f>
        <v/>
      </c>
      <c r="D3119" s="54">
        <f>IF(_imp!$C$3121="","",INDEX(_imp!$G$4:$G$4503,_imp!$C$3121))</f>
        <v/>
      </c>
      <c r="E3119" s="54">
        <f>IF(_imp!$C$3121="","",INDEX(_imp!$H$4:$H$4503,_imp!$C$3121))</f>
        <v/>
      </c>
      <c r="F3119" s="54">
        <f>IF(_imp!$C$3121="","",INDEX(_imp!$I$4:$I$4503,_imp!$C$3121))</f>
        <v/>
      </c>
      <c r="G3119" s="54">
        <f>IF(_imp!$C$3121="","",INDEX(_imp!$J$4:$J$4503,_imp!$C$3121))</f>
        <v/>
      </c>
      <c r="K3119" s="54">
        <f>IF(_imp!$C$3121="","",INDEX(_imp!$K$4:$K$4503,_imp!$C$3121))</f>
        <v/>
      </c>
    </row>
    <row r="3120">
      <c r="A3120" s="54">
        <f>IF(_imp!$C$3122="","",INDEX(_imp!$D$4:$D$4503,_imp!$C$3122))</f>
        <v/>
      </c>
      <c r="B3120" s="54">
        <f>IF(_imp!$C$3122="","",INDEX(_imp!$E$4:$E$4503,_imp!$C$3122))</f>
        <v/>
      </c>
      <c r="C3120" s="54">
        <f>IF(_imp!$C$3122="","",INDEX(_imp!$F$4:$F$4503,_imp!$C$3122))</f>
        <v/>
      </c>
      <c r="D3120" s="54">
        <f>IF(_imp!$C$3122="","",INDEX(_imp!$G$4:$G$4503,_imp!$C$3122))</f>
        <v/>
      </c>
      <c r="E3120" s="54">
        <f>IF(_imp!$C$3122="","",INDEX(_imp!$H$4:$H$4503,_imp!$C$3122))</f>
        <v/>
      </c>
      <c r="F3120" s="54">
        <f>IF(_imp!$C$3122="","",INDEX(_imp!$I$4:$I$4503,_imp!$C$3122))</f>
        <v/>
      </c>
      <c r="G3120" s="54">
        <f>IF(_imp!$C$3122="","",INDEX(_imp!$J$4:$J$4503,_imp!$C$3122))</f>
        <v/>
      </c>
      <c r="K3120" s="54">
        <f>IF(_imp!$C$3122="","",INDEX(_imp!$K$4:$K$4503,_imp!$C$3122))</f>
        <v/>
      </c>
    </row>
    <row r="3121">
      <c r="A3121" s="54">
        <f>IF(_imp!$C$3123="","",INDEX(_imp!$D$4:$D$4503,_imp!$C$3123))</f>
        <v/>
      </c>
      <c r="B3121" s="54">
        <f>IF(_imp!$C$3123="","",INDEX(_imp!$E$4:$E$4503,_imp!$C$3123))</f>
        <v/>
      </c>
      <c r="C3121" s="54">
        <f>IF(_imp!$C$3123="","",INDEX(_imp!$F$4:$F$4503,_imp!$C$3123))</f>
        <v/>
      </c>
      <c r="D3121" s="54">
        <f>IF(_imp!$C$3123="","",INDEX(_imp!$G$4:$G$4503,_imp!$C$3123))</f>
        <v/>
      </c>
      <c r="E3121" s="54">
        <f>IF(_imp!$C$3123="","",INDEX(_imp!$H$4:$H$4503,_imp!$C$3123))</f>
        <v/>
      </c>
      <c r="F3121" s="54">
        <f>IF(_imp!$C$3123="","",INDEX(_imp!$I$4:$I$4503,_imp!$C$3123))</f>
        <v/>
      </c>
      <c r="G3121" s="54">
        <f>IF(_imp!$C$3123="","",INDEX(_imp!$J$4:$J$4503,_imp!$C$3123))</f>
        <v/>
      </c>
      <c r="K3121" s="54">
        <f>IF(_imp!$C$3123="","",INDEX(_imp!$K$4:$K$4503,_imp!$C$3123))</f>
        <v/>
      </c>
    </row>
    <row r="3122">
      <c r="A3122" s="54">
        <f>IF(_imp!$C$3124="","",INDEX(_imp!$D$4:$D$4503,_imp!$C$3124))</f>
        <v/>
      </c>
      <c r="B3122" s="54">
        <f>IF(_imp!$C$3124="","",INDEX(_imp!$E$4:$E$4503,_imp!$C$3124))</f>
        <v/>
      </c>
      <c r="C3122" s="54">
        <f>IF(_imp!$C$3124="","",INDEX(_imp!$F$4:$F$4503,_imp!$C$3124))</f>
        <v/>
      </c>
      <c r="D3122" s="54">
        <f>IF(_imp!$C$3124="","",INDEX(_imp!$G$4:$G$4503,_imp!$C$3124))</f>
        <v/>
      </c>
      <c r="E3122" s="54">
        <f>IF(_imp!$C$3124="","",INDEX(_imp!$H$4:$H$4503,_imp!$C$3124))</f>
        <v/>
      </c>
      <c r="F3122" s="54">
        <f>IF(_imp!$C$3124="","",INDEX(_imp!$I$4:$I$4503,_imp!$C$3124))</f>
        <v/>
      </c>
      <c r="G3122" s="54">
        <f>IF(_imp!$C$3124="","",INDEX(_imp!$J$4:$J$4503,_imp!$C$3124))</f>
        <v/>
      </c>
      <c r="K3122" s="54">
        <f>IF(_imp!$C$3124="","",INDEX(_imp!$K$4:$K$4503,_imp!$C$3124))</f>
        <v/>
      </c>
    </row>
    <row r="3123">
      <c r="A3123" s="54">
        <f>IF(_imp!$C$3125="","",INDEX(_imp!$D$4:$D$4503,_imp!$C$3125))</f>
        <v/>
      </c>
      <c r="B3123" s="54">
        <f>IF(_imp!$C$3125="","",INDEX(_imp!$E$4:$E$4503,_imp!$C$3125))</f>
        <v/>
      </c>
      <c r="C3123" s="54">
        <f>IF(_imp!$C$3125="","",INDEX(_imp!$F$4:$F$4503,_imp!$C$3125))</f>
        <v/>
      </c>
      <c r="D3123" s="54">
        <f>IF(_imp!$C$3125="","",INDEX(_imp!$G$4:$G$4503,_imp!$C$3125))</f>
        <v/>
      </c>
      <c r="E3123" s="54">
        <f>IF(_imp!$C$3125="","",INDEX(_imp!$H$4:$H$4503,_imp!$C$3125))</f>
        <v/>
      </c>
      <c r="F3123" s="54">
        <f>IF(_imp!$C$3125="","",INDEX(_imp!$I$4:$I$4503,_imp!$C$3125))</f>
        <v/>
      </c>
      <c r="G3123" s="54">
        <f>IF(_imp!$C$3125="","",INDEX(_imp!$J$4:$J$4503,_imp!$C$3125))</f>
        <v/>
      </c>
      <c r="K3123" s="54">
        <f>IF(_imp!$C$3125="","",INDEX(_imp!$K$4:$K$4503,_imp!$C$3125))</f>
        <v/>
      </c>
    </row>
    <row r="3124">
      <c r="A3124" s="54">
        <f>IF(_imp!$C$3126="","",INDEX(_imp!$D$4:$D$4503,_imp!$C$3126))</f>
        <v/>
      </c>
      <c r="B3124" s="54">
        <f>IF(_imp!$C$3126="","",INDEX(_imp!$E$4:$E$4503,_imp!$C$3126))</f>
        <v/>
      </c>
      <c r="C3124" s="54">
        <f>IF(_imp!$C$3126="","",INDEX(_imp!$F$4:$F$4503,_imp!$C$3126))</f>
        <v/>
      </c>
      <c r="D3124" s="54">
        <f>IF(_imp!$C$3126="","",INDEX(_imp!$G$4:$G$4503,_imp!$C$3126))</f>
        <v/>
      </c>
      <c r="E3124" s="54">
        <f>IF(_imp!$C$3126="","",INDEX(_imp!$H$4:$H$4503,_imp!$C$3126))</f>
        <v/>
      </c>
      <c r="F3124" s="54">
        <f>IF(_imp!$C$3126="","",INDEX(_imp!$I$4:$I$4503,_imp!$C$3126))</f>
        <v/>
      </c>
      <c r="G3124" s="54">
        <f>IF(_imp!$C$3126="","",INDEX(_imp!$J$4:$J$4503,_imp!$C$3126))</f>
        <v/>
      </c>
      <c r="K3124" s="54">
        <f>IF(_imp!$C$3126="","",INDEX(_imp!$K$4:$K$4503,_imp!$C$3126))</f>
        <v/>
      </c>
    </row>
    <row r="3125">
      <c r="A3125" s="54">
        <f>IF(_imp!$C$3127="","",INDEX(_imp!$D$4:$D$4503,_imp!$C$3127))</f>
        <v/>
      </c>
      <c r="B3125" s="54">
        <f>IF(_imp!$C$3127="","",INDEX(_imp!$E$4:$E$4503,_imp!$C$3127))</f>
        <v/>
      </c>
      <c r="C3125" s="54">
        <f>IF(_imp!$C$3127="","",INDEX(_imp!$F$4:$F$4503,_imp!$C$3127))</f>
        <v/>
      </c>
      <c r="D3125" s="54">
        <f>IF(_imp!$C$3127="","",INDEX(_imp!$G$4:$G$4503,_imp!$C$3127))</f>
        <v/>
      </c>
      <c r="E3125" s="54">
        <f>IF(_imp!$C$3127="","",INDEX(_imp!$H$4:$H$4503,_imp!$C$3127))</f>
        <v/>
      </c>
      <c r="F3125" s="54">
        <f>IF(_imp!$C$3127="","",INDEX(_imp!$I$4:$I$4503,_imp!$C$3127))</f>
        <v/>
      </c>
      <c r="G3125" s="54">
        <f>IF(_imp!$C$3127="","",INDEX(_imp!$J$4:$J$4503,_imp!$C$3127))</f>
        <v/>
      </c>
      <c r="K3125" s="54">
        <f>IF(_imp!$C$3127="","",INDEX(_imp!$K$4:$K$4503,_imp!$C$3127))</f>
        <v/>
      </c>
    </row>
    <row r="3126">
      <c r="A3126" s="54">
        <f>IF(_imp!$C$3128="","",INDEX(_imp!$D$4:$D$4503,_imp!$C$3128))</f>
        <v/>
      </c>
      <c r="B3126" s="54">
        <f>IF(_imp!$C$3128="","",INDEX(_imp!$E$4:$E$4503,_imp!$C$3128))</f>
        <v/>
      </c>
      <c r="C3126" s="54">
        <f>IF(_imp!$C$3128="","",INDEX(_imp!$F$4:$F$4503,_imp!$C$3128))</f>
        <v/>
      </c>
      <c r="D3126" s="54">
        <f>IF(_imp!$C$3128="","",INDEX(_imp!$G$4:$G$4503,_imp!$C$3128))</f>
        <v/>
      </c>
      <c r="E3126" s="54">
        <f>IF(_imp!$C$3128="","",INDEX(_imp!$H$4:$H$4503,_imp!$C$3128))</f>
        <v/>
      </c>
      <c r="F3126" s="54">
        <f>IF(_imp!$C$3128="","",INDEX(_imp!$I$4:$I$4503,_imp!$C$3128))</f>
        <v/>
      </c>
      <c r="G3126" s="54">
        <f>IF(_imp!$C$3128="","",INDEX(_imp!$J$4:$J$4503,_imp!$C$3128))</f>
        <v/>
      </c>
      <c r="K3126" s="54">
        <f>IF(_imp!$C$3128="","",INDEX(_imp!$K$4:$K$4503,_imp!$C$3128))</f>
        <v/>
      </c>
    </row>
    <row r="3127">
      <c r="A3127" s="54">
        <f>IF(_imp!$C$3129="","",INDEX(_imp!$D$4:$D$4503,_imp!$C$3129))</f>
        <v/>
      </c>
      <c r="B3127" s="54">
        <f>IF(_imp!$C$3129="","",INDEX(_imp!$E$4:$E$4503,_imp!$C$3129))</f>
        <v/>
      </c>
      <c r="C3127" s="54">
        <f>IF(_imp!$C$3129="","",INDEX(_imp!$F$4:$F$4503,_imp!$C$3129))</f>
        <v/>
      </c>
      <c r="D3127" s="54">
        <f>IF(_imp!$C$3129="","",INDEX(_imp!$G$4:$G$4503,_imp!$C$3129))</f>
        <v/>
      </c>
      <c r="E3127" s="54">
        <f>IF(_imp!$C$3129="","",INDEX(_imp!$H$4:$H$4503,_imp!$C$3129))</f>
        <v/>
      </c>
      <c r="F3127" s="54">
        <f>IF(_imp!$C$3129="","",INDEX(_imp!$I$4:$I$4503,_imp!$C$3129))</f>
        <v/>
      </c>
      <c r="G3127" s="54">
        <f>IF(_imp!$C$3129="","",INDEX(_imp!$J$4:$J$4503,_imp!$C$3129))</f>
        <v/>
      </c>
      <c r="K3127" s="54">
        <f>IF(_imp!$C$3129="","",INDEX(_imp!$K$4:$K$4503,_imp!$C$3129))</f>
        <v/>
      </c>
    </row>
    <row r="3128">
      <c r="A3128" s="54">
        <f>IF(_imp!$C$3130="","",INDEX(_imp!$D$4:$D$4503,_imp!$C$3130))</f>
        <v/>
      </c>
      <c r="B3128" s="54">
        <f>IF(_imp!$C$3130="","",INDEX(_imp!$E$4:$E$4503,_imp!$C$3130))</f>
        <v/>
      </c>
      <c r="C3128" s="54">
        <f>IF(_imp!$C$3130="","",INDEX(_imp!$F$4:$F$4503,_imp!$C$3130))</f>
        <v/>
      </c>
      <c r="D3128" s="54">
        <f>IF(_imp!$C$3130="","",INDEX(_imp!$G$4:$G$4503,_imp!$C$3130))</f>
        <v/>
      </c>
      <c r="E3128" s="54">
        <f>IF(_imp!$C$3130="","",INDEX(_imp!$H$4:$H$4503,_imp!$C$3130))</f>
        <v/>
      </c>
      <c r="F3128" s="54">
        <f>IF(_imp!$C$3130="","",INDEX(_imp!$I$4:$I$4503,_imp!$C$3130))</f>
        <v/>
      </c>
      <c r="G3128" s="54">
        <f>IF(_imp!$C$3130="","",INDEX(_imp!$J$4:$J$4503,_imp!$C$3130))</f>
        <v/>
      </c>
      <c r="K3128" s="54">
        <f>IF(_imp!$C$3130="","",INDEX(_imp!$K$4:$K$4503,_imp!$C$3130))</f>
        <v/>
      </c>
    </row>
    <row r="3129">
      <c r="A3129" s="54">
        <f>IF(_imp!$C$3131="","",INDEX(_imp!$D$4:$D$4503,_imp!$C$3131))</f>
        <v/>
      </c>
      <c r="B3129" s="54">
        <f>IF(_imp!$C$3131="","",INDEX(_imp!$E$4:$E$4503,_imp!$C$3131))</f>
        <v/>
      </c>
      <c r="C3129" s="54">
        <f>IF(_imp!$C$3131="","",INDEX(_imp!$F$4:$F$4503,_imp!$C$3131))</f>
        <v/>
      </c>
      <c r="D3129" s="54">
        <f>IF(_imp!$C$3131="","",INDEX(_imp!$G$4:$G$4503,_imp!$C$3131))</f>
        <v/>
      </c>
      <c r="E3129" s="54">
        <f>IF(_imp!$C$3131="","",INDEX(_imp!$H$4:$H$4503,_imp!$C$3131))</f>
        <v/>
      </c>
      <c r="F3129" s="54">
        <f>IF(_imp!$C$3131="","",INDEX(_imp!$I$4:$I$4503,_imp!$C$3131))</f>
        <v/>
      </c>
      <c r="G3129" s="54">
        <f>IF(_imp!$C$3131="","",INDEX(_imp!$J$4:$J$4503,_imp!$C$3131))</f>
        <v/>
      </c>
      <c r="K3129" s="54">
        <f>IF(_imp!$C$3131="","",INDEX(_imp!$K$4:$K$4503,_imp!$C$3131))</f>
        <v/>
      </c>
    </row>
    <row r="3130">
      <c r="A3130" s="54">
        <f>IF(_imp!$C$3132="","",INDEX(_imp!$D$4:$D$4503,_imp!$C$3132))</f>
        <v/>
      </c>
      <c r="B3130" s="54">
        <f>IF(_imp!$C$3132="","",INDEX(_imp!$E$4:$E$4503,_imp!$C$3132))</f>
        <v/>
      </c>
      <c r="C3130" s="54">
        <f>IF(_imp!$C$3132="","",INDEX(_imp!$F$4:$F$4503,_imp!$C$3132))</f>
        <v/>
      </c>
      <c r="D3130" s="54">
        <f>IF(_imp!$C$3132="","",INDEX(_imp!$G$4:$G$4503,_imp!$C$3132))</f>
        <v/>
      </c>
      <c r="E3130" s="54">
        <f>IF(_imp!$C$3132="","",INDEX(_imp!$H$4:$H$4503,_imp!$C$3132))</f>
        <v/>
      </c>
      <c r="F3130" s="54">
        <f>IF(_imp!$C$3132="","",INDEX(_imp!$I$4:$I$4503,_imp!$C$3132))</f>
        <v/>
      </c>
      <c r="G3130" s="54">
        <f>IF(_imp!$C$3132="","",INDEX(_imp!$J$4:$J$4503,_imp!$C$3132))</f>
        <v/>
      </c>
      <c r="K3130" s="54">
        <f>IF(_imp!$C$3132="","",INDEX(_imp!$K$4:$K$4503,_imp!$C$3132))</f>
        <v/>
      </c>
    </row>
    <row r="3131">
      <c r="A3131" s="54">
        <f>IF(_imp!$C$3133="","",INDEX(_imp!$D$4:$D$4503,_imp!$C$3133))</f>
        <v/>
      </c>
      <c r="B3131" s="54">
        <f>IF(_imp!$C$3133="","",INDEX(_imp!$E$4:$E$4503,_imp!$C$3133))</f>
        <v/>
      </c>
      <c r="C3131" s="54">
        <f>IF(_imp!$C$3133="","",INDEX(_imp!$F$4:$F$4503,_imp!$C$3133))</f>
        <v/>
      </c>
      <c r="D3131" s="54">
        <f>IF(_imp!$C$3133="","",INDEX(_imp!$G$4:$G$4503,_imp!$C$3133))</f>
        <v/>
      </c>
      <c r="E3131" s="54">
        <f>IF(_imp!$C$3133="","",INDEX(_imp!$H$4:$H$4503,_imp!$C$3133))</f>
        <v/>
      </c>
      <c r="F3131" s="54">
        <f>IF(_imp!$C$3133="","",INDEX(_imp!$I$4:$I$4503,_imp!$C$3133))</f>
        <v/>
      </c>
      <c r="G3131" s="54">
        <f>IF(_imp!$C$3133="","",INDEX(_imp!$J$4:$J$4503,_imp!$C$3133))</f>
        <v/>
      </c>
      <c r="K3131" s="54">
        <f>IF(_imp!$C$3133="","",INDEX(_imp!$K$4:$K$4503,_imp!$C$3133))</f>
        <v/>
      </c>
    </row>
    <row r="3132">
      <c r="A3132" s="54">
        <f>IF(_imp!$C$3134="","",INDEX(_imp!$D$4:$D$4503,_imp!$C$3134))</f>
        <v/>
      </c>
      <c r="B3132" s="54">
        <f>IF(_imp!$C$3134="","",INDEX(_imp!$E$4:$E$4503,_imp!$C$3134))</f>
        <v/>
      </c>
      <c r="C3132" s="54">
        <f>IF(_imp!$C$3134="","",INDEX(_imp!$F$4:$F$4503,_imp!$C$3134))</f>
        <v/>
      </c>
      <c r="D3132" s="54">
        <f>IF(_imp!$C$3134="","",INDEX(_imp!$G$4:$G$4503,_imp!$C$3134))</f>
        <v/>
      </c>
      <c r="E3132" s="54">
        <f>IF(_imp!$C$3134="","",INDEX(_imp!$H$4:$H$4503,_imp!$C$3134))</f>
        <v/>
      </c>
      <c r="F3132" s="54">
        <f>IF(_imp!$C$3134="","",INDEX(_imp!$I$4:$I$4503,_imp!$C$3134))</f>
        <v/>
      </c>
      <c r="G3132" s="54">
        <f>IF(_imp!$C$3134="","",INDEX(_imp!$J$4:$J$4503,_imp!$C$3134))</f>
        <v/>
      </c>
      <c r="K3132" s="54">
        <f>IF(_imp!$C$3134="","",INDEX(_imp!$K$4:$K$4503,_imp!$C$3134))</f>
        <v/>
      </c>
    </row>
    <row r="3133">
      <c r="A3133" s="54">
        <f>IF(_imp!$C$3135="","",INDEX(_imp!$D$4:$D$4503,_imp!$C$3135))</f>
        <v/>
      </c>
      <c r="B3133" s="54">
        <f>IF(_imp!$C$3135="","",INDEX(_imp!$E$4:$E$4503,_imp!$C$3135))</f>
        <v/>
      </c>
      <c r="C3133" s="54">
        <f>IF(_imp!$C$3135="","",INDEX(_imp!$F$4:$F$4503,_imp!$C$3135))</f>
        <v/>
      </c>
      <c r="D3133" s="54">
        <f>IF(_imp!$C$3135="","",INDEX(_imp!$G$4:$G$4503,_imp!$C$3135))</f>
        <v/>
      </c>
      <c r="E3133" s="54">
        <f>IF(_imp!$C$3135="","",INDEX(_imp!$H$4:$H$4503,_imp!$C$3135))</f>
        <v/>
      </c>
      <c r="F3133" s="54">
        <f>IF(_imp!$C$3135="","",INDEX(_imp!$I$4:$I$4503,_imp!$C$3135))</f>
        <v/>
      </c>
      <c r="G3133" s="54">
        <f>IF(_imp!$C$3135="","",INDEX(_imp!$J$4:$J$4503,_imp!$C$3135))</f>
        <v/>
      </c>
      <c r="K3133" s="54">
        <f>IF(_imp!$C$3135="","",INDEX(_imp!$K$4:$K$4503,_imp!$C$3135))</f>
        <v/>
      </c>
    </row>
    <row r="3134">
      <c r="A3134" s="54">
        <f>IF(_imp!$C$3136="","",INDEX(_imp!$D$4:$D$4503,_imp!$C$3136))</f>
        <v/>
      </c>
      <c r="B3134" s="54">
        <f>IF(_imp!$C$3136="","",INDEX(_imp!$E$4:$E$4503,_imp!$C$3136))</f>
        <v/>
      </c>
      <c r="C3134" s="54">
        <f>IF(_imp!$C$3136="","",INDEX(_imp!$F$4:$F$4503,_imp!$C$3136))</f>
        <v/>
      </c>
      <c r="D3134" s="54">
        <f>IF(_imp!$C$3136="","",INDEX(_imp!$G$4:$G$4503,_imp!$C$3136))</f>
        <v/>
      </c>
      <c r="E3134" s="54">
        <f>IF(_imp!$C$3136="","",INDEX(_imp!$H$4:$H$4503,_imp!$C$3136))</f>
        <v/>
      </c>
      <c r="F3134" s="54">
        <f>IF(_imp!$C$3136="","",INDEX(_imp!$I$4:$I$4503,_imp!$C$3136))</f>
        <v/>
      </c>
      <c r="G3134" s="54">
        <f>IF(_imp!$C$3136="","",INDEX(_imp!$J$4:$J$4503,_imp!$C$3136))</f>
        <v/>
      </c>
      <c r="K3134" s="54">
        <f>IF(_imp!$C$3136="","",INDEX(_imp!$K$4:$K$4503,_imp!$C$3136))</f>
        <v/>
      </c>
    </row>
    <row r="3135">
      <c r="A3135" s="54">
        <f>IF(_imp!$C$3137="","",INDEX(_imp!$D$4:$D$4503,_imp!$C$3137))</f>
        <v/>
      </c>
      <c r="B3135" s="54">
        <f>IF(_imp!$C$3137="","",INDEX(_imp!$E$4:$E$4503,_imp!$C$3137))</f>
        <v/>
      </c>
      <c r="C3135" s="54">
        <f>IF(_imp!$C$3137="","",INDEX(_imp!$F$4:$F$4503,_imp!$C$3137))</f>
        <v/>
      </c>
      <c r="D3135" s="54">
        <f>IF(_imp!$C$3137="","",INDEX(_imp!$G$4:$G$4503,_imp!$C$3137))</f>
        <v/>
      </c>
      <c r="E3135" s="54">
        <f>IF(_imp!$C$3137="","",INDEX(_imp!$H$4:$H$4503,_imp!$C$3137))</f>
        <v/>
      </c>
      <c r="F3135" s="54">
        <f>IF(_imp!$C$3137="","",INDEX(_imp!$I$4:$I$4503,_imp!$C$3137))</f>
        <v/>
      </c>
      <c r="G3135" s="54">
        <f>IF(_imp!$C$3137="","",INDEX(_imp!$J$4:$J$4503,_imp!$C$3137))</f>
        <v/>
      </c>
      <c r="K3135" s="54">
        <f>IF(_imp!$C$3137="","",INDEX(_imp!$K$4:$K$4503,_imp!$C$3137))</f>
        <v/>
      </c>
    </row>
    <row r="3136">
      <c r="A3136" s="54">
        <f>IF(_imp!$C$3138="","",INDEX(_imp!$D$4:$D$4503,_imp!$C$3138))</f>
        <v/>
      </c>
      <c r="B3136" s="54">
        <f>IF(_imp!$C$3138="","",INDEX(_imp!$E$4:$E$4503,_imp!$C$3138))</f>
        <v/>
      </c>
      <c r="C3136" s="54">
        <f>IF(_imp!$C$3138="","",INDEX(_imp!$F$4:$F$4503,_imp!$C$3138))</f>
        <v/>
      </c>
      <c r="D3136" s="54">
        <f>IF(_imp!$C$3138="","",INDEX(_imp!$G$4:$G$4503,_imp!$C$3138))</f>
        <v/>
      </c>
      <c r="E3136" s="54">
        <f>IF(_imp!$C$3138="","",INDEX(_imp!$H$4:$H$4503,_imp!$C$3138))</f>
        <v/>
      </c>
      <c r="F3136" s="54">
        <f>IF(_imp!$C$3138="","",INDEX(_imp!$I$4:$I$4503,_imp!$C$3138))</f>
        <v/>
      </c>
      <c r="G3136" s="54">
        <f>IF(_imp!$C$3138="","",INDEX(_imp!$J$4:$J$4503,_imp!$C$3138))</f>
        <v/>
      </c>
      <c r="K3136" s="54">
        <f>IF(_imp!$C$3138="","",INDEX(_imp!$K$4:$K$4503,_imp!$C$3138))</f>
        <v/>
      </c>
    </row>
    <row r="3137">
      <c r="A3137" s="54">
        <f>IF(_imp!$C$3139="","",INDEX(_imp!$D$4:$D$4503,_imp!$C$3139))</f>
        <v/>
      </c>
      <c r="B3137" s="54">
        <f>IF(_imp!$C$3139="","",INDEX(_imp!$E$4:$E$4503,_imp!$C$3139))</f>
        <v/>
      </c>
      <c r="C3137" s="54">
        <f>IF(_imp!$C$3139="","",INDEX(_imp!$F$4:$F$4503,_imp!$C$3139))</f>
        <v/>
      </c>
      <c r="D3137" s="54">
        <f>IF(_imp!$C$3139="","",INDEX(_imp!$G$4:$G$4503,_imp!$C$3139))</f>
        <v/>
      </c>
      <c r="E3137" s="54">
        <f>IF(_imp!$C$3139="","",INDEX(_imp!$H$4:$H$4503,_imp!$C$3139))</f>
        <v/>
      </c>
      <c r="F3137" s="54">
        <f>IF(_imp!$C$3139="","",INDEX(_imp!$I$4:$I$4503,_imp!$C$3139))</f>
        <v/>
      </c>
      <c r="G3137" s="54">
        <f>IF(_imp!$C$3139="","",INDEX(_imp!$J$4:$J$4503,_imp!$C$3139))</f>
        <v/>
      </c>
      <c r="K3137" s="54">
        <f>IF(_imp!$C$3139="","",INDEX(_imp!$K$4:$K$4503,_imp!$C$3139))</f>
        <v/>
      </c>
    </row>
    <row r="3138">
      <c r="A3138" s="54">
        <f>IF(_imp!$C$3140="","",INDEX(_imp!$D$4:$D$4503,_imp!$C$3140))</f>
        <v/>
      </c>
      <c r="B3138" s="54">
        <f>IF(_imp!$C$3140="","",INDEX(_imp!$E$4:$E$4503,_imp!$C$3140))</f>
        <v/>
      </c>
      <c r="C3138" s="54">
        <f>IF(_imp!$C$3140="","",INDEX(_imp!$F$4:$F$4503,_imp!$C$3140))</f>
        <v/>
      </c>
      <c r="D3138" s="54">
        <f>IF(_imp!$C$3140="","",INDEX(_imp!$G$4:$G$4503,_imp!$C$3140))</f>
        <v/>
      </c>
      <c r="E3138" s="54">
        <f>IF(_imp!$C$3140="","",INDEX(_imp!$H$4:$H$4503,_imp!$C$3140))</f>
        <v/>
      </c>
      <c r="F3138" s="54">
        <f>IF(_imp!$C$3140="","",INDEX(_imp!$I$4:$I$4503,_imp!$C$3140))</f>
        <v/>
      </c>
      <c r="G3138" s="54">
        <f>IF(_imp!$C$3140="","",INDEX(_imp!$J$4:$J$4503,_imp!$C$3140))</f>
        <v/>
      </c>
      <c r="K3138" s="54">
        <f>IF(_imp!$C$3140="","",INDEX(_imp!$K$4:$K$4503,_imp!$C$3140))</f>
        <v/>
      </c>
    </row>
    <row r="3139">
      <c r="A3139" s="54">
        <f>IF(_imp!$C$3141="","",INDEX(_imp!$D$4:$D$4503,_imp!$C$3141))</f>
        <v/>
      </c>
      <c r="B3139" s="54">
        <f>IF(_imp!$C$3141="","",INDEX(_imp!$E$4:$E$4503,_imp!$C$3141))</f>
        <v/>
      </c>
      <c r="C3139" s="54">
        <f>IF(_imp!$C$3141="","",INDEX(_imp!$F$4:$F$4503,_imp!$C$3141))</f>
        <v/>
      </c>
      <c r="D3139" s="54">
        <f>IF(_imp!$C$3141="","",INDEX(_imp!$G$4:$G$4503,_imp!$C$3141))</f>
        <v/>
      </c>
      <c r="E3139" s="54">
        <f>IF(_imp!$C$3141="","",INDEX(_imp!$H$4:$H$4503,_imp!$C$3141))</f>
        <v/>
      </c>
      <c r="F3139" s="54">
        <f>IF(_imp!$C$3141="","",INDEX(_imp!$I$4:$I$4503,_imp!$C$3141))</f>
        <v/>
      </c>
      <c r="G3139" s="54">
        <f>IF(_imp!$C$3141="","",INDEX(_imp!$J$4:$J$4503,_imp!$C$3141))</f>
        <v/>
      </c>
      <c r="K3139" s="54">
        <f>IF(_imp!$C$3141="","",INDEX(_imp!$K$4:$K$4503,_imp!$C$3141))</f>
        <v/>
      </c>
    </row>
    <row r="3140">
      <c r="A3140" s="54">
        <f>IF(_imp!$C$3142="","",INDEX(_imp!$D$4:$D$4503,_imp!$C$3142))</f>
        <v/>
      </c>
      <c r="B3140" s="54">
        <f>IF(_imp!$C$3142="","",INDEX(_imp!$E$4:$E$4503,_imp!$C$3142))</f>
        <v/>
      </c>
      <c r="C3140" s="54">
        <f>IF(_imp!$C$3142="","",INDEX(_imp!$F$4:$F$4503,_imp!$C$3142))</f>
        <v/>
      </c>
      <c r="D3140" s="54">
        <f>IF(_imp!$C$3142="","",INDEX(_imp!$G$4:$G$4503,_imp!$C$3142))</f>
        <v/>
      </c>
      <c r="E3140" s="54">
        <f>IF(_imp!$C$3142="","",INDEX(_imp!$H$4:$H$4503,_imp!$C$3142))</f>
        <v/>
      </c>
      <c r="F3140" s="54">
        <f>IF(_imp!$C$3142="","",INDEX(_imp!$I$4:$I$4503,_imp!$C$3142))</f>
        <v/>
      </c>
      <c r="G3140" s="54">
        <f>IF(_imp!$C$3142="","",INDEX(_imp!$J$4:$J$4503,_imp!$C$3142))</f>
        <v/>
      </c>
      <c r="K3140" s="54">
        <f>IF(_imp!$C$3142="","",INDEX(_imp!$K$4:$K$4503,_imp!$C$3142))</f>
        <v/>
      </c>
    </row>
    <row r="3141">
      <c r="A3141" s="54">
        <f>IF(_imp!$C$3143="","",INDEX(_imp!$D$4:$D$4503,_imp!$C$3143))</f>
        <v/>
      </c>
      <c r="B3141" s="54">
        <f>IF(_imp!$C$3143="","",INDEX(_imp!$E$4:$E$4503,_imp!$C$3143))</f>
        <v/>
      </c>
      <c r="C3141" s="54">
        <f>IF(_imp!$C$3143="","",INDEX(_imp!$F$4:$F$4503,_imp!$C$3143))</f>
        <v/>
      </c>
      <c r="D3141" s="54">
        <f>IF(_imp!$C$3143="","",INDEX(_imp!$G$4:$G$4503,_imp!$C$3143))</f>
        <v/>
      </c>
      <c r="E3141" s="54">
        <f>IF(_imp!$C$3143="","",INDEX(_imp!$H$4:$H$4503,_imp!$C$3143))</f>
        <v/>
      </c>
      <c r="F3141" s="54">
        <f>IF(_imp!$C$3143="","",INDEX(_imp!$I$4:$I$4503,_imp!$C$3143))</f>
        <v/>
      </c>
      <c r="G3141" s="54">
        <f>IF(_imp!$C$3143="","",INDEX(_imp!$J$4:$J$4503,_imp!$C$3143))</f>
        <v/>
      </c>
      <c r="K3141" s="54">
        <f>IF(_imp!$C$3143="","",INDEX(_imp!$K$4:$K$4503,_imp!$C$3143))</f>
        <v/>
      </c>
    </row>
    <row r="3142">
      <c r="A3142" s="54">
        <f>IF(_imp!$C$3144="","",INDEX(_imp!$D$4:$D$4503,_imp!$C$3144))</f>
        <v/>
      </c>
      <c r="B3142" s="54">
        <f>IF(_imp!$C$3144="","",INDEX(_imp!$E$4:$E$4503,_imp!$C$3144))</f>
        <v/>
      </c>
      <c r="C3142" s="54">
        <f>IF(_imp!$C$3144="","",INDEX(_imp!$F$4:$F$4503,_imp!$C$3144))</f>
        <v/>
      </c>
      <c r="D3142" s="54">
        <f>IF(_imp!$C$3144="","",INDEX(_imp!$G$4:$G$4503,_imp!$C$3144))</f>
        <v/>
      </c>
      <c r="E3142" s="54">
        <f>IF(_imp!$C$3144="","",INDEX(_imp!$H$4:$H$4503,_imp!$C$3144))</f>
        <v/>
      </c>
      <c r="F3142" s="54">
        <f>IF(_imp!$C$3144="","",INDEX(_imp!$I$4:$I$4503,_imp!$C$3144))</f>
        <v/>
      </c>
      <c r="G3142" s="54">
        <f>IF(_imp!$C$3144="","",INDEX(_imp!$J$4:$J$4503,_imp!$C$3144))</f>
        <v/>
      </c>
      <c r="K3142" s="54">
        <f>IF(_imp!$C$3144="","",INDEX(_imp!$K$4:$K$4503,_imp!$C$3144))</f>
        <v/>
      </c>
    </row>
    <row r="3143">
      <c r="A3143" s="54">
        <f>IF(_imp!$C$3145="","",INDEX(_imp!$D$4:$D$4503,_imp!$C$3145))</f>
        <v/>
      </c>
      <c r="B3143" s="54">
        <f>IF(_imp!$C$3145="","",INDEX(_imp!$E$4:$E$4503,_imp!$C$3145))</f>
        <v/>
      </c>
      <c r="C3143" s="54">
        <f>IF(_imp!$C$3145="","",INDEX(_imp!$F$4:$F$4503,_imp!$C$3145))</f>
        <v/>
      </c>
      <c r="D3143" s="54">
        <f>IF(_imp!$C$3145="","",INDEX(_imp!$G$4:$G$4503,_imp!$C$3145))</f>
        <v/>
      </c>
      <c r="E3143" s="54">
        <f>IF(_imp!$C$3145="","",INDEX(_imp!$H$4:$H$4503,_imp!$C$3145))</f>
        <v/>
      </c>
      <c r="F3143" s="54">
        <f>IF(_imp!$C$3145="","",INDEX(_imp!$I$4:$I$4503,_imp!$C$3145))</f>
        <v/>
      </c>
      <c r="G3143" s="54">
        <f>IF(_imp!$C$3145="","",INDEX(_imp!$J$4:$J$4503,_imp!$C$3145))</f>
        <v/>
      </c>
      <c r="K3143" s="54">
        <f>IF(_imp!$C$3145="","",INDEX(_imp!$K$4:$K$4503,_imp!$C$3145))</f>
        <v/>
      </c>
    </row>
    <row r="3144">
      <c r="A3144" s="54">
        <f>IF(_imp!$C$3146="","",INDEX(_imp!$D$4:$D$4503,_imp!$C$3146))</f>
        <v/>
      </c>
      <c r="B3144" s="54">
        <f>IF(_imp!$C$3146="","",INDEX(_imp!$E$4:$E$4503,_imp!$C$3146))</f>
        <v/>
      </c>
      <c r="C3144" s="54">
        <f>IF(_imp!$C$3146="","",INDEX(_imp!$F$4:$F$4503,_imp!$C$3146))</f>
        <v/>
      </c>
      <c r="D3144" s="54">
        <f>IF(_imp!$C$3146="","",INDEX(_imp!$G$4:$G$4503,_imp!$C$3146))</f>
        <v/>
      </c>
      <c r="E3144" s="54">
        <f>IF(_imp!$C$3146="","",INDEX(_imp!$H$4:$H$4503,_imp!$C$3146))</f>
        <v/>
      </c>
      <c r="F3144" s="54">
        <f>IF(_imp!$C$3146="","",INDEX(_imp!$I$4:$I$4503,_imp!$C$3146))</f>
        <v/>
      </c>
      <c r="G3144" s="54">
        <f>IF(_imp!$C$3146="","",INDEX(_imp!$J$4:$J$4503,_imp!$C$3146))</f>
        <v/>
      </c>
      <c r="K3144" s="54">
        <f>IF(_imp!$C$3146="","",INDEX(_imp!$K$4:$K$4503,_imp!$C$3146))</f>
        <v/>
      </c>
    </row>
    <row r="3145">
      <c r="A3145" s="54">
        <f>IF(_imp!$C$3147="","",INDEX(_imp!$D$4:$D$4503,_imp!$C$3147))</f>
        <v/>
      </c>
      <c r="B3145" s="54">
        <f>IF(_imp!$C$3147="","",INDEX(_imp!$E$4:$E$4503,_imp!$C$3147))</f>
        <v/>
      </c>
      <c r="C3145" s="54">
        <f>IF(_imp!$C$3147="","",INDEX(_imp!$F$4:$F$4503,_imp!$C$3147))</f>
        <v/>
      </c>
      <c r="D3145" s="54">
        <f>IF(_imp!$C$3147="","",INDEX(_imp!$G$4:$G$4503,_imp!$C$3147))</f>
        <v/>
      </c>
      <c r="E3145" s="54">
        <f>IF(_imp!$C$3147="","",INDEX(_imp!$H$4:$H$4503,_imp!$C$3147))</f>
        <v/>
      </c>
      <c r="F3145" s="54">
        <f>IF(_imp!$C$3147="","",INDEX(_imp!$I$4:$I$4503,_imp!$C$3147))</f>
        <v/>
      </c>
      <c r="G3145" s="54">
        <f>IF(_imp!$C$3147="","",INDEX(_imp!$J$4:$J$4503,_imp!$C$3147))</f>
        <v/>
      </c>
      <c r="K3145" s="54">
        <f>IF(_imp!$C$3147="","",INDEX(_imp!$K$4:$K$4503,_imp!$C$3147))</f>
        <v/>
      </c>
    </row>
    <row r="3146">
      <c r="A3146" s="54">
        <f>IF(_imp!$C$3148="","",INDEX(_imp!$D$4:$D$4503,_imp!$C$3148))</f>
        <v/>
      </c>
      <c r="B3146" s="54">
        <f>IF(_imp!$C$3148="","",INDEX(_imp!$E$4:$E$4503,_imp!$C$3148))</f>
        <v/>
      </c>
      <c r="C3146" s="54">
        <f>IF(_imp!$C$3148="","",INDEX(_imp!$F$4:$F$4503,_imp!$C$3148))</f>
        <v/>
      </c>
      <c r="D3146" s="54">
        <f>IF(_imp!$C$3148="","",INDEX(_imp!$G$4:$G$4503,_imp!$C$3148))</f>
        <v/>
      </c>
      <c r="E3146" s="54">
        <f>IF(_imp!$C$3148="","",INDEX(_imp!$H$4:$H$4503,_imp!$C$3148))</f>
        <v/>
      </c>
      <c r="F3146" s="54">
        <f>IF(_imp!$C$3148="","",INDEX(_imp!$I$4:$I$4503,_imp!$C$3148))</f>
        <v/>
      </c>
      <c r="G3146" s="54">
        <f>IF(_imp!$C$3148="","",INDEX(_imp!$J$4:$J$4503,_imp!$C$3148))</f>
        <v/>
      </c>
      <c r="K3146" s="54">
        <f>IF(_imp!$C$3148="","",INDEX(_imp!$K$4:$K$4503,_imp!$C$3148))</f>
        <v/>
      </c>
    </row>
    <row r="3147">
      <c r="A3147" s="54">
        <f>IF(_imp!$C$3149="","",INDEX(_imp!$D$4:$D$4503,_imp!$C$3149))</f>
        <v/>
      </c>
      <c r="B3147" s="54">
        <f>IF(_imp!$C$3149="","",INDEX(_imp!$E$4:$E$4503,_imp!$C$3149))</f>
        <v/>
      </c>
      <c r="C3147" s="54">
        <f>IF(_imp!$C$3149="","",INDEX(_imp!$F$4:$F$4503,_imp!$C$3149))</f>
        <v/>
      </c>
      <c r="D3147" s="54">
        <f>IF(_imp!$C$3149="","",INDEX(_imp!$G$4:$G$4503,_imp!$C$3149))</f>
        <v/>
      </c>
      <c r="E3147" s="54">
        <f>IF(_imp!$C$3149="","",INDEX(_imp!$H$4:$H$4503,_imp!$C$3149))</f>
        <v/>
      </c>
      <c r="F3147" s="54">
        <f>IF(_imp!$C$3149="","",INDEX(_imp!$I$4:$I$4503,_imp!$C$3149))</f>
        <v/>
      </c>
      <c r="G3147" s="54">
        <f>IF(_imp!$C$3149="","",INDEX(_imp!$J$4:$J$4503,_imp!$C$3149))</f>
        <v/>
      </c>
      <c r="K3147" s="54">
        <f>IF(_imp!$C$3149="","",INDEX(_imp!$K$4:$K$4503,_imp!$C$3149))</f>
        <v/>
      </c>
    </row>
    <row r="3148">
      <c r="A3148" s="54">
        <f>IF(_imp!$C$3150="","",INDEX(_imp!$D$4:$D$4503,_imp!$C$3150))</f>
        <v/>
      </c>
      <c r="B3148" s="54">
        <f>IF(_imp!$C$3150="","",INDEX(_imp!$E$4:$E$4503,_imp!$C$3150))</f>
        <v/>
      </c>
      <c r="C3148" s="54">
        <f>IF(_imp!$C$3150="","",INDEX(_imp!$F$4:$F$4503,_imp!$C$3150))</f>
        <v/>
      </c>
      <c r="D3148" s="54">
        <f>IF(_imp!$C$3150="","",INDEX(_imp!$G$4:$G$4503,_imp!$C$3150))</f>
        <v/>
      </c>
      <c r="E3148" s="54">
        <f>IF(_imp!$C$3150="","",INDEX(_imp!$H$4:$H$4503,_imp!$C$3150))</f>
        <v/>
      </c>
      <c r="F3148" s="54">
        <f>IF(_imp!$C$3150="","",INDEX(_imp!$I$4:$I$4503,_imp!$C$3150))</f>
        <v/>
      </c>
      <c r="G3148" s="54">
        <f>IF(_imp!$C$3150="","",INDEX(_imp!$J$4:$J$4503,_imp!$C$3150))</f>
        <v/>
      </c>
      <c r="K3148" s="54">
        <f>IF(_imp!$C$3150="","",INDEX(_imp!$K$4:$K$4503,_imp!$C$3150))</f>
        <v/>
      </c>
    </row>
    <row r="3149">
      <c r="A3149" s="54">
        <f>IF(_imp!$C$3151="","",INDEX(_imp!$D$4:$D$4503,_imp!$C$3151))</f>
        <v/>
      </c>
      <c r="B3149" s="54">
        <f>IF(_imp!$C$3151="","",INDEX(_imp!$E$4:$E$4503,_imp!$C$3151))</f>
        <v/>
      </c>
      <c r="C3149" s="54">
        <f>IF(_imp!$C$3151="","",INDEX(_imp!$F$4:$F$4503,_imp!$C$3151))</f>
        <v/>
      </c>
      <c r="D3149" s="54">
        <f>IF(_imp!$C$3151="","",INDEX(_imp!$G$4:$G$4503,_imp!$C$3151))</f>
        <v/>
      </c>
      <c r="E3149" s="54">
        <f>IF(_imp!$C$3151="","",INDEX(_imp!$H$4:$H$4503,_imp!$C$3151))</f>
        <v/>
      </c>
      <c r="F3149" s="54">
        <f>IF(_imp!$C$3151="","",INDEX(_imp!$I$4:$I$4503,_imp!$C$3151))</f>
        <v/>
      </c>
      <c r="G3149" s="54">
        <f>IF(_imp!$C$3151="","",INDEX(_imp!$J$4:$J$4503,_imp!$C$3151))</f>
        <v/>
      </c>
      <c r="K3149" s="54">
        <f>IF(_imp!$C$3151="","",INDEX(_imp!$K$4:$K$4503,_imp!$C$3151))</f>
        <v/>
      </c>
    </row>
    <row r="3150">
      <c r="A3150" s="54">
        <f>IF(_imp!$C$3152="","",INDEX(_imp!$D$4:$D$4503,_imp!$C$3152))</f>
        <v/>
      </c>
      <c r="B3150" s="54">
        <f>IF(_imp!$C$3152="","",INDEX(_imp!$E$4:$E$4503,_imp!$C$3152))</f>
        <v/>
      </c>
      <c r="C3150" s="54">
        <f>IF(_imp!$C$3152="","",INDEX(_imp!$F$4:$F$4503,_imp!$C$3152))</f>
        <v/>
      </c>
      <c r="D3150" s="54">
        <f>IF(_imp!$C$3152="","",INDEX(_imp!$G$4:$G$4503,_imp!$C$3152))</f>
        <v/>
      </c>
      <c r="E3150" s="54">
        <f>IF(_imp!$C$3152="","",INDEX(_imp!$H$4:$H$4503,_imp!$C$3152))</f>
        <v/>
      </c>
      <c r="F3150" s="54">
        <f>IF(_imp!$C$3152="","",INDEX(_imp!$I$4:$I$4503,_imp!$C$3152))</f>
        <v/>
      </c>
      <c r="G3150" s="54">
        <f>IF(_imp!$C$3152="","",INDEX(_imp!$J$4:$J$4503,_imp!$C$3152))</f>
        <v/>
      </c>
      <c r="K3150" s="54">
        <f>IF(_imp!$C$3152="","",INDEX(_imp!$K$4:$K$4503,_imp!$C$3152))</f>
        <v/>
      </c>
    </row>
    <row r="3151">
      <c r="A3151" s="54">
        <f>IF(_imp!$C$3153="","",INDEX(_imp!$D$4:$D$4503,_imp!$C$3153))</f>
        <v/>
      </c>
      <c r="B3151" s="54">
        <f>IF(_imp!$C$3153="","",INDEX(_imp!$E$4:$E$4503,_imp!$C$3153))</f>
        <v/>
      </c>
      <c r="C3151" s="54">
        <f>IF(_imp!$C$3153="","",INDEX(_imp!$F$4:$F$4503,_imp!$C$3153))</f>
        <v/>
      </c>
      <c r="D3151" s="54">
        <f>IF(_imp!$C$3153="","",INDEX(_imp!$G$4:$G$4503,_imp!$C$3153))</f>
        <v/>
      </c>
      <c r="E3151" s="54">
        <f>IF(_imp!$C$3153="","",INDEX(_imp!$H$4:$H$4503,_imp!$C$3153))</f>
        <v/>
      </c>
      <c r="F3151" s="54">
        <f>IF(_imp!$C$3153="","",INDEX(_imp!$I$4:$I$4503,_imp!$C$3153))</f>
        <v/>
      </c>
      <c r="G3151" s="54">
        <f>IF(_imp!$C$3153="","",INDEX(_imp!$J$4:$J$4503,_imp!$C$3153))</f>
        <v/>
      </c>
      <c r="K3151" s="54">
        <f>IF(_imp!$C$3153="","",INDEX(_imp!$K$4:$K$4503,_imp!$C$3153))</f>
        <v/>
      </c>
    </row>
    <row r="3152">
      <c r="A3152" s="54">
        <f>IF(_imp!$C$3154="","",INDEX(_imp!$D$4:$D$4503,_imp!$C$3154))</f>
        <v/>
      </c>
      <c r="B3152" s="54">
        <f>IF(_imp!$C$3154="","",INDEX(_imp!$E$4:$E$4503,_imp!$C$3154))</f>
        <v/>
      </c>
      <c r="C3152" s="54">
        <f>IF(_imp!$C$3154="","",INDEX(_imp!$F$4:$F$4503,_imp!$C$3154))</f>
        <v/>
      </c>
      <c r="D3152" s="54">
        <f>IF(_imp!$C$3154="","",INDEX(_imp!$G$4:$G$4503,_imp!$C$3154))</f>
        <v/>
      </c>
      <c r="E3152" s="54">
        <f>IF(_imp!$C$3154="","",INDEX(_imp!$H$4:$H$4503,_imp!$C$3154))</f>
        <v/>
      </c>
      <c r="F3152" s="54">
        <f>IF(_imp!$C$3154="","",INDEX(_imp!$I$4:$I$4503,_imp!$C$3154))</f>
        <v/>
      </c>
      <c r="G3152" s="54">
        <f>IF(_imp!$C$3154="","",INDEX(_imp!$J$4:$J$4503,_imp!$C$3154))</f>
        <v/>
      </c>
      <c r="K3152" s="54">
        <f>IF(_imp!$C$3154="","",INDEX(_imp!$K$4:$K$4503,_imp!$C$3154))</f>
        <v/>
      </c>
    </row>
    <row r="3153">
      <c r="A3153" s="54">
        <f>IF(_imp!$C$3155="","",INDEX(_imp!$D$4:$D$4503,_imp!$C$3155))</f>
        <v/>
      </c>
      <c r="B3153" s="54">
        <f>IF(_imp!$C$3155="","",INDEX(_imp!$E$4:$E$4503,_imp!$C$3155))</f>
        <v/>
      </c>
      <c r="C3153" s="54">
        <f>IF(_imp!$C$3155="","",INDEX(_imp!$F$4:$F$4503,_imp!$C$3155))</f>
        <v/>
      </c>
      <c r="D3153" s="54">
        <f>IF(_imp!$C$3155="","",INDEX(_imp!$G$4:$G$4503,_imp!$C$3155))</f>
        <v/>
      </c>
      <c r="E3153" s="54">
        <f>IF(_imp!$C$3155="","",INDEX(_imp!$H$4:$H$4503,_imp!$C$3155))</f>
        <v/>
      </c>
      <c r="F3153" s="54">
        <f>IF(_imp!$C$3155="","",INDEX(_imp!$I$4:$I$4503,_imp!$C$3155))</f>
        <v/>
      </c>
      <c r="G3153" s="54">
        <f>IF(_imp!$C$3155="","",INDEX(_imp!$J$4:$J$4503,_imp!$C$3155))</f>
        <v/>
      </c>
      <c r="K3153" s="54">
        <f>IF(_imp!$C$3155="","",INDEX(_imp!$K$4:$K$4503,_imp!$C$3155))</f>
        <v/>
      </c>
    </row>
    <row r="3154">
      <c r="A3154" s="54">
        <f>IF(_imp!$C$3156="","",INDEX(_imp!$D$4:$D$4503,_imp!$C$3156))</f>
        <v/>
      </c>
      <c r="B3154" s="54">
        <f>IF(_imp!$C$3156="","",INDEX(_imp!$E$4:$E$4503,_imp!$C$3156))</f>
        <v/>
      </c>
      <c r="C3154" s="54">
        <f>IF(_imp!$C$3156="","",INDEX(_imp!$F$4:$F$4503,_imp!$C$3156))</f>
        <v/>
      </c>
      <c r="D3154" s="54">
        <f>IF(_imp!$C$3156="","",INDEX(_imp!$G$4:$G$4503,_imp!$C$3156))</f>
        <v/>
      </c>
      <c r="E3154" s="54">
        <f>IF(_imp!$C$3156="","",INDEX(_imp!$H$4:$H$4503,_imp!$C$3156))</f>
        <v/>
      </c>
      <c r="F3154" s="54">
        <f>IF(_imp!$C$3156="","",INDEX(_imp!$I$4:$I$4503,_imp!$C$3156))</f>
        <v/>
      </c>
      <c r="G3154" s="54">
        <f>IF(_imp!$C$3156="","",INDEX(_imp!$J$4:$J$4503,_imp!$C$3156))</f>
        <v/>
      </c>
      <c r="K3154" s="54">
        <f>IF(_imp!$C$3156="","",INDEX(_imp!$K$4:$K$4503,_imp!$C$3156))</f>
        <v/>
      </c>
    </row>
    <row r="3155">
      <c r="A3155" s="54">
        <f>IF(_imp!$C$3157="","",INDEX(_imp!$D$4:$D$4503,_imp!$C$3157))</f>
        <v/>
      </c>
      <c r="B3155" s="54">
        <f>IF(_imp!$C$3157="","",INDEX(_imp!$E$4:$E$4503,_imp!$C$3157))</f>
        <v/>
      </c>
      <c r="C3155" s="54">
        <f>IF(_imp!$C$3157="","",INDEX(_imp!$F$4:$F$4503,_imp!$C$3157))</f>
        <v/>
      </c>
      <c r="D3155" s="54">
        <f>IF(_imp!$C$3157="","",INDEX(_imp!$G$4:$G$4503,_imp!$C$3157))</f>
        <v/>
      </c>
      <c r="E3155" s="54">
        <f>IF(_imp!$C$3157="","",INDEX(_imp!$H$4:$H$4503,_imp!$C$3157))</f>
        <v/>
      </c>
      <c r="F3155" s="54">
        <f>IF(_imp!$C$3157="","",INDEX(_imp!$I$4:$I$4503,_imp!$C$3157))</f>
        <v/>
      </c>
      <c r="G3155" s="54">
        <f>IF(_imp!$C$3157="","",INDEX(_imp!$J$4:$J$4503,_imp!$C$3157))</f>
        <v/>
      </c>
      <c r="K3155" s="54">
        <f>IF(_imp!$C$3157="","",INDEX(_imp!$K$4:$K$4503,_imp!$C$3157))</f>
        <v/>
      </c>
    </row>
    <row r="3156">
      <c r="A3156" s="54">
        <f>IF(_imp!$C$3158="","",INDEX(_imp!$D$4:$D$4503,_imp!$C$3158))</f>
        <v/>
      </c>
      <c r="B3156" s="54">
        <f>IF(_imp!$C$3158="","",INDEX(_imp!$E$4:$E$4503,_imp!$C$3158))</f>
        <v/>
      </c>
      <c r="C3156" s="54">
        <f>IF(_imp!$C$3158="","",INDEX(_imp!$F$4:$F$4503,_imp!$C$3158))</f>
        <v/>
      </c>
      <c r="D3156" s="54">
        <f>IF(_imp!$C$3158="","",INDEX(_imp!$G$4:$G$4503,_imp!$C$3158))</f>
        <v/>
      </c>
      <c r="E3156" s="54">
        <f>IF(_imp!$C$3158="","",INDEX(_imp!$H$4:$H$4503,_imp!$C$3158))</f>
        <v/>
      </c>
      <c r="F3156" s="54">
        <f>IF(_imp!$C$3158="","",INDEX(_imp!$I$4:$I$4503,_imp!$C$3158))</f>
        <v/>
      </c>
      <c r="G3156" s="54">
        <f>IF(_imp!$C$3158="","",INDEX(_imp!$J$4:$J$4503,_imp!$C$3158))</f>
        <v/>
      </c>
      <c r="K3156" s="54">
        <f>IF(_imp!$C$3158="","",INDEX(_imp!$K$4:$K$4503,_imp!$C$3158))</f>
        <v/>
      </c>
    </row>
    <row r="3157">
      <c r="A3157" s="54">
        <f>IF(_imp!$C$3159="","",INDEX(_imp!$D$4:$D$4503,_imp!$C$3159))</f>
        <v/>
      </c>
      <c r="B3157" s="54">
        <f>IF(_imp!$C$3159="","",INDEX(_imp!$E$4:$E$4503,_imp!$C$3159))</f>
        <v/>
      </c>
      <c r="C3157" s="54">
        <f>IF(_imp!$C$3159="","",INDEX(_imp!$F$4:$F$4503,_imp!$C$3159))</f>
        <v/>
      </c>
      <c r="D3157" s="54">
        <f>IF(_imp!$C$3159="","",INDEX(_imp!$G$4:$G$4503,_imp!$C$3159))</f>
        <v/>
      </c>
      <c r="E3157" s="54">
        <f>IF(_imp!$C$3159="","",INDEX(_imp!$H$4:$H$4503,_imp!$C$3159))</f>
        <v/>
      </c>
      <c r="F3157" s="54">
        <f>IF(_imp!$C$3159="","",INDEX(_imp!$I$4:$I$4503,_imp!$C$3159))</f>
        <v/>
      </c>
      <c r="G3157" s="54">
        <f>IF(_imp!$C$3159="","",INDEX(_imp!$J$4:$J$4503,_imp!$C$3159))</f>
        <v/>
      </c>
      <c r="K3157" s="54">
        <f>IF(_imp!$C$3159="","",INDEX(_imp!$K$4:$K$4503,_imp!$C$3159))</f>
        <v/>
      </c>
    </row>
    <row r="3158">
      <c r="A3158" s="54">
        <f>IF(_imp!$C$3160="","",INDEX(_imp!$D$4:$D$4503,_imp!$C$3160))</f>
        <v/>
      </c>
      <c r="B3158" s="54">
        <f>IF(_imp!$C$3160="","",INDEX(_imp!$E$4:$E$4503,_imp!$C$3160))</f>
        <v/>
      </c>
      <c r="C3158" s="54">
        <f>IF(_imp!$C$3160="","",INDEX(_imp!$F$4:$F$4503,_imp!$C$3160))</f>
        <v/>
      </c>
      <c r="D3158" s="54">
        <f>IF(_imp!$C$3160="","",INDEX(_imp!$G$4:$G$4503,_imp!$C$3160))</f>
        <v/>
      </c>
      <c r="E3158" s="54">
        <f>IF(_imp!$C$3160="","",INDEX(_imp!$H$4:$H$4503,_imp!$C$3160))</f>
        <v/>
      </c>
      <c r="F3158" s="54">
        <f>IF(_imp!$C$3160="","",INDEX(_imp!$I$4:$I$4503,_imp!$C$3160))</f>
        <v/>
      </c>
      <c r="G3158" s="54">
        <f>IF(_imp!$C$3160="","",INDEX(_imp!$J$4:$J$4503,_imp!$C$3160))</f>
        <v/>
      </c>
      <c r="K3158" s="54">
        <f>IF(_imp!$C$3160="","",INDEX(_imp!$K$4:$K$4503,_imp!$C$3160))</f>
        <v/>
      </c>
    </row>
    <row r="3159">
      <c r="A3159" s="54">
        <f>IF(_imp!$C$3161="","",INDEX(_imp!$D$4:$D$4503,_imp!$C$3161))</f>
        <v/>
      </c>
      <c r="B3159" s="54">
        <f>IF(_imp!$C$3161="","",INDEX(_imp!$E$4:$E$4503,_imp!$C$3161))</f>
        <v/>
      </c>
      <c r="C3159" s="54">
        <f>IF(_imp!$C$3161="","",INDEX(_imp!$F$4:$F$4503,_imp!$C$3161))</f>
        <v/>
      </c>
      <c r="D3159" s="54">
        <f>IF(_imp!$C$3161="","",INDEX(_imp!$G$4:$G$4503,_imp!$C$3161))</f>
        <v/>
      </c>
      <c r="E3159" s="54">
        <f>IF(_imp!$C$3161="","",INDEX(_imp!$H$4:$H$4503,_imp!$C$3161))</f>
        <v/>
      </c>
      <c r="F3159" s="54">
        <f>IF(_imp!$C$3161="","",INDEX(_imp!$I$4:$I$4503,_imp!$C$3161))</f>
        <v/>
      </c>
      <c r="G3159" s="54">
        <f>IF(_imp!$C$3161="","",INDEX(_imp!$J$4:$J$4503,_imp!$C$3161))</f>
        <v/>
      </c>
      <c r="K3159" s="54">
        <f>IF(_imp!$C$3161="","",INDEX(_imp!$K$4:$K$4503,_imp!$C$3161))</f>
        <v/>
      </c>
    </row>
    <row r="3160">
      <c r="A3160" s="54">
        <f>IF(_imp!$C$3162="","",INDEX(_imp!$D$4:$D$4503,_imp!$C$3162))</f>
        <v/>
      </c>
      <c r="B3160" s="54">
        <f>IF(_imp!$C$3162="","",INDEX(_imp!$E$4:$E$4503,_imp!$C$3162))</f>
        <v/>
      </c>
      <c r="C3160" s="54">
        <f>IF(_imp!$C$3162="","",INDEX(_imp!$F$4:$F$4503,_imp!$C$3162))</f>
        <v/>
      </c>
      <c r="D3160" s="54">
        <f>IF(_imp!$C$3162="","",INDEX(_imp!$G$4:$G$4503,_imp!$C$3162))</f>
        <v/>
      </c>
      <c r="E3160" s="54">
        <f>IF(_imp!$C$3162="","",INDEX(_imp!$H$4:$H$4503,_imp!$C$3162))</f>
        <v/>
      </c>
      <c r="F3160" s="54">
        <f>IF(_imp!$C$3162="","",INDEX(_imp!$I$4:$I$4503,_imp!$C$3162))</f>
        <v/>
      </c>
      <c r="G3160" s="54">
        <f>IF(_imp!$C$3162="","",INDEX(_imp!$J$4:$J$4503,_imp!$C$3162))</f>
        <v/>
      </c>
      <c r="K3160" s="54">
        <f>IF(_imp!$C$3162="","",INDEX(_imp!$K$4:$K$4503,_imp!$C$3162))</f>
        <v/>
      </c>
    </row>
    <row r="3161">
      <c r="A3161" s="54">
        <f>IF(_imp!$C$3163="","",INDEX(_imp!$D$4:$D$4503,_imp!$C$3163))</f>
        <v/>
      </c>
      <c r="B3161" s="54">
        <f>IF(_imp!$C$3163="","",INDEX(_imp!$E$4:$E$4503,_imp!$C$3163))</f>
        <v/>
      </c>
      <c r="C3161" s="54">
        <f>IF(_imp!$C$3163="","",INDEX(_imp!$F$4:$F$4503,_imp!$C$3163))</f>
        <v/>
      </c>
      <c r="D3161" s="54">
        <f>IF(_imp!$C$3163="","",INDEX(_imp!$G$4:$G$4503,_imp!$C$3163))</f>
        <v/>
      </c>
      <c r="E3161" s="54">
        <f>IF(_imp!$C$3163="","",INDEX(_imp!$H$4:$H$4503,_imp!$C$3163))</f>
        <v/>
      </c>
      <c r="F3161" s="54">
        <f>IF(_imp!$C$3163="","",INDEX(_imp!$I$4:$I$4503,_imp!$C$3163))</f>
        <v/>
      </c>
      <c r="G3161" s="54">
        <f>IF(_imp!$C$3163="","",INDEX(_imp!$J$4:$J$4503,_imp!$C$3163))</f>
        <v/>
      </c>
      <c r="K3161" s="54">
        <f>IF(_imp!$C$3163="","",INDEX(_imp!$K$4:$K$4503,_imp!$C$3163))</f>
        <v/>
      </c>
    </row>
    <row r="3162">
      <c r="A3162" s="54">
        <f>IF(_imp!$C$3164="","",INDEX(_imp!$D$4:$D$4503,_imp!$C$3164))</f>
        <v/>
      </c>
      <c r="B3162" s="54">
        <f>IF(_imp!$C$3164="","",INDEX(_imp!$E$4:$E$4503,_imp!$C$3164))</f>
        <v/>
      </c>
      <c r="C3162" s="54">
        <f>IF(_imp!$C$3164="","",INDEX(_imp!$F$4:$F$4503,_imp!$C$3164))</f>
        <v/>
      </c>
      <c r="D3162" s="54">
        <f>IF(_imp!$C$3164="","",INDEX(_imp!$G$4:$G$4503,_imp!$C$3164))</f>
        <v/>
      </c>
      <c r="E3162" s="54">
        <f>IF(_imp!$C$3164="","",INDEX(_imp!$H$4:$H$4503,_imp!$C$3164))</f>
        <v/>
      </c>
      <c r="F3162" s="54">
        <f>IF(_imp!$C$3164="","",INDEX(_imp!$I$4:$I$4503,_imp!$C$3164))</f>
        <v/>
      </c>
      <c r="G3162" s="54">
        <f>IF(_imp!$C$3164="","",INDEX(_imp!$J$4:$J$4503,_imp!$C$3164))</f>
        <v/>
      </c>
      <c r="K3162" s="54">
        <f>IF(_imp!$C$3164="","",INDEX(_imp!$K$4:$K$4503,_imp!$C$3164))</f>
        <v/>
      </c>
    </row>
    <row r="3163">
      <c r="A3163" s="54">
        <f>IF(_imp!$C$3165="","",INDEX(_imp!$D$4:$D$4503,_imp!$C$3165))</f>
        <v/>
      </c>
      <c r="B3163" s="54">
        <f>IF(_imp!$C$3165="","",INDEX(_imp!$E$4:$E$4503,_imp!$C$3165))</f>
        <v/>
      </c>
      <c r="C3163" s="54">
        <f>IF(_imp!$C$3165="","",INDEX(_imp!$F$4:$F$4503,_imp!$C$3165))</f>
        <v/>
      </c>
      <c r="D3163" s="54">
        <f>IF(_imp!$C$3165="","",INDEX(_imp!$G$4:$G$4503,_imp!$C$3165))</f>
        <v/>
      </c>
      <c r="E3163" s="54">
        <f>IF(_imp!$C$3165="","",INDEX(_imp!$H$4:$H$4503,_imp!$C$3165))</f>
        <v/>
      </c>
      <c r="F3163" s="54">
        <f>IF(_imp!$C$3165="","",INDEX(_imp!$I$4:$I$4503,_imp!$C$3165))</f>
        <v/>
      </c>
      <c r="G3163" s="54">
        <f>IF(_imp!$C$3165="","",INDEX(_imp!$J$4:$J$4503,_imp!$C$3165))</f>
        <v/>
      </c>
      <c r="K3163" s="54">
        <f>IF(_imp!$C$3165="","",INDEX(_imp!$K$4:$K$4503,_imp!$C$3165))</f>
        <v/>
      </c>
    </row>
    <row r="3164">
      <c r="A3164" s="54">
        <f>IF(_imp!$C$3166="","",INDEX(_imp!$D$4:$D$4503,_imp!$C$3166))</f>
        <v/>
      </c>
      <c r="B3164" s="54">
        <f>IF(_imp!$C$3166="","",INDEX(_imp!$E$4:$E$4503,_imp!$C$3166))</f>
        <v/>
      </c>
      <c r="C3164" s="54">
        <f>IF(_imp!$C$3166="","",INDEX(_imp!$F$4:$F$4503,_imp!$C$3166))</f>
        <v/>
      </c>
      <c r="D3164" s="54">
        <f>IF(_imp!$C$3166="","",INDEX(_imp!$G$4:$G$4503,_imp!$C$3166))</f>
        <v/>
      </c>
      <c r="E3164" s="54">
        <f>IF(_imp!$C$3166="","",INDEX(_imp!$H$4:$H$4503,_imp!$C$3166))</f>
        <v/>
      </c>
      <c r="F3164" s="54">
        <f>IF(_imp!$C$3166="","",INDEX(_imp!$I$4:$I$4503,_imp!$C$3166))</f>
        <v/>
      </c>
      <c r="G3164" s="54">
        <f>IF(_imp!$C$3166="","",INDEX(_imp!$J$4:$J$4503,_imp!$C$3166))</f>
        <v/>
      </c>
      <c r="K3164" s="54">
        <f>IF(_imp!$C$3166="","",INDEX(_imp!$K$4:$K$4503,_imp!$C$3166))</f>
        <v/>
      </c>
    </row>
    <row r="3165">
      <c r="A3165" s="54">
        <f>IF(_imp!$C$3167="","",INDEX(_imp!$D$4:$D$4503,_imp!$C$3167))</f>
        <v/>
      </c>
      <c r="B3165" s="54">
        <f>IF(_imp!$C$3167="","",INDEX(_imp!$E$4:$E$4503,_imp!$C$3167))</f>
        <v/>
      </c>
      <c r="C3165" s="54">
        <f>IF(_imp!$C$3167="","",INDEX(_imp!$F$4:$F$4503,_imp!$C$3167))</f>
        <v/>
      </c>
      <c r="D3165" s="54">
        <f>IF(_imp!$C$3167="","",INDEX(_imp!$G$4:$G$4503,_imp!$C$3167))</f>
        <v/>
      </c>
      <c r="E3165" s="54">
        <f>IF(_imp!$C$3167="","",INDEX(_imp!$H$4:$H$4503,_imp!$C$3167))</f>
        <v/>
      </c>
      <c r="F3165" s="54">
        <f>IF(_imp!$C$3167="","",INDEX(_imp!$I$4:$I$4503,_imp!$C$3167))</f>
        <v/>
      </c>
      <c r="G3165" s="54">
        <f>IF(_imp!$C$3167="","",INDEX(_imp!$J$4:$J$4503,_imp!$C$3167))</f>
        <v/>
      </c>
      <c r="K3165" s="54">
        <f>IF(_imp!$C$3167="","",INDEX(_imp!$K$4:$K$4503,_imp!$C$3167))</f>
        <v/>
      </c>
    </row>
    <row r="3166">
      <c r="A3166" s="54">
        <f>IF(_imp!$C$3168="","",INDEX(_imp!$D$4:$D$4503,_imp!$C$3168))</f>
        <v/>
      </c>
      <c r="B3166" s="54">
        <f>IF(_imp!$C$3168="","",INDEX(_imp!$E$4:$E$4503,_imp!$C$3168))</f>
        <v/>
      </c>
      <c r="C3166" s="54">
        <f>IF(_imp!$C$3168="","",INDEX(_imp!$F$4:$F$4503,_imp!$C$3168))</f>
        <v/>
      </c>
      <c r="D3166" s="54">
        <f>IF(_imp!$C$3168="","",INDEX(_imp!$G$4:$G$4503,_imp!$C$3168))</f>
        <v/>
      </c>
      <c r="E3166" s="54">
        <f>IF(_imp!$C$3168="","",INDEX(_imp!$H$4:$H$4503,_imp!$C$3168))</f>
        <v/>
      </c>
      <c r="F3166" s="54">
        <f>IF(_imp!$C$3168="","",INDEX(_imp!$I$4:$I$4503,_imp!$C$3168))</f>
        <v/>
      </c>
      <c r="G3166" s="54">
        <f>IF(_imp!$C$3168="","",INDEX(_imp!$J$4:$J$4503,_imp!$C$3168))</f>
        <v/>
      </c>
      <c r="K3166" s="54">
        <f>IF(_imp!$C$3168="","",INDEX(_imp!$K$4:$K$4503,_imp!$C$3168))</f>
        <v/>
      </c>
    </row>
    <row r="3167">
      <c r="A3167" s="54">
        <f>IF(_imp!$C$3169="","",INDEX(_imp!$D$4:$D$4503,_imp!$C$3169))</f>
        <v/>
      </c>
      <c r="B3167" s="54">
        <f>IF(_imp!$C$3169="","",INDEX(_imp!$E$4:$E$4503,_imp!$C$3169))</f>
        <v/>
      </c>
      <c r="C3167" s="54">
        <f>IF(_imp!$C$3169="","",INDEX(_imp!$F$4:$F$4503,_imp!$C$3169))</f>
        <v/>
      </c>
      <c r="D3167" s="54">
        <f>IF(_imp!$C$3169="","",INDEX(_imp!$G$4:$G$4503,_imp!$C$3169))</f>
        <v/>
      </c>
      <c r="E3167" s="54">
        <f>IF(_imp!$C$3169="","",INDEX(_imp!$H$4:$H$4503,_imp!$C$3169))</f>
        <v/>
      </c>
      <c r="F3167" s="54">
        <f>IF(_imp!$C$3169="","",INDEX(_imp!$I$4:$I$4503,_imp!$C$3169))</f>
        <v/>
      </c>
      <c r="G3167" s="54">
        <f>IF(_imp!$C$3169="","",INDEX(_imp!$J$4:$J$4503,_imp!$C$3169))</f>
        <v/>
      </c>
      <c r="K3167" s="54">
        <f>IF(_imp!$C$3169="","",INDEX(_imp!$K$4:$K$4503,_imp!$C$3169))</f>
        <v/>
      </c>
    </row>
    <row r="3168">
      <c r="A3168" s="54">
        <f>IF(_imp!$C$3170="","",INDEX(_imp!$D$4:$D$4503,_imp!$C$3170))</f>
        <v/>
      </c>
      <c r="B3168" s="54">
        <f>IF(_imp!$C$3170="","",INDEX(_imp!$E$4:$E$4503,_imp!$C$3170))</f>
        <v/>
      </c>
      <c r="C3168" s="54">
        <f>IF(_imp!$C$3170="","",INDEX(_imp!$F$4:$F$4503,_imp!$C$3170))</f>
        <v/>
      </c>
      <c r="D3168" s="54">
        <f>IF(_imp!$C$3170="","",INDEX(_imp!$G$4:$G$4503,_imp!$C$3170))</f>
        <v/>
      </c>
      <c r="E3168" s="54">
        <f>IF(_imp!$C$3170="","",INDEX(_imp!$H$4:$H$4503,_imp!$C$3170))</f>
        <v/>
      </c>
      <c r="F3168" s="54">
        <f>IF(_imp!$C$3170="","",INDEX(_imp!$I$4:$I$4503,_imp!$C$3170))</f>
        <v/>
      </c>
      <c r="G3168" s="54">
        <f>IF(_imp!$C$3170="","",INDEX(_imp!$J$4:$J$4503,_imp!$C$3170))</f>
        <v/>
      </c>
      <c r="K3168" s="54">
        <f>IF(_imp!$C$3170="","",INDEX(_imp!$K$4:$K$4503,_imp!$C$3170))</f>
        <v/>
      </c>
    </row>
    <row r="3169">
      <c r="A3169" s="54">
        <f>IF(_imp!$C$3171="","",INDEX(_imp!$D$4:$D$4503,_imp!$C$3171))</f>
        <v/>
      </c>
      <c r="B3169" s="54">
        <f>IF(_imp!$C$3171="","",INDEX(_imp!$E$4:$E$4503,_imp!$C$3171))</f>
        <v/>
      </c>
      <c r="C3169" s="54">
        <f>IF(_imp!$C$3171="","",INDEX(_imp!$F$4:$F$4503,_imp!$C$3171))</f>
        <v/>
      </c>
      <c r="D3169" s="54">
        <f>IF(_imp!$C$3171="","",INDEX(_imp!$G$4:$G$4503,_imp!$C$3171))</f>
        <v/>
      </c>
      <c r="E3169" s="54">
        <f>IF(_imp!$C$3171="","",INDEX(_imp!$H$4:$H$4503,_imp!$C$3171))</f>
        <v/>
      </c>
      <c r="F3169" s="54">
        <f>IF(_imp!$C$3171="","",INDEX(_imp!$I$4:$I$4503,_imp!$C$3171))</f>
        <v/>
      </c>
      <c r="G3169" s="54">
        <f>IF(_imp!$C$3171="","",INDEX(_imp!$J$4:$J$4503,_imp!$C$3171))</f>
        <v/>
      </c>
      <c r="K3169" s="54">
        <f>IF(_imp!$C$3171="","",INDEX(_imp!$K$4:$K$4503,_imp!$C$3171))</f>
        <v/>
      </c>
    </row>
    <row r="3170">
      <c r="A3170" s="54">
        <f>IF(_imp!$C$3172="","",INDEX(_imp!$D$4:$D$4503,_imp!$C$3172))</f>
        <v/>
      </c>
      <c r="B3170" s="54">
        <f>IF(_imp!$C$3172="","",INDEX(_imp!$E$4:$E$4503,_imp!$C$3172))</f>
        <v/>
      </c>
      <c r="C3170" s="54">
        <f>IF(_imp!$C$3172="","",INDEX(_imp!$F$4:$F$4503,_imp!$C$3172))</f>
        <v/>
      </c>
      <c r="D3170" s="54">
        <f>IF(_imp!$C$3172="","",INDEX(_imp!$G$4:$G$4503,_imp!$C$3172))</f>
        <v/>
      </c>
      <c r="E3170" s="54">
        <f>IF(_imp!$C$3172="","",INDEX(_imp!$H$4:$H$4503,_imp!$C$3172))</f>
        <v/>
      </c>
      <c r="F3170" s="54">
        <f>IF(_imp!$C$3172="","",INDEX(_imp!$I$4:$I$4503,_imp!$C$3172))</f>
        <v/>
      </c>
      <c r="G3170" s="54">
        <f>IF(_imp!$C$3172="","",INDEX(_imp!$J$4:$J$4503,_imp!$C$3172))</f>
        <v/>
      </c>
      <c r="K3170" s="54">
        <f>IF(_imp!$C$3172="","",INDEX(_imp!$K$4:$K$4503,_imp!$C$3172))</f>
        <v/>
      </c>
    </row>
    <row r="3171">
      <c r="A3171" s="54">
        <f>IF(_imp!$C$3173="","",INDEX(_imp!$D$4:$D$4503,_imp!$C$3173))</f>
        <v/>
      </c>
      <c r="B3171" s="54">
        <f>IF(_imp!$C$3173="","",INDEX(_imp!$E$4:$E$4503,_imp!$C$3173))</f>
        <v/>
      </c>
      <c r="C3171" s="54">
        <f>IF(_imp!$C$3173="","",INDEX(_imp!$F$4:$F$4503,_imp!$C$3173))</f>
        <v/>
      </c>
      <c r="D3171" s="54">
        <f>IF(_imp!$C$3173="","",INDEX(_imp!$G$4:$G$4503,_imp!$C$3173))</f>
        <v/>
      </c>
      <c r="E3171" s="54">
        <f>IF(_imp!$C$3173="","",INDEX(_imp!$H$4:$H$4503,_imp!$C$3173))</f>
        <v/>
      </c>
      <c r="F3171" s="54">
        <f>IF(_imp!$C$3173="","",INDEX(_imp!$I$4:$I$4503,_imp!$C$3173))</f>
        <v/>
      </c>
      <c r="G3171" s="54">
        <f>IF(_imp!$C$3173="","",INDEX(_imp!$J$4:$J$4503,_imp!$C$3173))</f>
        <v/>
      </c>
      <c r="K3171" s="54">
        <f>IF(_imp!$C$3173="","",INDEX(_imp!$K$4:$K$4503,_imp!$C$3173))</f>
        <v/>
      </c>
    </row>
    <row r="3172">
      <c r="A3172" s="54">
        <f>IF(_imp!$C$3174="","",INDEX(_imp!$D$4:$D$4503,_imp!$C$3174))</f>
        <v/>
      </c>
      <c r="B3172" s="54">
        <f>IF(_imp!$C$3174="","",INDEX(_imp!$E$4:$E$4503,_imp!$C$3174))</f>
        <v/>
      </c>
      <c r="C3172" s="54">
        <f>IF(_imp!$C$3174="","",INDEX(_imp!$F$4:$F$4503,_imp!$C$3174))</f>
        <v/>
      </c>
      <c r="D3172" s="54">
        <f>IF(_imp!$C$3174="","",INDEX(_imp!$G$4:$G$4503,_imp!$C$3174))</f>
        <v/>
      </c>
      <c r="E3172" s="54">
        <f>IF(_imp!$C$3174="","",INDEX(_imp!$H$4:$H$4503,_imp!$C$3174))</f>
        <v/>
      </c>
      <c r="F3172" s="54">
        <f>IF(_imp!$C$3174="","",INDEX(_imp!$I$4:$I$4503,_imp!$C$3174))</f>
        <v/>
      </c>
      <c r="G3172" s="54">
        <f>IF(_imp!$C$3174="","",INDEX(_imp!$J$4:$J$4503,_imp!$C$3174))</f>
        <v/>
      </c>
      <c r="K3172" s="54">
        <f>IF(_imp!$C$3174="","",INDEX(_imp!$K$4:$K$4503,_imp!$C$3174))</f>
        <v/>
      </c>
    </row>
    <row r="3173">
      <c r="A3173" s="54">
        <f>IF(_imp!$C$3175="","",INDEX(_imp!$D$4:$D$4503,_imp!$C$3175))</f>
        <v/>
      </c>
      <c r="B3173" s="54">
        <f>IF(_imp!$C$3175="","",INDEX(_imp!$E$4:$E$4503,_imp!$C$3175))</f>
        <v/>
      </c>
      <c r="C3173" s="54">
        <f>IF(_imp!$C$3175="","",INDEX(_imp!$F$4:$F$4503,_imp!$C$3175))</f>
        <v/>
      </c>
      <c r="D3173" s="54">
        <f>IF(_imp!$C$3175="","",INDEX(_imp!$G$4:$G$4503,_imp!$C$3175))</f>
        <v/>
      </c>
      <c r="E3173" s="54">
        <f>IF(_imp!$C$3175="","",INDEX(_imp!$H$4:$H$4503,_imp!$C$3175))</f>
        <v/>
      </c>
      <c r="F3173" s="54">
        <f>IF(_imp!$C$3175="","",INDEX(_imp!$I$4:$I$4503,_imp!$C$3175))</f>
        <v/>
      </c>
      <c r="G3173" s="54">
        <f>IF(_imp!$C$3175="","",INDEX(_imp!$J$4:$J$4503,_imp!$C$3175))</f>
        <v/>
      </c>
      <c r="K3173" s="54">
        <f>IF(_imp!$C$3175="","",INDEX(_imp!$K$4:$K$4503,_imp!$C$3175))</f>
        <v/>
      </c>
    </row>
    <row r="3174">
      <c r="A3174" s="54">
        <f>IF(_imp!$C$3176="","",INDEX(_imp!$D$4:$D$4503,_imp!$C$3176))</f>
        <v/>
      </c>
      <c r="B3174" s="54">
        <f>IF(_imp!$C$3176="","",INDEX(_imp!$E$4:$E$4503,_imp!$C$3176))</f>
        <v/>
      </c>
      <c r="C3174" s="54">
        <f>IF(_imp!$C$3176="","",INDEX(_imp!$F$4:$F$4503,_imp!$C$3176))</f>
        <v/>
      </c>
      <c r="D3174" s="54">
        <f>IF(_imp!$C$3176="","",INDEX(_imp!$G$4:$G$4503,_imp!$C$3176))</f>
        <v/>
      </c>
      <c r="E3174" s="54">
        <f>IF(_imp!$C$3176="","",INDEX(_imp!$H$4:$H$4503,_imp!$C$3176))</f>
        <v/>
      </c>
      <c r="F3174" s="54">
        <f>IF(_imp!$C$3176="","",INDEX(_imp!$I$4:$I$4503,_imp!$C$3176))</f>
        <v/>
      </c>
      <c r="G3174" s="54">
        <f>IF(_imp!$C$3176="","",INDEX(_imp!$J$4:$J$4503,_imp!$C$3176))</f>
        <v/>
      </c>
      <c r="K3174" s="54">
        <f>IF(_imp!$C$3176="","",INDEX(_imp!$K$4:$K$4503,_imp!$C$3176))</f>
        <v/>
      </c>
    </row>
    <row r="3175">
      <c r="A3175" s="54">
        <f>IF(_imp!$C$3177="","",INDEX(_imp!$D$4:$D$4503,_imp!$C$3177))</f>
        <v/>
      </c>
      <c r="B3175" s="54">
        <f>IF(_imp!$C$3177="","",INDEX(_imp!$E$4:$E$4503,_imp!$C$3177))</f>
        <v/>
      </c>
      <c r="C3175" s="54">
        <f>IF(_imp!$C$3177="","",INDEX(_imp!$F$4:$F$4503,_imp!$C$3177))</f>
        <v/>
      </c>
      <c r="D3175" s="54">
        <f>IF(_imp!$C$3177="","",INDEX(_imp!$G$4:$G$4503,_imp!$C$3177))</f>
        <v/>
      </c>
      <c r="E3175" s="54">
        <f>IF(_imp!$C$3177="","",INDEX(_imp!$H$4:$H$4503,_imp!$C$3177))</f>
        <v/>
      </c>
      <c r="F3175" s="54">
        <f>IF(_imp!$C$3177="","",INDEX(_imp!$I$4:$I$4503,_imp!$C$3177))</f>
        <v/>
      </c>
      <c r="G3175" s="54">
        <f>IF(_imp!$C$3177="","",INDEX(_imp!$J$4:$J$4503,_imp!$C$3177))</f>
        <v/>
      </c>
      <c r="K3175" s="54">
        <f>IF(_imp!$C$3177="","",INDEX(_imp!$K$4:$K$4503,_imp!$C$3177))</f>
        <v/>
      </c>
    </row>
    <row r="3176">
      <c r="A3176" s="54">
        <f>IF(_imp!$C$3178="","",INDEX(_imp!$D$4:$D$4503,_imp!$C$3178))</f>
        <v/>
      </c>
      <c r="B3176" s="54">
        <f>IF(_imp!$C$3178="","",INDEX(_imp!$E$4:$E$4503,_imp!$C$3178))</f>
        <v/>
      </c>
      <c r="C3176" s="54">
        <f>IF(_imp!$C$3178="","",INDEX(_imp!$F$4:$F$4503,_imp!$C$3178))</f>
        <v/>
      </c>
      <c r="D3176" s="54">
        <f>IF(_imp!$C$3178="","",INDEX(_imp!$G$4:$G$4503,_imp!$C$3178))</f>
        <v/>
      </c>
      <c r="E3176" s="54">
        <f>IF(_imp!$C$3178="","",INDEX(_imp!$H$4:$H$4503,_imp!$C$3178))</f>
        <v/>
      </c>
      <c r="F3176" s="54">
        <f>IF(_imp!$C$3178="","",INDEX(_imp!$I$4:$I$4503,_imp!$C$3178))</f>
        <v/>
      </c>
      <c r="G3176" s="54">
        <f>IF(_imp!$C$3178="","",INDEX(_imp!$J$4:$J$4503,_imp!$C$3178))</f>
        <v/>
      </c>
      <c r="K3176" s="54">
        <f>IF(_imp!$C$3178="","",INDEX(_imp!$K$4:$K$4503,_imp!$C$3178))</f>
        <v/>
      </c>
    </row>
    <row r="3177">
      <c r="A3177" s="54">
        <f>IF(_imp!$C$3179="","",INDEX(_imp!$D$4:$D$4503,_imp!$C$3179))</f>
        <v/>
      </c>
      <c r="B3177" s="54">
        <f>IF(_imp!$C$3179="","",INDEX(_imp!$E$4:$E$4503,_imp!$C$3179))</f>
        <v/>
      </c>
      <c r="C3177" s="54">
        <f>IF(_imp!$C$3179="","",INDEX(_imp!$F$4:$F$4503,_imp!$C$3179))</f>
        <v/>
      </c>
      <c r="D3177" s="54">
        <f>IF(_imp!$C$3179="","",INDEX(_imp!$G$4:$G$4503,_imp!$C$3179))</f>
        <v/>
      </c>
      <c r="E3177" s="54">
        <f>IF(_imp!$C$3179="","",INDEX(_imp!$H$4:$H$4503,_imp!$C$3179))</f>
        <v/>
      </c>
      <c r="F3177" s="54">
        <f>IF(_imp!$C$3179="","",INDEX(_imp!$I$4:$I$4503,_imp!$C$3179))</f>
        <v/>
      </c>
      <c r="G3177" s="54">
        <f>IF(_imp!$C$3179="","",INDEX(_imp!$J$4:$J$4503,_imp!$C$3179))</f>
        <v/>
      </c>
      <c r="K3177" s="54">
        <f>IF(_imp!$C$3179="","",INDEX(_imp!$K$4:$K$4503,_imp!$C$3179))</f>
        <v/>
      </c>
    </row>
    <row r="3178">
      <c r="A3178" s="54">
        <f>IF(_imp!$C$3180="","",INDEX(_imp!$D$4:$D$4503,_imp!$C$3180))</f>
        <v/>
      </c>
      <c r="B3178" s="54">
        <f>IF(_imp!$C$3180="","",INDEX(_imp!$E$4:$E$4503,_imp!$C$3180))</f>
        <v/>
      </c>
      <c r="C3178" s="54">
        <f>IF(_imp!$C$3180="","",INDEX(_imp!$F$4:$F$4503,_imp!$C$3180))</f>
        <v/>
      </c>
      <c r="D3178" s="54">
        <f>IF(_imp!$C$3180="","",INDEX(_imp!$G$4:$G$4503,_imp!$C$3180))</f>
        <v/>
      </c>
      <c r="E3178" s="54">
        <f>IF(_imp!$C$3180="","",INDEX(_imp!$H$4:$H$4503,_imp!$C$3180))</f>
        <v/>
      </c>
      <c r="F3178" s="54">
        <f>IF(_imp!$C$3180="","",INDEX(_imp!$I$4:$I$4503,_imp!$C$3180))</f>
        <v/>
      </c>
      <c r="G3178" s="54">
        <f>IF(_imp!$C$3180="","",INDEX(_imp!$J$4:$J$4503,_imp!$C$3180))</f>
        <v/>
      </c>
      <c r="K3178" s="54">
        <f>IF(_imp!$C$3180="","",INDEX(_imp!$K$4:$K$4503,_imp!$C$3180))</f>
        <v/>
      </c>
    </row>
    <row r="3179">
      <c r="A3179" s="54">
        <f>IF(_imp!$C$3181="","",INDEX(_imp!$D$4:$D$4503,_imp!$C$3181))</f>
        <v/>
      </c>
      <c r="B3179" s="54">
        <f>IF(_imp!$C$3181="","",INDEX(_imp!$E$4:$E$4503,_imp!$C$3181))</f>
        <v/>
      </c>
      <c r="C3179" s="54">
        <f>IF(_imp!$C$3181="","",INDEX(_imp!$F$4:$F$4503,_imp!$C$3181))</f>
        <v/>
      </c>
      <c r="D3179" s="54">
        <f>IF(_imp!$C$3181="","",INDEX(_imp!$G$4:$G$4503,_imp!$C$3181))</f>
        <v/>
      </c>
      <c r="E3179" s="54">
        <f>IF(_imp!$C$3181="","",INDEX(_imp!$H$4:$H$4503,_imp!$C$3181))</f>
        <v/>
      </c>
      <c r="F3179" s="54">
        <f>IF(_imp!$C$3181="","",INDEX(_imp!$I$4:$I$4503,_imp!$C$3181))</f>
        <v/>
      </c>
      <c r="G3179" s="54">
        <f>IF(_imp!$C$3181="","",INDEX(_imp!$J$4:$J$4503,_imp!$C$3181))</f>
        <v/>
      </c>
      <c r="K3179" s="54">
        <f>IF(_imp!$C$3181="","",INDEX(_imp!$K$4:$K$4503,_imp!$C$3181))</f>
        <v/>
      </c>
    </row>
    <row r="3180">
      <c r="A3180" s="54">
        <f>IF(_imp!$C$3182="","",INDEX(_imp!$D$4:$D$4503,_imp!$C$3182))</f>
        <v/>
      </c>
      <c r="B3180" s="54">
        <f>IF(_imp!$C$3182="","",INDEX(_imp!$E$4:$E$4503,_imp!$C$3182))</f>
        <v/>
      </c>
      <c r="C3180" s="54">
        <f>IF(_imp!$C$3182="","",INDEX(_imp!$F$4:$F$4503,_imp!$C$3182))</f>
        <v/>
      </c>
      <c r="D3180" s="54">
        <f>IF(_imp!$C$3182="","",INDEX(_imp!$G$4:$G$4503,_imp!$C$3182))</f>
        <v/>
      </c>
      <c r="E3180" s="54">
        <f>IF(_imp!$C$3182="","",INDEX(_imp!$H$4:$H$4503,_imp!$C$3182))</f>
        <v/>
      </c>
      <c r="F3180" s="54">
        <f>IF(_imp!$C$3182="","",INDEX(_imp!$I$4:$I$4503,_imp!$C$3182))</f>
        <v/>
      </c>
      <c r="G3180" s="54">
        <f>IF(_imp!$C$3182="","",INDEX(_imp!$J$4:$J$4503,_imp!$C$3182))</f>
        <v/>
      </c>
      <c r="K3180" s="54">
        <f>IF(_imp!$C$3182="","",INDEX(_imp!$K$4:$K$4503,_imp!$C$3182))</f>
        <v/>
      </c>
    </row>
    <row r="3181">
      <c r="A3181" s="54">
        <f>IF(_imp!$C$3183="","",INDEX(_imp!$D$4:$D$4503,_imp!$C$3183))</f>
        <v/>
      </c>
      <c r="B3181" s="54">
        <f>IF(_imp!$C$3183="","",INDEX(_imp!$E$4:$E$4503,_imp!$C$3183))</f>
        <v/>
      </c>
      <c r="C3181" s="54">
        <f>IF(_imp!$C$3183="","",INDEX(_imp!$F$4:$F$4503,_imp!$C$3183))</f>
        <v/>
      </c>
      <c r="D3181" s="54">
        <f>IF(_imp!$C$3183="","",INDEX(_imp!$G$4:$G$4503,_imp!$C$3183))</f>
        <v/>
      </c>
      <c r="E3181" s="54">
        <f>IF(_imp!$C$3183="","",INDEX(_imp!$H$4:$H$4503,_imp!$C$3183))</f>
        <v/>
      </c>
      <c r="F3181" s="54">
        <f>IF(_imp!$C$3183="","",INDEX(_imp!$I$4:$I$4503,_imp!$C$3183))</f>
        <v/>
      </c>
      <c r="G3181" s="54">
        <f>IF(_imp!$C$3183="","",INDEX(_imp!$J$4:$J$4503,_imp!$C$3183))</f>
        <v/>
      </c>
      <c r="K3181" s="54">
        <f>IF(_imp!$C$3183="","",INDEX(_imp!$K$4:$K$4503,_imp!$C$3183))</f>
        <v/>
      </c>
    </row>
    <row r="3182">
      <c r="A3182" s="54">
        <f>IF(_imp!$C$3184="","",INDEX(_imp!$D$4:$D$4503,_imp!$C$3184))</f>
        <v/>
      </c>
      <c r="B3182" s="54">
        <f>IF(_imp!$C$3184="","",INDEX(_imp!$E$4:$E$4503,_imp!$C$3184))</f>
        <v/>
      </c>
      <c r="C3182" s="54">
        <f>IF(_imp!$C$3184="","",INDEX(_imp!$F$4:$F$4503,_imp!$C$3184))</f>
        <v/>
      </c>
      <c r="D3182" s="54">
        <f>IF(_imp!$C$3184="","",INDEX(_imp!$G$4:$G$4503,_imp!$C$3184))</f>
        <v/>
      </c>
      <c r="E3182" s="54">
        <f>IF(_imp!$C$3184="","",INDEX(_imp!$H$4:$H$4503,_imp!$C$3184))</f>
        <v/>
      </c>
      <c r="F3182" s="54">
        <f>IF(_imp!$C$3184="","",INDEX(_imp!$I$4:$I$4503,_imp!$C$3184))</f>
        <v/>
      </c>
      <c r="G3182" s="54">
        <f>IF(_imp!$C$3184="","",INDEX(_imp!$J$4:$J$4503,_imp!$C$3184))</f>
        <v/>
      </c>
      <c r="K3182" s="54">
        <f>IF(_imp!$C$3184="","",INDEX(_imp!$K$4:$K$4503,_imp!$C$3184))</f>
        <v/>
      </c>
    </row>
    <row r="3183">
      <c r="A3183" s="54">
        <f>IF(_imp!$C$3185="","",INDEX(_imp!$D$4:$D$4503,_imp!$C$3185))</f>
        <v/>
      </c>
      <c r="B3183" s="54">
        <f>IF(_imp!$C$3185="","",INDEX(_imp!$E$4:$E$4503,_imp!$C$3185))</f>
        <v/>
      </c>
      <c r="C3183" s="54">
        <f>IF(_imp!$C$3185="","",INDEX(_imp!$F$4:$F$4503,_imp!$C$3185))</f>
        <v/>
      </c>
      <c r="D3183" s="54">
        <f>IF(_imp!$C$3185="","",INDEX(_imp!$G$4:$G$4503,_imp!$C$3185))</f>
        <v/>
      </c>
      <c r="E3183" s="54">
        <f>IF(_imp!$C$3185="","",INDEX(_imp!$H$4:$H$4503,_imp!$C$3185))</f>
        <v/>
      </c>
      <c r="F3183" s="54">
        <f>IF(_imp!$C$3185="","",INDEX(_imp!$I$4:$I$4503,_imp!$C$3185))</f>
        <v/>
      </c>
      <c r="G3183" s="54">
        <f>IF(_imp!$C$3185="","",INDEX(_imp!$J$4:$J$4503,_imp!$C$3185))</f>
        <v/>
      </c>
      <c r="K3183" s="54">
        <f>IF(_imp!$C$3185="","",INDEX(_imp!$K$4:$K$4503,_imp!$C$3185))</f>
        <v/>
      </c>
    </row>
    <row r="3184">
      <c r="A3184" s="54">
        <f>IF(_imp!$C$3186="","",INDEX(_imp!$D$4:$D$4503,_imp!$C$3186))</f>
        <v/>
      </c>
      <c r="B3184" s="54">
        <f>IF(_imp!$C$3186="","",INDEX(_imp!$E$4:$E$4503,_imp!$C$3186))</f>
        <v/>
      </c>
      <c r="C3184" s="54">
        <f>IF(_imp!$C$3186="","",INDEX(_imp!$F$4:$F$4503,_imp!$C$3186))</f>
        <v/>
      </c>
      <c r="D3184" s="54">
        <f>IF(_imp!$C$3186="","",INDEX(_imp!$G$4:$G$4503,_imp!$C$3186))</f>
        <v/>
      </c>
      <c r="E3184" s="54">
        <f>IF(_imp!$C$3186="","",INDEX(_imp!$H$4:$H$4503,_imp!$C$3186))</f>
        <v/>
      </c>
      <c r="F3184" s="54">
        <f>IF(_imp!$C$3186="","",INDEX(_imp!$I$4:$I$4503,_imp!$C$3186))</f>
        <v/>
      </c>
      <c r="G3184" s="54">
        <f>IF(_imp!$C$3186="","",INDEX(_imp!$J$4:$J$4503,_imp!$C$3186))</f>
        <v/>
      </c>
      <c r="K3184" s="54">
        <f>IF(_imp!$C$3186="","",INDEX(_imp!$K$4:$K$4503,_imp!$C$3186))</f>
        <v/>
      </c>
    </row>
    <row r="3185">
      <c r="A3185" s="54">
        <f>IF(_imp!$C$3187="","",INDEX(_imp!$D$4:$D$4503,_imp!$C$3187))</f>
        <v/>
      </c>
      <c r="B3185" s="54">
        <f>IF(_imp!$C$3187="","",INDEX(_imp!$E$4:$E$4503,_imp!$C$3187))</f>
        <v/>
      </c>
      <c r="C3185" s="54">
        <f>IF(_imp!$C$3187="","",INDEX(_imp!$F$4:$F$4503,_imp!$C$3187))</f>
        <v/>
      </c>
      <c r="D3185" s="54">
        <f>IF(_imp!$C$3187="","",INDEX(_imp!$G$4:$G$4503,_imp!$C$3187))</f>
        <v/>
      </c>
      <c r="E3185" s="54">
        <f>IF(_imp!$C$3187="","",INDEX(_imp!$H$4:$H$4503,_imp!$C$3187))</f>
        <v/>
      </c>
      <c r="F3185" s="54">
        <f>IF(_imp!$C$3187="","",INDEX(_imp!$I$4:$I$4503,_imp!$C$3187))</f>
        <v/>
      </c>
      <c r="G3185" s="54">
        <f>IF(_imp!$C$3187="","",INDEX(_imp!$J$4:$J$4503,_imp!$C$3187))</f>
        <v/>
      </c>
      <c r="K3185" s="54">
        <f>IF(_imp!$C$3187="","",INDEX(_imp!$K$4:$K$4503,_imp!$C$3187))</f>
        <v/>
      </c>
    </row>
    <row r="3186">
      <c r="A3186" s="54">
        <f>IF(_imp!$C$3188="","",INDEX(_imp!$D$4:$D$4503,_imp!$C$3188))</f>
        <v/>
      </c>
      <c r="B3186" s="54">
        <f>IF(_imp!$C$3188="","",INDEX(_imp!$E$4:$E$4503,_imp!$C$3188))</f>
        <v/>
      </c>
      <c r="C3186" s="54">
        <f>IF(_imp!$C$3188="","",INDEX(_imp!$F$4:$F$4503,_imp!$C$3188))</f>
        <v/>
      </c>
      <c r="D3186" s="54">
        <f>IF(_imp!$C$3188="","",INDEX(_imp!$G$4:$G$4503,_imp!$C$3188))</f>
        <v/>
      </c>
      <c r="E3186" s="54">
        <f>IF(_imp!$C$3188="","",INDEX(_imp!$H$4:$H$4503,_imp!$C$3188))</f>
        <v/>
      </c>
      <c r="F3186" s="54">
        <f>IF(_imp!$C$3188="","",INDEX(_imp!$I$4:$I$4503,_imp!$C$3188))</f>
        <v/>
      </c>
      <c r="G3186" s="54">
        <f>IF(_imp!$C$3188="","",INDEX(_imp!$J$4:$J$4503,_imp!$C$3188))</f>
        <v/>
      </c>
      <c r="K3186" s="54">
        <f>IF(_imp!$C$3188="","",INDEX(_imp!$K$4:$K$4503,_imp!$C$3188))</f>
        <v/>
      </c>
    </row>
    <row r="3187">
      <c r="A3187" s="54">
        <f>IF(_imp!$C$3189="","",INDEX(_imp!$D$4:$D$4503,_imp!$C$3189))</f>
        <v/>
      </c>
      <c r="B3187" s="54">
        <f>IF(_imp!$C$3189="","",INDEX(_imp!$E$4:$E$4503,_imp!$C$3189))</f>
        <v/>
      </c>
      <c r="C3187" s="54">
        <f>IF(_imp!$C$3189="","",INDEX(_imp!$F$4:$F$4503,_imp!$C$3189))</f>
        <v/>
      </c>
      <c r="D3187" s="54">
        <f>IF(_imp!$C$3189="","",INDEX(_imp!$G$4:$G$4503,_imp!$C$3189))</f>
        <v/>
      </c>
      <c r="E3187" s="54">
        <f>IF(_imp!$C$3189="","",INDEX(_imp!$H$4:$H$4503,_imp!$C$3189))</f>
        <v/>
      </c>
      <c r="F3187" s="54">
        <f>IF(_imp!$C$3189="","",INDEX(_imp!$I$4:$I$4503,_imp!$C$3189))</f>
        <v/>
      </c>
      <c r="G3187" s="54">
        <f>IF(_imp!$C$3189="","",INDEX(_imp!$J$4:$J$4503,_imp!$C$3189))</f>
        <v/>
      </c>
      <c r="K3187" s="54">
        <f>IF(_imp!$C$3189="","",INDEX(_imp!$K$4:$K$4503,_imp!$C$3189))</f>
        <v/>
      </c>
    </row>
    <row r="3188">
      <c r="A3188" s="54">
        <f>IF(_imp!$C$3190="","",INDEX(_imp!$D$4:$D$4503,_imp!$C$3190))</f>
        <v/>
      </c>
      <c r="B3188" s="54">
        <f>IF(_imp!$C$3190="","",INDEX(_imp!$E$4:$E$4503,_imp!$C$3190))</f>
        <v/>
      </c>
      <c r="C3188" s="54">
        <f>IF(_imp!$C$3190="","",INDEX(_imp!$F$4:$F$4503,_imp!$C$3190))</f>
        <v/>
      </c>
      <c r="D3188" s="54">
        <f>IF(_imp!$C$3190="","",INDEX(_imp!$G$4:$G$4503,_imp!$C$3190))</f>
        <v/>
      </c>
      <c r="E3188" s="54">
        <f>IF(_imp!$C$3190="","",INDEX(_imp!$H$4:$H$4503,_imp!$C$3190))</f>
        <v/>
      </c>
      <c r="F3188" s="54">
        <f>IF(_imp!$C$3190="","",INDEX(_imp!$I$4:$I$4503,_imp!$C$3190))</f>
        <v/>
      </c>
      <c r="G3188" s="54">
        <f>IF(_imp!$C$3190="","",INDEX(_imp!$J$4:$J$4503,_imp!$C$3190))</f>
        <v/>
      </c>
      <c r="K3188" s="54">
        <f>IF(_imp!$C$3190="","",INDEX(_imp!$K$4:$K$4503,_imp!$C$3190))</f>
        <v/>
      </c>
    </row>
    <row r="3189">
      <c r="A3189" s="54">
        <f>IF(_imp!$C$3191="","",INDEX(_imp!$D$4:$D$4503,_imp!$C$3191))</f>
        <v/>
      </c>
      <c r="B3189" s="54">
        <f>IF(_imp!$C$3191="","",INDEX(_imp!$E$4:$E$4503,_imp!$C$3191))</f>
        <v/>
      </c>
      <c r="C3189" s="54">
        <f>IF(_imp!$C$3191="","",INDEX(_imp!$F$4:$F$4503,_imp!$C$3191))</f>
        <v/>
      </c>
      <c r="D3189" s="54">
        <f>IF(_imp!$C$3191="","",INDEX(_imp!$G$4:$G$4503,_imp!$C$3191))</f>
        <v/>
      </c>
      <c r="E3189" s="54">
        <f>IF(_imp!$C$3191="","",INDEX(_imp!$H$4:$H$4503,_imp!$C$3191))</f>
        <v/>
      </c>
      <c r="F3189" s="54">
        <f>IF(_imp!$C$3191="","",INDEX(_imp!$I$4:$I$4503,_imp!$C$3191))</f>
        <v/>
      </c>
      <c r="G3189" s="54">
        <f>IF(_imp!$C$3191="","",INDEX(_imp!$J$4:$J$4503,_imp!$C$3191))</f>
        <v/>
      </c>
      <c r="K3189" s="54">
        <f>IF(_imp!$C$3191="","",INDEX(_imp!$K$4:$K$4503,_imp!$C$3191))</f>
        <v/>
      </c>
    </row>
    <row r="3190">
      <c r="A3190" s="54">
        <f>IF(_imp!$C$3192="","",INDEX(_imp!$D$4:$D$4503,_imp!$C$3192))</f>
        <v/>
      </c>
      <c r="B3190" s="54">
        <f>IF(_imp!$C$3192="","",INDEX(_imp!$E$4:$E$4503,_imp!$C$3192))</f>
        <v/>
      </c>
      <c r="C3190" s="54">
        <f>IF(_imp!$C$3192="","",INDEX(_imp!$F$4:$F$4503,_imp!$C$3192))</f>
        <v/>
      </c>
      <c r="D3190" s="54">
        <f>IF(_imp!$C$3192="","",INDEX(_imp!$G$4:$G$4503,_imp!$C$3192))</f>
        <v/>
      </c>
      <c r="E3190" s="54">
        <f>IF(_imp!$C$3192="","",INDEX(_imp!$H$4:$H$4503,_imp!$C$3192))</f>
        <v/>
      </c>
      <c r="F3190" s="54">
        <f>IF(_imp!$C$3192="","",INDEX(_imp!$I$4:$I$4503,_imp!$C$3192))</f>
        <v/>
      </c>
      <c r="G3190" s="54">
        <f>IF(_imp!$C$3192="","",INDEX(_imp!$J$4:$J$4503,_imp!$C$3192))</f>
        <v/>
      </c>
      <c r="K3190" s="54">
        <f>IF(_imp!$C$3192="","",INDEX(_imp!$K$4:$K$4503,_imp!$C$3192))</f>
        <v/>
      </c>
    </row>
    <row r="3191">
      <c r="A3191" s="54">
        <f>IF(_imp!$C$3193="","",INDEX(_imp!$D$4:$D$4503,_imp!$C$3193))</f>
        <v/>
      </c>
      <c r="B3191" s="54">
        <f>IF(_imp!$C$3193="","",INDEX(_imp!$E$4:$E$4503,_imp!$C$3193))</f>
        <v/>
      </c>
      <c r="C3191" s="54">
        <f>IF(_imp!$C$3193="","",INDEX(_imp!$F$4:$F$4503,_imp!$C$3193))</f>
        <v/>
      </c>
      <c r="D3191" s="54">
        <f>IF(_imp!$C$3193="","",INDEX(_imp!$G$4:$G$4503,_imp!$C$3193))</f>
        <v/>
      </c>
      <c r="E3191" s="54">
        <f>IF(_imp!$C$3193="","",INDEX(_imp!$H$4:$H$4503,_imp!$C$3193))</f>
        <v/>
      </c>
      <c r="F3191" s="54">
        <f>IF(_imp!$C$3193="","",INDEX(_imp!$I$4:$I$4503,_imp!$C$3193))</f>
        <v/>
      </c>
      <c r="G3191" s="54">
        <f>IF(_imp!$C$3193="","",INDEX(_imp!$J$4:$J$4503,_imp!$C$3193))</f>
        <v/>
      </c>
      <c r="K3191" s="54">
        <f>IF(_imp!$C$3193="","",INDEX(_imp!$K$4:$K$4503,_imp!$C$3193))</f>
        <v/>
      </c>
    </row>
    <row r="3192">
      <c r="A3192" s="54">
        <f>IF(_imp!$C$3194="","",INDEX(_imp!$D$4:$D$4503,_imp!$C$3194))</f>
        <v/>
      </c>
      <c r="B3192" s="54">
        <f>IF(_imp!$C$3194="","",INDEX(_imp!$E$4:$E$4503,_imp!$C$3194))</f>
        <v/>
      </c>
      <c r="C3192" s="54">
        <f>IF(_imp!$C$3194="","",INDEX(_imp!$F$4:$F$4503,_imp!$C$3194))</f>
        <v/>
      </c>
      <c r="D3192" s="54">
        <f>IF(_imp!$C$3194="","",INDEX(_imp!$G$4:$G$4503,_imp!$C$3194))</f>
        <v/>
      </c>
      <c r="E3192" s="54">
        <f>IF(_imp!$C$3194="","",INDEX(_imp!$H$4:$H$4503,_imp!$C$3194))</f>
        <v/>
      </c>
      <c r="F3192" s="54">
        <f>IF(_imp!$C$3194="","",INDEX(_imp!$I$4:$I$4503,_imp!$C$3194))</f>
        <v/>
      </c>
      <c r="G3192" s="54">
        <f>IF(_imp!$C$3194="","",INDEX(_imp!$J$4:$J$4503,_imp!$C$3194))</f>
        <v/>
      </c>
      <c r="K3192" s="54">
        <f>IF(_imp!$C$3194="","",INDEX(_imp!$K$4:$K$4503,_imp!$C$3194))</f>
        <v/>
      </c>
    </row>
    <row r="3193">
      <c r="A3193" s="54">
        <f>IF(_imp!$C$3195="","",INDEX(_imp!$D$4:$D$4503,_imp!$C$3195))</f>
        <v/>
      </c>
      <c r="B3193" s="54">
        <f>IF(_imp!$C$3195="","",INDEX(_imp!$E$4:$E$4503,_imp!$C$3195))</f>
        <v/>
      </c>
      <c r="C3193" s="54">
        <f>IF(_imp!$C$3195="","",INDEX(_imp!$F$4:$F$4503,_imp!$C$3195))</f>
        <v/>
      </c>
      <c r="D3193" s="54">
        <f>IF(_imp!$C$3195="","",INDEX(_imp!$G$4:$G$4503,_imp!$C$3195))</f>
        <v/>
      </c>
      <c r="E3193" s="54">
        <f>IF(_imp!$C$3195="","",INDEX(_imp!$H$4:$H$4503,_imp!$C$3195))</f>
        <v/>
      </c>
      <c r="F3193" s="54">
        <f>IF(_imp!$C$3195="","",INDEX(_imp!$I$4:$I$4503,_imp!$C$3195))</f>
        <v/>
      </c>
      <c r="G3193" s="54">
        <f>IF(_imp!$C$3195="","",INDEX(_imp!$J$4:$J$4503,_imp!$C$3195))</f>
        <v/>
      </c>
      <c r="K3193" s="54">
        <f>IF(_imp!$C$3195="","",INDEX(_imp!$K$4:$K$4503,_imp!$C$3195))</f>
        <v/>
      </c>
    </row>
    <row r="3194">
      <c r="A3194" s="54">
        <f>IF(_imp!$C$3196="","",INDEX(_imp!$D$4:$D$4503,_imp!$C$3196))</f>
        <v/>
      </c>
      <c r="B3194" s="54">
        <f>IF(_imp!$C$3196="","",INDEX(_imp!$E$4:$E$4503,_imp!$C$3196))</f>
        <v/>
      </c>
      <c r="C3194" s="54">
        <f>IF(_imp!$C$3196="","",INDEX(_imp!$F$4:$F$4503,_imp!$C$3196))</f>
        <v/>
      </c>
      <c r="D3194" s="54">
        <f>IF(_imp!$C$3196="","",INDEX(_imp!$G$4:$G$4503,_imp!$C$3196))</f>
        <v/>
      </c>
      <c r="E3194" s="54">
        <f>IF(_imp!$C$3196="","",INDEX(_imp!$H$4:$H$4503,_imp!$C$3196))</f>
        <v/>
      </c>
      <c r="F3194" s="54">
        <f>IF(_imp!$C$3196="","",INDEX(_imp!$I$4:$I$4503,_imp!$C$3196))</f>
        <v/>
      </c>
      <c r="G3194" s="54">
        <f>IF(_imp!$C$3196="","",INDEX(_imp!$J$4:$J$4503,_imp!$C$3196))</f>
        <v/>
      </c>
      <c r="K3194" s="54">
        <f>IF(_imp!$C$3196="","",INDEX(_imp!$K$4:$K$4503,_imp!$C$3196))</f>
        <v/>
      </c>
    </row>
    <row r="3195">
      <c r="A3195" s="54">
        <f>IF(_imp!$C$3197="","",INDEX(_imp!$D$4:$D$4503,_imp!$C$3197))</f>
        <v/>
      </c>
      <c r="B3195" s="54">
        <f>IF(_imp!$C$3197="","",INDEX(_imp!$E$4:$E$4503,_imp!$C$3197))</f>
        <v/>
      </c>
      <c r="C3195" s="54">
        <f>IF(_imp!$C$3197="","",INDEX(_imp!$F$4:$F$4503,_imp!$C$3197))</f>
        <v/>
      </c>
      <c r="D3195" s="54">
        <f>IF(_imp!$C$3197="","",INDEX(_imp!$G$4:$G$4503,_imp!$C$3197))</f>
        <v/>
      </c>
      <c r="E3195" s="54">
        <f>IF(_imp!$C$3197="","",INDEX(_imp!$H$4:$H$4503,_imp!$C$3197))</f>
        <v/>
      </c>
      <c r="F3195" s="54">
        <f>IF(_imp!$C$3197="","",INDEX(_imp!$I$4:$I$4503,_imp!$C$3197))</f>
        <v/>
      </c>
      <c r="G3195" s="54">
        <f>IF(_imp!$C$3197="","",INDEX(_imp!$J$4:$J$4503,_imp!$C$3197))</f>
        <v/>
      </c>
      <c r="K3195" s="54">
        <f>IF(_imp!$C$3197="","",INDEX(_imp!$K$4:$K$4503,_imp!$C$3197))</f>
        <v/>
      </c>
    </row>
    <row r="3196">
      <c r="A3196" s="54">
        <f>IF(_imp!$C$3198="","",INDEX(_imp!$D$4:$D$4503,_imp!$C$3198))</f>
        <v/>
      </c>
      <c r="B3196" s="54">
        <f>IF(_imp!$C$3198="","",INDEX(_imp!$E$4:$E$4503,_imp!$C$3198))</f>
        <v/>
      </c>
      <c r="C3196" s="54">
        <f>IF(_imp!$C$3198="","",INDEX(_imp!$F$4:$F$4503,_imp!$C$3198))</f>
        <v/>
      </c>
      <c r="D3196" s="54">
        <f>IF(_imp!$C$3198="","",INDEX(_imp!$G$4:$G$4503,_imp!$C$3198))</f>
        <v/>
      </c>
      <c r="E3196" s="54">
        <f>IF(_imp!$C$3198="","",INDEX(_imp!$H$4:$H$4503,_imp!$C$3198))</f>
        <v/>
      </c>
      <c r="F3196" s="54">
        <f>IF(_imp!$C$3198="","",INDEX(_imp!$I$4:$I$4503,_imp!$C$3198))</f>
        <v/>
      </c>
      <c r="G3196" s="54">
        <f>IF(_imp!$C$3198="","",INDEX(_imp!$J$4:$J$4503,_imp!$C$3198))</f>
        <v/>
      </c>
      <c r="K3196" s="54">
        <f>IF(_imp!$C$3198="","",INDEX(_imp!$K$4:$K$4503,_imp!$C$3198))</f>
        <v/>
      </c>
    </row>
    <row r="3197">
      <c r="A3197" s="54">
        <f>IF(_imp!$C$3199="","",INDEX(_imp!$D$4:$D$4503,_imp!$C$3199))</f>
        <v/>
      </c>
      <c r="B3197" s="54">
        <f>IF(_imp!$C$3199="","",INDEX(_imp!$E$4:$E$4503,_imp!$C$3199))</f>
        <v/>
      </c>
      <c r="C3197" s="54">
        <f>IF(_imp!$C$3199="","",INDEX(_imp!$F$4:$F$4503,_imp!$C$3199))</f>
        <v/>
      </c>
      <c r="D3197" s="54">
        <f>IF(_imp!$C$3199="","",INDEX(_imp!$G$4:$G$4503,_imp!$C$3199))</f>
        <v/>
      </c>
      <c r="E3197" s="54">
        <f>IF(_imp!$C$3199="","",INDEX(_imp!$H$4:$H$4503,_imp!$C$3199))</f>
        <v/>
      </c>
      <c r="F3197" s="54">
        <f>IF(_imp!$C$3199="","",INDEX(_imp!$I$4:$I$4503,_imp!$C$3199))</f>
        <v/>
      </c>
      <c r="G3197" s="54">
        <f>IF(_imp!$C$3199="","",INDEX(_imp!$J$4:$J$4503,_imp!$C$3199))</f>
        <v/>
      </c>
      <c r="K3197" s="54">
        <f>IF(_imp!$C$3199="","",INDEX(_imp!$K$4:$K$4503,_imp!$C$3199))</f>
        <v/>
      </c>
    </row>
    <row r="3198">
      <c r="A3198" s="54">
        <f>IF(_imp!$C$3200="","",INDEX(_imp!$D$4:$D$4503,_imp!$C$3200))</f>
        <v/>
      </c>
      <c r="B3198" s="54">
        <f>IF(_imp!$C$3200="","",INDEX(_imp!$E$4:$E$4503,_imp!$C$3200))</f>
        <v/>
      </c>
      <c r="C3198" s="54">
        <f>IF(_imp!$C$3200="","",INDEX(_imp!$F$4:$F$4503,_imp!$C$3200))</f>
        <v/>
      </c>
      <c r="D3198" s="54">
        <f>IF(_imp!$C$3200="","",INDEX(_imp!$G$4:$G$4503,_imp!$C$3200))</f>
        <v/>
      </c>
      <c r="E3198" s="54">
        <f>IF(_imp!$C$3200="","",INDEX(_imp!$H$4:$H$4503,_imp!$C$3200))</f>
        <v/>
      </c>
      <c r="F3198" s="54">
        <f>IF(_imp!$C$3200="","",INDEX(_imp!$I$4:$I$4503,_imp!$C$3200))</f>
        <v/>
      </c>
      <c r="G3198" s="54">
        <f>IF(_imp!$C$3200="","",INDEX(_imp!$J$4:$J$4503,_imp!$C$3200))</f>
        <v/>
      </c>
      <c r="K3198" s="54">
        <f>IF(_imp!$C$3200="","",INDEX(_imp!$K$4:$K$4503,_imp!$C$3200))</f>
        <v/>
      </c>
    </row>
    <row r="3199">
      <c r="A3199" s="54">
        <f>IF(_imp!$C$3201="","",INDEX(_imp!$D$4:$D$4503,_imp!$C$3201))</f>
        <v/>
      </c>
      <c r="B3199" s="54">
        <f>IF(_imp!$C$3201="","",INDEX(_imp!$E$4:$E$4503,_imp!$C$3201))</f>
        <v/>
      </c>
      <c r="C3199" s="54">
        <f>IF(_imp!$C$3201="","",INDEX(_imp!$F$4:$F$4503,_imp!$C$3201))</f>
        <v/>
      </c>
      <c r="D3199" s="54">
        <f>IF(_imp!$C$3201="","",INDEX(_imp!$G$4:$G$4503,_imp!$C$3201))</f>
        <v/>
      </c>
      <c r="E3199" s="54">
        <f>IF(_imp!$C$3201="","",INDEX(_imp!$H$4:$H$4503,_imp!$C$3201))</f>
        <v/>
      </c>
      <c r="F3199" s="54">
        <f>IF(_imp!$C$3201="","",INDEX(_imp!$I$4:$I$4503,_imp!$C$3201))</f>
        <v/>
      </c>
      <c r="G3199" s="54">
        <f>IF(_imp!$C$3201="","",INDEX(_imp!$J$4:$J$4503,_imp!$C$3201))</f>
        <v/>
      </c>
      <c r="K3199" s="54">
        <f>IF(_imp!$C$3201="","",INDEX(_imp!$K$4:$K$4503,_imp!$C$3201))</f>
        <v/>
      </c>
    </row>
    <row r="3200">
      <c r="A3200" s="54">
        <f>IF(_imp!$C$3202="","",INDEX(_imp!$D$4:$D$4503,_imp!$C$3202))</f>
        <v/>
      </c>
      <c r="B3200" s="54">
        <f>IF(_imp!$C$3202="","",INDEX(_imp!$E$4:$E$4503,_imp!$C$3202))</f>
        <v/>
      </c>
      <c r="C3200" s="54">
        <f>IF(_imp!$C$3202="","",INDEX(_imp!$F$4:$F$4503,_imp!$C$3202))</f>
        <v/>
      </c>
      <c r="D3200" s="54">
        <f>IF(_imp!$C$3202="","",INDEX(_imp!$G$4:$G$4503,_imp!$C$3202))</f>
        <v/>
      </c>
      <c r="E3200" s="54">
        <f>IF(_imp!$C$3202="","",INDEX(_imp!$H$4:$H$4503,_imp!$C$3202))</f>
        <v/>
      </c>
      <c r="F3200" s="54">
        <f>IF(_imp!$C$3202="","",INDEX(_imp!$I$4:$I$4503,_imp!$C$3202))</f>
        <v/>
      </c>
      <c r="G3200" s="54">
        <f>IF(_imp!$C$3202="","",INDEX(_imp!$J$4:$J$4503,_imp!$C$3202))</f>
        <v/>
      </c>
      <c r="K3200" s="54">
        <f>IF(_imp!$C$3202="","",INDEX(_imp!$K$4:$K$4503,_imp!$C$3202))</f>
        <v/>
      </c>
    </row>
    <row r="3201">
      <c r="A3201" s="54">
        <f>IF(_imp!$C$3203="","",INDEX(_imp!$D$4:$D$4503,_imp!$C$3203))</f>
        <v/>
      </c>
      <c r="B3201" s="54">
        <f>IF(_imp!$C$3203="","",INDEX(_imp!$E$4:$E$4503,_imp!$C$3203))</f>
        <v/>
      </c>
      <c r="C3201" s="54">
        <f>IF(_imp!$C$3203="","",INDEX(_imp!$F$4:$F$4503,_imp!$C$3203))</f>
        <v/>
      </c>
      <c r="D3201" s="54">
        <f>IF(_imp!$C$3203="","",INDEX(_imp!$G$4:$G$4503,_imp!$C$3203))</f>
        <v/>
      </c>
      <c r="E3201" s="54">
        <f>IF(_imp!$C$3203="","",INDEX(_imp!$H$4:$H$4503,_imp!$C$3203))</f>
        <v/>
      </c>
      <c r="F3201" s="54">
        <f>IF(_imp!$C$3203="","",INDEX(_imp!$I$4:$I$4503,_imp!$C$3203))</f>
        <v/>
      </c>
      <c r="G3201" s="54">
        <f>IF(_imp!$C$3203="","",INDEX(_imp!$J$4:$J$4503,_imp!$C$3203))</f>
        <v/>
      </c>
      <c r="K3201" s="54">
        <f>IF(_imp!$C$3203="","",INDEX(_imp!$K$4:$K$4503,_imp!$C$3203))</f>
        <v/>
      </c>
    </row>
    <row r="3202">
      <c r="A3202" s="54">
        <f>IF(_imp!$C$3204="","",INDEX(_imp!$D$4:$D$4503,_imp!$C$3204))</f>
        <v/>
      </c>
      <c r="B3202" s="54">
        <f>IF(_imp!$C$3204="","",INDEX(_imp!$E$4:$E$4503,_imp!$C$3204))</f>
        <v/>
      </c>
      <c r="C3202" s="54">
        <f>IF(_imp!$C$3204="","",INDEX(_imp!$F$4:$F$4503,_imp!$C$3204))</f>
        <v/>
      </c>
      <c r="D3202" s="54">
        <f>IF(_imp!$C$3204="","",INDEX(_imp!$G$4:$G$4503,_imp!$C$3204))</f>
        <v/>
      </c>
      <c r="E3202" s="54">
        <f>IF(_imp!$C$3204="","",INDEX(_imp!$H$4:$H$4503,_imp!$C$3204))</f>
        <v/>
      </c>
      <c r="F3202" s="54">
        <f>IF(_imp!$C$3204="","",INDEX(_imp!$I$4:$I$4503,_imp!$C$3204))</f>
        <v/>
      </c>
      <c r="G3202" s="54">
        <f>IF(_imp!$C$3204="","",INDEX(_imp!$J$4:$J$4503,_imp!$C$3204))</f>
        <v/>
      </c>
      <c r="K3202" s="54">
        <f>IF(_imp!$C$3204="","",INDEX(_imp!$K$4:$K$4503,_imp!$C$3204))</f>
        <v/>
      </c>
    </row>
    <row r="3203">
      <c r="A3203" s="54">
        <f>IF(_imp!$C$3205="","",INDEX(_imp!$D$4:$D$4503,_imp!$C$3205))</f>
        <v/>
      </c>
      <c r="B3203" s="54">
        <f>IF(_imp!$C$3205="","",INDEX(_imp!$E$4:$E$4503,_imp!$C$3205))</f>
        <v/>
      </c>
      <c r="C3203" s="54">
        <f>IF(_imp!$C$3205="","",INDEX(_imp!$F$4:$F$4503,_imp!$C$3205))</f>
        <v/>
      </c>
      <c r="D3203" s="54">
        <f>IF(_imp!$C$3205="","",INDEX(_imp!$G$4:$G$4503,_imp!$C$3205))</f>
        <v/>
      </c>
      <c r="E3203" s="54">
        <f>IF(_imp!$C$3205="","",INDEX(_imp!$H$4:$H$4503,_imp!$C$3205))</f>
        <v/>
      </c>
      <c r="F3203" s="54">
        <f>IF(_imp!$C$3205="","",INDEX(_imp!$I$4:$I$4503,_imp!$C$3205))</f>
        <v/>
      </c>
      <c r="G3203" s="54">
        <f>IF(_imp!$C$3205="","",INDEX(_imp!$J$4:$J$4503,_imp!$C$3205))</f>
        <v/>
      </c>
      <c r="K3203" s="54">
        <f>IF(_imp!$C$3205="","",INDEX(_imp!$K$4:$K$4503,_imp!$C$3205))</f>
        <v/>
      </c>
    </row>
    <row r="3204">
      <c r="A3204" s="54">
        <f>IF(_imp!$C$3206="","",INDEX(_imp!$D$4:$D$4503,_imp!$C$3206))</f>
        <v/>
      </c>
      <c r="B3204" s="54">
        <f>IF(_imp!$C$3206="","",INDEX(_imp!$E$4:$E$4503,_imp!$C$3206))</f>
        <v/>
      </c>
      <c r="C3204" s="54">
        <f>IF(_imp!$C$3206="","",INDEX(_imp!$F$4:$F$4503,_imp!$C$3206))</f>
        <v/>
      </c>
      <c r="D3204" s="54">
        <f>IF(_imp!$C$3206="","",INDEX(_imp!$G$4:$G$4503,_imp!$C$3206))</f>
        <v/>
      </c>
      <c r="E3204" s="54">
        <f>IF(_imp!$C$3206="","",INDEX(_imp!$H$4:$H$4503,_imp!$C$3206))</f>
        <v/>
      </c>
      <c r="F3204" s="54">
        <f>IF(_imp!$C$3206="","",INDEX(_imp!$I$4:$I$4503,_imp!$C$3206))</f>
        <v/>
      </c>
      <c r="G3204" s="54">
        <f>IF(_imp!$C$3206="","",INDEX(_imp!$J$4:$J$4503,_imp!$C$3206))</f>
        <v/>
      </c>
      <c r="K3204" s="54">
        <f>IF(_imp!$C$3206="","",INDEX(_imp!$K$4:$K$4503,_imp!$C$3206))</f>
        <v/>
      </c>
    </row>
    <row r="3205">
      <c r="A3205" s="54">
        <f>IF(_imp!$C$3207="","",INDEX(_imp!$D$4:$D$4503,_imp!$C$3207))</f>
        <v/>
      </c>
      <c r="B3205" s="54">
        <f>IF(_imp!$C$3207="","",INDEX(_imp!$E$4:$E$4503,_imp!$C$3207))</f>
        <v/>
      </c>
      <c r="C3205" s="54">
        <f>IF(_imp!$C$3207="","",INDEX(_imp!$F$4:$F$4503,_imp!$C$3207))</f>
        <v/>
      </c>
      <c r="D3205" s="54">
        <f>IF(_imp!$C$3207="","",INDEX(_imp!$G$4:$G$4503,_imp!$C$3207))</f>
        <v/>
      </c>
      <c r="E3205" s="54">
        <f>IF(_imp!$C$3207="","",INDEX(_imp!$H$4:$H$4503,_imp!$C$3207))</f>
        <v/>
      </c>
      <c r="F3205" s="54">
        <f>IF(_imp!$C$3207="","",INDEX(_imp!$I$4:$I$4503,_imp!$C$3207))</f>
        <v/>
      </c>
      <c r="G3205" s="54">
        <f>IF(_imp!$C$3207="","",INDEX(_imp!$J$4:$J$4503,_imp!$C$3207))</f>
        <v/>
      </c>
      <c r="K3205" s="54">
        <f>IF(_imp!$C$3207="","",INDEX(_imp!$K$4:$K$4503,_imp!$C$3207))</f>
        <v/>
      </c>
    </row>
    <row r="3206">
      <c r="A3206" s="54">
        <f>IF(_imp!$C$3208="","",INDEX(_imp!$D$4:$D$4503,_imp!$C$3208))</f>
        <v/>
      </c>
      <c r="B3206" s="54">
        <f>IF(_imp!$C$3208="","",INDEX(_imp!$E$4:$E$4503,_imp!$C$3208))</f>
        <v/>
      </c>
      <c r="C3206" s="54">
        <f>IF(_imp!$C$3208="","",INDEX(_imp!$F$4:$F$4503,_imp!$C$3208))</f>
        <v/>
      </c>
      <c r="D3206" s="54">
        <f>IF(_imp!$C$3208="","",INDEX(_imp!$G$4:$G$4503,_imp!$C$3208))</f>
        <v/>
      </c>
      <c r="E3206" s="54">
        <f>IF(_imp!$C$3208="","",INDEX(_imp!$H$4:$H$4503,_imp!$C$3208))</f>
        <v/>
      </c>
      <c r="F3206" s="54">
        <f>IF(_imp!$C$3208="","",INDEX(_imp!$I$4:$I$4503,_imp!$C$3208))</f>
        <v/>
      </c>
      <c r="G3206" s="54">
        <f>IF(_imp!$C$3208="","",INDEX(_imp!$J$4:$J$4503,_imp!$C$3208))</f>
        <v/>
      </c>
      <c r="K3206" s="54">
        <f>IF(_imp!$C$3208="","",INDEX(_imp!$K$4:$K$4503,_imp!$C$3208))</f>
        <v/>
      </c>
    </row>
    <row r="3207">
      <c r="A3207" s="54">
        <f>IF(_imp!$C$3209="","",INDEX(_imp!$D$4:$D$4503,_imp!$C$3209))</f>
        <v/>
      </c>
      <c r="B3207" s="54">
        <f>IF(_imp!$C$3209="","",INDEX(_imp!$E$4:$E$4503,_imp!$C$3209))</f>
        <v/>
      </c>
      <c r="C3207" s="54">
        <f>IF(_imp!$C$3209="","",INDEX(_imp!$F$4:$F$4503,_imp!$C$3209))</f>
        <v/>
      </c>
      <c r="D3207" s="54">
        <f>IF(_imp!$C$3209="","",INDEX(_imp!$G$4:$G$4503,_imp!$C$3209))</f>
        <v/>
      </c>
      <c r="E3207" s="54">
        <f>IF(_imp!$C$3209="","",INDEX(_imp!$H$4:$H$4503,_imp!$C$3209))</f>
        <v/>
      </c>
      <c r="F3207" s="54">
        <f>IF(_imp!$C$3209="","",INDEX(_imp!$I$4:$I$4503,_imp!$C$3209))</f>
        <v/>
      </c>
      <c r="G3207" s="54">
        <f>IF(_imp!$C$3209="","",INDEX(_imp!$J$4:$J$4503,_imp!$C$3209))</f>
        <v/>
      </c>
      <c r="K3207" s="54">
        <f>IF(_imp!$C$3209="","",INDEX(_imp!$K$4:$K$4503,_imp!$C$3209))</f>
        <v/>
      </c>
    </row>
    <row r="3208">
      <c r="A3208" s="54">
        <f>IF(_imp!$C$3210="","",INDEX(_imp!$D$4:$D$4503,_imp!$C$3210))</f>
        <v/>
      </c>
      <c r="B3208" s="54">
        <f>IF(_imp!$C$3210="","",INDEX(_imp!$E$4:$E$4503,_imp!$C$3210))</f>
        <v/>
      </c>
      <c r="C3208" s="54">
        <f>IF(_imp!$C$3210="","",INDEX(_imp!$F$4:$F$4503,_imp!$C$3210))</f>
        <v/>
      </c>
      <c r="D3208" s="54">
        <f>IF(_imp!$C$3210="","",INDEX(_imp!$G$4:$G$4503,_imp!$C$3210))</f>
        <v/>
      </c>
      <c r="E3208" s="54">
        <f>IF(_imp!$C$3210="","",INDEX(_imp!$H$4:$H$4503,_imp!$C$3210))</f>
        <v/>
      </c>
      <c r="F3208" s="54">
        <f>IF(_imp!$C$3210="","",INDEX(_imp!$I$4:$I$4503,_imp!$C$3210))</f>
        <v/>
      </c>
      <c r="G3208" s="54">
        <f>IF(_imp!$C$3210="","",INDEX(_imp!$J$4:$J$4503,_imp!$C$3210))</f>
        <v/>
      </c>
      <c r="K3208" s="54">
        <f>IF(_imp!$C$3210="","",INDEX(_imp!$K$4:$K$4503,_imp!$C$3210))</f>
        <v/>
      </c>
    </row>
    <row r="3209">
      <c r="A3209" s="54">
        <f>IF(_imp!$C$3211="","",INDEX(_imp!$D$4:$D$4503,_imp!$C$3211))</f>
        <v/>
      </c>
      <c r="B3209" s="54">
        <f>IF(_imp!$C$3211="","",INDEX(_imp!$E$4:$E$4503,_imp!$C$3211))</f>
        <v/>
      </c>
      <c r="C3209" s="54">
        <f>IF(_imp!$C$3211="","",INDEX(_imp!$F$4:$F$4503,_imp!$C$3211))</f>
        <v/>
      </c>
      <c r="D3209" s="54">
        <f>IF(_imp!$C$3211="","",INDEX(_imp!$G$4:$G$4503,_imp!$C$3211))</f>
        <v/>
      </c>
      <c r="E3209" s="54">
        <f>IF(_imp!$C$3211="","",INDEX(_imp!$H$4:$H$4503,_imp!$C$3211))</f>
        <v/>
      </c>
      <c r="F3209" s="54">
        <f>IF(_imp!$C$3211="","",INDEX(_imp!$I$4:$I$4503,_imp!$C$3211))</f>
        <v/>
      </c>
      <c r="G3209" s="54">
        <f>IF(_imp!$C$3211="","",INDEX(_imp!$J$4:$J$4503,_imp!$C$3211))</f>
        <v/>
      </c>
      <c r="K3209" s="54">
        <f>IF(_imp!$C$3211="","",INDEX(_imp!$K$4:$K$4503,_imp!$C$3211))</f>
        <v/>
      </c>
    </row>
    <row r="3210">
      <c r="A3210" s="54">
        <f>IF(_imp!$C$3212="","",INDEX(_imp!$D$4:$D$4503,_imp!$C$3212))</f>
        <v/>
      </c>
      <c r="B3210" s="54">
        <f>IF(_imp!$C$3212="","",INDEX(_imp!$E$4:$E$4503,_imp!$C$3212))</f>
        <v/>
      </c>
      <c r="C3210" s="54">
        <f>IF(_imp!$C$3212="","",INDEX(_imp!$F$4:$F$4503,_imp!$C$3212))</f>
        <v/>
      </c>
      <c r="D3210" s="54">
        <f>IF(_imp!$C$3212="","",INDEX(_imp!$G$4:$G$4503,_imp!$C$3212))</f>
        <v/>
      </c>
      <c r="E3210" s="54">
        <f>IF(_imp!$C$3212="","",INDEX(_imp!$H$4:$H$4503,_imp!$C$3212))</f>
        <v/>
      </c>
      <c r="F3210" s="54">
        <f>IF(_imp!$C$3212="","",INDEX(_imp!$I$4:$I$4503,_imp!$C$3212))</f>
        <v/>
      </c>
      <c r="G3210" s="54">
        <f>IF(_imp!$C$3212="","",INDEX(_imp!$J$4:$J$4503,_imp!$C$3212))</f>
        <v/>
      </c>
      <c r="K3210" s="54">
        <f>IF(_imp!$C$3212="","",INDEX(_imp!$K$4:$K$4503,_imp!$C$3212))</f>
        <v/>
      </c>
    </row>
    <row r="3211">
      <c r="A3211" s="54">
        <f>IF(_imp!$C$3213="","",INDEX(_imp!$D$4:$D$4503,_imp!$C$3213))</f>
        <v/>
      </c>
      <c r="B3211" s="54">
        <f>IF(_imp!$C$3213="","",INDEX(_imp!$E$4:$E$4503,_imp!$C$3213))</f>
        <v/>
      </c>
      <c r="C3211" s="54">
        <f>IF(_imp!$C$3213="","",INDEX(_imp!$F$4:$F$4503,_imp!$C$3213))</f>
        <v/>
      </c>
      <c r="D3211" s="54">
        <f>IF(_imp!$C$3213="","",INDEX(_imp!$G$4:$G$4503,_imp!$C$3213))</f>
        <v/>
      </c>
      <c r="E3211" s="54">
        <f>IF(_imp!$C$3213="","",INDEX(_imp!$H$4:$H$4503,_imp!$C$3213))</f>
        <v/>
      </c>
      <c r="F3211" s="54">
        <f>IF(_imp!$C$3213="","",INDEX(_imp!$I$4:$I$4503,_imp!$C$3213))</f>
        <v/>
      </c>
      <c r="G3211" s="54">
        <f>IF(_imp!$C$3213="","",INDEX(_imp!$J$4:$J$4503,_imp!$C$3213))</f>
        <v/>
      </c>
      <c r="K3211" s="54">
        <f>IF(_imp!$C$3213="","",INDEX(_imp!$K$4:$K$4503,_imp!$C$3213))</f>
        <v/>
      </c>
    </row>
    <row r="3212">
      <c r="A3212" s="54">
        <f>IF(_imp!$C$3214="","",INDEX(_imp!$D$4:$D$4503,_imp!$C$3214))</f>
        <v/>
      </c>
      <c r="B3212" s="54">
        <f>IF(_imp!$C$3214="","",INDEX(_imp!$E$4:$E$4503,_imp!$C$3214))</f>
        <v/>
      </c>
      <c r="C3212" s="54">
        <f>IF(_imp!$C$3214="","",INDEX(_imp!$F$4:$F$4503,_imp!$C$3214))</f>
        <v/>
      </c>
      <c r="D3212" s="54">
        <f>IF(_imp!$C$3214="","",INDEX(_imp!$G$4:$G$4503,_imp!$C$3214))</f>
        <v/>
      </c>
      <c r="E3212" s="54">
        <f>IF(_imp!$C$3214="","",INDEX(_imp!$H$4:$H$4503,_imp!$C$3214))</f>
        <v/>
      </c>
      <c r="F3212" s="54">
        <f>IF(_imp!$C$3214="","",INDEX(_imp!$I$4:$I$4503,_imp!$C$3214))</f>
        <v/>
      </c>
      <c r="G3212" s="54">
        <f>IF(_imp!$C$3214="","",INDEX(_imp!$J$4:$J$4503,_imp!$C$3214))</f>
        <v/>
      </c>
      <c r="K3212" s="54">
        <f>IF(_imp!$C$3214="","",INDEX(_imp!$K$4:$K$4503,_imp!$C$3214))</f>
        <v/>
      </c>
    </row>
    <row r="3213">
      <c r="A3213" s="54">
        <f>IF(_imp!$C$3215="","",INDEX(_imp!$D$4:$D$4503,_imp!$C$3215))</f>
        <v/>
      </c>
      <c r="B3213" s="54">
        <f>IF(_imp!$C$3215="","",INDEX(_imp!$E$4:$E$4503,_imp!$C$3215))</f>
        <v/>
      </c>
      <c r="C3213" s="54">
        <f>IF(_imp!$C$3215="","",INDEX(_imp!$F$4:$F$4503,_imp!$C$3215))</f>
        <v/>
      </c>
      <c r="D3213" s="54">
        <f>IF(_imp!$C$3215="","",INDEX(_imp!$G$4:$G$4503,_imp!$C$3215))</f>
        <v/>
      </c>
      <c r="E3213" s="54">
        <f>IF(_imp!$C$3215="","",INDEX(_imp!$H$4:$H$4503,_imp!$C$3215))</f>
        <v/>
      </c>
      <c r="F3213" s="54">
        <f>IF(_imp!$C$3215="","",INDEX(_imp!$I$4:$I$4503,_imp!$C$3215))</f>
        <v/>
      </c>
      <c r="G3213" s="54">
        <f>IF(_imp!$C$3215="","",INDEX(_imp!$J$4:$J$4503,_imp!$C$3215))</f>
        <v/>
      </c>
      <c r="K3213" s="54">
        <f>IF(_imp!$C$3215="","",INDEX(_imp!$K$4:$K$4503,_imp!$C$3215))</f>
        <v/>
      </c>
    </row>
    <row r="3214">
      <c r="A3214" s="54">
        <f>IF(_imp!$C$3216="","",INDEX(_imp!$D$4:$D$4503,_imp!$C$3216))</f>
        <v/>
      </c>
      <c r="B3214" s="54">
        <f>IF(_imp!$C$3216="","",INDEX(_imp!$E$4:$E$4503,_imp!$C$3216))</f>
        <v/>
      </c>
      <c r="C3214" s="54">
        <f>IF(_imp!$C$3216="","",INDEX(_imp!$F$4:$F$4503,_imp!$C$3216))</f>
        <v/>
      </c>
      <c r="D3214" s="54">
        <f>IF(_imp!$C$3216="","",INDEX(_imp!$G$4:$G$4503,_imp!$C$3216))</f>
        <v/>
      </c>
      <c r="E3214" s="54">
        <f>IF(_imp!$C$3216="","",INDEX(_imp!$H$4:$H$4503,_imp!$C$3216))</f>
        <v/>
      </c>
      <c r="F3214" s="54">
        <f>IF(_imp!$C$3216="","",INDEX(_imp!$I$4:$I$4503,_imp!$C$3216))</f>
        <v/>
      </c>
      <c r="G3214" s="54">
        <f>IF(_imp!$C$3216="","",INDEX(_imp!$J$4:$J$4503,_imp!$C$3216))</f>
        <v/>
      </c>
      <c r="K3214" s="54">
        <f>IF(_imp!$C$3216="","",INDEX(_imp!$K$4:$K$4503,_imp!$C$3216))</f>
        <v/>
      </c>
    </row>
    <row r="3215">
      <c r="A3215" s="54">
        <f>IF(_imp!$C$3217="","",INDEX(_imp!$D$4:$D$4503,_imp!$C$3217))</f>
        <v/>
      </c>
      <c r="B3215" s="54">
        <f>IF(_imp!$C$3217="","",INDEX(_imp!$E$4:$E$4503,_imp!$C$3217))</f>
        <v/>
      </c>
      <c r="C3215" s="54">
        <f>IF(_imp!$C$3217="","",INDEX(_imp!$F$4:$F$4503,_imp!$C$3217))</f>
        <v/>
      </c>
      <c r="D3215" s="54">
        <f>IF(_imp!$C$3217="","",INDEX(_imp!$G$4:$G$4503,_imp!$C$3217))</f>
        <v/>
      </c>
      <c r="E3215" s="54">
        <f>IF(_imp!$C$3217="","",INDEX(_imp!$H$4:$H$4503,_imp!$C$3217))</f>
        <v/>
      </c>
      <c r="F3215" s="54">
        <f>IF(_imp!$C$3217="","",INDEX(_imp!$I$4:$I$4503,_imp!$C$3217))</f>
        <v/>
      </c>
      <c r="G3215" s="54">
        <f>IF(_imp!$C$3217="","",INDEX(_imp!$J$4:$J$4503,_imp!$C$3217))</f>
        <v/>
      </c>
      <c r="K3215" s="54">
        <f>IF(_imp!$C$3217="","",INDEX(_imp!$K$4:$K$4503,_imp!$C$3217))</f>
        <v/>
      </c>
    </row>
    <row r="3216">
      <c r="A3216" s="54">
        <f>IF(_imp!$C$3218="","",INDEX(_imp!$D$4:$D$4503,_imp!$C$3218))</f>
        <v/>
      </c>
      <c r="B3216" s="54">
        <f>IF(_imp!$C$3218="","",INDEX(_imp!$E$4:$E$4503,_imp!$C$3218))</f>
        <v/>
      </c>
      <c r="C3216" s="54">
        <f>IF(_imp!$C$3218="","",INDEX(_imp!$F$4:$F$4503,_imp!$C$3218))</f>
        <v/>
      </c>
      <c r="D3216" s="54">
        <f>IF(_imp!$C$3218="","",INDEX(_imp!$G$4:$G$4503,_imp!$C$3218))</f>
        <v/>
      </c>
      <c r="E3216" s="54">
        <f>IF(_imp!$C$3218="","",INDEX(_imp!$H$4:$H$4503,_imp!$C$3218))</f>
        <v/>
      </c>
      <c r="F3216" s="54">
        <f>IF(_imp!$C$3218="","",INDEX(_imp!$I$4:$I$4503,_imp!$C$3218))</f>
        <v/>
      </c>
      <c r="G3216" s="54">
        <f>IF(_imp!$C$3218="","",INDEX(_imp!$J$4:$J$4503,_imp!$C$3218))</f>
        <v/>
      </c>
      <c r="K3216" s="54">
        <f>IF(_imp!$C$3218="","",INDEX(_imp!$K$4:$K$4503,_imp!$C$3218))</f>
        <v/>
      </c>
    </row>
    <row r="3217">
      <c r="A3217" s="54">
        <f>IF(_imp!$C$3219="","",INDEX(_imp!$D$4:$D$4503,_imp!$C$3219))</f>
        <v/>
      </c>
      <c r="B3217" s="54">
        <f>IF(_imp!$C$3219="","",INDEX(_imp!$E$4:$E$4503,_imp!$C$3219))</f>
        <v/>
      </c>
      <c r="C3217" s="54">
        <f>IF(_imp!$C$3219="","",INDEX(_imp!$F$4:$F$4503,_imp!$C$3219))</f>
        <v/>
      </c>
      <c r="D3217" s="54">
        <f>IF(_imp!$C$3219="","",INDEX(_imp!$G$4:$G$4503,_imp!$C$3219))</f>
        <v/>
      </c>
      <c r="E3217" s="54">
        <f>IF(_imp!$C$3219="","",INDEX(_imp!$H$4:$H$4503,_imp!$C$3219))</f>
        <v/>
      </c>
      <c r="F3217" s="54">
        <f>IF(_imp!$C$3219="","",INDEX(_imp!$I$4:$I$4503,_imp!$C$3219))</f>
        <v/>
      </c>
      <c r="G3217" s="54">
        <f>IF(_imp!$C$3219="","",INDEX(_imp!$J$4:$J$4503,_imp!$C$3219))</f>
        <v/>
      </c>
      <c r="K3217" s="54">
        <f>IF(_imp!$C$3219="","",INDEX(_imp!$K$4:$K$4503,_imp!$C$3219))</f>
        <v/>
      </c>
    </row>
    <row r="3218">
      <c r="A3218" s="54">
        <f>IF(_imp!$C$3220="","",INDEX(_imp!$D$4:$D$4503,_imp!$C$3220))</f>
        <v/>
      </c>
      <c r="B3218" s="54">
        <f>IF(_imp!$C$3220="","",INDEX(_imp!$E$4:$E$4503,_imp!$C$3220))</f>
        <v/>
      </c>
      <c r="C3218" s="54">
        <f>IF(_imp!$C$3220="","",INDEX(_imp!$F$4:$F$4503,_imp!$C$3220))</f>
        <v/>
      </c>
      <c r="D3218" s="54">
        <f>IF(_imp!$C$3220="","",INDEX(_imp!$G$4:$G$4503,_imp!$C$3220))</f>
        <v/>
      </c>
      <c r="E3218" s="54">
        <f>IF(_imp!$C$3220="","",INDEX(_imp!$H$4:$H$4503,_imp!$C$3220))</f>
        <v/>
      </c>
      <c r="F3218" s="54">
        <f>IF(_imp!$C$3220="","",INDEX(_imp!$I$4:$I$4503,_imp!$C$3220))</f>
        <v/>
      </c>
      <c r="G3218" s="54">
        <f>IF(_imp!$C$3220="","",INDEX(_imp!$J$4:$J$4503,_imp!$C$3220))</f>
        <v/>
      </c>
      <c r="K3218" s="54">
        <f>IF(_imp!$C$3220="","",INDEX(_imp!$K$4:$K$4503,_imp!$C$3220))</f>
        <v/>
      </c>
    </row>
    <row r="3219">
      <c r="A3219" s="54">
        <f>IF(_imp!$C$3221="","",INDEX(_imp!$D$4:$D$4503,_imp!$C$3221))</f>
        <v/>
      </c>
      <c r="B3219" s="54">
        <f>IF(_imp!$C$3221="","",INDEX(_imp!$E$4:$E$4503,_imp!$C$3221))</f>
        <v/>
      </c>
      <c r="C3219" s="54">
        <f>IF(_imp!$C$3221="","",INDEX(_imp!$F$4:$F$4503,_imp!$C$3221))</f>
        <v/>
      </c>
      <c r="D3219" s="54">
        <f>IF(_imp!$C$3221="","",INDEX(_imp!$G$4:$G$4503,_imp!$C$3221))</f>
        <v/>
      </c>
      <c r="E3219" s="54">
        <f>IF(_imp!$C$3221="","",INDEX(_imp!$H$4:$H$4503,_imp!$C$3221))</f>
        <v/>
      </c>
      <c r="F3219" s="54">
        <f>IF(_imp!$C$3221="","",INDEX(_imp!$I$4:$I$4503,_imp!$C$3221))</f>
        <v/>
      </c>
      <c r="G3219" s="54">
        <f>IF(_imp!$C$3221="","",INDEX(_imp!$J$4:$J$4503,_imp!$C$3221))</f>
        <v/>
      </c>
      <c r="K3219" s="54">
        <f>IF(_imp!$C$3221="","",INDEX(_imp!$K$4:$K$4503,_imp!$C$3221))</f>
        <v/>
      </c>
    </row>
    <row r="3220">
      <c r="A3220" s="54">
        <f>IF(_imp!$C$3222="","",INDEX(_imp!$D$4:$D$4503,_imp!$C$3222))</f>
        <v/>
      </c>
      <c r="B3220" s="54">
        <f>IF(_imp!$C$3222="","",INDEX(_imp!$E$4:$E$4503,_imp!$C$3222))</f>
        <v/>
      </c>
      <c r="C3220" s="54">
        <f>IF(_imp!$C$3222="","",INDEX(_imp!$F$4:$F$4503,_imp!$C$3222))</f>
        <v/>
      </c>
      <c r="D3220" s="54">
        <f>IF(_imp!$C$3222="","",INDEX(_imp!$G$4:$G$4503,_imp!$C$3222))</f>
        <v/>
      </c>
      <c r="E3220" s="54">
        <f>IF(_imp!$C$3222="","",INDEX(_imp!$H$4:$H$4503,_imp!$C$3222))</f>
        <v/>
      </c>
      <c r="F3220" s="54">
        <f>IF(_imp!$C$3222="","",INDEX(_imp!$I$4:$I$4503,_imp!$C$3222))</f>
        <v/>
      </c>
      <c r="G3220" s="54">
        <f>IF(_imp!$C$3222="","",INDEX(_imp!$J$4:$J$4503,_imp!$C$3222))</f>
        <v/>
      </c>
      <c r="K3220" s="54">
        <f>IF(_imp!$C$3222="","",INDEX(_imp!$K$4:$K$4503,_imp!$C$3222))</f>
        <v/>
      </c>
    </row>
    <row r="3221">
      <c r="A3221" s="54">
        <f>IF(_imp!$C$3223="","",INDEX(_imp!$D$4:$D$4503,_imp!$C$3223))</f>
        <v/>
      </c>
      <c r="B3221" s="54">
        <f>IF(_imp!$C$3223="","",INDEX(_imp!$E$4:$E$4503,_imp!$C$3223))</f>
        <v/>
      </c>
      <c r="C3221" s="54">
        <f>IF(_imp!$C$3223="","",INDEX(_imp!$F$4:$F$4503,_imp!$C$3223))</f>
        <v/>
      </c>
      <c r="D3221" s="54">
        <f>IF(_imp!$C$3223="","",INDEX(_imp!$G$4:$G$4503,_imp!$C$3223))</f>
        <v/>
      </c>
      <c r="E3221" s="54">
        <f>IF(_imp!$C$3223="","",INDEX(_imp!$H$4:$H$4503,_imp!$C$3223))</f>
        <v/>
      </c>
      <c r="F3221" s="54">
        <f>IF(_imp!$C$3223="","",INDEX(_imp!$I$4:$I$4503,_imp!$C$3223))</f>
        <v/>
      </c>
      <c r="G3221" s="54">
        <f>IF(_imp!$C$3223="","",INDEX(_imp!$J$4:$J$4503,_imp!$C$3223))</f>
        <v/>
      </c>
      <c r="K3221" s="54">
        <f>IF(_imp!$C$3223="","",INDEX(_imp!$K$4:$K$4503,_imp!$C$3223))</f>
        <v/>
      </c>
    </row>
    <row r="3222">
      <c r="A3222" s="54">
        <f>IF(_imp!$C$3224="","",INDEX(_imp!$D$4:$D$4503,_imp!$C$3224))</f>
        <v/>
      </c>
      <c r="B3222" s="54">
        <f>IF(_imp!$C$3224="","",INDEX(_imp!$E$4:$E$4503,_imp!$C$3224))</f>
        <v/>
      </c>
      <c r="C3222" s="54">
        <f>IF(_imp!$C$3224="","",INDEX(_imp!$F$4:$F$4503,_imp!$C$3224))</f>
        <v/>
      </c>
      <c r="D3222" s="54">
        <f>IF(_imp!$C$3224="","",INDEX(_imp!$G$4:$G$4503,_imp!$C$3224))</f>
        <v/>
      </c>
      <c r="E3222" s="54">
        <f>IF(_imp!$C$3224="","",INDEX(_imp!$H$4:$H$4503,_imp!$C$3224))</f>
        <v/>
      </c>
      <c r="F3222" s="54">
        <f>IF(_imp!$C$3224="","",INDEX(_imp!$I$4:$I$4503,_imp!$C$3224))</f>
        <v/>
      </c>
      <c r="G3222" s="54">
        <f>IF(_imp!$C$3224="","",INDEX(_imp!$J$4:$J$4503,_imp!$C$3224))</f>
        <v/>
      </c>
      <c r="K3222" s="54">
        <f>IF(_imp!$C$3224="","",INDEX(_imp!$K$4:$K$4503,_imp!$C$3224))</f>
        <v/>
      </c>
    </row>
    <row r="3223">
      <c r="A3223" s="54">
        <f>IF(_imp!$C$3225="","",INDEX(_imp!$D$4:$D$4503,_imp!$C$3225))</f>
        <v/>
      </c>
      <c r="B3223" s="54">
        <f>IF(_imp!$C$3225="","",INDEX(_imp!$E$4:$E$4503,_imp!$C$3225))</f>
        <v/>
      </c>
      <c r="C3223" s="54">
        <f>IF(_imp!$C$3225="","",INDEX(_imp!$F$4:$F$4503,_imp!$C$3225))</f>
        <v/>
      </c>
      <c r="D3223" s="54">
        <f>IF(_imp!$C$3225="","",INDEX(_imp!$G$4:$G$4503,_imp!$C$3225))</f>
        <v/>
      </c>
      <c r="E3223" s="54">
        <f>IF(_imp!$C$3225="","",INDEX(_imp!$H$4:$H$4503,_imp!$C$3225))</f>
        <v/>
      </c>
      <c r="F3223" s="54">
        <f>IF(_imp!$C$3225="","",INDEX(_imp!$I$4:$I$4503,_imp!$C$3225))</f>
        <v/>
      </c>
      <c r="G3223" s="54">
        <f>IF(_imp!$C$3225="","",INDEX(_imp!$J$4:$J$4503,_imp!$C$3225))</f>
        <v/>
      </c>
      <c r="K3223" s="54">
        <f>IF(_imp!$C$3225="","",INDEX(_imp!$K$4:$K$4503,_imp!$C$3225))</f>
        <v/>
      </c>
    </row>
    <row r="3224">
      <c r="A3224" s="54">
        <f>IF(_imp!$C$3226="","",INDEX(_imp!$D$4:$D$4503,_imp!$C$3226))</f>
        <v/>
      </c>
      <c r="B3224" s="54">
        <f>IF(_imp!$C$3226="","",INDEX(_imp!$E$4:$E$4503,_imp!$C$3226))</f>
        <v/>
      </c>
      <c r="C3224" s="54">
        <f>IF(_imp!$C$3226="","",INDEX(_imp!$F$4:$F$4503,_imp!$C$3226))</f>
        <v/>
      </c>
      <c r="D3224" s="54">
        <f>IF(_imp!$C$3226="","",INDEX(_imp!$G$4:$G$4503,_imp!$C$3226))</f>
        <v/>
      </c>
      <c r="E3224" s="54">
        <f>IF(_imp!$C$3226="","",INDEX(_imp!$H$4:$H$4503,_imp!$C$3226))</f>
        <v/>
      </c>
      <c r="F3224" s="54">
        <f>IF(_imp!$C$3226="","",INDEX(_imp!$I$4:$I$4503,_imp!$C$3226))</f>
        <v/>
      </c>
      <c r="G3224" s="54">
        <f>IF(_imp!$C$3226="","",INDEX(_imp!$J$4:$J$4503,_imp!$C$3226))</f>
        <v/>
      </c>
      <c r="K3224" s="54">
        <f>IF(_imp!$C$3226="","",INDEX(_imp!$K$4:$K$4503,_imp!$C$3226))</f>
        <v/>
      </c>
    </row>
    <row r="3225">
      <c r="A3225" s="54">
        <f>IF(_imp!$C$3227="","",INDEX(_imp!$D$4:$D$4503,_imp!$C$3227))</f>
        <v/>
      </c>
      <c r="B3225" s="54">
        <f>IF(_imp!$C$3227="","",INDEX(_imp!$E$4:$E$4503,_imp!$C$3227))</f>
        <v/>
      </c>
      <c r="C3225" s="54">
        <f>IF(_imp!$C$3227="","",INDEX(_imp!$F$4:$F$4503,_imp!$C$3227))</f>
        <v/>
      </c>
      <c r="D3225" s="54">
        <f>IF(_imp!$C$3227="","",INDEX(_imp!$G$4:$G$4503,_imp!$C$3227))</f>
        <v/>
      </c>
      <c r="E3225" s="54">
        <f>IF(_imp!$C$3227="","",INDEX(_imp!$H$4:$H$4503,_imp!$C$3227))</f>
        <v/>
      </c>
      <c r="F3225" s="54">
        <f>IF(_imp!$C$3227="","",INDEX(_imp!$I$4:$I$4503,_imp!$C$3227))</f>
        <v/>
      </c>
      <c r="G3225" s="54">
        <f>IF(_imp!$C$3227="","",INDEX(_imp!$J$4:$J$4503,_imp!$C$3227))</f>
        <v/>
      </c>
      <c r="K3225" s="54">
        <f>IF(_imp!$C$3227="","",INDEX(_imp!$K$4:$K$4503,_imp!$C$3227))</f>
        <v/>
      </c>
    </row>
    <row r="3226">
      <c r="A3226" s="54">
        <f>IF(_imp!$C$3228="","",INDEX(_imp!$D$4:$D$4503,_imp!$C$3228))</f>
        <v/>
      </c>
      <c r="B3226" s="54">
        <f>IF(_imp!$C$3228="","",INDEX(_imp!$E$4:$E$4503,_imp!$C$3228))</f>
        <v/>
      </c>
      <c r="C3226" s="54">
        <f>IF(_imp!$C$3228="","",INDEX(_imp!$F$4:$F$4503,_imp!$C$3228))</f>
        <v/>
      </c>
      <c r="D3226" s="54">
        <f>IF(_imp!$C$3228="","",INDEX(_imp!$G$4:$G$4503,_imp!$C$3228))</f>
        <v/>
      </c>
      <c r="E3226" s="54">
        <f>IF(_imp!$C$3228="","",INDEX(_imp!$H$4:$H$4503,_imp!$C$3228))</f>
        <v/>
      </c>
      <c r="F3226" s="54">
        <f>IF(_imp!$C$3228="","",INDEX(_imp!$I$4:$I$4503,_imp!$C$3228))</f>
        <v/>
      </c>
      <c r="G3226" s="54">
        <f>IF(_imp!$C$3228="","",INDEX(_imp!$J$4:$J$4503,_imp!$C$3228))</f>
        <v/>
      </c>
      <c r="K3226" s="54">
        <f>IF(_imp!$C$3228="","",INDEX(_imp!$K$4:$K$4503,_imp!$C$3228))</f>
        <v/>
      </c>
    </row>
    <row r="3227">
      <c r="A3227" s="54">
        <f>IF(_imp!$C$3229="","",INDEX(_imp!$D$4:$D$4503,_imp!$C$3229))</f>
        <v/>
      </c>
      <c r="B3227" s="54">
        <f>IF(_imp!$C$3229="","",INDEX(_imp!$E$4:$E$4503,_imp!$C$3229))</f>
        <v/>
      </c>
      <c r="C3227" s="54">
        <f>IF(_imp!$C$3229="","",INDEX(_imp!$F$4:$F$4503,_imp!$C$3229))</f>
        <v/>
      </c>
      <c r="D3227" s="54">
        <f>IF(_imp!$C$3229="","",INDEX(_imp!$G$4:$G$4503,_imp!$C$3229))</f>
        <v/>
      </c>
      <c r="E3227" s="54">
        <f>IF(_imp!$C$3229="","",INDEX(_imp!$H$4:$H$4503,_imp!$C$3229))</f>
        <v/>
      </c>
      <c r="F3227" s="54">
        <f>IF(_imp!$C$3229="","",INDEX(_imp!$I$4:$I$4503,_imp!$C$3229))</f>
        <v/>
      </c>
      <c r="G3227" s="54">
        <f>IF(_imp!$C$3229="","",INDEX(_imp!$J$4:$J$4503,_imp!$C$3229))</f>
        <v/>
      </c>
      <c r="K3227" s="54">
        <f>IF(_imp!$C$3229="","",INDEX(_imp!$K$4:$K$4503,_imp!$C$3229))</f>
        <v/>
      </c>
    </row>
    <row r="3228">
      <c r="A3228" s="54">
        <f>IF(_imp!$C$3230="","",INDEX(_imp!$D$4:$D$4503,_imp!$C$3230))</f>
        <v/>
      </c>
      <c r="B3228" s="54">
        <f>IF(_imp!$C$3230="","",INDEX(_imp!$E$4:$E$4503,_imp!$C$3230))</f>
        <v/>
      </c>
      <c r="C3228" s="54">
        <f>IF(_imp!$C$3230="","",INDEX(_imp!$F$4:$F$4503,_imp!$C$3230))</f>
        <v/>
      </c>
      <c r="D3228" s="54">
        <f>IF(_imp!$C$3230="","",INDEX(_imp!$G$4:$G$4503,_imp!$C$3230))</f>
        <v/>
      </c>
      <c r="E3228" s="54">
        <f>IF(_imp!$C$3230="","",INDEX(_imp!$H$4:$H$4503,_imp!$C$3230))</f>
        <v/>
      </c>
      <c r="F3228" s="54">
        <f>IF(_imp!$C$3230="","",INDEX(_imp!$I$4:$I$4503,_imp!$C$3230))</f>
        <v/>
      </c>
      <c r="G3228" s="54">
        <f>IF(_imp!$C$3230="","",INDEX(_imp!$J$4:$J$4503,_imp!$C$3230))</f>
        <v/>
      </c>
      <c r="K3228" s="54">
        <f>IF(_imp!$C$3230="","",INDEX(_imp!$K$4:$K$4503,_imp!$C$3230))</f>
        <v/>
      </c>
    </row>
    <row r="3229">
      <c r="A3229" s="54">
        <f>IF(_imp!$C$3231="","",INDEX(_imp!$D$4:$D$4503,_imp!$C$3231))</f>
        <v/>
      </c>
      <c r="B3229" s="54">
        <f>IF(_imp!$C$3231="","",INDEX(_imp!$E$4:$E$4503,_imp!$C$3231))</f>
        <v/>
      </c>
      <c r="C3229" s="54">
        <f>IF(_imp!$C$3231="","",INDEX(_imp!$F$4:$F$4503,_imp!$C$3231))</f>
        <v/>
      </c>
      <c r="D3229" s="54">
        <f>IF(_imp!$C$3231="","",INDEX(_imp!$G$4:$G$4503,_imp!$C$3231))</f>
        <v/>
      </c>
      <c r="E3229" s="54">
        <f>IF(_imp!$C$3231="","",INDEX(_imp!$H$4:$H$4503,_imp!$C$3231))</f>
        <v/>
      </c>
      <c r="F3229" s="54">
        <f>IF(_imp!$C$3231="","",INDEX(_imp!$I$4:$I$4503,_imp!$C$3231))</f>
        <v/>
      </c>
      <c r="G3229" s="54">
        <f>IF(_imp!$C$3231="","",INDEX(_imp!$J$4:$J$4503,_imp!$C$3231))</f>
        <v/>
      </c>
      <c r="K3229" s="54">
        <f>IF(_imp!$C$3231="","",INDEX(_imp!$K$4:$K$4503,_imp!$C$3231))</f>
        <v/>
      </c>
    </row>
    <row r="3230">
      <c r="A3230" s="54">
        <f>IF(_imp!$C$3232="","",INDEX(_imp!$D$4:$D$4503,_imp!$C$3232))</f>
        <v/>
      </c>
      <c r="B3230" s="54">
        <f>IF(_imp!$C$3232="","",INDEX(_imp!$E$4:$E$4503,_imp!$C$3232))</f>
        <v/>
      </c>
      <c r="C3230" s="54">
        <f>IF(_imp!$C$3232="","",INDEX(_imp!$F$4:$F$4503,_imp!$C$3232))</f>
        <v/>
      </c>
      <c r="D3230" s="54">
        <f>IF(_imp!$C$3232="","",INDEX(_imp!$G$4:$G$4503,_imp!$C$3232))</f>
        <v/>
      </c>
      <c r="E3230" s="54">
        <f>IF(_imp!$C$3232="","",INDEX(_imp!$H$4:$H$4503,_imp!$C$3232))</f>
        <v/>
      </c>
      <c r="F3230" s="54">
        <f>IF(_imp!$C$3232="","",INDEX(_imp!$I$4:$I$4503,_imp!$C$3232))</f>
        <v/>
      </c>
      <c r="G3230" s="54">
        <f>IF(_imp!$C$3232="","",INDEX(_imp!$J$4:$J$4503,_imp!$C$3232))</f>
        <v/>
      </c>
      <c r="K3230" s="54">
        <f>IF(_imp!$C$3232="","",INDEX(_imp!$K$4:$K$4503,_imp!$C$3232))</f>
        <v/>
      </c>
    </row>
    <row r="3231">
      <c r="A3231" s="54">
        <f>IF(_imp!$C$3233="","",INDEX(_imp!$D$4:$D$4503,_imp!$C$3233))</f>
        <v/>
      </c>
      <c r="B3231" s="54">
        <f>IF(_imp!$C$3233="","",INDEX(_imp!$E$4:$E$4503,_imp!$C$3233))</f>
        <v/>
      </c>
      <c r="C3231" s="54">
        <f>IF(_imp!$C$3233="","",INDEX(_imp!$F$4:$F$4503,_imp!$C$3233))</f>
        <v/>
      </c>
      <c r="D3231" s="54">
        <f>IF(_imp!$C$3233="","",INDEX(_imp!$G$4:$G$4503,_imp!$C$3233))</f>
        <v/>
      </c>
      <c r="E3231" s="54">
        <f>IF(_imp!$C$3233="","",INDEX(_imp!$H$4:$H$4503,_imp!$C$3233))</f>
        <v/>
      </c>
      <c r="F3231" s="54">
        <f>IF(_imp!$C$3233="","",INDEX(_imp!$I$4:$I$4503,_imp!$C$3233))</f>
        <v/>
      </c>
      <c r="G3231" s="54">
        <f>IF(_imp!$C$3233="","",INDEX(_imp!$J$4:$J$4503,_imp!$C$3233))</f>
        <v/>
      </c>
      <c r="K3231" s="54">
        <f>IF(_imp!$C$3233="","",INDEX(_imp!$K$4:$K$4503,_imp!$C$3233))</f>
        <v/>
      </c>
    </row>
    <row r="3232">
      <c r="A3232" s="54">
        <f>IF(_imp!$C$3234="","",INDEX(_imp!$D$4:$D$4503,_imp!$C$3234))</f>
        <v/>
      </c>
      <c r="B3232" s="54">
        <f>IF(_imp!$C$3234="","",INDEX(_imp!$E$4:$E$4503,_imp!$C$3234))</f>
        <v/>
      </c>
      <c r="C3232" s="54">
        <f>IF(_imp!$C$3234="","",INDEX(_imp!$F$4:$F$4503,_imp!$C$3234))</f>
        <v/>
      </c>
      <c r="D3232" s="54">
        <f>IF(_imp!$C$3234="","",INDEX(_imp!$G$4:$G$4503,_imp!$C$3234))</f>
        <v/>
      </c>
      <c r="E3232" s="54">
        <f>IF(_imp!$C$3234="","",INDEX(_imp!$H$4:$H$4503,_imp!$C$3234))</f>
        <v/>
      </c>
      <c r="F3232" s="54">
        <f>IF(_imp!$C$3234="","",INDEX(_imp!$I$4:$I$4503,_imp!$C$3234))</f>
        <v/>
      </c>
      <c r="G3232" s="54">
        <f>IF(_imp!$C$3234="","",INDEX(_imp!$J$4:$J$4503,_imp!$C$3234))</f>
        <v/>
      </c>
      <c r="K3232" s="54">
        <f>IF(_imp!$C$3234="","",INDEX(_imp!$K$4:$K$4503,_imp!$C$3234))</f>
        <v/>
      </c>
    </row>
    <row r="3233">
      <c r="A3233" s="54">
        <f>IF(_imp!$C$3235="","",INDEX(_imp!$D$4:$D$4503,_imp!$C$3235))</f>
        <v/>
      </c>
      <c r="B3233" s="54">
        <f>IF(_imp!$C$3235="","",INDEX(_imp!$E$4:$E$4503,_imp!$C$3235))</f>
        <v/>
      </c>
      <c r="C3233" s="54">
        <f>IF(_imp!$C$3235="","",INDEX(_imp!$F$4:$F$4503,_imp!$C$3235))</f>
        <v/>
      </c>
      <c r="D3233" s="54">
        <f>IF(_imp!$C$3235="","",INDEX(_imp!$G$4:$G$4503,_imp!$C$3235))</f>
        <v/>
      </c>
      <c r="E3233" s="54">
        <f>IF(_imp!$C$3235="","",INDEX(_imp!$H$4:$H$4503,_imp!$C$3235))</f>
        <v/>
      </c>
      <c r="F3233" s="54">
        <f>IF(_imp!$C$3235="","",INDEX(_imp!$I$4:$I$4503,_imp!$C$3235))</f>
        <v/>
      </c>
      <c r="G3233" s="54">
        <f>IF(_imp!$C$3235="","",INDEX(_imp!$J$4:$J$4503,_imp!$C$3235))</f>
        <v/>
      </c>
      <c r="K3233" s="54">
        <f>IF(_imp!$C$3235="","",INDEX(_imp!$K$4:$K$4503,_imp!$C$3235))</f>
        <v/>
      </c>
    </row>
    <row r="3234">
      <c r="A3234" s="54">
        <f>IF(_imp!$C$3236="","",INDEX(_imp!$D$4:$D$4503,_imp!$C$3236))</f>
        <v/>
      </c>
      <c r="B3234" s="54">
        <f>IF(_imp!$C$3236="","",INDEX(_imp!$E$4:$E$4503,_imp!$C$3236))</f>
        <v/>
      </c>
      <c r="C3234" s="54">
        <f>IF(_imp!$C$3236="","",INDEX(_imp!$F$4:$F$4503,_imp!$C$3236))</f>
        <v/>
      </c>
      <c r="D3234" s="54">
        <f>IF(_imp!$C$3236="","",INDEX(_imp!$G$4:$G$4503,_imp!$C$3236))</f>
        <v/>
      </c>
      <c r="E3234" s="54">
        <f>IF(_imp!$C$3236="","",INDEX(_imp!$H$4:$H$4503,_imp!$C$3236))</f>
        <v/>
      </c>
      <c r="F3234" s="54">
        <f>IF(_imp!$C$3236="","",INDEX(_imp!$I$4:$I$4503,_imp!$C$3236))</f>
        <v/>
      </c>
      <c r="G3234" s="54">
        <f>IF(_imp!$C$3236="","",INDEX(_imp!$J$4:$J$4503,_imp!$C$3236))</f>
        <v/>
      </c>
      <c r="K3234" s="54">
        <f>IF(_imp!$C$3236="","",INDEX(_imp!$K$4:$K$4503,_imp!$C$3236))</f>
        <v/>
      </c>
    </row>
    <row r="3235">
      <c r="A3235" s="54">
        <f>IF(_imp!$C$3237="","",INDEX(_imp!$D$4:$D$4503,_imp!$C$3237))</f>
        <v/>
      </c>
      <c r="B3235" s="54">
        <f>IF(_imp!$C$3237="","",INDEX(_imp!$E$4:$E$4503,_imp!$C$3237))</f>
        <v/>
      </c>
      <c r="C3235" s="54">
        <f>IF(_imp!$C$3237="","",INDEX(_imp!$F$4:$F$4503,_imp!$C$3237))</f>
        <v/>
      </c>
      <c r="D3235" s="54">
        <f>IF(_imp!$C$3237="","",INDEX(_imp!$G$4:$G$4503,_imp!$C$3237))</f>
        <v/>
      </c>
      <c r="E3235" s="54">
        <f>IF(_imp!$C$3237="","",INDEX(_imp!$H$4:$H$4503,_imp!$C$3237))</f>
        <v/>
      </c>
      <c r="F3235" s="54">
        <f>IF(_imp!$C$3237="","",INDEX(_imp!$I$4:$I$4503,_imp!$C$3237))</f>
        <v/>
      </c>
      <c r="G3235" s="54">
        <f>IF(_imp!$C$3237="","",INDEX(_imp!$J$4:$J$4503,_imp!$C$3237))</f>
        <v/>
      </c>
      <c r="K3235" s="54">
        <f>IF(_imp!$C$3237="","",INDEX(_imp!$K$4:$K$4503,_imp!$C$3237))</f>
        <v/>
      </c>
    </row>
    <row r="3236">
      <c r="A3236" s="54">
        <f>IF(_imp!$C$3238="","",INDEX(_imp!$D$4:$D$4503,_imp!$C$3238))</f>
        <v/>
      </c>
      <c r="B3236" s="54">
        <f>IF(_imp!$C$3238="","",INDEX(_imp!$E$4:$E$4503,_imp!$C$3238))</f>
        <v/>
      </c>
      <c r="C3236" s="54">
        <f>IF(_imp!$C$3238="","",INDEX(_imp!$F$4:$F$4503,_imp!$C$3238))</f>
        <v/>
      </c>
      <c r="D3236" s="54">
        <f>IF(_imp!$C$3238="","",INDEX(_imp!$G$4:$G$4503,_imp!$C$3238))</f>
        <v/>
      </c>
      <c r="E3236" s="54">
        <f>IF(_imp!$C$3238="","",INDEX(_imp!$H$4:$H$4503,_imp!$C$3238))</f>
        <v/>
      </c>
      <c r="F3236" s="54">
        <f>IF(_imp!$C$3238="","",INDEX(_imp!$I$4:$I$4503,_imp!$C$3238))</f>
        <v/>
      </c>
      <c r="G3236" s="54">
        <f>IF(_imp!$C$3238="","",INDEX(_imp!$J$4:$J$4503,_imp!$C$3238))</f>
        <v/>
      </c>
      <c r="K3236" s="54">
        <f>IF(_imp!$C$3238="","",INDEX(_imp!$K$4:$K$4503,_imp!$C$3238))</f>
        <v/>
      </c>
    </row>
    <row r="3237">
      <c r="A3237" s="54">
        <f>IF(_imp!$C$3239="","",INDEX(_imp!$D$4:$D$4503,_imp!$C$3239))</f>
        <v/>
      </c>
      <c r="B3237" s="54">
        <f>IF(_imp!$C$3239="","",INDEX(_imp!$E$4:$E$4503,_imp!$C$3239))</f>
        <v/>
      </c>
      <c r="C3237" s="54">
        <f>IF(_imp!$C$3239="","",INDEX(_imp!$F$4:$F$4503,_imp!$C$3239))</f>
        <v/>
      </c>
      <c r="D3237" s="54">
        <f>IF(_imp!$C$3239="","",INDEX(_imp!$G$4:$G$4503,_imp!$C$3239))</f>
        <v/>
      </c>
      <c r="E3237" s="54">
        <f>IF(_imp!$C$3239="","",INDEX(_imp!$H$4:$H$4503,_imp!$C$3239))</f>
        <v/>
      </c>
      <c r="F3237" s="54">
        <f>IF(_imp!$C$3239="","",INDEX(_imp!$I$4:$I$4503,_imp!$C$3239))</f>
        <v/>
      </c>
      <c r="G3237" s="54">
        <f>IF(_imp!$C$3239="","",INDEX(_imp!$J$4:$J$4503,_imp!$C$3239))</f>
        <v/>
      </c>
      <c r="K3237" s="54">
        <f>IF(_imp!$C$3239="","",INDEX(_imp!$K$4:$K$4503,_imp!$C$3239))</f>
        <v/>
      </c>
    </row>
    <row r="3238">
      <c r="A3238" s="54">
        <f>IF(_imp!$C$3240="","",INDEX(_imp!$D$4:$D$4503,_imp!$C$3240))</f>
        <v/>
      </c>
      <c r="B3238" s="54">
        <f>IF(_imp!$C$3240="","",INDEX(_imp!$E$4:$E$4503,_imp!$C$3240))</f>
        <v/>
      </c>
      <c r="C3238" s="54">
        <f>IF(_imp!$C$3240="","",INDEX(_imp!$F$4:$F$4503,_imp!$C$3240))</f>
        <v/>
      </c>
      <c r="D3238" s="54">
        <f>IF(_imp!$C$3240="","",INDEX(_imp!$G$4:$G$4503,_imp!$C$3240))</f>
        <v/>
      </c>
      <c r="E3238" s="54">
        <f>IF(_imp!$C$3240="","",INDEX(_imp!$H$4:$H$4503,_imp!$C$3240))</f>
        <v/>
      </c>
      <c r="F3238" s="54">
        <f>IF(_imp!$C$3240="","",INDEX(_imp!$I$4:$I$4503,_imp!$C$3240))</f>
        <v/>
      </c>
      <c r="G3238" s="54">
        <f>IF(_imp!$C$3240="","",INDEX(_imp!$J$4:$J$4503,_imp!$C$3240))</f>
        <v/>
      </c>
      <c r="K3238" s="54">
        <f>IF(_imp!$C$3240="","",INDEX(_imp!$K$4:$K$4503,_imp!$C$3240))</f>
        <v/>
      </c>
    </row>
    <row r="3239">
      <c r="A3239" s="54">
        <f>IF(_imp!$C$3241="","",INDEX(_imp!$D$4:$D$4503,_imp!$C$3241))</f>
        <v/>
      </c>
      <c r="B3239" s="54">
        <f>IF(_imp!$C$3241="","",INDEX(_imp!$E$4:$E$4503,_imp!$C$3241))</f>
        <v/>
      </c>
      <c r="C3239" s="54">
        <f>IF(_imp!$C$3241="","",INDEX(_imp!$F$4:$F$4503,_imp!$C$3241))</f>
        <v/>
      </c>
      <c r="D3239" s="54">
        <f>IF(_imp!$C$3241="","",INDEX(_imp!$G$4:$G$4503,_imp!$C$3241))</f>
        <v/>
      </c>
      <c r="E3239" s="54">
        <f>IF(_imp!$C$3241="","",INDEX(_imp!$H$4:$H$4503,_imp!$C$3241))</f>
        <v/>
      </c>
      <c r="F3239" s="54">
        <f>IF(_imp!$C$3241="","",INDEX(_imp!$I$4:$I$4503,_imp!$C$3241))</f>
        <v/>
      </c>
      <c r="G3239" s="54">
        <f>IF(_imp!$C$3241="","",INDEX(_imp!$J$4:$J$4503,_imp!$C$3241))</f>
        <v/>
      </c>
      <c r="K3239" s="54">
        <f>IF(_imp!$C$3241="","",INDEX(_imp!$K$4:$K$4503,_imp!$C$3241))</f>
        <v/>
      </c>
    </row>
    <row r="3240">
      <c r="A3240" s="54">
        <f>IF(_imp!$C$3242="","",INDEX(_imp!$D$4:$D$4503,_imp!$C$3242))</f>
        <v/>
      </c>
      <c r="B3240" s="54">
        <f>IF(_imp!$C$3242="","",INDEX(_imp!$E$4:$E$4503,_imp!$C$3242))</f>
        <v/>
      </c>
      <c r="C3240" s="54">
        <f>IF(_imp!$C$3242="","",INDEX(_imp!$F$4:$F$4503,_imp!$C$3242))</f>
        <v/>
      </c>
      <c r="D3240" s="54">
        <f>IF(_imp!$C$3242="","",INDEX(_imp!$G$4:$G$4503,_imp!$C$3242))</f>
        <v/>
      </c>
      <c r="E3240" s="54">
        <f>IF(_imp!$C$3242="","",INDEX(_imp!$H$4:$H$4503,_imp!$C$3242))</f>
        <v/>
      </c>
      <c r="F3240" s="54">
        <f>IF(_imp!$C$3242="","",INDEX(_imp!$I$4:$I$4503,_imp!$C$3242))</f>
        <v/>
      </c>
      <c r="G3240" s="54">
        <f>IF(_imp!$C$3242="","",INDEX(_imp!$J$4:$J$4503,_imp!$C$3242))</f>
        <v/>
      </c>
      <c r="K3240" s="54">
        <f>IF(_imp!$C$3242="","",INDEX(_imp!$K$4:$K$4503,_imp!$C$3242))</f>
        <v/>
      </c>
    </row>
    <row r="3241">
      <c r="A3241" s="54">
        <f>IF(_imp!$C$3243="","",INDEX(_imp!$D$4:$D$4503,_imp!$C$3243))</f>
        <v/>
      </c>
      <c r="B3241" s="54">
        <f>IF(_imp!$C$3243="","",INDEX(_imp!$E$4:$E$4503,_imp!$C$3243))</f>
        <v/>
      </c>
      <c r="C3241" s="54">
        <f>IF(_imp!$C$3243="","",INDEX(_imp!$F$4:$F$4503,_imp!$C$3243))</f>
        <v/>
      </c>
      <c r="D3241" s="54">
        <f>IF(_imp!$C$3243="","",INDEX(_imp!$G$4:$G$4503,_imp!$C$3243))</f>
        <v/>
      </c>
      <c r="E3241" s="54">
        <f>IF(_imp!$C$3243="","",INDEX(_imp!$H$4:$H$4503,_imp!$C$3243))</f>
        <v/>
      </c>
      <c r="F3241" s="54">
        <f>IF(_imp!$C$3243="","",INDEX(_imp!$I$4:$I$4503,_imp!$C$3243))</f>
        <v/>
      </c>
      <c r="G3241" s="54">
        <f>IF(_imp!$C$3243="","",INDEX(_imp!$J$4:$J$4503,_imp!$C$3243))</f>
        <v/>
      </c>
      <c r="K3241" s="54">
        <f>IF(_imp!$C$3243="","",INDEX(_imp!$K$4:$K$4503,_imp!$C$3243))</f>
        <v/>
      </c>
    </row>
    <row r="3242">
      <c r="A3242" s="54">
        <f>IF(_imp!$C$3244="","",INDEX(_imp!$D$4:$D$4503,_imp!$C$3244))</f>
        <v/>
      </c>
      <c r="B3242" s="54">
        <f>IF(_imp!$C$3244="","",INDEX(_imp!$E$4:$E$4503,_imp!$C$3244))</f>
        <v/>
      </c>
      <c r="C3242" s="54">
        <f>IF(_imp!$C$3244="","",INDEX(_imp!$F$4:$F$4503,_imp!$C$3244))</f>
        <v/>
      </c>
      <c r="D3242" s="54">
        <f>IF(_imp!$C$3244="","",INDEX(_imp!$G$4:$G$4503,_imp!$C$3244))</f>
        <v/>
      </c>
      <c r="E3242" s="54">
        <f>IF(_imp!$C$3244="","",INDEX(_imp!$H$4:$H$4503,_imp!$C$3244))</f>
        <v/>
      </c>
      <c r="F3242" s="54">
        <f>IF(_imp!$C$3244="","",INDEX(_imp!$I$4:$I$4503,_imp!$C$3244))</f>
        <v/>
      </c>
      <c r="G3242" s="54">
        <f>IF(_imp!$C$3244="","",INDEX(_imp!$J$4:$J$4503,_imp!$C$3244))</f>
        <v/>
      </c>
      <c r="K3242" s="54">
        <f>IF(_imp!$C$3244="","",INDEX(_imp!$K$4:$K$4503,_imp!$C$3244))</f>
        <v/>
      </c>
    </row>
    <row r="3243">
      <c r="A3243" s="54">
        <f>IF(_imp!$C$3245="","",INDEX(_imp!$D$4:$D$4503,_imp!$C$3245))</f>
        <v/>
      </c>
      <c r="B3243" s="54">
        <f>IF(_imp!$C$3245="","",INDEX(_imp!$E$4:$E$4503,_imp!$C$3245))</f>
        <v/>
      </c>
      <c r="C3243" s="54">
        <f>IF(_imp!$C$3245="","",INDEX(_imp!$F$4:$F$4503,_imp!$C$3245))</f>
        <v/>
      </c>
      <c r="D3243" s="54">
        <f>IF(_imp!$C$3245="","",INDEX(_imp!$G$4:$G$4503,_imp!$C$3245))</f>
        <v/>
      </c>
      <c r="E3243" s="54">
        <f>IF(_imp!$C$3245="","",INDEX(_imp!$H$4:$H$4503,_imp!$C$3245))</f>
        <v/>
      </c>
      <c r="F3243" s="54">
        <f>IF(_imp!$C$3245="","",INDEX(_imp!$I$4:$I$4503,_imp!$C$3245))</f>
        <v/>
      </c>
      <c r="G3243" s="54">
        <f>IF(_imp!$C$3245="","",INDEX(_imp!$J$4:$J$4503,_imp!$C$3245))</f>
        <v/>
      </c>
      <c r="K3243" s="54">
        <f>IF(_imp!$C$3245="","",INDEX(_imp!$K$4:$K$4503,_imp!$C$3245))</f>
        <v/>
      </c>
    </row>
    <row r="3244">
      <c r="A3244" s="54">
        <f>IF(_imp!$C$3246="","",INDEX(_imp!$D$4:$D$4503,_imp!$C$3246))</f>
        <v/>
      </c>
      <c r="B3244" s="54">
        <f>IF(_imp!$C$3246="","",INDEX(_imp!$E$4:$E$4503,_imp!$C$3246))</f>
        <v/>
      </c>
      <c r="C3244" s="54">
        <f>IF(_imp!$C$3246="","",INDEX(_imp!$F$4:$F$4503,_imp!$C$3246))</f>
        <v/>
      </c>
      <c r="D3244" s="54">
        <f>IF(_imp!$C$3246="","",INDEX(_imp!$G$4:$G$4503,_imp!$C$3246))</f>
        <v/>
      </c>
      <c r="E3244" s="54">
        <f>IF(_imp!$C$3246="","",INDEX(_imp!$H$4:$H$4503,_imp!$C$3246))</f>
        <v/>
      </c>
      <c r="F3244" s="54">
        <f>IF(_imp!$C$3246="","",INDEX(_imp!$I$4:$I$4503,_imp!$C$3246))</f>
        <v/>
      </c>
      <c r="G3244" s="54">
        <f>IF(_imp!$C$3246="","",INDEX(_imp!$J$4:$J$4503,_imp!$C$3246))</f>
        <v/>
      </c>
      <c r="K3244" s="54">
        <f>IF(_imp!$C$3246="","",INDEX(_imp!$K$4:$K$4503,_imp!$C$3246))</f>
        <v/>
      </c>
    </row>
    <row r="3245">
      <c r="A3245" s="54">
        <f>IF(_imp!$C$3247="","",INDEX(_imp!$D$4:$D$4503,_imp!$C$3247))</f>
        <v/>
      </c>
      <c r="B3245" s="54">
        <f>IF(_imp!$C$3247="","",INDEX(_imp!$E$4:$E$4503,_imp!$C$3247))</f>
        <v/>
      </c>
      <c r="C3245" s="54">
        <f>IF(_imp!$C$3247="","",INDEX(_imp!$F$4:$F$4503,_imp!$C$3247))</f>
        <v/>
      </c>
      <c r="D3245" s="54">
        <f>IF(_imp!$C$3247="","",INDEX(_imp!$G$4:$G$4503,_imp!$C$3247))</f>
        <v/>
      </c>
      <c r="E3245" s="54">
        <f>IF(_imp!$C$3247="","",INDEX(_imp!$H$4:$H$4503,_imp!$C$3247))</f>
        <v/>
      </c>
      <c r="F3245" s="54">
        <f>IF(_imp!$C$3247="","",INDEX(_imp!$I$4:$I$4503,_imp!$C$3247))</f>
        <v/>
      </c>
      <c r="G3245" s="54">
        <f>IF(_imp!$C$3247="","",INDEX(_imp!$J$4:$J$4503,_imp!$C$3247))</f>
        <v/>
      </c>
      <c r="K3245" s="54">
        <f>IF(_imp!$C$3247="","",INDEX(_imp!$K$4:$K$4503,_imp!$C$3247))</f>
        <v/>
      </c>
    </row>
    <row r="3246">
      <c r="A3246" s="54">
        <f>IF(_imp!$C$3248="","",INDEX(_imp!$D$4:$D$4503,_imp!$C$3248))</f>
        <v/>
      </c>
      <c r="B3246" s="54">
        <f>IF(_imp!$C$3248="","",INDEX(_imp!$E$4:$E$4503,_imp!$C$3248))</f>
        <v/>
      </c>
      <c r="C3246" s="54">
        <f>IF(_imp!$C$3248="","",INDEX(_imp!$F$4:$F$4503,_imp!$C$3248))</f>
        <v/>
      </c>
      <c r="D3246" s="54">
        <f>IF(_imp!$C$3248="","",INDEX(_imp!$G$4:$G$4503,_imp!$C$3248))</f>
        <v/>
      </c>
      <c r="E3246" s="54">
        <f>IF(_imp!$C$3248="","",INDEX(_imp!$H$4:$H$4503,_imp!$C$3248))</f>
        <v/>
      </c>
      <c r="F3246" s="54">
        <f>IF(_imp!$C$3248="","",INDEX(_imp!$I$4:$I$4503,_imp!$C$3248))</f>
        <v/>
      </c>
      <c r="G3246" s="54">
        <f>IF(_imp!$C$3248="","",INDEX(_imp!$J$4:$J$4503,_imp!$C$3248))</f>
        <v/>
      </c>
      <c r="K3246" s="54">
        <f>IF(_imp!$C$3248="","",INDEX(_imp!$K$4:$K$4503,_imp!$C$3248))</f>
        <v/>
      </c>
    </row>
    <row r="3247">
      <c r="A3247" s="54">
        <f>IF(_imp!$C$3249="","",INDEX(_imp!$D$4:$D$4503,_imp!$C$3249))</f>
        <v/>
      </c>
      <c r="B3247" s="54">
        <f>IF(_imp!$C$3249="","",INDEX(_imp!$E$4:$E$4503,_imp!$C$3249))</f>
        <v/>
      </c>
      <c r="C3247" s="54">
        <f>IF(_imp!$C$3249="","",INDEX(_imp!$F$4:$F$4503,_imp!$C$3249))</f>
        <v/>
      </c>
      <c r="D3247" s="54">
        <f>IF(_imp!$C$3249="","",INDEX(_imp!$G$4:$G$4503,_imp!$C$3249))</f>
        <v/>
      </c>
      <c r="E3247" s="54">
        <f>IF(_imp!$C$3249="","",INDEX(_imp!$H$4:$H$4503,_imp!$C$3249))</f>
        <v/>
      </c>
      <c r="F3247" s="54">
        <f>IF(_imp!$C$3249="","",INDEX(_imp!$I$4:$I$4503,_imp!$C$3249))</f>
        <v/>
      </c>
      <c r="G3247" s="54">
        <f>IF(_imp!$C$3249="","",INDEX(_imp!$J$4:$J$4503,_imp!$C$3249))</f>
        <v/>
      </c>
      <c r="K3247" s="54">
        <f>IF(_imp!$C$3249="","",INDEX(_imp!$K$4:$K$4503,_imp!$C$3249))</f>
        <v/>
      </c>
    </row>
    <row r="3248">
      <c r="A3248" s="54">
        <f>IF(_imp!$C$3250="","",INDEX(_imp!$D$4:$D$4503,_imp!$C$3250))</f>
        <v/>
      </c>
      <c r="B3248" s="54">
        <f>IF(_imp!$C$3250="","",INDEX(_imp!$E$4:$E$4503,_imp!$C$3250))</f>
        <v/>
      </c>
      <c r="C3248" s="54">
        <f>IF(_imp!$C$3250="","",INDEX(_imp!$F$4:$F$4503,_imp!$C$3250))</f>
        <v/>
      </c>
      <c r="D3248" s="54">
        <f>IF(_imp!$C$3250="","",INDEX(_imp!$G$4:$G$4503,_imp!$C$3250))</f>
        <v/>
      </c>
      <c r="E3248" s="54">
        <f>IF(_imp!$C$3250="","",INDEX(_imp!$H$4:$H$4503,_imp!$C$3250))</f>
        <v/>
      </c>
      <c r="F3248" s="54">
        <f>IF(_imp!$C$3250="","",INDEX(_imp!$I$4:$I$4503,_imp!$C$3250))</f>
        <v/>
      </c>
      <c r="G3248" s="54">
        <f>IF(_imp!$C$3250="","",INDEX(_imp!$J$4:$J$4503,_imp!$C$3250))</f>
        <v/>
      </c>
      <c r="K3248" s="54">
        <f>IF(_imp!$C$3250="","",INDEX(_imp!$K$4:$K$4503,_imp!$C$3250))</f>
        <v/>
      </c>
    </row>
    <row r="3249">
      <c r="A3249" s="54">
        <f>IF(_imp!$C$3251="","",INDEX(_imp!$D$4:$D$4503,_imp!$C$3251))</f>
        <v/>
      </c>
      <c r="B3249" s="54">
        <f>IF(_imp!$C$3251="","",INDEX(_imp!$E$4:$E$4503,_imp!$C$3251))</f>
        <v/>
      </c>
      <c r="C3249" s="54">
        <f>IF(_imp!$C$3251="","",INDEX(_imp!$F$4:$F$4503,_imp!$C$3251))</f>
        <v/>
      </c>
      <c r="D3249" s="54">
        <f>IF(_imp!$C$3251="","",INDEX(_imp!$G$4:$G$4503,_imp!$C$3251))</f>
        <v/>
      </c>
      <c r="E3249" s="54">
        <f>IF(_imp!$C$3251="","",INDEX(_imp!$H$4:$H$4503,_imp!$C$3251))</f>
        <v/>
      </c>
      <c r="F3249" s="54">
        <f>IF(_imp!$C$3251="","",INDEX(_imp!$I$4:$I$4503,_imp!$C$3251))</f>
        <v/>
      </c>
      <c r="G3249" s="54">
        <f>IF(_imp!$C$3251="","",INDEX(_imp!$J$4:$J$4503,_imp!$C$3251))</f>
        <v/>
      </c>
      <c r="K3249" s="54">
        <f>IF(_imp!$C$3251="","",INDEX(_imp!$K$4:$K$4503,_imp!$C$3251))</f>
        <v/>
      </c>
    </row>
    <row r="3250">
      <c r="A3250" s="54">
        <f>IF(_imp!$C$3252="","",INDEX(_imp!$D$4:$D$4503,_imp!$C$3252))</f>
        <v/>
      </c>
      <c r="B3250" s="54">
        <f>IF(_imp!$C$3252="","",INDEX(_imp!$E$4:$E$4503,_imp!$C$3252))</f>
        <v/>
      </c>
      <c r="C3250" s="54">
        <f>IF(_imp!$C$3252="","",INDEX(_imp!$F$4:$F$4503,_imp!$C$3252))</f>
        <v/>
      </c>
      <c r="D3250" s="54">
        <f>IF(_imp!$C$3252="","",INDEX(_imp!$G$4:$G$4503,_imp!$C$3252))</f>
        <v/>
      </c>
      <c r="E3250" s="54">
        <f>IF(_imp!$C$3252="","",INDEX(_imp!$H$4:$H$4503,_imp!$C$3252))</f>
        <v/>
      </c>
      <c r="F3250" s="54">
        <f>IF(_imp!$C$3252="","",INDEX(_imp!$I$4:$I$4503,_imp!$C$3252))</f>
        <v/>
      </c>
      <c r="G3250" s="54">
        <f>IF(_imp!$C$3252="","",INDEX(_imp!$J$4:$J$4503,_imp!$C$3252))</f>
        <v/>
      </c>
      <c r="K3250" s="54">
        <f>IF(_imp!$C$3252="","",INDEX(_imp!$K$4:$K$4503,_imp!$C$3252))</f>
        <v/>
      </c>
    </row>
    <row r="3251">
      <c r="A3251" s="54">
        <f>IF(_imp!$C$3253="","",INDEX(_imp!$D$4:$D$4503,_imp!$C$3253))</f>
        <v/>
      </c>
      <c r="B3251" s="54">
        <f>IF(_imp!$C$3253="","",INDEX(_imp!$E$4:$E$4503,_imp!$C$3253))</f>
        <v/>
      </c>
      <c r="C3251" s="54">
        <f>IF(_imp!$C$3253="","",INDEX(_imp!$F$4:$F$4503,_imp!$C$3253))</f>
        <v/>
      </c>
      <c r="D3251" s="54">
        <f>IF(_imp!$C$3253="","",INDEX(_imp!$G$4:$G$4503,_imp!$C$3253))</f>
        <v/>
      </c>
      <c r="E3251" s="54">
        <f>IF(_imp!$C$3253="","",INDEX(_imp!$H$4:$H$4503,_imp!$C$3253))</f>
        <v/>
      </c>
      <c r="F3251" s="54">
        <f>IF(_imp!$C$3253="","",INDEX(_imp!$I$4:$I$4503,_imp!$C$3253))</f>
        <v/>
      </c>
      <c r="G3251" s="54">
        <f>IF(_imp!$C$3253="","",INDEX(_imp!$J$4:$J$4503,_imp!$C$3253))</f>
        <v/>
      </c>
      <c r="K3251" s="54">
        <f>IF(_imp!$C$3253="","",INDEX(_imp!$K$4:$K$4503,_imp!$C$3253))</f>
        <v/>
      </c>
    </row>
    <row r="3252">
      <c r="A3252" s="54">
        <f>IF(_imp!$C$3254="","",INDEX(_imp!$D$4:$D$4503,_imp!$C$3254))</f>
        <v/>
      </c>
      <c r="B3252" s="54">
        <f>IF(_imp!$C$3254="","",INDEX(_imp!$E$4:$E$4503,_imp!$C$3254))</f>
        <v/>
      </c>
      <c r="C3252" s="54">
        <f>IF(_imp!$C$3254="","",INDEX(_imp!$F$4:$F$4503,_imp!$C$3254))</f>
        <v/>
      </c>
      <c r="D3252" s="54">
        <f>IF(_imp!$C$3254="","",INDEX(_imp!$G$4:$G$4503,_imp!$C$3254))</f>
        <v/>
      </c>
      <c r="E3252" s="54">
        <f>IF(_imp!$C$3254="","",INDEX(_imp!$H$4:$H$4503,_imp!$C$3254))</f>
        <v/>
      </c>
      <c r="F3252" s="54">
        <f>IF(_imp!$C$3254="","",INDEX(_imp!$I$4:$I$4503,_imp!$C$3254))</f>
        <v/>
      </c>
      <c r="G3252" s="54">
        <f>IF(_imp!$C$3254="","",INDEX(_imp!$J$4:$J$4503,_imp!$C$3254))</f>
        <v/>
      </c>
      <c r="K3252" s="54">
        <f>IF(_imp!$C$3254="","",INDEX(_imp!$K$4:$K$4503,_imp!$C$3254))</f>
        <v/>
      </c>
    </row>
    <row r="3253">
      <c r="A3253" s="54">
        <f>IF(_imp!$C$3255="","",INDEX(_imp!$D$4:$D$4503,_imp!$C$3255))</f>
        <v/>
      </c>
      <c r="B3253" s="54">
        <f>IF(_imp!$C$3255="","",INDEX(_imp!$E$4:$E$4503,_imp!$C$3255))</f>
        <v/>
      </c>
      <c r="C3253" s="54">
        <f>IF(_imp!$C$3255="","",INDEX(_imp!$F$4:$F$4503,_imp!$C$3255))</f>
        <v/>
      </c>
      <c r="D3253" s="54">
        <f>IF(_imp!$C$3255="","",INDEX(_imp!$G$4:$G$4503,_imp!$C$3255))</f>
        <v/>
      </c>
      <c r="E3253" s="54">
        <f>IF(_imp!$C$3255="","",INDEX(_imp!$H$4:$H$4503,_imp!$C$3255))</f>
        <v/>
      </c>
      <c r="F3253" s="54">
        <f>IF(_imp!$C$3255="","",INDEX(_imp!$I$4:$I$4503,_imp!$C$3255))</f>
        <v/>
      </c>
      <c r="G3253" s="54">
        <f>IF(_imp!$C$3255="","",INDEX(_imp!$J$4:$J$4503,_imp!$C$3255))</f>
        <v/>
      </c>
      <c r="K3253" s="54">
        <f>IF(_imp!$C$3255="","",INDEX(_imp!$K$4:$K$4503,_imp!$C$3255))</f>
        <v/>
      </c>
    </row>
    <row r="3254">
      <c r="A3254" s="54">
        <f>IF(_imp!$C$3256="","",INDEX(_imp!$D$4:$D$4503,_imp!$C$3256))</f>
        <v/>
      </c>
      <c r="B3254" s="54">
        <f>IF(_imp!$C$3256="","",INDEX(_imp!$E$4:$E$4503,_imp!$C$3256))</f>
        <v/>
      </c>
      <c r="C3254" s="54">
        <f>IF(_imp!$C$3256="","",INDEX(_imp!$F$4:$F$4503,_imp!$C$3256))</f>
        <v/>
      </c>
      <c r="D3254" s="54">
        <f>IF(_imp!$C$3256="","",INDEX(_imp!$G$4:$G$4503,_imp!$C$3256))</f>
        <v/>
      </c>
      <c r="E3254" s="54">
        <f>IF(_imp!$C$3256="","",INDEX(_imp!$H$4:$H$4503,_imp!$C$3256))</f>
        <v/>
      </c>
      <c r="F3254" s="54">
        <f>IF(_imp!$C$3256="","",INDEX(_imp!$I$4:$I$4503,_imp!$C$3256))</f>
        <v/>
      </c>
      <c r="G3254" s="54">
        <f>IF(_imp!$C$3256="","",INDEX(_imp!$J$4:$J$4503,_imp!$C$3256))</f>
        <v/>
      </c>
      <c r="K3254" s="54">
        <f>IF(_imp!$C$3256="","",INDEX(_imp!$K$4:$K$4503,_imp!$C$3256))</f>
        <v/>
      </c>
    </row>
    <row r="3255">
      <c r="A3255" s="54">
        <f>IF(_imp!$C$3257="","",INDEX(_imp!$D$4:$D$4503,_imp!$C$3257))</f>
        <v/>
      </c>
      <c r="B3255" s="54">
        <f>IF(_imp!$C$3257="","",INDEX(_imp!$E$4:$E$4503,_imp!$C$3257))</f>
        <v/>
      </c>
      <c r="C3255" s="54">
        <f>IF(_imp!$C$3257="","",INDEX(_imp!$F$4:$F$4503,_imp!$C$3257))</f>
        <v/>
      </c>
      <c r="D3255" s="54">
        <f>IF(_imp!$C$3257="","",INDEX(_imp!$G$4:$G$4503,_imp!$C$3257))</f>
        <v/>
      </c>
      <c r="E3255" s="54">
        <f>IF(_imp!$C$3257="","",INDEX(_imp!$H$4:$H$4503,_imp!$C$3257))</f>
        <v/>
      </c>
      <c r="F3255" s="54">
        <f>IF(_imp!$C$3257="","",INDEX(_imp!$I$4:$I$4503,_imp!$C$3257))</f>
        <v/>
      </c>
      <c r="G3255" s="54">
        <f>IF(_imp!$C$3257="","",INDEX(_imp!$J$4:$J$4503,_imp!$C$3257))</f>
        <v/>
      </c>
      <c r="K3255" s="54">
        <f>IF(_imp!$C$3257="","",INDEX(_imp!$K$4:$K$4503,_imp!$C$3257))</f>
        <v/>
      </c>
    </row>
    <row r="3256">
      <c r="A3256" s="54">
        <f>IF(_imp!$C$3258="","",INDEX(_imp!$D$4:$D$4503,_imp!$C$3258))</f>
        <v/>
      </c>
      <c r="B3256" s="54">
        <f>IF(_imp!$C$3258="","",INDEX(_imp!$E$4:$E$4503,_imp!$C$3258))</f>
        <v/>
      </c>
      <c r="C3256" s="54">
        <f>IF(_imp!$C$3258="","",INDEX(_imp!$F$4:$F$4503,_imp!$C$3258))</f>
        <v/>
      </c>
      <c r="D3256" s="54">
        <f>IF(_imp!$C$3258="","",INDEX(_imp!$G$4:$G$4503,_imp!$C$3258))</f>
        <v/>
      </c>
      <c r="E3256" s="54">
        <f>IF(_imp!$C$3258="","",INDEX(_imp!$H$4:$H$4503,_imp!$C$3258))</f>
        <v/>
      </c>
      <c r="F3256" s="54">
        <f>IF(_imp!$C$3258="","",INDEX(_imp!$I$4:$I$4503,_imp!$C$3258))</f>
        <v/>
      </c>
      <c r="G3256" s="54">
        <f>IF(_imp!$C$3258="","",INDEX(_imp!$J$4:$J$4503,_imp!$C$3258))</f>
        <v/>
      </c>
      <c r="K3256" s="54">
        <f>IF(_imp!$C$3258="","",INDEX(_imp!$K$4:$K$4503,_imp!$C$3258))</f>
        <v/>
      </c>
    </row>
    <row r="3257">
      <c r="A3257" s="54">
        <f>IF(_imp!$C$3259="","",INDEX(_imp!$D$4:$D$4503,_imp!$C$3259))</f>
        <v/>
      </c>
      <c r="B3257" s="54">
        <f>IF(_imp!$C$3259="","",INDEX(_imp!$E$4:$E$4503,_imp!$C$3259))</f>
        <v/>
      </c>
      <c r="C3257" s="54">
        <f>IF(_imp!$C$3259="","",INDEX(_imp!$F$4:$F$4503,_imp!$C$3259))</f>
        <v/>
      </c>
      <c r="D3257" s="54">
        <f>IF(_imp!$C$3259="","",INDEX(_imp!$G$4:$G$4503,_imp!$C$3259))</f>
        <v/>
      </c>
      <c r="E3257" s="54">
        <f>IF(_imp!$C$3259="","",INDEX(_imp!$H$4:$H$4503,_imp!$C$3259))</f>
        <v/>
      </c>
      <c r="F3257" s="54">
        <f>IF(_imp!$C$3259="","",INDEX(_imp!$I$4:$I$4503,_imp!$C$3259))</f>
        <v/>
      </c>
      <c r="G3257" s="54">
        <f>IF(_imp!$C$3259="","",INDEX(_imp!$J$4:$J$4503,_imp!$C$3259))</f>
        <v/>
      </c>
      <c r="K3257" s="54">
        <f>IF(_imp!$C$3259="","",INDEX(_imp!$K$4:$K$4503,_imp!$C$3259))</f>
        <v/>
      </c>
    </row>
    <row r="3258">
      <c r="A3258" s="54">
        <f>IF(_imp!$C$3260="","",INDEX(_imp!$D$4:$D$4503,_imp!$C$3260))</f>
        <v/>
      </c>
      <c r="B3258" s="54">
        <f>IF(_imp!$C$3260="","",INDEX(_imp!$E$4:$E$4503,_imp!$C$3260))</f>
        <v/>
      </c>
      <c r="C3258" s="54">
        <f>IF(_imp!$C$3260="","",INDEX(_imp!$F$4:$F$4503,_imp!$C$3260))</f>
        <v/>
      </c>
      <c r="D3258" s="54">
        <f>IF(_imp!$C$3260="","",INDEX(_imp!$G$4:$G$4503,_imp!$C$3260))</f>
        <v/>
      </c>
      <c r="E3258" s="54">
        <f>IF(_imp!$C$3260="","",INDEX(_imp!$H$4:$H$4503,_imp!$C$3260))</f>
        <v/>
      </c>
      <c r="F3258" s="54">
        <f>IF(_imp!$C$3260="","",INDEX(_imp!$I$4:$I$4503,_imp!$C$3260))</f>
        <v/>
      </c>
      <c r="G3258" s="54">
        <f>IF(_imp!$C$3260="","",INDEX(_imp!$J$4:$J$4503,_imp!$C$3260))</f>
        <v/>
      </c>
      <c r="K3258" s="54">
        <f>IF(_imp!$C$3260="","",INDEX(_imp!$K$4:$K$4503,_imp!$C$3260))</f>
        <v/>
      </c>
    </row>
    <row r="3259">
      <c r="A3259" s="54">
        <f>IF(_imp!$C$3261="","",INDEX(_imp!$D$4:$D$4503,_imp!$C$3261))</f>
        <v/>
      </c>
      <c r="B3259" s="54">
        <f>IF(_imp!$C$3261="","",INDEX(_imp!$E$4:$E$4503,_imp!$C$3261))</f>
        <v/>
      </c>
      <c r="C3259" s="54">
        <f>IF(_imp!$C$3261="","",INDEX(_imp!$F$4:$F$4503,_imp!$C$3261))</f>
        <v/>
      </c>
      <c r="D3259" s="54">
        <f>IF(_imp!$C$3261="","",INDEX(_imp!$G$4:$G$4503,_imp!$C$3261))</f>
        <v/>
      </c>
      <c r="E3259" s="54">
        <f>IF(_imp!$C$3261="","",INDEX(_imp!$H$4:$H$4503,_imp!$C$3261))</f>
        <v/>
      </c>
      <c r="F3259" s="54">
        <f>IF(_imp!$C$3261="","",INDEX(_imp!$I$4:$I$4503,_imp!$C$3261))</f>
        <v/>
      </c>
      <c r="G3259" s="54">
        <f>IF(_imp!$C$3261="","",INDEX(_imp!$J$4:$J$4503,_imp!$C$3261))</f>
        <v/>
      </c>
      <c r="K3259" s="54">
        <f>IF(_imp!$C$3261="","",INDEX(_imp!$K$4:$K$4503,_imp!$C$3261))</f>
        <v/>
      </c>
    </row>
    <row r="3260">
      <c r="A3260" s="54">
        <f>IF(_imp!$C$3262="","",INDEX(_imp!$D$4:$D$4503,_imp!$C$3262))</f>
        <v/>
      </c>
      <c r="B3260" s="54">
        <f>IF(_imp!$C$3262="","",INDEX(_imp!$E$4:$E$4503,_imp!$C$3262))</f>
        <v/>
      </c>
      <c r="C3260" s="54">
        <f>IF(_imp!$C$3262="","",INDEX(_imp!$F$4:$F$4503,_imp!$C$3262))</f>
        <v/>
      </c>
      <c r="D3260" s="54">
        <f>IF(_imp!$C$3262="","",INDEX(_imp!$G$4:$G$4503,_imp!$C$3262))</f>
        <v/>
      </c>
      <c r="E3260" s="54">
        <f>IF(_imp!$C$3262="","",INDEX(_imp!$H$4:$H$4503,_imp!$C$3262))</f>
        <v/>
      </c>
      <c r="F3260" s="54">
        <f>IF(_imp!$C$3262="","",INDEX(_imp!$I$4:$I$4503,_imp!$C$3262))</f>
        <v/>
      </c>
      <c r="G3260" s="54">
        <f>IF(_imp!$C$3262="","",INDEX(_imp!$J$4:$J$4503,_imp!$C$3262))</f>
        <v/>
      </c>
      <c r="K3260" s="54">
        <f>IF(_imp!$C$3262="","",INDEX(_imp!$K$4:$K$4503,_imp!$C$3262))</f>
        <v/>
      </c>
    </row>
    <row r="3261">
      <c r="A3261" s="54">
        <f>IF(_imp!$C$3263="","",INDEX(_imp!$D$4:$D$4503,_imp!$C$3263))</f>
        <v/>
      </c>
      <c r="B3261" s="54">
        <f>IF(_imp!$C$3263="","",INDEX(_imp!$E$4:$E$4503,_imp!$C$3263))</f>
        <v/>
      </c>
      <c r="C3261" s="54">
        <f>IF(_imp!$C$3263="","",INDEX(_imp!$F$4:$F$4503,_imp!$C$3263))</f>
        <v/>
      </c>
      <c r="D3261" s="54">
        <f>IF(_imp!$C$3263="","",INDEX(_imp!$G$4:$G$4503,_imp!$C$3263))</f>
        <v/>
      </c>
      <c r="E3261" s="54">
        <f>IF(_imp!$C$3263="","",INDEX(_imp!$H$4:$H$4503,_imp!$C$3263))</f>
        <v/>
      </c>
      <c r="F3261" s="54">
        <f>IF(_imp!$C$3263="","",INDEX(_imp!$I$4:$I$4503,_imp!$C$3263))</f>
        <v/>
      </c>
      <c r="G3261" s="54">
        <f>IF(_imp!$C$3263="","",INDEX(_imp!$J$4:$J$4503,_imp!$C$3263))</f>
        <v/>
      </c>
      <c r="K3261" s="54">
        <f>IF(_imp!$C$3263="","",INDEX(_imp!$K$4:$K$4503,_imp!$C$3263))</f>
        <v/>
      </c>
    </row>
    <row r="3262">
      <c r="A3262" s="54">
        <f>IF(_imp!$C$3264="","",INDEX(_imp!$D$4:$D$4503,_imp!$C$3264))</f>
        <v/>
      </c>
      <c r="B3262" s="54">
        <f>IF(_imp!$C$3264="","",INDEX(_imp!$E$4:$E$4503,_imp!$C$3264))</f>
        <v/>
      </c>
      <c r="C3262" s="54">
        <f>IF(_imp!$C$3264="","",INDEX(_imp!$F$4:$F$4503,_imp!$C$3264))</f>
        <v/>
      </c>
      <c r="D3262" s="54">
        <f>IF(_imp!$C$3264="","",INDEX(_imp!$G$4:$G$4503,_imp!$C$3264))</f>
        <v/>
      </c>
      <c r="E3262" s="54">
        <f>IF(_imp!$C$3264="","",INDEX(_imp!$H$4:$H$4503,_imp!$C$3264))</f>
        <v/>
      </c>
      <c r="F3262" s="54">
        <f>IF(_imp!$C$3264="","",INDEX(_imp!$I$4:$I$4503,_imp!$C$3264))</f>
        <v/>
      </c>
      <c r="G3262" s="54">
        <f>IF(_imp!$C$3264="","",INDEX(_imp!$J$4:$J$4503,_imp!$C$3264))</f>
        <v/>
      </c>
      <c r="K3262" s="54">
        <f>IF(_imp!$C$3264="","",INDEX(_imp!$K$4:$K$4503,_imp!$C$3264))</f>
        <v/>
      </c>
    </row>
    <row r="3263">
      <c r="A3263" s="54">
        <f>IF(_imp!$C$3265="","",INDEX(_imp!$D$4:$D$4503,_imp!$C$3265))</f>
        <v/>
      </c>
      <c r="B3263" s="54">
        <f>IF(_imp!$C$3265="","",INDEX(_imp!$E$4:$E$4503,_imp!$C$3265))</f>
        <v/>
      </c>
      <c r="C3263" s="54">
        <f>IF(_imp!$C$3265="","",INDEX(_imp!$F$4:$F$4503,_imp!$C$3265))</f>
        <v/>
      </c>
      <c r="D3263" s="54">
        <f>IF(_imp!$C$3265="","",INDEX(_imp!$G$4:$G$4503,_imp!$C$3265))</f>
        <v/>
      </c>
      <c r="E3263" s="54">
        <f>IF(_imp!$C$3265="","",INDEX(_imp!$H$4:$H$4503,_imp!$C$3265))</f>
        <v/>
      </c>
      <c r="F3263" s="54">
        <f>IF(_imp!$C$3265="","",INDEX(_imp!$I$4:$I$4503,_imp!$C$3265))</f>
        <v/>
      </c>
      <c r="G3263" s="54">
        <f>IF(_imp!$C$3265="","",INDEX(_imp!$J$4:$J$4503,_imp!$C$3265))</f>
        <v/>
      </c>
      <c r="K3263" s="54">
        <f>IF(_imp!$C$3265="","",INDEX(_imp!$K$4:$K$4503,_imp!$C$3265))</f>
        <v/>
      </c>
    </row>
    <row r="3264">
      <c r="A3264" s="54">
        <f>IF(_imp!$C$3266="","",INDEX(_imp!$D$4:$D$4503,_imp!$C$3266))</f>
        <v/>
      </c>
      <c r="B3264" s="54">
        <f>IF(_imp!$C$3266="","",INDEX(_imp!$E$4:$E$4503,_imp!$C$3266))</f>
        <v/>
      </c>
      <c r="C3264" s="54">
        <f>IF(_imp!$C$3266="","",INDEX(_imp!$F$4:$F$4503,_imp!$C$3266))</f>
        <v/>
      </c>
      <c r="D3264" s="54">
        <f>IF(_imp!$C$3266="","",INDEX(_imp!$G$4:$G$4503,_imp!$C$3266))</f>
        <v/>
      </c>
      <c r="E3264" s="54">
        <f>IF(_imp!$C$3266="","",INDEX(_imp!$H$4:$H$4503,_imp!$C$3266))</f>
        <v/>
      </c>
      <c r="F3264" s="54">
        <f>IF(_imp!$C$3266="","",INDEX(_imp!$I$4:$I$4503,_imp!$C$3266))</f>
        <v/>
      </c>
      <c r="G3264" s="54">
        <f>IF(_imp!$C$3266="","",INDEX(_imp!$J$4:$J$4503,_imp!$C$3266))</f>
        <v/>
      </c>
      <c r="K3264" s="54">
        <f>IF(_imp!$C$3266="","",INDEX(_imp!$K$4:$K$4503,_imp!$C$3266))</f>
        <v/>
      </c>
    </row>
    <row r="3265">
      <c r="A3265" s="54">
        <f>IF(_imp!$C$3267="","",INDEX(_imp!$D$4:$D$4503,_imp!$C$3267))</f>
        <v/>
      </c>
      <c r="B3265" s="54">
        <f>IF(_imp!$C$3267="","",INDEX(_imp!$E$4:$E$4503,_imp!$C$3267))</f>
        <v/>
      </c>
      <c r="C3265" s="54">
        <f>IF(_imp!$C$3267="","",INDEX(_imp!$F$4:$F$4503,_imp!$C$3267))</f>
        <v/>
      </c>
      <c r="D3265" s="54">
        <f>IF(_imp!$C$3267="","",INDEX(_imp!$G$4:$G$4503,_imp!$C$3267))</f>
        <v/>
      </c>
      <c r="E3265" s="54">
        <f>IF(_imp!$C$3267="","",INDEX(_imp!$H$4:$H$4503,_imp!$C$3267))</f>
        <v/>
      </c>
      <c r="F3265" s="54">
        <f>IF(_imp!$C$3267="","",INDEX(_imp!$I$4:$I$4503,_imp!$C$3267))</f>
        <v/>
      </c>
      <c r="G3265" s="54">
        <f>IF(_imp!$C$3267="","",INDEX(_imp!$J$4:$J$4503,_imp!$C$3267))</f>
        <v/>
      </c>
      <c r="K3265" s="54">
        <f>IF(_imp!$C$3267="","",INDEX(_imp!$K$4:$K$4503,_imp!$C$3267))</f>
        <v/>
      </c>
    </row>
    <row r="3266">
      <c r="A3266" s="54">
        <f>IF(_imp!$C$3268="","",INDEX(_imp!$D$4:$D$4503,_imp!$C$3268))</f>
        <v/>
      </c>
      <c r="B3266" s="54">
        <f>IF(_imp!$C$3268="","",INDEX(_imp!$E$4:$E$4503,_imp!$C$3268))</f>
        <v/>
      </c>
      <c r="C3266" s="54">
        <f>IF(_imp!$C$3268="","",INDEX(_imp!$F$4:$F$4503,_imp!$C$3268))</f>
        <v/>
      </c>
      <c r="D3266" s="54">
        <f>IF(_imp!$C$3268="","",INDEX(_imp!$G$4:$G$4503,_imp!$C$3268))</f>
        <v/>
      </c>
      <c r="E3266" s="54">
        <f>IF(_imp!$C$3268="","",INDEX(_imp!$H$4:$H$4503,_imp!$C$3268))</f>
        <v/>
      </c>
      <c r="F3266" s="54">
        <f>IF(_imp!$C$3268="","",INDEX(_imp!$I$4:$I$4503,_imp!$C$3268))</f>
        <v/>
      </c>
      <c r="G3266" s="54">
        <f>IF(_imp!$C$3268="","",INDEX(_imp!$J$4:$J$4503,_imp!$C$3268))</f>
        <v/>
      </c>
      <c r="K3266" s="54">
        <f>IF(_imp!$C$3268="","",INDEX(_imp!$K$4:$K$4503,_imp!$C$3268))</f>
        <v/>
      </c>
    </row>
    <row r="3267">
      <c r="A3267" s="54">
        <f>IF(_imp!$C$3269="","",INDEX(_imp!$D$4:$D$4503,_imp!$C$3269))</f>
        <v/>
      </c>
      <c r="B3267" s="54">
        <f>IF(_imp!$C$3269="","",INDEX(_imp!$E$4:$E$4503,_imp!$C$3269))</f>
        <v/>
      </c>
      <c r="C3267" s="54">
        <f>IF(_imp!$C$3269="","",INDEX(_imp!$F$4:$F$4503,_imp!$C$3269))</f>
        <v/>
      </c>
      <c r="D3267" s="54">
        <f>IF(_imp!$C$3269="","",INDEX(_imp!$G$4:$G$4503,_imp!$C$3269))</f>
        <v/>
      </c>
      <c r="E3267" s="54">
        <f>IF(_imp!$C$3269="","",INDEX(_imp!$H$4:$H$4503,_imp!$C$3269))</f>
        <v/>
      </c>
      <c r="F3267" s="54">
        <f>IF(_imp!$C$3269="","",INDEX(_imp!$I$4:$I$4503,_imp!$C$3269))</f>
        <v/>
      </c>
      <c r="G3267" s="54">
        <f>IF(_imp!$C$3269="","",INDEX(_imp!$J$4:$J$4503,_imp!$C$3269))</f>
        <v/>
      </c>
      <c r="K3267" s="54">
        <f>IF(_imp!$C$3269="","",INDEX(_imp!$K$4:$K$4503,_imp!$C$3269))</f>
        <v/>
      </c>
    </row>
    <row r="3268">
      <c r="A3268" s="54">
        <f>IF(_imp!$C$3270="","",INDEX(_imp!$D$4:$D$4503,_imp!$C$3270))</f>
        <v/>
      </c>
      <c r="B3268" s="54">
        <f>IF(_imp!$C$3270="","",INDEX(_imp!$E$4:$E$4503,_imp!$C$3270))</f>
        <v/>
      </c>
      <c r="C3268" s="54">
        <f>IF(_imp!$C$3270="","",INDEX(_imp!$F$4:$F$4503,_imp!$C$3270))</f>
        <v/>
      </c>
      <c r="D3268" s="54">
        <f>IF(_imp!$C$3270="","",INDEX(_imp!$G$4:$G$4503,_imp!$C$3270))</f>
        <v/>
      </c>
      <c r="E3268" s="54">
        <f>IF(_imp!$C$3270="","",INDEX(_imp!$H$4:$H$4503,_imp!$C$3270))</f>
        <v/>
      </c>
      <c r="F3268" s="54">
        <f>IF(_imp!$C$3270="","",INDEX(_imp!$I$4:$I$4503,_imp!$C$3270))</f>
        <v/>
      </c>
      <c r="G3268" s="54">
        <f>IF(_imp!$C$3270="","",INDEX(_imp!$J$4:$J$4503,_imp!$C$3270))</f>
        <v/>
      </c>
      <c r="K3268" s="54">
        <f>IF(_imp!$C$3270="","",INDEX(_imp!$K$4:$K$4503,_imp!$C$3270))</f>
        <v/>
      </c>
    </row>
    <row r="3269">
      <c r="A3269" s="54">
        <f>IF(_imp!$C$3271="","",INDEX(_imp!$D$4:$D$4503,_imp!$C$3271))</f>
        <v/>
      </c>
      <c r="B3269" s="54">
        <f>IF(_imp!$C$3271="","",INDEX(_imp!$E$4:$E$4503,_imp!$C$3271))</f>
        <v/>
      </c>
      <c r="C3269" s="54">
        <f>IF(_imp!$C$3271="","",INDEX(_imp!$F$4:$F$4503,_imp!$C$3271))</f>
        <v/>
      </c>
      <c r="D3269" s="54">
        <f>IF(_imp!$C$3271="","",INDEX(_imp!$G$4:$G$4503,_imp!$C$3271))</f>
        <v/>
      </c>
      <c r="E3269" s="54">
        <f>IF(_imp!$C$3271="","",INDEX(_imp!$H$4:$H$4503,_imp!$C$3271))</f>
        <v/>
      </c>
      <c r="F3269" s="54">
        <f>IF(_imp!$C$3271="","",INDEX(_imp!$I$4:$I$4503,_imp!$C$3271))</f>
        <v/>
      </c>
      <c r="G3269" s="54">
        <f>IF(_imp!$C$3271="","",INDEX(_imp!$J$4:$J$4503,_imp!$C$3271))</f>
        <v/>
      </c>
      <c r="K3269" s="54">
        <f>IF(_imp!$C$3271="","",INDEX(_imp!$K$4:$K$4503,_imp!$C$3271))</f>
        <v/>
      </c>
    </row>
    <row r="3270">
      <c r="A3270" s="54">
        <f>IF(_imp!$C$3272="","",INDEX(_imp!$D$4:$D$4503,_imp!$C$3272))</f>
        <v/>
      </c>
      <c r="B3270" s="54">
        <f>IF(_imp!$C$3272="","",INDEX(_imp!$E$4:$E$4503,_imp!$C$3272))</f>
        <v/>
      </c>
      <c r="C3270" s="54">
        <f>IF(_imp!$C$3272="","",INDEX(_imp!$F$4:$F$4503,_imp!$C$3272))</f>
        <v/>
      </c>
      <c r="D3270" s="54">
        <f>IF(_imp!$C$3272="","",INDEX(_imp!$G$4:$G$4503,_imp!$C$3272))</f>
        <v/>
      </c>
      <c r="E3270" s="54">
        <f>IF(_imp!$C$3272="","",INDEX(_imp!$H$4:$H$4503,_imp!$C$3272))</f>
        <v/>
      </c>
      <c r="F3270" s="54">
        <f>IF(_imp!$C$3272="","",INDEX(_imp!$I$4:$I$4503,_imp!$C$3272))</f>
        <v/>
      </c>
      <c r="G3270" s="54">
        <f>IF(_imp!$C$3272="","",INDEX(_imp!$J$4:$J$4503,_imp!$C$3272))</f>
        <v/>
      </c>
      <c r="K3270" s="54">
        <f>IF(_imp!$C$3272="","",INDEX(_imp!$K$4:$K$4503,_imp!$C$3272))</f>
        <v/>
      </c>
    </row>
    <row r="3271">
      <c r="A3271" s="54">
        <f>IF(_imp!$C$3273="","",INDEX(_imp!$D$4:$D$4503,_imp!$C$3273))</f>
        <v/>
      </c>
      <c r="B3271" s="54">
        <f>IF(_imp!$C$3273="","",INDEX(_imp!$E$4:$E$4503,_imp!$C$3273))</f>
        <v/>
      </c>
      <c r="C3271" s="54">
        <f>IF(_imp!$C$3273="","",INDEX(_imp!$F$4:$F$4503,_imp!$C$3273))</f>
        <v/>
      </c>
      <c r="D3271" s="54">
        <f>IF(_imp!$C$3273="","",INDEX(_imp!$G$4:$G$4503,_imp!$C$3273))</f>
        <v/>
      </c>
      <c r="E3271" s="54">
        <f>IF(_imp!$C$3273="","",INDEX(_imp!$H$4:$H$4503,_imp!$C$3273))</f>
        <v/>
      </c>
      <c r="F3271" s="54">
        <f>IF(_imp!$C$3273="","",INDEX(_imp!$I$4:$I$4503,_imp!$C$3273))</f>
        <v/>
      </c>
      <c r="G3271" s="54">
        <f>IF(_imp!$C$3273="","",INDEX(_imp!$J$4:$J$4503,_imp!$C$3273))</f>
        <v/>
      </c>
      <c r="K3271" s="54">
        <f>IF(_imp!$C$3273="","",INDEX(_imp!$K$4:$K$4503,_imp!$C$3273))</f>
        <v/>
      </c>
    </row>
    <row r="3272">
      <c r="A3272" s="54">
        <f>IF(_imp!$C$3274="","",INDEX(_imp!$D$4:$D$4503,_imp!$C$3274))</f>
        <v/>
      </c>
      <c r="B3272" s="54">
        <f>IF(_imp!$C$3274="","",INDEX(_imp!$E$4:$E$4503,_imp!$C$3274))</f>
        <v/>
      </c>
      <c r="C3272" s="54">
        <f>IF(_imp!$C$3274="","",INDEX(_imp!$F$4:$F$4503,_imp!$C$3274))</f>
        <v/>
      </c>
      <c r="D3272" s="54">
        <f>IF(_imp!$C$3274="","",INDEX(_imp!$G$4:$G$4503,_imp!$C$3274))</f>
        <v/>
      </c>
      <c r="E3272" s="54">
        <f>IF(_imp!$C$3274="","",INDEX(_imp!$H$4:$H$4503,_imp!$C$3274))</f>
        <v/>
      </c>
      <c r="F3272" s="54">
        <f>IF(_imp!$C$3274="","",INDEX(_imp!$I$4:$I$4503,_imp!$C$3274))</f>
        <v/>
      </c>
      <c r="G3272" s="54">
        <f>IF(_imp!$C$3274="","",INDEX(_imp!$J$4:$J$4503,_imp!$C$3274))</f>
        <v/>
      </c>
      <c r="K3272" s="54">
        <f>IF(_imp!$C$3274="","",INDEX(_imp!$K$4:$K$4503,_imp!$C$3274))</f>
        <v/>
      </c>
    </row>
    <row r="3273">
      <c r="A3273" s="54">
        <f>IF(_imp!$C$3275="","",INDEX(_imp!$D$4:$D$4503,_imp!$C$3275))</f>
        <v/>
      </c>
      <c r="B3273" s="54">
        <f>IF(_imp!$C$3275="","",INDEX(_imp!$E$4:$E$4503,_imp!$C$3275))</f>
        <v/>
      </c>
      <c r="C3273" s="54">
        <f>IF(_imp!$C$3275="","",INDEX(_imp!$F$4:$F$4503,_imp!$C$3275))</f>
        <v/>
      </c>
      <c r="D3273" s="54">
        <f>IF(_imp!$C$3275="","",INDEX(_imp!$G$4:$G$4503,_imp!$C$3275))</f>
        <v/>
      </c>
      <c r="E3273" s="54">
        <f>IF(_imp!$C$3275="","",INDEX(_imp!$H$4:$H$4503,_imp!$C$3275))</f>
        <v/>
      </c>
      <c r="F3273" s="54">
        <f>IF(_imp!$C$3275="","",INDEX(_imp!$I$4:$I$4503,_imp!$C$3275))</f>
        <v/>
      </c>
      <c r="G3273" s="54">
        <f>IF(_imp!$C$3275="","",INDEX(_imp!$J$4:$J$4503,_imp!$C$3275))</f>
        <v/>
      </c>
      <c r="K3273" s="54">
        <f>IF(_imp!$C$3275="","",INDEX(_imp!$K$4:$K$4503,_imp!$C$3275))</f>
        <v/>
      </c>
    </row>
    <row r="3274">
      <c r="A3274" s="54">
        <f>IF(_imp!$C$3276="","",INDEX(_imp!$D$4:$D$4503,_imp!$C$3276))</f>
        <v/>
      </c>
      <c r="B3274" s="54">
        <f>IF(_imp!$C$3276="","",INDEX(_imp!$E$4:$E$4503,_imp!$C$3276))</f>
        <v/>
      </c>
      <c r="C3274" s="54">
        <f>IF(_imp!$C$3276="","",INDEX(_imp!$F$4:$F$4503,_imp!$C$3276))</f>
        <v/>
      </c>
      <c r="D3274" s="54">
        <f>IF(_imp!$C$3276="","",INDEX(_imp!$G$4:$G$4503,_imp!$C$3276))</f>
        <v/>
      </c>
      <c r="E3274" s="54">
        <f>IF(_imp!$C$3276="","",INDEX(_imp!$H$4:$H$4503,_imp!$C$3276))</f>
        <v/>
      </c>
      <c r="F3274" s="54">
        <f>IF(_imp!$C$3276="","",INDEX(_imp!$I$4:$I$4503,_imp!$C$3276))</f>
        <v/>
      </c>
      <c r="G3274" s="54">
        <f>IF(_imp!$C$3276="","",INDEX(_imp!$J$4:$J$4503,_imp!$C$3276))</f>
        <v/>
      </c>
      <c r="K3274" s="54">
        <f>IF(_imp!$C$3276="","",INDEX(_imp!$K$4:$K$4503,_imp!$C$3276))</f>
        <v/>
      </c>
    </row>
    <row r="3275">
      <c r="A3275" s="54">
        <f>IF(_imp!$C$3277="","",INDEX(_imp!$D$4:$D$4503,_imp!$C$3277))</f>
        <v/>
      </c>
      <c r="B3275" s="54">
        <f>IF(_imp!$C$3277="","",INDEX(_imp!$E$4:$E$4503,_imp!$C$3277))</f>
        <v/>
      </c>
      <c r="C3275" s="54">
        <f>IF(_imp!$C$3277="","",INDEX(_imp!$F$4:$F$4503,_imp!$C$3277))</f>
        <v/>
      </c>
      <c r="D3275" s="54">
        <f>IF(_imp!$C$3277="","",INDEX(_imp!$G$4:$G$4503,_imp!$C$3277))</f>
        <v/>
      </c>
      <c r="E3275" s="54">
        <f>IF(_imp!$C$3277="","",INDEX(_imp!$H$4:$H$4503,_imp!$C$3277))</f>
        <v/>
      </c>
      <c r="F3275" s="54">
        <f>IF(_imp!$C$3277="","",INDEX(_imp!$I$4:$I$4503,_imp!$C$3277))</f>
        <v/>
      </c>
      <c r="G3275" s="54">
        <f>IF(_imp!$C$3277="","",INDEX(_imp!$J$4:$J$4503,_imp!$C$3277))</f>
        <v/>
      </c>
      <c r="K3275" s="54">
        <f>IF(_imp!$C$3277="","",INDEX(_imp!$K$4:$K$4503,_imp!$C$3277))</f>
        <v/>
      </c>
    </row>
    <row r="3276">
      <c r="A3276" s="54">
        <f>IF(_imp!$C$3278="","",INDEX(_imp!$D$4:$D$4503,_imp!$C$3278))</f>
        <v/>
      </c>
      <c r="B3276" s="54">
        <f>IF(_imp!$C$3278="","",INDEX(_imp!$E$4:$E$4503,_imp!$C$3278))</f>
        <v/>
      </c>
      <c r="C3276" s="54">
        <f>IF(_imp!$C$3278="","",INDEX(_imp!$F$4:$F$4503,_imp!$C$3278))</f>
        <v/>
      </c>
      <c r="D3276" s="54">
        <f>IF(_imp!$C$3278="","",INDEX(_imp!$G$4:$G$4503,_imp!$C$3278))</f>
        <v/>
      </c>
      <c r="E3276" s="54">
        <f>IF(_imp!$C$3278="","",INDEX(_imp!$H$4:$H$4503,_imp!$C$3278))</f>
        <v/>
      </c>
      <c r="F3276" s="54">
        <f>IF(_imp!$C$3278="","",INDEX(_imp!$I$4:$I$4503,_imp!$C$3278))</f>
        <v/>
      </c>
      <c r="G3276" s="54">
        <f>IF(_imp!$C$3278="","",INDEX(_imp!$J$4:$J$4503,_imp!$C$3278))</f>
        <v/>
      </c>
      <c r="K3276" s="54">
        <f>IF(_imp!$C$3278="","",INDEX(_imp!$K$4:$K$4503,_imp!$C$3278))</f>
        <v/>
      </c>
    </row>
    <row r="3277">
      <c r="A3277" s="54">
        <f>IF(_imp!$C$3279="","",INDEX(_imp!$D$4:$D$4503,_imp!$C$3279))</f>
        <v/>
      </c>
      <c r="B3277" s="54">
        <f>IF(_imp!$C$3279="","",INDEX(_imp!$E$4:$E$4503,_imp!$C$3279))</f>
        <v/>
      </c>
      <c r="C3277" s="54">
        <f>IF(_imp!$C$3279="","",INDEX(_imp!$F$4:$F$4503,_imp!$C$3279))</f>
        <v/>
      </c>
      <c r="D3277" s="54">
        <f>IF(_imp!$C$3279="","",INDEX(_imp!$G$4:$G$4503,_imp!$C$3279))</f>
        <v/>
      </c>
      <c r="E3277" s="54">
        <f>IF(_imp!$C$3279="","",INDEX(_imp!$H$4:$H$4503,_imp!$C$3279))</f>
        <v/>
      </c>
      <c r="F3277" s="54">
        <f>IF(_imp!$C$3279="","",INDEX(_imp!$I$4:$I$4503,_imp!$C$3279))</f>
        <v/>
      </c>
      <c r="G3277" s="54">
        <f>IF(_imp!$C$3279="","",INDEX(_imp!$J$4:$J$4503,_imp!$C$3279))</f>
        <v/>
      </c>
      <c r="K3277" s="54">
        <f>IF(_imp!$C$3279="","",INDEX(_imp!$K$4:$K$4503,_imp!$C$3279))</f>
        <v/>
      </c>
    </row>
    <row r="3278">
      <c r="A3278" s="54">
        <f>IF(_imp!$C$3280="","",INDEX(_imp!$D$4:$D$4503,_imp!$C$3280))</f>
        <v/>
      </c>
      <c r="B3278" s="54">
        <f>IF(_imp!$C$3280="","",INDEX(_imp!$E$4:$E$4503,_imp!$C$3280))</f>
        <v/>
      </c>
      <c r="C3278" s="54">
        <f>IF(_imp!$C$3280="","",INDEX(_imp!$F$4:$F$4503,_imp!$C$3280))</f>
        <v/>
      </c>
      <c r="D3278" s="54">
        <f>IF(_imp!$C$3280="","",INDEX(_imp!$G$4:$G$4503,_imp!$C$3280))</f>
        <v/>
      </c>
      <c r="E3278" s="54">
        <f>IF(_imp!$C$3280="","",INDEX(_imp!$H$4:$H$4503,_imp!$C$3280))</f>
        <v/>
      </c>
      <c r="F3278" s="54">
        <f>IF(_imp!$C$3280="","",INDEX(_imp!$I$4:$I$4503,_imp!$C$3280))</f>
        <v/>
      </c>
      <c r="G3278" s="54">
        <f>IF(_imp!$C$3280="","",INDEX(_imp!$J$4:$J$4503,_imp!$C$3280))</f>
        <v/>
      </c>
      <c r="K3278" s="54">
        <f>IF(_imp!$C$3280="","",INDEX(_imp!$K$4:$K$4503,_imp!$C$3280))</f>
        <v/>
      </c>
    </row>
    <row r="3279">
      <c r="A3279" s="54">
        <f>IF(_imp!$C$3281="","",INDEX(_imp!$D$4:$D$4503,_imp!$C$3281))</f>
        <v/>
      </c>
      <c r="B3279" s="54">
        <f>IF(_imp!$C$3281="","",INDEX(_imp!$E$4:$E$4503,_imp!$C$3281))</f>
        <v/>
      </c>
      <c r="C3279" s="54">
        <f>IF(_imp!$C$3281="","",INDEX(_imp!$F$4:$F$4503,_imp!$C$3281))</f>
        <v/>
      </c>
      <c r="D3279" s="54">
        <f>IF(_imp!$C$3281="","",INDEX(_imp!$G$4:$G$4503,_imp!$C$3281))</f>
        <v/>
      </c>
      <c r="E3279" s="54">
        <f>IF(_imp!$C$3281="","",INDEX(_imp!$H$4:$H$4503,_imp!$C$3281))</f>
        <v/>
      </c>
      <c r="F3279" s="54">
        <f>IF(_imp!$C$3281="","",INDEX(_imp!$I$4:$I$4503,_imp!$C$3281))</f>
        <v/>
      </c>
      <c r="G3279" s="54">
        <f>IF(_imp!$C$3281="","",INDEX(_imp!$J$4:$J$4503,_imp!$C$3281))</f>
        <v/>
      </c>
      <c r="K3279" s="54">
        <f>IF(_imp!$C$3281="","",INDEX(_imp!$K$4:$K$4503,_imp!$C$3281))</f>
        <v/>
      </c>
    </row>
    <row r="3280">
      <c r="A3280" s="54">
        <f>IF(_imp!$C$3282="","",INDEX(_imp!$D$4:$D$4503,_imp!$C$3282))</f>
        <v/>
      </c>
      <c r="B3280" s="54">
        <f>IF(_imp!$C$3282="","",INDEX(_imp!$E$4:$E$4503,_imp!$C$3282))</f>
        <v/>
      </c>
      <c r="C3280" s="54">
        <f>IF(_imp!$C$3282="","",INDEX(_imp!$F$4:$F$4503,_imp!$C$3282))</f>
        <v/>
      </c>
      <c r="D3280" s="54">
        <f>IF(_imp!$C$3282="","",INDEX(_imp!$G$4:$G$4503,_imp!$C$3282))</f>
        <v/>
      </c>
      <c r="E3280" s="54">
        <f>IF(_imp!$C$3282="","",INDEX(_imp!$H$4:$H$4503,_imp!$C$3282))</f>
        <v/>
      </c>
      <c r="F3280" s="54">
        <f>IF(_imp!$C$3282="","",INDEX(_imp!$I$4:$I$4503,_imp!$C$3282))</f>
        <v/>
      </c>
      <c r="G3280" s="54">
        <f>IF(_imp!$C$3282="","",INDEX(_imp!$J$4:$J$4503,_imp!$C$3282))</f>
        <v/>
      </c>
      <c r="K3280" s="54">
        <f>IF(_imp!$C$3282="","",INDEX(_imp!$K$4:$K$4503,_imp!$C$3282))</f>
        <v/>
      </c>
    </row>
    <row r="3281">
      <c r="A3281" s="54">
        <f>IF(_imp!$C$3283="","",INDEX(_imp!$D$4:$D$4503,_imp!$C$3283))</f>
        <v/>
      </c>
      <c r="B3281" s="54">
        <f>IF(_imp!$C$3283="","",INDEX(_imp!$E$4:$E$4503,_imp!$C$3283))</f>
        <v/>
      </c>
      <c r="C3281" s="54">
        <f>IF(_imp!$C$3283="","",INDEX(_imp!$F$4:$F$4503,_imp!$C$3283))</f>
        <v/>
      </c>
      <c r="D3281" s="54">
        <f>IF(_imp!$C$3283="","",INDEX(_imp!$G$4:$G$4503,_imp!$C$3283))</f>
        <v/>
      </c>
      <c r="E3281" s="54">
        <f>IF(_imp!$C$3283="","",INDEX(_imp!$H$4:$H$4503,_imp!$C$3283))</f>
        <v/>
      </c>
      <c r="F3281" s="54">
        <f>IF(_imp!$C$3283="","",INDEX(_imp!$I$4:$I$4503,_imp!$C$3283))</f>
        <v/>
      </c>
      <c r="G3281" s="54">
        <f>IF(_imp!$C$3283="","",INDEX(_imp!$J$4:$J$4503,_imp!$C$3283))</f>
        <v/>
      </c>
      <c r="K3281" s="54">
        <f>IF(_imp!$C$3283="","",INDEX(_imp!$K$4:$K$4503,_imp!$C$3283))</f>
        <v/>
      </c>
    </row>
    <row r="3282">
      <c r="A3282" s="54">
        <f>IF(_imp!$C$3284="","",INDEX(_imp!$D$4:$D$4503,_imp!$C$3284))</f>
        <v/>
      </c>
      <c r="B3282" s="54">
        <f>IF(_imp!$C$3284="","",INDEX(_imp!$E$4:$E$4503,_imp!$C$3284))</f>
        <v/>
      </c>
      <c r="C3282" s="54">
        <f>IF(_imp!$C$3284="","",INDEX(_imp!$F$4:$F$4503,_imp!$C$3284))</f>
        <v/>
      </c>
      <c r="D3282" s="54">
        <f>IF(_imp!$C$3284="","",INDEX(_imp!$G$4:$G$4503,_imp!$C$3284))</f>
        <v/>
      </c>
      <c r="E3282" s="54">
        <f>IF(_imp!$C$3284="","",INDEX(_imp!$H$4:$H$4503,_imp!$C$3284))</f>
        <v/>
      </c>
      <c r="F3282" s="54">
        <f>IF(_imp!$C$3284="","",INDEX(_imp!$I$4:$I$4503,_imp!$C$3284))</f>
        <v/>
      </c>
      <c r="G3282" s="54">
        <f>IF(_imp!$C$3284="","",INDEX(_imp!$J$4:$J$4503,_imp!$C$3284))</f>
        <v/>
      </c>
      <c r="K3282" s="54">
        <f>IF(_imp!$C$3284="","",INDEX(_imp!$K$4:$K$4503,_imp!$C$3284))</f>
        <v/>
      </c>
    </row>
    <row r="3283">
      <c r="A3283" s="54">
        <f>IF(_imp!$C$3285="","",INDEX(_imp!$D$4:$D$4503,_imp!$C$3285))</f>
        <v/>
      </c>
      <c r="B3283" s="54">
        <f>IF(_imp!$C$3285="","",INDEX(_imp!$E$4:$E$4503,_imp!$C$3285))</f>
        <v/>
      </c>
      <c r="C3283" s="54">
        <f>IF(_imp!$C$3285="","",INDEX(_imp!$F$4:$F$4503,_imp!$C$3285))</f>
        <v/>
      </c>
      <c r="D3283" s="54">
        <f>IF(_imp!$C$3285="","",INDEX(_imp!$G$4:$G$4503,_imp!$C$3285))</f>
        <v/>
      </c>
      <c r="E3283" s="54">
        <f>IF(_imp!$C$3285="","",INDEX(_imp!$H$4:$H$4503,_imp!$C$3285))</f>
        <v/>
      </c>
      <c r="F3283" s="54">
        <f>IF(_imp!$C$3285="","",INDEX(_imp!$I$4:$I$4503,_imp!$C$3285))</f>
        <v/>
      </c>
      <c r="G3283" s="54">
        <f>IF(_imp!$C$3285="","",INDEX(_imp!$J$4:$J$4503,_imp!$C$3285))</f>
        <v/>
      </c>
      <c r="K3283" s="54">
        <f>IF(_imp!$C$3285="","",INDEX(_imp!$K$4:$K$4503,_imp!$C$3285))</f>
        <v/>
      </c>
    </row>
    <row r="3284">
      <c r="A3284" s="54">
        <f>IF(_imp!$C$3286="","",INDEX(_imp!$D$4:$D$4503,_imp!$C$3286))</f>
        <v/>
      </c>
      <c r="B3284" s="54">
        <f>IF(_imp!$C$3286="","",INDEX(_imp!$E$4:$E$4503,_imp!$C$3286))</f>
        <v/>
      </c>
      <c r="C3284" s="54">
        <f>IF(_imp!$C$3286="","",INDEX(_imp!$F$4:$F$4503,_imp!$C$3286))</f>
        <v/>
      </c>
      <c r="D3284" s="54">
        <f>IF(_imp!$C$3286="","",INDEX(_imp!$G$4:$G$4503,_imp!$C$3286))</f>
        <v/>
      </c>
      <c r="E3284" s="54">
        <f>IF(_imp!$C$3286="","",INDEX(_imp!$H$4:$H$4503,_imp!$C$3286))</f>
        <v/>
      </c>
      <c r="F3284" s="54">
        <f>IF(_imp!$C$3286="","",INDEX(_imp!$I$4:$I$4503,_imp!$C$3286))</f>
        <v/>
      </c>
      <c r="G3284" s="54">
        <f>IF(_imp!$C$3286="","",INDEX(_imp!$J$4:$J$4503,_imp!$C$3286))</f>
        <v/>
      </c>
      <c r="K3284" s="54">
        <f>IF(_imp!$C$3286="","",INDEX(_imp!$K$4:$K$4503,_imp!$C$3286))</f>
        <v/>
      </c>
    </row>
    <row r="3285">
      <c r="A3285" s="54">
        <f>IF(_imp!$C$3287="","",INDEX(_imp!$D$4:$D$4503,_imp!$C$3287))</f>
        <v/>
      </c>
      <c r="B3285" s="54">
        <f>IF(_imp!$C$3287="","",INDEX(_imp!$E$4:$E$4503,_imp!$C$3287))</f>
        <v/>
      </c>
      <c r="C3285" s="54">
        <f>IF(_imp!$C$3287="","",INDEX(_imp!$F$4:$F$4503,_imp!$C$3287))</f>
        <v/>
      </c>
      <c r="D3285" s="54">
        <f>IF(_imp!$C$3287="","",INDEX(_imp!$G$4:$G$4503,_imp!$C$3287))</f>
        <v/>
      </c>
      <c r="E3285" s="54">
        <f>IF(_imp!$C$3287="","",INDEX(_imp!$H$4:$H$4503,_imp!$C$3287))</f>
        <v/>
      </c>
      <c r="F3285" s="54">
        <f>IF(_imp!$C$3287="","",INDEX(_imp!$I$4:$I$4503,_imp!$C$3287))</f>
        <v/>
      </c>
      <c r="G3285" s="54">
        <f>IF(_imp!$C$3287="","",INDEX(_imp!$J$4:$J$4503,_imp!$C$3287))</f>
        <v/>
      </c>
      <c r="K3285" s="54">
        <f>IF(_imp!$C$3287="","",INDEX(_imp!$K$4:$K$4503,_imp!$C$3287))</f>
        <v/>
      </c>
    </row>
    <row r="3286">
      <c r="A3286" s="54">
        <f>IF(_imp!$C$3288="","",INDEX(_imp!$D$4:$D$4503,_imp!$C$3288))</f>
        <v/>
      </c>
      <c r="B3286" s="54">
        <f>IF(_imp!$C$3288="","",INDEX(_imp!$E$4:$E$4503,_imp!$C$3288))</f>
        <v/>
      </c>
      <c r="C3286" s="54">
        <f>IF(_imp!$C$3288="","",INDEX(_imp!$F$4:$F$4503,_imp!$C$3288))</f>
        <v/>
      </c>
      <c r="D3286" s="54">
        <f>IF(_imp!$C$3288="","",INDEX(_imp!$G$4:$G$4503,_imp!$C$3288))</f>
        <v/>
      </c>
      <c r="E3286" s="54">
        <f>IF(_imp!$C$3288="","",INDEX(_imp!$H$4:$H$4503,_imp!$C$3288))</f>
        <v/>
      </c>
      <c r="F3286" s="54">
        <f>IF(_imp!$C$3288="","",INDEX(_imp!$I$4:$I$4503,_imp!$C$3288))</f>
        <v/>
      </c>
      <c r="G3286" s="54">
        <f>IF(_imp!$C$3288="","",INDEX(_imp!$J$4:$J$4503,_imp!$C$3288))</f>
        <v/>
      </c>
      <c r="K3286" s="54">
        <f>IF(_imp!$C$3288="","",INDEX(_imp!$K$4:$K$4503,_imp!$C$3288))</f>
        <v/>
      </c>
    </row>
    <row r="3287">
      <c r="A3287" s="54">
        <f>IF(_imp!$C$3289="","",INDEX(_imp!$D$4:$D$4503,_imp!$C$3289))</f>
        <v/>
      </c>
      <c r="B3287" s="54">
        <f>IF(_imp!$C$3289="","",INDEX(_imp!$E$4:$E$4503,_imp!$C$3289))</f>
        <v/>
      </c>
      <c r="C3287" s="54">
        <f>IF(_imp!$C$3289="","",INDEX(_imp!$F$4:$F$4503,_imp!$C$3289))</f>
        <v/>
      </c>
      <c r="D3287" s="54">
        <f>IF(_imp!$C$3289="","",INDEX(_imp!$G$4:$G$4503,_imp!$C$3289))</f>
        <v/>
      </c>
      <c r="E3287" s="54">
        <f>IF(_imp!$C$3289="","",INDEX(_imp!$H$4:$H$4503,_imp!$C$3289))</f>
        <v/>
      </c>
      <c r="F3287" s="54">
        <f>IF(_imp!$C$3289="","",INDEX(_imp!$I$4:$I$4503,_imp!$C$3289))</f>
        <v/>
      </c>
      <c r="G3287" s="54">
        <f>IF(_imp!$C$3289="","",INDEX(_imp!$J$4:$J$4503,_imp!$C$3289))</f>
        <v/>
      </c>
      <c r="K3287" s="54">
        <f>IF(_imp!$C$3289="","",INDEX(_imp!$K$4:$K$4503,_imp!$C$3289))</f>
        <v/>
      </c>
    </row>
    <row r="3288">
      <c r="A3288" s="54">
        <f>IF(_imp!$C$3290="","",INDEX(_imp!$D$4:$D$4503,_imp!$C$3290))</f>
        <v/>
      </c>
      <c r="B3288" s="54">
        <f>IF(_imp!$C$3290="","",INDEX(_imp!$E$4:$E$4503,_imp!$C$3290))</f>
        <v/>
      </c>
      <c r="C3288" s="54">
        <f>IF(_imp!$C$3290="","",INDEX(_imp!$F$4:$F$4503,_imp!$C$3290))</f>
        <v/>
      </c>
      <c r="D3288" s="54">
        <f>IF(_imp!$C$3290="","",INDEX(_imp!$G$4:$G$4503,_imp!$C$3290))</f>
        <v/>
      </c>
      <c r="E3288" s="54">
        <f>IF(_imp!$C$3290="","",INDEX(_imp!$H$4:$H$4503,_imp!$C$3290))</f>
        <v/>
      </c>
      <c r="F3288" s="54">
        <f>IF(_imp!$C$3290="","",INDEX(_imp!$I$4:$I$4503,_imp!$C$3290))</f>
        <v/>
      </c>
      <c r="G3288" s="54">
        <f>IF(_imp!$C$3290="","",INDEX(_imp!$J$4:$J$4503,_imp!$C$3290))</f>
        <v/>
      </c>
      <c r="K3288" s="54">
        <f>IF(_imp!$C$3290="","",INDEX(_imp!$K$4:$K$4503,_imp!$C$3290))</f>
        <v/>
      </c>
    </row>
    <row r="3289">
      <c r="A3289" s="54">
        <f>IF(_imp!$C$3291="","",INDEX(_imp!$D$4:$D$4503,_imp!$C$3291))</f>
        <v/>
      </c>
      <c r="B3289" s="54">
        <f>IF(_imp!$C$3291="","",INDEX(_imp!$E$4:$E$4503,_imp!$C$3291))</f>
        <v/>
      </c>
      <c r="C3289" s="54">
        <f>IF(_imp!$C$3291="","",INDEX(_imp!$F$4:$F$4503,_imp!$C$3291))</f>
        <v/>
      </c>
      <c r="D3289" s="54">
        <f>IF(_imp!$C$3291="","",INDEX(_imp!$G$4:$G$4503,_imp!$C$3291))</f>
        <v/>
      </c>
      <c r="E3289" s="54">
        <f>IF(_imp!$C$3291="","",INDEX(_imp!$H$4:$H$4503,_imp!$C$3291))</f>
        <v/>
      </c>
      <c r="F3289" s="54">
        <f>IF(_imp!$C$3291="","",INDEX(_imp!$I$4:$I$4503,_imp!$C$3291))</f>
        <v/>
      </c>
      <c r="G3289" s="54">
        <f>IF(_imp!$C$3291="","",INDEX(_imp!$J$4:$J$4503,_imp!$C$3291))</f>
        <v/>
      </c>
      <c r="K3289" s="54">
        <f>IF(_imp!$C$3291="","",INDEX(_imp!$K$4:$K$4503,_imp!$C$3291))</f>
        <v/>
      </c>
    </row>
    <row r="3290">
      <c r="A3290" s="54">
        <f>IF(_imp!$C$3292="","",INDEX(_imp!$D$4:$D$4503,_imp!$C$3292))</f>
        <v/>
      </c>
      <c r="B3290" s="54">
        <f>IF(_imp!$C$3292="","",INDEX(_imp!$E$4:$E$4503,_imp!$C$3292))</f>
        <v/>
      </c>
      <c r="C3290" s="54">
        <f>IF(_imp!$C$3292="","",INDEX(_imp!$F$4:$F$4503,_imp!$C$3292))</f>
        <v/>
      </c>
      <c r="D3290" s="54">
        <f>IF(_imp!$C$3292="","",INDEX(_imp!$G$4:$G$4503,_imp!$C$3292))</f>
        <v/>
      </c>
      <c r="E3290" s="54">
        <f>IF(_imp!$C$3292="","",INDEX(_imp!$H$4:$H$4503,_imp!$C$3292))</f>
        <v/>
      </c>
      <c r="F3290" s="54">
        <f>IF(_imp!$C$3292="","",INDEX(_imp!$I$4:$I$4503,_imp!$C$3292))</f>
        <v/>
      </c>
      <c r="G3290" s="54">
        <f>IF(_imp!$C$3292="","",INDEX(_imp!$J$4:$J$4503,_imp!$C$3292))</f>
        <v/>
      </c>
      <c r="K3290" s="54">
        <f>IF(_imp!$C$3292="","",INDEX(_imp!$K$4:$K$4503,_imp!$C$3292))</f>
        <v/>
      </c>
    </row>
    <row r="3291">
      <c r="A3291" s="54">
        <f>IF(_imp!$C$3293="","",INDEX(_imp!$D$4:$D$4503,_imp!$C$3293))</f>
        <v/>
      </c>
      <c r="B3291" s="54">
        <f>IF(_imp!$C$3293="","",INDEX(_imp!$E$4:$E$4503,_imp!$C$3293))</f>
        <v/>
      </c>
      <c r="C3291" s="54">
        <f>IF(_imp!$C$3293="","",INDEX(_imp!$F$4:$F$4503,_imp!$C$3293))</f>
        <v/>
      </c>
      <c r="D3291" s="54">
        <f>IF(_imp!$C$3293="","",INDEX(_imp!$G$4:$G$4503,_imp!$C$3293))</f>
        <v/>
      </c>
      <c r="E3291" s="54">
        <f>IF(_imp!$C$3293="","",INDEX(_imp!$H$4:$H$4503,_imp!$C$3293))</f>
        <v/>
      </c>
      <c r="F3291" s="54">
        <f>IF(_imp!$C$3293="","",INDEX(_imp!$I$4:$I$4503,_imp!$C$3293))</f>
        <v/>
      </c>
      <c r="G3291" s="54">
        <f>IF(_imp!$C$3293="","",INDEX(_imp!$J$4:$J$4503,_imp!$C$3293))</f>
        <v/>
      </c>
      <c r="K3291" s="54">
        <f>IF(_imp!$C$3293="","",INDEX(_imp!$K$4:$K$4503,_imp!$C$3293))</f>
        <v/>
      </c>
    </row>
    <row r="3292">
      <c r="A3292" s="54">
        <f>IF(_imp!$C$3294="","",INDEX(_imp!$D$4:$D$4503,_imp!$C$3294))</f>
        <v/>
      </c>
      <c r="B3292" s="54">
        <f>IF(_imp!$C$3294="","",INDEX(_imp!$E$4:$E$4503,_imp!$C$3294))</f>
        <v/>
      </c>
      <c r="C3292" s="54">
        <f>IF(_imp!$C$3294="","",INDEX(_imp!$F$4:$F$4503,_imp!$C$3294))</f>
        <v/>
      </c>
      <c r="D3292" s="54">
        <f>IF(_imp!$C$3294="","",INDEX(_imp!$G$4:$G$4503,_imp!$C$3294))</f>
        <v/>
      </c>
      <c r="E3292" s="54">
        <f>IF(_imp!$C$3294="","",INDEX(_imp!$H$4:$H$4503,_imp!$C$3294))</f>
        <v/>
      </c>
      <c r="F3292" s="54">
        <f>IF(_imp!$C$3294="","",INDEX(_imp!$I$4:$I$4503,_imp!$C$3294))</f>
        <v/>
      </c>
      <c r="G3292" s="54">
        <f>IF(_imp!$C$3294="","",INDEX(_imp!$J$4:$J$4503,_imp!$C$3294))</f>
        <v/>
      </c>
      <c r="K3292" s="54">
        <f>IF(_imp!$C$3294="","",INDEX(_imp!$K$4:$K$4503,_imp!$C$3294))</f>
        <v/>
      </c>
    </row>
    <row r="3293">
      <c r="A3293" s="54">
        <f>IF(_imp!$C$3295="","",INDEX(_imp!$D$4:$D$4503,_imp!$C$3295))</f>
        <v/>
      </c>
      <c r="B3293" s="54">
        <f>IF(_imp!$C$3295="","",INDEX(_imp!$E$4:$E$4503,_imp!$C$3295))</f>
        <v/>
      </c>
      <c r="C3293" s="54">
        <f>IF(_imp!$C$3295="","",INDEX(_imp!$F$4:$F$4503,_imp!$C$3295))</f>
        <v/>
      </c>
      <c r="D3293" s="54">
        <f>IF(_imp!$C$3295="","",INDEX(_imp!$G$4:$G$4503,_imp!$C$3295))</f>
        <v/>
      </c>
      <c r="E3293" s="54">
        <f>IF(_imp!$C$3295="","",INDEX(_imp!$H$4:$H$4503,_imp!$C$3295))</f>
        <v/>
      </c>
      <c r="F3293" s="54">
        <f>IF(_imp!$C$3295="","",INDEX(_imp!$I$4:$I$4503,_imp!$C$3295))</f>
        <v/>
      </c>
      <c r="G3293" s="54">
        <f>IF(_imp!$C$3295="","",INDEX(_imp!$J$4:$J$4503,_imp!$C$3295))</f>
        <v/>
      </c>
      <c r="K3293" s="54">
        <f>IF(_imp!$C$3295="","",INDEX(_imp!$K$4:$K$4503,_imp!$C$3295))</f>
        <v/>
      </c>
    </row>
    <row r="3294">
      <c r="A3294" s="54">
        <f>IF(_imp!$C$3296="","",INDEX(_imp!$D$4:$D$4503,_imp!$C$3296))</f>
        <v/>
      </c>
      <c r="B3294" s="54">
        <f>IF(_imp!$C$3296="","",INDEX(_imp!$E$4:$E$4503,_imp!$C$3296))</f>
        <v/>
      </c>
      <c r="C3294" s="54">
        <f>IF(_imp!$C$3296="","",INDEX(_imp!$F$4:$F$4503,_imp!$C$3296))</f>
        <v/>
      </c>
      <c r="D3294" s="54">
        <f>IF(_imp!$C$3296="","",INDEX(_imp!$G$4:$G$4503,_imp!$C$3296))</f>
        <v/>
      </c>
      <c r="E3294" s="54">
        <f>IF(_imp!$C$3296="","",INDEX(_imp!$H$4:$H$4503,_imp!$C$3296))</f>
        <v/>
      </c>
      <c r="F3294" s="54">
        <f>IF(_imp!$C$3296="","",INDEX(_imp!$I$4:$I$4503,_imp!$C$3296))</f>
        <v/>
      </c>
      <c r="G3294" s="54">
        <f>IF(_imp!$C$3296="","",INDEX(_imp!$J$4:$J$4503,_imp!$C$3296))</f>
        <v/>
      </c>
      <c r="K3294" s="54">
        <f>IF(_imp!$C$3296="","",INDEX(_imp!$K$4:$K$4503,_imp!$C$3296))</f>
        <v/>
      </c>
    </row>
    <row r="3295">
      <c r="A3295" s="54">
        <f>IF(_imp!$C$3297="","",INDEX(_imp!$D$4:$D$4503,_imp!$C$3297))</f>
        <v/>
      </c>
      <c r="B3295" s="54">
        <f>IF(_imp!$C$3297="","",INDEX(_imp!$E$4:$E$4503,_imp!$C$3297))</f>
        <v/>
      </c>
      <c r="C3295" s="54">
        <f>IF(_imp!$C$3297="","",INDEX(_imp!$F$4:$F$4503,_imp!$C$3297))</f>
        <v/>
      </c>
      <c r="D3295" s="54">
        <f>IF(_imp!$C$3297="","",INDEX(_imp!$G$4:$G$4503,_imp!$C$3297))</f>
        <v/>
      </c>
      <c r="E3295" s="54">
        <f>IF(_imp!$C$3297="","",INDEX(_imp!$H$4:$H$4503,_imp!$C$3297))</f>
        <v/>
      </c>
      <c r="F3295" s="54">
        <f>IF(_imp!$C$3297="","",INDEX(_imp!$I$4:$I$4503,_imp!$C$3297))</f>
        <v/>
      </c>
      <c r="G3295" s="54">
        <f>IF(_imp!$C$3297="","",INDEX(_imp!$J$4:$J$4503,_imp!$C$3297))</f>
        <v/>
      </c>
      <c r="K3295" s="54">
        <f>IF(_imp!$C$3297="","",INDEX(_imp!$K$4:$K$4503,_imp!$C$3297))</f>
        <v/>
      </c>
    </row>
    <row r="3296">
      <c r="A3296" s="54">
        <f>IF(_imp!$C$3298="","",INDEX(_imp!$D$4:$D$4503,_imp!$C$3298))</f>
        <v/>
      </c>
      <c r="B3296" s="54">
        <f>IF(_imp!$C$3298="","",INDEX(_imp!$E$4:$E$4503,_imp!$C$3298))</f>
        <v/>
      </c>
      <c r="C3296" s="54">
        <f>IF(_imp!$C$3298="","",INDEX(_imp!$F$4:$F$4503,_imp!$C$3298))</f>
        <v/>
      </c>
      <c r="D3296" s="54">
        <f>IF(_imp!$C$3298="","",INDEX(_imp!$G$4:$G$4503,_imp!$C$3298))</f>
        <v/>
      </c>
      <c r="E3296" s="54">
        <f>IF(_imp!$C$3298="","",INDEX(_imp!$H$4:$H$4503,_imp!$C$3298))</f>
        <v/>
      </c>
      <c r="F3296" s="54">
        <f>IF(_imp!$C$3298="","",INDEX(_imp!$I$4:$I$4503,_imp!$C$3298))</f>
        <v/>
      </c>
      <c r="G3296" s="54">
        <f>IF(_imp!$C$3298="","",INDEX(_imp!$J$4:$J$4503,_imp!$C$3298))</f>
        <v/>
      </c>
      <c r="K3296" s="54">
        <f>IF(_imp!$C$3298="","",INDEX(_imp!$K$4:$K$4503,_imp!$C$3298))</f>
        <v/>
      </c>
    </row>
    <row r="3297">
      <c r="A3297" s="54">
        <f>IF(_imp!$C$3299="","",INDEX(_imp!$D$4:$D$4503,_imp!$C$3299))</f>
        <v/>
      </c>
      <c r="B3297" s="54">
        <f>IF(_imp!$C$3299="","",INDEX(_imp!$E$4:$E$4503,_imp!$C$3299))</f>
        <v/>
      </c>
      <c r="C3297" s="54">
        <f>IF(_imp!$C$3299="","",INDEX(_imp!$F$4:$F$4503,_imp!$C$3299))</f>
        <v/>
      </c>
      <c r="D3297" s="54">
        <f>IF(_imp!$C$3299="","",INDEX(_imp!$G$4:$G$4503,_imp!$C$3299))</f>
        <v/>
      </c>
      <c r="E3297" s="54">
        <f>IF(_imp!$C$3299="","",INDEX(_imp!$H$4:$H$4503,_imp!$C$3299))</f>
        <v/>
      </c>
      <c r="F3297" s="54">
        <f>IF(_imp!$C$3299="","",INDEX(_imp!$I$4:$I$4503,_imp!$C$3299))</f>
        <v/>
      </c>
      <c r="G3297" s="54">
        <f>IF(_imp!$C$3299="","",INDEX(_imp!$J$4:$J$4503,_imp!$C$3299))</f>
        <v/>
      </c>
      <c r="K3297" s="54">
        <f>IF(_imp!$C$3299="","",INDEX(_imp!$K$4:$K$4503,_imp!$C$3299))</f>
        <v/>
      </c>
    </row>
    <row r="3298">
      <c r="A3298" s="54">
        <f>IF(_imp!$C$3300="","",INDEX(_imp!$D$4:$D$4503,_imp!$C$3300))</f>
        <v/>
      </c>
      <c r="B3298" s="54">
        <f>IF(_imp!$C$3300="","",INDEX(_imp!$E$4:$E$4503,_imp!$C$3300))</f>
        <v/>
      </c>
      <c r="C3298" s="54">
        <f>IF(_imp!$C$3300="","",INDEX(_imp!$F$4:$F$4503,_imp!$C$3300))</f>
        <v/>
      </c>
      <c r="D3298" s="54">
        <f>IF(_imp!$C$3300="","",INDEX(_imp!$G$4:$G$4503,_imp!$C$3300))</f>
        <v/>
      </c>
      <c r="E3298" s="54">
        <f>IF(_imp!$C$3300="","",INDEX(_imp!$H$4:$H$4503,_imp!$C$3300))</f>
        <v/>
      </c>
      <c r="F3298" s="54">
        <f>IF(_imp!$C$3300="","",INDEX(_imp!$I$4:$I$4503,_imp!$C$3300))</f>
        <v/>
      </c>
      <c r="G3298" s="54">
        <f>IF(_imp!$C$3300="","",INDEX(_imp!$J$4:$J$4503,_imp!$C$3300))</f>
        <v/>
      </c>
      <c r="K3298" s="54">
        <f>IF(_imp!$C$3300="","",INDEX(_imp!$K$4:$K$4503,_imp!$C$3300))</f>
        <v/>
      </c>
    </row>
    <row r="3299">
      <c r="A3299" s="54">
        <f>IF(_imp!$C$3301="","",INDEX(_imp!$D$4:$D$4503,_imp!$C$3301))</f>
        <v/>
      </c>
      <c r="B3299" s="54">
        <f>IF(_imp!$C$3301="","",INDEX(_imp!$E$4:$E$4503,_imp!$C$3301))</f>
        <v/>
      </c>
      <c r="C3299" s="54">
        <f>IF(_imp!$C$3301="","",INDEX(_imp!$F$4:$F$4503,_imp!$C$3301))</f>
        <v/>
      </c>
      <c r="D3299" s="54">
        <f>IF(_imp!$C$3301="","",INDEX(_imp!$G$4:$G$4503,_imp!$C$3301))</f>
        <v/>
      </c>
      <c r="E3299" s="54">
        <f>IF(_imp!$C$3301="","",INDEX(_imp!$H$4:$H$4503,_imp!$C$3301))</f>
        <v/>
      </c>
      <c r="F3299" s="54">
        <f>IF(_imp!$C$3301="","",INDEX(_imp!$I$4:$I$4503,_imp!$C$3301))</f>
        <v/>
      </c>
      <c r="G3299" s="54">
        <f>IF(_imp!$C$3301="","",INDEX(_imp!$J$4:$J$4503,_imp!$C$3301))</f>
        <v/>
      </c>
      <c r="K3299" s="54">
        <f>IF(_imp!$C$3301="","",INDEX(_imp!$K$4:$K$4503,_imp!$C$3301))</f>
        <v/>
      </c>
    </row>
    <row r="3300">
      <c r="A3300" s="54">
        <f>IF(_imp!$C$3302="","",INDEX(_imp!$D$4:$D$4503,_imp!$C$3302))</f>
        <v/>
      </c>
      <c r="B3300" s="54">
        <f>IF(_imp!$C$3302="","",INDEX(_imp!$E$4:$E$4503,_imp!$C$3302))</f>
        <v/>
      </c>
      <c r="C3300" s="54">
        <f>IF(_imp!$C$3302="","",INDEX(_imp!$F$4:$F$4503,_imp!$C$3302))</f>
        <v/>
      </c>
      <c r="D3300" s="54">
        <f>IF(_imp!$C$3302="","",INDEX(_imp!$G$4:$G$4503,_imp!$C$3302))</f>
        <v/>
      </c>
      <c r="E3300" s="54">
        <f>IF(_imp!$C$3302="","",INDEX(_imp!$H$4:$H$4503,_imp!$C$3302))</f>
        <v/>
      </c>
      <c r="F3300" s="54">
        <f>IF(_imp!$C$3302="","",INDEX(_imp!$I$4:$I$4503,_imp!$C$3302))</f>
        <v/>
      </c>
      <c r="G3300" s="54">
        <f>IF(_imp!$C$3302="","",INDEX(_imp!$J$4:$J$4503,_imp!$C$3302))</f>
        <v/>
      </c>
      <c r="K3300" s="54">
        <f>IF(_imp!$C$3302="","",INDEX(_imp!$K$4:$K$4503,_imp!$C$3302))</f>
        <v/>
      </c>
    </row>
    <row r="3301">
      <c r="A3301" s="54">
        <f>IF(_imp!$C$3303="","",INDEX(_imp!$D$4:$D$4503,_imp!$C$3303))</f>
        <v/>
      </c>
      <c r="B3301" s="54">
        <f>IF(_imp!$C$3303="","",INDEX(_imp!$E$4:$E$4503,_imp!$C$3303))</f>
        <v/>
      </c>
      <c r="C3301" s="54">
        <f>IF(_imp!$C$3303="","",INDEX(_imp!$F$4:$F$4503,_imp!$C$3303))</f>
        <v/>
      </c>
      <c r="D3301" s="54">
        <f>IF(_imp!$C$3303="","",INDEX(_imp!$G$4:$G$4503,_imp!$C$3303))</f>
        <v/>
      </c>
      <c r="E3301" s="54">
        <f>IF(_imp!$C$3303="","",INDEX(_imp!$H$4:$H$4503,_imp!$C$3303))</f>
        <v/>
      </c>
      <c r="F3301" s="54">
        <f>IF(_imp!$C$3303="","",INDEX(_imp!$I$4:$I$4503,_imp!$C$3303))</f>
        <v/>
      </c>
      <c r="G3301" s="54">
        <f>IF(_imp!$C$3303="","",INDEX(_imp!$J$4:$J$4503,_imp!$C$3303))</f>
        <v/>
      </c>
      <c r="K3301" s="54">
        <f>IF(_imp!$C$3303="","",INDEX(_imp!$K$4:$K$4503,_imp!$C$3303))</f>
        <v/>
      </c>
    </row>
    <row r="3302">
      <c r="A3302" s="54">
        <f>IF(_imp!$C$3304="","",INDEX(_imp!$D$4:$D$4503,_imp!$C$3304))</f>
        <v/>
      </c>
      <c r="B3302" s="54">
        <f>IF(_imp!$C$3304="","",INDEX(_imp!$E$4:$E$4503,_imp!$C$3304))</f>
        <v/>
      </c>
      <c r="C3302" s="54">
        <f>IF(_imp!$C$3304="","",INDEX(_imp!$F$4:$F$4503,_imp!$C$3304))</f>
        <v/>
      </c>
      <c r="D3302" s="54">
        <f>IF(_imp!$C$3304="","",INDEX(_imp!$G$4:$G$4503,_imp!$C$3304))</f>
        <v/>
      </c>
      <c r="E3302" s="54">
        <f>IF(_imp!$C$3304="","",INDEX(_imp!$H$4:$H$4503,_imp!$C$3304))</f>
        <v/>
      </c>
      <c r="F3302" s="54">
        <f>IF(_imp!$C$3304="","",INDEX(_imp!$I$4:$I$4503,_imp!$C$3304))</f>
        <v/>
      </c>
      <c r="G3302" s="54">
        <f>IF(_imp!$C$3304="","",INDEX(_imp!$J$4:$J$4503,_imp!$C$3304))</f>
        <v/>
      </c>
      <c r="K3302" s="54">
        <f>IF(_imp!$C$3304="","",INDEX(_imp!$K$4:$K$4503,_imp!$C$3304))</f>
        <v/>
      </c>
    </row>
    <row r="3303">
      <c r="A3303" s="54">
        <f>IF(_imp!$C$3305="","",INDEX(_imp!$D$4:$D$4503,_imp!$C$3305))</f>
        <v/>
      </c>
      <c r="B3303" s="54">
        <f>IF(_imp!$C$3305="","",INDEX(_imp!$E$4:$E$4503,_imp!$C$3305))</f>
        <v/>
      </c>
      <c r="C3303" s="54">
        <f>IF(_imp!$C$3305="","",INDEX(_imp!$F$4:$F$4503,_imp!$C$3305))</f>
        <v/>
      </c>
      <c r="D3303" s="54">
        <f>IF(_imp!$C$3305="","",INDEX(_imp!$G$4:$G$4503,_imp!$C$3305))</f>
        <v/>
      </c>
      <c r="E3303" s="54">
        <f>IF(_imp!$C$3305="","",INDEX(_imp!$H$4:$H$4503,_imp!$C$3305))</f>
        <v/>
      </c>
      <c r="F3303" s="54">
        <f>IF(_imp!$C$3305="","",INDEX(_imp!$I$4:$I$4503,_imp!$C$3305))</f>
        <v/>
      </c>
      <c r="G3303" s="54">
        <f>IF(_imp!$C$3305="","",INDEX(_imp!$J$4:$J$4503,_imp!$C$3305))</f>
        <v/>
      </c>
      <c r="K3303" s="54">
        <f>IF(_imp!$C$3305="","",INDEX(_imp!$K$4:$K$4503,_imp!$C$3305))</f>
        <v/>
      </c>
    </row>
    <row r="3304">
      <c r="A3304" s="54">
        <f>IF(_imp!$C$3306="","",INDEX(_imp!$D$4:$D$4503,_imp!$C$3306))</f>
        <v/>
      </c>
      <c r="B3304" s="54">
        <f>IF(_imp!$C$3306="","",INDEX(_imp!$E$4:$E$4503,_imp!$C$3306))</f>
        <v/>
      </c>
      <c r="C3304" s="54">
        <f>IF(_imp!$C$3306="","",INDEX(_imp!$F$4:$F$4503,_imp!$C$3306))</f>
        <v/>
      </c>
      <c r="D3304" s="54">
        <f>IF(_imp!$C$3306="","",INDEX(_imp!$G$4:$G$4503,_imp!$C$3306))</f>
        <v/>
      </c>
      <c r="E3304" s="54">
        <f>IF(_imp!$C$3306="","",INDEX(_imp!$H$4:$H$4503,_imp!$C$3306))</f>
        <v/>
      </c>
      <c r="F3304" s="54">
        <f>IF(_imp!$C$3306="","",INDEX(_imp!$I$4:$I$4503,_imp!$C$3306))</f>
        <v/>
      </c>
      <c r="G3304" s="54">
        <f>IF(_imp!$C$3306="","",INDEX(_imp!$J$4:$J$4503,_imp!$C$3306))</f>
        <v/>
      </c>
      <c r="K3304" s="54">
        <f>IF(_imp!$C$3306="","",INDEX(_imp!$K$4:$K$4503,_imp!$C$3306))</f>
        <v/>
      </c>
    </row>
    <row r="3305">
      <c r="A3305" s="54">
        <f>IF(_imp!$C$3307="","",INDEX(_imp!$D$4:$D$4503,_imp!$C$3307))</f>
        <v/>
      </c>
      <c r="B3305" s="54">
        <f>IF(_imp!$C$3307="","",INDEX(_imp!$E$4:$E$4503,_imp!$C$3307))</f>
        <v/>
      </c>
      <c r="C3305" s="54">
        <f>IF(_imp!$C$3307="","",INDEX(_imp!$F$4:$F$4503,_imp!$C$3307))</f>
        <v/>
      </c>
      <c r="D3305" s="54">
        <f>IF(_imp!$C$3307="","",INDEX(_imp!$G$4:$G$4503,_imp!$C$3307))</f>
        <v/>
      </c>
      <c r="E3305" s="54">
        <f>IF(_imp!$C$3307="","",INDEX(_imp!$H$4:$H$4503,_imp!$C$3307))</f>
        <v/>
      </c>
      <c r="F3305" s="54">
        <f>IF(_imp!$C$3307="","",INDEX(_imp!$I$4:$I$4503,_imp!$C$3307))</f>
        <v/>
      </c>
      <c r="G3305" s="54">
        <f>IF(_imp!$C$3307="","",INDEX(_imp!$J$4:$J$4503,_imp!$C$3307))</f>
        <v/>
      </c>
      <c r="K3305" s="54">
        <f>IF(_imp!$C$3307="","",INDEX(_imp!$K$4:$K$4503,_imp!$C$3307))</f>
        <v/>
      </c>
    </row>
    <row r="3306">
      <c r="A3306" s="54">
        <f>IF(_imp!$C$3308="","",INDEX(_imp!$D$4:$D$4503,_imp!$C$3308))</f>
        <v/>
      </c>
      <c r="B3306" s="54">
        <f>IF(_imp!$C$3308="","",INDEX(_imp!$E$4:$E$4503,_imp!$C$3308))</f>
        <v/>
      </c>
      <c r="C3306" s="54">
        <f>IF(_imp!$C$3308="","",INDEX(_imp!$F$4:$F$4503,_imp!$C$3308))</f>
        <v/>
      </c>
      <c r="D3306" s="54">
        <f>IF(_imp!$C$3308="","",INDEX(_imp!$G$4:$G$4503,_imp!$C$3308))</f>
        <v/>
      </c>
      <c r="E3306" s="54">
        <f>IF(_imp!$C$3308="","",INDEX(_imp!$H$4:$H$4503,_imp!$C$3308))</f>
        <v/>
      </c>
      <c r="F3306" s="54">
        <f>IF(_imp!$C$3308="","",INDEX(_imp!$I$4:$I$4503,_imp!$C$3308))</f>
        <v/>
      </c>
      <c r="G3306" s="54">
        <f>IF(_imp!$C$3308="","",INDEX(_imp!$J$4:$J$4503,_imp!$C$3308))</f>
        <v/>
      </c>
      <c r="K3306" s="54">
        <f>IF(_imp!$C$3308="","",INDEX(_imp!$K$4:$K$4503,_imp!$C$3308))</f>
        <v/>
      </c>
    </row>
    <row r="3307">
      <c r="A3307" s="54">
        <f>IF(_imp!$C$3309="","",INDEX(_imp!$D$4:$D$4503,_imp!$C$3309))</f>
        <v/>
      </c>
      <c r="B3307" s="54">
        <f>IF(_imp!$C$3309="","",INDEX(_imp!$E$4:$E$4503,_imp!$C$3309))</f>
        <v/>
      </c>
      <c r="C3307" s="54">
        <f>IF(_imp!$C$3309="","",INDEX(_imp!$F$4:$F$4503,_imp!$C$3309))</f>
        <v/>
      </c>
      <c r="D3307" s="54">
        <f>IF(_imp!$C$3309="","",INDEX(_imp!$G$4:$G$4503,_imp!$C$3309))</f>
        <v/>
      </c>
      <c r="E3307" s="54">
        <f>IF(_imp!$C$3309="","",INDEX(_imp!$H$4:$H$4503,_imp!$C$3309))</f>
        <v/>
      </c>
      <c r="F3307" s="54">
        <f>IF(_imp!$C$3309="","",INDEX(_imp!$I$4:$I$4503,_imp!$C$3309))</f>
        <v/>
      </c>
      <c r="G3307" s="54">
        <f>IF(_imp!$C$3309="","",INDEX(_imp!$J$4:$J$4503,_imp!$C$3309))</f>
        <v/>
      </c>
      <c r="K3307" s="54">
        <f>IF(_imp!$C$3309="","",INDEX(_imp!$K$4:$K$4503,_imp!$C$3309))</f>
        <v/>
      </c>
    </row>
    <row r="3308">
      <c r="A3308" s="54">
        <f>IF(_imp!$C$3310="","",INDEX(_imp!$D$4:$D$4503,_imp!$C$3310))</f>
        <v/>
      </c>
      <c r="B3308" s="54">
        <f>IF(_imp!$C$3310="","",INDEX(_imp!$E$4:$E$4503,_imp!$C$3310))</f>
        <v/>
      </c>
      <c r="C3308" s="54">
        <f>IF(_imp!$C$3310="","",INDEX(_imp!$F$4:$F$4503,_imp!$C$3310))</f>
        <v/>
      </c>
      <c r="D3308" s="54">
        <f>IF(_imp!$C$3310="","",INDEX(_imp!$G$4:$G$4503,_imp!$C$3310))</f>
        <v/>
      </c>
      <c r="E3308" s="54">
        <f>IF(_imp!$C$3310="","",INDEX(_imp!$H$4:$H$4503,_imp!$C$3310))</f>
        <v/>
      </c>
      <c r="F3308" s="54">
        <f>IF(_imp!$C$3310="","",INDEX(_imp!$I$4:$I$4503,_imp!$C$3310))</f>
        <v/>
      </c>
      <c r="G3308" s="54">
        <f>IF(_imp!$C$3310="","",INDEX(_imp!$J$4:$J$4503,_imp!$C$3310))</f>
        <v/>
      </c>
      <c r="K3308" s="54">
        <f>IF(_imp!$C$3310="","",INDEX(_imp!$K$4:$K$4503,_imp!$C$3310))</f>
        <v/>
      </c>
    </row>
    <row r="3309">
      <c r="A3309" s="54">
        <f>IF(_imp!$C$3311="","",INDEX(_imp!$D$4:$D$4503,_imp!$C$3311))</f>
        <v/>
      </c>
      <c r="B3309" s="54">
        <f>IF(_imp!$C$3311="","",INDEX(_imp!$E$4:$E$4503,_imp!$C$3311))</f>
        <v/>
      </c>
      <c r="C3309" s="54">
        <f>IF(_imp!$C$3311="","",INDEX(_imp!$F$4:$F$4503,_imp!$C$3311))</f>
        <v/>
      </c>
      <c r="D3309" s="54">
        <f>IF(_imp!$C$3311="","",INDEX(_imp!$G$4:$G$4503,_imp!$C$3311))</f>
        <v/>
      </c>
      <c r="E3309" s="54">
        <f>IF(_imp!$C$3311="","",INDEX(_imp!$H$4:$H$4503,_imp!$C$3311))</f>
        <v/>
      </c>
      <c r="F3309" s="54">
        <f>IF(_imp!$C$3311="","",INDEX(_imp!$I$4:$I$4503,_imp!$C$3311))</f>
        <v/>
      </c>
      <c r="G3309" s="54">
        <f>IF(_imp!$C$3311="","",INDEX(_imp!$J$4:$J$4503,_imp!$C$3311))</f>
        <v/>
      </c>
      <c r="K3309" s="54">
        <f>IF(_imp!$C$3311="","",INDEX(_imp!$K$4:$K$4503,_imp!$C$3311))</f>
        <v/>
      </c>
    </row>
    <row r="3310">
      <c r="A3310" s="54">
        <f>IF(_imp!$C$3312="","",INDEX(_imp!$D$4:$D$4503,_imp!$C$3312))</f>
        <v/>
      </c>
      <c r="B3310" s="54">
        <f>IF(_imp!$C$3312="","",INDEX(_imp!$E$4:$E$4503,_imp!$C$3312))</f>
        <v/>
      </c>
      <c r="C3310" s="54">
        <f>IF(_imp!$C$3312="","",INDEX(_imp!$F$4:$F$4503,_imp!$C$3312))</f>
        <v/>
      </c>
      <c r="D3310" s="54">
        <f>IF(_imp!$C$3312="","",INDEX(_imp!$G$4:$G$4503,_imp!$C$3312))</f>
        <v/>
      </c>
      <c r="E3310" s="54">
        <f>IF(_imp!$C$3312="","",INDEX(_imp!$H$4:$H$4503,_imp!$C$3312))</f>
        <v/>
      </c>
      <c r="F3310" s="54">
        <f>IF(_imp!$C$3312="","",INDEX(_imp!$I$4:$I$4503,_imp!$C$3312))</f>
        <v/>
      </c>
      <c r="G3310" s="54">
        <f>IF(_imp!$C$3312="","",INDEX(_imp!$J$4:$J$4503,_imp!$C$3312))</f>
        <v/>
      </c>
      <c r="K3310" s="54">
        <f>IF(_imp!$C$3312="","",INDEX(_imp!$K$4:$K$4503,_imp!$C$3312))</f>
        <v/>
      </c>
    </row>
    <row r="3311">
      <c r="A3311" s="54">
        <f>IF(_imp!$C$3313="","",INDEX(_imp!$D$4:$D$4503,_imp!$C$3313))</f>
        <v/>
      </c>
      <c r="B3311" s="54">
        <f>IF(_imp!$C$3313="","",INDEX(_imp!$E$4:$E$4503,_imp!$C$3313))</f>
        <v/>
      </c>
      <c r="C3311" s="54">
        <f>IF(_imp!$C$3313="","",INDEX(_imp!$F$4:$F$4503,_imp!$C$3313))</f>
        <v/>
      </c>
      <c r="D3311" s="54">
        <f>IF(_imp!$C$3313="","",INDEX(_imp!$G$4:$G$4503,_imp!$C$3313))</f>
        <v/>
      </c>
      <c r="E3311" s="54">
        <f>IF(_imp!$C$3313="","",INDEX(_imp!$H$4:$H$4503,_imp!$C$3313))</f>
        <v/>
      </c>
      <c r="F3311" s="54">
        <f>IF(_imp!$C$3313="","",INDEX(_imp!$I$4:$I$4503,_imp!$C$3313))</f>
        <v/>
      </c>
      <c r="G3311" s="54">
        <f>IF(_imp!$C$3313="","",INDEX(_imp!$J$4:$J$4503,_imp!$C$3313))</f>
        <v/>
      </c>
      <c r="K3311" s="54">
        <f>IF(_imp!$C$3313="","",INDEX(_imp!$K$4:$K$4503,_imp!$C$3313))</f>
        <v/>
      </c>
    </row>
    <row r="3312">
      <c r="A3312" s="54">
        <f>IF(_imp!$C$3314="","",INDEX(_imp!$D$4:$D$4503,_imp!$C$3314))</f>
        <v/>
      </c>
      <c r="B3312" s="54">
        <f>IF(_imp!$C$3314="","",INDEX(_imp!$E$4:$E$4503,_imp!$C$3314))</f>
        <v/>
      </c>
      <c r="C3312" s="54">
        <f>IF(_imp!$C$3314="","",INDEX(_imp!$F$4:$F$4503,_imp!$C$3314))</f>
        <v/>
      </c>
      <c r="D3312" s="54">
        <f>IF(_imp!$C$3314="","",INDEX(_imp!$G$4:$G$4503,_imp!$C$3314))</f>
        <v/>
      </c>
      <c r="E3312" s="54">
        <f>IF(_imp!$C$3314="","",INDEX(_imp!$H$4:$H$4503,_imp!$C$3314))</f>
        <v/>
      </c>
      <c r="F3312" s="54">
        <f>IF(_imp!$C$3314="","",INDEX(_imp!$I$4:$I$4503,_imp!$C$3314))</f>
        <v/>
      </c>
      <c r="G3312" s="54">
        <f>IF(_imp!$C$3314="","",INDEX(_imp!$J$4:$J$4503,_imp!$C$3314))</f>
        <v/>
      </c>
      <c r="K3312" s="54">
        <f>IF(_imp!$C$3314="","",INDEX(_imp!$K$4:$K$4503,_imp!$C$3314))</f>
        <v/>
      </c>
    </row>
    <row r="3313">
      <c r="A3313" s="54">
        <f>IF(_imp!$C$3315="","",INDEX(_imp!$D$4:$D$4503,_imp!$C$3315))</f>
        <v/>
      </c>
      <c r="B3313" s="54">
        <f>IF(_imp!$C$3315="","",INDEX(_imp!$E$4:$E$4503,_imp!$C$3315))</f>
        <v/>
      </c>
      <c r="C3313" s="54">
        <f>IF(_imp!$C$3315="","",INDEX(_imp!$F$4:$F$4503,_imp!$C$3315))</f>
        <v/>
      </c>
      <c r="D3313" s="54">
        <f>IF(_imp!$C$3315="","",INDEX(_imp!$G$4:$G$4503,_imp!$C$3315))</f>
        <v/>
      </c>
      <c r="E3313" s="54">
        <f>IF(_imp!$C$3315="","",INDEX(_imp!$H$4:$H$4503,_imp!$C$3315))</f>
        <v/>
      </c>
      <c r="F3313" s="54">
        <f>IF(_imp!$C$3315="","",INDEX(_imp!$I$4:$I$4503,_imp!$C$3315))</f>
        <v/>
      </c>
      <c r="G3313" s="54">
        <f>IF(_imp!$C$3315="","",INDEX(_imp!$J$4:$J$4503,_imp!$C$3315))</f>
        <v/>
      </c>
      <c r="K3313" s="54">
        <f>IF(_imp!$C$3315="","",INDEX(_imp!$K$4:$K$4503,_imp!$C$3315))</f>
        <v/>
      </c>
    </row>
    <row r="3314">
      <c r="A3314" s="54">
        <f>IF(_imp!$C$3316="","",INDEX(_imp!$D$4:$D$4503,_imp!$C$3316))</f>
        <v/>
      </c>
      <c r="B3314" s="54">
        <f>IF(_imp!$C$3316="","",INDEX(_imp!$E$4:$E$4503,_imp!$C$3316))</f>
        <v/>
      </c>
      <c r="C3314" s="54">
        <f>IF(_imp!$C$3316="","",INDEX(_imp!$F$4:$F$4503,_imp!$C$3316))</f>
        <v/>
      </c>
      <c r="D3314" s="54">
        <f>IF(_imp!$C$3316="","",INDEX(_imp!$G$4:$G$4503,_imp!$C$3316))</f>
        <v/>
      </c>
      <c r="E3314" s="54">
        <f>IF(_imp!$C$3316="","",INDEX(_imp!$H$4:$H$4503,_imp!$C$3316))</f>
        <v/>
      </c>
      <c r="F3314" s="54">
        <f>IF(_imp!$C$3316="","",INDEX(_imp!$I$4:$I$4503,_imp!$C$3316))</f>
        <v/>
      </c>
      <c r="G3314" s="54">
        <f>IF(_imp!$C$3316="","",INDEX(_imp!$J$4:$J$4503,_imp!$C$3316))</f>
        <v/>
      </c>
      <c r="K3314" s="54">
        <f>IF(_imp!$C$3316="","",INDEX(_imp!$K$4:$K$4503,_imp!$C$3316))</f>
        <v/>
      </c>
    </row>
    <row r="3315">
      <c r="A3315" s="54">
        <f>IF(_imp!$C$3317="","",INDEX(_imp!$D$4:$D$4503,_imp!$C$3317))</f>
        <v/>
      </c>
      <c r="B3315" s="54">
        <f>IF(_imp!$C$3317="","",INDEX(_imp!$E$4:$E$4503,_imp!$C$3317))</f>
        <v/>
      </c>
      <c r="C3315" s="54">
        <f>IF(_imp!$C$3317="","",INDEX(_imp!$F$4:$F$4503,_imp!$C$3317))</f>
        <v/>
      </c>
      <c r="D3315" s="54">
        <f>IF(_imp!$C$3317="","",INDEX(_imp!$G$4:$G$4503,_imp!$C$3317))</f>
        <v/>
      </c>
      <c r="E3315" s="54">
        <f>IF(_imp!$C$3317="","",INDEX(_imp!$H$4:$H$4503,_imp!$C$3317))</f>
        <v/>
      </c>
      <c r="F3315" s="54">
        <f>IF(_imp!$C$3317="","",INDEX(_imp!$I$4:$I$4503,_imp!$C$3317))</f>
        <v/>
      </c>
      <c r="G3315" s="54">
        <f>IF(_imp!$C$3317="","",INDEX(_imp!$J$4:$J$4503,_imp!$C$3317))</f>
        <v/>
      </c>
      <c r="K3315" s="54">
        <f>IF(_imp!$C$3317="","",INDEX(_imp!$K$4:$K$4503,_imp!$C$3317))</f>
        <v/>
      </c>
    </row>
    <row r="3316">
      <c r="A3316" s="54">
        <f>IF(_imp!$C$3318="","",INDEX(_imp!$D$4:$D$4503,_imp!$C$3318))</f>
        <v/>
      </c>
      <c r="B3316" s="54">
        <f>IF(_imp!$C$3318="","",INDEX(_imp!$E$4:$E$4503,_imp!$C$3318))</f>
        <v/>
      </c>
      <c r="C3316" s="54">
        <f>IF(_imp!$C$3318="","",INDEX(_imp!$F$4:$F$4503,_imp!$C$3318))</f>
        <v/>
      </c>
      <c r="D3316" s="54">
        <f>IF(_imp!$C$3318="","",INDEX(_imp!$G$4:$G$4503,_imp!$C$3318))</f>
        <v/>
      </c>
      <c r="E3316" s="54">
        <f>IF(_imp!$C$3318="","",INDEX(_imp!$H$4:$H$4503,_imp!$C$3318))</f>
        <v/>
      </c>
      <c r="F3316" s="54">
        <f>IF(_imp!$C$3318="","",INDEX(_imp!$I$4:$I$4503,_imp!$C$3318))</f>
        <v/>
      </c>
      <c r="G3316" s="54">
        <f>IF(_imp!$C$3318="","",INDEX(_imp!$J$4:$J$4503,_imp!$C$3318))</f>
        <v/>
      </c>
      <c r="K3316" s="54">
        <f>IF(_imp!$C$3318="","",INDEX(_imp!$K$4:$K$4503,_imp!$C$3318))</f>
        <v/>
      </c>
    </row>
    <row r="3317">
      <c r="A3317" s="54">
        <f>IF(_imp!$C$3319="","",INDEX(_imp!$D$4:$D$4503,_imp!$C$3319))</f>
        <v/>
      </c>
      <c r="B3317" s="54">
        <f>IF(_imp!$C$3319="","",INDEX(_imp!$E$4:$E$4503,_imp!$C$3319))</f>
        <v/>
      </c>
      <c r="C3317" s="54">
        <f>IF(_imp!$C$3319="","",INDEX(_imp!$F$4:$F$4503,_imp!$C$3319))</f>
        <v/>
      </c>
      <c r="D3317" s="54">
        <f>IF(_imp!$C$3319="","",INDEX(_imp!$G$4:$G$4503,_imp!$C$3319))</f>
        <v/>
      </c>
      <c r="E3317" s="54">
        <f>IF(_imp!$C$3319="","",INDEX(_imp!$H$4:$H$4503,_imp!$C$3319))</f>
        <v/>
      </c>
      <c r="F3317" s="54">
        <f>IF(_imp!$C$3319="","",INDEX(_imp!$I$4:$I$4503,_imp!$C$3319))</f>
        <v/>
      </c>
      <c r="G3317" s="54">
        <f>IF(_imp!$C$3319="","",INDEX(_imp!$J$4:$J$4503,_imp!$C$3319))</f>
        <v/>
      </c>
      <c r="K3317" s="54">
        <f>IF(_imp!$C$3319="","",INDEX(_imp!$K$4:$K$4503,_imp!$C$3319))</f>
        <v/>
      </c>
    </row>
    <row r="3318">
      <c r="A3318" s="54">
        <f>IF(_imp!$C$3320="","",INDEX(_imp!$D$4:$D$4503,_imp!$C$3320))</f>
        <v/>
      </c>
      <c r="B3318" s="54">
        <f>IF(_imp!$C$3320="","",INDEX(_imp!$E$4:$E$4503,_imp!$C$3320))</f>
        <v/>
      </c>
      <c r="C3318" s="54">
        <f>IF(_imp!$C$3320="","",INDEX(_imp!$F$4:$F$4503,_imp!$C$3320))</f>
        <v/>
      </c>
      <c r="D3318" s="54">
        <f>IF(_imp!$C$3320="","",INDEX(_imp!$G$4:$G$4503,_imp!$C$3320))</f>
        <v/>
      </c>
      <c r="E3318" s="54">
        <f>IF(_imp!$C$3320="","",INDEX(_imp!$H$4:$H$4503,_imp!$C$3320))</f>
        <v/>
      </c>
      <c r="F3318" s="54">
        <f>IF(_imp!$C$3320="","",INDEX(_imp!$I$4:$I$4503,_imp!$C$3320))</f>
        <v/>
      </c>
      <c r="G3318" s="54">
        <f>IF(_imp!$C$3320="","",INDEX(_imp!$J$4:$J$4503,_imp!$C$3320))</f>
        <v/>
      </c>
      <c r="K3318" s="54">
        <f>IF(_imp!$C$3320="","",INDEX(_imp!$K$4:$K$4503,_imp!$C$3320))</f>
        <v/>
      </c>
    </row>
    <row r="3319">
      <c r="A3319" s="54">
        <f>IF(_imp!$C$3321="","",INDEX(_imp!$D$4:$D$4503,_imp!$C$3321))</f>
        <v/>
      </c>
      <c r="B3319" s="54">
        <f>IF(_imp!$C$3321="","",INDEX(_imp!$E$4:$E$4503,_imp!$C$3321))</f>
        <v/>
      </c>
      <c r="C3319" s="54">
        <f>IF(_imp!$C$3321="","",INDEX(_imp!$F$4:$F$4503,_imp!$C$3321))</f>
        <v/>
      </c>
      <c r="D3319" s="54">
        <f>IF(_imp!$C$3321="","",INDEX(_imp!$G$4:$G$4503,_imp!$C$3321))</f>
        <v/>
      </c>
      <c r="E3319" s="54">
        <f>IF(_imp!$C$3321="","",INDEX(_imp!$H$4:$H$4503,_imp!$C$3321))</f>
        <v/>
      </c>
      <c r="F3319" s="54">
        <f>IF(_imp!$C$3321="","",INDEX(_imp!$I$4:$I$4503,_imp!$C$3321))</f>
        <v/>
      </c>
      <c r="G3319" s="54">
        <f>IF(_imp!$C$3321="","",INDEX(_imp!$J$4:$J$4503,_imp!$C$3321))</f>
        <v/>
      </c>
      <c r="K3319" s="54">
        <f>IF(_imp!$C$3321="","",INDEX(_imp!$K$4:$K$4503,_imp!$C$3321))</f>
        <v/>
      </c>
    </row>
    <row r="3320">
      <c r="A3320" s="54">
        <f>IF(_imp!$C$3322="","",INDEX(_imp!$D$4:$D$4503,_imp!$C$3322))</f>
        <v/>
      </c>
      <c r="B3320" s="54">
        <f>IF(_imp!$C$3322="","",INDEX(_imp!$E$4:$E$4503,_imp!$C$3322))</f>
        <v/>
      </c>
      <c r="C3320" s="54">
        <f>IF(_imp!$C$3322="","",INDEX(_imp!$F$4:$F$4503,_imp!$C$3322))</f>
        <v/>
      </c>
      <c r="D3320" s="54">
        <f>IF(_imp!$C$3322="","",INDEX(_imp!$G$4:$G$4503,_imp!$C$3322))</f>
        <v/>
      </c>
      <c r="E3320" s="54">
        <f>IF(_imp!$C$3322="","",INDEX(_imp!$H$4:$H$4503,_imp!$C$3322))</f>
        <v/>
      </c>
      <c r="F3320" s="54">
        <f>IF(_imp!$C$3322="","",INDEX(_imp!$I$4:$I$4503,_imp!$C$3322))</f>
        <v/>
      </c>
      <c r="G3320" s="54">
        <f>IF(_imp!$C$3322="","",INDEX(_imp!$J$4:$J$4503,_imp!$C$3322))</f>
        <v/>
      </c>
      <c r="K3320" s="54">
        <f>IF(_imp!$C$3322="","",INDEX(_imp!$K$4:$K$4503,_imp!$C$3322))</f>
        <v/>
      </c>
    </row>
    <row r="3321">
      <c r="A3321" s="54">
        <f>IF(_imp!$C$3323="","",INDEX(_imp!$D$4:$D$4503,_imp!$C$3323))</f>
        <v/>
      </c>
      <c r="B3321" s="54">
        <f>IF(_imp!$C$3323="","",INDEX(_imp!$E$4:$E$4503,_imp!$C$3323))</f>
        <v/>
      </c>
      <c r="C3321" s="54">
        <f>IF(_imp!$C$3323="","",INDEX(_imp!$F$4:$F$4503,_imp!$C$3323))</f>
        <v/>
      </c>
      <c r="D3321" s="54">
        <f>IF(_imp!$C$3323="","",INDEX(_imp!$G$4:$G$4503,_imp!$C$3323))</f>
        <v/>
      </c>
      <c r="E3321" s="54">
        <f>IF(_imp!$C$3323="","",INDEX(_imp!$H$4:$H$4503,_imp!$C$3323))</f>
        <v/>
      </c>
      <c r="F3321" s="54">
        <f>IF(_imp!$C$3323="","",INDEX(_imp!$I$4:$I$4503,_imp!$C$3323))</f>
        <v/>
      </c>
      <c r="G3321" s="54">
        <f>IF(_imp!$C$3323="","",INDEX(_imp!$J$4:$J$4503,_imp!$C$3323))</f>
        <v/>
      </c>
      <c r="K3321" s="54">
        <f>IF(_imp!$C$3323="","",INDEX(_imp!$K$4:$K$4503,_imp!$C$3323))</f>
        <v/>
      </c>
    </row>
    <row r="3322">
      <c r="A3322" s="54">
        <f>IF(_imp!$C$3324="","",INDEX(_imp!$D$4:$D$4503,_imp!$C$3324))</f>
        <v/>
      </c>
      <c r="B3322" s="54">
        <f>IF(_imp!$C$3324="","",INDEX(_imp!$E$4:$E$4503,_imp!$C$3324))</f>
        <v/>
      </c>
      <c r="C3322" s="54">
        <f>IF(_imp!$C$3324="","",INDEX(_imp!$F$4:$F$4503,_imp!$C$3324))</f>
        <v/>
      </c>
      <c r="D3322" s="54">
        <f>IF(_imp!$C$3324="","",INDEX(_imp!$G$4:$G$4503,_imp!$C$3324))</f>
        <v/>
      </c>
      <c r="E3322" s="54">
        <f>IF(_imp!$C$3324="","",INDEX(_imp!$H$4:$H$4503,_imp!$C$3324))</f>
        <v/>
      </c>
      <c r="F3322" s="54">
        <f>IF(_imp!$C$3324="","",INDEX(_imp!$I$4:$I$4503,_imp!$C$3324))</f>
        <v/>
      </c>
      <c r="G3322" s="54">
        <f>IF(_imp!$C$3324="","",INDEX(_imp!$J$4:$J$4503,_imp!$C$3324))</f>
        <v/>
      </c>
      <c r="K3322" s="54">
        <f>IF(_imp!$C$3324="","",INDEX(_imp!$K$4:$K$4503,_imp!$C$3324))</f>
        <v/>
      </c>
    </row>
    <row r="3323">
      <c r="A3323" s="54">
        <f>IF(_imp!$C$3325="","",INDEX(_imp!$D$4:$D$4503,_imp!$C$3325))</f>
        <v/>
      </c>
      <c r="B3323" s="54">
        <f>IF(_imp!$C$3325="","",INDEX(_imp!$E$4:$E$4503,_imp!$C$3325))</f>
        <v/>
      </c>
      <c r="C3323" s="54">
        <f>IF(_imp!$C$3325="","",INDEX(_imp!$F$4:$F$4503,_imp!$C$3325))</f>
        <v/>
      </c>
      <c r="D3323" s="54">
        <f>IF(_imp!$C$3325="","",INDEX(_imp!$G$4:$G$4503,_imp!$C$3325))</f>
        <v/>
      </c>
      <c r="E3323" s="54">
        <f>IF(_imp!$C$3325="","",INDEX(_imp!$H$4:$H$4503,_imp!$C$3325))</f>
        <v/>
      </c>
      <c r="F3323" s="54">
        <f>IF(_imp!$C$3325="","",INDEX(_imp!$I$4:$I$4503,_imp!$C$3325))</f>
        <v/>
      </c>
      <c r="G3323" s="54">
        <f>IF(_imp!$C$3325="","",INDEX(_imp!$J$4:$J$4503,_imp!$C$3325))</f>
        <v/>
      </c>
      <c r="K3323" s="54">
        <f>IF(_imp!$C$3325="","",INDEX(_imp!$K$4:$K$4503,_imp!$C$3325))</f>
        <v/>
      </c>
    </row>
    <row r="3324">
      <c r="A3324" s="54">
        <f>IF(_imp!$C$3326="","",INDEX(_imp!$D$4:$D$4503,_imp!$C$3326))</f>
        <v/>
      </c>
      <c r="B3324" s="54">
        <f>IF(_imp!$C$3326="","",INDEX(_imp!$E$4:$E$4503,_imp!$C$3326))</f>
        <v/>
      </c>
      <c r="C3324" s="54">
        <f>IF(_imp!$C$3326="","",INDEX(_imp!$F$4:$F$4503,_imp!$C$3326))</f>
        <v/>
      </c>
      <c r="D3324" s="54">
        <f>IF(_imp!$C$3326="","",INDEX(_imp!$G$4:$G$4503,_imp!$C$3326))</f>
        <v/>
      </c>
      <c r="E3324" s="54">
        <f>IF(_imp!$C$3326="","",INDEX(_imp!$H$4:$H$4503,_imp!$C$3326))</f>
        <v/>
      </c>
      <c r="F3324" s="54">
        <f>IF(_imp!$C$3326="","",INDEX(_imp!$I$4:$I$4503,_imp!$C$3326))</f>
        <v/>
      </c>
      <c r="G3324" s="54">
        <f>IF(_imp!$C$3326="","",INDEX(_imp!$J$4:$J$4503,_imp!$C$3326))</f>
        <v/>
      </c>
      <c r="K3324" s="54">
        <f>IF(_imp!$C$3326="","",INDEX(_imp!$K$4:$K$4503,_imp!$C$3326))</f>
        <v/>
      </c>
    </row>
    <row r="3325">
      <c r="A3325" s="54">
        <f>IF(_imp!$C$3327="","",INDEX(_imp!$D$4:$D$4503,_imp!$C$3327))</f>
        <v/>
      </c>
      <c r="B3325" s="54">
        <f>IF(_imp!$C$3327="","",INDEX(_imp!$E$4:$E$4503,_imp!$C$3327))</f>
        <v/>
      </c>
      <c r="C3325" s="54">
        <f>IF(_imp!$C$3327="","",INDEX(_imp!$F$4:$F$4503,_imp!$C$3327))</f>
        <v/>
      </c>
      <c r="D3325" s="54">
        <f>IF(_imp!$C$3327="","",INDEX(_imp!$G$4:$G$4503,_imp!$C$3327))</f>
        <v/>
      </c>
      <c r="E3325" s="54">
        <f>IF(_imp!$C$3327="","",INDEX(_imp!$H$4:$H$4503,_imp!$C$3327))</f>
        <v/>
      </c>
      <c r="F3325" s="54">
        <f>IF(_imp!$C$3327="","",INDEX(_imp!$I$4:$I$4503,_imp!$C$3327))</f>
        <v/>
      </c>
      <c r="G3325" s="54">
        <f>IF(_imp!$C$3327="","",INDEX(_imp!$J$4:$J$4503,_imp!$C$3327))</f>
        <v/>
      </c>
      <c r="K3325" s="54">
        <f>IF(_imp!$C$3327="","",INDEX(_imp!$K$4:$K$4503,_imp!$C$3327))</f>
        <v/>
      </c>
    </row>
    <row r="3326">
      <c r="A3326" s="54">
        <f>IF(_imp!$C$3328="","",INDEX(_imp!$D$4:$D$4503,_imp!$C$3328))</f>
        <v/>
      </c>
      <c r="B3326" s="54">
        <f>IF(_imp!$C$3328="","",INDEX(_imp!$E$4:$E$4503,_imp!$C$3328))</f>
        <v/>
      </c>
      <c r="C3326" s="54">
        <f>IF(_imp!$C$3328="","",INDEX(_imp!$F$4:$F$4503,_imp!$C$3328))</f>
        <v/>
      </c>
      <c r="D3326" s="54">
        <f>IF(_imp!$C$3328="","",INDEX(_imp!$G$4:$G$4503,_imp!$C$3328))</f>
        <v/>
      </c>
      <c r="E3326" s="54">
        <f>IF(_imp!$C$3328="","",INDEX(_imp!$H$4:$H$4503,_imp!$C$3328))</f>
        <v/>
      </c>
      <c r="F3326" s="54">
        <f>IF(_imp!$C$3328="","",INDEX(_imp!$I$4:$I$4503,_imp!$C$3328))</f>
        <v/>
      </c>
      <c r="G3326" s="54">
        <f>IF(_imp!$C$3328="","",INDEX(_imp!$J$4:$J$4503,_imp!$C$3328))</f>
        <v/>
      </c>
      <c r="K3326" s="54">
        <f>IF(_imp!$C$3328="","",INDEX(_imp!$K$4:$K$4503,_imp!$C$3328))</f>
        <v/>
      </c>
    </row>
    <row r="3327">
      <c r="A3327" s="54">
        <f>IF(_imp!$C$3329="","",INDEX(_imp!$D$4:$D$4503,_imp!$C$3329))</f>
        <v/>
      </c>
      <c r="B3327" s="54">
        <f>IF(_imp!$C$3329="","",INDEX(_imp!$E$4:$E$4503,_imp!$C$3329))</f>
        <v/>
      </c>
      <c r="C3327" s="54">
        <f>IF(_imp!$C$3329="","",INDEX(_imp!$F$4:$F$4503,_imp!$C$3329))</f>
        <v/>
      </c>
      <c r="D3327" s="54">
        <f>IF(_imp!$C$3329="","",INDEX(_imp!$G$4:$G$4503,_imp!$C$3329))</f>
        <v/>
      </c>
      <c r="E3327" s="54">
        <f>IF(_imp!$C$3329="","",INDEX(_imp!$H$4:$H$4503,_imp!$C$3329))</f>
        <v/>
      </c>
      <c r="F3327" s="54">
        <f>IF(_imp!$C$3329="","",INDEX(_imp!$I$4:$I$4503,_imp!$C$3329))</f>
        <v/>
      </c>
      <c r="G3327" s="54">
        <f>IF(_imp!$C$3329="","",INDEX(_imp!$J$4:$J$4503,_imp!$C$3329))</f>
        <v/>
      </c>
      <c r="K3327" s="54">
        <f>IF(_imp!$C$3329="","",INDEX(_imp!$K$4:$K$4503,_imp!$C$3329))</f>
        <v/>
      </c>
    </row>
    <row r="3328">
      <c r="A3328" s="54">
        <f>IF(_imp!$C$3330="","",INDEX(_imp!$D$4:$D$4503,_imp!$C$3330))</f>
        <v/>
      </c>
      <c r="B3328" s="54">
        <f>IF(_imp!$C$3330="","",INDEX(_imp!$E$4:$E$4503,_imp!$C$3330))</f>
        <v/>
      </c>
      <c r="C3328" s="54">
        <f>IF(_imp!$C$3330="","",INDEX(_imp!$F$4:$F$4503,_imp!$C$3330))</f>
        <v/>
      </c>
      <c r="D3328" s="54">
        <f>IF(_imp!$C$3330="","",INDEX(_imp!$G$4:$G$4503,_imp!$C$3330))</f>
        <v/>
      </c>
      <c r="E3328" s="54">
        <f>IF(_imp!$C$3330="","",INDEX(_imp!$H$4:$H$4503,_imp!$C$3330))</f>
        <v/>
      </c>
      <c r="F3328" s="54">
        <f>IF(_imp!$C$3330="","",INDEX(_imp!$I$4:$I$4503,_imp!$C$3330))</f>
        <v/>
      </c>
      <c r="G3328" s="54">
        <f>IF(_imp!$C$3330="","",INDEX(_imp!$J$4:$J$4503,_imp!$C$3330))</f>
        <v/>
      </c>
      <c r="K3328" s="54">
        <f>IF(_imp!$C$3330="","",INDEX(_imp!$K$4:$K$4503,_imp!$C$3330))</f>
        <v/>
      </c>
    </row>
    <row r="3329">
      <c r="A3329" s="54">
        <f>IF(_imp!$C$3331="","",INDEX(_imp!$D$4:$D$4503,_imp!$C$3331))</f>
        <v/>
      </c>
      <c r="B3329" s="54">
        <f>IF(_imp!$C$3331="","",INDEX(_imp!$E$4:$E$4503,_imp!$C$3331))</f>
        <v/>
      </c>
      <c r="C3329" s="54">
        <f>IF(_imp!$C$3331="","",INDEX(_imp!$F$4:$F$4503,_imp!$C$3331))</f>
        <v/>
      </c>
      <c r="D3329" s="54">
        <f>IF(_imp!$C$3331="","",INDEX(_imp!$G$4:$G$4503,_imp!$C$3331))</f>
        <v/>
      </c>
      <c r="E3329" s="54">
        <f>IF(_imp!$C$3331="","",INDEX(_imp!$H$4:$H$4503,_imp!$C$3331))</f>
        <v/>
      </c>
      <c r="F3329" s="54">
        <f>IF(_imp!$C$3331="","",INDEX(_imp!$I$4:$I$4503,_imp!$C$3331))</f>
        <v/>
      </c>
      <c r="G3329" s="54">
        <f>IF(_imp!$C$3331="","",INDEX(_imp!$J$4:$J$4503,_imp!$C$3331))</f>
        <v/>
      </c>
      <c r="K3329" s="54">
        <f>IF(_imp!$C$3331="","",INDEX(_imp!$K$4:$K$4503,_imp!$C$3331))</f>
        <v/>
      </c>
    </row>
    <row r="3330">
      <c r="A3330" s="54">
        <f>IF(_imp!$C$3332="","",INDEX(_imp!$D$4:$D$4503,_imp!$C$3332))</f>
        <v/>
      </c>
      <c r="B3330" s="54">
        <f>IF(_imp!$C$3332="","",INDEX(_imp!$E$4:$E$4503,_imp!$C$3332))</f>
        <v/>
      </c>
      <c r="C3330" s="54">
        <f>IF(_imp!$C$3332="","",INDEX(_imp!$F$4:$F$4503,_imp!$C$3332))</f>
        <v/>
      </c>
      <c r="D3330" s="54">
        <f>IF(_imp!$C$3332="","",INDEX(_imp!$G$4:$G$4503,_imp!$C$3332))</f>
        <v/>
      </c>
      <c r="E3330" s="54">
        <f>IF(_imp!$C$3332="","",INDEX(_imp!$H$4:$H$4503,_imp!$C$3332))</f>
        <v/>
      </c>
      <c r="F3330" s="54">
        <f>IF(_imp!$C$3332="","",INDEX(_imp!$I$4:$I$4503,_imp!$C$3332))</f>
        <v/>
      </c>
      <c r="G3330" s="54">
        <f>IF(_imp!$C$3332="","",INDEX(_imp!$J$4:$J$4503,_imp!$C$3332))</f>
        <v/>
      </c>
      <c r="K3330" s="54">
        <f>IF(_imp!$C$3332="","",INDEX(_imp!$K$4:$K$4503,_imp!$C$3332))</f>
        <v/>
      </c>
    </row>
    <row r="3331">
      <c r="A3331" s="54">
        <f>IF(_imp!$C$3333="","",INDEX(_imp!$D$4:$D$4503,_imp!$C$3333))</f>
        <v/>
      </c>
      <c r="B3331" s="54">
        <f>IF(_imp!$C$3333="","",INDEX(_imp!$E$4:$E$4503,_imp!$C$3333))</f>
        <v/>
      </c>
      <c r="C3331" s="54">
        <f>IF(_imp!$C$3333="","",INDEX(_imp!$F$4:$F$4503,_imp!$C$3333))</f>
        <v/>
      </c>
      <c r="D3331" s="54">
        <f>IF(_imp!$C$3333="","",INDEX(_imp!$G$4:$G$4503,_imp!$C$3333))</f>
        <v/>
      </c>
      <c r="E3331" s="54">
        <f>IF(_imp!$C$3333="","",INDEX(_imp!$H$4:$H$4503,_imp!$C$3333))</f>
        <v/>
      </c>
      <c r="F3331" s="54">
        <f>IF(_imp!$C$3333="","",INDEX(_imp!$I$4:$I$4503,_imp!$C$3333))</f>
        <v/>
      </c>
      <c r="G3331" s="54">
        <f>IF(_imp!$C$3333="","",INDEX(_imp!$J$4:$J$4503,_imp!$C$3333))</f>
        <v/>
      </c>
      <c r="K3331" s="54">
        <f>IF(_imp!$C$3333="","",INDEX(_imp!$K$4:$K$4503,_imp!$C$3333))</f>
        <v/>
      </c>
    </row>
    <row r="3332">
      <c r="A3332" s="54">
        <f>IF(_imp!$C$3334="","",INDEX(_imp!$D$4:$D$4503,_imp!$C$3334))</f>
        <v/>
      </c>
      <c r="B3332" s="54">
        <f>IF(_imp!$C$3334="","",INDEX(_imp!$E$4:$E$4503,_imp!$C$3334))</f>
        <v/>
      </c>
      <c r="C3332" s="54">
        <f>IF(_imp!$C$3334="","",INDEX(_imp!$F$4:$F$4503,_imp!$C$3334))</f>
        <v/>
      </c>
      <c r="D3332" s="54">
        <f>IF(_imp!$C$3334="","",INDEX(_imp!$G$4:$G$4503,_imp!$C$3334))</f>
        <v/>
      </c>
      <c r="E3332" s="54">
        <f>IF(_imp!$C$3334="","",INDEX(_imp!$H$4:$H$4503,_imp!$C$3334))</f>
        <v/>
      </c>
      <c r="F3332" s="54">
        <f>IF(_imp!$C$3334="","",INDEX(_imp!$I$4:$I$4503,_imp!$C$3334))</f>
        <v/>
      </c>
      <c r="G3332" s="54">
        <f>IF(_imp!$C$3334="","",INDEX(_imp!$J$4:$J$4503,_imp!$C$3334))</f>
        <v/>
      </c>
      <c r="K3332" s="54">
        <f>IF(_imp!$C$3334="","",INDEX(_imp!$K$4:$K$4503,_imp!$C$3334))</f>
        <v/>
      </c>
    </row>
    <row r="3333">
      <c r="A3333" s="54">
        <f>IF(_imp!$C$3335="","",INDEX(_imp!$D$4:$D$4503,_imp!$C$3335))</f>
        <v/>
      </c>
      <c r="B3333" s="54">
        <f>IF(_imp!$C$3335="","",INDEX(_imp!$E$4:$E$4503,_imp!$C$3335))</f>
        <v/>
      </c>
      <c r="C3333" s="54">
        <f>IF(_imp!$C$3335="","",INDEX(_imp!$F$4:$F$4503,_imp!$C$3335))</f>
        <v/>
      </c>
      <c r="D3333" s="54">
        <f>IF(_imp!$C$3335="","",INDEX(_imp!$G$4:$G$4503,_imp!$C$3335))</f>
        <v/>
      </c>
      <c r="E3333" s="54">
        <f>IF(_imp!$C$3335="","",INDEX(_imp!$H$4:$H$4503,_imp!$C$3335))</f>
        <v/>
      </c>
      <c r="F3333" s="54">
        <f>IF(_imp!$C$3335="","",INDEX(_imp!$I$4:$I$4503,_imp!$C$3335))</f>
        <v/>
      </c>
      <c r="G3333" s="54">
        <f>IF(_imp!$C$3335="","",INDEX(_imp!$J$4:$J$4503,_imp!$C$3335))</f>
        <v/>
      </c>
      <c r="K3333" s="54">
        <f>IF(_imp!$C$3335="","",INDEX(_imp!$K$4:$K$4503,_imp!$C$3335))</f>
        <v/>
      </c>
    </row>
    <row r="3334">
      <c r="A3334" s="54">
        <f>IF(_imp!$C$3336="","",INDEX(_imp!$D$4:$D$4503,_imp!$C$3336))</f>
        <v/>
      </c>
      <c r="B3334" s="54">
        <f>IF(_imp!$C$3336="","",INDEX(_imp!$E$4:$E$4503,_imp!$C$3336))</f>
        <v/>
      </c>
      <c r="C3334" s="54">
        <f>IF(_imp!$C$3336="","",INDEX(_imp!$F$4:$F$4503,_imp!$C$3336))</f>
        <v/>
      </c>
      <c r="D3334" s="54">
        <f>IF(_imp!$C$3336="","",INDEX(_imp!$G$4:$G$4503,_imp!$C$3336))</f>
        <v/>
      </c>
      <c r="E3334" s="54">
        <f>IF(_imp!$C$3336="","",INDEX(_imp!$H$4:$H$4503,_imp!$C$3336))</f>
        <v/>
      </c>
      <c r="F3334" s="54">
        <f>IF(_imp!$C$3336="","",INDEX(_imp!$I$4:$I$4503,_imp!$C$3336))</f>
        <v/>
      </c>
      <c r="G3334" s="54">
        <f>IF(_imp!$C$3336="","",INDEX(_imp!$J$4:$J$4503,_imp!$C$3336))</f>
        <v/>
      </c>
      <c r="K3334" s="54">
        <f>IF(_imp!$C$3336="","",INDEX(_imp!$K$4:$K$4503,_imp!$C$3336))</f>
        <v/>
      </c>
    </row>
    <row r="3335">
      <c r="A3335" s="54">
        <f>IF(_imp!$C$3337="","",INDEX(_imp!$D$4:$D$4503,_imp!$C$3337))</f>
        <v/>
      </c>
      <c r="B3335" s="54">
        <f>IF(_imp!$C$3337="","",INDEX(_imp!$E$4:$E$4503,_imp!$C$3337))</f>
        <v/>
      </c>
      <c r="C3335" s="54">
        <f>IF(_imp!$C$3337="","",INDEX(_imp!$F$4:$F$4503,_imp!$C$3337))</f>
        <v/>
      </c>
      <c r="D3335" s="54">
        <f>IF(_imp!$C$3337="","",INDEX(_imp!$G$4:$G$4503,_imp!$C$3337))</f>
        <v/>
      </c>
      <c r="E3335" s="54">
        <f>IF(_imp!$C$3337="","",INDEX(_imp!$H$4:$H$4503,_imp!$C$3337))</f>
        <v/>
      </c>
      <c r="F3335" s="54">
        <f>IF(_imp!$C$3337="","",INDEX(_imp!$I$4:$I$4503,_imp!$C$3337))</f>
        <v/>
      </c>
      <c r="G3335" s="54">
        <f>IF(_imp!$C$3337="","",INDEX(_imp!$J$4:$J$4503,_imp!$C$3337))</f>
        <v/>
      </c>
      <c r="K3335" s="54">
        <f>IF(_imp!$C$3337="","",INDEX(_imp!$K$4:$K$4503,_imp!$C$3337))</f>
        <v/>
      </c>
    </row>
    <row r="3336">
      <c r="A3336" s="54">
        <f>IF(_imp!$C$3338="","",INDEX(_imp!$D$4:$D$4503,_imp!$C$3338))</f>
        <v/>
      </c>
      <c r="B3336" s="54">
        <f>IF(_imp!$C$3338="","",INDEX(_imp!$E$4:$E$4503,_imp!$C$3338))</f>
        <v/>
      </c>
      <c r="C3336" s="54">
        <f>IF(_imp!$C$3338="","",INDEX(_imp!$F$4:$F$4503,_imp!$C$3338))</f>
        <v/>
      </c>
      <c r="D3336" s="54">
        <f>IF(_imp!$C$3338="","",INDEX(_imp!$G$4:$G$4503,_imp!$C$3338))</f>
        <v/>
      </c>
      <c r="E3336" s="54">
        <f>IF(_imp!$C$3338="","",INDEX(_imp!$H$4:$H$4503,_imp!$C$3338))</f>
        <v/>
      </c>
      <c r="F3336" s="54">
        <f>IF(_imp!$C$3338="","",INDEX(_imp!$I$4:$I$4503,_imp!$C$3338))</f>
        <v/>
      </c>
      <c r="G3336" s="54">
        <f>IF(_imp!$C$3338="","",INDEX(_imp!$J$4:$J$4503,_imp!$C$3338))</f>
        <v/>
      </c>
      <c r="K3336" s="54">
        <f>IF(_imp!$C$3338="","",INDEX(_imp!$K$4:$K$4503,_imp!$C$3338))</f>
        <v/>
      </c>
    </row>
    <row r="3337">
      <c r="A3337" s="54">
        <f>IF(_imp!$C$3339="","",INDEX(_imp!$D$4:$D$4503,_imp!$C$3339))</f>
        <v/>
      </c>
      <c r="B3337" s="54">
        <f>IF(_imp!$C$3339="","",INDEX(_imp!$E$4:$E$4503,_imp!$C$3339))</f>
        <v/>
      </c>
      <c r="C3337" s="54">
        <f>IF(_imp!$C$3339="","",INDEX(_imp!$F$4:$F$4503,_imp!$C$3339))</f>
        <v/>
      </c>
      <c r="D3337" s="54">
        <f>IF(_imp!$C$3339="","",INDEX(_imp!$G$4:$G$4503,_imp!$C$3339))</f>
        <v/>
      </c>
      <c r="E3337" s="54">
        <f>IF(_imp!$C$3339="","",INDEX(_imp!$H$4:$H$4503,_imp!$C$3339))</f>
        <v/>
      </c>
      <c r="F3337" s="54">
        <f>IF(_imp!$C$3339="","",INDEX(_imp!$I$4:$I$4503,_imp!$C$3339))</f>
        <v/>
      </c>
      <c r="G3337" s="54">
        <f>IF(_imp!$C$3339="","",INDEX(_imp!$J$4:$J$4503,_imp!$C$3339))</f>
        <v/>
      </c>
      <c r="K3337" s="54">
        <f>IF(_imp!$C$3339="","",INDEX(_imp!$K$4:$K$4503,_imp!$C$3339))</f>
        <v/>
      </c>
    </row>
    <row r="3338">
      <c r="A3338" s="54">
        <f>IF(_imp!$C$3340="","",INDEX(_imp!$D$4:$D$4503,_imp!$C$3340))</f>
        <v/>
      </c>
      <c r="B3338" s="54">
        <f>IF(_imp!$C$3340="","",INDEX(_imp!$E$4:$E$4503,_imp!$C$3340))</f>
        <v/>
      </c>
      <c r="C3338" s="54">
        <f>IF(_imp!$C$3340="","",INDEX(_imp!$F$4:$F$4503,_imp!$C$3340))</f>
        <v/>
      </c>
      <c r="D3338" s="54">
        <f>IF(_imp!$C$3340="","",INDEX(_imp!$G$4:$G$4503,_imp!$C$3340))</f>
        <v/>
      </c>
      <c r="E3338" s="54">
        <f>IF(_imp!$C$3340="","",INDEX(_imp!$H$4:$H$4503,_imp!$C$3340))</f>
        <v/>
      </c>
      <c r="F3338" s="54">
        <f>IF(_imp!$C$3340="","",INDEX(_imp!$I$4:$I$4503,_imp!$C$3340))</f>
        <v/>
      </c>
      <c r="G3338" s="54">
        <f>IF(_imp!$C$3340="","",INDEX(_imp!$J$4:$J$4503,_imp!$C$3340))</f>
        <v/>
      </c>
      <c r="K3338" s="54">
        <f>IF(_imp!$C$3340="","",INDEX(_imp!$K$4:$K$4503,_imp!$C$3340))</f>
        <v/>
      </c>
    </row>
    <row r="3339">
      <c r="A3339" s="54">
        <f>IF(_imp!$C$3341="","",INDEX(_imp!$D$4:$D$4503,_imp!$C$3341))</f>
        <v/>
      </c>
      <c r="B3339" s="54">
        <f>IF(_imp!$C$3341="","",INDEX(_imp!$E$4:$E$4503,_imp!$C$3341))</f>
        <v/>
      </c>
      <c r="C3339" s="54">
        <f>IF(_imp!$C$3341="","",INDEX(_imp!$F$4:$F$4503,_imp!$C$3341))</f>
        <v/>
      </c>
      <c r="D3339" s="54">
        <f>IF(_imp!$C$3341="","",INDEX(_imp!$G$4:$G$4503,_imp!$C$3341))</f>
        <v/>
      </c>
      <c r="E3339" s="54">
        <f>IF(_imp!$C$3341="","",INDEX(_imp!$H$4:$H$4503,_imp!$C$3341))</f>
        <v/>
      </c>
      <c r="F3339" s="54">
        <f>IF(_imp!$C$3341="","",INDEX(_imp!$I$4:$I$4503,_imp!$C$3341))</f>
        <v/>
      </c>
      <c r="G3339" s="54">
        <f>IF(_imp!$C$3341="","",INDEX(_imp!$J$4:$J$4503,_imp!$C$3341))</f>
        <v/>
      </c>
      <c r="K3339" s="54">
        <f>IF(_imp!$C$3341="","",INDEX(_imp!$K$4:$K$4503,_imp!$C$3341))</f>
        <v/>
      </c>
    </row>
    <row r="3340">
      <c r="A3340" s="54">
        <f>IF(_imp!$C$3342="","",INDEX(_imp!$D$4:$D$4503,_imp!$C$3342))</f>
        <v/>
      </c>
      <c r="B3340" s="54">
        <f>IF(_imp!$C$3342="","",INDEX(_imp!$E$4:$E$4503,_imp!$C$3342))</f>
        <v/>
      </c>
      <c r="C3340" s="54">
        <f>IF(_imp!$C$3342="","",INDEX(_imp!$F$4:$F$4503,_imp!$C$3342))</f>
        <v/>
      </c>
      <c r="D3340" s="54">
        <f>IF(_imp!$C$3342="","",INDEX(_imp!$G$4:$G$4503,_imp!$C$3342))</f>
        <v/>
      </c>
      <c r="E3340" s="54">
        <f>IF(_imp!$C$3342="","",INDEX(_imp!$H$4:$H$4503,_imp!$C$3342))</f>
        <v/>
      </c>
      <c r="F3340" s="54">
        <f>IF(_imp!$C$3342="","",INDEX(_imp!$I$4:$I$4503,_imp!$C$3342))</f>
        <v/>
      </c>
      <c r="G3340" s="54">
        <f>IF(_imp!$C$3342="","",INDEX(_imp!$J$4:$J$4503,_imp!$C$3342))</f>
        <v/>
      </c>
      <c r="K3340" s="54">
        <f>IF(_imp!$C$3342="","",INDEX(_imp!$K$4:$K$4503,_imp!$C$3342))</f>
        <v/>
      </c>
    </row>
    <row r="3341">
      <c r="A3341" s="54">
        <f>IF(_imp!$C$3343="","",INDEX(_imp!$D$4:$D$4503,_imp!$C$3343))</f>
        <v/>
      </c>
      <c r="B3341" s="54">
        <f>IF(_imp!$C$3343="","",INDEX(_imp!$E$4:$E$4503,_imp!$C$3343))</f>
        <v/>
      </c>
      <c r="C3341" s="54">
        <f>IF(_imp!$C$3343="","",INDEX(_imp!$F$4:$F$4503,_imp!$C$3343))</f>
        <v/>
      </c>
      <c r="D3341" s="54">
        <f>IF(_imp!$C$3343="","",INDEX(_imp!$G$4:$G$4503,_imp!$C$3343))</f>
        <v/>
      </c>
      <c r="E3341" s="54">
        <f>IF(_imp!$C$3343="","",INDEX(_imp!$H$4:$H$4503,_imp!$C$3343))</f>
        <v/>
      </c>
      <c r="F3341" s="54">
        <f>IF(_imp!$C$3343="","",INDEX(_imp!$I$4:$I$4503,_imp!$C$3343))</f>
        <v/>
      </c>
      <c r="G3341" s="54">
        <f>IF(_imp!$C$3343="","",INDEX(_imp!$J$4:$J$4503,_imp!$C$3343))</f>
        <v/>
      </c>
      <c r="K3341" s="54">
        <f>IF(_imp!$C$3343="","",INDEX(_imp!$K$4:$K$4503,_imp!$C$3343))</f>
        <v/>
      </c>
    </row>
    <row r="3342">
      <c r="A3342" s="54">
        <f>IF(_imp!$C$3344="","",INDEX(_imp!$D$4:$D$4503,_imp!$C$3344))</f>
        <v/>
      </c>
      <c r="B3342" s="54">
        <f>IF(_imp!$C$3344="","",INDEX(_imp!$E$4:$E$4503,_imp!$C$3344))</f>
        <v/>
      </c>
      <c r="C3342" s="54">
        <f>IF(_imp!$C$3344="","",INDEX(_imp!$F$4:$F$4503,_imp!$C$3344))</f>
        <v/>
      </c>
      <c r="D3342" s="54">
        <f>IF(_imp!$C$3344="","",INDEX(_imp!$G$4:$G$4503,_imp!$C$3344))</f>
        <v/>
      </c>
      <c r="E3342" s="54">
        <f>IF(_imp!$C$3344="","",INDEX(_imp!$H$4:$H$4503,_imp!$C$3344))</f>
        <v/>
      </c>
      <c r="F3342" s="54">
        <f>IF(_imp!$C$3344="","",INDEX(_imp!$I$4:$I$4503,_imp!$C$3344))</f>
        <v/>
      </c>
      <c r="G3342" s="54">
        <f>IF(_imp!$C$3344="","",INDEX(_imp!$J$4:$J$4503,_imp!$C$3344))</f>
        <v/>
      </c>
      <c r="K3342" s="54">
        <f>IF(_imp!$C$3344="","",INDEX(_imp!$K$4:$K$4503,_imp!$C$3344))</f>
        <v/>
      </c>
    </row>
    <row r="3343">
      <c r="A3343" s="54">
        <f>IF(_imp!$C$3345="","",INDEX(_imp!$D$4:$D$4503,_imp!$C$3345))</f>
        <v/>
      </c>
      <c r="B3343" s="54">
        <f>IF(_imp!$C$3345="","",INDEX(_imp!$E$4:$E$4503,_imp!$C$3345))</f>
        <v/>
      </c>
      <c r="C3343" s="54">
        <f>IF(_imp!$C$3345="","",INDEX(_imp!$F$4:$F$4503,_imp!$C$3345))</f>
        <v/>
      </c>
      <c r="D3343" s="54">
        <f>IF(_imp!$C$3345="","",INDEX(_imp!$G$4:$G$4503,_imp!$C$3345))</f>
        <v/>
      </c>
      <c r="E3343" s="54">
        <f>IF(_imp!$C$3345="","",INDEX(_imp!$H$4:$H$4503,_imp!$C$3345))</f>
        <v/>
      </c>
      <c r="F3343" s="54">
        <f>IF(_imp!$C$3345="","",INDEX(_imp!$I$4:$I$4503,_imp!$C$3345))</f>
        <v/>
      </c>
      <c r="G3343" s="54">
        <f>IF(_imp!$C$3345="","",INDEX(_imp!$J$4:$J$4503,_imp!$C$3345))</f>
        <v/>
      </c>
      <c r="K3343" s="54">
        <f>IF(_imp!$C$3345="","",INDEX(_imp!$K$4:$K$4503,_imp!$C$3345))</f>
        <v/>
      </c>
    </row>
    <row r="3344">
      <c r="A3344" s="54">
        <f>IF(_imp!$C$3346="","",INDEX(_imp!$D$4:$D$4503,_imp!$C$3346))</f>
        <v/>
      </c>
      <c r="B3344" s="54">
        <f>IF(_imp!$C$3346="","",INDEX(_imp!$E$4:$E$4503,_imp!$C$3346))</f>
        <v/>
      </c>
      <c r="C3344" s="54">
        <f>IF(_imp!$C$3346="","",INDEX(_imp!$F$4:$F$4503,_imp!$C$3346))</f>
        <v/>
      </c>
      <c r="D3344" s="54">
        <f>IF(_imp!$C$3346="","",INDEX(_imp!$G$4:$G$4503,_imp!$C$3346))</f>
        <v/>
      </c>
      <c r="E3344" s="54">
        <f>IF(_imp!$C$3346="","",INDEX(_imp!$H$4:$H$4503,_imp!$C$3346))</f>
        <v/>
      </c>
      <c r="F3344" s="54">
        <f>IF(_imp!$C$3346="","",INDEX(_imp!$I$4:$I$4503,_imp!$C$3346))</f>
        <v/>
      </c>
      <c r="G3344" s="54">
        <f>IF(_imp!$C$3346="","",INDEX(_imp!$J$4:$J$4503,_imp!$C$3346))</f>
        <v/>
      </c>
      <c r="K3344" s="54">
        <f>IF(_imp!$C$3346="","",INDEX(_imp!$K$4:$K$4503,_imp!$C$3346))</f>
        <v/>
      </c>
    </row>
    <row r="3345">
      <c r="A3345" s="54">
        <f>IF(_imp!$C$3347="","",INDEX(_imp!$D$4:$D$4503,_imp!$C$3347))</f>
        <v/>
      </c>
      <c r="B3345" s="54">
        <f>IF(_imp!$C$3347="","",INDEX(_imp!$E$4:$E$4503,_imp!$C$3347))</f>
        <v/>
      </c>
      <c r="C3345" s="54">
        <f>IF(_imp!$C$3347="","",INDEX(_imp!$F$4:$F$4503,_imp!$C$3347))</f>
        <v/>
      </c>
      <c r="D3345" s="54">
        <f>IF(_imp!$C$3347="","",INDEX(_imp!$G$4:$G$4503,_imp!$C$3347))</f>
        <v/>
      </c>
      <c r="E3345" s="54">
        <f>IF(_imp!$C$3347="","",INDEX(_imp!$H$4:$H$4503,_imp!$C$3347))</f>
        <v/>
      </c>
      <c r="F3345" s="54">
        <f>IF(_imp!$C$3347="","",INDEX(_imp!$I$4:$I$4503,_imp!$C$3347))</f>
        <v/>
      </c>
      <c r="G3345" s="54">
        <f>IF(_imp!$C$3347="","",INDEX(_imp!$J$4:$J$4503,_imp!$C$3347))</f>
        <v/>
      </c>
      <c r="K3345" s="54">
        <f>IF(_imp!$C$3347="","",INDEX(_imp!$K$4:$K$4503,_imp!$C$3347))</f>
        <v/>
      </c>
    </row>
    <row r="3346">
      <c r="A3346" s="54">
        <f>IF(_imp!$C$3348="","",INDEX(_imp!$D$4:$D$4503,_imp!$C$3348))</f>
        <v/>
      </c>
      <c r="B3346" s="54">
        <f>IF(_imp!$C$3348="","",INDEX(_imp!$E$4:$E$4503,_imp!$C$3348))</f>
        <v/>
      </c>
      <c r="C3346" s="54">
        <f>IF(_imp!$C$3348="","",INDEX(_imp!$F$4:$F$4503,_imp!$C$3348))</f>
        <v/>
      </c>
      <c r="D3346" s="54">
        <f>IF(_imp!$C$3348="","",INDEX(_imp!$G$4:$G$4503,_imp!$C$3348))</f>
        <v/>
      </c>
      <c r="E3346" s="54">
        <f>IF(_imp!$C$3348="","",INDEX(_imp!$H$4:$H$4503,_imp!$C$3348))</f>
        <v/>
      </c>
      <c r="F3346" s="54">
        <f>IF(_imp!$C$3348="","",INDEX(_imp!$I$4:$I$4503,_imp!$C$3348))</f>
        <v/>
      </c>
      <c r="G3346" s="54">
        <f>IF(_imp!$C$3348="","",INDEX(_imp!$J$4:$J$4503,_imp!$C$3348))</f>
        <v/>
      </c>
      <c r="K3346" s="54">
        <f>IF(_imp!$C$3348="","",INDEX(_imp!$K$4:$K$4503,_imp!$C$3348))</f>
        <v/>
      </c>
    </row>
    <row r="3347">
      <c r="A3347" s="54">
        <f>IF(_imp!$C$3349="","",INDEX(_imp!$D$4:$D$4503,_imp!$C$3349))</f>
        <v/>
      </c>
      <c r="B3347" s="54">
        <f>IF(_imp!$C$3349="","",INDEX(_imp!$E$4:$E$4503,_imp!$C$3349))</f>
        <v/>
      </c>
      <c r="C3347" s="54">
        <f>IF(_imp!$C$3349="","",INDEX(_imp!$F$4:$F$4503,_imp!$C$3349))</f>
        <v/>
      </c>
      <c r="D3347" s="54">
        <f>IF(_imp!$C$3349="","",INDEX(_imp!$G$4:$G$4503,_imp!$C$3349))</f>
        <v/>
      </c>
      <c r="E3347" s="54">
        <f>IF(_imp!$C$3349="","",INDEX(_imp!$H$4:$H$4503,_imp!$C$3349))</f>
        <v/>
      </c>
      <c r="F3347" s="54">
        <f>IF(_imp!$C$3349="","",INDEX(_imp!$I$4:$I$4503,_imp!$C$3349))</f>
        <v/>
      </c>
      <c r="G3347" s="54">
        <f>IF(_imp!$C$3349="","",INDEX(_imp!$J$4:$J$4503,_imp!$C$3349))</f>
        <v/>
      </c>
      <c r="K3347" s="54">
        <f>IF(_imp!$C$3349="","",INDEX(_imp!$K$4:$K$4503,_imp!$C$3349))</f>
        <v/>
      </c>
    </row>
    <row r="3348">
      <c r="A3348" s="54">
        <f>IF(_imp!$C$3350="","",INDEX(_imp!$D$4:$D$4503,_imp!$C$3350))</f>
        <v/>
      </c>
      <c r="B3348" s="54">
        <f>IF(_imp!$C$3350="","",INDEX(_imp!$E$4:$E$4503,_imp!$C$3350))</f>
        <v/>
      </c>
      <c r="C3348" s="54">
        <f>IF(_imp!$C$3350="","",INDEX(_imp!$F$4:$F$4503,_imp!$C$3350))</f>
        <v/>
      </c>
      <c r="D3348" s="54">
        <f>IF(_imp!$C$3350="","",INDEX(_imp!$G$4:$G$4503,_imp!$C$3350))</f>
        <v/>
      </c>
      <c r="E3348" s="54">
        <f>IF(_imp!$C$3350="","",INDEX(_imp!$H$4:$H$4503,_imp!$C$3350))</f>
        <v/>
      </c>
      <c r="F3348" s="54">
        <f>IF(_imp!$C$3350="","",INDEX(_imp!$I$4:$I$4503,_imp!$C$3350))</f>
        <v/>
      </c>
      <c r="G3348" s="54">
        <f>IF(_imp!$C$3350="","",INDEX(_imp!$J$4:$J$4503,_imp!$C$3350))</f>
        <v/>
      </c>
      <c r="K3348" s="54">
        <f>IF(_imp!$C$3350="","",INDEX(_imp!$K$4:$K$4503,_imp!$C$3350))</f>
        <v/>
      </c>
    </row>
    <row r="3349">
      <c r="A3349" s="54">
        <f>IF(_imp!$C$3351="","",INDEX(_imp!$D$4:$D$4503,_imp!$C$3351))</f>
        <v/>
      </c>
      <c r="B3349" s="54">
        <f>IF(_imp!$C$3351="","",INDEX(_imp!$E$4:$E$4503,_imp!$C$3351))</f>
        <v/>
      </c>
      <c r="C3349" s="54">
        <f>IF(_imp!$C$3351="","",INDEX(_imp!$F$4:$F$4503,_imp!$C$3351))</f>
        <v/>
      </c>
      <c r="D3349" s="54">
        <f>IF(_imp!$C$3351="","",INDEX(_imp!$G$4:$G$4503,_imp!$C$3351))</f>
        <v/>
      </c>
      <c r="E3349" s="54">
        <f>IF(_imp!$C$3351="","",INDEX(_imp!$H$4:$H$4503,_imp!$C$3351))</f>
        <v/>
      </c>
      <c r="F3349" s="54">
        <f>IF(_imp!$C$3351="","",INDEX(_imp!$I$4:$I$4503,_imp!$C$3351))</f>
        <v/>
      </c>
      <c r="G3349" s="54">
        <f>IF(_imp!$C$3351="","",INDEX(_imp!$J$4:$J$4503,_imp!$C$3351))</f>
        <v/>
      </c>
      <c r="K3349" s="54">
        <f>IF(_imp!$C$3351="","",INDEX(_imp!$K$4:$K$4503,_imp!$C$3351))</f>
        <v/>
      </c>
    </row>
    <row r="3350">
      <c r="A3350" s="54">
        <f>IF(_imp!$C$3352="","",INDEX(_imp!$D$4:$D$4503,_imp!$C$3352))</f>
        <v/>
      </c>
      <c r="B3350" s="54">
        <f>IF(_imp!$C$3352="","",INDEX(_imp!$E$4:$E$4503,_imp!$C$3352))</f>
        <v/>
      </c>
      <c r="C3350" s="54">
        <f>IF(_imp!$C$3352="","",INDEX(_imp!$F$4:$F$4503,_imp!$C$3352))</f>
        <v/>
      </c>
      <c r="D3350" s="54">
        <f>IF(_imp!$C$3352="","",INDEX(_imp!$G$4:$G$4503,_imp!$C$3352))</f>
        <v/>
      </c>
      <c r="E3350" s="54">
        <f>IF(_imp!$C$3352="","",INDEX(_imp!$H$4:$H$4503,_imp!$C$3352))</f>
        <v/>
      </c>
      <c r="F3350" s="54">
        <f>IF(_imp!$C$3352="","",INDEX(_imp!$I$4:$I$4503,_imp!$C$3352))</f>
        <v/>
      </c>
      <c r="G3350" s="54">
        <f>IF(_imp!$C$3352="","",INDEX(_imp!$J$4:$J$4503,_imp!$C$3352))</f>
        <v/>
      </c>
      <c r="K3350" s="54">
        <f>IF(_imp!$C$3352="","",INDEX(_imp!$K$4:$K$4503,_imp!$C$3352))</f>
        <v/>
      </c>
    </row>
    <row r="3351">
      <c r="A3351" s="54">
        <f>IF(_imp!$C$3353="","",INDEX(_imp!$D$4:$D$4503,_imp!$C$3353))</f>
        <v/>
      </c>
      <c r="B3351" s="54">
        <f>IF(_imp!$C$3353="","",INDEX(_imp!$E$4:$E$4503,_imp!$C$3353))</f>
        <v/>
      </c>
      <c r="C3351" s="54">
        <f>IF(_imp!$C$3353="","",INDEX(_imp!$F$4:$F$4503,_imp!$C$3353))</f>
        <v/>
      </c>
      <c r="D3351" s="54">
        <f>IF(_imp!$C$3353="","",INDEX(_imp!$G$4:$G$4503,_imp!$C$3353))</f>
        <v/>
      </c>
      <c r="E3351" s="54">
        <f>IF(_imp!$C$3353="","",INDEX(_imp!$H$4:$H$4503,_imp!$C$3353))</f>
        <v/>
      </c>
      <c r="F3351" s="54">
        <f>IF(_imp!$C$3353="","",INDEX(_imp!$I$4:$I$4503,_imp!$C$3353))</f>
        <v/>
      </c>
      <c r="G3351" s="54">
        <f>IF(_imp!$C$3353="","",INDEX(_imp!$J$4:$J$4503,_imp!$C$3353))</f>
        <v/>
      </c>
      <c r="K3351" s="54">
        <f>IF(_imp!$C$3353="","",INDEX(_imp!$K$4:$K$4503,_imp!$C$3353))</f>
        <v/>
      </c>
    </row>
    <row r="3352">
      <c r="A3352" s="54">
        <f>IF(_imp!$C$3354="","",INDEX(_imp!$D$4:$D$4503,_imp!$C$3354))</f>
        <v/>
      </c>
      <c r="B3352" s="54">
        <f>IF(_imp!$C$3354="","",INDEX(_imp!$E$4:$E$4503,_imp!$C$3354))</f>
        <v/>
      </c>
      <c r="C3352" s="54">
        <f>IF(_imp!$C$3354="","",INDEX(_imp!$F$4:$F$4503,_imp!$C$3354))</f>
        <v/>
      </c>
      <c r="D3352" s="54">
        <f>IF(_imp!$C$3354="","",INDEX(_imp!$G$4:$G$4503,_imp!$C$3354))</f>
        <v/>
      </c>
      <c r="E3352" s="54">
        <f>IF(_imp!$C$3354="","",INDEX(_imp!$H$4:$H$4503,_imp!$C$3354))</f>
        <v/>
      </c>
      <c r="F3352" s="54">
        <f>IF(_imp!$C$3354="","",INDEX(_imp!$I$4:$I$4503,_imp!$C$3354))</f>
        <v/>
      </c>
      <c r="G3352" s="54">
        <f>IF(_imp!$C$3354="","",INDEX(_imp!$J$4:$J$4503,_imp!$C$3354))</f>
        <v/>
      </c>
      <c r="K3352" s="54">
        <f>IF(_imp!$C$3354="","",INDEX(_imp!$K$4:$K$4503,_imp!$C$3354))</f>
        <v/>
      </c>
    </row>
    <row r="3353">
      <c r="A3353" s="54">
        <f>IF(_imp!$C$3355="","",INDEX(_imp!$D$4:$D$4503,_imp!$C$3355))</f>
        <v/>
      </c>
      <c r="B3353" s="54">
        <f>IF(_imp!$C$3355="","",INDEX(_imp!$E$4:$E$4503,_imp!$C$3355))</f>
        <v/>
      </c>
      <c r="C3353" s="54">
        <f>IF(_imp!$C$3355="","",INDEX(_imp!$F$4:$F$4503,_imp!$C$3355))</f>
        <v/>
      </c>
      <c r="D3353" s="54">
        <f>IF(_imp!$C$3355="","",INDEX(_imp!$G$4:$G$4503,_imp!$C$3355))</f>
        <v/>
      </c>
      <c r="E3353" s="54">
        <f>IF(_imp!$C$3355="","",INDEX(_imp!$H$4:$H$4503,_imp!$C$3355))</f>
        <v/>
      </c>
      <c r="F3353" s="54">
        <f>IF(_imp!$C$3355="","",INDEX(_imp!$I$4:$I$4503,_imp!$C$3355))</f>
        <v/>
      </c>
      <c r="G3353" s="54">
        <f>IF(_imp!$C$3355="","",INDEX(_imp!$J$4:$J$4503,_imp!$C$3355))</f>
        <v/>
      </c>
      <c r="K3353" s="54">
        <f>IF(_imp!$C$3355="","",INDEX(_imp!$K$4:$K$4503,_imp!$C$3355))</f>
        <v/>
      </c>
    </row>
    <row r="3354">
      <c r="A3354" s="54">
        <f>IF(_imp!$C$3356="","",INDEX(_imp!$D$4:$D$4503,_imp!$C$3356))</f>
        <v/>
      </c>
      <c r="B3354" s="54">
        <f>IF(_imp!$C$3356="","",INDEX(_imp!$E$4:$E$4503,_imp!$C$3356))</f>
        <v/>
      </c>
      <c r="C3354" s="54">
        <f>IF(_imp!$C$3356="","",INDEX(_imp!$F$4:$F$4503,_imp!$C$3356))</f>
        <v/>
      </c>
      <c r="D3354" s="54">
        <f>IF(_imp!$C$3356="","",INDEX(_imp!$G$4:$G$4503,_imp!$C$3356))</f>
        <v/>
      </c>
      <c r="E3354" s="54">
        <f>IF(_imp!$C$3356="","",INDEX(_imp!$H$4:$H$4503,_imp!$C$3356))</f>
        <v/>
      </c>
      <c r="F3354" s="54">
        <f>IF(_imp!$C$3356="","",INDEX(_imp!$I$4:$I$4503,_imp!$C$3356))</f>
        <v/>
      </c>
      <c r="G3354" s="54">
        <f>IF(_imp!$C$3356="","",INDEX(_imp!$J$4:$J$4503,_imp!$C$3356))</f>
        <v/>
      </c>
      <c r="K3354" s="54">
        <f>IF(_imp!$C$3356="","",INDEX(_imp!$K$4:$K$4503,_imp!$C$3356))</f>
        <v/>
      </c>
    </row>
    <row r="3355">
      <c r="A3355" s="54">
        <f>IF(_imp!$C$3357="","",INDEX(_imp!$D$4:$D$4503,_imp!$C$3357))</f>
        <v/>
      </c>
      <c r="B3355" s="54">
        <f>IF(_imp!$C$3357="","",INDEX(_imp!$E$4:$E$4503,_imp!$C$3357))</f>
        <v/>
      </c>
      <c r="C3355" s="54">
        <f>IF(_imp!$C$3357="","",INDEX(_imp!$F$4:$F$4503,_imp!$C$3357))</f>
        <v/>
      </c>
      <c r="D3355" s="54">
        <f>IF(_imp!$C$3357="","",INDEX(_imp!$G$4:$G$4503,_imp!$C$3357))</f>
        <v/>
      </c>
      <c r="E3355" s="54">
        <f>IF(_imp!$C$3357="","",INDEX(_imp!$H$4:$H$4503,_imp!$C$3357))</f>
        <v/>
      </c>
      <c r="F3355" s="54">
        <f>IF(_imp!$C$3357="","",INDEX(_imp!$I$4:$I$4503,_imp!$C$3357))</f>
        <v/>
      </c>
      <c r="G3355" s="54">
        <f>IF(_imp!$C$3357="","",INDEX(_imp!$J$4:$J$4503,_imp!$C$3357))</f>
        <v/>
      </c>
      <c r="K3355" s="54">
        <f>IF(_imp!$C$3357="","",INDEX(_imp!$K$4:$K$4503,_imp!$C$3357))</f>
        <v/>
      </c>
    </row>
    <row r="3356">
      <c r="A3356" s="54">
        <f>IF(_imp!$C$3358="","",INDEX(_imp!$D$4:$D$4503,_imp!$C$3358))</f>
        <v/>
      </c>
      <c r="B3356" s="54">
        <f>IF(_imp!$C$3358="","",INDEX(_imp!$E$4:$E$4503,_imp!$C$3358))</f>
        <v/>
      </c>
      <c r="C3356" s="54">
        <f>IF(_imp!$C$3358="","",INDEX(_imp!$F$4:$F$4503,_imp!$C$3358))</f>
        <v/>
      </c>
      <c r="D3356" s="54">
        <f>IF(_imp!$C$3358="","",INDEX(_imp!$G$4:$G$4503,_imp!$C$3358))</f>
        <v/>
      </c>
      <c r="E3356" s="54">
        <f>IF(_imp!$C$3358="","",INDEX(_imp!$H$4:$H$4503,_imp!$C$3358))</f>
        <v/>
      </c>
      <c r="F3356" s="54">
        <f>IF(_imp!$C$3358="","",INDEX(_imp!$I$4:$I$4503,_imp!$C$3358))</f>
        <v/>
      </c>
      <c r="G3356" s="54">
        <f>IF(_imp!$C$3358="","",INDEX(_imp!$J$4:$J$4503,_imp!$C$3358))</f>
        <v/>
      </c>
      <c r="K3356" s="54">
        <f>IF(_imp!$C$3358="","",INDEX(_imp!$K$4:$K$4503,_imp!$C$3358))</f>
        <v/>
      </c>
    </row>
    <row r="3357">
      <c r="A3357" s="54">
        <f>IF(_imp!$C$3359="","",INDEX(_imp!$D$4:$D$4503,_imp!$C$3359))</f>
        <v/>
      </c>
      <c r="B3357" s="54">
        <f>IF(_imp!$C$3359="","",INDEX(_imp!$E$4:$E$4503,_imp!$C$3359))</f>
        <v/>
      </c>
      <c r="C3357" s="54">
        <f>IF(_imp!$C$3359="","",INDEX(_imp!$F$4:$F$4503,_imp!$C$3359))</f>
        <v/>
      </c>
      <c r="D3357" s="54">
        <f>IF(_imp!$C$3359="","",INDEX(_imp!$G$4:$G$4503,_imp!$C$3359))</f>
        <v/>
      </c>
      <c r="E3357" s="54">
        <f>IF(_imp!$C$3359="","",INDEX(_imp!$H$4:$H$4503,_imp!$C$3359))</f>
        <v/>
      </c>
      <c r="F3357" s="54">
        <f>IF(_imp!$C$3359="","",INDEX(_imp!$I$4:$I$4503,_imp!$C$3359))</f>
        <v/>
      </c>
      <c r="G3357" s="54">
        <f>IF(_imp!$C$3359="","",INDEX(_imp!$J$4:$J$4503,_imp!$C$3359))</f>
        <v/>
      </c>
      <c r="K3357" s="54">
        <f>IF(_imp!$C$3359="","",INDEX(_imp!$K$4:$K$4503,_imp!$C$3359))</f>
        <v/>
      </c>
    </row>
    <row r="3358">
      <c r="A3358" s="54">
        <f>IF(_imp!$C$3360="","",INDEX(_imp!$D$4:$D$4503,_imp!$C$3360))</f>
        <v/>
      </c>
      <c r="B3358" s="54">
        <f>IF(_imp!$C$3360="","",INDEX(_imp!$E$4:$E$4503,_imp!$C$3360))</f>
        <v/>
      </c>
      <c r="C3358" s="54">
        <f>IF(_imp!$C$3360="","",INDEX(_imp!$F$4:$F$4503,_imp!$C$3360))</f>
        <v/>
      </c>
      <c r="D3358" s="54">
        <f>IF(_imp!$C$3360="","",INDEX(_imp!$G$4:$G$4503,_imp!$C$3360))</f>
        <v/>
      </c>
      <c r="E3358" s="54">
        <f>IF(_imp!$C$3360="","",INDEX(_imp!$H$4:$H$4503,_imp!$C$3360))</f>
        <v/>
      </c>
      <c r="F3358" s="54">
        <f>IF(_imp!$C$3360="","",INDEX(_imp!$I$4:$I$4503,_imp!$C$3360))</f>
        <v/>
      </c>
      <c r="G3358" s="54">
        <f>IF(_imp!$C$3360="","",INDEX(_imp!$J$4:$J$4503,_imp!$C$3360))</f>
        <v/>
      </c>
      <c r="K3358" s="54">
        <f>IF(_imp!$C$3360="","",INDEX(_imp!$K$4:$K$4503,_imp!$C$3360))</f>
        <v/>
      </c>
    </row>
    <row r="3359">
      <c r="A3359" s="54">
        <f>IF(_imp!$C$3361="","",INDEX(_imp!$D$4:$D$4503,_imp!$C$3361))</f>
        <v/>
      </c>
      <c r="B3359" s="54">
        <f>IF(_imp!$C$3361="","",INDEX(_imp!$E$4:$E$4503,_imp!$C$3361))</f>
        <v/>
      </c>
      <c r="C3359" s="54">
        <f>IF(_imp!$C$3361="","",INDEX(_imp!$F$4:$F$4503,_imp!$C$3361))</f>
        <v/>
      </c>
      <c r="D3359" s="54">
        <f>IF(_imp!$C$3361="","",INDEX(_imp!$G$4:$G$4503,_imp!$C$3361))</f>
        <v/>
      </c>
      <c r="E3359" s="54">
        <f>IF(_imp!$C$3361="","",INDEX(_imp!$H$4:$H$4503,_imp!$C$3361))</f>
        <v/>
      </c>
      <c r="F3359" s="54">
        <f>IF(_imp!$C$3361="","",INDEX(_imp!$I$4:$I$4503,_imp!$C$3361))</f>
        <v/>
      </c>
      <c r="G3359" s="54">
        <f>IF(_imp!$C$3361="","",INDEX(_imp!$J$4:$J$4503,_imp!$C$3361))</f>
        <v/>
      </c>
      <c r="K3359" s="54">
        <f>IF(_imp!$C$3361="","",INDEX(_imp!$K$4:$K$4503,_imp!$C$3361))</f>
        <v/>
      </c>
    </row>
    <row r="3360">
      <c r="A3360" s="54">
        <f>IF(_imp!$C$3362="","",INDEX(_imp!$D$4:$D$4503,_imp!$C$3362))</f>
        <v/>
      </c>
      <c r="B3360" s="54">
        <f>IF(_imp!$C$3362="","",INDEX(_imp!$E$4:$E$4503,_imp!$C$3362))</f>
        <v/>
      </c>
      <c r="C3360" s="54">
        <f>IF(_imp!$C$3362="","",INDEX(_imp!$F$4:$F$4503,_imp!$C$3362))</f>
        <v/>
      </c>
      <c r="D3360" s="54">
        <f>IF(_imp!$C$3362="","",INDEX(_imp!$G$4:$G$4503,_imp!$C$3362))</f>
        <v/>
      </c>
      <c r="E3360" s="54">
        <f>IF(_imp!$C$3362="","",INDEX(_imp!$H$4:$H$4503,_imp!$C$3362))</f>
        <v/>
      </c>
      <c r="F3360" s="54">
        <f>IF(_imp!$C$3362="","",INDEX(_imp!$I$4:$I$4503,_imp!$C$3362))</f>
        <v/>
      </c>
      <c r="G3360" s="54">
        <f>IF(_imp!$C$3362="","",INDEX(_imp!$J$4:$J$4503,_imp!$C$3362))</f>
        <v/>
      </c>
      <c r="K3360" s="54">
        <f>IF(_imp!$C$3362="","",INDEX(_imp!$K$4:$K$4503,_imp!$C$3362))</f>
        <v/>
      </c>
    </row>
    <row r="3361">
      <c r="A3361" s="54">
        <f>IF(_imp!$C$3363="","",INDEX(_imp!$D$4:$D$4503,_imp!$C$3363))</f>
        <v/>
      </c>
      <c r="B3361" s="54">
        <f>IF(_imp!$C$3363="","",INDEX(_imp!$E$4:$E$4503,_imp!$C$3363))</f>
        <v/>
      </c>
      <c r="C3361" s="54">
        <f>IF(_imp!$C$3363="","",INDEX(_imp!$F$4:$F$4503,_imp!$C$3363))</f>
        <v/>
      </c>
      <c r="D3361" s="54">
        <f>IF(_imp!$C$3363="","",INDEX(_imp!$G$4:$G$4503,_imp!$C$3363))</f>
        <v/>
      </c>
      <c r="E3361" s="54">
        <f>IF(_imp!$C$3363="","",INDEX(_imp!$H$4:$H$4503,_imp!$C$3363))</f>
        <v/>
      </c>
      <c r="F3361" s="54">
        <f>IF(_imp!$C$3363="","",INDEX(_imp!$I$4:$I$4503,_imp!$C$3363))</f>
        <v/>
      </c>
      <c r="G3361" s="54">
        <f>IF(_imp!$C$3363="","",INDEX(_imp!$J$4:$J$4503,_imp!$C$3363))</f>
        <v/>
      </c>
      <c r="K3361" s="54">
        <f>IF(_imp!$C$3363="","",INDEX(_imp!$K$4:$K$4503,_imp!$C$3363))</f>
        <v/>
      </c>
    </row>
    <row r="3362">
      <c r="A3362" s="54">
        <f>IF(_imp!$C$3364="","",INDEX(_imp!$D$4:$D$4503,_imp!$C$3364))</f>
        <v/>
      </c>
      <c r="B3362" s="54">
        <f>IF(_imp!$C$3364="","",INDEX(_imp!$E$4:$E$4503,_imp!$C$3364))</f>
        <v/>
      </c>
      <c r="C3362" s="54">
        <f>IF(_imp!$C$3364="","",INDEX(_imp!$F$4:$F$4503,_imp!$C$3364))</f>
        <v/>
      </c>
      <c r="D3362" s="54">
        <f>IF(_imp!$C$3364="","",INDEX(_imp!$G$4:$G$4503,_imp!$C$3364))</f>
        <v/>
      </c>
      <c r="E3362" s="54">
        <f>IF(_imp!$C$3364="","",INDEX(_imp!$H$4:$H$4503,_imp!$C$3364))</f>
        <v/>
      </c>
      <c r="F3362" s="54">
        <f>IF(_imp!$C$3364="","",INDEX(_imp!$I$4:$I$4503,_imp!$C$3364))</f>
        <v/>
      </c>
      <c r="G3362" s="54">
        <f>IF(_imp!$C$3364="","",INDEX(_imp!$J$4:$J$4503,_imp!$C$3364))</f>
        <v/>
      </c>
      <c r="K3362" s="54">
        <f>IF(_imp!$C$3364="","",INDEX(_imp!$K$4:$K$4503,_imp!$C$3364))</f>
        <v/>
      </c>
    </row>
    <row r="3363">
      <c r="A3363" s="54">
        <f>IF(_imp!$C$3365="","",INDEX(_imp!$D$4:$D$4503,_imp!$C$3365))</f>
        <v/>
      </c>
      <c r="B3363" s="54">
        <f>IF(_imp!$C$3365="","",INDEX(_imp!$E$4:$E$4503,_imp!$C$3365))</f>
        <v/>
      </c>
      <c r="C3363" s="54">
        <f>IF(_imp!$C$3365="","",INDEX(_imp!$F$4:$F$4503,_imp!$C$3365))</f>
        <v/>
      </c>
      <c r="D3363" s="54">
        <f>IF(_imp!$C$3365="","",INDEX(_imp!$G$4:$G$4503,_imp!$C$3365))</f>
        <v/>
      </c>
      <c r="E3363" s="54">
        <f>IF(_imp!$C$3365="","",INDEX(_imp!$H$4:$H$4503,_imp!$C$3365))</f>
        <v/>
      </c>
      <c r="F3363" s="54">
        <f>IF(_imp!$C$3365="","",INDEX(_imp!$I$4:$I$4503,_imp!$C$3365))</f>
        <v/>
      </c>
      <c r="G3363" s="54">
        <f>IF(_imp!$C$3365="","",INDEX(_imp!$J$4:$J$4503,_imp!$C$3365))</f>
        <v/>
      </c>
      <c r="K3363" s="54">
        <f>IF(_imp!$C$3365="","",INDEX(_imp!$K$4:$K$4503,_imp!$C$3365))</f>
        <v/>
      </c>
    </row>
    <row r="3364">
      <c r="A3364" s="54">
        <f>IF(_imp!$C$3366="","",INDEX(_imp!$D$4:$D$4503,_imp!$C$3366))</f>
        <v/>
      </c>
      <c r="B3364" s="54">
        <f>IF(_imp!$C$3366="","",INDEX(_imp!$E$4:$E$4503,_imp!$C$3366))</f>
        <v/>
      </c>
      <c r="C3364" s="54">
        <f>IF(_imp!$C$3366="","",INDEX(_imp!$F$4:$F$4503,_imp!$C$3366))</f>
        <v/>
      </c>
      <c r="D3364" s="54">
        <f>IF(_imp!$C$3366="","",INDEX(_imp!$G$4:$G$4503,_imp!$C$3366))</f>
        <v/>
      </c>
      <c r="E3364" s="54">
        <f>IF(_imp!$C$3366="","",INDEX(_imp!$H$4:$H$4503,_imp!$C$3366))</f>
        <v/>
      </c>
      <c r="F3364" s="54">
        <f>IF(_imp!$C$3366="","",INDEX(_imp!$I$4:$I$4503,_imp!$C$3366))</f>
        <v/>
      </c>
      <c r="G3364" s="54">
        <f>IF(_imp!$C$3366="","",INDEX(_imp!$J$4:$J$4503,_imp!$C$3366))</f>
        <v/>
      </c>
      <c r="K3364" s="54">
        <f>IF(_imp!$C$3366="","",INDEX(_imp!$K$4:$K$4503,_imp!$C$3366))</f>
        <v/>
      </c>
    </row>
    <row r="3365">
      <c r="A3365" s="54">
        <f>IF(_imp!$C$3367="","",INDEX(_imp!$D$4:$D$4503,_imp!$C$3367))</f>
        <v/>
      </c>
      <c r="B3365" s="54">
        <f>IF(_imp!$C$3367="","",INDEX(_imp!$E$4:$E$4503,_imp!$C$3367))</f>
        <v/>
      </c>
      <c r="C3365" s="54">
        <f>IF(_imp!$C$3367="","",INDEX(_imp!$F$4:$F$4503,_imp!$C$3367))</f>
        <v/>
      </c>
      <c r="D3365" s="54">
        <f>IF(_imp!$C$3367="","",INDEX(_imp!$G$4:$G$4503,_imp!$C$3367))</f>
        <v/>
      </c>
      <c r="E3365" s="54">
        <f>IF(_imp!$C$3367="","",INDEX(_imp!$H$4:$H$4503,_imp!$C$3367))</f>
        <v/>
      </c>
      <c r="F3365" s="54">
        <f>IF(_imp!$C$3367="","",INDEX(_imp!$I$4:$I$4503,_imp!$C$3367))</f>
        <v/>
      </c>
      <c r="G3365" s="54">
        <f>IF(_imp!$C$3367="","",INDEX(_imp!$J$4:$J$4503,_imp!$C$3367))</f>
        <v/>
      </c>
      <c r="K3365" s="54">
        <f>IF(_imp!$C$3367="","",INDEX(_imp!$K$4:$K$4503,_imp!$C$3367))</f>
        <v/>
      </c>
    </row>
    <row r="3366">
      <c r="A3366" s="54">
        <f>IF(_imp!$C$3368="","",INDEX(_imp!$D$4:$D$4503,_imp!$C$3368))</f>
        <v/>
      </c>
      <c r="B3366" s="54">
        <f>IF(_imp!$C$3368="","",INDEX(_imp!$E$4:$E$4503,_imp!$C$3368))</f>
        <v/>
      </c>
      <c r="C3366" s="54">
        <f>IF(_imp!$C$3368="","",INDEX(_imp!$F$4:$F$4503,_imp!$C$3368))</f>
        <v/>
      </c>
      <c r="D3366" s="54">
        <f>IF(_imp!$C$3368="","",INDEX(_imp!$G$4:$G$4503,_imp!$C$3368))</f>
        <v/>
      </c>
      <c r="E3366" s="54">
        <f>IF(_imp!$C$3368="","",INDEX(_imp!$H$4:$H$4503,_imp!$C$3368))</f>
        <v/>
      </c>
      <c r="F3366" s="54">
        <f>IF(_imp!$C$3368="","",INDEX(_imp!$I$4:$I$4503,_imp!$C$3368))</f>
        <v/>
      </c>
      <c r="G3366" s="54">
        <f>IF(_imp!$C$3368="","",INDEX(_imp!$J$4:$J$4503,_imp!$C$3368))</f>
        <v/>
      </c>
      <c r="K3366" s="54">
        <f>IF(_imp!$C$3368="","",INDEX(_imp!$K$4:$K$4503,_imp!$C$3368))</f>
        <v/>
      </c>
    </row>
    <row r="3367">
      <c r="A3367" s="54">
        <f>IF(_imp!$C$3369="","",INDEX(_imp!$D$4:$D$4503,_imp!$C$3369))</f>
        <v/>
      </c>
      <c r="B3367" s="54">
        <f>IF(_imp!$C$3369="","",INDEX(_imp!$E$4:$E$4503,_imp!$C$3369))</f>
        <v/>
      </c>
      <c r="C3367" s="54">
        <f>IF(_imp!$C$3369="","",INDEX(_imp!$F$4:$F$4503,_imp!$C$3369))</f>
        <v/>
      </c>
      <c r="D3367" s="54">
        <f>IF(_imp!$C$3369="","",INDEX(_imp!$G$4:$G$4503,_imp!$C$3369))</f>
        <v/>
      </c>
      <c r="E3367" s="54">
        <f>IF(_imp!$C$3369="","",INDEX(_imp!$H$4:$H$4503,_imp!$C$3369))</f>
        <v/>
      </c>
      <c r="F3367" s="54">
        <f>IF(_imp!$C$3369="","",INDEX(_imp!$I$4:$I$4503,_imp!$C$3369))</f>
        <v/>
      </c>
      <c r="G3367" s="54">
        <f>IF(_imp!$C$3369="","",INDEX(_imp!$J$4:$J$4503,_imp!$C$3369))</f>
        <v/>
      </c>
      <c r="K3367" s="54">
        <f>IF(_imp!$C$3369="","",INDEX(_imp!$K$4:$K$4503,_imp!$C$3369))</f>
        <v/>
      </c>
    </row>
    <row r="3368">
      <c r="A3368" s="54">
        <f>IF(_imp!$C$3370="","",INDEX(_imp!$D$4:$D$4503,_imp!$C$3370))</f>
        <v/>
      </c>
      <c r="B3368" s="54">
        <f>IF(_imp!$C$3370="","",INDEX(_imp!$E$4:$E$4503,_imp!$C$3370))</f>
        <v/>
      </c>
      <c r="C3368" s="54">
        <f>IF(_imp!$C$3370="","",INDEX(_imp!$F$4:$F$4503,_imp!$C$3370))</f>
        <v/>
      </c>
      <c r="D3368" s="54">
        <f>IF(_imp!$C$3370="","",INDEX(_imp!$G$4:$G$4503,_imp!$C$3370))</f>
        <v/>
      </c>
      <c r="E3368" s="54">
        <f>IF(_imp!$C$3370="","",INDEX(_imp!$H$4:$H$4503,_imp!$C$3370))</f>
        <v/>
      </c>
      <c r="F3368" s="54">
        <f>IF(_imp!$C$3370="","",INDEX(_imp!$I$4:$I$4503,_imp!$C$3370))</f>
        <v/>
      </c>
      <c r="G3368" s="54">
        <f>IF(_imp!$C$3370="","",INDEX(_imp!$J$4:$J$4503,_imp!$C$3370))</f>
        <v/>
      </c>
      <c r="K3368" s="54">
        <f>IF(_imp!$C$3370="","",INDEX(_imp!$K$4:$K$4503,_imp!$C$3370))</f>
        <v/>
      </c>
    </row>
    <row r="3369">
      <c r="A3369" s="54">
        <f>IF(_imp!$C$3371="","",INDEX(_imp!$D$4:$D$4503,_imp!$C$3371))</f>
        <v/>
      </c>
      <c r="B3369" s="54">
        <f>IF(_imp!$C$3371="","",INDEX(_imp!$E$4:$E$4503,_imp!$C$3371))</f>
        <v/>
      </c>
      <c r="C3369" s="54">
        <f>IF(_imp!$C$3371="","",INDEX(_imp!$F$4:$F$4503,_imp!$C$3371))</f>
        <v/>
      </c>
      <c r="D3369" s="54">
        <f>IF(_imp!$C$3371="","",INDEX(_imp!$G$4:$G$4503,_imp!$C$3371))</f>
        <v/>
      </c>
      <c r="E3369" s="54">
        <f>IF(_imp!$C$3371="","",INDEX(_imp!$H$4:$H$4503,_imp!$C$3371))</f>
        <v/>
      </c>
      <c r="F3369" s="54">
        <f>IF(_imp!$C$3371="","",INDEX(_imp!$I$4:$I$4503,_imp!$C$3371))</f>
        <v/>
      </c>
      <c r="G3369" s="54">
        <f>IF(_imp!$C$3371="","",INDEX(_imp!$J$4:$J$4503,_imp!$C$3371))</f>
        <v/>
      </c>
      <c r="K3369" s="54">
        <f>IF(_imp!$C$3371="","",INDEX(_imp!$K$4:$K$4503,_imp!$C$3371))</f>
        <v/>
      </c>
    </row>
    <row r="3370">
      <c r="A3370" s="54">
        <f>IF(_imp!$C$3372="","",INDEX(_imp!$D$4:$D$4503,_imp!$C$3372))</f>
        <v/>
      </c>
      <c r="B3370" s="54">
        <f>IF(_imp!$C$3372="","",INDEX(_imp!$E$4:$E$4503,_imp!$C$3372))</f>
        <v/>
      </c>
      <c r="C3370" s="54">
        <f>IF(_imp!$C$3372="","",INDEX(_imp!$F$4:$F$4503,_imp!$C$3372))</f>
        <v/>
      </c>
      <c r="D3370" s="54">
        <f>IF(_imp!$C$3372="","",INDEX(_imp!$G$4:$G$4503,_imp!$C$3372))</f>
        <v/>
      </c>
      <c r="E3370" s="54">
        <f>IF(_imp!$C$3372="","",INDEX(_imp!$H$4:$H$4503,_imp!$C$3372))</f>
        <v/>
      </c>
      <c r="F3370" s="54">
        <f>IF(_imp!$C$3372="","",INDEX(_imp!$I$4:$I$4503,_imp!$C$3372))</f>
        <v/>
      </c>
      <c r="G3370" s="54">
        <f>IF(_imp!$C$3372="","",INDEX(_imp!$J$4:$J$4503,_imp!$C$3372))</f>
        <v/>
      </c>
      <c r="K3370" s="54">
        <f>IF(_imp!$C$3372="","",INDEX(_imp!$K$4:$K$4503,_imp!$C$3372))</f>
        <v/>
      </c>
    </row>
    <row r="3371">
      <c r="A3371" s="54">
        <f>IF(_imp!$C$3373="","",INDEX(_imp!$D$4:$D$4503,_imp!$C$3373))</f>
        <v/>
      </c>
      <c r="B3371" s="54">
        <f>IF(_imp!$C$3373="","",INDEX(_imp!$E$4:$E$4503,_imp!$C$3373))</f>
        <v/>
      </c>
      <c r="C3371" s="54">
        <f>IF(_imp!$C$3373="","",INDEX(_imp!$F$4:$F$4503,_imp!$C$3373))</f>
        <v/>
      </c>
      <c r="D3371" s="54">
        <f>IF(_imp!$C$3373="","",INDEX(_imp!$G$4:$G$4503,_imp!$C$3373))</f>
        <v/>
      </c>
      <c r="E3371" s="54">
        <f>IF(_imp!$C$3373="","",INDEX(_imp!$H$4:$H$4503,_imp!$C$3373))</f>
        <v/>
      </c>
      <c r="F3371" s="54">
        <f>IF(_imp!$C$3373="","",INDEX(_imp!$I$4:$I$4503,_imp!$C$3373))</f>
        <v/>
      </c>
      <c r="G3371" s="54">
        <f>IF(_imp!$C$3373="","",INDEX(_imp!$J$4:$J$4503,_imp!$C$3373))</f>
        <v/>
      </c>
      <c r="K3371" s="54">
        <f>IF(_imp!$C$3373="","",INDEX(_imp!$K$4:$K$4503,_imp!$C$3373))</f>
        <v/>
      </c>
    </row>
    <row r="3372">
      <c r="A3372" s="54">
        <f>IF(_imp!$C$3374="","",INDEX(_imp!$D$4:$D$4503,_imp!$C$3374))</f>
        <v/>
      </c>
      <c r="B3372" s="54">
        <f>IF(_imp!$C$3374="","",INDEX(_imp!$E$4:$E$4503,_imp!$C$3374))</f>
        <v/>
      </c>
      <c r="C3372" s="54">
        <f>IF(_imp!$C$3374="","",INDEX(_imp!$F$4:$F$4503,_imp!$C$3374))</f>
        <v/>
      </c>
      <c r="D3372" s="54">
        <f>IF(_imp!$C$3374="","",INDEX(_imp!$G$4:$G$4503,_imp!$C$3374))</f>
        <v/>
      </c>
      <c r="E3372" s="54">
        <f>IF(_imp!$C$3374="","",INDEX(_imp!$H$4:$H$4503,_imp!$C$3374))</f>
        <v/>
      </c>
      <c r="F3372" s="54">
        <f>IF(_imp!$C$3374="","",INDEX(_imp!$I$4:$I$4503,_imp!$C$3374))</f>
        <v/>
      </c>
      <c r="G3372" s="54">
        <f>IF(_imp!$C$3374="","",INDEX(_imp!$J$4:$J$4503,_imp!$C$3374))</f>
        <v/>
      </c>
      <c r="K3372" s="54">
        <f>IF(_imp!$C$3374="","",INDEX(_imp!$K$4:$K$4503,_imp!$C$3374))</f>
        <v/>
      </c>
    </row>
    <row r="3373">
      <c r="A3373" s="54">
        <f>IF(_imp!$C$3375="","",INDEX(_imp!$D$4:$D$4503,_imp!$C$3375))</f>
        <v/>
      </c>
      <c r="B3373" s="54">
        <f>IF(_imp!$C$3375="","",INDEX(_imp!$E$4:$E$4503,_imp!$C$3375))</f>
        <v/>
      </c>
      <c r="C3373" s="54">
        <f>IF(_imp!$C$3375="","",INDEX(_imp!$F$4:$F$4503,_imp!$C$3375))</f>
        <v/>
      </c>
      <c r="D3373" s="54">
        <f>IF(_imp!$C$3375="","",INDEX(_imp!$G$4:$G$4503,_imp!$C$3375))</f>
        <v/>
      </c>
      <c r="E3373" s="54">
        <f>IF(_imp!$C$3375="","",INDEX(_imp!$H$4:$H$4503,_imp!$C$3375))</f>
        <v/>
      </c>
      <c r="F3373" s="54">
        <f>IF(_imp!$C$3375="","",INDEX(_imp!$I$4:$I$4503,_imp!$C$3375))</f>
        <v/>
      </c>
      <c r="G3373" s="54">
        <f>IF(_imp!$C$3375="","",INDEX(_imp!$J$4:$J$4503,_imp!$C$3375))</f>
        <v/>
      </c>
      <c r="K3373" s="54">
        <f>IF(_imp!$C$3375="","",INDEX(_imp!$K$4:$K$4503,_imp!$C$3375))</f>
        <v/>
      </c>
    </row>
    <row r="3374">
      <c r="A3374" s="54">
        <f>IF(_imp!$C$3376="","",INDEX(_imp!$D$4:$D$4503,_imp!$C$3376))</f>
        <v/>
      </c>
      <c r="B3374" s="54">
        <f>IF(_imp!$C$3376="","",INDEX(_imp!$E$4:$E$4503,_imp!$C$3376))</f>
        <v/>
      </c>
      <c r="C3374" s="54">
        <f>IF(_imp!$C$3376="","",INDEX(_imp!$F$4:$F$4503,_imp!$C$3376))</f>
        <v/>
      </c>
      <c r="D3374" s="54">
        <f>IF(_imp!$C$3376="","",INDEX(_imp!$G$4:$G$4503,_imp!$C$3376))</f>
        <v/>
      </c>
      <c r="E3374" s="54">
        <f>IF(_imp!$C$3376="","",INDEX(_imp!$H$4:$H$4503,_imp!$C$3376))</f>
        <v/>
      </c>
      <c r="F3374" s="54">
        <f>IF(_imp!$C$3376="","",INDEX(_imp!$I$4:$I$4503,_imp!$C$3376))</f>
        <v/>
      </c>
      <c r="G3374" s="54">
        <f>IF(_imp!$C$3376="","",INDEX(_imp!$J$4:$J$4503,_imp!$C$3376))</f>
        <v/>
      </c>
      <c r="K3374" s="54">
        <f>IF(_imp!$C$3376="","",INDEX(_imp!$K$4:$K$4503,_imp!$C$3376))</f>
        <v/>
      </c>
    </row>
    <row r="3375">
      <c r="A3375" s="54">
        <f>IF(_imp!$C$3377="","",INDEX(_imp!$D$4:$D$4503,_imp!$C$3377))</f>
        <v/>
      </c>
      <c r="B3375" s="54">
        <f>IF(_imp!$C$3377="","",INDEX(_imp!$E$4:$E$4503,_imp!$C$3377))</f>
        <v/>
      </c>
      <c r="C3375" s="54">
        <f>IF(_imp!$C$3377="","",INDEX(_imp!$F$4:$F$4503,_imp!$C$3377))</f>
        <v/>
      </c>
      <c r="D3375" s="54">
        <f>IF(_imp!$C$3377="","",INDEX(_imp!$G$4:$G$4503,_imp!$C$3377))</f>
        <v/>
      </c>
      <c r="E3375" s="54">
        <f>IF(_imp!$C$3377="","",INDEX(_imp!$H$4:$H$4503,_imp!$C$3377))</f>
        <v/>
      </c>
      <c r="F3375" s="54">
        <f>IF(_imp!$C$3377="","",INDEX(_imp!$I$4:$I$4503,_imp!$C$3377))</f>
        <v/>
      </c>
      <c r="G3375" s="54">
        <f>IF(_imp!$C$3377="","",INDEX(_imp!$J$4:$J$4503,_imp!$C$3377))</f>
        <v/>
      </c>
      <c r="K3375" s="54">
        <f>IF(_imp!$C$3377="","",INDEX(_imp!$K$4:$K$4503,_imp!$C$3377))</f>
        <v/>
      </c>
    </row>
    <row r="3376">
      <c r="A3376" s="54">
        <f>IF(_imp!$C$3378="","",INDEX(_imp!$D$4:$D$4503,_imp!$C$3378))</f>
        <v/>
      </c>
      <c r="B3376" s="54">
        <f>IF(_imp!$C$3378="","",INDEX(_imp!$E$4:$E$4503,_imp!$C$3378))</f>
        <v/>
      </c>
      <c r="C3376" s="54">
        <f>IF(_imp!$C$3378="","",INDEX(_imp!$F$4:$F$4503,_imp!$C$3378))</f>
        <v/>
      </c>
      <c r="D3376" s="54">
        <f>IF(_imp!$C$3378="","",INDEX(_imp!$G$4:$G$4503,_imp!$C$3378))</f>
        <v/>
      </c>
      <c r="E3376" s="54">
        <f>IF(_imp!$C$3378="","",INDEX(_imp!$H$4:$H$4503,_imp!$C$3378))</f>
        <v/>
      </c>
      <c r="F3376" s="54">
        <f>IF(_imp!$C$3378="","",INDEX(_imp!$I$4:$I$4503,_imp!$C$3378))</f>
        <v/>
      </c>
      <c r="G3376" s="54">
        <f>IF(_imp!$C$3378="","",INDEX(_imp!$J$4:$J$4503,_imp!$C$3378))</f>
        <v/>
      </c>
      <c r="K3376" s="54">
        <f>IF(_imp!$C$3378="","",INDEX(_imp!$K$4:$K$4503,_imp!$C$3378))</f>
        <v/>
      </c>
    </row>
    <row r="3377">
      <c r="A3377" s="54">
        <f>IF(_imp!$C$3379="","",INDEX(_imp!$D$4:$D$4503,_imp!$C$3379))</f>
        <v/>
      </c>
      <c r="B3377" s="54">
        <f>IF(_imp!$C$3379="","",INDEX(_imp!$E$4:$E$4503,_imp!$C$3379))</f>
        <v/>
      </c>
      <c r="C3377" s="54">
        <f>IF(_imp!$C$3379="","",INDEX(_imp!$F$4:$F$4503,_imp!$C$3379))</f>
        <v/>
      </c>
      <c r="D3377" s="54">
        <f>IF(_imp!$C$3379="","",INDEX(_imp!$G$4:$G$4503,_imp!$C$3379))</f>
        <v/>
      </c>
      <c r="E3377" s="54">
        <f>IF(_imp!$C$3379="","",INDEX(_imp!$H$4:$H$4503,_imp!$C$3379))</f>
        <v/>
      </c>
      <c r="F3377" s="54">
        <f>IF(_imp!$C$3379="","",INDEX(_imp!$I$4:$I$4503,_imp!$C$3379))</f>
        <v/>
      </c>
      <c r="G3377" s="54">
        <f>IF(_imp!$C$3379="","",INDEX(_imp!$J$4:$J$4503,_imp!$C$3379))</f>
        <v/>
      </c>
      <c r="K3377" s="54">
        <f>IF(_imp!$C$3379="","",INDEX(_imp!$K$4:$K$4503,_imp!$C$3379))</f>
        <v/>
      </c>
    </row>
    <row r="3378">
      <c r="A3378" s="54">
        <f>IF(_imp!$C$3380="","",INDEX(_imp!$D$4:$D$4503,_imp!$C$3380))</f>
        <v/>
      </c>
      <c r="B3378" s="54">
        <f>IF(_imp!$C$3380="","",INDEX(_imp!$E$4:$E$4503,_imp!$C$3380))</f>
        <v/>
      </c>
      <c r="C3378" s="54">
        <f>IF(_imp!$C$3380="","",INDEX(_imp!$F$4:$F$4503,_imp!$C$3380))</f>
        <v/>
      </c>
      <c r="D3378" s="54">
        <f>IF(_imp!$C$3380="","",INDEX(_imp!$G$4:$G$4503,_imp!$C$3380))</f>
        <v/>
      </c>
      <c r="E3378" s="54">
        <f>IF(_imp!$C$3380="","",INDEX(_imp!$H$4:$H$4503,_imp!$C$3380))</f>
        <v/>
      </c>
      <c r="F3378" s="54">
        <f>IF(_imp!$C$3380="","",INDEX(_imp!$I$4:$I$4503,_imp!$C$3380))</f>
        <v/>
      </c>
      <c r="G3378" s="54">
        <f>IF(_imp!$C$3380="","",INDEX(_imp!$J$4:$J$4503,_imp!$C$3380))</f>
        <v/>
      </c>
      <c r="K3378" s="54">
        <f>IF(_imp!$C$3380="","",INDEX(_imp!$K$4:$K$4503,_imp!$C$3380))</f>
        <v/>
      </c>
    </row>
    <row r="3379">
      <c r="A3379" s="54">
        <f>IF(_imp!$C$3381="","",INDEX(_imp!$D$4:$D$4503,_imp!$C$3381))</f>
        <v/>
      </c>
      <c r="B3379" s="54">
        <f>IF(_imp!$C$3381="","",INDEX(_imp!$E$4:$E$4503,_imp!$C$3381))</f>
        <v/>
      </c>
      <c r="C3379" s="54">
        <f>IF(_imp!$C$3381="","",INDEX(_imp!$F$4:$F$4503,_imp!$C$3381))</f>
        <v/>
      </c>
      <c r="D3379" s="54">
        <f>IF(_imp!$C$3381="","",INDEX(_imp!$G$4:$G$4503,_imp!$C$3381))</f>
        <v/>
      </c>
      <c r="E3379" s="54">
        <f>IF(_imp!$C$3381="","",INDEX(_imp!$H$4:$H$4503,_imp!$C$3381))</f>
        <v/>
      </c>
      <c r="F3379" s="54">
        <f>IF(_imp!$C$3381="","",INDEX(_imp!$I$4:$I$4503,_imp!$C$3381))</f>
        <v/>
      </c>
      <c r="G3379" s="54">
        <f>IF(_imp!$C$3381="","",INDEX(_imp!$J$4:$J$4503,_imp!$C$3381))</f>
        <v/>
      </c>
      <c r="K3379" s="54">
        <f>IF(_imp!$C$3381="","",INDEX(_imp!$K$4:$K$4503,_imp!$C$3381))</f>
        <v/>
      </c>
    </row>
    <row r="3380">
      <c r="A3380" s="54">
        <f>IF(_imp!$C$3382="","",INDEX(_imp!$D$4:$D$4503,_imp!$C$3382))</f>
        <v/>
      </c>
      <c r="B3380" s="54">
        <f>IF(_imp!$C$3382="","",INDEX(_imp!$E$4:$E$4503,_imp!$C$3382))</f>
        <v/>
      </c>
      <c r="C3380" s="54">
        <f>IF(_imp!$C$3382="","",INDEX(_imp!$F$4:$F$4503,_imp!$C$3382))</f>
        <v/>
      </c>
      <c r="D3380" s="54">
        <f>IF(_imp!$C$3382="","",INDEX(_imp!$G$4:$G$4503,_imp!$C$3382))</f>
        <v/>
      </c>
      <c r="E3380" s="54">
        <f>IF(_imp!$C$3382="","",INDEX(_imp!$H$4:$H$4503,_imp!$C$3382))</f>
        <v/>
      </c>
      <c r="F3380" s="54">
        <f>IF(_imp!$C$3382="","",INDEX(_imp!$I$4:$I$4503,_imp!$C$3382))</f>
        <v/>
      </c>
      <c r="G3380" s="54">
        <f>IF(_imp!$C$3382="","",INDEX(_imp!$J$4:$J$4503,_imp!$C$3382))</f>
        <v/>
      </c>
      <c r="K3380" s="54">
        <f>IF(_imp!$C$3382="","",INDEX(_imp!$K$4:$K$4503,_imp!$C$3382))</f>
        <v/>
      </c>
    </row>
    <row r="3381">
      <c r="A3381" s="54">
        <f>IF(_imp!$C$3383="","",INDEX(_imp!$D$4:$D$4503,_imp!$C$3383))</f>
        <v/>
      </c>
      <c r="B3381" s="54">
        <f>IF(_imp!$C$3383="","",INDEX(_imp!$E$4:$E$4503,_imp!$C$3383))</f>
        <v/>
      </c>
      <c r="C3381" s="54">
        <f>IF(_imp!$C$3383="","",INDEX(_imp!$F$4:$F$4503,_imp!$C$3383))</f>
        <v/>
      </c>
      <c r="D3381" s="54">
        <f>IF(_imp!$C$3383="","",INDEX(_imp!$G$4:$G$4503,_imp!$C$3383))</f>
        <v/>
      </c>
      <c r="E3381" s="54">
        <f>IF(_imp!$C$3383="","",INDEX(_imp!$H$4:$H$4503,_imp!$C$3383))</f>
        <v/>
      </c>
      <c r="F3381" s="54">
        <f>IF(_imp!$C$3383="","",INDEX(_imp!$I$4:$I$4503,_imp!$C$3383))</f>
        <v/>
      </c>
      <c r="G3381" s="54">
        <f>IF(_imp!$C$3383="","",INDEX(_imp!$J$4:$J$4503,_imp!$C$3383))</f>
        <v/>
      </c>
      <c r="K3381" s="54">
        <f>IF(_imp!$C$3383="","",INDEX(_imp!$K$4:$K$4503,_imp!$C$3383))</f>
        <v/>
      </c>
    </row>
    <row r="3382">
      <c r="A3382" s="54">
        <f>IF(_imp!$C$3384="","",INDEX(_imp!$D$4:$D$4503,_imp!$C$3384))</f>
        <v/>
      </c>
      <c r="B3382" s="54">
        <f>IF(_imp!$C$3384="","",INDEX(_imp!$E$4:$E$4503,_imp!$C$3384))</f>
        <v/>
      </c>
      <c r="C3382" s="54">
        <f>IF(_imp!$C$3384="","",INDEX(_imp!$F$4:$F$4503,_imp!$C$3384))</f>
        <v/>
      </c>
      <c r="D3382" s="54">
        <f>IF(_imp!$C$3384="","",INDEX(_imp!$G$4:$G$4503,_imp!$C$3384))</f>
        <v/>
      </c>
      <c r="E3382" s="54">
        <f>IF(_imp!$C$3384="","",INDEX(_imp!$H$4:$H$4503,_imp!$C$3384))</f>
        <v/>
      </c>
      <c r="F3382" s="54">
        <f>IF(_imp!$C$3384="","",INDEX(_imp!$I$4:$I$4503,_imp!$C$3384))</f>
        <v/>
      </c>
      <c r="G3382" s="54">
        <f>IF(_imp!$C$3384="","",INDEX(_imp!$J$4:$J$4503,_imp!$C$3384))</f>
        <v/>
      </c>
      <c r="K3382" s="54">
        <f>IF(_imp!$C$3384="","",INDEX(_imp!$K$4:$K$4503,_imp!$C$3384))</f>
        <v/>
      </c>
    </row>
    <row r="3383">
      <c r="A3383" s="54">
        <f>IF(_imp!$C$3385="","",INDEX(_imp!$D$4:$D$4503,_imp!$C$3385))</f>
        <v/>
      </c>
      <c r="B3383" s="54">
        <f>IF(_imp!$C$3385="","",INDEX(_imp!$E$4:$E$4503,_imp!$C$3385))</f>
        <v/>
      </c>
      <c r="C3383" s="54">
        <f>IF(_imp!$C$3385="","",INDEX(_imp!$F$4:$F$4503,_imp!$C$3385))</f>
        <v/>
      </c>
      <c r="D3383" s="54">
        <f>IF(_imp!$C$3385="","",INDEX(_imp!$G$4:$G$4503,_imp!$C$3385))</f>
        <v/>
      </c>
      <c r="E3383" s="54">
        <f>IF(_imp!$C$3385="","",INDEX(_imp!$H$4:$H$4503,_imp!$C$3385))</f>
        <v/>
      </c>
      <c r="F3383" s="54">
        <f>IF(_imp!$C$3385="","",INDEX(_imp!$I$4:$I$4503,_imp!$C$3385))</f>
        <v/>
      </c>
      <c r="G3383" s="54">
        <f>IF(_imp!$C$3385="","",INDEX(_imp!$J$4:$J$4503,_imp!$C$3385))</f>
        <v/>
      </c>
      <c r="K3383" s="54">
        <f>IF(_imp!$C$3385="","",INDEX(_imp!$K$4:$K$4503,_imp!$C$3385))</f>
        <v/>
      </c>
    </row>
    <row r="3384">
      <c r="A3384" s="54">
        <f>IF(_imp!$C$3386="","",INDEX(_imp!$D$4:$D$4503,_imp!$C$3386))</f>
        <v/>
      </c>
      <c r="B3384" s="54">
        <f>IF(_imp!$C$3386="","",INDEX(_imp!$E$4:$E$4503,_imp!$C$3386))</f>
        <v/>
      </c>
      <c r="C3384" s="54">
        <f>IF(_imp!$C$3386="","",INDEX(_imp!$F$4:$F$4503,_imp!$C$3386))</f>
        <v/>
      </c>
      <c r="D3384" s="54">
        <f>IF(_imp!$C$3386="","",INDEX(_imp!$G$4:$G$4503,_imp!$C$3386))</f>
        <v/>
      </c>
      <c r="E3384" s="54">
        <f>IF(_imp!$C$3386="","",INDEX(_imp!$H$4:$H$4503,_imp!$C$3386))</f>
        <v/>
      </c>
      <c r="F3384" s="54">
        <f>IF(_imp!$C$3386="","",INDEX(_imp!$I$4:$I$4503,_imp!$C$3386))</f>
        <v/>
      </c>
      <c r="G3384" s="54">
        <f>IF(_imp!$C$3386="","",INDEX(_imp!$J$4:$J$4503,_imp!$C$3386))</f>
        <v/>
      </c>
      <c r="K3384" s="54">
        <f>IF(_imp!$C$3386="","",INDEX(_imp!$K$4:$K$4503,_imp!$C$3386))</f>
        <v/>
      </c>
    </row>
    <row r="3385">
      <c r="A3385" s="54">
        <f>IF(_imp!$C$3387="","",INDEX(_imp!$D$4:$D$4503,_imp!$C$3387))</f>
        <v/>
      </c>
      <c r="B3385" s="54">
        <f>IF(_imp!$C$3387="","",INDEX(_imp!$E$4:$E$4503,_imp!$C$3387))</f>
        <v/>
      </c>
      <c r="C3385" s="54">
        <f>IF(_imp!$C$3387="","",INDEX(_imp!$F$4:$F$4503,_imp!$C$3387))</f>
        <v/>
      </c>
      <c r="D3385" s="54">
        <f>IF(_imp!$C$3387="","",INDEX(_imp!$G$4:$G$4503,_imp!$C$3387))</f>
        <v/>
      </c>
      <c r="E3385" s="54">
        <f>IF(_imp!$C$3387="","",INDEX(_imp!$H$4:$H$4503,_imp!$C$3387))</f>
        <v/>
      </c>
      <c r="F3385" s="54">
        <f>IF(_imp!$C$3387="","",INDEX(_imp!$I$4:$I$4503,_imp!$C$3387))</f>
        <v/>
      </c>
      <c r="G3385" s="54">
        <f>IF(_imp!$C$3387="","",INDEX(_imp!$J$4:$J$4503,_imp!$C$3387))</f>
        <v/>
      </c>
      <c r="K3385" s="54">
        <f>IF(_imp!$C$3387="","",INDEX(_imp!$K$4:$K$4503,_imp!$C$3387))</f>
        <v/>
      </c>
    </row>
    <row r="3386">
      <c r="A3386" s="54">
        <f>IF(_imp!$C$3388="","",INDEX(_imp!$D$4:$D$4503,_imp!$C$3388))</f>
        <v/>
      </c>
      <c r="B3386" s="54">
        <f>IF(_imp!$C$3388="","",INDEX(_imp!$E$4:$E$4503,_imp!$C$3388))</f>
        <v/>
      </c>
      <c r="C3386" s="54">
        <f>IF(_imp!$C$3388="","",INDEX(_imp!$F$4:$F$4503,_imp!$C$3388))</f>
        <v/>
      </c>
      <c r="D3386" s="54">
        <f>IF(_imp!$C$3388="","",INDEX(_imp!$G$4:$G$4503,_imp!$C$3388))</f>
        <v/>
      </c>
      <c r="E3386" s="54">
        <f>IF(_imp!$C$3388="","",INDEX(_imp!$H$4:$H$4503,_imp!$C$3388))</f>
        <v/>
      </c>
      <c r="F3386" s="54">
        <f>IF(_imp!$C$3388="","",INDEX(_imp!$I$4:$I$4503,_imp!$C$3388))</f>
        <v/>
      </c>
      <c r="G3386" s="54">
        <f>IF(_imp!$C$3388="","",INDEX(_imp!$J$4:$J$4503,_imp!$C$3388))</f>
        <v/>
      </c>
      <c r="K3386" s="54">
        <f>IF(_imp!$C$3388="","",INDEX(_imp!$K$4:$K$4503,_imp!$C$3388))</f>
        <v/>
      </c>
    </row>
    <row r="3387">
      <c r="A3387" s="54">
        <f>IF(_imp!$C$3389="","",INDEX(_imp!$D$4:$D$4503,_imp!$C$3389))</f>
        <v/>
      </c>
      <c r="B3387" s="54">
        <f>IF(_imp!$C$3389="","",INDEX(_imp!$E$4:$E$4503,_imp!$C$3389))</f>
        <v/>
      </c>
      <c r="C3387" s="54">
        <f>IF(_imp!$C$3389="","",INDEX(_imp!$F$4:$F$4503,_imp!$C$3389))</f>
        <v/>
      </c>
      <c r="D3387" s="54">
        <f>IF(_imp!$C$3389="","",INDEX(_imp!$G$4:$G$4503,_imp!$C$3389))</f>
        <v/>
      </c>
      <c r="E3387" s="54">
        <f>IF(_imp!$C$3389="","",INDEX(_imp!$H$4:$H$4503,_imp!$C$3389))</f>
        <v/>
      </c>
      <c r="F3387" s="54">
        <f>IF(_imp!$C$3389="","",INDEX(_imp!$I$4:$I$4503,_imp!$C$3389))</f>
        <v/>
      </c>
      <c r="G3387" s="54">
        <f>IF(_imp!$C$3389="","",INDEX(_imp!$J$4:$J$4503,_imp!$C$3389))</f>
        <v/>
      </c>
      <c r="K3387" s="54">
        <f>IF(_imp!$C$3389="","",INDEX(_imp!$K$4:$K$4503,_imp!$C$3389))</f>
        <v/>
      </c>
    </row>
    <row r="3388">
      <c r="A3388" s="54">
        <f>IF(_imp!$C$3390="","",INDEX(_imp!$D$4:$D$4503,_imp!$C$3390))</f>
        <v/>
      </c>
      <c r="B3388" s="54">
        <f>IF(_imp!$C$3390="","",INDEX(_imp!$E$4:$E$4503,_imp!$C$3390))</f>
        <v/>
      </c>
      <c r="C3388" s="54">
        <f>IF(_imp!$C$3390="","",INDEX(_imp!$F$4:$F$4503,_imp!$C$3390))</f>
        <v/>
      </c>
      <c r="D3388" s="54">
        <f>IF(_imp!$C$3390="","",INDEX(_imp!$G$4:$G$4503,_imp!$C$3390))</f>
        <v/>
      </c>
      <c r="E3388" s="54">
        <f>IF(_imp!$C$3390="","",INDEX(_imp!$H$4:$H$4503,_imp!$C$3390))</f>
        <v/>
      </c>
      <c r="F3388" s="54">
        <f>IF(_imp!$C$3390="","",INDEX(_imp!$I$4:$I$4503,_imp!$C$3390))</f>
        <v/>
      </c>
      <c r="G3388" s="54">
        <f>IF(_imp!$C$3390="","",INDEX(_imp!$J$4:$J$4503,_imp!$C$3390))</f>
        <v/>
      </c>
      <c r="K3388" s="54">
        <f>IF(_imp!$C$3390="","",INDEX(_imp!$K$4:$K$4503,_imp!$C$3390))</f>
        <v/>
      </c>
    </row>
    <row r="3389">
      <c r="A3389" s="54">
        <f>IF(_imp!$C$3391="","",INDEX(_imp!$D$4:$D$4503,_imp!$C$3391))</f>
        <v/>
      </c>
      <c r="B3389" s="54">
        <f>IF(_imp!$C$3391="","",INDEX(_imp!$E$4:$E$4503,_imp!$C$3391))</f>
        <v/>
      </c>
      <c r="C3389" s="54">
        <f>IF(_imp!$C$3391="","",INDEX(_imp!$F$4:$F$4503,_imp!$C$3391))</f>
        <v/>
      </c>
      <c r="D3389" s="54">
        <f>IF(_imp!$C$3391="","",INDEX(_imp!$G$4:$G$4503,_imp!$C$3391))</f>
        <v/>
      </c>
      <c r="E3389" s="54">
        <f>IF(_imp!$C$3391="","",INDEX(_imp!$H$4:$H$4503,_imp!$C$3391))</f>
        <v/>
      </c>
      <c r="F3389" s="54">
        <f>IF(_imp!$C$3391="","",INDEX(_imp!$I$4:$I$4503,_imp!$C$3391))</f>
        <v/>
      </c>
      <c r="G3389" s="54">
        <f>IF(_imp!$C$3391="","",INDEX(_imp!$J$4:$J$4503,_imp!$C$3391))</f>
        <v/>
      </c>
      <c r="K3389" s="54">
        <f>IF(_imp!$C$3391="","",INDEX(_imp!$K$4:$K$4503,_imp!$C$3391))</f>
        <v/>
      </c>
    </row>
    <row r="3390">
      <c r="A3390" s="54">
        <f>IF(_imp!$C$3392="","",INDEX(_imp!$D$4:$D$4503,_imp!$C$3392))</f>
        <v/>
      </c>
      <c r="B3390" s="54">
        <f>IF(_imp!$C$3392="","",INDEX(_imp!$E$4:$E$4503,_imp!$C$3392))</f>
        <v/>
      </c>
      <c r="C3390" s="54">
        <f>IF(_imp!$C$3392="","",INDEX(_imp!$F$4:$F$4503,_imp!$C$3392))</f>
        <v/>
      </c>
      <c r="D3390" s="54">
        <f>IF(_imp!$C$3392="","",INDEX(_imp!$G$4:$G$4503,_imp!$C$3392))</f>
        <v/>
      </c>
      <c r="E3390" s="54">
        <f>IF(_imp!$C$3392="","",INDEX(_imp!$H$4:$H$4503,_imp!$C$3392))</f>
        <v/>
      </c>
      <c r="F3390" s="54">
        <f>IF(_imp!$C$3392="","",INDEX(_imp!$I$4:$I$4503,_imp!$C$3392))</f>
        <v/>
      </c>
      <c r="G3390" s="54">
        <f>IF(_imp!$C$3392="","",INDEX(_imp!$J$4:$J$4503,_imp!$C$3392))</f>
        <v/>
      </c>
      <c r="K3390" s="54">
        <f>IF(_imp!$C$3392="","",INDEX(_imp!$K$4:$K$4503,_imp!$C$3392))</f>
        <v/>
      </c>
    </row>
    <row r="3391">
      <c r="A3391" s="54">
        <f>IF(_imp!$C$3393="","",INDEX(_imp!$D$4:$D$4503,_imp!$C$3393))</f>
        <v/>
      </c>
      <c r="B3391" s="54">
        <f>IF(_imp!$C$3393="","",INDEX(_imp!$E$4:$E$4503,_imp!$C$3393))</f>
        <v/>
      </c>
      <c r="C3391" s="54">
        <f>IF(_imp!$C$3393="","",INDEX(_imp!$F$4:$F$4503,_imp!$C$3393))</f>
        <v/>
      </c>
      <c r="D3391" s="54">
        <f>IF(_imp!$C$3393="","",INDEX(_imp!$G$4:$G$4503,_imp!$C$3393))</f>
        <v/>
      </c>
      <c r="E3391" s="54">
        <f>IF(_imp!$C$3393="","",INDEX(_imp!$H$4:$H$4503,_imp!$C$3393))</f>
        <v/>
      </c>
      <c r="F3391" s="54">
        <f>IF(_imp!$C$3393="","",INDEX(_imp!$I$4:$I$4503,_imp!$C$3393))</f>
        <v/>
      </c>
      <c r="G3391" s="54">
        <f>IF(_imp!$C$3393="","",INDEX(_imp!$J$4:$J$4503,_imp!$C$3393))</f>
        <v/>
      </c>
      <c r="K3391" s="54">
        <f>IF(_imp!$C$3393="","",INDEX(_imp!$K$4:$K$4503,_imp!$C$3393))</f>
        <v/>
      </c>
    </row>
    <row r="3392">
      <c r="A3392" s="54">
        <f>IF(_imp!$C$3394="","",INDEX(_imp!$D$4:$D$4503,_imp!$C$3394))</f>
        <v/>
      </c>
      <c r="B3392" s="54">
        <f>IF(_imp!$C$3394="","",INDEX(_imp!$E$4:$E$4503,_imp!$C$3394))</f>
        <v/>
      </c>
      <c r="C3392" s="54">
        <f>IF(_imp!$C$3394="","",INDEX(_imp!$F$4:$F$4503,_imp!$C$3394))</f>
        <v/>
      </c>
      <c r="D3392" s="54">
        <f>IF(_imp!$C$3394="","",INDEX(_imp!$G$4:$G$4503,_imp!$C$3394))</f>
        <v/>
      </c>
      <c r="E3392" s="54">
        <f>IF(_imp!$C$3394="","",INDEX(_imp!$H$4:$H$4503,_imp!$C$3394))</f>
        <v/>
      </c>
      <c r="F3392" s="54">
        <f>IF(_imp!$C$3394="","",INDEX(_imp!$I$4:$I$4503,_imp!$C$3394))</f>
        <v/>
      </c>
      <c r="G3392" s="54">
        <f>IF(_imp!$C$3394="","",INDEX(_imp!$J$4:$J$4503,_imp!$C$3394))</f>
        <v/>
      </c>
      <c r="K3392" s="54">
        <f>IF(_imp!$C$3394="","",INDEX(_imp!$K$4:$K$4503,_imp!$C$3394))</f>
        <v/>
      </c>
    </row>
    <row r="3393">
      <c r="A3393" s="54">
        <f>IF(_imp!$C$3395="","",INDEX(_imp!$D$4:$D$4503,_imp!$C$3395))</f>
        <v/>
      </c>
      <c r="B3393" s="54">
        <f>IF(_imp!$C$3395="","",INDEX(_imp!$E$4:$E$4503,_imp!$C$3395))</f>
        <v/>
      </c>
      <c r="C3393" s="54">
        <f>IF(_imp!$C$3395="","",INDEX(_imp!$F$4:$F$4503,_imp!$C$3395))</f>
        <v/>
      </c>
      <c r="D3393" s="54">
        <f>IF(_imp!$C$3395="","",INDEX(_imp!$G$4:$G$4503,_imp!$C$3395))</f>
        <v/>
      </c>
      <c r="E3393" s="54">
        <f>IF(_imp!$C$3395="","",INDEX(_imp!$H$4:$H$4503,_imp!$C$3395))</f>
        <v/>
      </c>
      <c r="F3393" s="54">
        <f>IF(_imp!$C$3395="","",INDEX(_imp!$I$4:$I$4503,_imp!$C$3395))</f>
        <v/>
      </c>
      <c r="G3393" s="54">
        <f>IF(_imp!$C$3395="","",INDEX(_imp!$J$4:$J$4503,_imp!$C$3395))</f>
        <v/>
      </c>
      <c r="K3393" s="54">
        <f>IF(_imp!$C$3395="","",INDEX(_imp!$K$4:$K$4503,_imp!$C$3395))</f>
        <v/>
      </c>
    </row>
    <row r="3394">
      <c r="A3394" s="54">
        <f>IF(_imp!$C$3396="","",INDEX(_imp!$D$4:$D$4503,_imp!$C$3396))</f>
        <v/>
      </c>
      <c r="B3394" s="54">
        <f>IF(_imp!$C$3396="","",INDEX(_imp!$E$4:$E$4503,_imp!$C$3396))</f>
        <v/>
      </c>
      <c r="C3394" s="54">
        <f>IF(_imp!$C$3396="","",INDEX(_imp!$F$4:$F$4503,_imp!$C$3396))</f>
        <v/>
      </c>
      <c r="D3394" s="54">
        <f>IF(_imp!$C$3396="","",INDEX(_imp!$G$4:$G$4503,_imp!$C$3396))</f>
        <v/>
      </c>
      <c r="E3394" s="54">
        <f>IF(_imp!$C$3396="","",INDEX(_imp!$H$4:$H$4503,_imp!$C$3396))</f>
        <v/>
      </c>
      <c r="F3394" s="54">
        <f>IF(_imp!$C$3396="","",INDEX(_imp!$I$4:$I$4503,_imp!$C$3396))</f>
        <v/>
      </c>
      <c r="G3394" s="54">
        <f>IF(_imp!$C$3396="","",INDEX(_imp!$J$4:$J$4503,_imp!$C$3396))</f>
        <v/>
      </c>
      <c r="K3394" s="54">
        <f>IF(_imp!$C$3396="","",INDEX(_imp!$K$4:$K$4503,_imp!$C$3396))</f>
        <v/>
      </c>
    </row>
    <row r="3395">
      <c r="A3395" s="54">
        <f>IF(_imp!$C$3397="","",INDEX(_imp!$D$4:$D$4503,_imp!$C$3397))</f>
        <v/>
      </c>
      <c r="B3395" s="54">
        <f>IF(_imp!$C$3397="","",INDEX(_imp!$E$4:$E$4503,_imp!$C$3397))</f>
        <v/>
      </c>
      <c r="C3395" s="54">
        <f>IF(_imp!$C$3397="","",INDEX(_imp!$F$4:$F$4503,_imp!$C$3397))</f>
        <v/>
      </c>
      <c r="D3395" s="54">
        <f>IF(_imp!$C$3397="","",INDEX(_imp!$G$4:$G$4503,_imp!$C$3397))</f>
        <v/>
      </c>
      <c r="E3395" s="54">
        <f>IF(_imp!$C$3397="","",INDEX(_imp!$H$4:$H$4503,_imp!$C$3397))</f>
        <v/>
      </c>
      <c r="F3395" s="54">
        <f>IF(_imp!$C$3397="","",INDEX(_imp!$I$4:$I$4503,_imp!$C$3397))</f>
        <v/>
      </c>
      <c r="G3395" s="54">
        <f>IF(_imp!$C$3397="","",INDEX(_imp!$J$4:$J$4503,_imp!$C$3397))</f>
        <v/>
      </c>
      <c r="K3395" s="54">
        <f>IF(_imp!$C$3397="","",INDEX(_imp!$K$4:$K$4503,_imp!$C$3397))</f>
        <v/>
      </c>
    </row>
    <row r="3396">
      <c r="A3396" s="54">
        <f>IF(_imp!$C$3398="","",INDEX(_imp!$D$4:$D$4503,_imp!$C$3398))</f>
        <v/>
      </c>
      <c r="B3396" s="54">
        <f>IF(_imp!$C$3398="","",INDEX(_imp!$E$4:$E$4503,_imp!$C$3398))</f>
        <v/>
      </c>
      <c r="C3396" s="54">
        <f>IF(_imp!$C$3398="","",INDEX(_imp!$F$4:$F$4503,_imp!$C$3398))</f>
        <v/>
      </c>
      <c r="D3396" s="54">
        <f>IF(_imp!$C$3398="","",INDEX(_imp!$G$4:$G$4503,_imp!$C$3398))</f>
        <v/>
      </c>
      <c r="E3396" s="54">
        <f>IF(_imp!$C$3398="","",INDEX(_imp!$H$4:$H$4503,_imp!$C$3398))</f>
        <v/>
      </c>
      <c r="F3396" s="54">
        <f>IF(_imp!$C$3398="","",INDEX(_imp!$I$4:$I$4503,_imp!$C$3398))</f>
        <v/>
      </c>
      <c r="G3396" s="54">
        <f>IF(_imp!$C$3398="","",INDEX(_imp!$J$4:$J$4503,_imp!$C$3398))</f>
        <v/>
      </c>
      <c r="K3396" s="54">
        <f>IF(_imp!$C$3398="","",INDEX(_imp!$K$4:$K$4503,_imp!$C$3398))</f>
        <v/>
      </c>
    </row>
    <row r="3397">
      <c r="A3397" s="54">
        <f>IF(_imp!$C$3399="","",INDEX(_imp!$D$4:$D$4503,_imp!$C$3399))</f>
        <v/>
      </c>
      <c r="B3397" s="54">
        <f>IF(_imp!$C$3399="","",INDEX(_imp!$E$4:$E$4503,_imp!$C$3399))</f>
        <v/>
      </c>
      <c r="C3397" s="54">
        <f>IF(_imp!$C$3399="","",INDEX(_imp!$F$4:$F$4503,_imp!$C$3399))</f>
        <v/>
      </c>
      <c r="D3397" s="54">
        <f>IF(_imp!$C$3399="","",INDEX(_imp!$G$4:$G$4503,_imp!$C$3399))</f>
        <v/>
      </c>
      <c r="E3397" s="54">
        <f>IF(_imp!$C$3399="","",INDEX(_imp!$H$4:$H$4503,_imp!$C$3399))</f>
        <v/>
      </c>
      <c r="F3397" s="54">
        <f>IF(_imp!$C$3399="","",INDEX(_imp!$I$4:$I$4503,_imp!$C$3399))</f>
        <v/>
      </c>
      <c r="G3397" s="54">
        <f>IF(_imp!$C$3399="","",INDEX(_imp!$J$4:$J$4503,_imp!$C$3399))</f>
        <v/>
      </c>
      <c r="K3397" s="54">
        <f>IF(_imp!$C$3399="","",INDEX(_imp!$K$4:$K$4503,_imp!$C$3399))</f>
        <v/>
      </c>
    </row>
    <row r="3398">
      <c r="A3398" s="54">
        <f>IF(_imp!$C$3400="","",INDEX(_imp!$D$4:$D$4503,_imp!$C$3400))</f>
        <v/>
      </c>
      <c r="B3398" s="54">
        <f>IF(_imp!$C$3400="","",INDEX(_imp!$E$4:$E$4503,_imp!$C$3400))</f>
        <v/>
      </c>
      <c r="C3398" s="54">
        <f>IF(_imp!$C$3400="","",INDEX(_imp!$F$4:$F$4503,_imp!$C$3400))</f>
        <v/>
      </c>
      <c r="D3398" s="54">
        <f>IF(_imp!$C$3400="","",INDEX(_imp!$G$4:$G$4503,_imp!$C$3400))</f>
        <v/>
      </c>
      <c r="E3398" s="54">
        <f>IF(_imp!$C$3400="","",INDEX(_imp!$H$4:$H$4503,_imp!$C$3400))</f>
        <v/>
      </c>
      <c r="F3398" s="54">
        <f>IF(_imp!$C$3400="","",INDEX(_imp!$I$4:$I$4503,_imp!$C$3400))</f>
        <v/>
      </c>
      <c r="G3398" s="54">
        <f>IF(_imp!$C$3400="","",INDEX(_imp!$J$4:$J$4503,_imp!$C$3400))</f>
        <v/>
      </c>
      <c r="K3398" s="54">
        <f>IF(_imp!$C$3400="","",INDEX(_imp!$K$4:$K$4503,_imp!$C$3400))</f>
        <v/>
      </c>
    </row>
    <row r="3399">
      <c r="A3399" s="54">
        <f>IF(_imp!$C$3401="","",INDEX(_imp!$D$4:$D$4503,_imp!$C$3401))</f>
        <v/>
      </c>
      <c r="B3399" s="54">
        <f>IF(_imp!$C$3401="","",INDEX(_imp!$E$4:$E$4503,_imp!$C$3401))</f>
        <v/>
      </c>
      <c r="C3399" s="54">
        <f>IF(_imp!$C$3401="","",INDEX(_imp!$F$4:$F$4503,_imp!$C$3401))</f>
        <v/>
      </c>
      <c r="D3399" s="54">
        <f>IF(_imp!$C$3401="","",INDEX(_imp!$G$4:$G$4503,_imp!$C$3401))</f>
        <v/>
      </c>
      <c r="E3399" s="54">
        <f>IF(_imp!$C$3401="","",INDEX(_imp!$H$4:$H$4503,_imp!$C$3401))</f>
        <v/>
      </c>
      <c r="F3399" s="54">
        <f>IF(_imp!$C$3401="","",INDEX(_imp!$I$4:$I$4503,_imp!$C$3401))</f>
        <v/>
      </c>
      <c r="G3399" s="54">
        <f>IF(_imp!$C$3401="","",INDEX(_imp!$J$4:$J$4503,_imp!$C$3401))</f>
        <v/>
      </c>
      <c r="K3399" s="54">
        <f>IF(_imp!$C$3401="","",INDEX(_imp!$K$4:$K$4503,_imp!$C$3401))</f>
        <v/>
      </c>
    </row>
    <row r="3400">
      <c r="A3400" s="54">
        <f>IF(_imp!$C$3402="","",INDEX(_imp!$D$4:$D$4503,_imp!$C$3402))</f>
        <v/>
      </c>
      <c r="B3400" s="54">
        <f>IF(_imp!$C$3402="","",INDEX(_imp!$E$4:$E$4503,_imp!$C$3402))</f>
        <v/>
      </c>
      <c r="C3400" s="54">
        <f>IF(_imp!$C$3402="","",INDEX(_imp!$F$4:$F$4503,_imp!$C$3402))</f>
        <v/>
      </c>
      <c r="D3400" s="54">
        <f>IF(_imp!$C$3402="","",INDEX(_imp!$G$4:$G$4503,_imp!$C$3402))</f>
        <v/>
      </c>
      <c r="E3400" s="54">
        <f>IF(_imp!$C$3402="","",INDEX(_imp!$H$4:$H$4503,_imp!$C$3402))</f>
        <v/>
      </c>
      <c r="F3400" s="54">
        <f>IF(_imp!$C$3402="","",INDEX(_imp!$I$4:$I$4503,_imp!$C$3402))</f>
        <v/>
      </c>
      <c r="G3400" s="54">
        <f>IF(_imp!$C$3402="","",INDEX(_imp!$J$4:$J$4503,_imp!$C$3402))</f>
        <v/>
      </c>
      <c r="K3400" s="54">
        <f>IF(_imp!$C$3402="","",INDEX(_imp!$K$4:$K$4503,_imp!$C$3402))</f>
        <v/>
      </c>
    </row>
    <row r="3401">
      <c r="A3401" s="54">
        <f>IF(_imp!$C$3403="","",INDEX(_imp!$D$4:$D$4503,_imp!$C$3403))</f>
        <v/>
      </c>
      <c r="B3401" s="54">
        <f>IF(_imp!$C$3403="","",INDEX(_imp!$E$4:$E$4503,_imp!$C$3403))</f>
        <v/>
      </c>
      <c r="C3401" s="54">
        <f>IF(_imp!$C$3403="","",INDEX(_imp!$F$4:$F$4503,_imp!$C$3403))</f>
        <v/>
      </c>
      <c r="D3401" s="54">
        <f>IF(_imp!$C$3403="","",INDEX(_imp!$G$4:$G$4503,_imp!$C$3403))</f>
        <v/>
      </c>
      <c r="E3401" s="54">
        <f>IF(_imp!$C$3403="","",INDEX(_imp!$H$4:$H$4503,_imp!$C$3403))</f>
        <v/>
      </c>
      <c r="F3401" s="54">
        <f>IF(_imp!$C$3403="","",INDEX(_imp!$I$4:$I$4503,_imp!$C$3403))</f>
        <v/>
      </c>
      <c r="G3401" s="54">
        <f>IF(_imp!$C$3403="","",INDEX(_imp!$J$4:$J$4503,_imp!$C$3403))</f>
        <v/>
      </c>
      <c r="K3401" s="54">
        <f>IF(_imp!$C$3403="","",INDEX(_imp!$K$4:$K$4503,_imp!$C$3403))</f>
        <v/>
      </c>
    </row>
    <row r="3402">
      <c r="A3402" s="54">
        <f>IF(_imp!$C$3404="","",INDEX(_imp!$D$4:$D$4503,_imp!$C$3404))</f>
        <v/>
      </c>
      <c r="B3402" s="54">
        <f>IF(_imp!$C$3404="","",INDEX(_imp!$E$4:$E$4503,_imp!$C$3404))</f>
        <v/>
      </c>
      <c r="C3402" s="54">
        <f>IF(_imp!$C$3404="","",INDEX(_imp!$F$4:$F$4503,_imp!$C$3404))</f>
        <v/>
      </c>
      <c r="D3402" s="54">
        <f>IF(_imp!$C$3404="","",INDEX(_imp!$G$4:$G$4503,_imp!$C$3404))</f>
        <v/>
      </c>
      <c r="E3402" s="54">
        <f>IF(_imp!$C$3404="","",INDEX(_imp!$H$4:$H$4503,_imp!$C$3404))</f>
        <v/>
      </c>
      <c r="F3402" s="54">
        <f>IF(_imp!$C$3404="","",INDEX(_imp!$I$4:$I$4503,_imp!$C$3404))</f>
        <v/>
      </c>
      <c r="G3402" s="54">
        <f>IF(_imp!$C$3404="","",INDEX(_imp!$J$4:$J$4503,_imp!$C$3404))</f>
        <v/>
      </c>
      <c r="K3402" s="54">
        <f>IF(_imp!$C$3404="","",INDEX(_imp!$K$4:$K$4503,_imp!$C$3404))</f>
        <v/>
      </c>
    </row>
    <row r="3403">
      <c r="A3403" s="54">
        <f>IF(_imp!$C$3405="","",INDEX(_imp!$D$4:$D$4503,_imp!$C$3405))</f>
        <v/>
      </c>
      <c r="B3403" s="54">
        <f>IF(_imp!$C$3405="","",INDEX(_imp!$E$4:$E$4503,_imp!$C$3405))</f>
        <v/>
      </c>
      <c r="C3403" s="54">
        <f>IF(_imp!$C$3405="","",INDEX(_imp!$F$4:$F$4503,_imp!$C$3405))</f>
        <v/>
      </c>
      <c r="D3403" s="54">
        <f>IF(_imp!$C$3405="","",INDEX(_imp!$G$4:$G$4503,_imp!$C$3405))</f>
        <v/>
      </c>
      <c r="E3403" s="54">
        <f>IF(_imp!$C$3405="","",INDEX(_imp!$H$4:$H$4503,_imp!$C$3405))</f>
        <v/>
      </c>
      <c r="F3403" s="54">
        <f>IF(_imp!$C$3405="","",INDEX(_imp!$I$4:$I$4503,_imp!$C$3405))</f>
        <v/>
      </c>
      <c r="G3403" s="54">
        <f>IF(_imp!$C$3405="","",INDEX(_imp!$J$4:$J$4503,_imp!$C$3405))</f>
        <v/>
      </c>
      <c r="K3403" s="54">
        <f>IF(_imp!$C$3405="","",INDEX(_imp!$K$4:$K$4503,_imp!$C$3405))</f>
        <v/>
      </c>
    </row>
    <row r="3404">
      <c r="A3404" s="54">
        <f>IF(_imp!$C$3406="","",INDEX(_imp!$D$4:$D$4503,_imp!$C$3406))</f>
        <v/>
      </c>
      <c r="B3404" s="54">
        <f>IF(_imp!$C$3406="","",INDEX(_imp!$E$4:$E$4503,_imp!$C$3406))</f>
        <v/>
      </c>
      <c r="C3404" s="54">
        <f>IF(_imp!$C$3406="","",INDEX(_imp!$F$4:$F$4503,_imp!$C$3406))</f>
        <v/>
      </c>
      <c r="D3404" s="54">
        <f>IF(_imp!$C$3406="","",INDEX(_imp!$G$4:$G$4503,_imp!$C$3406))</f>
        <v/>
      </c>
      <c r="E3404" s="54">
        <f>IF(_imp!$C$3406="","",INDEX(_imp!$H$4:$H$4503,_imp!$C$3406))</f>
        <v/>
      </c>
      <c r="F3404" s="54">
        <f>IF(_imp!$C$3406="","",INDEX(_imp!$I$4:$I$4503,_imp!$C$3406))</f>
        <v/>
      </c>
      <c r="G3404" s="54">
        <f>IF(_imp!$C$3406="","",INDEX(_imp!$J$4:$J$4503,_imp!$C$3406))</f>
        <v/>
      </c>
      <c r="K3404" s="54">
        <f>IF(_imp!$C$3406="","",INDEX(_imp!$K$4:$K$4503,_imp!$C$3406))</f>
        <v/>
      </c>
    </row>
    <row r="3405">
      <c r="A3405" s="54">
        <f>IF(_imp!$C$3407="","",INDEX(_imp!$D$4:$D$4503,_imp!$C$3407))</f>
        <v/>
      </c>
      <c r="B3405" s="54">
        <f>IF(_imp!$C$3407="","",INDEX(_imp!$E$4:$E$4503,_imp!$C$3407))</f>
        <v/>
      </c>
      <c r="C3405" s="54">
        <f>IF(_imp!$C$3407="","",INDEX(_imp!$F$4:$F$4503,_imp!$C$3407))</f>
        <v/>
      </c>
      <c r="D3405" s="54">
        <f>IF(_imp!$C$3407="","",INDEX(_imp!$G$4:$G$4503,_imp!$C$3407))</f>
        <v/>
      </c>
      <c r="E3405" s="54">
        <f>IF(_imp!$C$3407="","",INDEX(_imp!$H$4:$H$4503,_imp!$C$3407))</f>
        <v/>
      </c>
      <c r="F3405" s="54">
        <f>IF(_imp!$C$3407="","",INDEX(_imp!$I$4:$I$4503,_imp!$C$3407))</f>
        <v/>
      </c>
      <c r="G3405" s="54">
        <f>IF(_imp!$C$3407="","",INDEX(_imp!$J$4:$J$4503,_imp!$C$3407))</f>
        <v/>
      </c>
      <c r="K3405" s="54">
        <f>IF(_imp!$C$3407="","",INDEX(_imp!$K$4:$K$4503,_imp!$C$3407))</f>
        <v/>
      </c>
    </row>
    <row r="3406">
      <c r="A3406" s="54">
        <f>IF(_imp!$C$3408="","",INDEX(_imp!$D$4:$D$4503,_imp!$C$3408))</f>
        <v/>
      </c>
      <c r="B3406" s="54">
        <f>IF(_imp!$C$3408="","",INDEX(_imp!$E$4:$E$4503,_imp!$C$3408))</f>
        <v/>
      </c>
      <c r="C3406" s="54">
        <f>IF(_imp!$C$3408="","",INDEX(_imp!$F$4:$F$4503,_imp!$C$3408))</f>
        <v/>
      </c>
      <c r="D3406" s="54">
        <f>IF(_imp!$C$3408="","",INDEX(_imp!$G$4:$G$4503,_imp!$C$3408))</f>
        <v/>
      </c>
      <c r="E3406" s="54">
        <f>IF(_imp!$C$3408="","",INDEX(_imp!$H$4:$H$4503,_imp!$C$3408))</f>
        <v/>
      </c>
      <c r="F3406" s="54">
        <f>IF(_imp!$C$3408="","",INDEX(_imp!$I$4:$I$4503,_imp!$C$3408))</f>
        <v/>
      </c>
      <c r="G3406" s="54">
        <f>IF(_imp!$C$3408="","",INDEX(_imp!$J$4:$J$4503,_imp!$C$3408))</f>
        <v/>
      </c>
      <c r="K3406" s="54">
        <f>IF(_imp!$C$3408="","",INDEX(_imp!$K$4:$K$4503,_imp!$C$3408))</f>
        <v/>
      </c>
    </row>
    <row r="3407">
      <c r="A3407" s="54">
        <f>IF(_imp!$C$3409="","",INDEX(_imp!$D$4:$D$4503,_imp!$C$3409))</f>
        <v/>
      </c>
      <c r="B3407" s="54">
        <f>IF(_imp!$C$3409="","",INDEX(_imp!$E$4:$E$4503,_imp!$C$3409))</f>
        <v/>
      </c>
      <c r="C3407" s="54">
        <f>IF(_imp!$C$3409="","",INDEX(_imp!$F$4:$F$4503,_imp!$C$3409))</f>
        <v/>
      </c>
      <c r="D3407" s="54">
        <f>IF(_imp!$C$3409="","",INDEX(_imp!$G$4:$G$4503,_imp!$C$3409))</f>
        <v/>
      </c>
      <c r="E3407" s="54">
        <f>IF(_imp!$C$3409="","",INDEX(_imp!$H$4:$H$4503,_imp!$C$3409))</f>
        <v/>
      </c>
      <c r="F3407" s="54">
        <f>IF(_imp!$C$3409="","",INDEX(_imp!$I$4:$I$4503,_imp!$C$3409))</f>
        <v/>
      </c>
      <c r="G3407" s="54">
        <f>IF(_imp!$C$3409="","",INDEX(_imp!$J$4:$J$4503,_imp!$C$3409))</f>
        <v/>
      </c>
      <c r="K3407" s="54">
        <f>IF(_imp!$C$3409="","",INDEX(_imp!$K$4:$K$4503,_imp!$C$3409))</f>
        <v/>
      </c>
    </row>
    <row r="3408">
      <c r="A3408" s="54">
        <f>IF(_imp!$C$3410="","",INDEX(_imp!$D$4:$D$4503,_imp!$C$3410))</f>
        <v/>
      </c>
      <c r="B3408" s="54">
        <f>IF(_imp!$C$3410="","",INDEX(_imp!$E$4:$E$4503,_imp!$C$3410))</f>
        <v/>
      </c>
      <c r="C3408" s="54">
        <f>IF(_imp!$C$3410="","",INDEX(_imp!$F$4:$F$4503,_imp!$C$3410))</f>
        <v/>
      </c>
      <c r="D3408" s="54">
        <f>IF(_imp!$C$3410="","",INDEX(_imp!$G$4:$G$4503,_imp!$C$3410))</f>
        <v/>
      </c>
      <c r="E3408" s="54">
        <f>IF(_imp!$C$3410="","",INDEX(_imp!$H$4:$H$4503,_imp!$C$3410))</f>
        <v/>
      </c>
      <c r="F3408" s="54">
        <f>IF(_imp!$C$3410="","",INDEX(_imp!$I$4:$I$4503,_imp!$C$3410))</f>
        <v/>
      </c>
      <c r="G3408" s="54">
        <f>IF(_imp!$C$3410="","",INDEX(_imp!$J$4:$J$4503,_imp!$C$3410))</f>
        <v/>
      </c>
      <c r="K3408" s="54">
        <f>IF(_imp!$C$3410="","",INDEX(_imp!$K$4:$K$4503,_imp!$C$3410))</f>
        <v/>
      </c>
    </row>
    <row r="3409">
      <c r="A3409" s="54">
        <f>IF(_imp!$C$3411="","",INDEX(_imp!$D$4:$D$4503,_imp!$C$3411))</f>
        <v/>
      </c>
      <c r="B3409" s="54">
        <f>IF(_imp!$C$3411="","",INDEX(_imp!$E$4:$E$4503,_imp!$C$3411))</f>
        <v/>
      </c>
      <c r="C3409" s="54">
        <f>IF(_imp!$C$3411="","",INDEX(_imp!$F$4:$F$4503,_imp!$C$3411))</f>
        <v/>
      </c>
      <c r="D3409" s="54">
        <f>IF(_imp!$C$3411="","",INDEX(_imp!$G$4:$G$4503,_imp!$C$3411))</f>
        <v/>
      </c>
      <c r="E3409" s="54">
        <f>IF(_imp!$C$3411="","",INDEX(_imp!$H$4:$H$4503,_imp!$C$3411))</f>
        <v/>
      </c>
      <c r="F3409" s="54">
        <f>IF(_imp!$C$3411="","",INDEX(_imp!$I$4:$I$4503,_imp!$C$3411))</f>
        <v/>
      </c>
      <c r="G3409" s="54">
        <f>IF(_imp!$C$3411="","",INDEX(_imp!$J$4:$J$4503,_imp!$C$3411))</f>
        <v/>
      </c>
      <c r="K3409" s="54">
        <f>IF(_imp!$C$3411="","",INDEX(_imp!$K$4:$K$4503,_imp!$C$3411))</f>
        <v/>
      </c>
    </row>
    <row r="3410">
      <c r="A3410" s="54">
        <f>IF(_imp!$C$3412="","",INDEX(_imp!$D$4:$D$4503,_imp!$C$3412))</f>
        <v/>
      </c>
      <c r="B3410" s="54">
        <f>IF(_imp!$C$3412="","",INDEX(_imp!$E$4:$E$4503,_imp!$C$3412))</f>
        <v/>
      </c>
      <c r="C3410" s="54">
        <f>IF(_imp!$C$3412="","",INDEX(_imp!$F$4:$F$4503,_imp!$C$3412))</f>
        <v/>
      </c>
      <c r="D3410" s="54">
        <f>IF(_imp!$C$3412="","",INDEX(_imp!$G$4:$G$4503,_imp!$C$3412))</f>
        <v/>
      </c>
      <c r="E3410" s="54">
        <f>IF(_imp!$C$3412="","",INDEX(_imp!$H$4:$H$4503,_imp!$C$3412))</f>
        <v/>
      </c>
      <c r="F3410" s="54">
        <f>IF(_imp!$C$3412="","",INDEX(_imp!$I$4:$I$4503,_imp!$C$3412))</f>
        <v/>
      </c>
      <c r="G3410" s="54">
        <f>IF(_imp!$C$3412="","",INDEX(_imp!$J$4:$J$4503,_imp!$C$3412))</f>
        <v/>
      </c>
      <c r="K3410" s="54">
        <f>IF(_imp!$C$3412="","",INDEX(_imp!$K$4:$K$4503,_imp!$C$3412))</f>
        <v/>
      </c>
    </row>
    <row r="3411">
      <c r="A3411" s="54">
        <f>IF(_imp!$C$3413="","",INDEX(_imp!$D$4:$D$4503,_imp!$C$3413))</f>
        <v/>
      </c>
      <c r="B3411" s="54">
        <f>IF(_imp!$C$3413="","",INDEX(_imp!$E$4:$E$4503,_imp!$C$3413))</f>
        <v/>
      </c>
      <c r="C3411" s="54">
        <f>IF(_imp!$C$3413="","",INDEX(_imp!$F$4:$F$4503,_imp!$C$3413))</f>
        <v/>
      </c>
      <c r="D3411" s="54">
        <f>IF(_imp!$C$3413="","",INDEX(_imp!$G$4:$G$4503,_imp!$C$3413))</f>
        <v/>
      </c>
      <c r="E3411" s="54">
        <f>IF(_imp!$C$3413="","",INDEX(_imp!$H$4:$H$4503,_imp!$C$3413))</f>
        <v/>
      </c>
      <c r="F3411" s="54">
        <f>IF(_imp!$C$3413="","",INDEX(_imp!$I$4:$I$4503,_imp!$C$3413))</f>
        <v/>
      </c>
      <c r="G3411" s="54">
        <f>IF(_imp!$C$3413="","",INDEX(_imp!$J$4:$J$4503,_imp!$C$3413))</f>
        <v/>
      </c>
      <c r="K3411" s="54">
        <f>IF(_imp!$C$3413="","",INDEX(_imp!$K$4:$K$4503,_imp!$C$3413))</f>
        <v/>
      </c>
    </row>
    <row r="3412">
      <c r="A3412" s="54">
        <f>IF(_imp!$C$3414="","",INDEX(_imp!$D$4:$D$4503,_imp!$C$3414))</f>
        <v/>
      </c>
      <c r="B3412" s="54">
        <f>IF(_imp!$C$3414="","",INDEX(_imp!$E$4:$E$4503,_imp!$C$3414))</f>
        <v/>
      </c>
      <c r="C3412" s="54">
        <f>IF(_imp!$C$3414="","",INDEX(_imp!$F$4:$F$4503,_imp!$C$3414))</f>
        <v/>
      </c>
      <c r="D3412" s="54">
        <f>IF(_imp!$C$3414="","",INDEX(_imp!$G$4:$G$4503,_imp!$C$3414))</f>
        <v/>
      </c>
      <c r="E3412" s="54">
        <f>IF(_imp!$C$3414="","",INDEX(_imp!$H$4:$H$4503,_imp!$C$3414))</f>
        <v/>
      </c>
      <c r="F3412" s="54">
        <f>IF(_imp!$C$3414="","",INDEX(_imp!$I$4:$I$4503,_imp!$C$3414))</f>
        <v/>
      </c>
      <c r="G3412" s="54">
        <f>IF(_imp!$C$3414="","",INDEX(_imp!$J$4:$J$4503,_imp!$C$3414))</f>
        <v/>
      </c>
      <c r="K3412" s="54">
        <f>IF(_imp!$C$3414="","",INDEX(_imp!$K$4:$K$4503,_imp!$C$3414))</f>
        <v/>
      </c>
    </row>
    <row r="3413">
      <c r="A3413" s="54">
        <f>IF(_imp!$C$3415="","",INDEX(_imp!$D$4:$D$4503,_imp!$C$3415))</f>
        <v/>
      </c>
      <c r="B3413" s="54">
        <f>IF(_imp!$C$3415="","",INDEX(_imp!$E$4:$E$4503,_imp!$C$3415))</f>
        <v/>
      </c>
      <c r="C3413" s="54">
        <f>IF(_imp!$C$3415="","",INDEX(_imp!$F$4:$F$4503,_imp!$C$3415))</f>
        <v/>
      </c>
      <c r="D3413" s="54">
        <f>IF(_imp!$C$3415="","",INDEX(_imp!$G$4:$G$4503,_imp!$C$3415))</f>
        <v/>
      </c>
      <c r="E3413" s="54">
        <f>IF(_imp!$C$3415="","",INDEX(_imp!$H$4:$H$4503,_imp!$C$3415))</f>
        <v/>
      </c>
      <c r="F3413" s="54">
        <f>IF(_imp!$C$3415="","",INDEX(_imp!$I$4:$I$4503,_imp!$C$3415))</f>
        <v/>
      </c>
      <c r="G3413" s="54">
        <f>IF(_imp!$C$3415="","",INDEX(_imp!$J$4:$J$4503,_imp!$C$3415))</f>
        <v/>
      </c>
      <c r="K3413" s="54">
        <f>IF(_imp!$C$3415="","",INDEX(_imp!$K$4:$K$4503,_imp!$C$3415))</f>
        <v/>
      </c>
    </row>
    <row r="3414">
      <c r="A3414" s="54">
        <f>IF(_imp!$C$3416="","",INDEX(_imp!$D$4:$D$4503,_imp!$C$3416))</f>
        <v/>
      </c>
      <c r="B3414" s="54">
        <f>IF(_imp!$C$3416="","",INDEX(_imp!$E$4:$E$4503,_imp!$C$3416))</f>
        <v/>
      </c>
      <c r="C3414" s="54">
        <f>IF(_imp!$C$3416="","",INDEX(_imp!$F$4:$F$4503,_imp!$C$3416))</f>
        <v/>
      </c>
      <c r="D3414" s="54">
        <f>IF(_imp!$C$3416="","",INDEX(_imp!$G$4:$G$4503,_imp!$C$3416))</f>
        <v/>
      </c>
      <c r="E3414" s="54">
        <f>IF(_imp!$C$3416="","",INDEX(_imp!$H$4:$H$4503,_imp!$C$3416))</f>
        <v/>
      </c>
      <c r="F3414" s="54">
        <f>IF(_imp!$C$3416="","",INDEX(_imp!$I$4:$I$4503,_imp!$C$3416))</f>
        <v/>
      </c>
      <c r="G3414" s="54">
        <f>IF(_imp!$C$3416="","",INDEX(_imp!$J$4:$J$4503,_imp!$C$3416))</f>
        <v/>
      </c>
      <c r="K3414" s="54">
        <f>IF(_imp!$C$3416="","",INDEX(_imp!$K$4:$K$4503,_imp!$C$3416))</f>
        <v/>
      </c>
    </row>
    <row r="3415">
      <c r="A3415" s="54">
        <f>IF(_imp!$C$3417="","",INDEX(_imp!$D$4:$D$4503,_imp!$C$3417))</f>
        <v/>
      </c>
      <c r="B3415" s="54">
        <f>IF(_imp!$C$3417="","",INDEX(_imp!$E$4:$E$4503,_imp!$C$3417))</f>
        <v/>
      </c>
      <c r="C3415" s="54">
        <f>IF(_imp!$C$3417="","",INDEX(_imp!$F$4:$F$4503,_imp!$C$3417))</f>
        <v/>
      </c>
      <c r="D3415" s="54">
        <f>IF(_imp!$C$3417="","",INDEX(_imp!$G$4:$G$4503,_imp!$C$3417))</f>
        <v/>
      </c>
      <c r="E3415" s="54">
        <f>IF(_imp!$C$3417="","",INDEX(_imp!$H$4:$H$4503,_imp!$C$3417))</f>
        <v/>
      </c>
      <c r="F3415" s="54">
        <f>IF(_imp!$C$3417="","",INDEX(_imp!$I$4:$I$4503,_imp!$C$3417))</f>
        <v/>
      </c>
      <c r="G3415" s="54">
        <f>IF(_imp!$C$3417="","",INDEX(_imp!$J$4:$J$4503,_imp!$C$3417))</f>
        <v/>
      </c>
      <c r="K3415" s="54">
        <f>IF(_imp!$C$3417="","",INDEX(_imp!$K$4:$K$4503,_imp!$C$3417))</f>
        <v/>
      </c>
    </row>
    <row r="3416">
      <c r="A3416" s="54">
        <f>IF(_imp!$C$3418="","",INDEX(_imp!$D$4:$D$4503,_imp!$C$3418))</f>
        <v/>
      </c>
      <c r="B3416" s="54">
        <f>IF(_imp!$C$3418="","",INDEX(_imp!$E$4:$E$4503,_imp!$C$3418))</f>
        <v/>
      </c>
      <c r="C3416" s="54">
        <f>IF(_imp!$C$3418="","",INDEX(_imp!$F$4:$F$4503,_imp!$C$3418))</f>
        <v/>
      </c>
      <c r="D3416" s="54">
        <f>IF(_imp!$C$3418="","",INDEX(_imp!$G$4:$G$4503,_imp!$C$3418))</f>
        <v/>
      </c>
      <c r="E3416" s="54">
        <f>IF(_imp!$C$3418="","",INDEX(_imp!$H$4:$H$4503,_imp!$C$3418))</f>
        <v/>
      </c>
      <c r="F3416" s="54">
        <f>IF(_imp!$C$3418="","",INDEX(_imp!$I$4:$I$4503,_imp!$C$3418))</f>
        <v/>
      </c>
      <c r="G3416" s="54">
        <f>IF(_imp!$C$3418="","",INDEX(_imp!$J$4:$J$4503,_imp!$C$3418))</f>
        <v/>
      </c>
      <c r="K3416" s="54">
        <f>IF(_imp!$C$3418="","",INDEX(_imp!$K$4:$K$4503,_imp!$C$3418))</f>
        <v/>
      </c>
    </row>
    <row r="3417">
      <c r="A3417" s="54">
        <f>IF(_imp!$C$3419="","",INDEX(_imp!$D$4:$D$4503,_imp!$C$3419))</f>
        <v/>
      </c>
      <c r="B3417" s="54">
        <f>IF(_imp!$C$3419="","",INDEX(_imp!$E$4:$E$4503,_imp!$C$3419))</f>
        <v/>
      </c>
      <c r="C3417" s="54">
        <f>IF(_imp!$C$3419="","",INDEX(_imp!$F$4:$F$4503,_imp!$C$3419))</f>
        <v/>
      </c>
      <c r="D3417" s="54">
        <f>IF(_imp!$C$3419="","",INDEX(_imp!$G$4:$G$4503,_imp!$C$3419))</f>
        <v/>
      </c>
      <c r="E3417" s="54">
        <f>IF(_imp!$C$3419="","",INDEX(_imp!$H$4:$H$4503,_imp!$C$3419))</f>
        <v/>
      </c>
      <c r="F3417" s="54">
        <f>IF(_imp!$C$3419="","",INDEX(_imp!$I$4:$I$4503,_imp!$C$3419))</f>
        <v/>
      </c>
      <c r="G3417" s="54">
        <f>IF(_imp!$C$3419="","",INDEX(_imp!$J$4:$J$4503,_imp!$C$3419))</f>
        <v/>
      </c>
      <c r="K3417" s="54">
        <f>IF(_imp!$C$3419="","",INDEX(_imp!$K$4:$K$4503,_imp!$C$3419))</f>
        <v/>
      </c>
    </row>
    <row r="3418">
      <c r="A3418" s="54">
        <f>IF(_imp!$C$3420="","",INDEX(_imp!$D$4:$D$4503,_imp!$C$3420))</f>
        <v/>
      </c>
      <c r="B3418" s="54">
        <f>IF(_imp!$C$3420="","",INDEX(_imp!$E$4:$E$4503,_imp!$C$3420))</f>
        <v/>
      </c>
      <c r="C3418" s="54">
        <f>IF(_imp!$C$3420="","",INDEX(_imp!$F$4:$F$4503,_imp!$C$3420))</f>
        <v/>
      </c>
      <c r="D3418" s="54">
        <f>IF(_imp!$C$3420="","",INDEX(_imp!$G$4:$G$4503,_imp!$C$3420))</f>
        <v/>
      </c>
      <c r="E3418" s="54">
        <f>IF(_imp!$C$3420="","",INDEX(_imp!$H$4:$H$4503,_imp!$C$3420))</f>
        <v/>
      </c>
      <c r="F3418" s="54">
        <f>IF(_imp!$C$3420="","",INDEX(_imp!$I$4:$I$4503,_imp!$C$3420))</f>
        <v/>
      </c>
      <c r="G3418" s="54">
        <f>IF(_imp!$C$3420="","",INDEX(_imp!$J$4:$J$4503,_imp!$C$3420))</f>
        <v/>
      </c>
      <c r="K3418" s="54">
        <f>IF(_imp!$C$3420="","",INDEX(_imp!$K$4:$K$4503,_imp!$C$3420))</f>
        <v/>
      </c>
    </row>
    <row r="3419">
      <c r="A3419" s="54">
        <f>IF(_imp!$C$3421="","",INDEX(_imp!$D$4:$D$4503,_imp!$C$3421))</f>
        <v/>
      </c>
      <c r="B3419" s="54">
        <f>IF(_imp!$C$3421="","",INDEX(_imp!$E$4:$E$4503,_imp!$C$3421))</f>
        <v/>
      </c>
      <c r="C3419" s="54">
        <f>IF(_imp!$C$3421="","",INDEX(_imp!$F$4:$F$4503,_imp!$C$3421))</f>
        <v/>
      </c>
      <c r="D3419" s="54">
        <f>IF(_imp!$C$3421="","",INDEX(_imp!$G$4:$G$4503,_imp!$C$3421))</f>
        <v/>
      </c>
      <c r="E3419" s="54">
        <f>IF(_imp!$C$3421="","",INDEX(_imp!$H$4:$H$4503,_imp!$C$3421))</f>
        <v/>
      </c>
      <c r="F3419" s="54">
        <f>IF(_imp!$C$3421="","",INDEX(_imp!$I$4:$I$4503,_imp!$C$3421))</f>
        <v/>
      </c>
      <c r="G3419" s="54">
        <f>IF(_imp!$C$3421="","",INDEX(_imp!$J$4:$J$4503,_imp!$C$3421))</f>
        <v/>
      </c>
      <c r="K3419" s="54">
        <f>IF(_imp!$C$3421="","",INDEX(_imp!$K$4:$K$4503,_imp!$C$3421))</f>
        <v/>
      </c>
    </row>
    <row r="3420">
      <c r="A3420" s="54">
        <f>IF(_imp!$C$3422="","",INDEX(_imp!$D$4:$D$4503,_imp!$C$3422))</f>
        <v/>
      </c>
      <c r="B3420" s="54">
        <f>IF(_imp!$C$3422="","",INDEX(_imp!$E$4:$E$4503,_imp!$C$3422))</f>
        <v/>
      </c>
      <c r="C3420" s="54">
        <f>IF(_imp!$C$3422="","",INDEX(_imp!$F$4:$F$4503,_imp!$C$3422))</f>
        <v/>
      </c>
      <c r="D3420" s="54">
        <f>IF(_imp!$C$3422="","",INDEX(_imp!$G$4:$G$4503,_imp!$C$3422))</f>
        <v/>
      </c>
      <c r="E3420" s="54">
        <f>IF(_imp!$C$3422="","",INDEX(_imp!$H$4:$H$4503,_imp!$C$3422))</f>
        <v/>
      </c>
      <c r="F3420" s="54">
        <f>IF(_imp!$C$3422="","",INDEX(_imp!$I$4:$I$4503,_imp!$C$3422))</f>
        <v/>
      </c>
      <c r="G3420" s="54">
        <f>IF(_imp!$C$3422="","",INDEX(_imp!$J$4:$J$4503,_imp!$C$3422))</f>
        <v/>
      </c>
      <c r="K3420" s="54">
        <f>IF(_imp!$C$3422="","",INDEX(_imp!$K$4:$K$4503,_imp!$C$3422))</f>
        <v/>
      </c>
    </row>
    <row r="3421">
      <c r="A3421" s="54">
        <f>IF(_imp!$C$3423="","",INDEX(_imp!$D$4:$D$4503,_imp!$C$3423))</f>
        <v/>
      </c>
      <c r="B3421" s="54">
        <f>IF(_imp!$C$3423="","",INDEX(_imp!$E$4:$E$4503,_imp!$C$3423))</f>
        <v/>
      </c>
      <c r="C3421" s="54">
        <f>IF(_imp!$C$3423="","",INDEX(_imp!$F$4:$F$4503,_imp!$C$3423))</f>
        <v/>
      </c>
      <c r="D3421" s="54">
        <f>IF(_imp!$C$3423="","",INDEX(_imp!$G$4:$G$4503,_imp!$C$3423))</f>
        <v/>
      </c>
      <c r="E3421" s="54">
        <f>IF(_imp!$C$3423="","",INDEX(_imp!$H$4:$H$4503,_imp!$C$3423))</f>
        <v/>
      </c>
      <c r="F3421" s="54">
        <f>IF(_imp!$C$3423="","",INDEX(_imp!$I$4:$I$4503,_imp!$C$3423))</f>
        <v/>
      </c>
      <c r="G3421" s="54">
        <f>IF(_imp!$C$3423="","",INDEX(_imp!$J$4:$J$4503,_imp!$C$3423))</f>
        <v/>
      </c>
      <c r="K3421" s="54">
        <f>IF(_imp!$C$3423="","",INDEX(_imp!$K$4:$K$4503,_imp!$C$3423))</f>
        <v/>
      </c>
    </row>
    <row r="3422">
      <c r="A3422" s="54">
        <f>IF(_imp!$C$3424="","",INDEX(_imp!$D$4:$D$4503,_imp!$C$3424))</f>
        <v/>
      </c>
      <c r="B3422" s="54">
        <f>IF(_imp!$C$3424="","",INDEX(_imp!$E$4:$E$4503,_imp!$C$3424))</f>
        <v/>
      </c>
      <c r="C3422" s="54">
        <f>IF(_imp!$C$3424="","",INDEX(_imp!$F$4:$F$4503,_imp!$C$3424))</f>
        <v/>
      </c>
      <c r="D3422" s="54">
        <f>IF(_imp!$C$3424="","",INDEX(_imp!$G$4:$G$4503,_imp!$C$3424))</f>
        <v/>
      </c>
      <c r="E3422" s="54">
        <f>IF(_imp!$C$3424="","",INDEX(_imp!$H$4:$H$4503,_imp!$C$3424))</f>
        <v/>
      </c>
      <c r="F3422" s="54">
        <f>IF(_imp!$C$3424="","",INDEX(_imp!$I$4:$I$4503,_imp!$C$3424))</f>
        <v/>
      </c>
      <c r="G3422" s="54">
        <f>IF(_imp!$C$3424="","",INDEX(_imp!$J$4:$J$4503,_imp!$C$3424))</f>
        <v/>
      </c>
      <c r="K3422" s="54">
        <f>IF(_imp!$C$3424="","",INDEX(_imp!$K$4:$K$4503,_imp!$C$3424))</f>
        <v/>
      </c>
    </row>
    <row r="3423">
      <c r="A3423" s="54">
        <f>IF(_imp!$C$3425="","",INDEX(_imp!$D$4:$D$4503,_imp!$C$3425))</f>
        <v/>
      </c>
      <c r="B3423" s="54">
        <f>IF(_imp!$C$3425="","",INDEX(_imp!$E$4:$E$4503,_imp!$C$3425))</f>
        <v/>
      </c>
      <c r="C3423" s="54">
        <f>IF(_imp!$C$3425="","",INDEX(_imp!$F$4:$F$4503,_imp!$C$3425))</f>
        <v/>
      </c>
      <c r="D3423" s="54">
        <f>IF(_imp!$C$3425="","",INDEX(_imp!$G$4:$G$4503,_imp!$C$3425))</f>
        <v/>
      </c>
      <c r="E3423" s="54">
        <f>IF(_imp!$C$3425="","",INDEX(_imp!$H$4:$H$4503,_imp!$C$3425))</f>
        <v/>
      </c>
      <c r="F3423" s="54">
        <f>IF(_imp!$C$3425="","",INDEX(_imp!$I$4:$I$4503,_imp!$C$3425))</f>
        <v/>
      </c>
      <c r="G3423" s="54">
        <f>IF(_imp!$C$3425="","",INDEX(_imp!$J$4:$J$4503,_imp!$C$3425))</f>
        <v/>
      </c>
      <c r="K3423" s="54">
        <f>IF(_imp!$C$3425="","",INDEX(_imp!$K$4:$K$4503,_imp!$C$3425))</f>
        <v/>
      </c>
    </row>
    <row r="3424">
      <c r="A3424" s="54">
        <f>IF(_imp!$C$3426="","",INDEX(_imp!$D$4:$D$4503,_imp!$C$3426))</f>
        <v/>
      </c>
      <c r="B3424" s="54">
        <f>IF(_imp!$C$3426="","",INDEX(_imp!$E$4:$E$4503,_imp!$C$3426))</f>
        <v/>
      </c>
      <c r="C3424" s="54">
        <f>IF(_imp!$C$3426="","",INDEX(_imp!$F$4:$F$4503,_imp!$C$3426))</f>
        <v/>
      </c>
      <c r="D3424" s="54">
        <f>IF(_imp!$C$3426="","",INDEX(_imp!$G$4:$G$4503,_imp!$C$3426))</f>
        <v/>
      </c>
      <c r="E3424" s="54">
        <f>IF(_imp!$C$3426="","",INDEX(_imp!$H$4:$H$4503,_imp!$C$3426))</f>
        <v/>
      </c>
      <c r="F3424" s="54">
        <f>IF(_imp!$C$3426="","",INDEX(_imp!$I$4:$I$4503,_imp!$C$3426))</f>
        <v/>
      </c>
      <c r="G3424" s="54">
        <f>IF(_imp!$C$3426="","",INDEX(_imp!$J$4:$J$4503,_imp!$C$3426))</f>
        <v/>
      </c>
      <c r="K3424" s="54">
        <f>IF(_imp!$C$3426="","",INDEX(_imp!$K$4:$K$4503,_imp!$C$3426))</f>
        <v/>
      </c>
    </row>
    <row r="3425">
      <c r="A3425" s="54">
        <f>IF(_imp!$C$3427="","",INDEX(_imp!$D$4:$D$4503,_imp!$C$3427))</f>
        <v/>
      </c>
      <c r="B3425" s="54">
        <f>IF(_imp!$C$3427="","",INDEX(_imp!$E$4:$E$4503,_imp!$C$3427))</f>
        <v/>
      </c>
      <c r="C3425" s="54">
        <f>IF(_imp!$C$3427="","",INDEX(_imp!$F$4:$F$4503,_imp!$C$3427))</f>
        <v/>
      </c>
      <c r="D3425" s="54">
        <f>IF(_imp!$C$3427="","",INDEX(_imp!$G$4:$G$4503,_imp!$C$3427))</f>
        <v/>
      </c>
      <c r="E3425" s="54">
        <f>IF(_imp!$C$3427="","",INDEX(_imp!$H$4:$H$4503,_imp!$C$3427))</f>
        <v/>
      </c>
      <c r="F3425" s="54">
        <f>IF(_imp!$C$3427="","",INDEX(_imp!$I$4:$I$4503,_imp!$C$3427))</f>
        <v/>
      </c>
      <c r="G3425" s="54">
        <f>IF(_imp!$C$3427="","",INDEX(_imp!$J$4:$J$4503,_imp!$C$3427))</f>
        <v/>
      </c>
      <c r="K3425" s="54">
        <f>IF(_imp!$C$3427="","",INDEX(_imp!$K$4:$K$4503,_imp!$C$3427))</f>
        <v/>
      </c>
    </row>
    <row r="3426">
      <c r="A3426" s="54">
        <f>IF(_imp!$C$3428="","",INDEX(_imp!$D$4:$D$4503,_imp!$C$3428))</f>
        <v/>
      </c>
      <c r="B3426" s="54">
        <f>IF(_imp!$C$3428="","",INDEX(_imp!$E$4:$E$4503,_imp!$C$3428))</f>
        <v/>
      </c>
      <c r="C3426" s="54">
        <f>IF(_imp!$C$3428="","",INDEX(_imp!$F$4:$F$4503,_imp!$C$3428))</f>
        <v/>
      </c>
      <c r="D3426" s="54">
        <f>IF(_imp!$C$3428="","",INDEX(_imp!$G$4:$G$4503,_imp!$C$3428))</f>
        <v/>
      </c>
      <c r="E3426" s="54">
        <f>IF(_imp!$C$3428="","",INDEX(_imp!$H$4:$H$4503,_imp!$C$3428))</f>
        <v/>
      </c>
      <c r="F3426" s="54">
        <f>IF(_imp!$C$3428="","",INDEX(_imp!$I$4:$I$4503,_imp!$C$3428))</f>
        <v/>
      </c>
      <c r="G3426" s="54">
        <f>IF(_imp!$C$3428="","",INDEX(_imp!$J$4:$J$4503,_imp!$C$3428))</f>
        <v/>
      </c>
      <c r="K3426" s="54">
        <f>IF(_imp!$C$3428="","",INDEX(_imp!$K$4:$K$4503,_imp!$C$3428))</f>
        <v/>
      </c>
    </row>
    <row r="3427">
      <c r="A3427" s="54">
        <f>IF(_imp!$C$3429="","",INDEX(_imp!$D$4:$D$4503,_imp!$C$3429))</f>
        <v/>
      </c>
      <c r="B3427" s="54">
        <f>IF(_imp!$C$3429="","",INDEX(_imp!$E$4:$E$4503,_imp!$C$3429))</f>
        <v/>
      </c>
      <c r="C3427" s="54">
        <f>IF(_imp!$C$3429="","",INDEX(_imp!$F$4:$F$4503,_imp!$C$3429))</f>
        <v/>
      </c>
      <c r="D3427" s="54">
        <f>IF(_imp!$C$3429="","",INDEX(_imp!$G$4:$G$4503,_imp!$C$3429))</f>
        <v/>
      </c>
      <c r="E3427" s="54">
        <f>IF(_imp!$C$3429="","",INDEX(_imp!$H$4:$H$4503,_imp!$C$3429))</f>
        <v/>
      </c>
      <c r="F3427" s="54">
        <f>IF(_imp!$C$3429="","",INDEX(_imp!$I$4:$I$4503,_imp!$C$3429))</f>
        <v/>
      </c>
      <c r="G3427" s="54">
        <f>IF(_imp!$C$3429="","",INDEX(_imp!$J$4:$J$4503,_imp!$C$3429))</f>
        <v/>
      </c>
      <c r="K3427" s="54">
        <f>IF(_imp!$C$3429="","",INDEX(_imp!$K$4:$K$4503,_imp!$C$3429))</f>
        <v/>
      </c>
    </row>
    <row r="3428">
      <c r="A3428" s="54">
        <f>IF(_imp!$C$3430="","",INDEX(_imp!$D$4:$D$4503,_imp!$C$3430))</f>
        <v/>
      </c>
      <c r="B3428" s="54">
        <f>IF(_imp!$C$3430="","",INDEX(_imp!$E$4:$E$4503,_imp!$C$3430))</f>
        <v/>
      </c>
      <c r="C3428" s="54">
        <f>IF(_imp!$C$3430="","",INDEX(_imp!$F$4:$F$4503,_imp!$C$3430))</f>
        <v/>
      </c>
      <c r="D3428" s="54">
        <f>IF(_imp!$C$3430="","",INDEX(_imp!$G$4:$G$4503,_imp!$C$3430))</f>
        <v/>
      </c>
      <c r="E3428" s="54">
        <f>IF(_imp!$C$3430="","",INDEX(_imp!$H$4:$H$4503,_imp!$C$3430))</f>
        <v/>
      </c>
      <c r="F3428" s="54">
        <f>IF(_imp!$C$3430="","",INDEX(_imp!$I$4:$I$4503,_imp!$C$3430))</f>
        <v/>
      </c>
      <c r="G3428" s="54">
        <f>IF(_imp!$C$3430="","",INDEX(_imp!$J$4:$J$4503,_imp!$C$3430))</f>
        <v/>
      </c>
      <c r="K3428" s="54">
        <f>IF(_imp!$C$3430="","",INDEX(_imp!$K$4:$K$4503,_imp!$C$3430))</f>
        <v/>
      </c>
    </row>
    <row r="3429">
      <c r="A3429" s="54">
        <f>IF(_imp!$C$3431="","",INDEX(_imp!$D$4:$D$4503,_imp!$C$3431))</f>
        <v/>
      </c>
      <c r="B3429" s="54">
        <f>IF(_imp!$C$3431="","",INDEX(_imp!$E$4:$E$4503,_imp!$C$3431))</f>
        <v/>
      </c>
      <c r="C3429" s="54">
        <f>IF(_imp!$C$3431="","",INDEX(_imp!$F$4:$F$4503,_imp!$C$3431))</f>
        <v/>
      </c>
      <c r="D3429" s="54">
        <f>IF(_imp!$C$3431="","",INDEX(_imp!$G$4:$G$4503,_imp!$C$3431))</f>
        <v/>
      </c>
      <c r="E3429" s="54">
        <f>IF(_imp!$C$3431="","",INDEX(_imp!$H$4:$H$4503,_imp!$C$3431))</f>
        <v/>
      </c>
      <c r="F3429" s="54">
        <f>IF(_imp!$C$3431="","",INDEX(_imp!$I$4:$I$4503,_imp!$C$3431))</f>
        <v/>
      </c>
      <c r="G3429" s="54">
        <f>IF(_imp!$C$3431="","",INDEX(_imp!$J$4:$J$4503,_imp!$C$3431))</f>
        <v/>
      </c>
      <c r="K3429" s="54">
        <f>IF(_imp!$C$3431="","",INDEX(_imp!$K$4:$K$4503,_imp!$C$3431))</f>
        <v/>
      </c>
    </row>
    <row r="3430">
      <c r="A3430" s="54">
        <f>IF(_imp!$C$3432="","",INDEX(_imp!$D$4:$D$4503,_imp!$C$3432))</f>
        <v/>
      </c>
      <c r="B3430" s="54">
        <f>IF(_imp!$C$3432="","",INDEX(_imp!$E$4:$E$4503,_imp!$C$3432))</f>
        <v/>
      </c>
      <c r="C3430" s="54">
        <f>IF(_imp!$C$3432="","",INDEX(_imp!$F$4:$F$4503,_imp!$C$3432))</f>
        <v/>
      </c>
      <c r="D3430" s="54">
        <f>IF(_imp!$C$3432="","",INDEX(_imp!$G$4:$G$4503,_imp!$C$3432))</f>
        <v/>
      </c>
      <c r="E3430" s="54">
        <f>IF(_imp!$C$3432="","",INDEX(_imp!$H$4:$H$4503,_imp!$C$3432))</f>
        <v/>
      </c>
      <c r="F3430" s="54">
        <f>IF(_imp!$C$3432="","",INDEX(_imp!$I$4:$I$4503,_imp!$C$3432))</f>
        <v/>
      </c>
      <c r="G3430" s="54">
        <f>IF(_imp!$C$3432="","",INDEX(_imp!$J$4:$J$4503,_imp!$C$3432))</f>
        <v/>
      </c>
      <c r="K3430" s="54">
        <f>IF(_imp!$C$3432="","",INDEX(_imp!$K$4:$K$4503,_imp!$C$3432))</f>
        <v/>
      </c>
    </row>
    <row r="3431">
      <c r="A3431" s="54">
        <f>IF(_imp!$C$3433="","",INDEX(_imp!$D$4:$D$4503,_imp!$C$3433))</f>
        <v/>
      </c>
      <c r="B3431" s="54">
        <f>IF(_imp!$C$3433="","",INDEX(_imp!$E$4:$E$4503,_imp!$C$3433))</f>
        <v/>
      </c>
      <c r="C3431" s="54">
        <f>IF(_imp!$C$3433="","",INDEX(_imp!$F$4:$F$4503,_imp!$C$3433))</f>
        <v/>
      </c>
      <c r="D3431" s="54">
        <f>IF(_imp!$C$3433="","",INDEX(_imp!$G$4:$G$4503,_imp!$C$3433))</f>
        <v/>
      </c>
      <c r="E3431" s="54">
        <f>IF(_imp!$C$3433="","",INDEX(_imp!$H$4:$H$4503,_imp!$C$3433))</f>
        <v/>
      </c>
      <c r="F3431" s="54">
        <f>IF(_imp!$C$3433="","",INDEX(_imp!$I$4:$I$4503,_imp!$C$3433))</f>
        <v/>
      </c>
      <c r="G3431" s="54">
        <f>IF(_imp!$C$3433="","",INDEX(_imp!$J$4:$J$4503,_imp!$C$3433))</f>
        <v/>
      </c>
      <c r="K3431" s="54">
        <f>IF(_imp!$C$3433="","",INDEX(_imp!$K$4:$K$4503,_imp!$C$3433))</f>
        <v/>
      </c>
    </row>
    <row r="3432">
      <c r="A3432" s="54">
        <f>IF(_imp!$C$3434="","",INDEX(_imp!$D$4:$D$4503,_imp!$C$3434))</f>
        <v/>
      </c>
      <c r="B3432" s="54">
        <f>IF(_imp!$C$3434="","",INDEX(_imp!$E$4:$E$4503,_imp!$C$3434))</f>
        <v/>
      </c>
      <c r="C3432" s="54">
        <f>IF(_imp!$C$3434="","",INDEX(_imp!$F$4:$F$4503,_imp!$C$3434))</f>
        <v/>
      </c>
      <c r="D3432" s="54">
        <f>IF(_imp!$C$3434="","",INDEX(_imp!$G$4:$G$4503,_imp!$C$3434))</f>
        <v/>
      </c>
      <c r="E3432" s="54">
        <f>IF(_imp!$C$3434="","",INDEX(_imp!$H$4:$H$4503,_imp!$C$3434))</f>
        <v/>
      </c>
      <c r="F3432" s="54">
        <f>IF(_imp!$C$3434="","",INDEX(_imp!$I$4:$I$4503,_imp!$C$3434))</f>
        <v/>
      </c>
      <c r="G3432" s="54">
        <f>IF(_imp!$C$3434="","",INDEX(_imp!$J$4:$J$4503,_imp!$C$3434))</f>
        <v/>
      </c>
      <c r="K3432" s="54">
        <f>IF(_imp!$C$3434="","",INDEX(_imp!$K$4:$K$4503,_imp!$C$3434))</f>
        <v/>
      </c>
    </row>
    <row r="3433">
      <c r="A3433" s="54">
        <f>IF(_imp!$C$3435="","",INDEX(_imp!$D$4:$D$4503,_imp!$C$3435))</f>
        <v/>
      </c>
      <c r="B3433" s="54">
        <f>IF(_imp!$C$3435="","",INDEX(_imp!$E$4:$E$4503,_imp!$C$3435))</f>
        <v/>
      </c>
      <c r="C3433" s="54">
        <f>IF(_imp!$C$3435="","",INDEX(_imp!$F$4:$F$4503,_imp!$C$3435))</f>
        <v/>
      </c>
      <c r="D3433" s="54">
        <f>IF(_imp!$C$3435="","",INDEX(_imp!$G$4:$G$4503,_imp!$C$3435))</f>
        <v/>
      </c>
      <c r="E3433" s="54">
        <f>IF(_imp!$C$3435="","",INDEX(_imp!$H$4:$H$4503,_imp!$C$3435))</f>
        <v/>
      </c>
      <c r="F3433" s="54">
        <f>IF(_imp!$C$3435="","",INDEX(_imp!$I$4:$I$4503,_imp!$C$3435))</f>
        <v/>
      </c>
      <c r="G3433" s="54">
        <f>IF(_imp!$C$3435="","",INDEX(_imp!$J$4:$J$4503,_imp!$C$3435))</f>
        <v/>
      </c>
      <c r="K3433" s="54">
        <f>IF(_imp!$C$3435="","",INDEX(_imp!$K$4:$K$4503,_imp!$C$3435))</f>
        <v/>
      </c>
    </row>
    <row r="3434">
      <c r="A3434" s="54">
        <f>IF(_imp!$C$3436="","",INDEX(_imp!$D$4:$D$4503,_imp!$C$3436))</f>
        <v/>
      </c>
      <c r="B3434" s="54">
        <f>IF(_imp!$C$3436="","",INDEX(_imp!$E$4:$E$4503,_imp!$C$3436))</f>
        <v/>
      </c>
      <c r="C3434" s="54">
        <f>IF(_imp!$C$3436="","",INDEX(_imp!$F$4:$F$4503,_imp!$C$3436))</f>
        <v/>
      </c>
      <c r="D3434" s="54">
        <f>IF(_imp!$C$3436="","",INDEX(_imp!$G$4:$G$4503,_imp!$C$3436))</f>
        <v/>
      </c>
      <c r="E3434" s="54">
        <f>IF(_imp!$C$3436="","",INDEX(_imp!$H$4:$H$4503,_imp!$C$3436))</f>
        <v/>
      </c>
      <c r="F3434" s="54">
        <f>IF(_imp!$C$3436="","",INDEX(_imp!$I$4:$I$4503,_imp!$C$3436))</f>
        <v/>
      </c>
      <c r="G3434" s="54">
        <f>IF(_imp!$C$3436="","",INDEX(_imp!$J$4:$J$4503,_imp!$C$3436))</f>
        <v/>
      </c>
      <c r="K3434" s="54">
        <f>IF(_imp!$C$3436="","",INDEX(_imp!$K$4:$K$4503,_imp!$C$3436))</f>
        <v/>
      </c>
    </row>
    <row r="3435">
      <c r="A3435" s="54">
        <f>IF(_imp!$C$3437="","",INDEX(_imp!$D$4:$D$4503,_imp!$C$3437))</f>
        <v/>
      </c>
      <c r="B3435" s="54">
        <f>IF(_imp!$C$3437="","",INDEX(_imp!$E$4:$E$4503,_imp!$C$3437))</f>
        <v/>
      </c>
      <c r="C3435" s="54">
        <f>IF(_imp!$C$3437="","",INDEX(_imp!$F$4:$F$4503,_imp!$C$3437))</f>
        <v/>
      </c>
      <c r="D3435" s="54">
        <f>IF(_imp!$C$3437="","",INDEX(_imp!$G$4:$G$4503,_imp!$C$3437))</f>
        <v/>
      </c>
      <c r="E3435" s="54">
        <f>IF(_imp!$C$3437="","",INDEX(_imp!$H$4:$H$4503,_imp!$C$3437))</f>
        <v/>
      </c>
      <c r="F3435" s="54">
        <f>IF(_imp!$C$3437="","",INDEX(_imp!$I$4:$I$4503,_imp!$C$3437))</f>
        <v/>
      </c>
      <c r="G3435" s="54">
        <f>IF(_imp!$C$3437="","",INDEX(_imp!$J$4:$J$4503,_imp!$C$3437))</f>
        <v/>
      </c>
      <c r="K3435" s="54">
        <f>IF(_imp!$C$3437="","",INDEX(_imp!$K$4:$K$4503,_imp!$C$3437))</f>
        <v/>
      </c>
    </row>
    <row r="3436">
      <c r="A3436" s="54">
        <f>IF(_imp!$C$3438="","",INDEX(_imp!$D$4:$D$4503,_imp!$C$3438))</f>
        <v/>
      </c>
      <c r="B3436" s="54">
        <f>IF(_imp!$C$3438="","",INDEX(_imp!$E$4:$E$4503,_imp!$C$3438))</f>
        <v/>
      </c>
      <c r="C3436" s="54">
        <f>IF(_imp!$C$3438="","",INDEX(_imp!$F$4:$F$4503,_imp!$C$3438))</f>
        <v/>
      </c>
      <c r="D3436" s="54">
        <f>IF(_imp!$C$3438="","",INDEX(_imp!$G$4:$G$4503,_imp!$C$3438))</f>
        <v/>
      </c>
      <c r="E3436" s="54">
        <f>IF(_imp!$C$3438="","",INDEX(_imp!$H$4:$H$4503,_imp!$C$3438))</f>
        <v/>
      </c>
      <c r="F3436" s="54">
        <f>IF(_imp!$C$3438="","",INDEX(_imp!$I$4:$I$4503,_imp!$C$3438))</f>
        <v/>
      </c>
      <c r="G3436" s="54">
        <f>IF(_imp!$C$3438="","",INDEX(_imp!$J$4:$J$4503,_imp!$C$3438))</f>
        <v/>
      </c>
      <c r="K3436" s="54">
        <f>IF(_imp!$C$3438="","",INDEX(_imp!$K$4:$K$4503,_imp!$C$3438))</f>
        <v/>
      </c>
    </row>
    <row r="3437">
      <c r="A3437" s="54">
        <f>IF(_imp!$C$3439="","",INDEX(_imp!$D$4:$D$4503,_imp!$C$3439))</f>
        <v/>
      </c>
      <c r="B3437" s="54">
        <f>IF(_imp!$C$3439="","",INDEX(_imp!$E$4:$E$4503,_imp!$C$3439))</f>
        <v/>
      </c>
      <c r="C3437" s="54">
        <f>IF(_imp!$C$3439="","",INDEX(_imp!$F$4:$F$4503,_imp!$C$3439))</f>
        <v/>
      </c>
      <c r="D3437" s="54">
        <f>IF(_imp!$C$3439="","",INDEX(_imp!$G$4:$G$4503,_imp!$C$3439))</f>
        <v/>
      </c>
      <c r="E3437" s="54">
        <f>IF(_imp!$C$3439="","",INDEX(_imp!$H$4:$H$4503,_imp!$C$3439))</f>
        <v/>
      </c>
      <c r="F3437" s="54">
        <f>IF(_imp!$C$3439="","",INDEX(_imp!$I$4:$I$4503,_imp!$C$3439))</f>
        <v/>
      </c>
      <c r="G3437" s="54">
        <f>IF(_imp!$C$3439="","",INDEX(_imp!$J$4:$J$4503,_imp!$C$3439))</f>
        <v/>
      </c>
      <c r="K3437" s="54">
        <f>IF(_imp!$C$3439="","",INDEX(_imp!$K$4:$K$4503,_imp!$C$3439))</f>
        <v/>
      </c>
    </row>
    <row r="3438">
      <c r="A3438" s="54">
        <f>IF(_imp!$C$3440="","",INDEX(_imp!$D$4:$D$4503,_imp!$C$3440))</f>
        <v/>
      </c>
      <c r="B3438" s="54">
        <f>IF(_imp!$C$3440="","",INDEX(_imp!$E$4:$E$4503,_imp!$C$3440))</f>
        <v/>
      </c>
      <c r="C3438" s="54">
        <f>IF(_imp!$C$3440="","",INDEX(_imp!$F$4:$F$4503,_imp!$C$3440))</f>
        <v/>
      </c>
      <c r="D3438" s="54">
        <f>IF(_imp!$C$3440="","",INDEX(_imp!$G$4:$G$4503,_imp!$C$3440))</f>
        <v/>
      </c>
      <c r="E3438" s="54">
        <f>IF(_imp!$C$3440="","",INDEX(_imp!$H$4:$H$4503,_imp!$C$3440))</f>
        <v/>
      </c>
      <c r="F3438" s="54">
        <f>IF(_imp!$C$3440="","",INDEX(_imp!$I$4:$I$4503,_imp!$C$3440))</f>
        <v/>
      </c>
      <c r="G3438" s="54">
        <f>IF(_imp!$C$3440="","",INDEX(_imp!$J$4:$J$4503,_imp!$C$3440))</f>
        <v/>
      </c>
      <c r="K3438" s="54">
        <f>IF(_imp!$C$3440="","",INDEX(_imp!$K$4:$K$4503,_imp!$C$3440))</f>
        <v/>
      </c>
    </row>
    <row r="3439">
      <c r="A3439" s="54">
        <f>IF(_imp!$C$3441="","",INDEX(_imp!$D$4:$D$4503,_imp!$C$3441))</f>
        <v/>
      </c>
      <c r="B3439" s="54">
        <f>IF(_imp!$C$3441="","",INDEX(_imp!$E$4:$E$4503,_imp!$C$3441))</f>
        <v/>
      </c>
      <c r="C3439" s="54">
        <f>IF(_imp!$C$3441="","",INDEX(_imp!$F$4:$F$4503,_imp!$C$3441))</f>
        <v/>
      </c>
      <c r="D3439" s="54">
        <f>IF(_imp!$C$3441="","",INDEX(_imp!$G$4:$G$4503,_imp!$C$3441))</f>
        <v/>
      </c>
      <c r="E3439" s="54">
        <f>IF(_imp!$C$3441="","",INDEX(_imp!$H$4:$H$4503,_imp!$C$3441))</f>
        <v/>
      </c>
      <c r="F3439" s="54">
        <f>IF(_imp!$C$3441="","",INDEX(_imp!$I$4:$I$4503,_imp!$C$3441))</f>
        <v/>
      </c>
      <c r="G3439" s="54">
        <f>IF(_imp!$C$3441="","",INDEX(_imp!$J$4:$J$4503,_imp!$C$3441))</f>
        <v/>
      </c>
      <c r="K3439" s="54">
        <f>IF(_imp!$C$3441="","",INDEX(_imp!$K$4:$K$4503,_imp!$C$3441))</f>
        <v/>
      </c>
    </row>
    <row r="3440">
      <c r="A3440" s="54">
        <f>IF(_imp!$C$3442="","",INDEX(_imp!$D$4:$D$4503,_imp!$C$3442))</f>
        <v/>
      </c>
      <c r="B3440" s="54">
        <f>IF(_imp!$C$3442="","",INDEX(_imp!$E$4:$E$4503,_imp!$C$3442))</f>
        <v/>
      </c>
      <c r="C3440" s="54">
        <f>IF(_imp!$C$3442="","",INDEX(_imp!$F$4:$F$4503,_imp!$C$3442))</f>
        <v/>
      </c>
      <c r="D3440" s="54">
        <f>IF(_imp!$C$3442="","",INDEX(_imp!$G$4:$G$4503,_imp!$C$3442))</f>
        <v/>
      </c>
      <c r="E3440" s="54">
        <f>IF(_imp!$C$3442="","",INDEX(_imp!$H$4:$H$4503,_imp!$C$3442))</f>
        <v/>
      </c>
      <c r="F3440" s="54">
        <f>IF(_imp!$C$3442="","",INDEX(_imp!$I$4:$I$4503,_imp!$C$3442))</f>
        <v/>
      </c>
      <c r="G3440" s="54">
        <f>IF(_imp!$C$3442="","",INDEX(_imp!$J$4:$J$4503,_imp!$C$3442))</f>
        <v/>
      </c>
      <c r="K3440" s="54">
        <f>IF(_imp!$C$3442="","",INDEX(_imp!$K$4:$K$4503,_imp!$C$3442))</f>
        <v/>
      </c>
    </row>
    <row r="3441">
      <c r="A3441" s="54">
        <f>IF(_imp!$C$3443="","",INDEX(_imp!$D$4:$D$4503,_imp!$C$3443))</f>
        <v/>
      </c>
      <c r="B3441" s="54">
        <f>IF(_imp!$C$3443="","",INDEX(_imp!$E$4:$E$4503,_imp!$C$3443))</f>
        <v/>
      </c>
      <c r="C3441" s="54">
        <f>IF(_imp!$C$3443="","",INDEX(_imp!$F$4:$F$4503,_imp!$C$3443))</f>
        <v/>
      </c>
      <c r="D3441" s="54">
        <f>IF(_imp!$C$3443="","",INDEX(_imp!$G$4:$G$4503,_imp!$C$3443))</f>
        <v/>
      </c>
      <c r="E3441" s="54">
        <f>IF(_imp!$C$3443="","",INDEX(_imp!$H$4:$H$4503,_imp!$C$3443))</f>
        <v/>
      </c>
      <c r="F3441" s="54">
        <f>IF(_imp!$C$3443="","",INDEX(_imp!$I$4:$I$4503,_imp!$C$3443))</f>
        <v/>
      </c>
      <c r="G3441" s="54">
        <f>IF(_imp!$C$3443="","",INDEX(_imp!$J$4:$J$4503,_imp!$C$3443))</f>
        <v/>
      </c>
      <c r="K3441" s="54">
        <f>IF(_imp!$C$3443="","",INDEX(_imp!$K$4:$K$4503,_imp!$C$3443))</f>
        <v/>
      </c>
    </row>
    <row r="3442">
      <c r="A3442" s="54">
        <f>IF(_imp!$C$3444="","",INDEX(_imp!$D$4:$D$4503,_imp!$C$3444))</f>
        <v/>
      </c>
      <c r="B3442" s="54">
        <f>IF(_imp!$C$3444="","",INDEX(_imp!$E$4:$E$4503,_imp!$C$3444))</f>
        <v/>
      </c>
      <c r="C3442" s="54">
        <f>IF(_imp!$C$3444="","",INDEX(_imp!$F$4:$F$4503,_imp!$C$3444))</f>
        <v/>
      </c>
      <c r="D3442" s="54">
        <f>IF(_imp!$C$3444="","",INDEX(_imp!$G$4:$G$4503,_imp!$C$3444))</f>
        <v/>
      </c>
      <c r="E3442" s="54">
        <f>IF(_imp!$C$3444="","",INDEX(_imp!$H$4:$H$4503,_imp!$C$3444))</f>
        <v/>
      </c>
      <c r="F3442" s="54">
        <f>IF(_imp!$C$3444="","",INDEX(_imp!$I$4:$I$4503,_imp!$C$3444))</f>
        <v/>
      </c>
      <c r="G3442" s="54">
        <f>IF(_imp!$C$3444="","",INDEX(_imp!$J$4:$J$4503,_imp!$C$3444))</f>
        <v/>
      </c>
      <c r="K3442" s="54">
        <f>IF(_imp!$C$3444="","",INDEX(_imp!$K$4:$K$4503,_imp!$C$3444))</f>
        <v/>
      </c>
    </row>
    <row r="3443">
      <c r="A3443" s="54">
        <f>IF(_imp!$C$3445="","",INDEX(_imp!$D$4:$D$4503,_imp!$C$3445))</f>
        <v/>
      </c>
      <c r="B3443" s="54">
        <f>IF(_imp!$C$3445="","",INDEX(_imp!$E$4:$E$4503,_imp!$C$3445))</f>
        <v/>
      </c>
      <c r="C3443" s="54">
        <f>IF(_imp!$C$3445="","",INDEX(_imp!$F$4:$F$4503,_imp!$C$3445))</f>
        <v/>
      </c>
      <c r="D3443" s="54">
        <f>IF(_imp!$C$3445="","",INDEX(_imp!$G$4:$G$4503,_imp!$C$3445))</f>
        <v/>
      </c>
      <c r="E3443" s="54">
        <f>IF(_imp!$C$3445="","",INDEX(_imp!$H$4:$H$4503,_imp!$C$3445))</f>
        <v/>
      </c>
      <c r="F3443" s="54">
        <f>IF(_imp!$C$3445="","",INDEX(_imp!$I$4:$I$4503,_imp!$C$3445))</f>
        <v/>
      </c>
      <c r="G3443" s="54">
        <f>IF(_imp!$C$3445="","",INDEX(_imp!$J$4:$J$4503,_imp!$C$3445))</f>
        <v/>
      </c>
      <c r="K3443" s="54">
        <f>IF(_imp!$C$3445="","",INDEX(_imp!$K$4:$K$4503,_imp!$C$3445))</f>
        <v/>
      </c>
    </row>
    <row r="3444">
      <c r="A3444" s="54">
        <f>IF(_imp!$C$3446="","",INDEX(_imp!$D$4:$D$4503,_imp!$C$3446))</f>
        <v/>
      </c>
      <c r="B3444" s="54">
        <f>IF(_imp!$C$3446="","",INDEX(_imp!$E$4:$E$4503,_imp!$C$3446))</f>
        <v/>
      </c>
      <c r="C3444" s="54">
        <f>IF(_imp!$C$3446="","",INDEX(_imp!$F$4:$F$4503,_imp!$C$3446))</f>
        <v/>
      </c>
      <c r="D3444" s="54">
        <f>IF(_imp!$C$3446="","",INDEX(_imp!$G$4:$G$4503,_imp!$C$3446))</f>
        <v/>
      </c>
      <c r="E3444" s="54">
        <f>IF(_imp!$C$3446="","",INDEX(_imp!$H$4:$H$4503,_imp!$C$3446))</f>
        <v/>
      </c>
      <c r="F3444" s="54">
        <f>IF(_imp!$C$3446="","",INDEX(_imp!$I$4:$I$4503,_imp!$C$3446))</f>
        <v/>
      </c>
      <c r="G3444" s="54">
        <f>IF(_imp!$C$3446="","",INDEX(_imp!$J$4:$J$4503,_imp!$C$3446))</f>
        <v/>
      </c>
      <c r="K3444" s="54">
        <f>IF(_imp!$C$3446="","",INDEX(_imp!$K$4:$K$4503,_imp!$C$3446))</f>
        <v/>
      </c>
    </row>
    <row r="3445">
      <c r="A3445" s="54">
        <f>IF(_imp!$C$3447="","",INDEX(_imp!$D$4:$D$4503,_imp!$C$3447))</f>
        <v/>
      </c>
      <c r="B3445" s="54">
        <f>IF(_imp!$C$3447="","",INDEX(_imp!$E$4:$E$4503,_imp!$C$3447))</f>
        <v/>
      </c>
      <c r="C3445" s="54">
        <f>IF(_imp!$C$3447="","",INDEX(_imp!$F$4:$F$4503,_imp!$C$3447))</f>
        <v/>
      </c>
      <c r="D3445" s="54">
        <f>IF(_imp!$C$3447="","",INDEX(_imp!$G$4:$G$4503,_imp!$C$3447))</f>
        <v/>
      </c>
      <c r="E3445" s="54">
        <f>IF(_imp!$C$3447="","",INDEX(_imp!$H$4:$H$4503,_imp!$C$3447))</f>
        <v/>
      </c>
      <c r="F3445" s="54">
        <f>IF(_imp!$C$3447="","",INDEX(_imp!$I$4:$I$4503,_imp!$C$3447))</f>
        <v/>
      </c>
      <c r="G3445" s="54">
        <f>IF(_imp!$C$3447="","",INDEX(_imp!$J$4:$J$4503,_imp!$C$3447))</f>
        <v/>
      </c>
      <c r="K3445" s="54">
        <f>IF(_imp!$C$3447="","",INDEX(_imp!$K$4:$K$4503,_imp!$C$3447))</f>
        <v/>
      </c>
    </row>
    <row r="3446">
      <c r="A3446" s="54">
        <f>IF(_imp!$C$3448="","",INDEX(_imp!$D$4:$D$4503,_imp!$C$3448))</f>
        <v/>
      </c>
      <c r="B3446" s="54">
        <f>IF(_imp!$C$3448="","",INDEX(_imp!$E$4:$E$4503,_imp!$C$3448))</f>
        <v/>
      </c>
      <c r="C3446" s="54">
        <f>IF(_imp!$C$3448="","",INDEX(_imp!$F$4:$F$4503,_imp!$C$3448))</f>
        <v/>
      </c>
      <c r="D3446" s="54">
        <f>IF(_imp!$C$3448="","",INDEX(_imp!$G$4:$G$4503,_imp!$C$3448))</f>
        <v/>
      </c>
      <c r="E3446" s="54">
        <f>IF(_imp!$C$3448="","",INDEX(_imp!$H$4:$H$4503,_imp!$C$3448))</f>
        <v/>
      </c>
      <c r="F3446" s="54">
        <f>IF(_imp!$C$3448="","",INDEX(_imp!$I$4:$I$4503,_imp!$C$3448))</f>
        <v/>
      </c>
      <c r="G3446" s="54">
        <f>IF(_imp!$C$3448="","",INDEX(_imp!$J$4:$J$4503,_imp!$C$3448))</f>
        <v/>
      </c>
      <c r="K3446" s="54">
        <f>IF(_imp!$C$3448="","",INDEX(_imp!$K$4:$K$4503,_imp!$C$3448))</f>
        <v/>
      </c>
    </row>
    <row r="3447">
      <c r="A3447" s="54">
        <f>IF(_imp!$C$3449="","",INDEX(_imp!$D$4:$D$4503,_imp!$C$3449))</f>
        <v/>
      </c>
      <c r="B3447" s="54">
        <f>IF(_imp!$C$3449="","",INDEX(_imp!$E$4:$E$4503,_imp!$C$3449))</f>
        <v/>
      </c>
      <c r="C3447" s="54">
        <f>IF(_imp!$C$3449="","",INDEX(_imp!$F$4:$F$4503,_imp!$C$3449))</f>
        <v/>
      </c>
      <c r="D3447" s="54">
        <f>IF(_imp!$C$3449="","",INDEX(_imp!$G$4:$G$4503,_imp!$C$3449))</f>
        <v/>
      </c>
      <c r="E3447" s="54">
        <f>IF(_imp!$C$3449="","",INDEX(_imp!$H$4:$H$4503,_imp!$C$3449))</f>
        <v/>
      </c>
      <c r="F3447" s="54">
        <f>IF(_imp!$C$3449="","",INDEX(_imp!$I$4:$I$4503,_imp!$C$3449))</f>
        <v/>
      </c>
      <c r="G3447" s="54">
        <f>IF(_imp!$C$3449="","",INDEX(_imp!$J$4:$J$4503,_imp!$C$3449))</f>
        <v/>
      </c>
      <c r="K3447" s="54">
        <f>IF(_imp!$C$3449="","",INDEX(_imp!$K$4:$K$4503,_imp!$C$3449))</f>
        <v/>
      </c>
    </row>
    <row r="3448">
      <c r="A3448" s="54">
        <f>IF(_imp!$C$3450="","",INDEX(_imp!$D$4:$D$4503,_imp!$C$3450))</f>
        <v/>
      </c>
      <c r="B3448" s="54">
        <f>IF(_imp!$C$3450="","",INDEX(_imp!$E$4:$E$4503,_imp!$C$3450))</f>
        <v/>
      </c>
      <c r="C3448" s="54">
        <f>IF(_imp!$C$3450="","",INDEX(_imp!$F$4:$F$4503,_imp!$C$3450))</f>
        <v/>
      </c>
      <c r="D3448" s="54">
        <f>IF(_imp!$C$3450="","",INDEX(_imp!$G$4:$G$4503,_imp!$C$3450))</f>
        <v/>
      </c>
      <c r="E3448" s="54">
        <f>IF(_imp!$C$3450="","",INDEX(_imp!$H$4:$H$4503,_imp!$C$3450))</f>
        <v/>
      </c>
      <c r="F3448" s="54">
        <f>IF(_imp!$C$3450="","",INDEX(_imp!$I$4:$I$4503,_imp!$C$3450))</f>
        <v/>
      </c>
      <c r="G3448" s="54">
        <f>IF(_imp!$C$3450="","",INDEX(_imp!$J$4:$J$4503,_imp!$C$3450))</f>
        <v/>
      </c>
      <c r="K3448" s="54">
        <f>IF(_imp!$C$3450="","",INDEX(_imp!$K$4:$K$4503,_imp!$C$3450))</f>
        <v/>
      </c>
    </row>
    <row r="3449">
      <c r="A3449" s="54">
        <f>IF(_imp!$C$3451="","",INDEX(_imp!$D$4:$D$4503,_imp!$C$3451))</f>
        <v/>
      </c>
      <c r="B3449" s="54">
        <f>IF(_imp!$C$3451="","",INDEX(_imp!$E$4:$E$4503,_imp!$C$3451))</f>
        <v/>
      </c>
      <c r="C3449" s="54">
        <f>IF(_imp!$C$3451="","",INDEX(_imp!$F$4:$F$4503,_imp!$C$3451))</f>
        <v/>
      </c>
      <c r="D3449" s="54">
        <f>IF(_imp!$C$3451="","",INDEX(_imp!$G$4:$G$4503,_imp!$C$3451))</f>
        <v/>
      </c>
      <c r="E3449" s="54">
        <f>IF(_imp!$C$3451="","",INDEX(_imp!$H$4:$H$4503,_imp!$C$3451))</f>
        <v/>
      </c>
      <c r="F3449" s="54">
        <f>IF(_imp!$C$3451="","",INDEX(_imp!$I$4:$I$4503,_imp!$C$3451))</f>
        <v/>
      </c>
      <c r="G3449" s="54">
        <f>IF(_imp!$C$3451="","",INDEX(_imp!$J$4:$J$4503,_imp!$C$3451))</f>
        <v/>
      </c>
      <c r="K3449" s="54">
        <f>IF(_imp!$C$3451="","",INDEX(_imp!$K$4:$K$4503,_imp!$C$3451))</f>
        <v/>
      </c>
    </row>
    <row r="3450">
      <c r="A3450" s="54">
        <f>IF(_imp!$C$3452="","",INDEX(_imp!$D$4:$D$4503,_imp!$C$3452))</f>
        <v/>
      </c>
      <c r="B3450" s="54">
        <f>IF(_imp!$C$3452="","",INDEX(_imp!$E$4:$E$4503,_imp!$C$3452))</f>
        <v/>
      </c>
      <c r="C3450" s="54">
        <f>IF(_imp!$C$3452="","",INDEX(_imp!$F$4:$F$4503,_imp!$C$3452))</f>
        <v/>
      </c>
      <c r="D3450" s="54">
        <f>IF(_imp!$C$3452="","",INDEX(_imp!$G$4:$G$4503,_imp!$C$3452))</f>
        <v/>
      </c>
      <c r="E3450" s="54">
        <f>IF(_imp!$C$3452="","",INDEX(_imp!$H$4:$H$4503,_imp!$C$3452))</f>
        <v/>
      </c>
      <c r="F3450" s="54">
        <f>IF(_imp!$C$3452="","",INDEX(_imp!$I$4:$I$4503,_imp!$C$3452))</f>
        <v/>
      </c>
      <c r="G3450" s="54">
        <f>IF(_imp!$C$3452="","",INDEX(_imp!$J$4:$J$4503,_imp!$C$3452))</f>
        <v/>
      </c>
      <c r="K3450" s="54">
        <f>IF(_imp!$C$3452="","",INDEX(_imp!$K$4:$K$4503,_imp!$C$3452))</f>
        <v/>
      </c>
    </row>
    <row r="3451">
      <c r="A3451" s="54">
        <f>IF(_imp!$C$3453="","",INDEX(_imp!$D$4:$D$4503,_imp!$C$3453))</f>
        <v/>
      </c>
      <c r="B3451" s="54">
        <f>IF(_imp!$C$3453="","",INDEX(_imp!$E$4:$E$4503,_imp!$C$3453))</f>
        <v/>
      </c>
      <c r="C3451" s="54">
        <f>IF(_imp!$C$3453="","",INDEX(_imp!$F$4:$F$4503,_imp!$C$3453))</f>
        <v/>
      </c>
      <c r="D3451" s="54">
        <f>IF(_imp!$C$3453="","",INDEX(_imp!$G$4:$G$4503,_imp!$C$3453))</f>
        <v/>
      </c>
      <c r="E3451" s="54">
        <f>IF(_imp!$C$3453="","",INDEX(_imp!$H$4:$H$4503,_imp!$C$3453))</f>
        <v/>
      </c>
      <c r="F3451" s="54">
        <f>IF(_imp!$C$3453="","",INDEX(_imp!$I$4:$I$4503,_imp!$C$3453))</f>
        <v/>
      </c>
      <c r="G3451" s="54">
        <f>IF(_imp!$C$3453="","",INDEX(_imp!$J$4:$J$4503,_imp!$C$3453))</f>
        <v/>
      </c>
      <c r="K3451" s="54">
        <f>IF(_imp!$C$3453="","",INDEX(_imp!$K$4:$K$4503,_imp!$C$3453))</f>
        <v/>
      </c>
    </row>
    <row r="3452">
      <c r="A3452" s="54">
        <f>IF(_imp!$C$3454="","",INDEX(_imp!$D$4:$D$4503,_imp!$C$3454))</f>
        <v/>
      </c>
      <c r="B3452" s="54">
        <f>IF(_imp!$C$3454="","",INDEX(_imp!$E$4:$E$4503,_imp!$C$3454))</f>
        <v/>
      </c>
      <c r="C3452" s="54">
        <f>IF(_imp!$C$3454="","",INDEX(_imp!$F$4:$F$4503,_imp!$C$3454))</f>
        <v/>
      </c>
      <c r="D3452" s="54">
        <f>IF(_imp!$C$3454="","",INDEX(_imp!$G$4:$G$4503,_imp!$C$3454))</f>
        <v/>
      </c>
      <c r="E3452" s="54">
        <f>IF(_imp!$C$3454="","",INDEX(_imp!$H$4:$H$4503,_imp!$C$3454))</f>
        <v/>
      </c>
      <c r="F3452" s="54">
        <f>IF(_imp!$C$3454="","",INDEX(_imp!$I$4:$I$4503,_imp!$C$3454))</f>
        <v/>
      </c>
      <c r="G3452" s="54">
        <f>IF(_imp!$C$3454="","",INDEX(_imp!$J$4:$J$4503,_imp!$C$3454))</f>
        <v/>
      </c>
      <c r="K3452" s="54">
        <f>IF(_imp!$C$3454="","",INDEX(_imp!$K$4:$K$4503,_imp!$C$3454))</f>
        <v/>
      </c>
    </row>
    <row r="3453">
      <c r="A3453" s="54">
        <f>IF(_imp!$C$3455="","",INDEX(_imp!$D$4:$D$4503,_imp!$C$3455))</f>
        <v/>
      </c>
      <c r="B3453" s="54">
        <f>IF(_imp!$C$3455="","",INDEX(_imp!$E$4:$E$4503,_imp!$C$3455))</f>
        <v/>
      </c>
      <c r="C3453" s="54">
        <f>IF(_imp!$C$3455="","",INDEX(_imp!$F$4:$F$4503,_imp!$C$3455))</f>
        <v/>
      </c>
      <c r="D3453" s="54">
        <f>IF(_imp!$C$3455="","",INDEX(_imp!$G$4:$G$4503,_imp!$C$3455))</f>
        <v/>
      </c>
      <c r="E3453" s="54">
        <f>IF(_imp!$C$3455="","",INDEX(_imp!$H$4:$H$4503,_imp!$C$3455))</f>
        <v/>
      </c>
      <c r="F3453" s="54">
        <f>IF(_imp!$C$3455="","",INDEX(_imp!$I$4:$I$4503,_imp!$C$3455))</f>
        <v/>
      </c>
      <c r="G3453" s="54">
        <f>IF(_imp!$C$3455="","",INDEX(_imp!$J$4:$J$4503,_imp!$C$3455))</f>
        <v/>
      </c>
      <c r="K3453" s="54">
        <f>IF(_imp!$C$3455="","",INDEX(_imp!$K$4:$K$4503,_imp!$C$3455))</f>
        <v/>
      </c>
    </row>
    <row r="3454">
      <c r="A3454" s="54">
        <f>IF(_imp!$C$3456="","",INDEX(_imp!$D$4:$D$4503,_imp!$C$3456))</f>
        <v/>
      </c>
      <c r="B3454" s="54">
        <f>IF(_imp!$C$3456="","",INDEX(_imp!$E$4:$E$4503,_imp!$C$3456))</f>
        <v/>
      </c>
      <c r="C3454" s="54">
        <f>IF(_imp!$C$3456="","",INDEX(_imp!$F$4:$F$4503,_imp!$C$3456))</f>
        <v/>
      </c>
      <c r="D3454" s="54">
        <f>IF(_imp!$C$3456="","",INDEX(_imp!$G$4:$G$4503,_imp!$C$3456))</f>
        <v/>
      </c>
      <c r="E3454" s="54">
        <f>IF(_imp!$C$3456="","",INDEX(_imp!$H$4:$H$4503,_imp!$C$3456))</f>
        <v/>
      </c>
      <c r="F3454" s="54">
        <f>IF(_imp!$C$3456="","",INDEX(_imp!$I$4:$I$4503,_imp!$C$3456))</f>
        <v/>
      </c>
      <c r="G3454" s="54">
        <f>IF(_imp!$C$3456="","",INDEX(_imp!$J$4:$J$4503,_imp!$C$3456))</f>
        <v/>
      </c>
      <c r="K3454" s="54">
        <f>IF(_imp!$C$3456="","",INDEX(_imp!$K$4:$K$4503,_imp!$C$3456))</f>
        <v/>
      </c>
    </row>
    <row r="3455">
      <c r="A3455" s="54">
        <f>IF(_imp!$C$3457="","",INDEX(_imp!$D$4:$D$4503,_imp!$C$3457))</f>
        <v/>
      </c>
      <c r="B3455" s="54">
        <f>IF(_imp!$C$3457="","",INDEX(_imp!$E$4:$E$4503,_imp!$C$3457))</f>
        <v/>
      </c>
      <c r="C3455" s="54">
        <f>IF(_imp!$C$3457="","",INDEX(_imp!$F$4:$F$4503,_imp!$C$3457))</f>
        <v/>
      </c>
      <c r="D3455" s="54">
        <f>IF(_imp!$C$3457="","",INDEX(_imp!$G$4:$G$4503,_imp!$C$3457))</f>
        <v/>
      </c>
      <c r="E3455" s="54">
        <f>IF(_imp!$C$3457="","",INDEX(_imp!$H$4:$H$4503,_imp!$C$3457))</f>
        <v/>
      </c>
      <c r="F3455" s="54">
        <f>IF(_imp!$C$3457="","",INDEX(_imp!$I$4:$I$4503,_imp!$C$3457))</f>
        <v/>
      </c>
      <c r="G3455" s="54">
        <f>IF(_imp!$C$3457="","",INDEX(_imp!$J$4:$J$4503,_imp!$C$3457))</f>
        <v/>
      </c>
      <c r="K3455" s="54">
        <f>IF(_imp!$C$3457="","",INDEX(_imp!$K$4:$K$4503,_imp!$C$3457))</f>
        <v/>
      </c>
    </row>
    <row r="3456">
      <c r="A3456" s="54">
        <f>IF(_imp!$C$3458="","",INDEX(_imp!$D$4:$D$4503,_imp!$C$3458))</f>
        <v/>
      </c>
      <c r="B3456" s="54">
        <f>IF(_imp!$C$3458="","",INDEX(_imp!$E$4:$E$4503,_imp!$C$3458))</f>
        <v/>
      </c>
      <c r="C3456" s="54">
        <f>IF(_imp!$C$3458="","",INDEX(_imp!$F$4:$F$4503,_imp!$C$3458))</f>
        <v/>
      </c>
      <c r="D3456" s="54">
        <f>IF(_imp!$C$3458="","",INDEX(_imp!$G$4:$G$4503,_imp!$C$3458))</f>
        <v/>
      </c>
      <c r="E3456" s="54">
        <f>IF(_imp!$C$3458="","",INDEX(_imp!$H$4:$H$4503,_imp!$C$3458))</f>
        <v/>
      </c>
      <c r="F3456" s="54">
        <f>IF(_imp!$C$3458="","",INDEX(_imp!$I$4:$I$4503,_imp!$C$3458))</f>
        <v/>
      </c>
      <c r="G3456" s="54">
        <f>IF(_imp!$C$3458="","",INDEX(_imp!$J$4:$J$4503,_imp!$C$3458))</f>
        <v/>
      </c>
      <c r="K3456" s="54">
        <f>IF(_imp!$C$3458="","",INDEX(_imp!$K$4:$K$4503,_imp!$C$3458))</f>
        <v/>
      </c>
    </row>
    <row r="3457">
      <c r="A3457" s="54">
        <f>IF(_imp!$C$3459="","",INDEX(_imp!$D$4:$D$4503,_imp!$C$3459))</f>
        <v/>
      </c>
      <c r="B3457" s="54">
        <f>IF(_imp!$C$3459="","",INDEX(_imp!$E$4:$E$4503,_imp!$C$3459))</f>
        <v/>
      </c>
      <c r="C3457" s="54">
        <f>IF(_imp!$C$3459="","",INDEX(_imp!$F$4:$F$4503,_imp!$C$3459))</f>
        <v/>
      </c>
      <c r="D3457" s="54">
        <f>IF(_imp!$C$3459="","",INDEX(_imp!$G$4:$G$4503,_imp!$C$3459))</f>
        <v/>
      </c>
      <c r="E3457" s="54">
        <f>IF(_imp!$C$3459="","",INDEX(_imp!$H$4:$H$4503,_imp!$C$3459))</f>
        <v/>
      </c>
      <c r="F3457" s="54">
        <f>IF(_imp!$C$3459="","",INDEX(_imp!$I$4:$I$4503,_imp!$C$3459))</f>
        <v/>
      </c>
      <c r="G3457" s="54">
        <f>IF(_imp!$C$3459="","",INDEX(_imp!$J$4:$J$4503,_imp!$C$3459))</f>
        <v/>
      </c>
      <c r="K3457" s="54">
        <f>IF(_imp!$C$3459="","",INDEX(_imp!$K$4:$K$4503,_imp!$C$3459))</f>
        <v/>
      </c>
    </row>
    <row r="3458">
      <c r="A3458" s="54">
        <f>IF(_imp!$C$3460="","",INDEX(_imp!$D$4:$D$4503,_imp!$C$3460))</f>
        <v/>
      </c>
      <c r="B3458" s="54">
        <f>IF(_imp!$C$3460="","",INDEX(_imp!$E$4:$E$4503,_imp!$C$3460))</f>
        <v/>
      </c>
      <c r="C3458" s="54">
        <f>IF(_imp!$C$3460="","",INDEX(_imp!$F$4:$F$4503,_imp!$C$3460))</f>
        <v/>
      </c>
      <c r="D3458" s="54">
        <f>IF(_imp!$C$3460="","",INDEX(_imp!$G$4:$G$4503,_imp!$C$3460))</f>
        <v/>
      </c>
      <c r="E3458" s="54">
        <f>IF(_imp!$C$3460="","",INDEX(_imp!$H$4:$H$4503,_imp!$C$3460))</f>
        <v/>
      </c>
      <c r="F3458" s="54">
        <f>IF(_imp!$C$3460="","",INDEX(_imp!$I$4:$I$4503,_imp!$C$3460))</f>
        <v/>
      </c>
      <c r="G3458" s="54">
        <f>IF(_imp!$C$3460="","",INDEX(_imp!$J$4:$J$4503,_imp!$C$3460))</f>
        <v/>
      </c>
      <c r="K3458" s="54">
        <f>IF(_imp!$C$3460="","",INDEX(_imp!$K$4:$K$4503,_imp!$C$3460))</f>
        <v/>
      </c>
    </row>
    <row r="3459">
      <c r="A3459" s="54">
        <f>IF(_imp!$C$3461="","",INDEX(_imp!$D$4:$D$4503,_imp!$C$3461))</f>
        <v/>
      </c>
      <c r="B3459" s="54">
        <f>IF(_imp!$C$3461="","",INDEX(_imp!$E$4:$E$4503,_imp!$C$3461))</f>
        <v/>
      </c>
      <c r="C3459" s="54">
        <f>IF(_imp!$C$3461="","",INDEX(_imp!$F$4:$F$4503,_imp!$C$3461))</f>
        <v/>
      </c>
      <c r="D3459" s="54">
        <f>IF(_imp!$C$3461="","",INDEX(_imp!$G$4:$G$4503,_imp!$C$3461))</f>
        <v/>
      </c>
      <c r="E3459" s="54">
        <f>IF(_imp!$C$3461="","",INDEX(_imp!$H$4:$H$4503,_imp!$C$3461))</f>
        <v/>
      </c>
      <c r="F3459" s="54">
        <f>IF(_imp!$C$3461="","",INDEX(_imp!$I$4:$I$4503,_imp!$C$3461))</f>
        <v/>
      </c>
      <c r="G3459" s="54">
        <f>IF(_imp!$C$3461="","",INDEX(_imp!$J$4:$J$4503,_imp!$C$3461))</f>
        <v/>
      </c>
      <c r="K3459" s="54">
        <f>IF(_imp!$C$3461="","",INDEX(_imp!$K$4:$K$4503,_imp!$C$3461))</f>
        <v/>
      </c>
    </row>
    <row r="3460">
      <c r="A3460" s="54">
        <f>IF(_imp!$C$3462="","",INDEX(_imp!$D$4:$D$4503,_imp!$C$3462))</f>
        <v/>
      </c>
      <c r="B3460" s="54">
        <f>IF(_imp!$C$3462="","",INDEX(_imp!$E$4:$E$4503,_imp!$C$3462))</f>
        <v/>
      </c>
      <c r="C3460" s="54">
        <f>IF(_imp!$C$3462="","",INDEX(_imp!$F$4:$F$4503,_imp!$C$3462))</f>
        <v/>
      </c>
      <c r="D3460" s="54">
        <f>IF(_imp!$C$3462="","",INDEX(_imp!$G$4:$G$4503,_imp!$C$3462))</f>
        <v/>
      </c>
      <c r="E3460" s="54">
        <f>IF(_imp!$C$3462="","",INDEX(_imp!$H$4:$H$4503,_imp!$C$3462))</f>
        <v/>
      </c>
      <c r="F3460" s="54">
        <f>IF(_imp!$C$3462="","",INDEX(_imp!$I$4:$I$4503,_imp!$C$3462))</f>
        <v/>
      </c>
      <c r="G3460" s="54">
        <f>IF(_imp!$C$3462="","",INDEX(_imp!$J$4:$J$4503,_imp!$C$3462))</f>
        <v/>
      </c>
      <c r="K3460" s="54">
        <f>IF(_imp!$C$3462="","",INDEX(_imp!$K$4:$K$4503,_imp!$C$3462))</f>
        <v/>
      </c>
    </row>
    <row r="3461">
      <c r="A3461" s="54">
        <f>IF(_imp!$C$3463="","",INDEX(_imp!$D$4:$D$4503,_imp!$C$3463))</f>
        <v/>
      </c>
      <c r="B3461" s="54">
        <f>IF(_imp!$C$3463="","",INDEX(_imp!$E$4:$E$4503,_imp!$C$3463))</f>
        <v/>
      </c>
      <c r="C3461" s="54">
        <f>IF(_imp!$C$3463="","",INDEX(_imp!$F$4:$F$4503,_imp!$C$3463))</f>
        <v/>
      </c>
      <c r="D3461" s="54">
        <f>IF(_imp!$C$3463="","",INDEX(_imp!$G$4:$G$4503,_imp!$C$3463))</f>
        <v/>
      </c>
      <c r="E3461" s="54">
        <f>IF(_imp!$C$3463="","",INDEX(_imp!$H$4:$H$4503,_imp!$C$3463))</f>
        <v/>
      </c>
      <c r="F3461" s="54">
        <f>IF(_imp!$C$3463="","",INDEX(_imp!$I$4:$I$4503,_imp!$C$3463))</f>
        <v/>
      </c>
      <c r="G3461" s="54">
        <f>IF(_imp!$C$3463="","",INDEX(_imp!$J$4:$J$4503,_imp!$C$3463))</f>
        <v/>
      </c>
      <c r="K3461" s="54">
        <f>IF(_imp!$C$3463="","",INDEX(_imp!$K$4:$K$4503,_imp!$C$3463))</f>
        <v/>
      </c>
    </row>
    <row r="3462">
      <c r="A3462" s="54">
        <f>IF(_imp!$C$3464="","",INDEX(_imp!$D$4:$D$4503,_imp!$C$3464))</f>
        <v/>
      </c>
      <c r="B3462" s="54">
        <f>IF(_imp!$C$3464="","",INDEX(_imp!$E$4:$E$4503,_imp!$C$3464))</f>
        <v/>
      </c>
      <c r="C3462" s="54">
        <f>IF(_imp!$C$3464="","",INDEX(_imp!$F$4:$F$4503,_imp!$C$3464))</f>
        <v/>
      </c>
      <c r="D3462" s="54">
        <f>IF(_imp!$C$3464="","",INDEX(_imp!$G$4:$G$4503,_imp!$C$3464))</f>
        <v/>
      </c>
      <c r="E3462" s="54">
        <f>IF(_imp!$C$3464="","",INDEX(_imp!$H$4:$H$4503,_imp!$C$3464))</f>
        <v/>
      </c>
      <c r="F3462" s="54">
        <f>IF(_imp!$C$3464="","",INDEX(_imp!$I$4:$I$4503,_imp!$C$3464))</f>
        <v/>
      </c>
      <c r="G3462" s="54">
        <f>IF(_imp!$C$3464="","",INDEX(_imp!$J$4:$J$4503,_imp!$C$3464))</f>
        <v/>
      </c>
      <c r="K3462" s="54">
        <f>IF(_imp!$C$3464="","",INDEX(_imp!$K$4:$K$4503,_imp!$C$3464))</f>
        <v/>
      </c>
    </row>
    <row r="3463">
      <c r="A3463" s="54">
        <f>IF(_imp!$C$3465="","",INDEX(_imp!$D$4:$D$4503,_imp!$C$3465))</f>
        <v/>
      </c>
      <c r="B3463" s="54">
        <f>IF(_imp!$C$3465="","",INDEX(_imp!$E$4:$E$4503,_imp!$C$3465))</f>
        <v/>
      </c>
      <c r="C3463" s="54">
        <f>IF(_imp!$C$3465="","",INDEX(_imp!$F$4:$F$4503,_imp!$C$3465))</f>
        <v/>
      </c>
      <c r="D3463" s="54">
        <f>IF(_imp!$C$3465="","",INDEX(_imp!$G$4:$G$4503,_imp!$C$3465))</f>
        <v/>
      </c>
      <c r="E3463" s="54">
        <f>IF(_imp!$C$3465="","",INDEX(_imp!$H$4:$H$4503,_imp!$C$3465))</f>
        <v/>
      </c>
      <c r="F3463" s="54">
        <f>IF(_imp!$C$3465="","",INDEX(_imp!$I$4:$I$4503,_imp!$C$3465))</f>
        <v/>
      </c>
      <c r="G3463" s="54">
        <f>IF(_imp!$C$3465="","",INDEX(_imp!$J$4:$J$4503,_imp!$C$3465))</f>
        <v/>
      </c>
      <c r="K3463" s="54">
        <f>IF(_imp!$C$3465="","",INDEX(_imp!$K$4:$K$4503,_imp!$C$3465))</f>
        <v/>
      </c>
    </row>
    <row r="3464">
      <c r="A3464" s="54">
        <f>IF(_imp!$C$3466="","",INDEX(_imp!$D$4:$D$4503,_imp!$C$3466))</f>
        <v/>
      </c>
      <c r="B3464" s="54">
        <f>IF(_imp!$C$3466="","",INDEX(_imp!$E$4:$E$4503,_imp!$C$3466))</f>
        <v/>
      </c>
      <c r="C3464" s="54">
        <f>IF(_imp!$C$3466="","",INDEX(_imp!$F$4:$F$4503,_imp!$C$3466))</f>
        <v/>
      </c>
      <c r="D3464" s="54">
        <f>IF(_imp!$C$3466="","",INDEX(_imp!$G$4:$G$4503,_imp!$C$3466))</f>
        <v/>
      </c>
      <c r="E3464" s="54">
        <f>IF(_imp!$C$3466="","",INDEX(_imp!$H$4:$H$4503,_imp!$C$3466))</f>
        <v/>
      </c>
      <c r="F3464" s="54">
        <f>IF(_imp!$C$3466="","",INDEX(_imp!$I$4:$I$4503,_imp!$C$3466))</f>
        <v/>
      </c>
      <c r="G3464" s="54">
        <f>IF(_imp!$C$3466="","",INDEX(_imp!$J$4:$J$4503,_imp!$C$3466))</f>
        <v/>
      </c>
      <c r="K3464" s="54">
        <f>IF(_imp!$C$3466="","",INDEX(_imp!$K$4:$K$4503,_imp!$C$3466))</f>
        <v/>
      </c>
    </row>
    <row r="3465">
      <c r="A3465" s="54">
        <f>IF(_imp!$C$3467="","",INDEX(_imp!$D$4:$D$4503,_imp!$C$3467))</f>
        <v/>
      </c>
      <c r="B3465" s="54">
        <f>IF(_imp!$C$3467="","",INDEX(_imp!$E$4:$E$4503,_imp!$C$3467))</f>
        <v/>
      </c>
      <c r="C3465" s="54">
        <f>IF(_imp!$C$3467="","",INDEX(_imp!$F$4:$F$4503,_imp!$C$3467))</f>
        <v/>
      </c>
      <c r="D3465" s="54">
        <f>IF(_imp!$C$3467="","",INDEX(_imp!$G$4:$G$4503,_imp!$C$3467))</f>
        <v/>
      </c>
      <c r="E3465" s="54">
        <f>IF(_imp!$C$3467="","",INDEX(_imp!$H$4:$H$4503,_imp!$C$3467))</f>
        <v/>
      </c>
      <c r="F3465" s="54">
        <f>IF(_imp!$C$3467="","",INDEX(_imp!$I$4:$I$4503,_imp!$C$3467))</f>
        <v/>
      </c>
      <c r="G3465" s="54">
        <f>IF(_imp!$C$3467="","",INDEX(_imp!$J$4:$J$4503,_imp!$C$3467))</f>
        <v/>
      </c>
      <c r="K3465" s="54">
        <f>IF(_imp!$C$3467="","",INDEX(_imp!$K$4:$K$4503,_imp!$C$3467))</f>
        <v/>
      </c>
    </row>
    <row r="3466">
      <c r="A3466" s="54">
        <f>IF(_imp!$C$3468="","",INDEX(_imp!$D$4:$D$4503,_imp!$C$3468))</f>
        <v/>
      </c>
      <c r="B3466" s="54">
        <f>IF(_imp!$C$3468="","",INDEX(_imp!$E$4:$E$4503,_imp!$C$3468))</f>
        <v/>
      </c>
      <c r="C3466" s="54">
        <f>IF(_imp!$C$3468="","",INDEX(_imp!$F$4:$F$4503,_imp!$C$3468))</f>
        <v/>
      </c>
      <c r="D3466" s="54">
        <f>IF(_imp!$C$3468="","",INDEX(_imp!$G$4:$G$4503,_imp!$C$3468))</f>
        <v/>
      </c>
      <c r="E3466" s="54">
        <f>IF(_imp!$C$3468="","",INDEX(_imp!$H$4:$H$4503,_imp!$C$3468))</f>
        <v/>
      </c>
      <c r="F3466" s="54">
        <f>IF(_imp!$C$3468="","",INDEX(_imp!$I$4:$I$4503,_imp!$C$3468))</f>
        <v/>
      </c>
      <c r="G3466" s="54">
        <f>IF(_imp!$C$3468="","",INDEX(_imp!$J$4:$J$4503,_imp!$C$3468))</f>
        <v/>
      </c>
      <c r="K3466" s="54">
        <f>IF(_imp!$C$3468="","",INDEX(_imp!$K$4:$K$4503,_imp!$C$3468))</f>
        <v/>
      </c>
    </row>
    <row r="3467">
      <c r="A3467" s="54">
        <f>IF(_imp!$C$3469="","",INDEX(_imp!$D$4:$D$4503,_imp!$C$3469))</f>
        <v/>
      </c>
      <c r="B3467" s="54">
        <f>IF(_imp!$C$3469="","",INDEX(_imp!$E$4:$E$4503,_imp!$C$3469))</f>
        <v/>
      </c>
      <c r="C3467" s="54">
        <f>IF(_imp!$C$3469="","",INDEX(_imp!$F$4:$F$4503,_imp!$C$3469))</f>
        <v/>
      </c>
      <c r="D3467" s="54">
        <f>IF(_imp!$C$3469="","",INDEX(_imp!$G$4:$G$4503,_imp!$C$3469))</f>
        <v/>
      </c>
      <c r="E3467" s="54">
        <f>IF(_imp!$C$3469="","",INDEX(_imp!$H$4:$H$4503,_imp!$C$3469))</f>
        <v/>
      </c>
      <c r="F3467" s="54">
        <f>IF(_imp!$C$3469="","",INDEX(_imp!$I$4:$I$4503,_imp!$C$3469))</f>
        <v/>
      </c>
      <c r="G3467" s="54">
        <f>IF(_imp!$C$3469="","",INDEX(_imp!$J$4:$J$4503,_imp!$C$3469))</f>
        <v/>
      </c>
      <c r="K3467" s="54">
        <f>IF(_imp!$C$3469="","",INDEX(_imp!$K$4:$K$4503,_imp!$C$3469))</f>
        <v/>
      </c>
    </row>
    <row r="3468">
      <c r="A3468" s="54">
        <f>IF(_imp!$C$3470="","",INDEX(_imp!$D$4:$D$4503,_imp!$C$3470))</f>
        <v/>
      </c>
      <c r="B3468" s="54">
        <f>IF(_imp!$C$3470="","",INDEX(_imp!$E$4:$E$4503,_imp!$C$3470))</f>
        <v/>
      </c>
      <c r="C3468" s="54">
        <f>IF(_imp!$C$3470="","",INDEX(_imp!$F$4:$F$4503,_imp!$C$3470))</f>
        <v/>
      </c>
      <c r="D3468" s="54">
        <f>IF(_imp!$C$3470="","",INDEX(_imp!$G$4:$G$4503,_imp!$C$3470))</f>
        <v/>
      </c>
      <c r="E3468" s="54">
        <f>IF(_imp!$C$3470="","",INDEX(_imp!$H$4:$H$4503,_imp!$C$3470))</f>
        <v/>
      </c>
      <c r="F3468" s="54">
        <f>IF(_imp!$C$3470="","",INDEX(_imp!$I$4:$I$4503,_imp!$C$3470))</f>
        <v/>
      </c>
      <c r="G3468" s="54">
        <f>IF(_imp!$C$3470="","",INDEX(_imp!$J$4:$J$4503,_imp!$C$3470))</f>
        <v/>
      </c>
      <c r="K3468" s="54">
        <f>IF(_imp!$C$3470="","",INDEX(_imp!$K$4:$K$4503,_imp!$C$3470))</f>
        <v/>
      </c>
    </row>
    <row r="3469">
      <c r="A3469" s="54">
        <f>IF(_imp!$C$3471="","",INDEX(_imp!$D$4:$D$4503,_imp!$C$3471))</f>
        <v/>
      </c>
      <c r="B3469" s="54">
        <f>IF(_imp!$C$3471="","",INDEX(_imp!$E$4:$E$4503,_imp!$C$3471))</f>
        <v/>
      </c>
      <c r="C3469" s="54">
        <f>IF(_imp!$C$3471="","",INDEX(_imp!$F$4:$F$4503,_imp!$C$3471))</f>
        <v/>
      </c>
      <c r="D3469" s="54">
        <f>IF(_imp!$C$3471="","",INDEX(_imp!$G$4:$G$4503,_imp!$C$3471))</f>
        <v/>
      </c>
      <c r="E3469" s="54">
        <f>IF(_imp!$C$3471="","",INDEX(_imp!$H$4:$H$4503,_imp!$C$3471))</f>
        <v/>
      </c>
      <c r="F3469" s="54">
        <f>IF(_imp!$C$3471="","",INDEX(_imp!$I$4:$I$4503,_imp!$C$3471))</f>
        <v/>
      </c>
      <c r="G3469" s="54">
        <f>IF(_imp!$C$3471="","",INDEX(_imp!$J$4:$J$4503,_imp!$C$3471))</f>
        <v/>
      </c>
      <c r="K3469" s="54">
        <f>IF(_imp!$C$3471="","",INDEX(_imp!$K$4:$K$4503,_imp!$C$3471))</f>
        <v/>
      </c>
    </row>
    <row r="3470">
      <c r="A3470" s="54">
        <f>IF(_imp!$C$3472="","",INDEX(_imp!$D$4:$D$4503,_imp!$C$3472))</f>
        <v/>
      </c>
      <c r="B3470" s="54">
        <f>IF(_imp!$C$3472="","",INDEX(_imp!$E$4:$E$4503,_imp!$C$3472))</f>
        <v/>
      </c>
      <c r="C3470" s="54">
        <f>IF(_imp!$C$3472="","",INDEX(_imp!$F$4:$F$4503,_imp!$C$3472))</f>
        <v/>
      </c>
      <c r="D3470" s="54">
        <f>IF(_imp!$C$3472="","",INDEX(_imp!$G$4:$G$4503,_imp!$C$3472))</f>
        <v/>
      </c>
      <c r="E3470" s="54">
        <f>IF(_imp!$C$3472="","",INDEX(_imp!$H$4:$H$4503,_imp!$C$3472))</f>
        <v/>
      </c>
      <c r="F3470" s="54">
        <f>IF(_imp!$C$3472="","",INDEX(_imp!$I$4:$I$4503,_imp!$C$3472))</f>
        <v/>
      </c>
      <c r="G3470" s="54">
        <f>IF(_imp!$C$3472="","",INDEX(_imp!$J$4:$J$4503,_imp!$C$3472))</f>
        <v/>
      </c>
      <c r="K3470" s="54">
        <f>IF(_imp!$C$3472="","",INDEX(_imp!$K$4:$K$4503,_imp!$C$3472))</f>
        <v/>
      </c>
    </row>
    <row r="3471">
      <c r="A3471" s="54">
        <f>IF(_imp!$C$3473="","",INDEX(_imp!$D$4:$D$4503,_imp!$C$3473))</f>
        <v/>
      </c>
      <c r="B3471" s="54">
        <f>IF(_imp!$C$3473="","",INDEX(_imp!$E$4:$E$4503,_imp!$C$3473))</f>
        <v/>
      </c>
      <c r="C3471" s="54">
        <f>IF(_imp!$C$3473="","",INDEX(_imp!$F$4:$F$4503,_imp!$C$3473))</f>
        <v/>
      </c>
      <c r="D3471" s="54">
        <f>IF(_imp!$C$3473="","",INDEX(_imp!$G$4:$G$4503,_imp!$C$3473))</f>
        <v/>
      </c>
      <c r="E3471" s="54">
        <f>IF(_imp!$C$3473="","",INDEX(_imp!$H$4:$H$4503,_imp!$C$3473))</f>
        <v/>
      </c>
      <c r="F3471" s="54">
        <f>IF(_imp!$C$3473="","",INDEX(_imp!$I$4:$I$4503,_imp!$C$3473))</f>
        <v/>
      </c>
      <c r="G3471" s="54">
        <f>IF(_imp!$C$3473="","",INDEX(_imp!$J$4:$J$4503,_imp!$C$3473))</f>
        <v/>
      </c>
      <c r="K3471" s="54">
        <f>IF(_imp!$C$3473="","",INDEX(_imp!$K$4:$K$4503,_imp!$C$3473))</f>
        <v/>
      </c>
    </row>
    <row r="3472">
      <c r="A3472" s="54">
        <f>IF(_imp!$C$3474="","",INDEX(_imp!$D$4:$D$4503,_imp!$C$3474))</f>
        <v/>
      </c>
      <c r="B3472" s="54">
        <f>IF(_imp!$C$3474="","",INDEX(_imp!$E$4:$E$4503,_imp!$C$3474))</f>
        <v/>
      </c>
      <c r="C3472" s="54">
        <f>IF(_imp!$C$3474="","",INDEX(_imp!$F$4:$F$4503,_imp!$C$3474))</f>
        <v/>
      </c>
      <c r="D3472" s="54">
        <f>IF(_imp!$C$3474="","",INDEX(_imp!$G$4:$G$4503,_imp!$C$3474))</f>
        <v/>
      </c>
      <c r="E3472" s="54">
        <f>IF(_imp!$C$3474="","",INDEX(_imp!$H$4:$H$4503,_imp!$C$3474))</f>
        <v/>
      </c>
      <c r="F3472" s="54">
        <f>IF(_imp!$C$3474="","",INDEX(_imp!$I$4:$I$4503,_imp!$C$3474))</f>
        <v/>
      </c>
      <c r="G3472" s="54">
        <f>IF(_imp!$C$3474="","",INDEX(_imp!$J$4:$J$4503,_imp!$C$3474))</f>
        <v/>
      </c>
      <c r="K3472" s="54">
        <f>IF(_imp!$C$3474="","",INDEX(_imp!$K$4:$K$4503,_imp!$C$3474))</f>
        <v/>
      </c>
    </row>
    <row r="3473">
      <c r="A3473" s="54">
        <f>IF(_imp!$C$3475="","",INDEX(_imp!$D$4:$D$4503,_imp!$C$3475))</f>
        <v/>
      </c>
      <c r="B3473" s="54">
        <f>IF(_imp!$C$3475="","",INDEX(_imp!$E$4:$E$4503,_imp!$C$3475))</f>
        <v/>
      </c>
      <c r="C3473" s="54">
        <f>IF(_imp!$C$3475="","",INDEX(_imp!$F$4:$F$4503,_imp!$C$3475))</f>
        <v/>
      </c>
      <c r="D3473" s="54">
        <f>IF(_imp!$C$3475="","",INDEX(_imp!$G$4:$G$4503,_imp!$C$3475))</f>
        <v/>
      </c>
      <c r="E3473" s="54">
        <f>IF(_imp!$C$3475="","",INDEX(_imp!$H$4:$H$4503,_imp!$C$3475))</f>
        <v/>
      </c>
      <c r="F3473" s="54">
        <f>IF(_imp!$C$3475="","",INDEX(_imp!$I$4:$I$4503,_imp!$C$3475))</f>
        <v/>
      </c>
      <c r="G3473" s="54">
        <f>IF(_imp!$C$3475="","",INDEX(_imp!$J$4:$J$4503,_imp!$C$3475))</f>
        <v/>
      </c>
      <c r="K3473" s="54">
        <f>IF(_imp!$C$3475="","",INDEX(_imp!$K$4:$K$4503,_imp!$C$3475))</f>
        <v/>
      </c>
    </row>
    <row r="3474">
      <c r="A3474" s="54">
        <f>IF(_imp!$C$3476="","",INDEX(_imp!$D$4:$D$4503,_imp!$C$3476))</f>
        <v/>
      </c>
      <c r="B3474" s="54">
        <f>IF(_imp!$C$3476="","",INDEX(_imp!$E$4:$E$4503,_imp!$C$3476))</f>
        <v/>
      </c>
      <c r="C3474" s="54">
        <f>IF(_imp!$C$3476="","",INDEX(_imp!$F$4:$F$4503,_imp!$C$3476))</f>
        <v/>
      </c>
      <c r="D3474" s="54">
        <f>IF(_imp!$C$3476="","",INDEX(_imp!$G$4:$G$4503,_imp!$C$3476))</f>
        <v/>
      </c>
      <c r="E3474" s="54">
        <f>IF(_imp!$C$3476="","",INDEX(_imp!$H$4:$H$4503,_imp!$C$3476))</f>
        <v/>
      </c>
      <c r="F3474" s="54">
        <f>IF(_imp!$C$3476="","",INDEX(_imp!$I$4:$I$4503,_imp!$C$3476))</f>
        <v/>
      </c>
      <c r="G3474" s="54">
        <f>IF(_imp!$C$3476="","",INDEX(_imp!$J$4:$J$4503,_imp!$C$3476))</f>
        <v/>
      </c>
      <c r="K3474" s="54">
        <f>IF(_imp!$C$3476="","",INDEX(_imp!$K$4:$K$4503,_imp!$C$3476))</f>
        <v/>
      </c>
    </row>
    <row r="3475">
      <c r="A3475" s="54">
        <f>IF(_imp!$C$3477="","",INDEX(_imp!$D$4:$D$4503,_imp!$C$3477))</f>
        <v/>
      </c>
      <c r="B3475" s="54">
        <f>IF(_imp!$C$3477="","",INDEX(_imp!$E$4:$E$4503,_imp!$C$3477))</f>
        <v/>
      </c>
      <c r="C3475" s="54">
        <f>IF(_imp!$C$3477="","",INDEX(_imp!$F$4:$F$4503,_imp!$C$3477))</f>
        <v/>
      </c>
      <c r="D3475" s="54">
        <f>IF(_imp!$C$3477="","",INDEX(_imp!$G$4:$G$4503,_imp!$C$3477))</f>
        <v/>
      </c>
      <c r="E3475" s="54">
        <f>IF(_imp!$C$3477="","",INDEX(_imp!$H$4:$H$4503,_imp!$C$3477))</f>
        <v/>
      </c>
      <c r="F3475" s="54">
        <f>IF(_imp!$C$3477="","",INDEX(_imp!$I$4:$I$4503,_imp!$C$3477))</f>
        <v/>
      </c>
      <c r="G3475" s="54">
        <f>IF(_imp!$C$3477="","",INDEX(_imp!$J$4:$J$4503,_imp!$C$3477))</f>
        <v/>
      </c>
      <c r="K3475" s="54">
        <f>IF(_imp!$C$3477="","",INDEX(_imp!$K$4:$K$4503,_imp!$C$3477))</f>
        <v/>
      </c>
    </row>
    <row r="3476">
      <c r="A3476" s="54">
        <f>IF(_imp!$C$3478="","",INDEX(_imp!$D$4:$D$4503,_imp!$C$3478))</f>
        <v/>
      </c>
      <c r="B3476" s="54">
        <f>IF(_imp!$C$3478="","",INDEX(_imp!$E$4:$E$4503,_imp!$C$3478))</f>
        <v/>
      </c>
      <c r="C3476" s="54">
        <f>IF(_imp!$C$3478="","",INDEX(_imp!$F$4:$F$4503,_imp!$C$3478))</f>
        <v/>
      </c>
      <c r="D3476" s="54">
        <f>IF(_imp!$C$3478="","",INDEX(_imp!$G$4:$G$4503,_imp!$C$3478))</f>
        <v/>
      </c>
      <c r="E3476" s="54">
        <f>IF(_imp!$C$3478="","",INDEX(_imp!$H$4:$H$4503,_imp!$C$3478))</f>
        <v/>
      </c>
      <c r="F3476" s="54">
        <f>IF(_imp!$C$3478="","",INDEX(_imp!$I$4:$I$4503,_imp!$C$3478))</f>
        <v/>
      </c>
      <c r="G3476" s="54">
        <f>IF(_imp!$C$3478="","",INDEX(_imp!$J$4:$J$4503,_imp!$C$3478))</f>
        <v/>
      </c>
      <c r="K3476" s="54">
        <f>IF(_imp!$C$3478="","",INDEX(_imp!$K$4:$K$4503,_imp!$C$3478))</f>
        <v/>
      </c>
    </row>
    <row r="3477">
      <c r="A3477" s="54">
        <f>IF(_imp!$C$3479="","",INDEX(_imp!$D$4:$D$4503,_imp!$C$3479))</f>
        <v/>
      </c>
      <c r="B3477" s="54">
        <f>IF(_imp!$C$3479="","",INDEX(_imp!$E$4:$E$4503,_imp!$C$3479))</f>
        <v/>
      </c>
      <c r="C3477" s="54">
        <f>IF(_imp!$C$3479="","",INDEX(_imp!$F$4:$F$4503,_imp!$C$3479))</f>
        <v/>
      </c>
      <c r="D3477" s="54">
        <f>IF(_imp!$C$3479="","",INDEX(_imp!$G$4:$G$4503,_imp!$C$3479))</f>
        <v/>
      </c>
      <c r="E3477" s="54">
        <f>IF(_imp!$C$3479="","",INDEX(_imp!$H$4:$H$4503,_imp!$C$3479))</f>
        <v/>
      </c>
      <c r="F3477" s="54">
        <f>IF(_imp!$C$3479="","",INDEX(_imp!$I$4:$I$4503,_imp!$C$3479))</f>
        <v/>
      </c>
      <c r="G3477" s="54">
        <f>IF(_imp!$C$3479="","",INDEX(_imp!$J$4:$J$4503,_imp!$C$3479))</f>
        <v/>
      </c>
      <c r="K3477" s="54">
        <f>IF(_imp!$C$3479="","",INDEX(_imp!$K$4:$K$4503,_imp!$C$3479))</f>
        <v/>
      </c>
    </row>
    <row r="3478">
      <c r="A3478" s="54">
        <f>IF(_imp!$C$3480="","",INDEX(_imp!$D$4:$D$4503,_imp!$C$3480))</f>
        <v/>
      </c>
      <c r="B3478" s="54">
        <f>IF(_imp!$C$3480="","",INDEX(_imp!$E$4:$E$4503,_imp!$C$3480))</f>
        <v/>
      </c>
      <c r="C3478" s="54">
        <f>IF(_imp!$C$3480="","",INDEX(_imp!$F$4:$F$4503,_imp!$C$3480))</f>
        <v/>
      </c>
      <c r="D3478" s="54">
        <f>IF(_imp!$C$3480="","",INDEX(_imp!$G$4:$G$4503,_imp!$C$3480))</f>
        <v/>
      </c>
      <c r="E3478" s="54">
        <f>IF(_imp!$C$3480="","",INDEX(_imp!$H$4:$H$4503,_imp!$C$3480))</f>
        <v/>
      </c>
      <c r="F3478" s="54">
        <f>IF(_imp!$C$3480="","",INDEX(_imp!$I$4:$I$4503,_imp!$C$3480))</f>
        <v/>
      </c>
      <c r="G3478" s="54">
        <f>IF(_imp!$C$3480="","",INDEX(_imp!$J$4:$J$4503,_imp!$C$3480))</f>
        <v/>
      </c>
      <c r="K3478" s="54">
        <f>IF(_imp!$C$3480="","",INDEX(_imp!$K$4:$K$4503,_imp!$C$3480))</f>
        <v/>
      </c>
    </row>
    <row r="3479">
      <c r="A3479" s="54">
        <f>IF(_imp!$C$3481="","",INDEX(_imp!$D$4:$D$4503,_imp!$C$3481))</f>
        <v/>
      </c>
      <c r="B3479" s="54">
        <f>IF(_imp!$C$3481="","",INDEX(_imp!$E$4:$E$4503,_imp!$C$3481))</f>
        <v/>
      </c>
      <c r="C3479" s="54">
        <f>IF(_imp!$C$3481="","",INDEX(_imp!$F$4:$F$4503,_imp!$C$3481))</f>
        <v/>
      </c>
      <c r="D3479" s="54">
        <f>IF(_imp!$C$3481="","",INDEX(_imp!$G$4:$G$4503,_imp!$C$3481))</f>
        <v/>
      </c>
      <c r="E3479" s="54">
        <f>IF(_imp!$C$3481="","",INDEX(_imp!$H$4:$H$4503,_imp!$C$3481))</f>
        <v/>
      </c>
      <c r="F3479" s="54">
        <f>IF(_imp!$C$3481="","",INDEX(_imp!$I$4:$I$4503,_imp!$C$3481))</f>
        <v/>
      </c>
      <c r="G3479" s="54">
        <f>IF(_imp!$C$3481="","",INDEX(_imp!$J$4:$J$4503,_imp!$C$3481))</f>
        <v/>
      </c>
      <c r="K3479" s="54">
        <f>IF(_imp!$C$3481="","",INDEX(_imp!$K$4:$K$4503,_imp!$C$3481))</f>
        <v/>
      </c>
    </row>
    <row r="3480">
      <c r="A3480" s="54">
        <f>IF(_imp!$C$3482="","",INDEX(_imp!$D$4:$D$4503,_imp!$C$3482))</f>
        <v/>
      </c>
      <c r="B3480" s="54">
        <f>IF(_imp!$C$3482="","",INDEX(_imp!$E$4:$E$4503,_imp!$C$3482))</f>
        <v/>
      </c>
      <c r="C3480" s="54">
        <f>IF(_imp!$C$3482="","",INDEX(_imp!$F$4:$F$4503,_imp!$C$3482))</f>
        <v/>
      </c>
      <c r="D3480" s="54">
        <f>IF(_imp!$C$3482="","",INDEX(_imp!$G$4:$G$4503,_imp!$C$3482))</f>
        <v/>
      </c>
      <c r="E3480" s="54">
        <f>IF(_imp!$C$3482="","",INDEX(_imp!$H$4:$H$4503,_imp!$C$3482))</f>
        <v/>
      </c>
      <c r="F3480" s="54">
        <f>IF(_imp!$C$3482="","",INDEX(_imp!$I$4:$I$4503,_imp!$C$3482))</f>
        <v/>
      </c>
      <c r="G3480" s="54">
        <f>IF(_imp!$C$3482="","",INDEX(_imp!$J$4:$J$4503,_imp!$C$3482))</f>
        <v/>
      </c>
      <c r="K3480" s="54">
        <f>IF(_imp!$C$3482="","",INDEX(_imp!$K$4:$K$4503,_imp!$C$3482))</f>
        <v/>
      </c>
    </row>
    <row r="3481">
      <c r="A3481" s="54">
        <f>IF(_imp!$C$3483="","",INDEX(_imp!$D$4:$D$4503,_imp!$C$3483))</f>
        <v/>
      </c>
      <c r="B3481" s="54">
        <f>IF(_imp!$C$3483="","",INDEX(_imp!$E$4:$E$4503,_imp!$C$3483))</f>
        <v/>
      </c>
      <c r="C3481" s="54">
        <f>IF(_imp!$C$3483="","",INDEX(_imp!$F$4:$F$4503,_imp!$C$3483))</f>
        <v/>
      </c>
      <c r="D3481" s="54">
        <f>IF(_imp!$C$3483="","",INDEX(_imp!$G$4:$G$4503,_imp!$C$3483))</f>
        <v/>
      </c>
      <c r="E3481" s="54">
        <f>IF(_imp!$C$3483="","",INDEX(_imp!$H$4:$H$4503,_imp!$C$3483))</f>
        <v/>
      </c>
      <c r="F3481" s="54">
        <f>IF(_imp!$C$3483="","",INDEX(_imp!$I$4:$I$4503,_imp!$C$3483))</f>
        <v/>
      </c>
      <c r="G3481" s="54">
        <f>IF(_imp!$C$3483="","",INDEX(_imp!$J$4:$J$4503,_imp!$C$3483))</f>
        <v/>
      </c>
      <c r="K3481" s="54">
        <f>IF(_imp!$C$3483="","",INDEX(_imp!$K$4:$K$4503,_imp!$C$3483))</f>
        <v/>
      </c>
    </row>
    <row r="3482">
      <c r="A3482" s="54">
        <f>IF(_imp!$C$3484="","",INDEX(_imp!$D$4:$D$4503,_imp!$C$3484))</f>
        <v/>
      </c>
      <c r="B3482" s="54">
        <f>IF(_imp!$C$3484="","",INDEX(_imp!$E$4:$E$4503,_imp!$C$3484))</f>
        <v/>
      </c>
      <c r="C3482" s="54">
        <f>IF(_imp!$C$3484="","",INDEX(_imp!$F$4:$F$4503,_imp!$C$3484))</f>
        <v/>
      </c>
      <c r="D3482" s="54">
        <f>IF(_imp!$C$3484="","",INDEX(_imp!$G$4:$G$4503,_imp!$C$3484))</f>
        <v/>
      </c>
      <c r="E3482" s="54">
        <f>IF(_imp!$C$3484="","",INDEX(_imp!$H$4:$H$4503,_imp!$C$3484))</f>
        <v/>
      </c>
      <c r="F3482" s="54">
        <f>IF(_imp!$C$3484="","",INDEX(_imp!$I$4:$I$4503,_imp!$C$3484))</f>
        <v/>
      </c>
      <c r="G3482" s="54">
        <f>IF(_imp!$C$3484="","",INDEX(_imp!$J$4:$J$4503,_imp!$C$3484))</f>
        <v/>
      </c>
      <c r="K3482" s="54">
        <f>IF(_imp!$C$3484="","",INDEX(_imp!$K$4:$K$4503,_imp!$C$3484))</f>
        <v/>
      </c>
    </row>
    <row r="3483">
      <c r="A3483" s="54">
        <f>IF(_imp!$C$3485="","",INDEX(_imp!$D$4:$D$4503,_imp!$C$3485))</f>
        <v/>
      </c>
      <c r="B3483" s="54">
        <f>IF(_imp!$C$3485="","",INDEX(_imp!$E$4:$E$4503,_imp!$C$3485))</f>
        <v/>
      </c>
      <c r="C3483" s="54">
        <f>IF(_imp!$C$3485="","",INDEX(_imp!$F$4:$F$4503,_imp!$C$3485))</f>
        <v/>
      </c>
      <c r="D3483" s="54">
        <f>IF(_imp!$C$3485="","",INDEX(_imp!$G$4:$G$4503,_imp!$C$3485))</f>
        <v/>
      </c>
      <c r="E3483" s="54">
        <f>IF(_imp!$C$3485="","",INDEX(_imp!$H$4:$H$4503,_imp!$C$3485))</f>
        <v/>
      </c>
      <c r="F3483" s="54">
        <f>IF(_imp!$C$3485="","",INDEX(_imp!$I$4:$I$4503,_imp!$C$3485))</f>
        <v/>
      </c>
      <c r="G3483" s="54">
        <f>IF(_imp!$C$3485="","",INDEX(_imp!$J$4:$J$4503,_imp!$C$3485))</f>
        <v/>
      </c>
      <c r="K3483" s="54">
        <f>IF(_imp!$C$3485="","",INDEX(_imp!$K$4:$K$4503,_imp!$C$3485))</f>
        <v/>
      </c>
    </row>
    <row r="3484">
      <c r="A3484" s="54">
        <f>IF(_imp!$C$3486="","",INDEX(_imp!$D$4:$D$4503,_imp!$C$3486))</f>
        <v/>
      </c>
      <c r="B3484" s="54">
        <f>IF(_imp!$C$3486="","",INDEX(_imp!$E$4:$E$4503,_imp!$C$3486))</f>
        <v/>
      </c>
      <c r="C3484" s="54">
        <f>IF(_imp!$C$3486="","",INDEX(_imp!$F$4:$F$4503,_imp!$C$3486))</f>
        <v/>
      </c>
      <c r="D3484" s="54">
        <f>IF(_imp!$C$3486="","",INDEX(_imp!$G$4:$G$4503,_imp!$C$3486))</f>
        <v/>
      </c>
      <c r="E3484" s="54">
        <f>IF(_imp!$C$3486="","",INDEX(_imp!$H$4:$H$4503,_imp!$C$3486))</f>
        <v/>
      </c>
      <c r="F3484" s="54">
        <f>IF(_imp!$C$3486="","",INDEX(_imp!$I$4:$I$4503,_imp!$C$3486))</f>
        <v/>
      </c>
      <c r="G3484" s="54">
        <f>IF(_imp!$C$3486="","",INDEX(_imp!$J$4:$J$4503,_imp!$C$3486))</f>
        <v/>
      </c>
      <c r="K3484" s="54">
        <f>IF(_imp!$C$3486="","",INDEX(_imp!$K$4:$K$4503,_imp!$C$3486))</f>
        <v/>
      </c>
    </row>
    <row r="3485">
      <c r="A3485" s="54">
        <f>IF(_imp!$C$3487="","",INDEX(_imp!$D$4:$D$4503,_imp!$C$3487))</f>
        <v/>
      </c>
      <c r="B3485" s="54">
        <f>IF(_imp!$C$3487="","",INDEX(_imp!$E$4:$E$4503,_imp!$C$3487))</f>
        <v/>
      </c>
      <c r="C3485" s="54">
        <f>IF(_imp!$C$3487="","",INDEX(_imp!$F$4:$F$4503,_imp!$C$3487))</f>
        <v/>
      </c>
      <c r="D3485" s="54">
        <f>IF(_imp!$C$3487="","",INDEX(_imp!$G$4:$G$4503,_imp!$C$3487))</f>
        <v/>
      </c>
      <c r="E3485" s="54">
        <f>IF(_imp!$C$3487="","",INDEX(_imp!$H$4:$H$4503,_imp!$C$3487))</f>
        <v/>
      </c>
      <c r="F3485" s="54">
        <f>IF(_imp!$C$3487="","",INDEX(_imp!$I$4:$I$4503,_imp!$C$3487))</f>
        <v/>
      </c>
      <c r="G3485" s="54">
        <f>IF(_imp!$C$3487="","",INDEX(_imp!$J$4:$J$4503,_imp!$C$3487))</f>
        <v/>
      </c>
      <c r="K3485" s="54">
        <f>IF(_imp!$C$3487="","",INDEX(_imp!$K$4:$K$4503,_imp!$C$3487))</f>
        <v/>
      </c>
    </row>
    <row r="3486">
      <c r="A3486" s="54">
        <f>IF(_imp!$C$3488="","",INDEX(_imp!$D$4:$D$4503,_imp!$C$3488))</f>
        <v/>
      </c>
      <c r="B3486" s="54">
        <f>IF(_imp!$C$3488="","",INDEX(_imp!$E$4:$E$4503,_imp!$C$3488))</f>
        <v/>
      </c>
      <c r="C3486" s="54">
        <f>IF(_imp!$C$3488="","",INDEX(_imp!$F$4:$F$4503,_imp!$C$3488))</f>
        <v/>
      </c>
      <c r="D3486" s="54">
        <f>IF(_imp!$C$3488="","",INDEX(_imp!$G$4:$G$4503,_imp!$C$3488))</f>
        <v/>
      </c>
      <c r="E3486" s="54">
        <f>IF(_imp!$C$3488="","",INDEX(_imp!$H$4:$H$4503,_imp!$C$3488))</f>
        <v/>
      </c>
      <c r="F3486" s="54">
        <f>IF(_imp!$C$3488="","",INDEX(_imp!$I$4:$I$4503,_imp!$C$3488))</f>
        <v/>
      </c>
      <c r="G3486" s="54">
        <f>IF(_imp!$C$3488="","",INDEX(_imp!$J$4:$J$4503,_imp!$C$3488))</f>
        <v/>
      </c>
      <c r="K3486" s="54">
        <f>IF(_imp!$C$3488="","",INDEX(_imp!$K$4:$K$4503,_imp!$C$3488))</f>
        <v/>
      </c>
    </row>
    <row r="3487">
      <c r="A3487" s="54">
        <f>IF(_imp!$C$3489="","",INDEX(_imp!$D$4:$D$4503,_imp!$C$3489))</f>
        <v/>
      </c>
      <c r="B3487" s="54">
        <f>IF(_imp!$C$3489="","",INDEX(_imp!$E$4:$E$4503,_imp!$C$3489))</f>
        <v/>
      </c>
      <c r="C3487" s="54">
        <f>IF(_imp!$C$3489="","",INDEX(_imp!$F$4:$F$4503,_imp!$C$3489))</f>
        <v/>
      </c>
      <c r="D3487" s="54">
        <f>IF(_imp!$C$3489="","",INDEX(_imp!$G$4:$G$4503,_imp!$C$3489))</f>
        <v/>
      </c>
      <c r="E3487" s="54">
        <f>IF(_imp!$C$3489="","",INDEX(_imp!$H$4:$H$4503,_imp!$C$3489))</f>
        <v/>
      </c>
      <c r="F3487" s="54">
        <f>IF(_imp!$C$3489="","",INDEX(_imp!$I$4:$I$4503,_imp!$C$3489))</f>
        <v/>
      </c>
      <c r="G3487" s="54">
        <f>IF(_imp!$C$3489="","",INDEX(_imp!$J$4:$J$4503,_imp!$C$3489))</f>
        <v/>
      </c>
      <c r="K3487" s="54">
        <f>IF(_imp!$C$3489="","",INDEX(_imp!$K$4:$K$4503,_imp!$C$3489))</f>
        <v/>
      </c>
    </row>
    <row r="3488">
      <c r="A3488" s="54">
        <f>IF(_imp!$C$3490="","",INDEX(_imp!$D$4:$D$4503,_imp!$C$3490))</f>
        <v/>
      </c>
      <c r="B3488" s="54">
        <f>IF(_imp!$C$3490="","",INDEX(_imp!$E$4:$E$4503,_imp!$C$3490))</f>
        <v/>
      </c>
      <c r="C3488" s="54">
        <f>IF(_imp!$C$3490="","",INDEX(_imp!$F$4:$F$4503,_imp!$C$3490))</f>
        <v/>
      </c>
      <c r="D3488" s="54">
        <f>IF(_imp!$C$3490="","",INDEX(_imp!$G$4:$G$4503,_imp!$C$3490))</f>
        <v/>
      </c>
      <c r="E3488" s="54">
        <f>IF(_imp!$C$3490="","",INDEX(_imp!$H$4:$H$4503,_imp!$C$3490))</f>
        <v/>
      </c>
      <c r="F3488" s="54">
        <f>IF(_imp!$C$3490="","",INDEX(_imp!$I$4:$I$4503,_imp!$C$3490))</f>
        <v/>
      </c>
      <c r="G3488" s="54">
        <f>IF(_imp!$C$3490="","",INDEX(_imp!$J$4:$J$4503,_imp!$C$3490))</f>
        <v/>
      </c>
      <c r="K3488" s="54">
        <f>IF(_imp!$C$3490="","",INDEX(_imp!$K$4:$K$4503,_imp!$C$3490))</f>
        <v/>
      </c>
    </row>
    <row r="3489">
      <c r="A3489" s="54">
        <f>IF(_imp!$C$3491="","",INDEX(_imp!$D$4:$D$4503,_imp!$C$3491))</f>
        <v/>
      </c>
      <c r="B3489" s="54">
        <f>IF(_imp!$C$3491="","",INDEX(_imp!$E$4:$E$4503,_imp!$C$3491))</f>
        <v/>
      </c>
      <c r="C3489" s="54">
        <f>IF(_imp!$C$3491="","",INDEX(_imp!$F$4:$F$4503,_imp!$C$3491))</f>
        <v/>
      </c>
      <c r="D3489" s="54">
        <f>IF(_imp!$C$3491="","",INDEX(_imp!$G$4:$G$4503,_imp!$C$3491))</f>
        <v/>
      </c>
      <c r="E3489" s="54">
        <f>IF(_imp!$C$3491="","",INDEX(_imp!$H$4:$H$4503,_imp!$C$3491))</f>
        <v/>
      </c>
      <c r="F3489" s="54">
        <f>IF(_imp!$C$3491="","",INDEX(_imp!$I$4:$I$4503,_imp!$C$3491))</f>
        <v/>
      </c>
      <c r="G3489" s="54">
        <f>IF(_imp!$C$3491="","",INDEX(_imp!$J$4:$J$4503,_imp!$C$3491))</f>
        <v/>
      </c>
      <c r="K3489" s="54">
        <f>IF(_imp!$C$3491="","",INDEX(_imp!$K$4:$K$4503,_imp!$C$3491))</f>
        <v/>
      </c>
    </row>
    <row r="3490">
      <c r="A3490" s="54">
        <f>IF(_imp!$C$3492="","",INDEX(_imp!$D$4:$D$4503,_imp!$C$3492))</f>
        <v/>
      </c>
      <c r="B3490" s="54">
        <f>IF(_imp!$C$3492="","",INDEX(_imp!$E$4:$E$4503,_imp!$C$3492))</f>
        <v/>
      </c>
      <c r="C3490" s="54">
        <f>IF(_imp!$C$3492="","",INDEX(_imp!$F$4:$F$4503,_imp!$C$3492))</f>
        <v/>
      </c>
      <c r="D3490" s="54">
        <f>IF(_imp!$C$3492="","",INDEX(_imp!$G$4:$G$4503,_imp!$C$3492))</f>
        <v/>
      </c>
      <c r="E3490" s="54">
        <f>IF(_imp!$C$3492="","",INDEX(_imp!$H$4:$H$4503,_imp!$C$3492))</f>
        <v/>
      </c>
      <c r="F3490" s="54">
        <f>IF(_imp!$C$3492="","",INDEX(_imp!$I$4:$I$4503,_imp!$C$3492))</f>
        <v/>
      </c>
      <c r="G3490" s="54">
        <f>IF(_imp!$C$3492="","",INDEX(_imp!$J$4:$J$4503,_imp!$C$3492))</f>
        <v/>
      </c>
      <c r="K3490" s="54">
        <f>IF(_imp!$C$3492="","",INDEX(_imp!$K$4:$K$4503,_imp!$C$3492))</f>
        <v/>
      </c>
    </row>
    <row r="3491">
      <c r="A3491" s="54">
        <f>IF(_imp!$C$3493="","",INDEX(_imp!$D$4:$D$4503,_imp!$C$3493))</f>
        <v/>
      </c>
      <c r="B3491" s="54">
        <f>IF(_imp!$C$3493="","",INDEX(_imp!$E$4:$E$4503,_imp!$C$3493))</f>
        <v/>
      </c>
      <c r="C3491" s="54">
        <f>IF(_imp!$C$3493="","",INDEX(_imp!$F$4:$F$4503,_imp!$C$3493))</f>
        <v/>
      </c>
      <c r="D3491" s="54">
        <f>IF(_imp!$C$3493="","",INDEX(_imp!$G$4:$G$4503,_imp!$C$3493))</f>
        <v/>
      </c>
      <c r="E3491" s="54">
        <f>IF(_imp!$C$3493="","",INDEX(_imp!$H$4:$H$4503,_imp!$C$3493))</f>
        <v/>
      </c>
      <c r="F3491" s="54">
        <f>IF(_imp!$C$3493="","",INDEX(_imp!$I$4:$I$4503,_imp!$C$3493))</f>
        <v/>
      </c>
      <c r="G3491" s="54">
        <f>IF(_imp!$C$3493="","",INDEX(_imp!$J$4:$J$4503,_imp!$C$3493))</f>
        <v/>
      </c>
      <c r="K3491" s="54">
        <f>IF(_imp!$C$3493="","",INDEX(_imp!$K$4:$K$4503,_imp!$C$3493))</f>
        <v/>
      </c>
    </row>
    <row r="3492">
      <c r="A3492" s="54">
        <f>IF(_imp!$C$3494="","",INDEX(_imp!$D$4:$D$4503,_imp!$C$3494))</f>
        <v/>
      </c>
      <c r="B3492" s="54">
        <f>IF(_imp!$C$3494="","",INDEX(_imp!$E$4:$E$4503,_imp!$C$3494))</f>
        <v/>
      </c>
      <c r="C3492" s="54">
        <f>IF(_imp!$C$3494="","",INDEX(_imp!$F$4:$F$4503,_imp!$C$3494))</f>
        <v/>
      </c>
      <c r="D3492" s="54">
        <f>IF(_imp!$C$3494="","",INDEX(_imp!$G$4:$G$4503,_imp!$C$3494))</f>
        <v/>
      </c>
      <c r="E3492" s="54">
        <f>IF(_imp!$C$3494="","",INDEX(_imp!$H$4:$H$4503,_imp!$C$3494))</f>
        <v/>
      </c>
      <c r="F3492" s="54">
        <f>IF(_imp!$C$3494="","",INDEX(_imp!$I$4:$I$4503,_imp!$C$3494))</f>
        <v/>
      </c>
      <c r="G3492" s="54">
        <f>IF(_imp!$C$3494="","",INDEX(_imp!$J$4:$J$4503,_imp!$C$3494))</f>
        <v/>
      </c>
      <c r="K3492" s="54">
        <f>IF(_imp!$C$3494="","",INDEX(_imp!$K$4:$K$4503,_imp!$C$3494))</f>
        <v/>
      </c>
    </row>
    <row r="3493">
      <c r="A3493" s="54">
        <f>IF(_imp!$C$3495="","",INDEX(_imp!$D$4:$D$4503,_imp!$C$3495))</f>
        <v/>
      </c>
      <c r="B3493" s="54">
        <f>IF(_imp!$C$3495="","",INDEX(_imp!$E$4:$E$4503,_imp!$C$3495))</f>
        <v/>
      </c>
      <c r="C3493" s="54">
        <f>IF(_imp!$C$3495="","",INDEX(_imp!$F$4:$F$4503,_imp!$C$3495))</f>
        <v/>
      </c>
      <c r="D3493" s="54">
        <f>IF(_imp!$C$3495="","",INDEX(_imp!$G$4:$G$4503,_imp!$C$3495))</f>
        <v/>
      </c>
      <c r="E3493" s="54">
        <f>IF(_imp!$C$3495="","",INDEX(_imp!$H$4:$H$4503,_imp!$C$3495))</f>
        <v/>
      </c>
      <c r="F3493" s="54">
        <f>IF(_imp!$C$3495="","",INDEX(_imp!$I$4:$I$4503,_imp!$C$3495))</f>
        <v/>
      </c>
      <c r="G3493" s="54">
        <f>IF(_imp!$C$3495="","",INDEX(_imp!$J$4:$J$4503,_imp!$C$3495))</f>
        <v/>
      </c>
      <c r="K3493" s="54">
        <f>IF(_imp!$C$3495="","",INDEX(_imp!$K$4:$K$4503,_imp!$C$3495))</f>
        <v/>
      </c>
    </row>
    <row r="3494">
      <c r="A3494" s="54">
        <f>IF(_imp!$C$3496="","",INDEX(_imp!$D$4:$D$4503,_imp!$C$3496))</f>
        <v/>
      </c>
      <c r="B3494" s="54">
        <f>IF(_imp!$C$3496="","",INDEX(_imp!$E$4:$E$4503,_imp!$C$3496))</f>
        <v/>
      </c>
      <c r="C3494" s="54">
        <f>IF(_imp!$C$3496="","",INDEX(_imp!$F$4:$F$4503,_imp!$C$3496))</f>
        <v/>
      </c>
      <c r="D3494" s="54">
        <f>IF(_imp!$C$3496="","",INDEX(_imp!$G$4:$G$4503,_imp!$C$3496))</f>
        <v/>
      </c>
      <c r="E3494" s="54">
        <f>IF(_imp!$C$3496="","",INDEX(_imp!$H$4:$H$4503,_imp!$C$3496))</f>
        <v/>
      </c>
      <c r="F3494" s="54">
        <f>IF(_imp!$C$3496="","",INDEX(_imp!$I$4:$I$4503,_imp!$C$3496))</f>
        <v/>
      </c>
      <c r="G3494" s="54">
        <f>IF(_imp!$C$3496="","",INDEX(_imp!$J$4:$J$4503,_imp!$C$3496))</f>
        <v/>
      </c>
      <c r="K3494" s="54">
        <f>IF(_imp!$C$3496="","",INDEX(_imp!$K$4:$K$4503,_imp!$C$3496))</f>
        <v/>
      </c>
    </row>
    <row r="3495">
      <c r="A3495" s="54">
        <f>IF(_imp!$C$3497="","",INDEX(_imp!$D$4:$D$4503,_imp!$C$3497))</f>
        <v/>
      </c>
      <c r="B3495" s="54">
        <f>IF(_imp!$C$3497="","",INDEX(_imp!$E$4:$E$4503,_imp!$C$3497))</f>
        <v/>
      </c>
      <c r="C3495" s="54">
        <f>IF(_imp!$C$3497="","",INDEX(_imp!$F$4:$F$4503,_imp!$C$3497))</f>
        <v/>
      </c>
      <c r="D3495" s="54">
        <f>IF(_imp!$C$3497="","",INDEX(_imp!$G$4:$G$4503,_imp!$C$3497))</f>
        <v/>
      </c>
      <c r="E3495" s="54">
        <f>IF(_imp!$C$3497="","",INDEX(_imp!$H$4:$H$4503,_imp!$C$3497))</f>
        <v/>
      </c>
      <c r="F3495" s="54">
        <f>IF(_imp!$C$3497="","",INDEX(_imp!$I$4:$I$4503,_imp!$C$3497))</f>
        <v/>
      </c>
      <c r="G3495" s="54">
        <f>IF(_imp!$C$3497="","",INDEX(_imp!$J$4:$J$4503,_imp!$C$3497))</f>
        <v/>
      </c>
      <c r="K3495" s="54">
        <f>IF(_imp!$C$3497="","",INDEX(_imp!$K$4:$K$4503,_imp!$C$3497))</f>
        <v/>
      </c>
    </row>
    <row r="3496">
      <c r="A3496" s="54">
        <f>IF(_imp!$C$3498="","",INDEX(_imp!$D$4:$D$4503,_imp!$C$3498))</f>
        <v/>
      </c>
      <c r="B3496" s="54">
        <f>IF(_imp!$C$3498="","",INDEX(_imp!$E$4:$E$4503,_imp!$C$3498))</f>
        <v/>
      </c>
      <c r="C3496" s="54">
        <f>IF(_imp!$C$3498="","",INDEX(_imp!$F$4:$F$4503,_imp!$C$3498))</f>
        <v/>
      </c>
      <c r="D3496" s="54">
        <f>IF(_imp!$C$3498="","",INDEX(_imp!$G$4:$G$4503,_imp!$C$3498))</f>
        <v/>
      </c>
      <c r="E3496" s="54">
        <f>IF(_imp!$C$3498="","",INDEX(_imp!$H$4:$H$4503,_imp!$C$3498))</f>
        <v/>
      </c>
      <c r="F3496" s="54">
        <f>IF(_imp!$C$3498="","",INDEX(_imp!$I$4:$I$4503,_imp!$C$3498))</f>
        <v/>
      </c>
      <c r="G3496" s="54">
        <f>IF(_imp!$C$3498="","",INDEX(_imp!$J$4:$J$4503,_imp!$C$3498))</f>
        <v/>
      </c>
      <c r="K3496" s="54">
        <f>IF(_imp!$C$3498="","",INDEX(_imp!$K$4:$K$4503,_imp!$C$3498))</f>
        <v/>
      </c>
    </row>
    <row r="3497">
      <c r="A3497" s="54">
        <f>IF(_imp!$C$3499="","",INDEX(_imp!$D$4:$D$4503,_imp!$C$3499))</f>
        <v/>
      </c>
      <c r="B3497" s="54">
        <f>IF(_imp!$C$3499="","",INDEX(_imp!$E$4:$E$4503,_imp!$C$3499))</f>
        <v/>
      </c>
      <c r="C3497" s="54">
        <f>IF(_imp!$C$3499="","",INDEX(_imp!$F$4:$F$4503,_imp!$C$3499))</f>
        <v/>
      </c>
      <c r="D3497" s="54">
        <f>IF(_imp!$C$3499="","",INDEX(_imp!$G$4:$G$4503,_imp!$C$3499))</f>
        <v/>
      </c>
      <c r="E3497" s="54">
        <f>IF(_imp!$C$3499="","",INDEX(_imp!$H$4:$H$4503,_imp!$C$3499))</f>
        <v/>
      </c>
      <c r="F3497" s="54">
        <f>IF(_imp!$C$3499="","",INDEX(_imp!$I$4:$I$4503,_imp!$C$3499))</f>
        <v/>
      </c>
      <c r="G3497" s="54">
        <f>IF(_imp!$C$3499="","",INDEX(_imp!$J$4:$J$4503,_imp!$C$3499))</f>
        <v/>
      </c>
      <c r="K3497" s="54">
        <f>IF(_imp!$C$3499="","",INDEX(_imp!$K$4:$K$4503,_imp!$C$3499))</f>
        <v/>
      </c>
    </row>
    <row r="3498">
      <c r="A3498" s="54">
        <f>IF(_imp!$C$3500="","",INDEX(_imp!$D$4:$D$4503,_imp!$C$3500))</f>
        <v/>
      </c>
      <c r="B3498" s="54">
        <f>IF(_imp!$C$3500="","",INDEX(_imp!$E$4:$E$4503,_imp!$C$3500))</f>
        <v/>
      </c>
      <c r="C3498" s="54">
        <f>IF(_imp!$C$3500="","",INDEX(_imp!$F$4:$F$4503,_imp!$C$3500))</f>
        <v/>
      </c>
      <c r="D3498" s="54">
        <f>IF(_imp!$C$3500="","",INDEX(_imp!$G$4:$G$4503,_imp!$C$3500))</f>
        <v/>
      </c>
      <c r="E3498" s="54">
        <f>IF(_imp!$C$3500="","",INDEX(_imp!$H$4:$H$4503,_imp!$C$3500))</f>
        <v/>
      </c>
      <c r="F3498" s="54">
        <f>IF(_imp!$C$3500="","",INDEX(_imp!$I$4:$I$4503,_imp!$C$3500))</f>
        <v/>
      </c>
      <c r="G3498" s="54">
        <f>IF(_imp!$C$3500="","",INDEX(_imp!$J$4:$J$4503,_imp!$C$3500))</f>
        <v/>
      </c>
      <c r="K3498" s="54">
        <f>IF(_imp!$C$3500="","",INDEX(_imp!$K$4:$K$4503,_imp!$C$3500))</f>
        <v/>
      </c>
    </row>
    <row r="3499">
      <c r="A3499" s="54">
        <f>IF(_imp!$C$3501="","",INDEX(_imp!$D$4:$D$4503,_imp!$C$3501))</f>
        <v/>
      </c>
      <c r="B3499" s="54">
        <f>IF(_imp!$C$3501="","",INDEX(_imp!$E$4:$E$4503,_imp!$C$3501))</f>
        <v/>
      </c>
      <c r="C3499" s="54">
        <f>IF(_imp!$C$3501="","",INDEX(_imp!$F$4:$F$4503,_imp!$C$3501))</f>
        <v/>
      </c>
      <c r="D3499" s="54">
        <f>IF(_imp!$C$3501="","",INDEX(_imp!$G$4:$G$4503,_imp!$C$3501))</f>
        <v/>
      </c>
      <c r="E3499" s="54">
        <f>IF(_imp!$C$3501="","",INDEX(_imp!$H$4:$H$4503,_imp!$C$3501))</f>
        <v/>
      </c>
      <c r="F3499" s="54">
        <f>IF(_imp!$C$3501="","",INDEX(_imp!$I$4:$I$4503,_imp!$C$3501))</f>
        <v/>
      </c>
      <c r="G3499" s="54">
        <f>IF(_imp!$C$3501="","",INDEX(_imp!$J$4:$J$4503,_imp!$C$3501))</f>
        <v/>
      </c>
      <c r="K3499" s="54">
        <f>IF(_imp!$C$3501="","",INDEX(_imp!$K$4:$K$4503,_imp!$C$3501))</f>
        <v/>
      </c>
    </row>
    <row r="3500">
      <c r="A3500" s="54">
        <f>IF(_imp!$C$3502="","",INDEX(_imp!$D$4:$D$4503,_imp!$C$3502))</f>
        <v/>
      </c>
      <c r="B3500" s="54">
        <f>IF(_imp!$C$3502="","",INDEX(_imp!$E$4:$E$4503,_imp!$C$3502))</f>
        <v/>
      </c>
      <c r="C3500" s="54">
        <f>IF(_imp!$C$3502="","",INDEX(_imp!$F$4:$F$4503,_imp!$C$3502))</f>
        <v/>
      </c>
      <c r="D3500" s="54">
        <f>IF(_imp!$C$3502="","",INDEX(_imp!$G$4:$G$4503,_imp!$C$3502))</f>
        <v/>
      </c>
      <c r="E3500" s="54">
        <f>IF(_imp!$C$3502="","",INDEX(_imp!$H$4:$H$4503,_imp!$C$3502))</f>
        <v/>
      </c>
      <c r="F3500" s="54">
        <f>IF(_imp!$C$3502="","",INDEX(_imp!$I$4:$I$4503,_imp!$C$3502))</f>
        <v/>
      </c>
      <c r="G3500" s="54">
        <f>IF(_imp!$C$3502="","",INDEX(_imp!$J$4:$J$4503,_imp!$C$3502))</f>
        <v/>
      </c>
      <c r="K3500" s="54">
        <f>IF(_imp!$C$3502="","",INDEX(_imp!$K$4:$K$4503,_imp!$C$3502))</f>
        <v/>
      </c>
    </row>
    <row r="3501">
      <c r="A3501" s="54">
        <f>IF(_imp!$C$3503="","",INDEX(_imp!$D$4:$D$4503,_imp!$C$3503))</f>
        <v/>
      </c>
      <c r="B3501" s="54">
        <f>IF(_imp!$C$3503="","",INDEX(_imp!$E$4:$E$4503,_imp!$C$3503))</f>
        <v/>
      </c>
      <c r="C3501" s="54">
        <f>IF(_imp!$C$3503="","",INDEX(_imp!$F$4:$F$4503,_imp!$C$3503))</f>
        <v/>
      </c>
      <c r="D3501" s="54">
        <f>IF(_imp!$C$3503="","",INDEX(_imp!$G$4:$G$4503,_imp!$C$3503))</f>
        <v/>
      </c>
      <c r="E3501" s="54">
        <f>IF(_imp!$C$3503="","",INDEX(_imp!$H$4:$H$4503,_imp!$C$3503))</f>
        <v/>
      </c>
      <c r="F3501" s="54">
        <f>IF(_imp!$C$3503="","",INDEX(_imp!$I$4:$I$4503,_imp!$C$3503))</f>
        <v/>
      </c>
      <c r="G3501" s="54">
        <f>IF(_imp!$C$3503="","",INDEX(_imp!$J$4:$J$4503,_imp!$C$3503))</f>
        <v/>
      </c>
      <c r="K3501" s="54">
        <f>IF(_imp!$C$3503="","",INDEX(_imp!$K$4:$K$4503,_imp!$C$3503))</f>
        <v/>
      </c>
    </row>
    <row r="3502">
      <c r="A3502" s="54">
        <f>IF(_imp!$C$3504="","",INDEX(_imp!$D$4:$D$4503,_imp!$C$3504))</f>
        <v/>
      </c>
      <c r="B3502" s="54">
        <f>IF(_imp!$C$3504="","",INDEX(_imp!$E$4:$E$4503,_imp!$C$3504))</f>
        <v/>
      </c>
      <c r="C3502" s="54">
        <f>IF(_imp!$C$3504="","",INDEX(_imp!$F$4:$F$4503,_imp!$C$3504))</f>
        <v/>
      </c>
      <c r="D3502" s="54">
        <f>IF(_imp!$C$3504="","",INDEX(_imp!$G$4:$G$4503,_imp!$C$3504))</f>
        <v/>
      </c>
      <c r="E3502" s="54">
        <f>IF(_imp!$C$3504="","",INDEX(_imp!$H$4:$H$4503,_imp!$C$3504))</f>
        <v/>
      </c>
      <c r="F3502" s="54">
        <f>IF(_imp!$C$3504="","",INDEX(_imp!$I$4:$I$4503,_imp!$C$3504))</f>
        <v/>
      </c>
      <c r="G3502" s="54">
        <f>IF(_imp!$C$3504="","",INDEX(_imp!$J$4:$J$4503,_imp!$C$3504))</f>
        <v/>
      </c>
      <c r="K3502" s="54">
        <f>IF(_imp!$C$3504="","",INDEX(_imp!$K$4:$K$4503,_imp!$C$3504))</f>
        <v/>
      </c>
    </row>
    <row r="3503">
      <c r="A3503" s="54">
        <f>IF(_imp!$C$3505="","",INDEX(_imp!$D$4:$D$4503,_imp!$C$3505))</f>
        <v/>
      </c>
      <c r="B3503" s="54">
        <f>IF(_imp!$C$3505="","",INDEX(_imp!$E$4:$E$4503,_imp!$C$3505))</f>
        <v/>
      </c>
      <c r="C3503" s="54">
        <f>IF(_imp!$C$3505="","",INDEX(_imp!$F$4:$F$4503,_imp!$C$3505))</f>
        <v/>
      </c>
      <c r="D3503" s="54">
        <f>IF(_imp!$C$3505="","",INDEX(_imp!$G$4:$G$4503,_imp!$C$3505))</f>
        <v/>
      </c>
      <c r="E3503" s="54">
        <f>IF(_imp!$C$3505="","",INDEX(_imp!$H$4:$H$4503,_imp!$C$3505))</f>
        <v/>
      </c>
      <c r="F3503" s="54">
        <f>IF(_imp!$C$3505="","",INDEX(_imp!$I$4:$I$4503,_imp!$C$3505))</f>
        <v/>
      </c>
      <c r="G3503" s="54">
        <f>IF(_imp!$C$3505="","",INDEX(_imp!$J$4:$J$4503,_imp!$C$3505))</f>
        <v/>
      </c>
      <c r="K3503" s="54">
        <f>IF(_imp!$C$3505="","",INDEX(_imp!$K$4:$K$4503,_imp!$C$3505))</f>
        <v/>
      </c>
    </row>
    <row r="3504">
      <c r="A3504" s="54">
        <f>IF(_imp!$C$3506="","",INDEX(_imp!$D$4:$D$4503,_imp!$C$3506))</f>
        <v/>
      </c>
      <c r="B3504" s="54">
        <f>IF(_imp!$C$3506="","",INDEX(_imp!$E$4:$E$4503,_imp!$C$3506))</f>
        <v/>
      </c>
      <c r="C3504" s="54">
        <f>IF(_imp!$C$3506="","",INDEX(_imp!$F$4:$F$4503,_imp!$C$3506))</f>
        <v/>
      </c>
      <c r="D3504" s="54">
        <f>IF(_imp!$C$3506="","",INDEX(_imp!$G$4:$G$4503,_imp!$C$3506))</f>
        <v/>
      </c>
      <c r="E3504" s="54">
        <f>IF(_imp!$C$3506="","",INDEX(_imp!$H$4:$H$4503,_imp!$C$3506))</f>
        <v/>
      </c>
      <c r="F3504" s="54">
        <f>IF(_imp!$C$3506="","",INDEX(_imp!$I$4:$I$4503,_imp!$C$3506))</f>
        <v/>
      </c>
      <c r="G3504" s="54">
        <f>IF(_imp!$C$3506="","",INDEX(_imp!$J$4:$J$4503,_imp!$C$3506))</f>
        <v/>
      </c>
      <c r="K3504" s="54">
        <f>IF(_imp!$C$3506="","",INDEX(_imp!$K$4:$K$4503,_imp!$C$3506))</f>
        <v/>
      </c>
    </row>
    <row r="3505">
      <c r="A3505" s="54">
        <f>IF(_imp!$C$3507="","",INDEX(_imp!$D$4:$D$4503,_imp!$C$3507))</f>
        <v/>
      </c>
      <c r="B3505" s="54">
        <f>IF(_imp!$C$3507="","",INDEX(_imp!$E$4:$E$4503,_imp!$C$3507))</f>
        <v/>
      </c>
      <c r="C3505" s="54">
        <f>IF(_imp!$C$3507="","",INDEX(_imp!$F$4:$F$4503,_imp!$C$3507))</f>
        <v/>
      </c>
      <c r="D3505" s="54">
        <f>IF(_imp!$C$3507="","",INDEX(_imp!$G$4:$G$4503,_imp!$C$3507))</f>
        <v/>
      </c>
      <c r="E3505" s="54">
        <f>IF(_imp!$C$3507="","",INDEX(_imp!$H$4:$H$4503,_imp!$C$3507))</f>
        <v/>
      </c>
      <c r="F3505" s="54">
        <f>IF(_imp!$C$3507="","",INDEX(_imp!$I$4:$I$4503,_imp!$C$3507))</f>
        <v/>
      </c>
      <c r="G3505" s="54">
        <f>IF(_imp!$C$3507="","",INDEX(_imp!$J$4:$J$4503,_imp!$C$3507))</f>
        <v/>
      </c>
      <c r="K3505" s="54">
        <f>IF(_imp!$C$3507="","",INDEX(_imp!$K$4:$K$4503,_imp!$C$3507))</f>
        <v/>
      </c>
    </row>
    <row r="3506">
      <c r="A3506" s="54">
        <f>IF(_imp!$C$3508="","",INDEX(_imp!$D$4:$D$4503,_imp!$C$3508))</f>
        <v/>
      </c>
      <c r="B3506" s="54">
        <f>IF(_imp!$C$3508="","",INDEX(_imp!$E$4:$E$4503,_imp!$C$3508))</f>
        <v/>
      </c>
      <c r="C3506" s="54">
        <f>IF(_imp!$C$3508="","",INDEX(_imp!$F$4:$F$4503,_imp!$C$3508))</f>
        <v/>
      </c>
      <c r="D3506" s="54">
        <f>IF(_imp!$C$3508="","",INDEX(_imp!$G$4:$G$4503,_imp!$C$3508))</f>
        <v/>
      </c>
      <c r="E3506" s="54">
        <f>IF(_imp!$C$3508="","",INDEX(_imp!$H$4:$H$4503,_imp!$C$3508))</f>
        <v/>
      </c>
      <c r="F3506" s="54">
        <f>IF(_imp!$C$3508="","",INDEX(_imp!$I$4:$I$4503,_imp!$C$3508))</f>
        <v/>
      </c>
      <c r="G3506" s="54">
        <f>IF(_imp!$C$3508="","",INDEX(_imp!$J$4:$J$4503,_imp!$C$3508))</f>
        <v/>
      </c>
      <c r="K3506" s="54">
        <f>IF(_imp!$C$3508="","",INDEX(_imp!$K$4:$K$4503,_imp!$C$3508))</f>
        <v/>
      </c>
    </row>
    <row r="3507">
      <c r="A3507" s="54">
        <f>IF(_imp!$C$3509="","",INDEX(_imp!$D$4:$D$4503,_imp!$C$3509))</f>
        <v/>
      </c>
      <c r="B3507" s="54">
        <f>IF(_imp!$C$3509="","",INDEX(_imp!$E$4:$E$4503,_imp!$C$3509))</f>
        <v/>
      </c>
      <c r="C3507" s="54">
        <f>IF(_imp!$C$3509="","",INDEX(_imp!$F$4:$F$4503,_imp!$C$3509))</f>
        <v/>
      </c>
      <c r="D3507" s="54">
        <f>IF(_imp!$C$3509="","",INDEX(_imp!$G$4:$G$4503,_imp!$C$3509))</f>
        <v/>
      </c>
      <c r="E3507" s="54">
        <f>IF(_imp!$C$3509="","",INDEX(_imp!$H$4:$H$4503,_imp!$C$3509))</f>
        <v/>
      </c>
      <c r="F3507" s="54">
        <f>IF(_imp!$C$3509="","",INDEX(_imp!$I$4:$I$4503,_imp!$C$3509))</f>
        <v/>
      </c>
      <c r="G3507" s="54">
        <f>IF(_imp!$C$3509="","",INDEX(_imp!$J$4:$J$4503,_imp!$C$3509))</f>
        <v/>
      </c>
      <c r="K3507" s="54">
        <f>IF(_imp!$C$3509="","",INDEX(_imp!$K$4:$K$4503,_imp!$C$3509))</f>
        <v/>
      </c>
    </row>
    <row r="3508">
      <c r="A3508" s="54">
        <f>IF(_imp!$C$3510="","",INDEX(_imp!$D$4:$D$4503,_imp!$C$3510))</f>
        <v/>
      </c>
      <c r="B3508" s="54">
        <f>IF(_imp!$C$3510="","",INDEX(_imp!$E$4:$E$4503,_imp!$C$3510))</f>
        <v/>
      </c>
      <c r="C3508" s="54">
        <f>IF(_imp!$C$3510="","",INDEX(_imp!$F$4:$F$4503,_imp!$C$3510))</f>
        <v/>
      </c>
      <c r="D3508" s="54">
        <f>IF(_imp!$C$3510="","",INDEX(_imp!$G$4:$G$4503,_imp!$C$3510))</f>
        <v/>
      </c>
      <c r="E3508" s="54">
        <f>IF(_imp!$C$3510="","",INDEX(_imp!$H$4:$H$4503,_imp!$C$3510))</f>
        <v/>
      </c>
      <c r="F3508" s="54">
        <f>IF(_imp!$C$3510="","",INDEX(_imp!$I$4:$I$4503,_imp!$C$3510))</f>
        <v/>
      </c>
      <c r="G3508" s="54">
        <f>IF(_imp!$C$3510="","",INDEX(_imp!$J$4:$J$4503,_imp!$C$3510))</f>
        <v/>
      </c>
      <c r="K3508" s="54">
        <f>IF(_imp!$C$3510="","",INDEX(_imp!$K$4:$K$4503,_imp!$C$3510))</f>
        <v/>
      </c>
    </row>
    <row r="3509">
      <c r="A3509" s="54">
        <f>IF(_imp!$C$3511="","",INDEX(_imp!$D$4:$D$4503,_imp!$C$3511))</f>
        <v/>
      </c>
      <c r="B3509" s="54">
        <f>IF(_imp!$C$3511="","",INDEX(_imp!$E$4:$E$4503,_imp!$C$3511))</f>
        <v/>
      </c>
      <c r="C3509" s="54">
        <f>IF(_imp!$C$3511="","",INDEX(_imp!$F$4:$F$4503,_imp!$C$3511))</f>
        <v/>
      </c>
      <c r="D3509" s="54">
        <f>IF(_imp!$C$3511="","",INDEX(_imp!$G$4:$G$4503,_imp!$C$3511))</f>
        <v/>
      </c>
      <c r="E3509" s="54">
        <f>IF(_imp!$C$3511="","",INDEX(_imp!$H$4:$H$4503,_imp!$C$3511))</f>
        <v/>
      </c>
      <c r="F3509" s="54">
        <f>IF(_imp!$C$3511="","",INDEX(_imp!$I$4:$I$4503,_imp!$C$3511))</f>
        <v/>
      </c>
      <c r="G3509" s="54">
        <f>IF(_imp!$C$3511="","",INDEX(_imp!$J$4:$J$4503,_imp!$C$3511))</f>
        <v/>
      </c>
      <c r="K3509" s="54">
        <f>IF(_imp!$C$3511="","",INDEX(_imp!$K$4:$K$4503,_imp!$C$3511))</f>
        <v/>
      </c>
    </row>
    <row r="3510">
      <c r="A3510" s="54">
        <f>IF(_imp!$C$3512="","",INDEX(_imp!$D$4:$D$4503,_imp!$C$3512))</f>
        <v/>
      </c>
      <c r="B3510" s="54">
        <f>IF(_imp!$C$3512="","",INDEX(_imp!$E$4:$E$4503,_imp!$C$3512))</f>
        <v/>
      </c>
      <c r="C3510" s="54">
        <f>IF(_imp!$C$3512="","",INDEX(_imp!$F$4:$F$4503,_imp!$C$3512))</f>
        <v/>
      </c>
      <c r="D3510" s="54">
        <f>IF(_imp!$C$3512="","",INDEX(_imp!$G$4:$G$4503,_imp!$C$3512))</f>
        <v/>
      </c>
      <c r="E3510" s="54">
        <f>IF(_imp!$C$3512="","",INDEX(_imp!$H$4:$H$4503,_imp!$C$3512))</f>
        <v/>
      </c>
      <c r="F3510" s="54">
        <f>IF(_imp!$C$3512="","",INDEX(_imp!$I$4:$I$4503,_imp!$C$3512))</f>
        <v/>
      </c>
      <c r="G3510" s="54">
        <f>IF(_imp!$C$3512="","",INDEX(_imp!$J$4:$J$4503,_imp!$C$3512))</f>
        <v/>
      </c>
      <c r="K3510" s="54">
        <f>IF(_imp!$C$3512="","",INDEX(_imp!$K$4:$K$4503,_imp!$C$3512))</f>
        <v/>
      </c>
    </row>
    <row r="3511">
      <c r="A3511" s="54">
        <f>IF(_imp!$C$3513="","",INDEX(_imp!$D$4:$D$4503,_imp!$C$3513))</f>
        <v/>
      </c>
      <c r="B3511" s="54">
        <f>IF(_imp!$C$3513="","",INDEX(_imp!$E$4:$E$4503,_imp!$C$3513))</f>
        <v/>
      </c>
      <c r="C3511" s="54">
        <f>IF(_imp!$C$3513="","",INDEX(_imp!$F$4:$F$4503,_imp!$C$3513))</f>
        <v/>
      </c>
      <c r="D3511" s="54">
        <f>IF(_imp!$C$3513="","",INDEX(_imp!$G$4:$G$4503,_imp!$C$3513))</f>
        <v/>
      </c>
      <c r="E3511" s="54">
        <f>IF(_imp!$C$3513="","",INDEX(_imp!$H$4:$H$4503,_imp!$C$3513))</f>
        <v/>
      </c>
      <c r="F3511" s="54">
        <f>IF(_imp!$C$3513="","",INDEX(_imp!$I$4:$I$4503,_imp!$C$3513))</f>
        <v/>
      </c>
      <c r="G3511" s="54">
        <f>IF(_imp!$C$3513="","",INDEX(_imp!$J$4:$J$4503,_imp!$C$3513))</f>
        <v/>
      </c>
      <c r="K3511" s="54">
        <f>IF(_imp!$C$3513="","",INDEX(_imp!$K$4:$K$4503,_imp!$C$3513))</f>
        <v/>
      </c>
    </row>
    <row r="3512">
      <c r="A3512" s="54">
        <f>IF(_imp!$C$3514="","",INDEX(_imp!$D$4:$D$4503,_imp!$C$3514))</f>
        <v/>
      </c>
      <c r="B3512" s="54">
        <f>IF(_imp!$C$3514="","",INDEX(_imp!$E$4:$E$4503,_imp!$C$3514))</f>
        <v/>
      </c>
      <c r="C3512" s="54">
        <f>IF(_imp!$C$3514="","",INDEX(_imp!$F$4:$F$4503,_imp!$C$3514))</f>
        <v/>
      </c>
      <c r="D3512" s="54">
        <f>IF(_imp!$C$3514="","",INDEX(_imp!$G$4:$G$4503,_imp!$C$3514))</f>
        <v/>
      </c>
      <c r="E3512" s="54">
        <f>IF(_imp!$C$3514="","",INDEX(_imp!$H$4:$H$4503,_imp!$C$3514))</f>
        <v/>
      </c>
      <c r="F3512" s="54">
        <f>IF(_imp!$C$3514="","",INDEX(_imp!$I$4:$I$4503,_imp!$C$3514))</f>
        <v/>
      </c>
      <c r="G3512" s="54">
        <f>IF(_imp!$C$3514="","",INDEX(_imp!$J$4:$J$4503,_imp!$C$3514))</f>
        <v/>
      </c>
      <c r="K3512" s="54">
        <f>IF(_imp!$C$3514="","",INDEX(_imp!$K$4:$K$4503,_imp!$C$3514))</f>
        <v/>
      </c>
    </row>
    <row r="3513">
      <c r="A3513" s="54">
        <f>IF(_imp!$C$3515="","",INDEX(_imp!$D$4:$D$4503,_imp!$C$3515))</f>
        <v/>
      </c>
      <c r="B3513" s="54">
        <f>IF(_imp!$C$3515="","",INDEX(_imp!$E$4:$E$4503,_imp!$C$3515))</f>
        <v/>
      </c>
      <c r="C3513" s="54">
        <f>IF(_imp!$C$3515="","",INDEX(_imp!$F$4:$F$4503,_imp!$C$3515))</f>
        <v/>
      </c>
      <c r="D3513" s="54">
        <f>IF(_imp!$C$3515="","",INDEX(_imp!$G$4:$G$4503,_imp!$C$3515))</f>
        <v/>
      </c>
      <c r="E3513" s="54">
        <f>IF(_imp!$C$3515="","",INDEX(_imp!$H$4:$H$4503,_imp!$C$3515))</f>
        <v/>
      </c>
      <c r="F3513" s="54">
        <f>IF(_imp!$C$3515="","",INDEX(_imp!$I$4:$I$4503,_imp!$C$3515))</f>
        <v/>
      </c>
      <c r="G3513" s="54">
        <f>IF(_imp!$C$3515="","",INDEX(_imp!$J$4:$J$4503,_imp!$C$3515))</f>
        <v/>
      </c>
      <c r="K3513" s="54">
        <f>IF(_imp!$C$3515="","",INDEX(_imp!$K$4:$K$4503,_imp!$C$3515))</f>
        <v/>
      </c>
    </row>
    <row r="3514">
      <c r="A3514" s="54">
        <f>IF(_imp!$C$3516="","",INDEX(_imp!$D$4:$D$4503,_imp!$C$3516))</f>
        <v/>
      </c>
      <c r="B3514" s="54">
        <f>IF(_imp!$C$3516="","",INDEX(_imp!$E$4:$E$4503,_imp!$C$3516))</f>
        <v/>
      </c>
      <c r="C3514" s="54">
        <f>IF(_imp!$C$3516="","",INDEX(_imp!$F$4:$F$4503,_imp!$C$3516))</f>
        <v/>
      </c>
      <c r="D3514" s="54">
        <f>IF(_imp!$C$3516="","",INDEX(_imp!$G$4:$G$4503,_imp!$C$3516))</f>
        <v/>
      </c>
      <c r="E3514" s="54">
        <f>IF(_imp!$C$3516="","",INDEX(_imp!$H$4:$H$4503,_imp!$C$3516))</f>
        <v/>
      </c>
      <c r="F3514" s="54">
        <f>IF(_imp!$C$3516="","",INDEX(_imp!$I$4:$I$4503,_imp!$C$3516))</f>
        <v/>
      </c>
      <c r="G3514" s="54">
        <f>IF(_imp!$C$3516="","",INDEX(_imp!$J$4:$J$4503,_imp!$C$3516))</f>
        <v/>
      </c>
      <c r="K3514" s="54">
        <f>IF(_imp!$C$3516="","",INDEX(_imp!$K$4:$K$4503,_imp!$C$3516))</f>
        <v/>
      </c>
    </row>
    <row r="3515">
      <c r="A3515" s="54">
        <f>IF(_imp!$C$3517="","",INDEX(_imp!$D$4:$D$4503,_imp!$C$3517))</f>
        <v/>
      </c>
      <c r="B3515" s="54">
        <f>IF(_imp!$C$3517="","",INDEX(_imp!$E$4:$E$4503,_imp!$C$3517))</f>
        <v/>
      </c>
      <c r="C3515" s="54">
        <f>IF(_imp!$C$3517="","",INDEX(_imp!$F$4:$F$4503,_imp!$C$3517))</f>
        <v/>
      </c>
      <c r="D3515" s="54">
        <f>IF(_imp!$C$3517="","",INDEX(_imp!$G$4:$G$4503,_imp!$C$3517))</f>
        <v/>
      </c>
      <c r="E3515" s="54">
        <f>IF(_imp!$C$3517="","",INDEX(_imp!$H$4:$H$4503,_imp!$C$3517))</f>
        <v/>
      </c>
      <c r="F3515" s="54">
        <f>IF(_imp!$C$3517="","",INDEX(_imp!$I$4:$I$4503,_imp!$C$3517))</f>
        <v/>
      </c>
      <c r="G3515" s="54">
        <f>IF(_imp!$C$3517="","",INDEX(_imp!$J$4:$J$4503,_imp!$C$3517))</f>
        <v/>
      </c>
      <c r="K3515" s="54">
        <f>IF(_imp!$C$3517="","",INDEX(_imp!$K$4:$K$4503,_imp!$C$3517))</f>
        <v/>
      </c>
    </row>
    <row r="3516">
      <c r="A3516" s="54">
        <f>IF(_imp!$C$3518="","",INDEX(_imp!$D$4:$D$4503,_imp!$C$3518))</f>
        <v/>
      </c>
      <c r="B3516" s="54">
        <f>IF(_imp!$C$3518="","",INDEX(_imp!$E$4:$E$4503,_imp!$C$3518))</f>
        <v/>
      </c>
      <c r="C3516" s="54">
        <f>IF(_imp!$C$3518="","",INDEX(_imp!$F$4:$F$4503,_imp!$C$3518))</f>
        <v/>
      </c>
      <c r="D3516" s="54">
        <f>IF(_imp!$C$3518="","",INDEX(_imp!$G$4:$G$4503,_imp!$C$3518))</f>
        <v/>
      </c>
      <c r="E3516" s="54">
        <f>IF(_imp!$C$3518="","",INDEX(_imp!$H$4:$H$4503,_imp!$C$3518))</f>
        <v/>
      </c>
      <c r="F3516" s="54">
        <f>IF(_imp!$C$3518="","",INDEX(_imp!$I$4:$I$4503,_imp!$C$3518))</f>
        <v/>
      </c>
      <c r="G3516" s="54">
        <f>IF(_imp!$C$3518="","",INDEX(_imp!$J$4:$J$4503,_imp!$C$3518))</f>
        <v/>
      </c>
      <c r="K3516" s="54">
        <f>IF(_imp!$C$3518="","",INDEX(_imp!$K$4:$K$4503,_imp!$C$3518))</f>
        <v/>
      </c>
    </row>
    <row r="3517">
      <c r="A3517" s="54">
        <f>IF(_imp!$C$3519="","",INDEX(_imp!$D$4:$D$4503,_imp!$C$3519))</f>
        <v/>
      </c>
      <c r="B3517" s="54">
        <f>IF(_imp!$C$3519="","",INDEX(_imp!$E$4:$E$4503,_imp!$C$3519))</f>
        <v/>
      </c>
      <c r="C3517" s="54">
        <f>IF(_imp!$C$3519="","",INDEX(_imp!$F$4:$F$4503,_imp!$C$3519))</f>
        <v/>
      </c>
      <c r="D3517" s="54">
        <f>IF(_imp!$C$3519="","",INDEX(_imp!$G$4:$G$4503,_imp!$C$3519))</f>
        <v/>
      </c>
      <c r="E3517" s="54">
        <f>IF(_imp!$C$3519="","",INDEX(_imp!$H$4:$H$4503,_imp!$C$3519))</f>
        <v/>
      </c>
      <c r="F3517" s="54">
        <f>IF(_imp!$C$3519="","",INDEX(_imp!$I$4:$I$4503,_imp!$C$3519))</f>
        <v/>
      </c>
      <c r="G3517" s="54">
        <f>IF(_imp!$C$3519="","",INDEX(_imp!$J$4:$J$4503,_imp!$C$3519))</f>
        <v/>
      </c>
      <c r="K3517" s="54">
        <f>IF(_imp!$C$3519="","",INDEX(_imp!$K$4:$K$4503,_imp!$C$3519))</f>
        <v/>
      </c>
    </row>
    <row r="3518">
      <c r="A3518" s="54">
        <f>IF(_imp!$C$3520="","",INDEX(_imp!$D$4:$D$4503,_imp!$C$3520))</f>
        <v/>
      </c>
      <c r="B3518" s="54">
        <f>IF(_imp!$C$3520="","",INDEX(_imp!$E$4:$E$4503,_imp!$C$3520))</f>
        <v/>
      </c>
      <c r="C3518" s="54">
        <f>IF(_imp!$C$3520="","",INDEX(_imp!$F$4:$F$4503,_imp!$C$3520))</f>
        <v/>
      </c>
      <c r="D3518" s="54">
        <f>IF(_imp!$C$3520="","",INDEX(_imp!$G$4:$G$4503,_imp!$C$3520))</f>
        <v/>
      </c>
      <c r="E3518" s="54">
        <f>IF(_imp!$C$3520="","",INDEX(_imp!$H$4:$H$4503,_imp!$C$3520))</f>
        <v/>
      </c>
      <c r="F3518" s="54">
        <f>IF(_imp!$C$3520="","",INDEX(_imp!$I$4:$I$4503,_imp!$C$3520))</f>
        <v/>
      </c>
      <c r="G3518" s="54">
        <f>IF(_imp!$C$3520="","",INDEX(_imp!$J$4:$J$4503,_imp!$C$3520))</f>
        <v/>
      </c>
      <c r="K3518" s="54">
        <f>IF(_imp!$C$3520="","",INDEX(_imp!$K$4:$K$4503,_imp!$C$3520))</f>
        <v/>
      </c>
    </row>
    <row r="3519">
      <c r="A3519" s="54">
        <f>IF(_imp!$C$3521="","",INDEX(_imp!$D$4:$D$4503,_imp!$C$3521))</f>
        <v/>
      </c>
      <c r="B3519" s="54">
        <f>IF(_imp!$C$3521="","",INDEX(_imp!$E$4:$E$4503,_imp!$C$3521))</f>
        <v/>
      </c>
      <c r="C3519" s="54">
        <f>IF(_imp!$C$3521="","",INDEX(_imp!$F$4:$F$4503,_imp!$C$3521))</f>
        <v/>
      </c>
      <c r="D3519" s="54">
        <f>IF(_imp!$C$3521="","",INDEX(_imp!$G$4:$G$4503,_imp!$C$3521))</f>
        <v/>
      </c>
      <c r="E3519" s="54">
        <f>IF(_imp!$C$3521="","",INDEX(_imp!$H$4:$H$4503,_imp!$C$3521))</f>
        <v/>
      </c>
      <c r="F3519" s="54">
        <f>IF(_imp!$C$3521="","",INDEX(_imp!$I$4:$I$4503,_imp!$C$3521))</f>
        <v/>
      </c>
      <c r="G3519" s="54">
        <f>IF(_imp!$C$3521="","",INDEX(_imp!$J$4:$J$4503,_imp!$C$3521))</f>
        <v/>
      </c>
      <c r="K3519" s="54">
        <f>IF(_imp!$C$3521="","",INDEX(_imp!$K$4:$K$4503,_imp!$C$3521))</f>
        <v/>
      </c>
    </row>
    <row r="3520">
      <c r="A3520" s="54">
        <f>IF(_imp!$C$3522="","",INDEX(_imp!$D$4:$D$4503,_imp!$C$3522))</f>
        <v/>
      </c>
      <c r="B3520" s="54">
        <f>IF(_imp!$C$3522="","",INDEX(_imp!$E$4:$E$4503,_imp!$C$3522))</f>
        <v/>
      </c>
      <c r="C3520" s="54">
        <f>IF(_imp!$C$3522="","",INDEX(_imp!$F$4:$F$4503,_imp!$C$3522))</f>
        <v/>
      </c>
      <c r="D3520" s="54">
        <f>IF(_imp!$C$3522="","",INDEX(_imp!$G$4:$G$4503,_imp!$C$3522))</f>
        <v/>
      </c>
      <c r="E3520" s="54">
        <f>IF(_imp!$C$3522="","",INDEX(_imp!$H$4:$H$4503,_imp!$C$3522))</f>
        <v/>
      </c>
      <c r="F3520" s="54">
        <f>IF(_imp!$C$3522="","",INDEX(_imp!$I$4:$I$4503,_imp!$C$3522))</f>
        <v/>
      </c>
      <c r="G3520" s="54">
        <f>IF(_imp!$C$3522="","",INDEX(_imp!$J$4:$J$4503,_imp!$C$3522))</f>
        <v/>
      </c>
      <c r="K3520" s="54">
        <f>IF(_imp!$C$3522="","",INDEX(_imp!$K$4:$K$4503,_imp!$C$3522))</f>
        <v/>
      </c>
    </row>
    <row r="3521">
      <c r="A3521" s="54">
        <f>IF(_imp!$C$3523="","",INDEX(_imp!$D$4:$D$4503,_imp!$C$3523))</f>
        <v/>
      </c>
      <c r="B3521" s="54">
        <f>IF(_imp!$C$3523="","",INDEX(_imp!$E$4:$E$4503,_imp!$C$3523))</f>
        <v/>
      </c>
      <c r="C3521" s="54">
        <f>IF(_imp!$C$3523="","",INDEX(_imp!$F$4:$F$4503,_imp!$C$3523))</f>
        <v/>
      </c>
      <c r="D3521" s="54">
        <f>IF(_imp!$C$3523="","",INDEX(_imp!$G$4:$G$4503,_imp!$C$3523))</f>
        <v/>
      </c>
      <c r="E3521" s="54">
        <f>IF(_imp!$C$3523="","",INDEX(_imp!$H$4:$H$4503,_imp!$C$3523))</f>
        <v/>
      </c>
      <c r="F3521" s="54">
        <f>IF(_imp!$C$3523="","",INDEX(_imp!$I$4:$I$4503,_imp!$C$3523))</f>
        <v/>
      </c>
      <c r="G3521" s="54">
        <f>IF(_imp!$C$3523="","",INDEX(_imp!$J$4:$J$4503,_imp!$C$3523))</f>
        <v/>
      </c>
      <c r="K3521" s="54">
        <f>IF(_imp!$C$3523="","",INDEX(_imp!$K$4:$K$4503,_imp!$C$3523))</f>
        <v/>
      </c>
    </row>
    <row r="3522">
      <c r="A3522" s="54">
        <f>IF(_imp!$C$3524="","",INDEX(_imp!$D$4:$D$4503,_imp!$C$3524))</f>
        <v/>
      </c>
      <c r="B3522" s="54">
        <f>IF(_imp!$C$3524="","",INDEX(_imp!$E$4:$E$4503,_imp!$C$3524))</f>
        <v/>
      </c>
      <c r="C3522" s="54">
        <f>IF(_imp!$C$3524="","",INDEX(_imp!$F$4:$F$4503,_imp!$C$3524))</f>
        <v/>
      </c>
      <c r="D3522" s="54">
        <f>IF(_imp!$C$3524="","",INDEX(_imp!$G$4:$G$4503,_imp!$C$3524))</f>
        <v/>
      </c>
      <c r="E3522" s="54">
        <f>IF(_imp!$C$3524="","",INDEX(_imp!$H$4:$H$4503,_imp!$C$3524))</f>
        <v/>
      </c>
      <c r="F3522" s="54">
        <f>IF(_imp!$C$3524="","",INDEX(_imp!$I$4:$I$4503,_imp!$C$3524))</f>
        <v/>
      </c>
      <c r="G3522" s="54">
        <f>IF(_imp!$C$3524="","",INDEX(_imp!$J$4:$J$4503,_imp!$C$3524))</f>
        <v/>
      </c>
      <c r="K3522" s="54">
        <f>IF(_imp!$C$3524="","",INDEX(_imp!$K$4:$K$4503,_imp!$C$3524))</f>
        <v/>
      </c>
    </row>
    <row r="3523">
      <c r="A3523" s="54">
        <f>IF(_imp!$C$3525="","",INDEX(_imp!$D$4:$D$4503,_imp!$C$3525))</f>
        <v/>
      </c>
      <c r="B3523" s="54">
        <f>IF(_imp!$C$3525="","",INDEX(_imp!$E$4:$E$4503,_imp!$C$3525))</f>
        <v/>
      </c>
      <c r="C3523" s="54">
        <f>IF(_imp!$C$3525="","",INDEX(_imp!$F$4:$F$4503,_imp!$C$3525))</f>
        <v/>
      </c>
      <c r="D3523" s="54">
        <f>IF(_imp!$C$3525="","",INDEX(_imp!$G$4:$G$4503,_imp!$C$3525))</f>
        <v/>
      </c>
      <c r="E3523" s="54">
        <f>IF(_imp!$C$3525="","",INDEX(_imp!$H$4:$H$4503,_imp!$C$3525))</f>
        <v/>
      </c>
      <c r="F3523" s="54">
        <f>IF(_imp!$C$3525="","",INDEX(_imp!$I$4:$I$4503,_imp!$C$3525))</f>
        <v/>
      </c>
      <c r="G3523" s="54">
        <f>IF(_imp!$C$3525="","",INDEX(_imp!$J$4:$J$4503,_imp!$C$3525))</f>
        <v/>
      </c>
      <c r="K3523" s="54">
        <f>IF(_imp!$C$3525="","",INDEX(_imp!$K$4:$K$4503,_imp!$C$3525))</f>
        <v/>
      </c>
    </row>
    <row r="3524">
      <c r="A3524" s="54">
        <f>IF(_imp!$C$3526="","",INDEX(_imp!$D$4:$D$4503,_imp!$C$3526))</f>
        <v/>
      </c>
      <c r="B3524" s="54">
        <f>IF(_imp!$C$3526="","",INDEX(_imp!$E$4:$E$4503,_imp!$C$3526))</f>
        <v/>
      </c>
      <c r="C3524" s="54">
        <f>IF(_imp!$C$3526="","",INDEX(_imp!$F$4:$F$4503,_imp!$C$3526))</f>
        <v/>
      </c>
      <c r="D3524" s="54">
        <f>IF(_imp!$C$3526="","",INDEX(_imp!$G$4:$G$4503,_imp!$C$3526))</f>
        <v/>
      </c>
      <c r="E3524" s="54">
        <f>IF(_imp!$C$3526="","",INDEX(_imp!$H$4:$H$4503,_imp!$C$3526))</f>
        <v/>
      </c>
      <c r="F3524" s="54">
        <f>IF(_imp!$C$3526="","",INDEX(_imp!$I$4:$I$4503,_imp!$C$3526))</f>
        <v/>
      </c>
      <c r="G3524" s="54">
        <f>IF(_imp!$C$3526="","",INDEX(_imp!$J$4:$J$4503,_imp!$C$3526))</f>
        <v/>
      </c>
      <c r="K3524" s="54">
        <f>IF(_imp!$C$3526="","",INDEX(_imp!$K$4:$K$4503,_imp!$C$3526))</f>
        <v/>
      </c>
    </row>
    <row r="3525">
      <c r="A3525" s="54">
        <f>IF(_imp!$C$3527="","",INDEX(_imp!$D$4:$D$4503,_imp!$C$3527))</f>
        <v/>
      </c>
      <c r="B3525" s="54">
        <f>IF(_imp!$C$3527="","",INDEX(_imp!$E$4:$E$4503,_imp!$C$3527))</f>
        <v/>
      </c>
      <c r="C3525" s="54">
        <f>IF(_imp!$C$3527="","",INDEX(_imp!$F$4:$F$4503,_imp!$C$3527))</f>
        <v/>
      </c>
      <c r="D3525" s="54">
        <f>IF(_imp!$C$3527="","",INDEX(_imp!$G$4:$G$4503,_imp!$C$3527))</f>
        <v/>
      </c>
      <c r="E3525" s="54">
        <f>IF(_imp!$C$3527="","",INDEX(_imp!$H$4:$H$4503,_imp!$C$3527))</f>
        <v/>
      </c>
      <c r="F3525" s="54">
        <f>IF(_imp!$C$3527="","",INDEX(_imp!$I$4:$I$4503,_imp!$C$3527))</f>
        <v/>
      </c>
      <c r="G3525" s="54">
        <f>IF(_imp!$C$3527="","",INDEX(_imp!$J$4:$J$4503,_imp!$C$3527))</f>
        <v/>
      </c>
      <c r="K3525" s="54">
        <f>IF(_imp!$C$3527="","",INDEX(_imp!$K$4:$K$4503,_imp!$C$3527))</f>
        <v/>
      </c>
    </row>
    <row r="3526">
      <c r="A3526" s="54">
        <f>IF(_imp!$C$3528="","",INDEX(_imp!$D$4:$D$4503,_imp!$C$3528))</f>
        <v/>
      </c>
      <c r="B3526" s="54">
        <f>IF(_imp!$C$3528="","",INDEX(_imp!$E$4:$E$4503,_imp!$C$3528))</f>
        <v/>
      </c>
      <c r="C3526" s="54">
        <f>IF(_imp!$C$3528="","",INDEX(_imp!$F$4:$F$4503,_imp!$C$3528))</f>
        <v/>
      </c>
      <c r="D3526" s="54">
        <f>IF(_imp!$C$3528="","",INDEX(_imp!$G$4:$G$4503,_imp!$C$3528))</f>
        <v/>
      </c>
      <c r="E3526" s="54">
        <f>IF(_imp!$C$3528="","",INDEX(_imp!$H$4:$H$4503,_imp!$C$3528))</f>
        <v/>
      </c>
      <c r="F3526" s="54">
        <f>IF(_imp!$C$3528="","",INDEX(_imp!$I$4:$I$4503,_imp!$C$3528))</f>
        <v/>
      </c>
      <c r="G3526" s="54">
        <f>IF(_imp!$C$3528="","",INDEX(_imp!$J$4:$J$4503,_imp!$C$3528))</f>
        <v/>
      </c>
      <c r="K3526" s="54">
        <f>IF(_imp!$C$3528="","",INDEX(_imp!$K$4:$K$4503,_imp!$C$3528))</f>
        <v/>
      </c>
    </row>
    <row r="3527">
      <c r="A3527" s="54">
        <f>IF(_imp!$C$3529="","",INDEX(_imp!$D$4:$D$4503,_imp!$C$3529))</f>
        <v/>
      </c>
      <c r="B3527" s="54">
        <f>IF(_imp!$C$3529="","",INDEX(_imp!$E$4:$E$4503,_imp!$C$3529))</f>
        <v/>
      </c>
      <c r="C3527" s="54">
        <f>IF(_imp!$C$3529="","",INDEX(_imp!$F$4:$F$4503,_imp!$C$3529))</f>
        <v/>
      </c>
      <c r="D3527" s="54">
        <f>IF(_imp!$C$3529="","",INDEX(_imp!$G$4:$G$4503,_imp!$C$3529))</f>
        <v/>
      </c>
      <c r="E3527" s="54">
        <f>IF(_imp!$C$3529="","",INDEX(_imp!$H$4:$H$4503,_imp!$C$3529))</f>
        <v/>
      </c>
      <c r="F3527" s="54">
        <f>IF(_imp!$C$3529="","",INDEX(_imp!$I$4:$I$4503,_imp!$C$3529))</f>
        <v/>
      </c>
      <c r="G3527" s="54">
        <f>IF(_imp!$C$3529="","",INDEX(_imp!$J$4:$J$4503,_imp!$C$3529))</f>
        <v/>
      </c>
      <c r="K3527" s="54">
        <f>IF(_imp!$C$3529="","",INDEX(_imp!$K$4:$K$4503,_imp!$C$3529))</f>
        <v/>
      </c>
    </row>
    <row r="3528">
      <c r="A3528" s="54">
        <f>IF(_imp!$C$3530="","",INDEX(_imp!$D$4:$D$4503,_imp!$C$3530))</f>
        <v/>
      </c>
      <c r="B3528" s="54">
        <f>IF(_imp!$C$3530="","",INDEX(_imp!$E$4:$E$4503,_imp!$C$3530))</f>
        <v/>
      </c>
      <c r="C3528" s="54">
        <f>IF(_imp!$C$3530="","",INDEX(_imp!$F$4:$F$4503,_imp!$C$3530))</f>
        <v/>
      </c>
      <c r="D3528" s="54">
        <f>IF(_imp!$C$3530="","",INDEX(_imp!$G$4:$G$4503,_imp!$C$3530))</f>
        <v/>
      </c>
      <c r="E3528" s="54">
        <f>IF(_imp!$C$3530="","",INDEX(_imp!$H$4:$H$4503,_imp!$C$3530))</f>
        <v/>
      </c>
      <c r="F3528" s="54">
        <f>IF(_imp!$C$3530="","",INDEX(_imp!$I$4:$I$4503,_imp!$C$3530))</f>
        <v/>
      </c>
      <c r="G3528" s="54">
        <f>IF(_imp!$C$3530="","",INDEX(_imp!$J$4:$J$4503,_imp!$C$3530))</f>
        <v/>
      </c>
      <c r="K3528" s="54">
        <f>IF(_imp!$C$3530="","",INDEX(_imp!$K$4:$K$4503,_imp!$C$3530))</f>
        <v/>
      </c>
    </row>
    <row r="3529">
      <c r="A3529" s="54">
        <f>IF(_imp!$C$3531="","",INDEX(_imp!$D$4:$D$4503,_imp!$C$3531))</f>
        <v/>
      </c>
      <c r="B3529" s="54">
        <f>IF(_imp!$C$3531="","",INDEX(_imp!$E$4:$E$4503,_imp!$C$3531))</f>
        <v/>
      </c>
      <c r="C3529" s="54">
        <f>IF(_imp!$C$3531="","",INDEX(_imp!$F$4:$F$4503,_imp!$C$3531))</f>
        <v/>
      </c>
      <c r="D3529" s="54">
        <f>IF(_imp!$C$3531="","",INDEX(_imp!$G$4:$G$4503,_imp!$C$3531))</f>
        <v/>
      </c>
      <c r="E3529" s="54">
        <f>IF(_imp!$C$3531="","",INDEX(_imp!$H$4:$H$4503,_imp!$C$3531))</f>
        <v/>
      </c>
      <c r="F3529" s="54">
        <f>IF(_imp!$C$3531="","",INDEX(_imp!$I$4:$I$4503,_imp!$C$3531))</f>
        <v/>
      </c>
      <c r="G3529" s="54">
        <f>IF(_imp!$C$3531="","",INDEX(_imp!$J$4:$J$4503,_imp!$C$3531))</f>
        <v/>
      </c>
      <c r="K3529" s="54">
        <f>IF(_imp!$C$3531="","",INDEX(_imp!$K$4:$K$4503,_imp!$C$3531))</f>
        <v/>
      </c>
    </row>
    <row r="3530">
      <c r="A3530" s="54">
        <f>IF(_imp!$C$3532="","",INDEX(_imp!$D$4:$D$4503,_imp!$C$3532))</f>
        <v/>
      </c>
      <c r="B3530" s="54">
        <f>IF(_imp!$C$3532="","",INDEX(_imp!$E$4:$E$4503,_imp!$C$3532))</f>
        <v/>
      </c>
      <c r="C3530" s="54">
        <f>IF(_imp!$C$3532="","",INDEX(_imp!$F$4:$F$4503,_imp!$C$3532))</f>
        <v/>
      </c>
      <c r="D3530" s="54">
        <f>IF(_imp!$C$3532="","",INDEX(_imp!$G$4:$G$4503,_imp!$C$3532))</f>
        <v/>
      </c>
      <c r="E3530" s="54">
        <f>IF(_imp!$C$3532="","",INDEX(_imp!$H$4:$H$4503,_imp!$C$3532))</f>
        <v/>
      </c>
      <c r="F3530" s="54">
        <f>IF(_imp!$C$3532="","",INDEX(_imp!$I$4:$I$4503,_imp!$C$3532))</f>
        <v/>
      </c>
      <c r="G3530" s="54">
        <f>IF(_imp!$C$3532="","",INDEX(_imp!$J$4:$J$4503,_imp!$C$3532))</f>
        <v/>
      </c>
      <c r="K3530" s="54">
        <f>IF(_imp!$C$3532="","",INDEX(_imp!$K$4:$K$4503,_imp!$C$3532))</f>
        <v/>
      </c>
    </row>
    <row r="3531">
      <c r="A3531" s="54">
        <f>IF(_imp!$C$3533="","",INDEX(_imp!$D$4:$D$4503,_imp!$C$3533))</f>
        <v/>
      </c>
      <c r="B3531" s="54">
        <f>IF(_imp!$C$3533="","",INDEX(_imp!$E$4:$E$4503,_imp!$C$3533))</f>
        <v/>
      </c>
      <c r="C3531" s="54">
        <f>IF(_imp!$C$3533="","",INDEX(_imp!$F$4:$F$4503,_imp!$C$3533))</f>
        <v/>
      </c>
      <c r="D3531" s="54">
        <f>IF(_imp!$C$3533="","",INDEX(_imp!$G$4:$G$4503,_imp!$C$3533))</f>
        <v/>
      </c>
      <c r="E3531" s="54">
        <f>IF(_imp!$C$3533="","",INDEX(_imp!$H$4:$H$4503,_imp!$C$3533))</f>
        <v/>
      </c>
      <c r="F3531" s="54">
        <f>IF(_imp!$C$3533="","",INDEX(_imp!$I$4:$I$4503,_imp!$C$3533))</f>
        <v/>
      </c>
      <c r="G3531" s="54">
        <f>IF(_imp!$C$3533="","",INDEX(_imp!$J$4:$J$4503,_imp!$C$3533))</f>
        <v/>
      </c>
      <c r="K3531" s="54">
        <f>IF(_imp!$C$3533="","",INDEX(_imp!$K$4:$K$4503,_imp!$C$3533))</f>
        <v/>
      </c>
    </row>
    <row r="3532">
      <c r="A3532" s="54">
        <f>IF(_imp!$C$3534="","",INDEX(_imp!$D$4:$D$4503,_imp!$C$3534))</f>
        <v/>
      </c>
      <c r="B3532" s="54">
        <f>IF(_imp!$C$3534="","",INDEX(_imp!$E$4:$E$4503,_imp!$C$3534))</f>
        <v/>
      </c>
      <c r="C3532" s="54">
        <f>IF(_imp!$C$3534="","",INDEX(_imp!$F$4:$F$4503,_imp!$C$3534))</f>
        <v/>
      </c>
      <c r="D3532" s="54">
        <f>IF(_imp!$C$3534="","",INDEX(_imp!$G$4:$G$4503,_imp!$C$3534))</f>
        <v/>
      </c>
      <c r="E3532" s="54">
        <f>IF(_imp!$C$3534="","",INDEX(_imp!$H$4:$H$4503,_imp!$C$3534))</f>
        <v/>
      </c>
      <c r="F3532" s="54">
        <f>IF(_imp!$C$3534="","",INDEX(_imp!$I$4:$I$4503,_imp!$C$3534))</f>
        <v/>
      </c>
      <c r="G3532" s="54">
        <f>IF(_imp!$C$3534="","",INDEX(_imp!$J$4:$J$4503,_imp!$C$3534))</f>
        <v/>
      </c>
      <c r="K3532" s="54">
        <f>IF(_imp!$C$3534="","",INDEX(_imp!$K$4:$K$4503,_imp!$C$3534))</f>
        <v/>
      </c>
    </row>
    <row r="3533">
      <c r="A3533" s="54">
        <f>IF(_imp!$C$3535="","",INDEX(_imp!$D$4:$D$4503,_imp!$C$3535))</f>
        <v/>
      </c>
      <c r="B3533" s="54">
        <f>IF(_imp!$C$3535="","",INDEX(_imp!$E$4:$E$4503,_imp!$C$3535))</f>
        <v/>
      </c>
      <c r="C3533" s="54">
        <f>IF(_imp!$C$3535="","",INDEX(_imp!$F$4:$F$4503,_imp!$C$3535))</f>
        <v/>
      </c>
      <c r="D3533" s="54">
        <f>IF(_imp!$C$3535="","",INDEX(_imp!$G$4:$G$4503,_imp!$C$3535))</f>
        <v/>
      </c>
      <c r="E3533" s="54">
        <f>IF(_imp!$C$3535="","",INDEX(_imp!$H$4:$H$4503,_imp!$C$3535))</f>
        <v/>
      </c>
      <c r="F3533" s="54">
        <f>IF(_imp!$C$3535="","",INDEX(_imp!$I$4:$I$4503,_imp!$C$3535))</f>
        <v/>
      </c>
      <c r="G3533" s="54">
        <f>IF(_imp!$C$3535="","",INDEX(_imp!$J$4:$J$4503,_imp!$C$3535))</f>
        <v/>
      </c>
      <c r="K3533" s="54">
        <f>IF(_imp!$C$3535="","",INDEX(_imp!$K$4:$K$4503,_imp!$C$3535))</f>
        <v/>
      </c>
    </row>
    <row r="3534">
      <c r="A3534" s="54">
        <f>IF(_imp!$C$3536="","",INDEX(_imp!$D$4:$D$4503,_imp!$C$3536))</f>
        <v/>
      </c>
      <c r="B3534" s="54">
        <f>IF(_imp!$C$3536="","",INDEX(_imp!$E$4:$E$4503,_imp!$C$3536))</f>
        <v/>
      </c>
      <c r="C3534" s="54">
        <f>IF(_imp!$C$3536="","",INDEX(_imp!$F$4:$F$4503,_imp!$C$3536))</f>
        <v/>
      </c>
      <c r="D3534" s="54">
        <f>IF(_imp!$C$3536="","",INDEX(_imp!$G$4:$G$4503,_imp!$C$3536))</f>
        <v/>
      </c>
      <c r="E3534" s="54">
        <f>IF(_imp!$C$3536="","",INDEX(_imp!$H$4:$H$4503,_imp!$C$3536))</f>
        <v/>
      </c>
      <c r="F3534" s="54">
        <f>IF(_imp!$C$3536="","",INDEX(_imp!$I$4:$I$4503,_imp!$C$3536))</f>
        <v/>
      </c>
      <c r="G3534" s="54">
        <f>IF(_imp!$C$3536="","",INDEX(_imp!$J$4:$J$4503,_imp!$C$3536))</f>
        <v/>
      </c>
      <c r="K3534" s="54">
        <f>IF(_imp!$C$3536="","",INDEX(_imp!$K$4:$K$4503,_imp!$C$3536))</f>
        <v/>
      </c>
    </row>
    <row r="3535">
      <c r="A3535" s="54">
        <f>IF(_imp!$C$3537="","",INDEX(_imp!$D$4:$D$4503,_imp!$C$3537))</f>
        <v/>
      </c>
      <c r="B3535" s="54">
        <f>IF(_imp!$C$3537="","",INDEX(_imp!$E$4:$E$4503,_imp!$C$3537))</f>
        <v/>
      </c>
      <c r="C3535" s="54">
        <f>IF(_imp!$C$3537="","",INDEX(_imp!$F$4:$F$4503,_imp!$C$3537))</f>
        <v/>
      </c>
      <c r="D3535" s="54">
        <f>IF(_imp!$C$3537="","",INDEX(_imp!$G$4:$G$4503,_imp!$C$3537))</f>
        <v/>
      </c>
      <c r="E3535" s="54">
        <f>IF(_imp!$C$3537="","",INDEX(_imp!$H$4:$H$4503,_imp!$C$3537))</f>
        <v/>
      </c>
      <c r="F3535" s="54">
        <f>IF(_imp!$C$3537="","",INDEX(_imp!$I$4:$I$4503,_imp!$C$3537))</f>
        <v/>
      </c>
      <c r="G3535" s="54">
        <f>IF(_imp!$C$3537="","",INDEX(_imp!$J$4:$J$4503,_imp!$C$3537))</f>
        <v/>
      </c>
      <c r="K3535" s="54">
        <f>IF(_imp!$C$3537="","",INDEX(_imp!$K$4:$K$4503,_imp!$C$3537))</f>
        <v/>
      </c>
    </row>
    <row r="3536">
      <c r="A3536" s="54">
        <f>IF(_imp!$C$3538="","",INDEX(_imp!$D$4:$D$4503,_imp!$C$3538))</f>
        <v/>
      </c>
      <c r="B3536" s="54">
        <f>IF(_imp!$C$3538="","",INDEX(_imp!$E$4:$E$4503,_imp!$C$3538))</f>
        <v/>
      </c>
      <c r="C3536" s="54">
        <f>IF(_imp!$C$3538="","",INDEX(_imp!$F$4:$F$4503,_imp!$C$3538))</f>
        <v/>
      </c>
      <c r="D3536" s="54">
        <f>IF(_imp!$C$3538="","",INDEX(_imp!$G$4:$G$4503,_imp!$C$3538))</f>
        <v/>
      </c>
      <c r="E3536" s="54">
        <f>IF(_imp!$C$3538="","",INDEX(_imp!$H$4:$H$4503,_imp!$C$3538))</f>
        <v/>
      </c>
      <c r="F3536" s="54">
        <f>IF(_imp!$C$3538="","",INDEX(_imp!$I$4:$I$4503,_imp!$C$3538))</f>
        <v/>
      </c>
      <c r="G3536" s="54">
        <f>IF(_imp!$C$3538="","",INDEX(_imp!$J$4:$J$4503,_imp!$C$3538))</f>
        <v/>
      </c>
      <c r="K3536" s="54">
        <f>IF(_imp!$C$3538="","",INDEX(_imp!$K$4:$K$4503,_imp!$C$3538))</f>
        <v/>
      </c>
    </row>
    <row r="3537">
      <c r="A3537" s="54">
        <f>IF(_imp!$C$3539="","",INDEX(_imp!$D$4:$D$4503,_imp!$C$3539))</f>
        <v/>
      </c>
      <c r="B3537" s="54">
        <f>IF(_imp!$C$3539="","",INDEX(_imp!$E$4:$E$4503,_imp!$C$3539))</f>
        <v/>
      </c>
      <c r="C3537" s="54">
        <f>IF(_imp!$C$3539="","",INDEX(_imp!$F$4:$F$4503,_imp!$C$3539))</f>
        <v/>
      </c>
      <c r="D3537" s="54">
        <f>IF(_imp!$C$3539="","",INDEX(_imp!$G$4:$G$4503,_imp!$C$3539))</f>
        <v/>
      </c>
      <c r="E3537" s="54">
        <f>IF(_imp!$C$3539="","",INDEX(_imp!$H$4:$H$4503,_imp!$C$3539))</f>
        <v/>
      </c>
      <c r="F3537" s="54">
        <f>IF(_imp!$C$3539="","",INDEX(_imp!$I$4:$I$4503,_imp!$C$3539))</f>
        <v/>
      </c>
      <c r="G3537" s="54">
        <f>IF(_imp!$C$3539="","",INDEX(_imp!$J$4:$J$4503,_imp!$C$3539))</f>
        <v/>
      </c>
      <c r="K3537" s="54">
        <f>IF(_imp!$C$3539="","",INDEX(_imp!$K$4:$K$4503,_imp!$C$3539))</f>
        <v/>
      </c>
    </row>
    <row r="3538">
      <c r="A3538" s="54">
        <f>IF(_imp!$C$3540="","",INDEX(_imp!$D$4:$D$4503,_imp!$C$3540))</f>
        <v/>
      </c>
      <c r="B3538" s="54">
        <f>IF(_imp!$C$3540="","",INDEX(_imp!$E$4:$E$4503,_imp!$C$3540))</f>
        <v/>
      </c>
      <c r="C3538" s="54">
        <f>IF(_imp!$C$3540="","",INDEX(_imp!$F$4:$F$4503,_imp!$C$3540))</f>
        <v/>
      </c>
      <c r="D3538" s="54">
        <f>IF(_imp!$C$3540="","",INDEX(_imp!$G$4:$G$4503,_imp!$C$3540))</f>
        <v/>
      </c>
      <c r="E3538" s="54">
        <f>IF(_imp!$C$3540="","",INDEX(_imp!$H$4:$H$4503,_imp!$C$3540))</f>
        <v/>
      </c>
      <c r="F3538" s="54">
        <f>IF(_imp!$C$3540="","",INDEX(_imp!$I$4:$I$4503,_imp!$C$3540))</f>
        <v/>
      </c>
      <c r="G3538" s="54">
        <f>IF(_imp!$C$3540="","",INDEX(_imp!$J$4:$J$4503,_imp!$C$3540))</f>
        <v/>
      </c>
      <c r="K3538" s="54">
        <f>IF(_imp!$C$3540="","",INDEX(_imp!$K$4:$K$4503,_imp!$C$3540))</f>
        <v/>
      </c>
    </row>
    <row r="3539">
      <c r="A3539" s="54">
        <f>IF(_imp!$C$3541="","",INDEX(_imp!$D$4:$D$4503,_imp!$C$3541))</f>
        <v/>
      </c>
      <c r="B3539" s="54">
        <f>IF(_imp!$C$3541="","",INDEX(_imp!$E$4:$E$4503,_imp!$C$3541))</f>
        <v/>
      </c>
      <c r="C3539" s="54">
        <f>IF(_imp!$C$3541="","",INDEX(_imp!$F$4:$F$4503,_imp!$C$3541))</f>
        <v/>
      </c>
      <c r="D3539" s="54">
        <f>IF(_imp!$C$3541="","",INDEX(_imp!$G$4:$G$4503,_imp!$C$3541))</f>
        <v/>
      </c>
      <c r="E3539" s="54">
        <f>IF(_imp!$C$3541="","",INDEX(_imp!$H$4:$H$4503,_imp!$C$3541))</f>
        <v/>
      </c>
      <c r="F3539" s="54">
        <f>IF(_imp!$C$3541="","",INDEX(_imp!$I$4:$I$4503,_imp!$C$3541))</f>
        <v/>
      </c>
      <c r="G3539" s="54">
        <f>IF(_imp!$C$3541="","",INDEX(_imp!$J$4:$J$4503,_imp!$C$3541))</f>
        <v/>
      </c>
      <c r="K3539" s="54">
        <f>IF(_imp!$C$3541="","",INDEX(_imp!$K$4:$K$4503,_imp!$C$3541))</f>
        <v/>
      </c>
    </row>
    <row r="3540">
      <c r="A3540" s="54">
        <f>IF(_imp!$C$3542="","",INDEX(_imp!$D$4:$D$4503,_imp!$C$3542))</f>
        <v/>
      </c>
      <c r="B3540" s="54">
        <f>IF(_imp!$C$3542="","",INDEX(_imp!$E$4:$E$4503,_imp!$C$3542))</f>
        <v/>
      </c>
      <c r="C3540" s="54">
        <f>IF(_imp!$C$3542="","",INDEX(_imp!$F$4:$F$4503,_imp!$C$3542))</f>
        <v/>
      </c>
      <c r="D3540" s="54">
        <f>IF(_imp!$C$3542="","",INDEX(_imp!$G$4:$G$4503,_imp!$C$3542))</f>
        <v/>
      </c>
      <c r="E3540" s="54">
        <f>IF(_imp!$C$3542="","",INDEX(_imp!$H$4:$H$4503,_imp!$C$3542))</f>
        <v/>
      </c>
      <c r="F3540" s="54">
        <f>IF(_imp!$C$3542="","",INDEX(_imp!$I$4:$I$4503,_imp!$C$3542))</f>
        <v/>
      </c>
      <c r="G3540" s="54">
        <f>IF(_imp!$C$3542="","",INDEX(_imp!$J$4:$J$4503,_imp!$C$3542))</f>
        <v/>
      </c>
      <c r="K3540" s="54">
        <f>IF(_imp!$C$3542="","",INDEX(_imp!$K$4:$K$4503,_imp!$C$3542))</f>
        <v/>
      </c>
    </row>
    <row r="3541">
      <c r="A3541" s="54">
        <f>IF(_imp!$C$3543="","",INDEX(_imp!$D$4:$D$4503,_imp!$C$3543))</f>
        <v/>
      </c>
      <c r="B3541" s="54">
        <f>IF(_imp!$C$3543="","",INDEX(_imp!$E$4:$E$4503,_imp!$C$3543))</f>
        <v/>
      </c>
      <c r="C3541" s="54">
        <f>IF(_imp!$C$3543="","",INDEX(_imp!$F$4:$F$4503,_imp!$C$3543))</f>
        <v/>
      </c>
      <c r="D3541" s="54">
        <f>IF(_imp!$C$3543="","",INDEX(_imp!$G$4:$G$4503,_imp!$C$3543))</f>
        <v/>
      </c>
      <c r="E3541" s="54">
        <f>IF(_imp!$C$3543="","",INDEX(_imp!$H$4:$H$4503,_imp!$C$3543))</f>
        <v/>
      </c>
      <c r="F3541" s="54">
        <f>IF(_imp!$C$3543="","",INDEX(_imp!$I$4:$I$4503,_imp!$C$3543))</f>
        <v/>
      </c>
      <c r="G3541" s="54">
        <f>IF(_imp!$C$3543="","",INDEX(_imp!$J$4:$J$4503,_imp!$C$3543))</f>
        <v/>
      </c>
      <c r="K3541" s="54">
        <f>IF(_imp!$C$3543="","",INDEX(_imp!$K$4:$K$4503,_imp!$C$3543))</f>
        <v/>
      </c>
    </row>
    <row r="3542">
      <c r="A3542" s="54">
        <f>IF(_imp!$C$3544="","",INDEX(_imp!$D$4:$D$4503,_imp!$C$3544))</f>
        <v/>
      </c>
      <c r="B3542" s="54">
        <f>IF(_imp!$C$3544="","",INDEX(_imp!$E$4:$E$4503,_imp!$C$3544))</f>
        <v/>
      </c>
      <c r="C3542" s="54">
        <f>IF(_imp!$C$3544="","",INDEX(_imp!$F$4:$F$4503,_imp!$C$3544))</f>
        <v/>
      </c>
      <c r="D3542" s="54">
        <f>IF(_imp!$C$3544="","",INDEX(_imp!$G$4:$G$4503,_imp!$C$3544))</f>
        <v/>
      </c>
      <c r="E3542" s="54">
        <f>IF(_imp!$C$3544="","",INDEX(_imp!$H$4:$H$4503,_imp!$C$3544))</f>
        <v/>
      </c>
      <c r="F3542" s="54">
        <f>IF(_imp!$C$3544="","",INDEX(_imp!$I$4:$I$4503,_imp!$C$3544))</f>
        <v/>
      </c>
      <c r="G3542" s="54">
        <f>IF(_imp!$C$3544="","",INDEX(_imp!$J$4:$J$4503,_imp!$C$3544))</f>
        <v/>
      </c>
      <c r="K3542" s="54">
        <f>IF(_imp!$C$3544="","",INDEX(_imp!$K$4:$K$4503,_imp!$C$3544))</f>
        <v/>
      </c>
    </row>
    <row r="3543">
      <c r="A3543" s="54">
        <f>IF(_imp!$C$3545="","",INDEX(_imp!$D$4:$D$4503,_imp!$C$3545))</f>
        <v/>
      </c>
      <c r="B3543" s="54">
        <f>IF(_imp!$C$3545="","",INDEX(_imp!$E$4:$E$4503,_imp!$C$3545))</f>
        <v/>
      </c>
      <c r="C3543" s="54">
        <f>IF(_imp!$C$3545="","",INDEX(_imp!$F$4:$F$4503,_imp!$C$3545))</f>
        <v/>
      </c>
      <c r="D3543" s="54">
        <f>IF(_imp!$C$3545="","",INDEX(_imp!$G$4:$G$4503,_imp!$C$3545))</f>
        <v/>
      </c>
      <c r="E3543" s="54">
        <f>IF(_imp!$C$3545="","",INDEX(_imp!$H$4:$H$4503,_imp!$C$3545))</f>
        <v/>
      </c>
      <c r="F3543" s="54">
        <f>IF(_imp!$C$3545="","",INDEX(_imp!$I$4:$I$4503,_imp!$C$3545))</f>
        <v/>
      </c>
      <c r="G3543" s="54">
        <f>IF(_imp!$C$3545="","",INDEX(_imp!$J$4:$J$4503,_imp!$C$3545))</f>
        <v/>
      </c>
      <c r="K3543" s="54">
        <f>IF(_imp!$C$3545="","",INDEX(_imp!$K$4:$K$4503,_imp!$C$3545))</f>
        <v/>
      </c>
    </row>
    <row r="3544">
      <c r="A3544" s="54">
        <f>IF(_imp!$C$3546="","",INDEX(_imp!$D$4:$D$4503,_imp!$C$3546))</f>
        <v/>
      </c>
      <c r="B3544" s="54">
        <f>IF(_imp!$C$3546="","",INDEX(_imp!$E$4:$E$4503,_imp!$C$3546))</f>
        <v/>
      </c>
      <c r="C3544" s="54">
        <f>IF(_imp!$C$3546="","",INDEX(_imp!$F$4:$F$4503,_imp!$C$3546))</f>
        <v/>
      </c>
      <c r="D3544" s="54">
        <f>IF(_imp!$C$3546="","",INDEX(_imp!$G$4:$G$4503,_imp!$C$3546))</f>
        <v/>
      </c>
      <c r="E3544" s="54">
        <f>IF(_imp!$C$3546="","",INDEX(_imp!$H$4:$H$4503,_imp!$C$3546))</f>
        <v/>
      </c>
      <c r="F3544" s="54">
        <f>IF(_imp!$C$3546="","",INDEX(_imp!$I$4:$I$4503,_imp!$C$3546))</f>
        <v/>
      </c>
      <c r="G3544" s="54">
        <f>IF(_imp!$C$3546="","",INDEX(_imp!$J$4:$J$4503,_imp!$C$3546))</f>
        <v/>
      </c>
      <c r="K3544" s="54">
        <f>IF(_imp!$C$3546="","",INDEX(_imp!$K$4:$K$4503,_imp!$C$3546))</f>
        <v/>
      </c>
    </row>
    <row r="3545">
      <c r="A3545" s="54">
        <f>IF(_imp!$C$3547="","",INDEX(_imp!$D$4:$D$4503,_imp!$C$3547))</f>
        <v/>
      </c>
      <c r="B3545" s="54">
        <f>IF(_imp!$C$3547="","",INDEX(_imp!$E$4:$E$4503,_imp!$C$3547))</f>
        <v/>
      </c>
      <c r="C3545" s="54">
        <f>IF(_imp!$C$3547="","",INDEX(_imp!$F$4:$F$4503,_imp!$C$3547))</f>
        <v/>
      </c>
      <c r="D3545" s="54">
        <f>IF(_imp!$C$3547="","",INDEX(_imp!$G$4:$G$4503,_imp!$C$3547))</f>
        <v/>
      </c>
      <c r="E3545" s="54">
        <f>IF(_imp!$C$3547="","",INDEX(_imp!$H$4:$H$4503,_imp!$C$3547))</f>
        <v/>
      </c>
      <c r="F3545" s="54">
        <f>IF(_imp!$C$3547="","",INDEX(_imp!$I$4:$I$4503,_imp!$C$3547))</f>
        <v/>
      </c>
      <c r="G3545" s="54">
        <f>IF(_imp!$C$3547="","",INDEX(_imp!$J$4:$J$4503,_imp!$C$3547))</f>
        <v/>
      </c>
      <c r="K3545" s="54">
        <f>IF(_imp!$C$3547="","",INDEX(_imp!$K$4:$K$4503,_imp!$C$3547))</f>
        <v/>
      </c>
    </row>
    <row r="3546">
      <c r="A3546" s="54">
        <f>IF(_imp!$C$3548="","",INDEX(_imp!$D$4:$D$4503,_imp!$C$3548))</f>
        <v/>
      </c>
      <c r="B3546" s="54">
        <f>IF(_imp!$C$3548="","",INDEX(_imp!$E$4:$E$4503,_imp!$C$3548))</f>
        <v/>
      </c>
      <c r="C3546" s="54">
        <f>IF(_imp!$C$3548="","",INDEX(_imp!$F$4:$F$4503,_imp!$C$3548))</f>
        <v/>
      </c>
      <c r="D3546" s="54">
        <f>IF(_imp!$C$3548="","",INDEX(_imp!$G$4:$G$4503,_imp!$C$3548))</f>
        <v/>
      </c>
      <c r="E3546" s="54">
        <f>IF(_imp!$C$3548="","",INDEX(_imp!$H$4:$H$4503,_imp!$C$3548))</f>
        <v/>
      </c>
      <c r="F3546" s="54">
        <f>IF(_imp!$C$3548="","",INDEX(_imp!$I$4:$I$4503,_imp!$C$3548))</f>
        <v/>
      </c>
      <c r="G3546" s="54">
        <f>IF(_imp!$C$3548="","",INDEX(_imp!$J$4:$J$4503,_imp!$C$3548))</f>
        <v/>
      </c>
      <c r="K3546" s="54">
        <f>IF(_imp!$C$3548="","",INDEX(_imp!$K$4:$K$4503,_imp!$C$3548))</f>
        <v/>
      </c>
    </row>
    <row r="3547">
      <c r="A3547" s="54">
        <f>IF(_imp!$C$3549="","",INDEX(_imp!$D$4:$D$4503,_imp!$C$3549))</f>
        <v/>
      </c>
      <c r="B3547" s="54">
        <f>IF(_imp!$C$3549="","",INDEX(_imp!$E$4:$E$4503,_imp!$C$3549))</f>
        <v/>
      </c>
      <c r="C3547" s="54">
        <f>IF(_imp!$C$3549="","",INDEX(_imp!$F$4:$F$4503,_imp!$C$3549))</f>
        <v/>
      </c>
      <c r="D3547" s="54">
        <f>IF(_imp!$C$3549="","",INDEX(_imp!$G$4:$G$4503,_imp!$C$3549))</f>
        <v/>
      </c>
      <c r="E3547" s="54">
        <f>IF(_imp!$C$3549="","",INDEX(_imp!$H$4:$H$4503,_imp!$C$3549))</f>
        <v/>
      </c>
      <c r="F3547" s="54">
        <f>IF(_imp!$C$3549="","",INDEX(_imp!$I$4:$I$4503,_imp!$C$3549))</f>
        <v/>
      </c>
      <c r="G3547" s="54">
        <f>IF(_imp!$C$3549="","",INDEX(_imp!$J$4:$J$4503,_imp!$C$3549))</f>
        <v/>
      </c>
      <c r="K3547" s="54">
        <f>IF(_imp!$C$3549="","",INDEX(_imp!$K$4:$K$4503,_imp!$C$3549))</f>
        <v/>
      </c>
    </row>
    <row r="3548">
      <c r="A3548" s="54">
        <f>IF(_imp!$C$3550="","",INDEX(_imp!$D$4:$D$4503,_imp!$C$3550))</f>
        <v/>
      </c>
      <c r="B3548" s="54">
        <f>IF(_imp!$C$3550="","",INDEX(_imp!$E$4:$E$4503,_imp!$C$3550))</f>
        <v/>
      </c>
      <c r="C3548" s="54">
        <f>IF(_imp!$C$3550="","",INDEX(_imp!$F$4:$F$4503,_imp!$C$3550))</f>
        <v/>
      </c>
      <c r="D3548" s="54">
        <f>IF(_imp!$C$3550="","",INDEX(_imp!$G$4:$G$4503,_imp!$C$3550))</f>
        <v/>
      </c>
      <c r="E3548" s="54">
        <f>IF(_imp!$C$3550="","",INDEX(_imp!$H$4:$H$4503,_imp!$C$3550))</f>
        <v/>
      </c>
      <c r="F3548" s="54">
        <f>IF(_imp!$C$3550="","",INDEX(_imp!$I$4:$I$4503,_imp!$C$3550))</f>
        <v/>
      </c>
      <c r="G3548" s="54">
        <f>IF(_imp!$C$3550="","",INDEX(_imp!$J$4:$J$4503,_imp!$C$3550))</f>
        <v/>
      </c>
      <c r="K3548" s="54">
        <f>IF(_imp!$C$3550="","",INDEX(_imp!$K$4:$K$4503,_imp!$C$3550))</f>
        <v/>
      </c>
    </row>
    <row r="3549">
      <c r="A3549" s="54">
        <f>IF(_imp!$C$3551="","",INDEX(_imp!$D$4:$D$4503,_imp!$C$3551))</f>
        <v/>
      </c>
      <c r="B3549" s="54">
        <f>IF(_imp!$C$3551="","",INDEX(_imp!$E$4:$E$4503,_imp!$C$3551))</f>
        <v/>
      </c>
      <c r="C3549" s="54">
        <f>IF(_imp!$C$3551="","",INDEX(_imp!$F$4:$F$4503,_imp!$C$3551))</f>
        <v/>
      </c>
      <c r="D3549" s="54">
        <f>IF(_imp!$C$3551="","",INDEX(_imp!$G$4:$G$4503,_imp!$C$3551))</f>
        <v/>
      </c>
      <c r="E3549" s="54">
        <f>IF(_imp!$C$3551="","",INDEX(_imp!$H$4:$H$4503,_imp!$C$3551))</f>
        <v/>
      </c>
      <c r="F3549" s="54">
        <f>IF(_imp!$C$3551="","",INDEX(_imp!$I$4:$I$4503,_imp!$C$3551))</f>
        <v/>
      </c>
      <c r="G3549" s="54">
        <f>IF(_imp!$C$3551="","",INDEX(_imp!$J$4:$J$4503,_imp!$C$3551))</f>
        <v/>
      </c>
      <c r="K3549" s="54">
        <f>IF(_imp!$C$3551="","",INDEX(_imp!$K$4:$K$4503,_imp!$C$3551))</f>
        <v/>
      </c>
    </row>
    <row r="3550">
      <c r="A3550" s="54">
        <f>IF(_imp!$C$3552="","",INDEX(_imp!$D$4:$D$4503,_imp!$C$3552))</f>
        <v/>
      </c>
      <c r="B3550" s="54">
        <f>IF(_imp!$C$3552="","",INDEX(_imp!$E$4:$E$4503,_imp!$C$3552))</f>
        <v/>
      </c>
      <c r="C3550" s="54">
        <f>IF(_imp!$C$3552="","",INDEX(_imp!$F$4:$F$4503,_imp!$C$3552))</f>
        <v/>
      </c>
      <c r="D3550" s="54">
        <f>IF(_imp!$C$3552="","",INDEX(_imp!$G$4:$G$4503,_imp!$C$3552))</f>
        <v/>
      </c>
      <c r="E3550" s="54">
        <f>IF(_imp!$C$3552="","",INDEX(_imp!$H$4:$H$4503,_imp!$C$3552))</f>
        <v/>
      </c>
      <c r="F3550" s="54">
        <f>IF(_imp!$C$3552="","",INDEX(_imp!$I$4:$I$4503,_imp!$C$3552))</f>
        <v/>
      </c>
      <c r="G3550" s="54">
        <f>IF(_imp!$C$3552="","",INDEX(_imp!$J$4:$J$4503,_imp!$C$3552))</f>
        <v/>
      </c>
      <c r="K3550" s="54">
        <f>IF(_imp!$C$3552="","",INDEX(_imp!$K$4:$K$4503,_imp!$C$3552))</f>
        <v/>
      </c>
    </row>
    <row r="3551">
      <c r="A3551" s="54">
        <f>IF(_imp!$C$3553="","",INDEX(_imp!$D$4:$D$4503,_imp!$C$3553))</f>
        <v/>
      </c>
      <c r="B3551" s="54">
        <f>IF(_imp!$C$3553="","",INDEX(_imp!$E$4:$E$4503,_imp!$C$3553))</f>
        <v/>
      </c>
      <c r="C3551" s="54">
        <f>IF(_imp!$C$3553="","",INDEX(_imp!$F$4:$F$4503,_imp!$C$3553))</f>
        <v/>
      </c>
      <c r="D3551" s="54">
        <f>IF(_imp!$C$3553="","",INDEX(_imp!$G$4:$G$4503,_imp!$C$3553))</f>
        <v/>
      </c>
      <c r="E3551" s="54">
        <f>IF(_imp!$C$3553="","",INDEX(_imp!$H$4:$H$4503,_imp!$C$3553))</f>
        <v/>
      </c>
      <c r="F3551" s="54">
        <f>IF(_imp!$C$3553="","",INDEX(_imp!$I$4:$I$4503,_imp!$C$3553))</f>
        <v/>
      </c>
      <c r="G3551" s="54">
        <f>IF(_imp!$C$3553="","",INDEX(_imp!$J$4:$J$4503,_imp!$C$3553))</f>
        <v/>
      </c>
      <c r="K3551" s="54">
        <f>IF(_imp!$C$3553="","",INDEX(_imp!$K$4:$K$4503,_imp!$C$3553))</f>
        <v/>
      </c>
    </row>
    <row r="3552">
      <c r="A3552" s="54">
        <f>IF(_imp!$C$3554="","",INDEX(_imp!$D$4:$D$4503,_imp!$C$3554))</f>
        <v/>
      </c>
      <c r="B3552" s="54">
        <f>IF(_imp!$C$3554="","",INDEX(_imp!$E$4:$E$4503,_imp!$C$3554))</f>
        <v/>
      </c>
      <c r="C3552" s="54">
        <f>IF(_imp!$C$3554="","",INDEX(_imp!$F$4:$F$4503,_imp!$C$3554))</f>
        <v/>
      </c>
      <c r="D3552" s="54">
        <f>IF(_imp!$C$3554="","",INDEX(_imp!$G$4:$G$4503,_imp!$C$3554))</f>
        <v/>
      </c>
      <c r="E3552" s="54">
        <f>IF(_imp!$C$3554="","",INDEX(_imp!$H$4:$H$4503,_imp!$C$3554))</f>
        <v/>
      </c>
      <c r="F3552" s="54">
        <f>IF(_imp!$C$3554="","",INDEX(_imp!$I$4:$I$4503,_imp!$C$3554))</f>
        <v/>
      </c>
      <c r="G3552" s="54">
        <f>IF(_imp!$C$3554="","",INDEX(_imp!$J$4:$J$4503,_imp!$C$3554))</f>
        <v/>
      </c>
      <c r="K3552" s="54">
        <f>IF(_imp!$C$3554="","",INDEX(_imp!$K$4:$K$4503,_imp!$C$3554))</f>
        <v/>
      </c>
    </row>
    <row r="3553">
      <c r="A3553" s="54">
        <f>IF(_imp!$C$3555="","",INDEX(_imp!$D$4:$D$4503,_imp!$C$3555))</f>
        <v/>
      </c>
      <c r="B3553" s="54">
        <f>IF(_imp!$C$3555="","",INDEX(_imp!$E$4:$E$4503,_imp!$C$3555))</f>
        <v/>
      </c>
      <c r="C3553" s="54">
        <f>IF(_imp!$C$3555="","",INDEX(_imp!$F$4:$F$4503,_imp!$C$3555))</f>
        <v/>
      </c>
      <c r="D3553" s="54">
        <f>IF(_imp!$C$3555="","",INDEX(_imp!$G$4:$G$4503,_imp!$C$3555))</f>
        <v/>
      </c>
      <c r="E3553" s="54">
        <f>IF(_imp!$C$3555="","",INDEX(_imp!$H$4:$H$4503,_imp!$C$3555))</f>
        <v/>
      </c>
      <c r="F3553" s="54">
        <f>IF(_imp!$C$3555="","",INDEX(_imp!$I$4:$I$4503,_imp!$C$3555))</f>
        <v/>
      </c>
      <c r="G3553" s="54">
        <f>IF(_imp!$C$3555="","",INDEX(_imp!$J$4:$J$4503,_imp!$C$3555))</f>
        <v/>
      </c>
      <c r="K3553" s="54">
        <f>IF(_imp!$C$3555="","",INDEX(_imp!$K$4:$K$4503,_imp!$C$3555))</f>
        <v/>
      </c>
    </row>
    <row r="3554">
      <c r="A3554" s="54">
        <f>IF(_imp!$C$3556="","",INDEX(_imp!$D$4:$D$4503,_imp!$C$3556))</f>
        <v/>
      </c>
      <c r="B3554" s="54">
        <f>IF(_imp!$C$3556="","",INDEX(_imp!$E$4:$E$4503,_imp!$C$3556))</f>
        <v/>
      </c>
      <c r="C3554" s="54">
        <f>IF(_imp!$C$3556="","",INDEX(_imp!$F$4:$F$4503,_imp!$C$3556))</f>
        <v/>
      </c>
      <c r="D3554" s="54">
        <f>IF(_imp!$C$3556="","",INDEX(_imp!$G$4:$G$4503,_imp!$C$3556))</f>
        <v/>
      </c>
      <c r="E3554" s="54">
        <f>IF(_imp!$C$3556="","",INDEX(_imp!$H$4:$H$4503,_imp!$C$3556))</f>
        <v/>
      </c>
      <c r="F3554" s="54">
        <f>IF(_imp!$C$3556="","",INDEX(_imp!$I$4:$I$4503,_imp!$C$3556))</f>
        <v/>
      </c>
      <c r="G3554" s="54">
        <f>IF(_imp!$C$3556="","",INDEX(_imp!$J$4:$J$4503,_imp!$C$3556))</f>
        <v/>
      </c>
      <c r="K3554" s="54">
        <f>IF(_imp!$C$3556="","",INDEX(_imp!$K$4:$K$4503,_imp!$C$3556))</f>
        <v/>
      </c>
    </row>
    <row r="3555">
      <c r="A3555" s="54">
        <f>IF(_imp!$C$3557="","",INDEX(_imp!$D$4:$D$4503,_imp!$C$3557))</f>
        <v/>
      </c>
      <c r="B3555" s="54">
        <f>IF(_imp!$C$3557="","",INDEX(_imp!$E$4:$E$4503,_imp!$C$3557))</f>
        <v/>
      </c>
      <c r="C3555" s="54">
        <f>IF(_imp!$C$3557="","",INDEX(_imp!$F$4:$F$4503,_imp!$C$3557))</f>
        <v/>
      </c>
      <c r="D3555" s="54">
        <f>IF(_imp!$C$3557="","",INDEX(_imp!$G$4:$G$4503,_imp!$C$3557))</f>
        <v/>
      </c>
      <c r="E3555" s="54">
        <f>IF(_imp!$C$3557="","",INDEX(_imp!$H$4:$H$4503,_imp!$C$3557))</f>
        <v/>
      </c>
      <c r="F3555" s="54">
        <f>IF(_imp!$C$3557="","",INDEX(_imp!$I$4:$I$4503,_imp!$C$3557))</f>
        <v/>
      </c>
      <c r="G3555" s="54">
        <f>IF(_imp!$C$3557="","",INDEX(_imp!$J$4:$J$4503,_imp!$C$3557))</f>
        <v/>
      </c>
      <c r="K3555" s="54">
        <f>IF(_imp!$C$3557="","",INDEX(_imp!$K$4:$K$4503,_imp!$C$3557))</f>
        <v/>
      </c>
    </row>
    <row r="3556">
      <c r="A3556" s="54">
        <f>IF(_imp!$C$3558="","",INDEX(_imp!$D$4:$D$4503,_imp!$C$3558))</f>
        <v/>
      </c>
      <c r="B3556" s="54">
        <f>IF(_imp!$C$3558="","",INDEX(_imp!$E$4:$E$4503,_imp!$C$3558))</f>
        <v/>
      </c>
      <c r="C3556" s="54">
        <f>IF(_imp!$C$3558="","",INDEX(_imp!$F$4:$F$4503,_imp!$C$3558))</f>
        <v/>
      </c>
      <c r="D3556" s="54">
        <f>IF(_imp!$C$3558="","",INDEX(_imp!$G$4:$G$4503,_imp!$C$3558))</f>
        <v/>
      </c>
      <c r="E3556" s="54">
        <f>IF(_imp!$C$3558="","",INDEX(_imp!$H$4:$H$4503,_imp!$C$3558))</f>
        <v/>
      </c>
      <c r="F3556" s="54">
        <f>IF(_imp!$C$3558="","",INDEX(_imp!$I$4:$I$4503,_imp!$C$3558))</f>
        <v/>
      </c>
      <c r="G3556" s="54">
        <f>IF(_imp!$C$3558="","",INDEX(_imp!$J$4:$J$4503,_imp!$C$3558))</f>
        <v/>
      </c>
      <c r="K3556" s="54">
        <f>IF(_imp!$C$3558="","",INDEX(_imp!$K$4:$K$4503,_imp!$C$3558))</f>
        <v/>
      </c>
    </row>
    <row r="3557">
      <c r="A3557" s="54">
        <f>IF(_imp!$C$3559="","",INDEX(_imp!$D$4:$D$4503,_imp!$C$3559))</f>
        <v/>
      </c>
      <c r="B3557" s="54">
        <f>IF(_imp!$C$3559="","",INDEX(_imp!$E$4:$E$4503,_imp!$C$3559))</f>
        <v/>
      </c>
      <c r="C3557" s="54">
        <f>IF(_imp!$C$3559="","",INDEX(_imp!$F$4:$F$4503,_imp!$C$3559))</f>
        <v/>
      </c>
      <c r="D3557" s="54">
        <f>IF(_imp!$C$3559="","",INDEX(_imp!$G$4:$G$4503,_imp!$C$3559))</f>
        <v/>
      </c>
      <c r="E3557" s="54">
        <f>IF(_imp!$C$3559="","",INDEX(_imp!$H$4:$H$4503,_imp!$C$3559))</f>
        <v/>
      </c>
      <c r="F3557" s="54">
        <f>IF(_imp!$C$3559="","",INDEX(_imp!$I$4:$I$4503,_imp!$C$3559))</f>
        <v/>
      </c>
      <c r="G3557" s="54">
        <f>IF(_imp!$C$3559="","",INDEX(_imp!$J$4:$J$4503,_imp!$C$3559))</f>
        <v/>
      </c>
      <c r="K3557" s="54">
        <f>IF(_imp!$C$3559="","",INDEX(_imp!$K$4:$K$4503,_imp!$C$3559))</f>
        <v/>
      </c>
    </row>
    <row r="3558">
      <c r="A3558" s="54">
        <f>IF(_imp!$C$3560="","",INDEX(_imp!$D$4:$D$4503,_imp!$C$3560))</f>
        <v/>
      </c>
      <c r="B3558" s="54">
        <f>IF(_imp!$C$3560="","",INDEX(_imp!$E$4:$E$4503,_imp!$C$3560))</f>
        <v/>
      </c>
      <c r="C3558" s="54">
        <f>IF(_imp!$C$3560="","",INDEX(_imp!$F$4:$F$4503,_imp!$C$3560))</f>
        <v/>
      </c>
      <c r="D3558" s="54">
        <f>IF(_imp!$C$3560="","",INDEX(_imp!$G$4:$G$4503,_imp!$C$3560))</f>
        <v/>
      </c>
      <c r="E3558" s="54">
        <f>IF(_imp!$C$3560="","",INDEX(_imp!$H$4:$H$4503,_imp!$C$3560))</f>
        <v/>
      </c>
      <c r="F3558" s="54">
        <f>IF(_imp!$C$3560="","",INDEX(_imp!$I$4:$I$4503,_imp!$C$3560))</f>
        <v/>
      </c>
      <c r="G3558" s="54">
        <f>IF(_imp!$C$3560="","",INDEX(_imp!$J$4:$J$4503,_imp!$C$3560))</f>
        <v/>
      </c>
      <c r="K3558" s="54">
        <f>IF(_imp!$C$3560="","",INDEX(_imp!$K$4:$K$4503,_imp!$C$3560))</f>
        <v/>
      </c>
    </row>
    <row r="3559">
      <c r="A3559" s="54">
        <f>IF(_imp!$C$3561="","",INDEX(_imp!$D$4:$D$4503,_imp!$C$3561))</f>
        <v/>
      </c>
      <c r="B3559" s="54">
        <f>IF(_imp!$C$3561="","",INDEX(_imp!$E$4:$E$4503,_imp!$C$3561))</f>
        <v/>
      </c>
      <c r="C3559" s="54">
        <f>IF(_imp!$C$3561="","",INDEX(_imp!$F$4:$F$4503,_imp!$C$3561))</f>
        <v/>
      </c>
      <c r="D3559" s="54">
        <f>IF(_imp!$C$3561="","",INDEX(_imp!$G$4:$G$4503,_imp!$C$3561))</f>
        <v/>
      </c>
      <c r="E3559" s="54">
        <f>IF(_imp!$C$3561="","",INDEX(_imp!$H$4:$H$4503,_imp!$C$3561))</f>
        <v/>
      </c>
      <c r="F3559" s="54">
        <f>IF(_imp!$C$3561="","",INDEX(_imp!$I$4:$I$4503,_imp!$C$3561))</f>
        <v/>
      </c>
      <c r="G3559" s="54">
        <f>IF(_imp!$C$3561="","",INDEX(_imp!$J$4:$J$4503,_imp!$C$3561))</f>
        <v/>
      </c>
      <c r="K3559" s="54">
        <f>IF(_imp!$C$3561="","",INDEX(_imp!$K$4:$K$4503,_imp!$C$3561))</f>
        <v/>
      </c>
    </row>
    <row r="3560">
      <c r="A3560" s="54">
        <f>IF(_imp!$C$3562="","",INDEX(_imp!$D$4:$D$4503,_imp!$C$3562))</f>
        <v/>
      </c>
      <c r="B3560" s="54">
        <f>IF(_imp!$C$3562="","",INDEX(_imp!$E$4:$E$4503,_imp!$C$3562))</f>
        <v/>
      </c>
      <c r="C3560" s="54">
        <f>IF(_imp!$C$3562="","",INDEX(_imp!$F$4:$F$4503,_imp!$C$3562))</f>
        <v/>
      </c>
      <c r="D3560" s="54">
        <f>IF(_imp!$C$3562="","",INDEX(_imp!$G$4:$G$4503,_imp!$C$3562))</f>
        <v/>
      </c>
      <c r="E3560" s="54">
        <f>IF(_imp!$C$3562="","",INDEX(_imp!$H$4:$H$4503,_imp!$C$3562))</f>
        <v/>
      </c>
      <c r="F3560" s="54">
        <f>IF(_imp!$C$3562="","",INDEX(_imp!$I$4:$I$4503,_imp!$C$3562))</f>
        <v/>
      </c>
      <c r="G3560" s="54">
        <f>IF(_imp!$C$3562="","",INDEX(_imp!$J$4:$J$4503,_imp!$C$3562))</f>
        <v/>
      </c>
      <c r="K3560" s="54">
        <f>IF(_imp!$C$3562="","",INDEX(_imp!$K$4:$K$4503,_imp!$C$3562))</f>
        <v/>
      </c>
    </row>
    <row r="3561">
      <c r="A3561" s="54">
        <f>IF(_imp!$C$3563="","",INDEX(_imp!$D$4:$D$4503,_imp!$C$3563))</f>
        <v/>
      </c>
      <c r="B3561" s="54">
        <f>IF(_imp!$C$3563="","",INDEX(_imp!$E$4:$E$4503,_imp!$C$3563))</f>
        <v/>
      </c>
      <c r="C3561" s="54">
        <f>IF(_imp!$C$3563="","",INDEX(_imp!$F$4:$F$4503,_imp!$C$3563))</f>
        <v/>
      </c>
      <c r="D3561" s="54">
        <f>IF(_imp!$C$3563="","",INDEX(_imp!$G$4:$G$4503,_imp!$C$3563))</f>
        <v/>
      </c>
      <c r="E3561" s="54">
        <f>IF(_imp!$C$3563="","",INDEX(_imp!$H$4:$H$4503,_imp!$C$3563))</f>
        <v/>
      </c>
      <c r="F3561" s="54">
        <f>IF(_imp!$C$3563="","",INDEX(_imp!$I$4:$I$4503,_imp!$C$3563))</f>
        <v/>
      </c>
      <c r="G3561" s="54">
        <f>IF(_imp!$C$3563="","",INDEX(_imp!$J$4:$J$4503,_imp!$C$3563))</f>
        <v/>
      </c>
      <c r="K3561" s="54">
        <f>IF(_imp!$C$3563="","",INDEX(_imp!$K$4:$K$4503,_imp!$C$3563))</f>
        <v/>
      </c>
    </row>
    <row r="3562">
      <c r="A3562" s="54">
        <f>IF(_imp!$C$3564="","",INDEX(_imp!$D$4:$D$4503,_imp!$C$3564))</f>
        <v/>
      </c>
      <c r="B3562" s="54">
        <f>IF(_imp!$C$3564="","",INDEX(_imp!$E$4:$E$4503,_imp!$C$3564))</f>
        <v/>
      </c>
      <c r="C3562" s="54">
        <f>IF(_imp!$C$3564="","",INDEX(_imp!$F$4:$F$4503,_imp!$C$3564))</f>
        <v/>
      </c>
      <c r="D3562" s="54">
        <f>IF(_imp!$C$3564="","",INDEX(_imp!$G$4:$G$4503,_imp!$C$3564))</f>
        <v/>
      </c>
      <c r="E3562" s="54">
        <f>IF(_imp!$C$3564="","",INDEX(_imp!$H$4:$H$4503,_imp!$C$3564))</f>
        <v/>
      </c>
      <c r="F3562" s="54">
        <f>IF(_imp!$C$3564="","",INDEX(_imp!$I$4:$I$4503,_imp!$C$3564))</f>
        <v/>
      </c>
      <c r="G3562" s="54">
        <f>IF(_imp!$C$3564="","",INDEX(_imp!$J$4:$J$4503,_imp!$C$3564))</f>
        <v/>
      </c>
      <c r="K3562" s="54">
        <f>IF(_imp!$C$3564="","",INDEX(_imp!$K$4:$K$4503,_imp!$C$3564))</f>
        <v/>
      </c>
    </row>
    <row r="3563">
      <c r="A3563" s="54">
        <f>IF(_imp!$C$3565="","",INDEX(_imp!$D$4:$D$4503,_imp!$C$3565))</f>
        <v/>
      </c>
      <c r="B3563" s="54">
        <f>IF(_imp!$C$3565="","",INDEX(_imp!$E$4:$E$4503,_imp!$C$3565))</f>
        <v/>
      </c>
      <c r="C3563" s="54">
        <f>IF(_imp!$C$3565="","",INDEX(_imp!$F$4:$F$4503,_imp!$C$3565))</f>
        <v/>
      </c>
      <c r="D3563" s="54">
        <f>IF(_imp!$C$3565="","",INDEX(_imp!$G$4:$G$4503,_imp!$C$3565))</f>
        <v/>
      </c>
      <c r="E3563" s="54">
        <f>IF(_imp!$C$3565="","",INDEX(_imp!$H$4:$H$4503,_imp!$C$3565))</f>
        <v/>
      </c>
      <c r="F3563" s="54">
        <f>IF(_imp!$C$3565="","",INDEX(_imp!$I$4:$I$4503,_imp!$C$3565))</f>
        <v/>
      </c>
      <c r="G3563" s="54">
        <f>IF(_imp!$C$3565="","",INDEX(_imp!$J$4:$J$4503,_imp!$C$3565))</f>
        <v/>
      </c>
      <c r="K3563" s="54">
        <f>IF(_imp!$C$3565="","",INDEX(_imp!$K$4:$K$4503,_imp!$C$3565))</f>
        <v/>
      </c>
    </row>
    <row r="3564">
      <c r="A3564" s="54">
        <f>IF(_imp!$C$3566="","",INDEX(_imp!$D$4:$D$4503,_imp!$C$3566))</f>
        <v/>
      </c>
      <c r="B3564" s="54">
        <f>IF(_imp!$C$3566="","",INDEX(_imp!$E$4:$E$4503,_imp!$C$3566))</f>
        <v/>
      </c>
      <c r="C3564" s="54">
        <f>IF(_imp!$C$3566="","",INDEX(_imp!$F$4:$F$4503,_imp!$C$3566))</f>
        <v/>
      </c>
      <c r="D3564" s="54">
        <f>IF(_imp!$C$3566="","",INDEX(_imp!$G$4:$G$4503,_imp!$C$3566))</f>
        <v/>
      </c>
      <c r="E3564" s="54">
        <f>IF(_imp!$C$3566="","",INDEX(_imp!$H$4:$H$4503,_imp!$C$3566))</f>
        <v/>
      </c>
      <c r="F3564" s="54">
        <f>IF(_imp!$C$3566="","",INDEX(_imp!$I$4:$I$4503,_imp!$C$3566))</f>
        <v/>
      </c>
      <c r="G3564" s="54">
        <f>IF(_imp!$C$3566="","",INDEX(_imp!$J$4:$J$4503,_imp!$C$3566))</f>
        <v/>
      </c>
      <c r="K3564" s="54">
        <f>IF(_imp!$C$3566="","",INDEX(_imp!$K$4:$K$4503,_imp!$C$3566))</f>
        <v/>
      </c>
    </row>
    <row r="3565">
      <c r="A3565" s="54">
        <f>IF(_imp!$C$3567="","",INDEX(_imp!$D$4:$D$4503,_imp!$C$3567))</f>
        <v/>
      </c>
      <c r="B3565" s="54">
        <f>IF(_imp!$C$3567="","",INDEX(_imp!$E$4:$E$4503,_imp!$C$3567))</f>
        <v/>
      </c>
      <c r="C3565" s="54">
        <f>IF(_imp!$C$3567="","",INDEX(_imp!$F$4:$F$4503,_imp!$C$3567))</f>
        <v/>
      </c>
      <c r="D3565" s="54">
        <f>IF(_imp!$C$3567="","",INDEX(_imp!$G$4:$G$4503,_imp!$C$3567))</f>
        <v/>
      </c>
      <c r="E3565" s="54">
        <f>IF(_imp!$C$3567="","",INDEX(_imp!$H$4:$H$4503,_imp!$C$3567))</f>
        <v/>
      </c>
      <c r="F3565" s="54">
        <f>IF(_imp!$C$3567="","",INDEX(_imp!$I$4:$I$4503,_imp!$C$3567))</f>
        <v/>
      </c>
      <c r="G3565" s="54">
        <f>IF(_imp!$C$3567="","",INDEX(_imp!$J$4:$J$4503,_imp!$C$3567))</f>
        <v/>
      </c>
      <c r="K3565" s="54">
        <f>IF(_imp!$C$3567="","",INDEX(_imp!$K$4:$K$4503,_imp!$C$3567))</f>
        <v/>
      </c>
    </row>
    <row r="3566">
      <c r="A3566" s="54">
        <f>IF(_imp!$C$3568="","",INDEX(_imp!$D$4:$D$4503,_imp!$C$3568))</f>
        <v/>
      </c>
      <c r="B3566" s="54">
        <f>IF(_imp!$C$3568="","",INDEX(_imp!$E$4:$E$4503,_imp!$C$3568))</f>
        <v/>
      </c>
      <c r="C3566" s="54">
        <f>IF(_imp!$C$3568="","",INDEX(_imp!$F$4:$F$4503,_imp!$C$3568))</f>
        <v/>
      </c>
      <c r="D3566" s="54">
        <f>IF(_imp!$C$3568="","",INDEX(_imp!$G$4:$G$4503,_imp!$C$3568))</f>
        <v/>
      </c>
      <c r="E3566" s="54">
        <f>IF(_imp!$C$3568="","",INDEX(_imp!$H$4:$H$4503,_imp!$C$3568))</f>
        <v/>
      </c>
      <c r="F3566" s="54">
        <f>IF(_imp!$C$3568="","",INDEX(_imp!$I$4:$I$4503,_imp!$C$3568))</f>
        <v/>
      </c>
      <c r="G3566" s="54">
        <f>IF(_imp!$C$3568="","",INDEX(_imp!$J$4:$J$4503,_imp!$C$3568))</f>
        <v/>
      </c>
      <c r="K3566" s="54">
        <f>IF(_imp!$C$3568="","",INDEX(_imp!$K$4:$K$4503,_imp!$C$3568))</f>
        <v/>
      </c>
    </row>
    <row r="3567">
      <c r="A3567" s="54">
        <f>IF(_imp!$C$3569="","",INDEX(_imp!$D$4:$D$4503,_imp!$C$3569))</f>
        <v/>
      </c>
      <c r="B3567" s="54">
        <f>IF(_imp!$C$3569="","",INDEX(_imp!$E$4:$E$4503,_imp!$C$3569))</f>
        <v/>
      </c>
      <c r="C3567" s="54">
        <f>IF(_imp!$C$3569="","",INDEX(_imp!$F$4:$F$4503,_imp!$C$3569))</f>
        <v/>
      </c>
      <c r="D3567" s="54">
        <f>IF(_imp!$C$3569="","",INDEX(_imp!$G$4:$G$4503,_imp!$C$3569))</f>
        <v/>
      </c>
      <c r="E3567" s="54">
        <f>IF(_imp!$C$3569="","",INDEX(_imp!$H$4:$H$4503,_imp!$C$3569))</f>
        <v/>
      </c>
      <c r="F3567" s="54">
        <f>IF(_imp!$C$3569="","",INDEX(_imp!$I$4:$I$4503,_imp!$C$3569))</f>
        <v/>
      </c>
      <c r="G3567" s="54">
        <f>IF(_imp!$C$3569="","",INDEX(_imp!$J$4:$J$4503,_imp!$C$3569))</f>
        <v/>
      </c>
      <c r="K3567" s="54">
        <f>IF(_imp!$C$3569="","",INDEX(_imp!$K$4:$K$4503,_imp!$C$3569))</f>
        <v/>
      </c>
    </row>
    <row r="3568">
      <c r="A3568" s="54">
        <f>IF(_imp!$C$3570="","",INDEX(_imp!$D$4:$D$4503,_imp!$C$3570))</f>
        <v/>
      </c>
      <c r="B3568" s="54">
        <f>IF(_imp!$C$3570="","",INDEX(_imp!$E$4:$E$4503,_imp!$C$3570))</f>
        <v/>
      </c>
      <c r="C3568" s="54">
        <f>IF(_imp!$C$3570="","",INDEX(_imp!$F$4:$F$4503,_imp!$C$3570))</f>
        <v/>
      </c>
      <c r="D3568" s="54">
        <f>IF(_imp!$C$3570="","",INDEX(_imp!$G$4:$G$4503,_imp!$C$3570))</f>
        <v/>
      </c>
      <c r="E3568" s="54">
        <f>IF(_imp!$C$3570="","",INDEX(_imp!$H$4:$H$4503,_imp!$C$3570))</f>
        <v/>
      </c>
      <c r="F3568" s="54">
        <f>IF(_imp!$C$3570="","",INDEX(_imp!$I$4:$I$4503,_imp!$C$3570))</f>
        <v/>
      </c>
      <c r="G3568" s="54">
        <f>IF(_imp!$C$3570="","",INDEX(_imp!$J$4:$J$4503,_imp!$C$3570))</f>
        <v/>
      </c>
      <c r="K3568" s="54">
        <f>IF(_imp!$C$3570="","",INDEX(_imp!$K$4:$K$4503,_imp!$C$3570))</f>
        <v/>
      </c>
    </row>
    <row r="3569">
      <c r="A3569" s="54">
        <f>IF(_imp!$C$3571="","",INDEX(_imp!$D$4:$D$4503,_imp!$C$3571))</f>
        <v/>
      </c>
      <c r="B3569" s="54">
        <f>IF(_imp!$C$3571="","",INDEX(_imp!$E$4:$E$4503,_imp!$C$3571))</f>
        <v/>
      </c>
      <c r="C3569" s="54">
        <f>IF(_imp!$C$3571="","",INDEX(_imp!$F$4:$F$4503,_imp!$C$3571))</f>
        <v/>
      </c>
      <c r="D3569" s="54">
        <f>IF(_imp!$C$3571="","",INDEX(_imp!$G$4:$G$4503,_imp!$C$3571))</f>
        <v/>
      </c>
      <c r="E3569" s="54">
        <f>IF(_imp!$C$3571="","",INDEX(_imp!$H$4:$H$4503,_imp!$C$3571))</f>
        <v/>
      </c>
      <c r="F3569" s="54">
        <f>IF(_imp!$C$3571="","",INDEX(_imp!$I$4:$I$4503,_imp!$C$3571))</f>
        <v/>
      </c>
      <c r="G3569" s="54">
        <f>IF(_imp!$C$3571="","",INDEX(_imp!$J$4:$J$4503,_imp!$C$3571))</f>
        <v/>
      </c>
      <c r="K3569" s="54">
        <f>IF(_imp!$C$3571="","",INDEX(_imp!$K$4:$K$4503,_imp!$C$3571))</f>
        <v/>
      </c>
    </row>
    <row r="3570">
      <c r="A3570" s="54">
        <f>IF(_imp!$C$3572="","",INDEX(_imp!$D$4:$D$4503,_imp!$C$3572))</f>
        <v/>
      </c>
      <c r="B3570" s="54">
        <f>IF(_imp!$C$3572="","",INDEX(_imp!$E$4:$E$4503,_imp!$C$3572))</f>
        <v/>
      </c>
      <c r="C3570" s="54">
        <f>IF(_imp!$C$3572="","",INDEX(_imp!$F$4:$F$4503,_imp!$C$3572))</f>
        <v/>
      </c>
      <c r="D3570" s="54">
        <f>IF(_imp!$C$3572="","",INDEX(_imp!$G$4:$G$4503,_imp!$C$3572))</f>
        <v/>
      </c>
      <c r="E3570" s="54">
        <f>IF(_imp!$C$3572="","",INDEX(_imp!$H$4:$H$4503,_imp!$C$3572))</f>
        <v/>
      </c>
      <c r="F3570" s="54">
        <f>IF(_imp!$C$3572="","",INDEX(_imp!$I$4:$I$4503,_imp!$C$3572))</f>
        <v/>
      </c>
      <c r="G3570" s="54">
        <f>IF(_imp!$C$3572="","",INDEX(_imp!$J$4:$J$4503,_imp!$C$3572))</f>
        <v/>
      </c>
      <c r="K3570" s="54">
        <f>IF(_imp!$C$3572="","",INDEX(_imp!$K$4:$K$4503,_imp!$C$3572))</f>
        <v/>
      </c>
    </row>
    <row r="3571">
      <c r="A3571" s="54">
        <f>IF(_imp!$C$3573="","",INDEX(_imp!$D$4:$D$4503,_imp!$C$3573))</f>
        <v/>
      </c>
      <c r="B3571" s="54">
        <f>IF(_imp!$C$3573="","",INDEX(_imp!$E$4:$E$4503,_imp!$C$3573))</f>
        <v/>
      </c>
      <c r="C3571" s="54">
        <f>IF(_imp!$C$3573="","",INDEX(_imp!$F$4:$F$4503,_imp!$C$3573))</f>
        <v/>
      </c>
      <c r="D3571" s="54">
        <f>IF(_imp!$C$3573="","",INDEX(_imp!$G$4:$G$4503,_imp!$C$3573))</f>
        <v/>
      </c>
      <c r="E3571" s="54">
        <f>IF(_imp!$C$3573="","",INDEX(_imp!$H$4:$H$4503,_imp!$C$3573))</f>
        <v/>
      </c>
      <c r="F3571" s="54">
        <f>IF(_imp!$C$3573="","",INDEX(_imp!$I$4:$I$4503,_imp!$C$3573))</f>
        <v/>
      </c>
      <c r="G3571" s="54">
        <f>IF(_imp!$C$3573="","",INDEX(_imp!$J$4:$J$4503,_imp!$C$3573))</f>
        <v/>
      </c>
      <c r="K3571" s="54">
        <f>IF(_imp!$C$3573="","",INDEX(_imp!$K$4:$K$4503,_imp!$C$3573))</f>
        <v/>
      </c>
    </row>
    <row r="3572">
      <c r="A3572" s="54">
        <f>IF(_imp!$C$3574="","",INDEX(_imp!$D$4:$D$4503,_imp!$C$3574))</f>
        <v/>
      </c>
      <c r="B3572" s="54">
        <f>IF(_imp!$C$3574="","",INDEX(_imp!$E$4:$E$4503,_imp!$C$3574))</f>
        <v/>
      </c>
      <c r="C3572" s="54">
        <f>IF(_imp!$C$3574="","",INDEX(_imp!$F$4:$F$4503,_imp!$C$3574))</f>
        <v/>
      </c>
      <c r="D3572" s="54">
        <f>IF(_imp!$C$3574="","",INDEX(_imp!$G$4:$G$4503,_imp!$C$3574))</f>
        <v/>
      </c>
      <c r="E3572" s="54">
        <f>IF(_imp!$C$3574="","",INDEX(_imp!$H$4:$H$4503,_imp!$C$3574))</f>
        <v/>
      </c>
      <c r="F3572" s="54">
        <f>IF(_imp!$C$3574="","",INDEX(_imp!$I$4:$I$4503,_imp!$C$3574))</f>
        <v/>
      </c>
      <c r="G3572" s="54">
        <f>IF(_imp!$C$3574="","",INDEX(_imp!$J$4:$J$4503,_imp!$C$3574))</f>
        <v/>
      </c>
      <c r="K3572" s="54">
        <f>IF(_imp!$C$3574="","",INDEX(_imp!$K$4:$K$4503,_imp!$C$3574))</f>
        <v/>
      </c>
    </row>
    <row r="3573">
      <c r="A3573" s="54">
        <f>IF(_imp!$C$3575="","",INDEX(_imp!$D$4:$D$4503,_imp!$C$3575))</f>
        <v/>
      </c>
      <c r="B3573" s="54">
        <f>IF(_imp!$C$3575="","",INDEX(_imp!$E$4:$E$4503,_imp!$C$3575))</f>
        <v/>
      </c>
      <c r="C3573" s="54">
        <f>IF(_imp!$C$3575="","",INDEX(_imp!$F$4:$F$4503,_imp!$C$3575))</f>
        <v/>
      </c>
      <c r="D3573" s="54">
        <f>IF(_imp!$C$3575="","",INDEX(_imp!$G$4:$G$4503,_imp!$C$3575))</f>
        <v/>
      </c>
      <c r="E3573" s="54">
        <f>IF(_imp!$C$3575="","",INDEX(_imp!$H$4:$H$4503,_imp!$C$3575))</f>
        <v/>
      </c>
      <c r="F3573" s="54">
        <f>IF(_imp!$C$3575="","",INDEX(_imp!$I$4:$I$4503,_imp!$C$3575))</f>
        <v/>
      </c>
      <c r="G3573" s="54">
        <f>IF(_imp!$C$3575="","",INDEX(_imp!$J$4:$J$4503,_imp!$C$3575))</f>
        <v/>
      </c>
      <c r="K3573" s="54">
        <f>IF(_imp!$C$3575="","",INDEX(_imp!$K$4:$K$4503,_imp!$C$3575))</f>
        <v/>
      </c>
    </row>
    <row r="3574">
      <c r="A3574" s="54">
        <f>IF(_imp!$C$3576="","",INDEX(_imp!$D$4:$D$4503,_imp!$C$3576))</f>
        <v/>
      </c>
      <c r="B3574" s="54">
        <f>IF(_imp!$C$3576="","",INDEX(_imp!$E$4:$E$4503,_imp!$C$3576))</f>
        <v/>
      </c>
      <c r="C3574" s="54">
        <f>IF(_imp!$C$3576="","",INDEX(_imp!$F$4:$F$4503,_imp!$C$3576))</f>
        <v/>
      </c>
      <c r="D3574" s="54">
        <f>IF(_imp!$C$3576="","",INDEX(_imp!$G$4:$G$4503,_imp!$C$3576))</f>
        <v/>
      </c>
      <c r="E3574" s="54">
        <f>IF(_imp!$C$3576="","",INDEX(_imp!$H$4:$H$4503,_imp!$C$3576))</f>
        <v/>
      </c>
      <c r="F3574" s="54">
        <f>IF(_imp!$C$3576="","",INDEX(_imp!$I$4:$I$4503,_imp!$C$3576))</f>
        <v/>
      </c>
      <c r="G3574" s="54">
        <f>IF(_imp!$C$3576="","",INDEX(_imp!$J$4:$J$4503,_imp!$C$3576))</f>
        <v/>
      </c>
      <c r="K3574" s="54">
        <f>IF(_imp!$C$3576="","",INDEX(_imp!$K$4:$K$4503,_imp!$C$3576))</f>
        <v/>
      </c>
    </row>
    <row r="3575">
      <c r="A3575" s="54">
        <f>IF(_imp!$C$3577="","",INDEX(_imp!$D$4:$D$4503,_imp!$C$3577))</f>
        <v/>
      </c>
      <c r="B3575" s="54">
        <f>IF(_imp!$C$3577="","",INDEX(_imp!$E$4:$E$4503,_imp!$C$3577))</f>
        <v/>
      </c>
      <c r="C3575" s="54">
        <f>IF(_imp!$C$3577="","",INDEX(_imp!$F$4:$F$4503,_imp!$C$3577))</f>
        <v/>
      </c>
      <c r="D3575" s="54">
        <f>IF(_imp!$C$3577="","",INDEX(_imp!$G$4:$G$4503,_imp!$C$3577))</f>
        <v/>
      </c>
      <c r="E3575" s="54">
        <f>IF(_imp!$C$3577="","",INDEX(_imp!$H$4:$H$4503,_imp!$C$3577))</f>
        <v/>
      </c>
      <c r="F3575" s="54">
        <f>IF(_imp!$C$3577="","",INDEX(_imp!$I$4:$I$4503,_imp!$C$3577))</f>
        <v/>
      </c>
      <c r="G3575" s="54">
        <f>IF(_imp!$C$3577="","",INDEX(_imp!$J$4:$J$4503,_imp!$C$3577))</f>
        <v/>
      </c>
      <c r="K3575" s="54">
        <f>IF(_imp!$C$3577="","",INDEX(_imp!$K$4:$K$4503,_imp!$C$3577))</f>
        <v/>
      </c>
    </row>
    <row r="3576">
      <c r="A3576" s="54">
        <f>IF(_imp!$C$3578="","",INDEX(_imp!$D$4:$D$4503,_imp!$C$3578))</f>
        <v/>
      </c>
      <c r="B3576" s="54">
        <f>IF(_imp!$C$3578="","",INDEX(_imp!$E$4:$E$4503,_imp!$C$3578))</f>
        <v/>
      </c>
      <c r="C3576" s="54">
        <f>IF(_imp!$C$3578="","",INDEX(_imp!$F$4:$F$4503,_imp!$C$3578))</f>
        <v/>
      </c>
      <c r="D3576" s="54">
        <f>IF(_imp!$C$3578="","",INDEX(_imp!$G$4:$G$4503,_imp!$C$3578))</f>
        <v/>
      </c>
      <c r="E3576" s="54">
        <f>IF(_imp!$C$3578="","",INDEX(_imp!$H$4:$H$4503,_imp!$C$3578))</f>
        <v/>
      </c>
      <c r="F3576" s="54">
        <f>IF(_imp!$C$3578="","",INDEX(_imp!$I$4:$I$4503,_imp!$C$3578))</f>
        <v/>
      </c>
      <c r="G3576" s="54">
        <f>IF(_imp!$C$3578="","",INDEX(_imp!$J$4:$J$4503,_imp!$C$3578))</f>
        <v/>
      </c>
      <c r="K3576" s="54">
        <f>IF(_imp!$C$3578="","",INDEX(_imp!$K$4:$K$4503,_imp!$C$3578))</f>
        <v/>
      </c>
    </row>
    <row r="3577">
      <c r="A3577" s="54">
        <f>IF(_imp!$C$3579="","",INDEX(_imp!$D$4:$D$4503,_imp!$C$3579))</f>
        <v/>
      </c>
      <c r="B3577" s="54">
        <f>IF(_imp!$C$3579="","",INDEX(_imp!$E$4:$E$4503,_imp!$C$3579))</f>
        <v/>
      </c>
      <c r="C3577" s="54">
        <f>IF(_imp!$C$3579="","",INDEX(_imp!$F$4:$F$4503,_imp!$C$3579))</f>
        <v/>
      </c>
      <c r="D3577" s="54">
        <f>IF(_imp!$C$3579="","",INDEX(_imp!$G$4:$G$4503,_imp!$C$3579))</f>
        <v/>
      </c>
      <c r="E3577" s="54">
        <f>IF(_imp!$C$3579="","",INDEX(_imp!$H$4:$H$4503,_imp!$C$3579))</f>
        <v/>
      </c>
      <c r="F3577" s="54">
        <f>IF(_imp!$C$3579="","",INDEX(_imp!$I$4:$I$4503,_imp!$C$3579))</f>
        <v/>
      </c>
      <c r="G3577" s="54">
        <f>IF(_imp!$C$3579="","",INDEX(_imp!$J$4:$J$4503,_imp!$C$3579))</f>
        <v/>
      </c>
      <c r="K3577" s="54">
        <f>IF(_imp!$C$3579="","",INDEX(_imp!$K$4:$K$4503,_imp!$C$3579))</f>
        <v/>
      </c>
    </row>
    <row r="3578">
      <c r="A3578" s="54">
        <f>IF(_imp!$C$3580="","",INDEX(_imp!$D$4:$D$4503,_imp!$C$3580))</f>
        <v/>
      </c>
      <c r="B3578" s="54">
        <f>IF(_imp!$C$3580="","",INDEX(_imp!$E$4:$E$4503,_imp!$C$3580))</f>
        <v/>
      </c>
      <c r="C3578" s="54">
        <f>IF(_imp!$C$3580="","",INDEX(_imp!$F$4:$F$4503,_imp!$C$3580))</f>
        <v/>
      </c>
      <c r="D3578" s="54">
        <f>IF(_imp!$C$3580="","",INDEX(_imp!$G$4:$G$4503,_imp!$C$3580))</f>
        <v/>
      </c>
      <c r="E3578" s="54">
        <f>IF(_imp!$C$3580="","",INDEX(_imp!$H$4:$H$4503,_imp!$C$3580))</f>
        <v/>
      </c>
      <c r="F3578" s="54">
        <f>IF(_imp!$C$3580="","",INDEX(_imp!$I$4:$I$4503,_imp!$C$3580))</f>
        <v/>
      </c>
      <c r="G3578" s="54">
        <f>IF(_imp!$C$3580="","",INDEX(_imp!$J$4:$J$4503,_imp!$C$3580))</f>
        <v/>
      </c>
      <c r="K3578" s="54">
        <f>IF(_imp!$C$3580="","",INDEX(_imp!$K$4:$K$4503,_imp!$C$3580))</f>
        <v/>
      </c>
    </row>
    <row r="3579">
      <c r="A3579" s="54">
        <f>IF(_imp!$C$3581="","",INDEX(_imp!$D$4:$D$4503,_imp!$C$3581))</f>
        <v/>
      </c>
      <c r="B3579" s="54">
        <f>IF(_imp!$C$3581="","",INDEX(_imp!$E$4:$E$4503,_imp!$C$3581))</f>
        <v/>
      </c>
      <c r="C3579" s="54">
        <f>IF(_imp!$C$3581="","",INDEX(_imp!$F$4:$F$4503,_imp!$C$3581))</f>
        <v/>
      </c>
      <c r="D3579" s="54">
        <f>IF(_imp!$C$3581="","",INDEX(_imp!$G$4:$G$4503,_imp!$C$3581))</f>
        <v/>
      </c>
      <c r="E3579" s="54">
        <f>IF(_imp!$C$3581="","",INDEX(_imp!$H$4:$H$4503,_imp!$C$3581))</f>
        <v/>
      </c>
      <c r="F3579" s="54">
        <f>IF(_imp!$C$3581="","",INDEX(_imp!$I$4:$I$4503,_imp!$C$3581))</f>
        <v/>
      </c>
      <c r="G3579" s="54">
        <f>IF(_imp!$C$3581="","",INDEX(_imp!$J$4:$J$4503,_imp!$C$3581))</f>
        <v/>
      </c>
      <c r="K3579" s="54">
        <f>IF(_imp!$C$3581="","",INDEX(_imp!$K$4:$K$4503,_imp!$C$3581))</f>
        <v/>
      </c>
    </row>
    <row r="3580">
      <c r="A3580" s="54">
        <f>IF(_imp!$C$3582="","",INDEX(_imp!$D$4:$D$4503,_imp!$C$3582))</f>
        <v/>
      </c>
      <c r="B3580" s="54">
        <f>IF(_imp!$C$3582="","",INDEX(_imp!$E$4:$E$4503,_imp!$C$3582))</f>
        <v/>
      </c>
      <c r="C3580" s="54">
        <f>IF(_imp!$C$3582="","",INDEX(_imp!$F$4:$F$4503,_imp!$C$3582))</f>
        <v/>
      </c>
      <c r="D3580" s="54">
        <f>IF(_imp!$C$3582="","",INDEX(_imp!$G$4:$G$4503,_imp!$C$3582))</f>
        <v/>
      </c>
      <c r="E3580" s="54">
        <f>IF(_imp!$C$3582="","",INDEX(_imp!$H$4:$H$4503,_imp!$C$3582))</f>
        <v/>
      </c>
      <c r="F3580" s="54">
        <f>IF(_imp!$C$3582="","",INDEX(_imp!$I$4:$I$4503,_imp!$C$3582))</f>
        <v/>
      </c>
      <c r="G3580" s="54">
        <f>IF(_imp!$C$3582="","",INDEX(_imp!$J$4:$J$4503,_imp!$C$3582))</f>
        <v/>
      </c>
      <c r="K3580" s="54">
        <f>IF(_imp!$C$3582="","",INDEX(_imp!$K$4:$K$4503,_imp!$C$3582))</f>
        <v/>
      </c>
    </row>
    <row r="3581">
      <c r="A3581" s="54">
        <f>IF(_imp!$C$3583="","",INDEX(_imp!$D$4:$D$4503,_imp!$C$3583))</f>
        <v/>
      </c>
      <c r="B3581" s="54">
        <f>IF(_imp!$C$3583="","",INDEX(_imp!$E$4:$E$4503,_imp!$C$3583))</f>
        <v/>
      </c>
      <c r="C3581" s="54">
        <f>IF(_imp!$C$3583="","",INDEX(_imp!$F$4:$F$4503,_imp!$C$3583))</f>
        <v/>
      </c>
      <c r="D3581" s="54">
        <f>IF(_imp!$C$3583="","",INDEX(_imp!$G$4:$G$4503,_imp!$C$3583))</f>
        <v/>
      </c>
      <c r="E3581" s="54">
        <f>IF(_imp!$C$3583="","",INDEX(_imp!$H$4:$H$4503,_imp!$C$3583))</f>
        <v/>
      </c>
      <c r="F3581" s="54">
        <f>IF(_imp!$C$3583="","",INDEX(_imp!$I$4:$I$4503,_imp!$C$3583))</f>
        <v/>
      </c>
      <c r="G3581" s="54">
        <f>IF(_imp!$C$3583="","",INDEX(_imp!$J$4:$J$4503,_imp!$C$3583))</f>
        <v/>
      </c>
      <c r="K3581" s="54">
        <f>IF(_imp!$C$3583="","",INDEX(_imp!$K$4:$K$4503,_imp!$C$3583))</f>
        <v/>
      </c>
    </row>
    <row r="3582">
      <c r="A3582" s="54">
        <f>IF(_imp!$C$3584="","",INDEX(_imp!$D$4:$D$4503,_imp!$C$3584))</f>
        <v/>
      </c>
      <c r="B3582" s="54">
        <f>IF(_imp!$C$3584="","",INDEX(_imp!$E$4:$E$4503,_imp!$C$3584))</f>
        <v/>
      </c>
      <c r="C3582" s="54">
        <f>IF(_imp!$C$3584="","",INDEX(_imp!$F$4:$F$4503,_imp!$C$3584))</f>
        <v/>
      </c>
      <c r="D3582" s="54">
        <f>IF(_imp!$C$3584="","",INDEX(_imp!$G$4:$G$4503,_imp!$C$3584))</f>
        <v/>
      </c>
      <c r="E3582" s="54">
        <f>IF(_imp!$C$3584="","",INDEX(_imp!$H$4:$H$4503,_imp!$C$3584))</f>
        <v/>
      </c>
      <c r="F3582" s="54">
        <f>IF(_imp!$C$3584="","",INDEX(_imp!$I$4:$I$4503,_imp!$C$3584))</f>
        <v/>
      </c>
      <c r="G3582" s="54">
        <f>IF(_imp!$C$3584="","",INDEX(_imp!$J$4:$J$4503,_imp!$C$3584))</f>
        <v/>
      </c>
      <c r="K3582" s="54">
        <f>IF(_imp!$C$3584="","",INDEX(_imp!$K$4:$K$4503,_imp!$C$3584))</f>
        <v/>
      </c>
    </row>
    <row r="3583">
      <c r="A3583" s="54">
        <f>IF(_imp!$C$3585="","",INDEX(_imp!$D$4:$D$4503,_imp!$C$3585))</f>
        <v/>
      </c>
      <c r="B3583" s="54">
        <f>IF(_imp!$C$3585="","",INDEX(_imp!$E$4:$E$4503,_imp!$C$3585))</f>
        <v/>
      </c>
      <c r="C3583" s="54">
        <f>IF(_imp!$C$3585="","",INDEX(_imp!$F$4:$F$4503,_imp!$C$3585))</f>
        <v/>
      </c>
      <c r="D3583" s="54">
        <f>IF(_imp!$C$3585="","",INDEX(_imp!$G$4:$G$4503,_imp!$C$3585))</f>
        <v/>
      </c>
      <c r="E3583" s="54">
        <f>IF(_imp!$C$3585="","",INDEX(_imp!$H$4:$H$4503,_imp!$C$3585))</f>
        <v/>
      </c>
      <c r="F3583" s="54">
        <f>IF(_imp!$C$3585="","",INDEX(_imp!$I$4:$I$4503,_imp!$C$3585))</f>
        <v/>
      </c>
      <c r="G3583" s="54">
        <f>IF(_imp!$C$3585="","",INDEX(_imp!$J$4:$J$4503,_imp!$C$3585))</f>
        <v/>
      </c>
      <c r="K3583" s="54">
        <f>IF(_imp!$C$3585="","",INDEX(_imp!$K$4:$K$4503,_imp!$C$3585))</f>
        <v/>
      </c>
    </row>
    <row r="3584">
      <c r="A3584" s="54">
        <f>IF(_imp!$C$3586="","",INDEX(_imp!$D$4:$D$4503,_imp!$C$3586))</f>
        <v/>
      </c>
      <c r="B3584" s="54">
        <f>IF(_imp!$C$3586="","",INDEX(_imp!$E$4:$E$4503,_imp!$C$3586))</f>
        <v/>
      </c>
      <c r="C3584" s="54">
        <f>IF(_imp!$C$3586="","",INDEX(_imp!$F$4:$F$4503,_imp!$C$3586))</f>
        <v/>
      </c>
      <c r="D3584" s="54">
        <f>IF(_imp!$C$3586="","",INDEX(_imp!$G$4:$G$4503,_imp!$C$3586))</f>
        <v/>
      </c>
      <c r="E3584" s="54">
        <f>IF(_imp!$C$3586="","",INDEX(_imp!$H$4:$H$4503,_imp!$C$3586))</f>
        <v/>
      </c>
      <c r="F3584" s="54">
        <f>IF(_imp!$C$3586="","",INDEX(_imp!$I$4:$I$4503,_imp!$C$3586))</f>
        <v/>
      </c>
      <c r="G3584" s="54">
        <f>IF(_imp!$C$3586="","",INDEX(_imp!$J$4:$J$4503,_imp!$C$3586))</f>
        <v/>
      </c>
      <c r="K3584" s="54">
        <f>IF(_imp!$C$3586="","",INDEX(_imp!$K$4:$K$4503,_imp!$C$3586))</f>
        <v/>
      </c>
    </row>
    <row r="3585">
      <c r="A3585" s="54">
        <f>IF(_imp!$C$3587="","",INDEX(_imp!$D$4:$D$4503,_imp!$C$3587))</f>
        <v/>
      </c>
      <c r="B3585" s="54">
        <f>IF(_imp!$C$3587="","",INDEX(_imp!$E$4:$E$4503,_imp!$C$3587))</f>
        <v/>
      </c>
      <c r="C3585" s="54">
        <f>IF(_imp!$C$3587="","",INDEX(_imp!$F$4:$F$4503,_imp!$C$3587))</f>
        <v/>
      </c>
      <c r="D3585" s="54">
        <f>IF(_imp!$C$3587="","",INDEX(_imp!$G$4:$G$4503,_imp!$C$3587))</f>
        <v/>
      </c>
      <c r="E3585" s="54">
        <f>IF(_imp!$C$3587="","",INDEX(_imp!$H$4:$H$4503,_imp!$C$3587))</f>
        <v/>
      </c>
      <c r="F3585" s="54">
        <f>IF(_imp!$C$3587="","",INDEX(_imp!$I$4:$I$4503,_imp!$C$3587))</f>
        <v/>
      </c>
      <c r="G3585" s="54">
        <f>IF(_imp!$C$3587="","",INDEX(_imp!$J$4:$J$4503,_imp!$C$3587))</f>
        <v/>
      </c>
      <c r="K3585" s="54">
        <f>IF(_imp!$C$3587="","",INDEX(_imp!$K$4:$K$4503,_imp!$C$3587))</f>
        <v/>
      </c>
    </row>
    <row r="3586">
      <c r="A3586" s="54">
        <f>IF(_imp!$C$3588="","",INDEX(_imp!$D$4:$D$4503,_imp!$C$3588))</f>
        <v/>
      </c>
      <c r="B3586" s="54">
        <f>IF(_imp!$C$3588="","",INDEX(_imp!$E$4:$E$4503,_imp!$C$3588))</f>
        <v/>
      </c>
      <c r="C3586" s="54">
        <f>IF(_imp!$C$3588="","",INDEX(_imp!$F$4:$F$4503,_imp!$C$3588))</f>
        <v/>
      </c>
      <c r="D3586" s="54">
        <f>IF(_imp!$C$3588="","",INDEX(_imp!$G$4:$G$4503,_imp!$C$3588))</f>
        <v/>
      </c>
      <c r="E3586" s="54">
        <f>IF(_imp!$C$3588="","",INDEX(_imp!$H$4:$H$4503,_imp!$C$3588))</f>
        <v/>
      </c>
      <c r="F3586" s="54">
        <f>IF(_imp!$C$3588="","",INDEX(_imp!$I$4:$I$4503,_imp!$C$3588))</f>
        <v/>
      </c>
      <c r="G3586" s="54">
        <f>IF(_imp!$C$3588="","",INDEX(_imp!$J$4:$J$4503,_imp!$C$3588))</f>
        <v/>
      </c>
      <c r="K3586" s="54">
        <f>IF(_imp!$C$3588="","",INDEX(_imp!$K$4:$K$4503,_imp!$C$3588))</f>
        <v/>
      </c>
    </row>
    <row r="3587">
      <c r="A3587" s="54">
        <f>IF(_imp!$C$3589="","",INDEX(_imp!$D$4:$D$4503,_imp!$C$3589))</f>
        <v/>
      </c>
      <c r="B3587" s="54">
        <f>IF(_imp!$C$3589="","",INDEX(_imp!$E$4:$E$4503,_imp!$C$3589))</f>
        <v/>
      </c>
      <c r="C3587" s="54">
        <f>IF(_imp!$C$3589="","",INDEX(_imp!$F$4:$F$4503,_imp!$C$3589))</f>
        <v/>
      </c>
      <c r="D3587" s="54">
        <f>IF(_imp!$C$3589="","",INDEX(_imp!$G$4:$G$4503,_imp!$C$3589))</f>
        <v/>
      </c>
      <c r="E3587" s="54">
        <f>IF(_imp!$C$3589="","",INDEX(_imp!$H$4:$H$4503,_imp!$C$3589))</f>
        <v/>
      </c>
      <c r="F3587" s="54">
        <f>IF(_imp!$C$3589="","",INDEX(_imp!$I$4:$I$4503,_imp!$C$3589))</f>
        <v/>
      </c>
      <c r="G3587" s="54">
        <f>IF(_imp!$C$3589="","",INDEX(_imp!$J$4:$J$4503,_imp!$C$3589))</f>
        <v/>
      </c>
      <c r="K3587" s="54">
        <f>IF(_imp!$C$3589="","",INDEX(_imp!$K$4:$K$4503,_imp!$C$3589))</f>
        <v/>
      </c>
    </row>
    <row r="3588">
      <c r="A3588" s="54">
        <f>IF(_imp!$C$3590="","",INDEX(_imp!$D$4:$D$4503,_imp!$C$3590))</f>
        <v/>
      </c>
      <c r="B3588" s="54">
        <f>IF(_imp!$C$3590="","",INDEX(_imp!$E$4:$E$4503,_imp!$C$3590))</f>
        <v/>
      </c>
      <c r="C3588" s="54">
        <f>IF(_imp!$C$3590="","",INDEX(_imp!$F$4:$F$4503,_imp!$C$3590))</f>
        <v/>
      </c>
      <c r="D3588" s="54">
        <f>IF(_imp!$C$3590="","",INDEX(_imp!$G$4:$G$4503,_imp!$C$3590))</f>
        <v/>
      </c>
      <c r="E3588" s="54">
        <f>IF(_imp!$C$3590="","",INDEX(_imp!$H$4:$H$4503,_imp!$C$3590))</f>
        <v/>
      </c>
      <c r="F3588" s="54">
        <f>IF(_imp!$C$3590="","",INDEX(_imp!$I$4:$I$4503,_imp!$C$3590))</f>
        <v/>
      </c>
      <c r="G3588" s="54">
        <f>IF(_imp!$C$3590="","",INDEX(_imp!$J$4:$J$4503,_imp!$C$3590))</f>
        <v/>
      </c>
      <c r="K3588" s="54">
        <f>IF(_imp!$C$3590="","",INDEX(_imp!$K$4:$K$4503,_imp!$C$3590))</f>
        <v/>
      </c>
    </row>
    <row r="3589">
      <c r="A3589" s="54">
        <f>IF(_imp!$C$3591="","",INDEX(_imp!$D$4:$D$4503,_imp!$C$3591))</f>
        <v/>
      </c>
      <c r="B3589" s="54">
        <f>IF(_imp!$C$3591="","",INDEX(_imp!$E$4:$E$4503,_imp!$C$3591))</f>
        <v/>
      </c>
      <c r="C3589" s="54">
        <f>IF(_imp!$C$3591="","",INDEX(_imp!$F$4:$F$4503,_imp!$C$3591))</f>
        <v/>
      </c>
      <c r="D3589" s="54">
        <f>IF(_imp!$C$3591="","",INDEX(_imp!$G$4:$G$4503,_imp!$C$3591))</f>
        <v/>
      </c>
      <c r="E3589" s="54">
        <f>IF(_imp!$C$3591="","",INDEX(_imp!$H$4:$H$4503,_imp!$C$3591))</f>
        <v/>
      </c>
      <c r="F3589" s="54">
        <f>IF(_imp!$C$3591="","",INDEX(_imp!$I$4:$I$4503,_imp!$C$3591))</f>
        <v/>
      </c>
      <c r="G3589" s="54">
        <f>IF(_imp!$C$3591="","",INDEX(_imp!$J$4:$J$4503,_imp!$C$3591))</f>
        <v/>
      </c>
      <c r="K3589" s="54">
        <f>IF(_imp!$C$3591="","",INDEX(_imp!$K$4:$K$4503,_imp!$C$3591))</f>
        <v/>
      </c>
    </row>
    <row r="3590">
      <c r="A3590" s="54">
        <f>IF(_imp!$C$3592="","",INDEX(_imp!$D$4:$D$4503,_imp!$C$3592))</f>
        <v/>
      </c>
      <c r="B3590" s="54">
        <f>IF(_imp!$C$3592="","",INDEX(_imp!$E$4:$E$4503,_imp!$C$3592))</f>
        <v/>
      </c>
      <c r="C3590" s="54">
        <f>IF(_imp!$C$3592="","",INDEX(_imp!$F$4:$F$4503,_imp!$C$3592))</f>
        <v/>
      </c>
      <c r="D3590" s="54">
        <f>IF(_imp!$C$3592="","",INDEX(_imp!$G$4:$G$4503,_imp!$C$3592))</f>
        <v/>
      </c>
      <c r="E3590" s="54">
        <f>IF(_imp!$C$3592="","",INDEX(_imp!$H$4:$H$4503,_imp!$C$3592))</f>
        <v/>
      </c>
      <c r="F3590" s="54">
        <f>IF(_imp!$C$3592="","",INDEX(_imp!$I$4:$I$4503,_imp!$C$3592))</f>
        <v/>
      </c>
      <c r="G3590" s="54">
        <f>IF(_imp!$C$3592="","",INDEX(_imp!$J$4:$J$4503,_imp!$C$3592))</f>
        <v/>
      </c>
      <c r="K3590" s="54">
        <f>IF(_imp!$C$3592="","",INDEX(_imp!$K$4:$K$4503,_imp!$C$3592))</f>
        <v/>
      </c>
    </row>
    <row r="3591">
      <c r="A3591" s="54">
        <f>IF(_imp!$C$3593="","",INDEX(_imp!$D$4:$D$4503,_imp!$C$3593))</f>
        <v/>
      </c>
      <c r="B3591" s="54">
        <f>IF(_imp!$C$3593="","",INDEX(_imp!$E$4:$E$4503,_imp!$C$3593))</f>
        <v/>
      </c>
      <c r="C3591" s="54">
        <f>IF(_imp!$C$3593="","",INDEX(_imp!$F$4:$F$4503,_imp!$C$3593))</f>
        <v/>
      </c>
      <c r="D3591" s="54">
        <f>IF(_imp!$C$3593="","",INDEX(_imp!$G$4:$G$4503,_imp!$C$3593))</f>
        <v/>
      </c>
      <c r="E3591" s="54">
        <f>IF(_imp!$C$3593="","",INDEX(_imp!$H$4:$H$4503,_imp!$C$3593))</f>
        <v/>
      </c>
      <c r="F3591" s="54">
        <f>IF(_imp!$C$3593="","",INDEX(_imp!$I$4:$I$4503,_imp!$C$3593))</f>
        <v/>
      </c>
      <c r="G3591" s="54">
        <f>IF(_imp!$C$3593="","",INDEX(_imp!$J$4:$J$4503,_imp!$C$3593))</f>
        <v/>
      </c>
      <c r="K3591" s="54">
        <f>IF(_imp!$C$3593="","",INDEX(_imp!$K$4:$K$4503,_imp!$C$3593))</f>
        <v/>
      </c>
    </row>
    <row r="3592">
      <c r="A3592" s="54">
        <f>IF(_imp!$C$3594="","",INDEX(_imp!$D$4:$D$4503,_imp!$C$3594))</f>
        <v/>
      </c>
      <c r="B3592" s="54">
        <f>IF(_imp!$C$3594="","",INDEX(_imp!$E$4:$E$4503,_imp!$C$3594))</f>
        <v/>
      </c>
      <c r="C3592" s="54">
        <f>IF(_imp!$C$3594="","",INDEX(_imp!$F$4:$F$4503,_imp!$C$3594))</f>
        <v/>
      </c>
      <c r="D3592" s="54">
        <f>IF(_imp!$C$3594="","",INDEX(_imp!$G$4:$G$4503,_imp!$C$3594))</f>
        <v/>
      </c>
      <c r="E3592" s="54">
        <f>IF(_imp!$C$3594="","",INDEX(_imp!$H$4:$H$4503,_imp!$C$3594))</f>
        <v/>
      </c>
      <c r="F3592" s="54">
        <f>IF(_imp!$C$3594="","",INDEX(_imp!$I$4:$I$4503,_imp!$C$3594))</f>
        <v/>
      </c>
      <c r="G3592" s="54">
        <f>IF(_imp!$C$3594="","",INDEX(_imp!$J$4:$J$4503,_imp!$C$3594))</f>
        <v/>
      </c>
      <c r="K3592" s="54">
        <f>IF(_imp!$C$3594="","",INDEX(_imp!$K$4:$K$4503,_imp!$C$3594))</f>
        <v/>
      </c>
    </row>
    <row r="3593">
      <c r="A3593" s="54">
        <f>IF(_imp!$C$3595="","",INDEX(_imp!$D$4:$D$4503,_imp!$C$3595))</f>
        <v/>
      </c>
      <c r="B3593" s="54">
        <f>IF(_imp!$C$3595="","",INDEX(_imp!$E$4:$E$4503,_imp!$C$3595))</f>
        <v/>
      </c>
      <c r="C3593" s="54">
        <f>IF(_imp!$C$3595="","",INDEX(_imp!$F$4:$F$4503,_imp!$C$3595))</f>
        <v/>
      </c>
      <c r="D3593" s="54">
        <f>IF(_imp!$C$3595="","",INDEX(_imp!$G$4:$G$4503,_imp!$C$3595))</f>
        <v/>
      </c>
      <c r="E3593" s="54">
        <f>IF(_imp!$C$3595="","",INDEX(_imp!$H$4:$H$4503,_imp!$C$3595))</f>
        <v/>
      </c>
      <c r="F3593" s="54">
        <f>IF(_imp!$C$3595="","",INDEX(_imp!$I$4:$I$4503,_imp!$C$3595))</f>
        <v/>
      </c>
      <c r="G3593" s="54">
        <f>IF(_imp!$C$3595="","",INDEX(_imp!$J$4:$J$4503,_imp!$C$3595))</f>
        <v/>
      </c>
      <c r="K3593" s="54">
        <f>IF(_imp!$C$3595="","",INDEX(_imp!$K$4:$K$4503,_imp!$C$3595))</f>
        <v/>
      </c>
    </row>
    <row r="3594">
      <c r="A3594" s="54">
        <f>IF(_imp!$C$3596="","",INDEX(_imp!$D$4:$D$4503,_imp!$C$3596))</f>
        <v/>
      </c>
      <c r="B3594" s="54">
        <f>IF(_imp!$C$3596="","",INDEX(_imp!$E$4:$E$4503,_imp!$C$3596))</f>
        <v/>
      </c>
      <c r="C3594" s="54">
        <f>IF(_imp!$C$3596="","",INDEX(_imp!$F$4:$F$4503,_imp!$C$3596))</f>
        <v/>
      </c>
      <c r="D3594" s="54">
        <f>IF(_imp!$C$3596="","",INDEX(_imp!$G$4:$G$4503,_imp!$C$3596))</f>
        <v/>
      </c>
      <c r="E3594" s="54">
        <f>IF(_imp!$C$3596="","",INDEX(_imp!$H$4:$H$4503,_imp!$C$3596))</f>
        <v/>
      </c>
      <c r="F3594" s="54">
        <f>IF(_imp!$C$3596="","",INDEX(_imp!$I$4:$I$4503,_imp!$C$3596))</f>
        <v/>
      </c>
      <c r="G3594" s="54">
        <f>IF(_imp!$C$3596="","",INDEX(_imp!$J$4:$J$4503,_imp!$C$3596))</f>
        <v/>
      </c>
      <c r="K3594" s="54">
        <f>IF(_imp!$C$3596="","",INDEX(_imp!$K$4:$K$4503,_imp!$C$3596))</f>
        <v/>
      </c>
    </row>
    <row r="3595">
      <c r="A3595" s="54">
        <f>IF(_imp!$C$3597="","",INDEX(_imp!$D$4:$D$4503,_imp!$C$3597))</f>
        <v/>
      </c>
      <c r="B3595" s="54">
        <f>IF(_imp!$C$3597="","",INDEX(_imp!$E$4:$E$4503,_imp!$C$3597))</f>
        <v/>
      </c>
      <c r="C3595" s="54">
        <f>IF(_imp!$C$3597="","",INDEX(_imp!$F$4:$F$4503,_imp!$C$3597))</f>
        <v/>
      </c>
      <c r="D3595" s="54">
        <f>IF(_imp!$C$3597="","",INDEX(_imp!$G$4:$G$4503,_imp!$C$3597))</f>
        <v/>
      </c>
      <c r="E3595" s="54">
        <f>IF(_imp!$C$3597="","",INDEX(_imp!$H$4:$H$4503,_imp!$C$3597))</f>
        <v/>
      </c>
      <c r="F3595" s="54">
        <f>IF(_imp!$C$3597="","",INDEX(_imp!$I$4:$I$4503,_imp!$C$3597))</f>
        <v/>
      </c>
      <c r="G3595" s="54">
        <f>IF(_imp!$C$3597="","",INDEX(_imp!$J$4:$J$4503,_imp!$C$3597))</f>
        <v/>
      </c>
      <c r="K3595" s="54">
        <f>IF(_imp!$C$3597="","",INDEX(_imp!$K$4:$K$4503,_imp!$C$3597))</f>
        <v/>
      </c>
    </row>
    <row r="3596">
      <c r="A3596" s="54">
        <f>IF(_imp!$C$3598="","",INDEX(_imp!$D$4:$D$4503,_imp!$C$3598))</f>
        <v/>
      </c>
      <c r="B3596" s="54">
        <f>IF(_imp!$C$3598="","",INDEX(_imp!$E$4:$E$4503,_imp!$C$3598))</f>
        <v/>
      </c>
      <c r="C3596" s="54">
        <f>IF(_imp!$C$3598="","",INDEX(_imp!$F$4:$F$4503,_imp!$C$3598))</f>
        <v/>
      </c>
      <c r="D3596" s="54">
        <f>IF(_imp!$C$3598="","",INDEX(_imp!$G$4:$G$4503,_imp!$C$3598))</f>
        <v/>
      </c>
      <c r="E3596" s="54">
        <f>IF(_imp!$C$3598="","",INDEX(_imp!$H$4:$H$4503,_imp!$C$3598))</f>
        <v/>
      </c>
      <c r="F3596" s="54">
        <f>IF(_imp!$C$3598="","",INDEX(_imp!$I$4:$I$4503,_imp!$C$3598))</f>
        <v/>
      </c>
      <c r="G3596" s="54">
        <f>IF(_imp!$C$3598="","",INDEX(_imp!$J$4:$J$4503,_imp!$C$3598))</f>
        <v/>
      </c>
      <c r="K3596" s="54">
        <f>IF(_imp!$C$3598="","",INDEX(_imp!$K$4:$K$4503,_imp!$C$3598))</f>
        <v/>
      </c>
    </row>
    <row r="3597">
      <c r="A3597" s="54">
        <f>IF(_imp!$C$3599="","",INDEX(_imp!$D$4:$D$4503,_imp!$C$3599))</f>
        <v/>
      </c>
      <c r="B3597" s="54">
        <f>IF(_imp!$C$3599="","",INDEX(_imp!$E$4:$E$4503,_imp!$C$3599))</f>
        <v/>
      </c>
      <c r="C3597" s="54">
        <f>IF(_imp!$C$3599="","",INDEX(_imp!$F$4:$F$4503,_imp!$C$3599))</f>
        <v/>
      </c>
      <c r="D3597" s="54">
        <f>IF(_imp!$C$3599="","",INDEX(_imp!$G$4:$G$4503,_imp!$C$3599))</f>
        <v/>
      </c>
      <c r="E3597" s="54">
        <f>IF(_imp!$C$3599="","",INDEX(_imp!$H$4:$H$4503,_imp!$C$3599))</f>
        <v/>
      </c>
      <c r="F3597" s="54">
        <f>IF(_imp!$C$3599="","",INDEX(_imp!$I$4:$I$4503,_imp!$C$3599))</f>
        <v/>
      </c>
      <c r="G3597" s="54">
        <f>IF(_imp!$C$3599="","",INDEX(_imp!$J$4:$J$4503,_imp!$C$3599))</f>
        <v/>
      </c>
      <c r="K3597" s="54">
        <f>IF(_imp!$C$3599="","",INDEX(_imp!$K$4:$K$4503,_imp!$C$3599))</f>
        <v/>
      </c>
    </row>
    <row r="3598">
      <c r="A3598" s="54">
        <f>IF(_imp!$C$3600="","",INDEX(_imp!$D$4:$D$4503,_imp!$C$3600))</f>
        <v/>
      </c>
      <c r="B3598" s="54">
        <f>IF(_imp!$C$3600="","",INDEX(_imp!$E$4:$E$4503,_imp!$C$3600))</f>
        <v/>
      </c>
      <c r="C3598" s="54">
        <f>IF(_imp!$C$3600="","",INDEX(_imp!$F$4:$F$4503,_imp!$C$3600))</f>
        <v/>
      </c>
      <c r="D3598" s="54">
        <f>IF(_imp!$C$3600="","",INDEX(_imp!$G$4:$G$4503,_imp!$C$3600))</f>
        <v/>
      </c>
      <c r="E3598" s="54">
        <f>IF(_imp!$C$3600="","",INDEX(_imp!$H$4:$H$4503,_imp!$C$3600))</f>
        <v/>
      </c>
      <c r="F3598" s="54">
        <f>IF(_imp!$C$3600="","",INDEX(_imp!$I$4:$I$4503,_imp!$C$3600))</f>
        <v/>
      </c>
      <c r="G3598" s="54">
        <f>IF(_imp!$C$3600="","",INDEX(_imp!$J$4:$J$4503,_imp!$C$3600))</f>
        <v/>
      </c>
      <c r="K3598" s="54">
        <f>IF(_imp!$C$3600="","",INDEX(_imp!$K$4:$K$4503,_imp!$C$3600))</f>
        <v/>
      </c>
    </row>
    <row r="3599">
      <c r="A3599" s="54">
        <f>IF(_imp!$C$3601="","",INDEX(_imp!$D$4:$D$4503,_imp!$C$3601))</f>
        <v/>
      </c>
      <c r="B3599" s="54">
        <f>IF(_imp!$C$3601="","",INDEX(_imp!$E$4:$E$4503,_imp!$C$3601))</f>
        <v/>
      </c>
      <c r="C3599" s="54">
        <f>IF(_imp!$C$3601="","",INDEX(_imp!$F$4:$F$4503,_imp!$C$3601))</f>
        <v/>
      </c>
      <c r="D3599" s="54">
        <f>IF(_imp!$C$3601="","",INDEX(_imp!$G$4:$G$4503,_imp!$C$3601))</f>
        <v/>
      </c>
      <c r="E3599" s="54">
        <f>IF(_imp!$C$3601="","",INDEX(_imp!$H$4:$H$4503,_imp!$C$3601))</f>
        <v/>
      </c>
      <c r="F3599" s="54">
        <f>IF(_imp!$C$3601="","",INDEX(_imp!$I$4:$I$4503,_imp!$C$3601))</f>
        <v/>
      </c>
      <c r="G3599" s="54">
        <f>IF(_imp!$C$3601="","",INDEX(_imp!$J$4:$J$4503,_imp!$C$3601))</f>
        <v/>
      </c>
      <c r="K3599" s="54">
        <f>IF(_imp!$C$3601="","",INDEX(_imp!$K$4:$K$4503,_imp!$C$3601))</f>
        <v/>
      </c>
    </row>
    <row r="3600">
      <c r="A3600" s="54">
        <f>IF(_imp!$C$3602="","",INDEX(_imp!$D$4:$D$4503,_imp!$C$3602))</f>
        <v/>
      </c>
      <c r="B3600" s="54">
        <f>IF(_imp!$C$3602="","",INDEX(_imp!$E$4:$E$4503,_imp!$C$3602))</f>
        <v/>
      </c>
      <c r="C3600" s="54">
        <f>IF(_imp!$C$3602="","",INDEX(_imp!$F$4:$F$4503,_imp!$C$3602))</f>
        <v/>
      </c>
      <c r="D3600" s="54">
        <f>IF(_imp!$C$3602="","",INDEX(_imp!$G$4:$G$4503,_imp!$C$3602))</f>
        <v/>
      </c>
      <c r="E3600" s="54">
        <f>IF(_imp!$C$3602="","",INDEX(_imp!$H$4:$H$4503,_imp!$C$3602))</f>
        <v/>
      </c>
      <c r="F3600" s="54">
        <f>IF(_imp!$C$3602="","",INDEX(_imp!$I$4:$I$4503,_imp!$C$3602))</f>
        <v/>
      </c>
      <c r="G3600" s="54">
        <f>IF(_imp!$C$3602="","",INDEX(_imp!$J$4:$J$4503,_imp!$C$3602))</f>
        <v/>
      </c>
      <c r="K3600" s="54">
        <f>IF(_imp!$C$3602="","",INDEX(_imp!$K$4:$K$4503,_imp!$C$3602))</f>
        <v/>
      </c>
    </row>
    <row r="3601">
      <c r="A3601" s="54">
        <f>IF(_imp!$C$3603="","",INDEX(_imp!$D$4:$D$4503,_imp!$C$3603))</f>
        <v/>
      </c>
      <c r="B3601" s="54">
        <f>IF(_imp!$C$3603="","",INDEX(_imp!$E$4:$E$4503,_imp!$C$3603))</f>
        <v/>
      </c>
      <c r="C3601" s="54">
        <f>IF(_imp!$C$3603="","",INDEX(_imp!$F$4:$F$4503,_imp!$C$3603))</f>
        <v/>
      </c>
      <c r="D3601" s="54">
        <f>IF(_imp!$C$3603="","",INDEX(_imp!$G$4:$G$4503,_imp!$C$3603))</f>
        <v/>
      </c>
      <c r="E3601" s="54">
        <f>IF(_imp!$C$3603="","",INDEX(_imp!$H$4:$H$4503,_imp!$C$3603))</f>
        <v/>
      </c>
      <c r="F3601" s="54">
        <f>IF(_imp!$C$3603="","",INDEX(_imp!$I$4:$I$4503,_imp!$C$3603))</f>
        <v/>
      </c>
      <c r="G3601" s="54">
        <f>IF(_imp!$C$3603="","",INDEX(_imp!$J$4:$J$4503,_imp!$C$3603))</f>
        <v/>
      </c>
      <c r="K3601" s="54">
        <f>IF(_imp!$C$3603="","",INDEX(_imp!$K$4:$K$4503,_imp!$C$3603))</f>
        <v/>
      </c>
    </row>
    <row r="3602">
      <c r="A3602" s="54">
        <f>IF(_imp!$C$3604="","",INDEX(_imp!$D$4:$D$4503,_imp!$C$3604))</f>
        <v/>
      </c>
      <c r="B3602" s="54">
        <f>IF(_imp!$C$3604="","",INDEX(_imp!$E$4:$E$4503,_imp!$C$3604))</f>
        <v/>
      </c>
      <c r="C3602" s="54">
        <f>IF(_imp!$C$3604="","",INDEX(_imp!$F$4:$F$4503,_imp!$C$3604))</f>
        <v/>
      </c>
      <c r="D3602" s="54">
        <f>IF(_imp!$C$3604="","",INDEX(_imp!$G$4:$G$4503,_imp!$C$3604))</f>
        <v/>
      </c>
      <c r="E3602" s="54">
        <f>IF(_imp!$C$3604="","",INDEX(_imp!$H$4:$H$4503,_imp!$C$3604))</f>
        <v/>
      </c>
      <c r="F3602" s="54">
        <f>IF(_imp!$C$3604="","",INDEX(_imp!$I$4:$I$4503,_imp!$C$3604))</f>
        <v/>
      </c>
      <c r="G3602" s="54">
        <f>IF(_imp!$C$3604="","",INDEX(_imp!$J$4:$J$4503,_imp!$C$3604))</f>
        <v/>
      </c>
      <c r="K3602" s="54">
        <f>IF(_imp!$C$3604="","",INDEX(_imp!$K$4:$K$4503,_imp!$C$3604))</f>
        <v/>
      </c>
    </row>
    <row r="3603">
      <c r="A3603" s="54">
        <f>IF(_imp!$C$3605="","",INDEX(_imp!$D$4:$D$4503,_imp!$C$3605))</f>
        <v/>
      </c>
      <c r="B3603" s="54">
        <f>IF(_imp!$C$3605="","",INDEX(_imp!$E$4:$E$4503,_imp!$C$3605))</f>
        <v/>
      </c>
      <c r="C3603" s="54">
        <f>IF(_imp!$C$3605="","",INDEX(_imp!$F$4:$F$4503,_imp!$C$3605))</f>
        <v/>
      </c>
      <c r="D3603" s="54">
        <f>IF(_imp!$C$3605="","",INDEX(_imp!$G$4:$G$4503,_imp!$C$3605))</f>
        <v/>
      </c>
      <c r="E3603" s="54">
        <f>IF(_imp!$C$3605="","",INDEX(_imp!$H$4:$H$4503,_imp!$C$3605))</f>
        <v/>
      </c>
      <c r="F3603" s="54">
        <f>IF(_imp!$C$3605="","",INDEX(_imp!$I$4:$I$4503,_imp!$C$3605))</f>
        <v/>
      </c>
      <c r="G3603" s="54">
        <f>IF(_imp!$C$3605="","",INDEX(_imp!$J$4:$J$4503,_imp!$C$3605))</f>
        <v/>
      </c>
      <c r="K3603" s="54">
        <f>IF(_imp!$C$3605="","",INDEX(_imp!$K$4:$K$4503,_imp!$C$3605))</f>
        <v/>
      </c>
    </row>
    <row r="3604">
      <c r="A3604" s="54">
        <f>IF(_imp!$C$3606="","",INDEX(_imp!$D$4:$D$4503,_imp!$C$3606))</f>
        <v/>
      </c>
      <c r="B3604" s="54">
        <f>IF(_imp!$C$3606="","",INDEX(_imp!$E$4:$E$4503,_imp!$C$3606))</f>
        <v/>
      </c>
      <c r="C3604" s="54">
        <f>IF(_imp!$C$3606="","",INDEX(_imp!$F$4:$F$4503,_imp!$C$3606))</f>
        <v/>
      </c>
      <c r="D3604" s="54">
        <f>IF(_imp!$C$3606="","",INDEX(_imp!$G$4:$G$4503,_imp!$C$3606))</f>
        <v/>
      </c>
      <c r="E3604" s="54">
        <f>IF(_imp!$C$3606="","",INDEX(_imp!$H$4:$H$4503,_imp!$C$3606))</f>
        <v/>
      </c>
      <c r="F3604" s="54">
        <f>IF(_imp!$C$3606="","",INDEX(_imp!$I$4:$I$4503,_imp!$C$3606))</f>
        <v/>
      </c>
      <c r="G3604" s="54">
        <f>IF(_imp!$C$3606="","",INDEX(_imp!$J$4:$J$4503,_imp!$C$3606))</f>
        <v/>
      </c>
      <c r="K3604" s="54">
        <f>IF(_imp!$C$3606="","",INDEX(_imp!$K$4:$K$4503,_imp!$C$3606))</f>
        <v/>
      </c>
    </row>
    <row r="3605">
      <c r="A3605" s="54">
        <f>IF(_imp!$C$3607="","",INDEX(_imp!$D$4:$D$4503,_imp!$C$3607))</f>
        <v/>
      </c>
      <c r="B3605" s="54">
        <f>IF(_imp!$C$3607="","",INDEX(_imp!$E$4:$E$4503,_imp!$C$3607))</f>
        <v/>
      </c>
      <c r="C3605" s="54">
        <f>IF(_imp!$C$3607="","",INDEX(_imp!$F$4:$F$4503,_imp!$C$3607))</f>
        <v/>
      </c>
      <c r="D3605" s="54">
        <f>IF(_imp!$C$3607="","",INDEX(_imp!$G$4:$G$4503,_imp!$C$3607))</f>
        <v/>
      </c>
      <c r="E3605" s="54">
        <f>IF(_imp!$C$3607="","",INDEX(_imp!$H$4:$H$4503,_imp!$C$3607))</f>
        <v/>
      </c>
      <c r="F3605" s="54">
        <f>IF(_imp!$C$3607="","",INDEX(_imp!$I$4:$I$4503,_imp!$C$3607))</f>
        <v/>
      </c>
      <c r="G3605" s="54">
        <f>IF(_imp!$C$3607="","",INDEX(_imp!$J$4:$J$4503,_imp!$C$3607))</f>
        <v/>
      </c>
      <c r="K3605" s="54">
        <f>IF(_imp!$C$3607="","",INDEX(_imp!$K$4:$K$4503,_imp!$C$3607))</f>
        <v/>
      </c>
    </row>
    <row r="3606">
      <c r="A3606" s="54">
        <f>IF(_imp!$C$3608="","",INDEX(_imp!$D$4:$D$4503,_imp!$C$3608))</f>
        <v/>
      </c>
      <c r="B3606" s="54">
        <f>IF(_imp!$C$3608="","",INDEX(_imp!$E$4:$E$4503,_imp!$C$3608))</f>
        <v/>
      </c>
      <c r="C3606" s="54">
        <f>IF(_imp!$C$3608="","",INDEX(_imp!$F$4:$F$4503,_imp!$C$3608))</f>
        <v/>
      </c>
      <c r="D3606" s="54">
        <f>IF(_imp!$C$3608="","",INDEX(_imp!$G$4:$G$4503,_imp!$C$3608))</f>
        <v/>
      </c>
      <c r="E3606" s="54">
        <f>IF(_imp!$C$3608="","",INDEX(_imp!$H$4:$H$4503,_imp!$C$3608))</f>
        <v/>
      </c>
      <c r="F3606" s="54">
        <f>IF(_imp!$C$3608="","",INDEX(_imp!$I$4:$I$4503,_imp!$C$3608))</f>
        <v/>
      </c>
      <c r="G3606" s="54">
        <f>IF(_imp!$C$3608="","",INDEX(_imp!$J$4:$J$4503,_imp!$C$3608))</f>
        <v/>
      </c>
      <c r="K3606" s="54">
        <f>IF(_imp!$C$3608="","",INDEX(_imp!$K$4:$K$4503,_imp!$C$3608))</f>
        <v/>
      </c>
    </row>
    <row r="3607">
      <c r="A3607" s="54">
        <f>IF(_imp!$C$3609="","",INDEX(_imp!$D$4:$D$4503,_imp!$C$3609))</f>
        <v/>
      </c>
      <c r="B3607" s="54">
        <f>IF(_imp!$C$3609="","",INDEX(_imp!$E$4:$E$4503,_imp!$C$3609))</f>
        <v/>
      </c>
      <c r="C3607" s="54">
        <f>IF(_imp!$C$3609="","",INDEX(_imp!$F$4:$F$4503,_imp!$C$3609))</f>
        <v/>
      </c>
      <c r="D3607" s="54">
        <f>IF(_imp!$C$3609="","",INDEX(_imp!$G$4:$G$4503,_imp!$C$3609))</f>
        <v/>
      </c>
      <c r="E3607" s="54">
        <f>IF(_imp!$C$3609="","",INDEX(_imp!$H$4:$H$4503,_imp!$C$3609))</f>
        <v/>
      </c>
      <c r="F3607" s="54">
        <f>IF(_imp!$C$3609="","",INDEX(_imp!$I$4:$I$4503,_imp!$C$3609))</f>
        <v/>
      </c>
      <c r="G3607" s="54">
        <f>IF(_imp!$C$3609="","",INDEX(_imp!$J$4:$J$4503,_imp!$C$3609))</f>
        <v/>
      </c>
      <c r="K3607" s="54">
        <f>IF(_imp!$C$3609="","",INDEX(_imp!$K$4:$K$4503,_imp!$C$3609))</f>
        <v/>
      </c>
    </row>
    <row r="3608">
      <c r="A3608" s="54">
        <f>IF(_imp!$C$3610="","",INDEX(_imp!$D$4:$D$4503,_imp!$C$3610))</f>
        <v/>
      </c>
      <c r="B3608" s="54">
        <f>IF(_imp!$C$3610="","",INDEX(_imp!$E$4:$E$4503,_imp!$C$3610))</f>
        <v/>
      </c>
      <c r="C3608" s="54">
        <f>IF(_imp!$C$3610="","",INDEX(_imp!$F$4:$F$4503,_imp!$C$3610))</f>
        <v/>
      </c>
      <c r="D3608" s="54">
        <f>IF(_imp!$C$3610="","",INDEX(_imp!$G$4:$G$4503,_imp!$C$3610))</f>
        <v/>
      </c>
      <c r="E3608" s="54">
        <f>IF(_imp!$C$3610="","",INDEX(_imp!$H$4:$H$4503,_imp!$C$3610))</f>
        <v/>
      </c>
      <c r="F3608" s="54">
        <f>IF(_imp!$C$3610="","",INDEX(_imp!$I$4:$I$4503,_imp!$C$3610))</f>
        <v/>
      </c>
      <c r="G3608" s="54">
        <f>IF(_imp!$C$3610="","",INDEX(_imp!$J$4:$J$4503,_imp!$C$3610))</f>
        <v/>
      </c>
      <c r="K3608" s="54">
        <f>IF(_imp!$C$3610="","",INDEX(_imp!$K$4:$K$4503,_imp!$C$3610))</f>
        <v/>
      </c>
    </row>
    <row r="3609">
      <c r="A3609" s="54">
        <f>IF(_imp!$C$3611="","",INDEX(_imp!$D$4:$D$4503,_imp!$C$3611))</f>
        <v/>
      </c>
      <c r="B3609" s="54">
        <f>IF(_imp!$C$3611="","",INDEX(_imp!$E$4:$E$4503,_imp!$C$3611))</f>
        <v/>
      </c>
      <c r="C3609" s="54">
        <f>IF(_imp!$C$3611="","",INDEX(_imp!$F$4:$F$4503,_imp!$C$3611))</f>
        <v/>
      </c>
      <c r="D3609" s="54">
        <f>IF(_imp!$C$3611="","",INDEX(_imp!$G$4:$G$4503,_imp!$C$3611))</f>
        <v/>
      </c>
      <c r="E3609" s="54">
        <f>IF(_imp!$C$3611="","",INDEX(_imp!$H$4:$H$4503,_imp!$C$3611))</f>
        <v/>
      </c>
      <c r="F3609" s="54">
        <f>IF(_imp!$C$3611="","",INDEX(_imp!$I$4:$I$4503,_imp!$C$3611))</f>
        <v/>
      </c>
      <c r="G3609" s="54">
        <f>IF(_imp!$C$3611="","",INDEX(_imp!$J$4:$J$4503,_imp!$C$3611))</f>
        <v/>
      </c>
      <c r="K3609" s="54">
        <f>IF(_imp!$C$3611="","",INDEX(_imp!$K$4:$K$4503,_imp!$C$3611))</f>
        <v/>
      </c>
    </row>
    <row r="3610">
      <c r="A3610" s="54">
        <f>IF(_imp!$C$3612="","",INDEX(_imp!$D$4:$D$4503,_imp!$C$3612))</f>
        <v/>
      </c>
      <c r="B3610" s="54">
        <f>IF(_imp!$C$3612="","",INDEX(_imp!$E$4:$E$4503,_imp!$C$3612))</f>
        <v/>
      </c>
      <c r="C3610" s="54">
        <f>IF(_imp!$C$3612="","",INDEX(_imp!$F$4:$F$4503,_imp!$C$3612))</f>
        <v/>
      </c>
      <c r="D3610" s="54">
        <f>IF(_imp!$C$3612="","",INDEX(_imp!$G$4:$G$4503,_imp!$C$3612))</f>
        <v/>
      </c>
      <c r="E3610" s="54">
        <f>IF(_imp!$C$3612="","",INDEX(_imp!$H$4:$H$4503,_imp!$C$3612))</f>
        <v/>
      </c>
      <c r="F3610" s="54">
        <f>IF(_imp!$C$3612="","",INDEX(_imp!$I$4:$I$4503,_imp!$C$3612))</f>
        <v/>
      </c>
      <c r="G3610" s="54">
        <f>IF(_imp!$C$3612="","",INDEX(_imp!$J$4:$J$4503,_imp!$C$3612))</f>
        <v/>
      </c>
      <c r="K3610" s="54">
        <f>IF(_imp!$C$3612="","",INDEX(_imp!$K$4:$K$4503,_imp!$C$3612))</f>
        <v/>
      </c>
    </row>
    <row r="3611">
      <c r="A3611" s="54">
        <f>IF(_imp!$C$3613="","",INDEX(_imp!$D$4:$D$4503,_imp!$C$3613))</f>
        <v/>
      </c>
      <c r="B3611" s="54">
        <f>IF(_imp!$C$3613="","",INDEX(_imp!$E$4:$E$4503,_imp!$C$3613))</f>
        <v/>
      </c>
      <c r="C3611" s="54">
        <f>IF(_imp!$C$3613="","",INDEX(_imp!$F$4:$F$4503,_imp!$C$3613))</f>
        <v/>
      </c>
      <c r="D3611" s="54">
        <f>IF(_imp!$C$3613="","",INDEX(_imp!$G$4:$G$4503,_imp!$C$3613))</f>
        <v/>
      </c>
      <c r="E3611" s="54">
        <f>IF(_imp!$C$3613="","",INDEX(_imp!$H$4:$H$4503,_imp!$C$3613))</f>
        <v/>
      </c>
      <c r="F3611" s="54">
        <f>IF(_imp!$C$3613="","",INDEX(_imp!$I$4:$I$4503,_imp!$C$3613))</f>
        <v/>
      </c>
      <c r="G3611" s="54">
        <f>IF(_imp!$C$3613="","",INDEX(_imp!$J$4:$J$4503,_imp!$C$3613))</f>
        <v/>
      </c>
      <c r="K3611" s="54">
        <f>IF(_imp!$C$3613="","",INDEX(_imp!$K$4:$K$4503,_imp!$C$3613))</f>
        <v/>
      </c>
    </row>
    <row r="3612">
      <c r="A3612" s="54">
        <f>IF(_imp!$C$3614="","",INDEX(_imp!$D$4:$D$4503,_imp!$C$3614))</f>
        <v/>
      </c>
      <c r="B3612" s="54">
        <f>IF(_imp!$C$3614="","",INDEX(_imp!$E$4:$E$4503,_imp!$C$3614))</f>
        <v/>
      </c>
      <c r="C3612" s="54">
        <f>IF(_imp!$C$3614="","",INDEX(_imp!$F$4:$F$4503,_imp!$C$3614))</f>
        <v/>
      </c>
      <c r="D3612" s="54">
        <f>IF(_imp!$C$3614="","",INDEX(_imp!$G$4:$G$4503,_imp!$C$3614))</f>
        <v/>
      </c>
      <c r="E3612" s="54">
        <f>IF(_imp!$C$3614="","",INDEX(_imp!$H$4:$H$4503,_imp!$C$3614))</f>
        <v/>
      </c>
      <c r="F3612" s="54">
        <f>IF(_imp!$C$3614="","",INDEX(_imp!$I$4:$I$4503,_imp!$C$3614))</f>
        <v/>
      </c>
      <c r="G3612" s="54">
        <f>IF(_imp!$C$3614="","",INDEX(_imp!$J$4:$J$4503,_imp!$C$3614))</f>
        <v/>
      </c>
      <c r="K3612" s="54">
        <f>IF(_imp!$C$3614="","",INDEX(_imp!$K$4:$K$4503,_imp!$C$3614))</f>
        <v/>
      </c>
    </row>
    <row r="3613">
      <c r="A3613" s="54">
        <f>IF(_imp!$C$3615="","",INDEX(_imp!$D$4:$D$4503,_imp!$C$3615))</f>
        <v/>
      </c>
      <c r="B3613" s="54">
        <f>IF(_imp!$C$3615="","",INDEX(_imp!$E$4:$E$4503,_imp!$C$3615))</f>
        <v/>
      </c>
      <c r="C3613" s="54">
        <f>IF(_imp!$C$3615="","",INDEX(_imp!$F$4:$F$4503,_imp!$C$3615))</f>
        <v/>
      </c>
      <c r="D3613" s="54">
        <f>IF(_imp!$C$3615="","",INDEX(_imp!$G$4:$G$4503,_imp!$C$3615))</f>
        <v/>
      </c>
      <c r="E3613" s="54">
        <f>IF(_imp!$C$3615="","",INDEX(_imp!$H$4:$H$4503,_imp!$C$3615))</f>
        <v/>
      </c>
      <c r="F3613" s="54">
        <f>IF(_imp!$C$3615="","",INDEX(_imp!$I$4:$I$4503,_imp!$C$3615))</f>
        <v/>
      </c>
      <c r="G3613" s="54">
        <f>IF(_imp!$C$3615="","",INDEX(_imp!$J$4:$J$4503,_imp!$C$3615))</f>
        <v/>
      </c>
      <c r="K3613" s="54">
        <f>IF(_imp!$C$3615="","",INDEX(_imp!$K$4:$K$4503,_imp!$C$3615))</f>
        <v/>
      </c>
    </row>
    <row r="3614">
      <c r="A3614" s="54">
        <f>IF(_imp!$C$3616="","",INDEX(_imp!$D$4:$D$4503,_imp!$C$3616))</f>
        <v/>
      </c>
      <c r="B3614" s="54">
        <f>IF(_imp!$C$3616="","",INDEX(_imp!$E$4:$E$4503,_imp!$C$3616))</f>
        <v/>
      </c>
      <c r="C3614" s="54">
        <f>IF(_imp!$C$3616="","",INDEX(_imp!$F$4:$F$4503,_imp!$C$3616))</f>
        <v/>
      </c>
      <c r="D3614" s="54">
        <f>IF(_imp!$C$3616="","",INDEX(_imp!$G$4:$G$4503,_imp!$C$3616))</f>
        <v/>
      </c>
      <c r="E3614" s="54">
        <f>IF(_imp!$C$3616="","",INDEX(_imp!$H$4:$H$4503,_imp!$C$3616))</f>
        <v/>
      </c>
      <c r="F3614" s="54">
        <f>IF(_imp!$C$3616="","",INDEX(_imp!$I$4:$I$4503,_imp!$C$3616))</f>
        <v/>
      </c>
      <c r="G3614" s="54">
        <f>IF(_imp!$C$3616="","",INDEX(_imp!$J$4:$J$4503,_imp!$C$3616))</f>
        <v/>
      </c>
      <c r="K3614" s="54">
        <f>IF(_imp!$C$3616="","",INDEX(_imp!$K$4:$K$4503,_imp!$C$3616))</f>
        <v/>
      </c>
    </row>
    <row r="3615">
      <c r="A3615" s="54">
        <f>IF(_imp!$C$3617="","",INDEX(_imp!$D$4:$D$4503,_imp!$C$3617))</f>
        <v/>
      </c>
      <c r="B3615" s="54">
        <f>IF(_imp!$C$3617="","",INDEX(_imp!$E$4:$E$4503,_imp!$C$3617))</f>
        <v/>
      </c>
      <c r="C3615" s="54">
        <f>IF(_imp!$C$3617="","",INDEX(_imp!$F$4:$F$4503,_imp!$C$3617))</f>
        <v/>
      </c>
      <c r="D3615" s="54">
        <f>IF(_imp!$C$3617="","",INDEX(_imp!$G$4:$G$4503,_imp!$C$3617))</f>
        <v/>
      </c>
      <c r="E3615" s="54">
        <f>IF(_imp!$C$3617="","",INDEX(_imp!$H$4:$H$4503,_imp!$C$3617))</f>
        <v/>
      </c>
      <c r="F3615" s="54">
        <f>IF(_imp!$C$3617="","",INDEX(_imp!$I$4:$I$4503,_imp!$C$3617))</f>
        <v/>
      </c>
      <c r="G3615" s="54">
        <f>IF(_imp!$C$3617="","",INDEX(_imp!$J$4:$J$4503,_imp!$C$3617))</f>
        <v/>
      </c>
      <c r="K3615" s="54">
        <f>IF(_imp!$C$3617="","",INDEX(_imp!$K$4:$K$4503,_imp!$C$3617))</f>
        <v/>
      </c>
    </row>
    <row r="3616">
      <c r="A3616" s="54">
        <f>IF(_imp!$C$3618="","",INDEX(_imp!$D$4:$D$4503,_imp!$C$3618))</f>
        <v/>
      </c>
      <c r="B3616" s="54">
        <f>IF(_imp!$C$3618="","",INDEX(_imp!$E$4:$E$4503,_imp!$C$3618))</f>
        <v/>
      </c>
      <c r="C3616" s="54">
        <f>IF(_imp!$C$3618="","",INDEX(_imp!$F$4:$F$4503,_imp!$C$3618))</f>
        <v/>
      </c>
      <c r="D3616" s="54">
        <f>IF(_imp!$C$3618="","",INDEX(_imp!$G$4:$G$4503,_imp!$C$3618))</f>
        <v/>
      </c>
      <c r="E3616" s="54">
        <f>IF(_imp!$C$3618="","",INDEX(_imp!$H$4:$H$4503,_imp!$C$3618))</f>
        <v/>
      </c>
      <c r="F3616" s="54">
        <f>IF(_imp!$C$3618="","",INDEX(_imp!$I$4:$I$4503,_imp!$C$3618))</f>
        <v/>
      </c>
      <c r="G3616" s="54">
        <f>IF(_imp!$C$3618="","",INDEX(_imp!$J$4:$J$4503,_imp!$C$3618))</f>
        <v/>
      </c>
      <c r="K3616" s="54">
        <f>IF(_imp!$C$3618="","",INDEX(_imp!$K$4:$K$4503,_imp!$C$3618))</f>
        <v/>
      </c>
    </row>
    <row r="3617">
      <c r="A3617" s="54">
        <f>IF(_imp!$C$3619="","",INDEX(_imp!$D$4:$D$4503,_imp!$C$3619))</f>
        <v/>
      </c>
      <c r="B3617" s="54">
        <f>IF(_imp!$C$3619="","",INDEX(_imp!$E$4:$E$4503,_imp!$C$3619))</f>
        <v/>
      </c>
      <c r="C3617" s="54">
        <f>IF(_imp!$C$3619="","",INDEX(_imp!$F$4:$F$4503,_imp!$C$3619))</f>
        <v/>
      </c>
      <c r="D3617" s="54">
        <f>IF(_imp!$C$3619="","",INDEX(_imp!$G$4:$G$4503,_imp!$C$3619))</f>
        <v/>
      </c>
      <c r="E3617" s="54">
        <f>IF(_imp!$C$3619="","",INDEX(_imp!$H$4:$H$4503,_imp!$C$3619))</f>
        <v/>
      </c>
      <c r="F3617" s="54">
        <f>IF(_imp!$C$3619="","",INDEX(_imp!$I$4:$I$4503,_imp!$C$3619))</f>
        <v/>
      </c>
      <c r="G3617" s="54">
        <f>IF(_imp!$C$3619="","",INDEX(_imp!$J$4:$J$4503,_imp!$C$3619))</f>
        <v/>
      </c>
      <c r="K3617" s="54">
        <f>IF(_imp!$C$3619="","",INDEX(_imp!$K$4:$K$4503,_imp!$C$3619))</f>
        <v/>
      </c>
    </row>
    <row r="3618">
      <c r="A3618" s="54">
        <f>IF(_imp!$C$3620="","",INDEX(_imp!$D$4:$D$4503,_imp!$C$3620))</f>
        <v/>
      </c>
      <c r="B3618" s="54">
        <f>IF(_imp!$C$3620="","",INDEX(_imp!$E$4:$E$4503,_imp!$C$3620))</f>
        <v/>
      </c>
      <c r="C3618" s="54">
        <f>IF(_imp!$C$3620="","",INDEX(_imp!$F$4:$F$4503,_imp!$C$3620))</f>
        <v/>
      </c>
      <c r="D3618" s="54">
        <f>IF(_imp!$C$3620="","",INDEX(_imp!$G$4:$G$4503,_imp!$C$3620))</f>
        <v/>
      </c>
      <c r="E3618" s="54">
        <f>IF(_imp!$C$3620="","",INDEX(_imp!$H$4:$H$4503,_imp!$C$3620))</f>
        <v/>
      </c>
      <c r="F3618" s="54">
        <f>IF(_imp!$C$3620="","",INDEX(_imp!$I$4:$I$4503,_imp!$C$3620))</f>
        <v/>
      </c>
      <c r="G3618" s="54">
        <f>IF(_imp!$C$3620="","",INDEX(_imp!$J$4:$J$4503,_imp!$C$3620))</f>
        <v/>
      </c>
      <c r="K3618" s="54">
        <f>IF(_imp!$C$3620="","",INDEX(_imp!$K$4:$K$4503,_imp!$C$3620))</f>
        <v/>
      </c>
    </row>
    <row r="3619">
      <c r="A3619" s="54">
        <f>IF(_imp!$C$3621="","",INDEX(_imp!$D$4:$D$4503,_imp!$C$3621))</f>
        <v/>
      </c>
      <c r="B3619" s="54">
        <f>IF(_imp!$C$3621="","",INDEX(_imp!$E$4:$E$4503,_imp!$C$3621))</f>
        <v/>
      </c>
      <c r="C3619" s="54">
        <f>IF(_imp!$C$3621="","",INDEX(_imp!$F$4:$F$4503,_imp!$C$3621))</f>
        <v/>
      </c>
      <c r="D3619" s="54">
        <f>IF(_imp!$C$3621="","",INDEX(_imp!$G$4:$G$4503,_imp!$C$3621))</f>
        <v/>
      </c>
      <c r="E3619" s="54">
        <f>IF(_imp!$C$3621="","",INDEX(_imp!$H$4:$H$4503,_imp!$C$3621))</f>
        <v/>
      </c>
      <c r="F3619" s="54">
        <f>IF(_imp!$C$3621="","",INDEX(_imp!$I$4:$I$4503,_imp!$C$3621))</f>
        <v/>
      </c>
      <c r="G3619" s="54">
        <f>IF(_imp!$C$3621="","",INDEX(_imp!$J$4:$J$4503,_imp!$C$3621))</f>
        <v/>
      </c>
      <c r="K3619" s="54">
        <f>IF(_imp!$C$3621="","",INDEX(_imp!$K$4:$K$4503,_imp!$C$3621))</f>
        <v/>
      </c>
    </row>
    <row r="3620">
      <c r="A3620" s="54">
        <f>IF(_imp!$C$3622="","",INDEX(_imp!$D$4:$D$4503,_imp!$C$3622))</f>
        <v/>
      </c>
      <c r="B3620" s="54">
        <f>IF(_imp!$C$3622="","",INDEX(_imp!$E$4:$E$4503,_imp!$C$3622))</f>
        <v/>
      </c>
      <c r="C3620" s="54">
        <f>IF(_imp!$C$3622="","",INDEX(_imp!$F$4:$F$4503,_imp!$C$3622))</f>
        <v/>
      </c>
      <c r="D3620" s="54">
        <f>IF(_imp!$C$3622="","",INDEX(_imp!$G$4:$G$4503,_imp!$C$3622))</f>
        <v/>
      </c>
      <c r="E3620" s="54">
        <f>IF(_imp!$C$3622="","",INDEX(_imp!$H$4:$H$4503,_imp!$C$3622))</f>
        <v/>
      </c>
      <c r="F3620" s="54">
        <f>IF(_imp!$C$3622="","",INDEX(_imp!$I$4:$I$4503,_imp!$C$3622))</f>
        <v/>
      </c>
      <c r="G3620" s="54">
        <f>IF(_imp!$C$3622="","",INDEX(_imp!$J$4:$J$4503,_imp!$C$3622))</f>
        <v/>
      </c>
      <c r="K3620" s="54">
        <f>IF(_imp!$C$3622="","",INDEX(_imp!$K$4:$K$4503,_imp!$C$3622))</f>
        <v/>
      </c>
    </row>
    <row r="3621">
      <c r="A3621" s="54">
        <f>IF(_imp!$C$3623="","",INDEX(_imp!$D$4:$D$4503,_imp!$C$3623))</f>
        <v/>
      </c>
      <c r="B3621" s="54">
        <f>IF(_imp!$C$3623="","",INDEX(_imp!$E$4:$E$4503,_imp!$C$3623))</f>
        <v/>
      </c>
      <c r="C3621" s="54">
        <f>IF(_imp!$C$3623="","",INDEX(_imp!$F$4:$F$4503,_imp!$C$3623))</f>
        <v/>
      </c>
      <c r="D3621" s="54">
        <f>IF(_imp!$C$3623="","",INDEX(_imp!$G$4:$G$4503,_imp!$C$3623))</f>
        <v/>
      </c>
      <c r="E3621" s="54">
        <f>IF(_imp!$C$3623="","",INDEX(_imp!$H$4:$H$4503,_imp!$C$3623))</f>
        <v/>
      </c>
      <c r="F3621" s="54">
        <f>IF(_imp!$C$3623="","",INDEX(_imp!$I$4:$I$4503,_imp!$C$3623))</f>
        <v/>
      </c>
      <c r="G3621" s="54">
        <f>IF(_imp!$C$3623="","",INDEX(_imp!$J$4:$J$4503,_imp!$C$3623))</f>
        <v/>
      </c>
      <c r="K3621" s="54">
        <f>IF(_imp!$C$3623="","",INDEX(_imp!$K$4:$K$4503,_imp!$C$3623))</f>
        <v/>
      </c>
    </row>
    <row r="3622">
      <c r="A3622" s="54">
        <f>IF(_imp!$C$3624="","",INDEX(_imp!$D$4:$D$4503,_imp!$C$3624))</f>
        <v/>
      </c>
      <c r="B3622" s="54">
        <f>IF(_imp!$C$3624="","",INDEX(_imp!$E$4:$E$4503,_imp!$C$3624))</f>
        <v/>
      </c>
      <c r="C3622" s="54">
        <f>IF(_imp!$C$3624="","",INDEX(_imp!$F$4:$F$4503,_imp!$C$3624))</f>
        <v/>
      </c>
      <c r="D3622" s="54">
        <f>IF(_imp!$C$3624="","",INDEX(_imp!$G$4:$G$4503,_imp!$C$3624))</f>
        <v/>
      </c>
      <c r="E3622" s="54">
        <f>IF(_imp!$C$3624="","",INDEX(_imp!$H$4:$H$4503,_imp!$C$3624))</f>
        <v/>
      </c>
      <c r="F3622" s="54">
        <f>IF(_imp!$C$3624="","",INDEX(_imp!$I$4:$I$4503,_imp!$C$3624))</f>
        <v/>
      </c>
      <c r="G3622" s="54">
        <f>IF(_imp!$C$3624="","",INDEX(_imp!$J$4:$J$4503,_imp!$C$3624))</f>
        <v/>
      </c>
      <c r="K3622" s="54">
        <f>IF(_imp!$C$3624="","",INDEX(_imp!$K$4:$K$4503,_imp!$C$3624))</f>
        <v/>
      </c>
    </row>
    <row r="3623">
      <c r="A3623" s="54">
        <f>IF(_imp!$C$3625="","",INDEX(_imp!$D$4:$D$4503,_imp!$C$3625))</f>
        <v/>
      </c>
      <c r="B3623" s="54">
        <f>IF(_imp!$C$3625="","",INDEX(_imp!$E$4:$E$4503,_imp!$C$3625))</f>
        <v/>
      </c>
      <c r="C3623" s="54">
        <f>IF(_imp!$C$3625="","",INDEX(_imp!$F$4:$F$4503,_imp!$C$3625))</f>
        <v/>
      </c>
      <c r="D3623" s="54">
        <f>IF(_imp!$C$3625="","",INDEX(_imp!$G$4:$G$4503,_imp!$C$3625))</f>
        <v/>
      </c>
      <c r="E3623" s="54">
        <f>IF(_imp!$C$3625="","",INDEX(_imp!$H$4:$H$4503,_imp!$C$3625))</f>
        <v/>
      </c>
      <c r="F3623" s="54">
        <f>IF(_imp!$C$3625="","",INDEX(_imp!$I$4:$I$4503,_imp!$C$3625))</f>
        <v/>
      </c>
      <c r="G3623" s="54">
        <f>IF(_imp!$C$3625="","",INDEX(_imp!$J$4:$J$4503,_imp!$C$3625))</f>
        <v/>
      </c>
      <c r="K3623" s="54">
        <f>IF(_imp!$C$3625="","",INDEX(_imp!$K$4:$K$4503,_imp!$C$3625))</f>
        <v/>
      </c>
    </row>
    <row r="3624">
      <c r="A3624" s="54">
        <f>IF(_imp!$C$3626="","",INDEX(_imp!$D$4:$D$4503,_imp!$C$3626))</f>
        <v/>
      </c>
      <c r="B3624" s="54">
        <f>IF(_imp!$C$3626="","",INDEX(_imp!$E$4:$E$4503,_imp!$C$3626))</f>
        <v/>
      </c>
      <c r="C3624" s="54">
        <f>IF(_imp!$C$3626="","",INDEX(_imp!$F$4:$F$4503,_imp!$C$3626))</f>
        <v/>
      </c>
      <c r="D3624" s="54">
        <f>IF(_imp!$C$3626="","",INDEX(_imp!$G$4:$G$4503,_imp!$C$3626))</f>
        <v/>
      </c>
      <c r="E3624" s="54">
        <f>IF(_imp!$C$3626="","",INDEX(_imp!$H$4:$H$4503,_imp!$C$3626))</f>
        <v/>
      </c>
      <c r="F3624" s="54">
        <f>IF(_imp!$C$3626="","",INDEX(_imp!$I$4:$I$4503,_imp!$C$3626))</f>
        <v/>
      </c>
      <c r="G3624" s="54">
        <f>IF(_imp!$C$3626="","",INDEX(_imp!$J$4:$J$4503,_imp!$C$3626))</f>
        <v/>
      </c>
      <c r="K3624" s="54">
        <f>IF(_imp!$C$3626="","",INDEX(_imp!$K$4:$K$4503,_imp!$C$3626))</f>
        <v/>
      </c>
    </row>
    <row r="3625">
      <c r="A3625" s="54">
        <f>IF(_imp!$C$3627="","",INDEX(_imp!$D$4:$D$4503,_imp!$C$3627))</f>
        <v/>
      </c>
      <c r="B3625" s="54">
        <f>IF(_imp!$C$3627="","",INDEX(_imp!$E$4:$E$4503,_imp!$C$3627))</f>
        <v/>
      </c>
      <c r="C3625" s="54">
        <f>IF(_imp!$C$3627="","",INDEX(_imp!$F$4:$F$4503,_imp!$C$3627))</f>
        <v/>
      </c>
      <c r="D3625" s="54">
        <f>IF(_imp!$C$3627="","",INDEX(_imp!$G$4:$G$4503,_imp!$C$3627))</f>
        <v/>
      </c>
      <c r="E3625" s="54">
        <f>IF(_imp!$C$3627="","",INDEX(_imp!$H$4:$H$4503,_imp!$C$3627))</f>
        <v/>
      </c>
      <c r="F3625" s="54">
        <f>IF(_imp!$C$3627="","",INDEX(_imp!$I$4:$I$4503,_imp!$C$3627))</f>
        <v/>
      </c>
      <c r="G3625" s="54">
        <f>IF(_imp!$C$3627="","",INDEX(_imp!$J$4:$J$4503,_imp!$C$3627))</f>
        <v/>
      </c>
      <c r="K3625" s="54">
        <f>IF(_imp!$C$3627="","",INDEX(_imp!$K$4:$K$4503,_imp!$C$3627))</f>
        <v/>
      </c>
    </row>
    <row r="3626">
      <c r="A3626" s="54">
        <f>IF(_imp!$C$3628="","",INDEX(_imp!$D$4:$D$4503,_imp!$C$3628))</f>
        <v/>
      </c>
      <c r="B3626" s="54">
        <f>IF(_imp!$C$3628="","",INDEX(_imp!$E$4:$E$4503,_imp!$C$3628))</f>
        <v/>
      </c>
      <c r="C3626" s="54">
        <f>IF(_imp!$C$3628="","",INDEX(_imp!$F$4:$F$4503,_imp!$C$3628))</f>
        <v/>
      </c>
      <c r="D3626" s="54">
        <f>IF(_imp!$C$3628="","",INDEX(_imp!$G$4:$G$4503,_imp!$C$3628))</f>
        <v/>
      </c>
      <c r="E3626" s="54">
        <f>IF(_imp!$C$3628="","",INDEX(_imp!$H$4:$H$4503,_imp!$C$3628))</f>
        <v/>
      </c>
      <c r="F3626" s="54">
        <f>IF(_imp!$C$3628="","",INDEX(_imp!$I$4:$I$4503,_imp!$C$3628))</f>
        <v/>
      </c>
      <c r="G3626" s="54">
        <f>IF(_imp!$C$3628="","",INDEX(_imp!$J$4:$J$4503,_imp!$C$3628))</f>
        <v/>
      </c>
      <c r="K3626" s="54">
        <f>IF(_imp!$C$3628="","",INDEX(_imp!$K$4:$K$4503,_imp!$C$3628))</f>
        <v/>
      </c>
    </row>
    <row r="3627">
      <c r="A3627" s="54">
        <f>IF(_imp!$C$3629="","",INDEX(_imp!$D$4:$D$4503,_imp!$C$3629))</f>
        <v/>
      </c>
      <c r="B3627" s="54">
        <f>IF(_imp!$C$3629="","",INDEX(_imp!$E$4:$E$4503,_imp!$C$3629))</f>
        <v/>
      </c>
      <c r="C3627" s="54">
        <f>IF(_imp!$C$3629="","",INDEX(_imp!$F$4:$F$4503,_imp!$C$3629))</f>
        <v/>
      </c>
      <c r="D3627" s="54">
        <f>IF(_imp!$C$3629="","",INDEX(_imp!$G$4:$G$4503,_imp!$C$3629))</f>
        <v/>
      </c>
      <c r="E3627" s="54">
        <f>IF(_imp!$C$3629="","",INDEX(_imp!$H$4:$H$4503,_imp!$C$3629))</f>
        <v/>
      </c>
      <c r="F3627" s="54">
        <f>IF(_imp!$C$3629="","",INDEX(_imp!$I$4:$I$4503,_imp!$C$3629))</f>
        <v/>
      </c>
      <c r="G3627" s="54">
        <f>IF(_imp!$C$3629="","",INDEX(_imp!$J$4:$J$4503,_imp!$C$3629))</f>
        <v/>
      </c>
      <c r="K3627" s="54">
        <f>IF(_imp!$C$3629="","",INDEX(_imp!$K$4:$K$4503,_imp!$C$3629))</f>
        <v/>
      </c>
    </row>
    <row r="3628">
      <c r="A3628" s="54">
        <f>IF(_imp!$C$3630="","",INDEX(_imp!$D$4:$D$4503,_imp!$C$3630))</f>
        <v/>
      </c>
      <c r="B3628" s="54">
        <f>IF(_imp!$C$3630="","",INDEX(_imp!$E$4:$E$4503,_imp!$C$3630))</f>
        <v/>
      </c>
      <c r="C3628" s="54">
        <f>IF(_imp!$C$3630="","",INDEX(_imp!$F$4:$F$4503,_imp!$C$3630))</f>
        <v/>
      </c>
      <c r="D3628" s="54">
        <f>IF(_imp!$C$3630="","",INDEX(_imp!$G$4:$G$4503,_imp!$C$3630))</f>
        <v/>
      </c>
      <c r="E3628" s="54">
        <f>IF(_imp!$C$3630="","",INDEX(_imp!$H$4:$H$4503,_imp!$C$3630))</f>
        <v/>
      </c>
      <c r="F3628" s="54">
        <f>IF(_imp!$C$3630="","",INDEX(_imp!$I$4:$I$4503,_imp!$C$3630))</f>
        <v/>
      </c>
      <c r="G3628" s="54">
        <f>IF(_imp!$C$3630="","",INDEX(_imp!$J$4:$J$4503,_imp!$C$3630))</f>
        <v/>
      </c>
      <c r="K3628" s="54">
        <f>IF(_imp!$C$3630="","",INDEX(_imp!$K$4:$K$4503,_imp!$C$3630))</f>
        <v/>
      </c>
    </row>
    <row r="3629">
      <c r="A3629" s="54">
        <f>IF(_imp!$C$3631="","",INDEX(_imp!$D$4:$D$4503,_imp!$C$3631))</f>
        <v/>
      </c>
      <c r="B3629" s="54">
        <f>IF(_imp!$C$3631="","",INDEX(_imp!$E$4:$E$4503,_imp!$C$3631))</f>
        <v/>
      </c>
      <c r="C3629" s="54">
        <f>IF(_imp!$C$3631="","",INDEX(_imp!$F$4:$F$4503,_imp!$C$3631))</f>
        <v/>
      </c>
      <c r="D3629" s="54">
        <f>IF(_imp!$C$3631="","",INDEX(_imp!$G$4:$G$4503,_imp!$C$3631))</f>
        <v/>
      </c>
      <c r="E3629" s="54">
        <f>IF(_imp!$C$3631="","",INDEX(_imp!$H$4:$H$4503,_imp!$C$3631))</f>
        <v/>
      </c>
      <c r="F3629" s="54">
        <f>IF(_imp!$C$3631="","",INDEX(_imp!$I$4:$I$4503,_imp!$C$3631))</f>
        <v/>
      </c>
      <c r="G3629" s="54">
        <f>IF(_imp!$C$3631="","",INDEX(_imp!$J$4:$J$4503,_imp!$C$3631))</f>
        <v/>
      </c>
      <c r="K3629" s="54">
        <f>IF(_imp!$C$3631="","",INDEX(_imp!$K$4:$K$4503,_imp!$C$3631))</f>
        <v/>
      </c>
    </row>
    <row r="3630">
      <c r="A3630" s="54">
        <f>IF(_imp!$C$3632="","",INDEX(_imp!$D$4:$D$4503,_imp!$C$3632))</f>
        <v/>
      </c>
      <c r="B3630" s="54">
        <f>IF(_imp!$C$3632="","",INDEX(_imp!$E$4:$E$4503,_imp!$C$3632))</f>
        <v/>
      </c>
      <c r="C3630" s="54">
        <f>IF(_imp!$C$3632="","",INDEX(_imp!$F$4:$F$4503,_imp!$C$3632))</f>
        <v/>
      </c>
      <c r="D3630" s="54">
        <f>IF(_imp!$C$3632="","",INDEX(_imp!$G$4:$G$4503,_imp!$C$3632))</f>
        <v/>
      </c>
      <c r="E3630" s="54">
        <f>IF(_imp!$C$3632="","",INDEX(_imp!$H$4:$H$4503,_imp!$C$3632))</f>
        <v/>
      </c>
      <c r="F3630" s="54">
        <f>IF(_imp!$C$3632="","",INDEX(_imp!$I$4:$I$4503,_imp!$C$3632))</f>
        <v/>
      </c>
      <c r="G3630" s="54">
        <f>IF(_imp!$C$3632="","",INDEX(_imp!$J$4:$J$4503,_imp!$C$3632))</f>
        <v/>
      </c>
      <c r="K3630" s="54">
        <f>IF(_imp!$C$3632="","",INDEX(_imp!$K$4:$K$4503,_imp!$C$3632))</f>
        <v/>
      </c>
    </row>
    <row r="3631">
      <c r="A3631" s="54">
        <f>IF(_imp!$C$3633="","",INDEX(_imp!$D$4:$D$4503,_imp!$C$3633))</f>
        <v/>
      </c>
      <c r="B3631" s="54">
        <f>IF(_imp!$C$3633="","",INDEX(_imp!$E$4:$E$4503,_imp!$C$3633))</f>
        <v/>
      </c>
      <c r="C3631" s="54">
        <f>IF(_imp!$C$3633="","",INDEX(_imp!$F$4:$F$4503,_imp!$C$3633))</f>
        <v/>
      </c>
      <c r="D3631" s="54">
        <f>IF(_imp!$C$3633="","",INDEX(_imp!$G$4:$G$4503,_imp!$C$3633))</f>
        <v/>
      </c>
      <c r="E3631" s="54">
        <f>IF(_imp!$C$3633="","",INDEX(_imp!$H$4:$H$4503,_imp!$C$3633))</f>
        <v/>
      </c>
      <c r="F3631" s="54">
        <f>IF(_imp!$C$3633="","",INDEX(_imp!$I$4:$I$4503,_imp!$C$3633))</f>
        <v/>
      </c>
      <c r="G3631" s="54">
        <f>IF(_imp!$C$3633="","",INDEX(_imp!$J$4:$J$4503,_imp!$C$3633))</f>
        <v/>
      </c>
      <c r="K3631" s="54">
        <f>IF(_imp!$C$3633="","",INDEX(_imp!$K$4:$K$4503,_imp!$C$3633))</f>
        <v/>
      </c>
    </row>
    <row r="3632">
      <c r="A3632" s="54">
        <f>IF(_imp!$C$3634="","",INDEX(_imp!$D$4:$D$4503,_imp!$C$3634))</f>
        <v/>
      </c>
      <c r="B3632" s="54">
        <f>IF(_imp!$C$3634="","",INDEX(_imp!$E$4:$E$4503,_imp!$C$3634))</f>
        <v/>
      </c>
      <c r="C3632" s="54">
        <f>IF(_imp!$C$3634="","",INDEX(_imp!$F$4:$F$4503,_imp!$C$3634))</f>
        <v/>
      </c>
      <c r="D3632" s="54">
        <f>IF(_imp!$C$3634="","",INDEX(_imp!$G$4:$G$4503,_imp!$C$3634))</f>
        <v/>
      </c>
      <c r="E3632" s="54">
        <f>IF(_imp!$C$3634="","",INDEX(_imp!$H$4:$H$4503,_imp!$C$3634))</f>
        <v/>
      </c>
      <c r="F3632" s="54">
        <f>IF(_imp!$C$3634="","",INDEX(_imp!$I$4:$I$4503,_imp!$C$3634))</f>
        <v/>
      </c>
      <c r="G3632" s="54">
        <f>IF(_imp!$C$3634="","",INDEX(_imp!$J$4:$J$4503,_imp!$C$3634))</f>
        <v/>
      </c>
      <c r="K3632" s="54">
        <f>IF(_imp!$C$3634="","",INDEX(_imp!$K$4:$K$4503,_imp!$C$3634))</f>
        <v/>
      </c>
    </row>
    <row r="3633">
      <c r="A3633" s="54">
        <f>IF(_imp!$C$3635="","",INDEX(_imp!$D$4:$D$4503,_imp!$C$3635))</f>
        <v/>
      </c>
      <c r="B3633" s="54">
        <f>IF(_imp!$C$3635="","",INDEX(_imp!$E$4:$E$4503,_imp!$C$3635))</f>
        <v/>
      </c>
      <c r="C3633" s="54">
        <f>IF(_imp!$C$3635="","",INDEX(_imp!$F$4:$F$4503,_imp!$C$3635))</f>
        <v/>
      </c>
      <c r="D3633" s="54">
        <f>IF(_imp!$C$3635="","",INDEX(_imp!$G$4:$G$4503,_imp!$C$3635))</f>
        <v/>
      </c>
      <c r="E3633" s="54">
        <f>IF(_imp!$C$3635="","",INDEX(_imp!$H$4:$H$4503,_imp!$C$3635))</f>
        <v/>
      </c>
      <c r="F3633" s="54">
        <f>IF(_imp!$C$3635="","",INDEX(_imp!$I$4:$I$4503,_imp!$C$3635))</f>
        <v/>
      </c>
      <c r="G3633" s="54">
        <f>IF(_imp!$C$3635="","",INDEX(_imp!$J$4:$J$4503,_imp!$C$3635))</f>
        <v/>
      </c>
      <c r="K3633" s="54">
        <f>IF(_imp!$C$3635="","",INDEX(_imp!$K$4:$K$4503,_imp!$C$3635))</f>
        <v/>
      </c>
    </row>
    <row r="3634">
      <c r="A3634" s="54">
        <f>IF(_imp!$C$3636="","",INDEX(_imp!$D$4:$D$4503,_imp!$C$3636))</f>
        <v/>
      </c>
      <c r="B3634" s="54">
        <f>IF(_imp!$C$3636="","",INDEX(_imp!$E$4:$E$4503,_imp!$C$3636))</f>
        <v/>
      </c>
      <c r="C3634" s="54">
        <f>IF(_imp!$C$3636="","",INDEX(_imp!$F$4:$F$4503,_imp!$C$3636))</f>
        <v/>
      </c>
      <c r="D3634" s="54">
        <f>IF(_imp!$C$3636="","",INDEX(_imp!$G$4:$G$4503,_imp!$C$3636))</f>
        <v/>
      </c>
      <c r="E3634" s="54">
        <f>IF(_imp!$C$3636="","",INDEX(_imp!$H$4:$H$4503,_imp!$C$3636))</f>
        <v/>
      </c>
      <c r="F3634" s="54">
        <f>IF(_imp!$C$3636="","",INDEX(_imp!$I$4:$I$4503,_imp!$C$3636))</f>
        <v/>
      </c>
      <c r="G3634" s="54">
        <f>IF(_imp!$C$3636="","",INDEX(_imp!$J$4:$J$4503,_imp!$C$3636))</f>
        <v/>
      </c>
      <c r="K3634" s="54">
        <f>IF(_imp!$C$3636="","",INDEX(_imp!$K$4:$K$4503,_imp!$C$3636))</f>
        <v/>
      </c>
    </row>
    <row r="3635">
      <c r="A3635" s="54">
        <f>IF(_imp!$C$3637="","",INDEX(_imp!$D$4:$D$4503,_imp!$C$3637))</f>
        <v/>
      </c>
      <c r="B3635" s="54">
        <f>IF(_imp!$C$3637="","",INDEX(_imp!$E$4:$E$4503,_imp!$C$3637))</f>
        <v/>
      </c>
      <c r="C3635" s="54">
        <f>IF(_imp!$C$3637="","",INDEX(_imp!$F$4:$F$4503,_imp!$C$3637))</f>
        <v/>
      </c>
      <c r="D3635" s="54">
        <f>IF(_imp!$C$3637="","",INDEX(_imp!$G$4:$G$4503,_imp!$C$3637))</f>
        <v/>
      </c>
      <c r="E3635" s="54">
        <f>IF(_imp!$C$3637="","",INDEX(_imp!$H$4:$H$4503,_imp!$C$3637))</f>
        <v/>
      </c>
      <c r="F3635" s="54">
        <f>IF(_imp!$C$3637="","",INDEX(_imp!$I$4:$I$4503,_imp!$C$3637))</f>
        <v/>
      </c>
      <c r="G3635" s="54">
        <f>IF(_imp!$C$3637="","",INDEX(_imp!$J$4:$J$4503,_imp!$C$3637))</f>
        <v/>
      </c>
      <c r="K3635" s="54">
        <f>IF(_imp!$C$3637="","",INDEX(_imp!$K$4:$K$4503,_imp!$C$3637))</f>
        <v/>
      </c>
    </row>
    <row r="3636">
      <c r="A3636" s="54">
        <f>IF(_imp!$C$3638="","",INDEX(_imp!$D$4:$D$4503,_imp!$C$3638))</f>
        <v/>
      </c>
      <c r="B3636" s="54">
        <f>IF(_imp!$C$3638="","",INDEX(_imp!$E$4:$E$4503,_imp!$C$3638))</f>
        <v/>
      </c>
      <c r="C3636" s="54">
        <f>IF(_imp!$C$3638="","",INDEX(_imp!$F$4:$F$4503,_imp!$C$3638))</f>
        <v/>
      </c>
      <c r="D3636" s="54">
        <f>IF(_imp!$C$3638="","",INDEX(_imp!$G$4:$G$4503,_imp!$C$3638))</f>
        <v/>
      </c>
      <c r="E3636" s="54">
        <f>IF(_imp!$C$3638="","",INDEX(_imp!$H$4:$H$4503,_imp!$C$3638))</f>
        <v/>
      </c>
      <c r="F3636" s="54">
        <f>IF(_imp!$C$3638="","",INDEX(_imp!$I$4:$I$4503,_imp!$C$3638))</f>
        <v/>
      </c>
      <c r="G3636" s="54">
        <f>IF(_imp!$C$3638="","",INDEX(_imp!$J$4:$J$4503,_imp!$C$3638))</f>
        <v/>
      </c>
      <c r="K3636" s="54">
        <f>IF(_imp!$C$3638="","",INDEX(_imp!$K$4:$K$4503,_imp!$C$3638))</f>
        <v/>
      </c>
    </row>
    <row r="3637">
      <c r="A3637" s="54">
        <f>IF(_imp!$C$3639="","",INDEX(_imp!$D$4:$D$4503,_imp!$C$3639))</f>
        <v/>
      </c>
      <c r="B3637" s="54">
        <f>IF(_imp!$C$3639="","",INDEX(_imp!$E$4:$E$4503,_imp!$C$3639))</f>
        <v/>
      </c>
      <c r="C3637" s="54">
        <f>IF(_imp!$C$3639="","",INDEX(_imp!$F$4:$F$4503,_imp!$C$3639))</f>
        <v/>
      </c>
      <c r="D3637" s="54">
        <f>IF(_imp!$C$3639="","",INDEX(_imp!$G$4:$G$4503,_imp!$C$3639))</f>
        <v/>
      </c>
      <c r="E3637" s="54">
        <f>IF(_imp!$C$3639="","",INDEX(_imp!$H$4:$H$4503,_imp!$C$3639))</f>
        <v/>
      </c>
      <c r="F3637" s="54">
        <f>IF(_imp!$C$3639="","",INDEX(_imp!$I$4:$I$4503,_imp!$C$3639))</f>
        <v/>
      </c>
      <c r="G3637" s="54">
        <f>IF(_imp!$C$3639="","",INDEX(_imp!$J$4:$J$4503,_imp!$C$3639))</f>
        <v/>
      </c>
      <c r="K3637" s="54">
        <f>IF(_imp!$C$3639="","",INDEX(_imp!$K$4:$K$4503,_imp!$C$3639))</f>
        <v/>
      </c>
    </row>
    <row r="3638">
      <c r="A3638" s="54">
        <f>IF(_imp!$C$3640="","",INDEX(_imp!$D$4:$D$4503,_imp!$C$3640))</f>
        <v/>
      </c>
      <c r="B3638" s="54">
        <f>IF(_imp!$C$3640="","",INDEX(_imp!$E$4:$E$4503,_imp!$C$3640))</f>
        <v/>
      </c>
      <c r="C3638" s="54">
        <f>IF(_imp!$C$3640="","",INDEX(_imp!$F$4:$F$4503,_imp!$C$3640))</f>
        <v/>
      </c>
      <c r="D3638" s="54">
        <f>IF(_imp!$C$3640="","",INDEX(_imp!$G$4:$G$4503,_imp!$C$3640))</f>
        <v/>
      </c>
      <c r="E3638" s="54">
        <f>IF(_imp!$C$3640="","",INDEX(_imp!$H$4:$H$4503,_imp!$C$3640))</f>
        <v/>
      </c>
      <c r="F3638" s="54">
        <f>IF(_imp!$C$3640="","",INDEX(_imp!$I$4:$I$4503,_imp!$C$3640))</f>
        <v/>
      </c>
      <c r="G3638" s="54">
        <f>IF(_imp!$C$3640="","",INDEX(_imp!$J$4:$J$4503,_imp!$C$3640))</f>
        <v/>
      </c>
      <c r="K3638" s="54">
        <f>IF(_imp!$C$3640="","",INDEX(_imp!$K$4:$K$4503,_imp!$C$3640))</f>
        <v/>
      </c>
    </row>
    <row r="3639">
      <c r="A3639" s="54">
        <f>IF(_imp!$C$3641="","",INDEX(_imp!$D$4:$D$4503,_imp!$C$3641))</f>
        <v/>
      </c>
      <c r="B3639" s="54">
        <f>IF(_imp!$C$3641="","",INDEX(_imp!$E$4:$E$4503,_imp!$C$3641))</f>
        <v/>
      </c>
      <c r="C3639" s="54">
        <f>IF(_imp!$C$3641="","",INDEX(_imp!$F$4:$F$4503,_imp!$C$3641))</f>
        <v/>
      </c>
      <c r="D3639" s="54">
        <f>IF(_imp!$C$3641="","",INDEX(_imp!$G$4:$G$4503,_imp!$C$3641))</f>
        <v/>
      </c>
      <c r="E3639" s="54">
        <f>IF(_imp!$C$3641="","",INDEX(_imp!$H$4:$H$4503,_imp!$C$3641))</f>
        <v/>
      </c>
      <c r="F3639" s="54">
        <f>IF(_imp!$C$3641="","",INDEX(_imp!$I$4:$I$4503,_imp!$C$3641))</f>
        <v/>
      </c>
      <c r="G3639" s="54">
        <f>IF(_imp!$C$3641="","",INDEX(_imp!$J$4:$J$4503,_imp!$C$3641))</f>
        <v/>
      </c>
      <c r="K3639" s="54">
        <f>IF(_imp!$C$3641="","",INDEX(_imp!$K$4:$K$4503,_imp!$C$3641))</f>
        <v/>
      </c>
    </row>
    <row r="3640">
      <c r="A3640" s="54">
        <f>IF(_imp!$C$3642="","",INDEX(_imp!$D$4:$D$4503,_imp!$C$3642))</f>
        <v/>
      </c>
      <c r="B3640" s="54">
        <f>IF(_imp!$C$3642="","",INDEX(_imp!$E$4:$E$4503,_imp!$C$3642))</f>
        <v/>
      </c>
      <c r="C3640" s="54">
        <f>IF(_imp!$C$3642="","",INDEX(_imp!$F$4:$F$4503,_imp!$C$3642))</f>
        <v/>
      </c>
      <c r="D3640" s="54">
        <f>IF(_imp!$C$3642="","",INDEX(_imp!$G$4:$G$4503,_imp!$C$3642))</f>
        <v/>
      </c>
      <c r="E3640" s="54">
        <f>IF(_imp!$C$3642="","",INDEX(_imp!$H$4:$H$4503,_imp!$C$3642))</f>
        <v/>
      </c>
      <c r="F3640" s="54">
        <f>IF(_imp!$C$3642="","",INDEX(_imp!$I$4:$I$4503,_imp!$C$3642))</f>
        <v/>
      </c>
      <c r="G3640" s="54">
        <f>IF(_imp!$C$3642="","",INDEX(_imp!$J$4:$J$4503,_imp!$C$3642))</f>
        <v/>
      </c>
      <c r="K3640" s="54">
        <f>IF(_imp!$C$3642="","",INDEX(_imp!$K$4:$K$4503,_imp!$C$3642))</f>
        <v/>
      </c>
    </row>
    <row r="3641">
      <c r="A3641" s="54">
        <f>IF(_imp!$C$3643="","",INDEX(_imp!$D$4:$D$4503,_imp!$C$3643))</f>
        <v/>
      </c>
      <c r="B3641" s="54">
        <f>IF(_imp!$C$3643="","",INDEX(_imp!$E$4:$E$4503,_imp!$C$3643))</f>
        <v/>
      </c>
      <c r="C3641" s="54">
        <f>IF(_imp!$C$3643="","",INDEX(_imp!$F$4:$F$4503,_imp!$C$3643))</f>
        <v/>
      </c>
      <c r="D3641" s="54">
        <f>IF(_imp!$C$3643="","",INDEX(_imp!$G$4:$G$4503,_imp!$C$3643))</f>
        <v/>
      </c>
      <c r="E3641" s="54">
        <f>IF(_imp!$C$3643="","",INDEX(_imp!$H$4:$H$4503,_imp!$C$3643))</f>
        <v/>
      </c>
      <c r="F3641" s="54">
        <f>IF(_imp!$C$3643="","",INDEX(_imp!$I$4:$I$4503,_imp!$C$3643))</f>
        <v/>
      </c>
      <c r="G3641" s="54">
        <f>IF(_imp!$C$3643="","",INDEX(_imp!$J$4:$J$4503,_imp!$C$3643))</f>
        <v/>
      </c>
      <c r="K3641" s="54">
        <f>IF(_imp!$C$3643="","",INDEX(_imp!$K$4:$K$4503,_imp!$C$3643))</f>
        <v/>
      </c>
    </row>
    <row r="3642">
      <c r="A3642" s="54">
        <f>IF(_imp!$C$3644="","",INDEX(_imp!$D$4:$D$4503,_imp!$C$3644))</f>
        <v/>
      </c>
      <c r="B3642" s="54">
        <f>IF(_imp!$C$3644="","",INDEX(_imp!$E$4:$E$4503,_imp!$C$3644))</f>
        <v/>
      </c>
      <c r="C3642" s="54">
        <f>IF(_imp!$C$3644="","",INDEX(_imp!$F$4:$F$4503,_imp!$C$3644))</f>
        <v/>
      </c>
      <c r="D3642" s="54">
        <f>IF(_imp!$C$3644="","",INDEX(_imp!$G$4:$G$4503,_imp!$C$3644))</f>
        <v/>
      </c>
      <c r="E3642" s="54">
        <f>IF(_imp!$C$3644="","",INDEX(_imp!$H$4:$H$4503,_imp!$C$3644))</f>
        <v/>
      </c>
      <c r="F3642" s="54">
        <f>IF(_imp!$C$3644="","",INDEX(_imp!$I$4:$I$4503,_imp!$C$3644))</f>
        <v/>
      </c>
      <c r="G3642" s="54">
        <f>IF(_imp!$C$3644="","",INDEX(_imp!$J$4:$J$4503,_imp!$C$3644))</f>
        <v/>
      </c>
      <c r="K3642" s="54">
        <f>IF(_imp!$C$3644="","",INDEX(_imp!$K$4:$K$4503,_imp!$C$3644))</f>
        <v/>
      </c>
    </row>
    <row r="3643">
      <c r="A3643" s="54">
        <f>IF(_imp!$C$3645="","",INDEX(_imp!$D$4:$D$4503,_imp!$C$3645))</f>
        <v/>
      </c>
      <c r="B3643" s="54">
        <f>IF(_imp!$C$3645="","",INDEX(_imp!$E$4:$E$4503,_imp!$C$3645))</f>
        <v/>
      </c>
      <c r="C3643" s="54">
        <f>IF(_imp!$C$3645="","",INDEX(_imp!$F$4:$F$4503,_imp!$C$3645))</f>
        <v/>
      </c>
      <c r="D3643" s="54">
        <f>IF(_imp!$C$3645="","",INDEX(_imp!$G$4:$G$4503,_imp!$C$3645))</f>
        <v/>
      </c>
      <c r="E3643" s="54">
        <f>IF(_imp!$C$3645="","",INDEX(_imp!$H$4:$H$4503,_imp!$C$3645))</f>
        <v/>
      </c>
      <c r="F3643" s="54">
        <f>IF(_imp!$C$3645="","",INDEX(_imp!$I$4:$I$4503,_imp!$C$3645))</f>
        <v/>
      </c>
      <c r="G3643" s="54">
        <f>IF(_imp!$C$3645="","",INDEX(_imp!$J$4:$J$4503,_imp!$C$3645))</f>
        <v/>
      </c>
      <c r="K3643" s="54">
        <f>IF(_imp!$C$3645="","",INDEX(_imp!$K$4:$K$4503,_imp!$C$3645))</f>
        <v/>
      </c>
    </row>
    <row r="3644">
      <c r="A3644" s="54">
        <f>IF(_imp!$C$3646="","",INDEX(_imp!$D$4:$D$4503,_imp!$C$3646))</f>
        <v/>
      </c>
      <c r="B3644" s="54">
        <f>IF(_imp!$C$3646="","",INDEX(_imp!$E$4:$E$4503,_imp!$C$3646))</f>
        <v/>
      </c>
      <c r="C3644" s="54">
        <f>IF(_imp!$C$3646="","",INDEX(_imp!$F$4:$F$4503,_imp!$C$3646))</f>
        <v/>
      </c>
      <c r="D3644" s="54">
        <f>IF(_imp!$C$3646="","",INDEX(_imp!$G$4:$G$4503,_imp!$C$3646))</f>
        <v/>
      </c>
      <c r="E3644" s="54">
        <f>IF(_imp!$C$3646="","",INDEX(_imp!$H$4:$H$4503,_imp!$C$3646))</f>
        <v/>
      </c>
      <c r="F3644" s="54">
        <f>IF(_imp!$C$3646="","",INDEX(_imp!$I$4:$I$4503,_imp!$C$3646))</f>
        <v/>
      </c>
      <c r="G3644" s="54">
        <f>IF(_imp!$C$3646="","",INDEX(_imp!$J$4:$J$4503,_imp!$C$3646))</f>
        <v/>
      </c>
      <c r="K3644" s="54">
        <f>IF(_imp!$C$3646="","",INDEX(_imp!$K$4:$K$4503,_imp!$C$3646))</f>
        <v/>
      </c>
    </row>
    <row r="3645">
      <c r="A3645" s="54">
        <f>IF(_imp!$C$3647="","",INDEX(_imp!$D$4:$D$4503,_imp!$C$3647))</f>
        <v/>
      </c>
      <c r="B3645" s="54">
        <f>IF(_imp!$C$3647="","",INDEX(_imp!$E$4:$E$4503,_imp!$C$3647))</f>
        <v/>
      </c>
      <c r="C3645" s="54">
        <f>IF(_imp!$C$3647="","",INDEX(_imp!$F$4:$F$4503,_imp!$C$3647))</f>
        <v/>
      </c>
      <c r="D3645" s="54">
        <f>IF(_imp!$C$3647="","",INDEX(_imp!$G$4:$G$4503,_imp!$C$3647))</f>
        <v/>
      </c>
      <c r="E3645" s="54">
        <f>IF(_imp!$C$3647="","",INDEX(_imp!$H$4:$H$4503,_imp!$C$3647))</f>
        <v/>
      </c>
      <c r="F3645" s="54">
        <f>IF(_imp!$C$3647="","",INDEX(_imp!$I$4:$I$4503,_imp!$C$3647))</f>
        <v/>
      </c>
      <c r="G3645" s="54">
        <f>IF(_imp!$C$3647="","",INDEX(_imp!$J$4:$J$4503,_imp!$C$3647))</f>
        <v/>
      </c>
      <c r="K3645" s="54">
        <f>IF(_imp!$C$3647="","",INDEX(_imp!$K$4:$K$4503,_imp!$C$3647))</f>
        <v/>
      </c>
    </row>
    <row r="3646">
      <c r="A3646" s="54">
        <f>IF(_imp!$C$3648="","",INDEX(_imp!$D$4:$D$4503,_imp!$C$3648))</f>
        <v/>
      </c>
      <c r="B3646" s="54">
        <f>IF(_imp!$C$3648="","",INDEX(_imp!$E$4:$E$4503,_imp!$C$3648))</f>
        <v/>
      </c>
      <c r="C3646" s="54">
        <f>IF(_imp!$C$3648="","",INDEX(_imp!$F$4:$F$4503,_imp!$C$3648))</f>
        <v/>
      </c>
      <c r="D3646" s="54">
        <f>IF(_imp!$C$3648="","",INDEX(_imp!$G$4:$G$4503,_imp!$C$3648))</f>
        <v/>
      </c>
      <c r="E3646" s="54">
        <f>IF(_imp!$C$3648="","",INDEX(_imp!$H$4:$H$4503,_imp!$C$3648))</f>
        <v/>
      </c>
      <c r="F3646" s="54">
        <f>IF(_imp!$C$3648="","",INDEX(_imp!$I$4:$I$4503,_imp!$C$3648))</f>
        <v/>
      </c>
      <c r="G3646" s="54">
        <f>IF(_imp!$C$3648="","",INDEX(_imp!$J$4:$J$4503,_imp!$C$3648))</f>
        <v/>
      </c>
      <c r="K3646" s="54">
        <f>IF(_imp!$C$3648="","",INDEX(_imp!$K$4:$K$4503,_imp!$C$3648))</f>
        <v/>
      </c>
    </row>
    <row r="3647">
      <c r="A3647" s="54">
        <f>IF(_imp!$C$3649="","",INDEX(_imp!$D$4:$D$4503,_imp!$C$3649))</f>
        <v/>
      </c>
      <c r="B3647" s="54">
        <f>IF(_imp!$C$3649="","",INDEX(_imp!$E$4:$E$4503,_imp!$C$3649))</f>
        <v/>
      </c>
      <c r="C3647" s="54">
        <f>IF(_imp!$C$3649="","",INDEX(_imp!$F$4:$F$4503,_imp!$C$3649))</f>
        <v/>
      </c>
      <c r="D3647" s="54">
        <f>IF(_imp!$C$3649="","",INDEX(_imp!$G$4:$G$4503,_imp!$C$3649))</f>
        <v/>
      </c>
      <c r="E3647" s="54">
        <f>IF(_imp!$C$3649="","",INDEX(_imp!$H$4:$H$4503,_imp!$C$3649))</f>
        <v/>
      </c>
      <c r="F3647" s="54">
        <f>IF(_imp!$C$3649="","",INDEX(_imp!$I$4:$I$4503,_imp!$C$3649))</f>
        <v/>
      </c>
      <c r="G3647" s="54">
        <f>IF(_imp!$C$3649="","",INDEX(_imp!$J$4:$J$4503,_imp!$C$3649))</f>
        <v/>
      </c>
      <c r="K3647" s="54">
        <f>IF(_imp!$C$3649="","",INDEX(_imp!$K$4:$K$4503,_imp!$C$3649))</f>
        <v/>
      </c>
    </row>
    <row r="3648">
      <c r="A3648" s="54">
        <f>IF(_imp!$C$3650="","",INDEX(_imp!$D$4:$D$4503,_imp!$C$3650))</f>
        <v/>
      </c>
      <c r="B3648" s="54">
        <f>IF(_imp!$C$3650="","",INDEX(_imp!$E$4:$E$4503,_imp!$C$3650))</f>
        <v/>
      </c>
      <c r="C3648" s="54">
        <f>IF(_imp!$C$3650="","",INDEX(_imp!$F$4:$F$4503,_imp!$C$3650))</f>
        <v/>
      </c>
      <c r="D3648" s="54">
        <f>IF(_imp!$C$3650="","",INDEX(_imp!$G$4:$G$4503,_imp!$C$3650))</f>
        <v/>
      </c>
      <c r="E3648" s="54">
        <f>IF(_imp!$C$3650="","",INDEX(_imp!$H$4:$H$4503,_imp!$C$3650))</f>
        <v/>
      </c>
      <c r="F3648" s="54">
        <f>IF(_imp!$C$3650="","",INDEX(_imp!$I$4:$I$4503,_imp!$C$3650))</f>
        <v/>
      </c>
      <c r="G3648" s="54">
        <f>IF(_imp!$C$3650="","",INDEX(_imp!$J$4:$J$4503,_imp!$C$3650))</f>
        <v/>
      </c>
      <c r="K3648" s="54">
        <f>IF(_imp!$C$3650="","",INDEX(_imp!$K$4:$K$4503,_imp!$C$3650))</f>
        <v/>
      </c>
    </row>
    <row r="3649">
      <c r="A3649" s="54">
        <f>IF(_imp!$C$3651="","",INDEX(_imp!$D$4:$D$4503,_imp!$C$3651))</f>
        <v/>
      </c>
      <c r="B3649" s="54">
        <f>IF(_imp!$C$3651="","",INDEX(_imp!$E$4:$E$4503,_imp!$C$3651))</f>
        <v/>
      </c>
      <c r="C3649" s="54">
        <f>IF(_imp!$C$3651="","",INDEX(_imp!$F$4:$F$4503,_imp!$C$3651))</f>
        <v/>
      </c>
      <c r="D3649" s="54">
        <f>IF(_imp!$C$3651="","",INDEX(_imp!$G$4:$G$4503,_imp!$C$3651))</f>
        <v/>
      </c>
      <c r="E3649" s="54">
        <f>IF(_imp!$C$3651="","",INDEX(_imp!$H$4:$H$4503,_imp!$C$3651))</f>
        <v/>
      </c>
      <c r="F3649" s="54">
        <f>IF(_imp!$C$3651="","",INDEX(_imp!$I$4:$I$4503,_imp!$C$3651))</f>
        <v/>
      </c>
      <c r="G3649" s="54">
        <f>IF(_imp!$C$3651="","",INDEX(_imp!$J$4:$J$4503,_imp!$C$3651))</f>
        <v/>
      </c>
      <c r="K3649" s="54">
        <f>IF(_imp!$C$3651="","",INDEX(_imp!$K$4:$K$4503,_imp!$C$3651))</f>
        <v/>
      </c>
    </row>
    <row r="3650">
      <c r="A3650" s="54">
        <f>IF(_imp!$C$3652="","",INDEX(_imp!$D$4:$D$4503,_imp!$C$3652))</f>
        <v/>
      </c>
      <c r="B3650" s="54">
        <f>IF(_imp!$C$3652="","",INDEX(_imp!$E$4:$E$4503,_imp!$C$3652))</f>
        <v/>
      </c>
      <c r="C3650" s="54">
        <f>IF(_imp!$C$3652="","",INDEX(_imp!$F$4:$F$4503,_imp!$C$3652))</f>
        <v/>
      </c>
      <c r="D3650" s="54">
        <f>IF(_imp!$C$3652="","",INDEX(_imp!$G$4:$G$4503,_imp!$C$3652))</f>
        <v/>
      </c>
      <c r="E3650" s="54">
        <f>IF(_imp!$C$3652="","",INDEX(_imp!$H$4:$H$4503,_imp!$C$3652))</f>
        <v/>
      </c>
      <c r="F3650" s="54">
        <f>IF(_imp!$C$3652="","",INDEX(_imp!$I$4:$I$4503,_imp!$C$3652))</f>
        <v/>
      </c>
      <c r="G3650" s="54">
        <f>IF(_imp!$C$3652="","",INDEX(_imp!$J$4:$J$4503,_imp!$C$3652))</f>
        <v/>
      </c>
      <c r="K3650" s="54">
        <f>IF(_imp!$C$3652="","",INDEX(_imp!$K$4:$K$4503,_imp!$C$3652))</f>
        <v/>
      </c>
    </row>
    <row r="3651">
      <c r="A3651" s="54">
        <f>IF(_imp!$C$3653="","",INDEX(_imp!$D$4:$D$4503,_imp!$C$3653))</f>
        <v/>
      </c>
      <c r="B3651" s="54">
        <f>IF(_imp!$C$3653="","",INDEX(_imp!$E$4:$E$4503,_imp!$C$3653))</f>
        <v/>
      </c>
      <c r="C3651" s="54">
        <f>IF(_imp!$C$3653="","",INDEX(_imp!$F$4:$F$4503,_imp!$C$3653))</f>
        <v/>
      </c>
      <c r="D3651" s="54">
        <f>IF(_imp!$C$3653="","",INDEX(_imp!$G$4:$G$4503,_imp!$C$3653))</f>
        <v/>
      </c>
      <c r="E3651" s="54">
        <f>IF(_imp!$C$3653="","",INDEX(_imp!$H$4:$H$4503,_imp!$C$3653))</f>
        <v/>
      </c>
      <c r="F3651" s="54">
        <f>IF(_imp!$C$3653="","",INDEX(_imp!$I$4:$I$4503,_imp!$C$3653))</f>
        <v/>
      </c>
      <c r="G3651" s="54">
        <f>IF(_imp!$C$3653="","",INDEX(_imp!$J$4:$J$4503,_imp!$C$3653))</f>
        <v/>
      </c>
      <c r="K3651" s="54">
        <f>IF(_imp!$C$3653="","",INDEX(_imp!$K$4:$K$4503,_imp!$C$3653))</f>
        <v/>
      </c>
    </row>
    <row r="3652">
      <c r="A3652" s="54">
        <f>IF(_imp!$C$3654="","",INDEX(_imp!$D$4:$D$4503,_imp!$C$3654))</f>
        <v/>
      </c>
      <c r="B3652" s="54">
        <f>IF(_imp!$C$3654="","",INDEX(_imp!$E$4:$E$4503,_imp!$C$3654))</f>
        <v/>
      </c>
      <c r="C3652" s="54">
        <f>IF(_imp!$C$3654="","",INDEX(_imp!$F$4:$F$4503,_imp!$C$3654))</f>
        <v/>
      </c>
      <c r="D3652" s="54">
        <f>IF(_imp!$C$3654="","",INDEX(_imp!$G$4:$G$4503,_imp!$C$3654))</f>
        <v/>
      </c>
      <c r="E3652" s="54">
        <f>IF(_imp!$C$3654="","",INDEX(_imp!$H$4:$H$4503,_imp!$C$3654))</f>
        <v/>
      </c>
      <c r="F3652" s="54">
        <f>IF(_imp!$C$3654="","",INDEX(_imp!$I$4:$I$4503,_imp!$C$3654))</f>
        <v/>
      </c>
      <c r="G3652" s="54">
        <f>IF(_imp!$C$3654="","",INDEX(_imp!$J$4:$J$4503,_imp!$C$3654))</f>
        <v/>
      </c>
      <c r="K3652" s="54">
        <f>IF(_imp!$C$3654="","",INDEX(_imp!$K$4:$K$4503,_imp!$C$3654))</f>
        <v/>
      </c>
    </row>
    <row r="3653">
      <c r="A3653" s="54">
        <f>IF(_imp!$C$3655="","",INDEX(_imp!$D$4:$D$4503,_imp!$C$3655))</f>
        <v/>
      </c>
      <c r="B3653" s="54">
        <f>IF(_imp!$C$3655="","",INDEX(_imp!$E$4:$E$4503,_imp!$C$3655))</f>
        <v/>
      </c>
      <c r="C3653" s="54">
        <f>IF(_imp!$C$3655="","",INDEX(_imp!$F$4:$F$4503,_imp!$C$3655))</f>
        <v/>
      </c>
      <c r="D3653" s="54">
        <f>IF(_imp!$C$3655="","",INDEX(_imp!$G$4:$G$4503,_imp!$C$3655))</f>
        <v/>
      </c>
      <c r="E3653" s="54">
        <f>IF(_imp!$C$3655="","",INDEX(_imp!$H$4:$H$4503,_imp!$C$3655))</f>
        <v/>
      </c>
      <c r="F3653" s="54">
        <f>IF(_imp!$C$3655="","",INDEX(_imp!$I$4:$I$4503,_imp!$C$3655))</f>
        <v/>
      </c>
      <c r="G3653" s="54">
        <f>IF(_imp!$C$3655="","",INDEX(_imp!$J$4:$J$4503,_imp!$C$3655))</f>
        <v/>
      </c>
      <c r="K3653" s="54">
        <f>IF(_imp!$C$3655="","",INDEX(_imp!$K$4:$K$4503,_imp!$C$3655))</f>
        <v/>
      </c>
    </row>
    <row r="3654">
      <c r="A3654" s="54">
        <f>IF(_imp!$C$3656="","",INDEX(_imp!$D$4:$D$4503,_imp!$C$3656))</f>
        <v/>
      </c>
      <c r="B3654" s="54">
        <f>IF(_imp!$C$3656="","",INDEX(_imp!$E$4:$E$4503,_imp!$C$3656))</f>
        <v/>
      </c>
      <c r="C3654" s="54">
        <f>IF(_imp!$C$3656="","",INDEX(_imp!$F$4:$F$4503,_imp!$C$3656))</f>
        <v/>
      </c>
      <c r="D3654" s="54">
        <f>IF(_imp!$C$3656="","",INDEX(_imp!$G$4:$G$4503,_imp!$C$3656))</f>
        <v/>
      </c>
      <c r="E3654" s="54">
        <f>IF(_imp!$C$3656="","",INDEX(_imp!$H$4:$H$4503,_imp!$C$3656))</f>
        <v/>
      </c>
      <c r="F3654" s="54">
        <f>IF(_imp!$C$3656="","",INDEX(_imp!$I$4:$I$4503,_imp!$C$3656))</f>
        <v/>
      </c>
      <c r="G3654" s="54">
        <f>IF(_imp!$C$3656="","",INDEX(_imp!$J$4:$J$4503,_imp!$C$3656))</f>
        <v/>
      </c>
      <c r="K3654" s="54">
        <f>IF(_imp!$C$3656="","",INDEX(_imp!$K$4:$K$4503,_imp!$C$3656))</f>
        <v/>
      </c>
    </row>
    <row r="3655">
      <c r="A3655" s="54">
        <f>IF(_imp!$C$3657="","",INDEX(_imp!$D$4:$D$4503,_imp!$C$3657))</f>
        <v/>
      </c>
      <c r="B3655" s="54">
        <f>IF(_imp!$C$3657="","",INDEX(_imp!$E$4:$E$4503,_imp!$C$3657))</f>
        <v/>
      </c>
      <c r="C3655" s="54">
        <f>IF(_imp!$C$3657="","",INDEX(_imp!$F$4:$F$4503,_imp!$C$3657))</f>
        <v/>
      </c>
      <c r="D3655" s="54">
        <f>IF(_imp!$C$3657="","",INDEX(_imp!$G$4:$G$4503,_imp!$C$3657))</f>
        <v/>
      </c>
      <c r="E3655" s="54">
        <f>IF(_imp!$C$3657="","",INDEX(_imp!$H$4:$H$4503,_imp!$C$3657))</f>
        <v/>
      </c>
      <c r="F3655" s="54">
        <f>IF(_imp!$C$3657="","",INDEX(_imp!$I$4:$I$4503,_imp!$C$3657))</f>
        <v/>
      </c>
      <c r="G3655" s="54">
        <f>IF(_imp!$C$3657="","",INDEX(_imp!$J$4:$J$4503,_imp!$C$3657))</f>
        <v/>
      </c>
      <c r="K3655" s="54">
        <f>IF(_imp!$C$3657="","",INDEX(_imp!$K$4:$K$4503,_imp!$C$3657))</f>
        <v/>
      </c>
    </row>
    <row r="3656">
      <c r="A3656" s="54">
        <f>IF(_imp!$C$3658="","",INDEX(_imp!$D$4:$D$4503,_imp!$C$3658))</f>
        <v/>
      </c>
      <c r="B3656" s="54">
        <f>IF(_imp!$C$3658="","",INDEX(_imp!$E$4:$E$4503,_imp!$C$3658))</f>
        <v/>
      </c>
      <c r="C3656" s="54">
        <f>IF(_imp!$C$3658="","",INDEX(_imp!$F$4:$F$4503,_imp!$C$3658))</f>
        <v/>
      </c>
      <c r="D3656" s="54">
        <f>IF(_imp!$C$3658="","",INDEX(_imp!$G$4:$G$4503,_imp!$C$3658))</f>
        <v/>
      </c>
      <c r="E3656" s="54">
        <f>IF(_imp!$C$3658="","",INDEX(_imp!$H$4:$H$4503,_imp!$C$3658))</f>
        <v/>
      </c>
      <c r="F3656" s="54">
        <f>IF(_imp!$C$3658="","",INDEX(_imp!$I$4:$I$4503,_imp!$C$3658))</f>
        <v/>
      </c>
      <c r="G3656" s="54">
        <f>IF(_imp!$C$3658="","",INDEX(_imp!$J$4:$J$4503,_imp!$C$3658))</f>
        <v/>
      </c>
      <c r="K3656" s="54">
        <f>IF(_imp!$C$3658="","",INDEX(_imp!$K$4:$K$4503,_imp!$C$3658))</f>
        <v/>
      </c>
    </row>
    <row r="3657">
      <c r="A3657" s="54">
        <f>IF(_imp!$C$3659="","",INDEX(_imp!$D$4:$D$4503,_imp!$C$3659))</f>
        <v/>
      </c>
      <c r="B3657" s="54">
        <f>IF(_imp!$C$3659="","",INDEX(_imp!$E$4:$E$4503,_imp!$C$3659))</f>
        <v/>
      </c>
      <c r="C3657" s="54">
        <f>IF(_imp!$C$3659="","",INDEX(_imp!$F$4:$F$4503,_imp!$C$3659))</f>
        <v/>
      </c>
      <c r="D3657" s="54">
        <f>IF(_imp!$C$3659="","",INDEX(_imp!$G$4:$G$4503,_imp!$C$3659))</f>
        <v/>
      </c>
      <c r="E3657" s="54">
        <f>IF(_imp!$C$3659="","",INDEX(_imp!$H$4:$H$4503,_imp!$C$3659))</f>
        <v/>
      </c>
      <c r="F3657" s="54">
        <f>IF(_imp!$C$3659="","",INDEX(_imp!$I$4:$I$4503,_imp!$C$3659))</f>
        <v/>
      </c>
      <c r="G3657" s="54">
        <f>IF(_imp!$C$3659="","",INDEX(_imp!$J$4:$J$4503,_imp!$C$3659))</f>
        <v/>
      </c>
      <c r="K3657" s="54">
        <f>IF(_imp!$C$3659="","",INDEX(_imp!$K$4:$K$4503,_imp!$C$3659))</f>
        <v/>
      </c>
    </row>
    <row r="3658">
      <c r="A3658" s="54">
        <f>IF(_imp!$C$3660="","",INDEX(_imp!$D$4:$D$4503,_imp!$C$3660))</f>
        <v/>
      </c>
      <c r="B3658" s="54">
        <f>IF(_imp!$C$3660="","",INDEX(_imp!$E$4:$E$4503,_imp!$C$3660))</f>
        <v/>
      </c>
      <c r="C3658" s="54">
        <f>IF(_imp!$C$3660="","",INDEX(_imp!$F$4:$F$4503,_imp!$C$3660))</f>
        <v/>
      </c>
      <c r="D3658" s="54">
        <f>IF(_imp!$C$3660="","",INDEX(_imp!$G$4:$G$4503,_imp!$C$3660))</f>
        <v/>
      </c>
      <c r="E3658" s="54">
        <f>IF(_imp!$C$3660="","",INDEX(_imp!$H$4:$H$4503,_imp!$C$3660))</f>
        <v/>
      </c>
      <c r="F3658" s="54">
        <f>IF(_imp!$C$3660="","",INDEX(_imp!$I$4:$I$4503,_imp!$C$3660))</f>
        <v/>
      </c>
      <c r="G3658" s="54">
        <f>IF(_imp!$C$3660="","",INDEX(_imp!$J$4:$J$4503,_imp!$C$3660))</f>
        <v/>
      </c>
      <c r="K3658" s="54">
        <f>IF(_imp!$C$3660="","",INDEX(_imp!$K$4:$K$4503,_imp!$C$3660))</f>
        <v/>
      </c>
    </row>
    <row r="3659">
      <c r="A3659" s="54">
        <f>IF(_imp!$C$3661="","",INDEX(_imp!$D$4:$D$4503,_imp!$C$3661))</f>
        <v/>
      </c>
      <c r="B3659" s="54">
        <f>IF(_imp!$C$3661="","",INDEX(_imp!$E$4:$E$4503,_imp!$C$3661))</f>
        <v/>
      </c>
      <c r="C3659" s="54">
        <f>IF(_imp!$C$3661="","",INDEX(_imp!$F$4:$F$4503,_imp!$C$3661))</f>
        <v/>
      </c>
      <c r="D3659" s="54">
        <f>IF(_imp!$C$3661="","",INDEX(_imp!$G$4:$G$4503,_imp!$C$3661))</f>
        <v/>
      </c>
      <c r="E3659" s="54">
        <f>IF(_imp!$C$3661="","",INDEX(_imp!$H$4:$H$4503,_imp!$C$3661))</f>
        <v/>
      </c>
      <c r="F3659" s="54">
        <f>IF(_imp!$C$3661="","",INDEX(_imp!$I$4:$I$4503,_imp!$C$3661))</f>
        <v/>
      </c>
      <c r="G3659" s="54">
        <f>IF(_imp!$C$3661="","",INDEX(_imp!$J$4:$J$4503,_imp!$C$3661))</f>
        <v/>
      </c>
      <c r="K3659" s="54">
        <f>IF(_imp!$C$3661="","",INDEX(_imp!$K$4:$K$4503,_imp!$C$3661))</f>
        <v/>
      </c>
    </row>
    <row r="3660">
      <c r="A3660" s="54">
        <f>IF(_imp!$C$3662="","",INDEX(_imp!$D$4:$D$4503,_imp!$C$3662))</f>
        <v/>
      </c>
      <c r="B3660" s="54">
        <f>IF(_imp!$C$3662="","",INDEX(_imp!$E$4:$E$4503,_imp!$C$3662))</f>
        <v/>
      </c>
      <c r="C3660" s="54">
        <f>IF(_imp!$C$3662="","",INDEX(_imp!$F$4:$F$4503,_imp!$C$3662))</f>
        <v/>
      </c>
      <c r="D3660" s="54">
        <f>IF(_imp!$C$3662="","",INDEX(_imp!$G$4:$G$4503,_imp!$C$3662))</f>
        <v/>
      </c>
      <c r="E3660" s="54">
        <f>IF(_imp!$C$3662="","",INDEX(_imp!$H$4:$H$4503,_imp!$C$3662))</f>
        <v/>
      </c>
      <c r="F3660" s="54">
        <f>IF(_imp!$C$3662="","",INDEX(_imp!$I$4:$I$4503,_imp!$C$3662))</f>
        <v/>
      </c>
      <c r="G3660" s="54">
        <f>IF(_imp!$C$3662="","",INDEX(_imp!$J$4:$J$4503,_imp!$C$3662))</f>
        <v/>
      </c>
      <c r="K3660" s="54">
        <f>IF(_imp!$C$3662="","",INDEX(_imp!$K$4:$K$4503,_imp!$C$3662))</f>
        <v/>
      </c>
    </row>
    <row r="3661">
      <c r="A3661" s="54">
        <f>IF(_imp!$C$3663="","",INDEX(_imp!$D$4:$D$4503,_imp!$C$3663))</f>
        <v/>
      </c>
      <c r="B3661" s="54">
        <f>IF(_imp!$C$3663="","",INDEX(_imp!$E$4:$E$4503,_imp!$C$3663))</f>
        <v/>
      </c>
      <c r="C3661" s="54">
        <f>IF(_imp!$C$3663="","",INDEX(_imp!$F$4:$F$4503,_imp!$C$3663))</f>
        <v/>
      </c>
      <c r="D3661" s="54">
        <f>IF(_imp!$C$3663="","",INDEX(_imp!$G$4:$G$4503,_imp!$C$3663))</f>
        <v/>
      </c>
      <c r="E3661" s="54">
        <f>IF(_imp!$C$3663="","",INDEX(_imp!$H$4:$H$4503,_imp!$C$3663))</f>
        <v/>
      </c>
      <c r="F3661" s="54">
        <f>IF(_imp!$C$3663="","",INDEX(_imp!$I$4:$I$4503,_imp!$C$3663))</f>
        <v/>
      </c>
      <c r="G3661" s="54">
        <f>IF(_imp!$C$3663="","",INDEX(_imp!$J$4:$J$4503,_imp!$C$3663))</f>
        <v/>
      </c>
      <c r="K3661" s="54">
        <f>IF(_imp!$C$3663="","",INDEX(_imp!$K$4:$K$4503,_imp!$C$3663))</f>
        <v/>
      </c>
    </row>
    <row r="3662">
      <c r="A3662" s="54">
        <f>IF(_imp!$C$3664="","",INDEX(_imp!$D$4:$D$4503,_imp!$C$3664))</f>
        <v/>
      </c>
      <c r="B3662" s="54">
        <f>IF(_imp!$C$3664="","",INDEX(_imp!$E$4:$E$4503,_imp!$C$3664))</f>
        <v/>
      </c>
      <c r="C3662" s="54">
        <f>IF(_imp!$C$3664="","",INDEX(_imp!$F$4:$F$4503,_imp!$C$3664))</f>
        <v/>
      </c>
      <c r="D3662" s="54">
        <f>IF(_imp!$C$3664="","",INDEX(_imp!$G$4:$G$4503,_imp!$C$3664))</f>
        <v/>
      </c>
      <c r="E3662" s="54">
        <f>IF(_imp!$C$3664="","",INDEX(_imp!$H$4:$H$4503,_imp!$C$3664))</f>
        <v/>
      </c>
      <c r="F3662" s="54">
        <f>IF(_imp!$C$3664="","",INDEX(_imp!$I$4:$I$4503,_imp!$C$3664))</f>
        <v/>
      </c>
      <c r="G3662" s="54">
        <f>IF(_imp!$C$3664="","",INDEX(_imp!$J$4:$J$4503,_imp!$C$3664))</f>
        <v/>
      </c>
      <c r="K3662" s="54">
        <f>IF(_imp!$C$3664="","",INDEX(_imp!$K$4:$K$4503,_imp!$C$3664))</f>
        <v/>
      </c>
    </row>
    <row r="3663">
      <c r="A3663" s="54">
        <f>IF(_imp!$C$3665="","",INDEX(_imp!$D$4:$D$4503,_imp!$C$3665))</f>
        <v/>
      </c>
      <c r="B3663" s="54">
        <f>IF(_imp!$C$3665="","",INDEX(_imp!$E$4:$E$4503,_imp!$C$3665))</f>
        <v/>
      </c>
      <c r="C3663" s="54">
        <f>IF(_imp!$C$3665="","",INDEX(_imp!$F$4:$F$4503,_imp!$C$3665))</f>
        <v/>
      </c>
      <c r="D3663" s="54">
        <f>IF(_imp!$C$3665="","",INDEX(_imp!$G$4:$G$4503,_imp!$C$3665))</f>
        <v/>
      </c>
      <c r="E3663" s="54">
        <f>IF(_imp!$C$3665="","",INDEX(_imp!$H$4:$H$4503,_imp!$C$3665))</f>
        <v/>
      </c>
      <c r="F3663" s="54">
        <f>IF(_imp!$C$3665="","",INDEX(_imp!$I$4:$I$4503,_imp!$C$3665))</f>
        <v/>
      </c>
      <c r="G3663" s="54">
        <f>IF(_imp!$C$3665="","",INDEX(_imp!$J$4:$J$4503,_imp!$C$3665))</f>
        <v/>
      </c>
      <c r="K3663" s="54">
        <f>IF(_imp!$C$3665="","",INDEX(_imp!$K$4:$K$4503,_imp!$C$3665))</f>
        <v/>
      </c>
    </row>
    <row r="3664">
      <c r="A3664" s="54">
        <f>IF(_imp!$C$3666="","",INDEX(_imp!$D$4:$D$4503,_imp!$C$3666))</f>
        <v/>
      </c>
      <c r="B3664" s="54">
        <f>IF(_imp!$C$3666="","",INDEX(_imp!$E$4:$E$4503,_imp!$C$3666))</f>
        <v/>
      </c>
      <c r="C3664" s="54">
        <f>IF(_imp!$C$3666="","",INDEX(_imp!$F$4:$F$4503,_imp!$C$3666))</f>
        <v/>
      </c>
      <c r="D3664" s="54">
        <f>IF(_imp!$C$3666="","",INDEX(_imp!$G$4:$G$4503,_imp!$C$3666))</f>
        <v/>
      </c>
      <c r="E3664" s="54">
        <f>IF(_imp!$C$3666="","",INDEX(_imp!$H$4:$H$4503,_imp!$C$3666))</f>
        <v/>
      </c>
      <c r="F3664" s="54">
        <f>IF(_imp!$C$3666="","",INDEX(_imp!$I$4:$I$4503,_imp!$C$3666))</f>
        <v/>
      </c>
      <c r="G3664" s="54">
        <f>IF(_imp!$C$3666="","",INDEX(_imp!$J$4:$J$4503,_imp!$C$3666))</f>
        <v/>
      </c>
      <c r="K3664" s="54">
        <f>IF(_imp!$C$3666="","",INDEX(_imp!$K$4:$K$4503,_imp!$C$3666))</f>
        <v/>
      </c>
    </row>
    <row r="3665">
      <c r="A3665" s="54">
        <f>IF(_imp!$C$3667="","",INDEX(_imp!$D$4:$D$4503,_imp!$C$3667))</f>
        <v/>
      </c>
      <c r="B3665" s="54">
        <f>IF(_imp!$C$3667="","",INDEX(_imp!$E$4:$E$4503,_imp!$C$3667))</f>
        <v/>
      </c>
      <c r="C3665" s="54">
        <f>IF(_imp!$C$3667="","",INDEX(_imp!$F$4:$F$4503,_imp!$C$3667))</f>
        <v/>
      </c>
      <c r="D3665" s="54">
        <f>IF(_imp!$C$3667="","",INDEX(_imp!$G$4:$G$4503,_imp!$C$3667))</f>
        <v/>
      </c>
      <c r="E3665" s="54">
        <f>IF(_imp!$C$3667="","",INDEX(_imp!$H$4:$H$4503,_imp!$C$3667))</f>
        <v/>
      </c>
      <c r="F3665" s="54">
        <f>IF(_imp!$C$3667="","",INDEX(_imp!$I$4:$I$4503,_imp!$C$3667))</f>
        <v/>
      </c>
      <c r="G3665" s="54">
        <f>IF(_imp!$C$3667="","",INDEX(_imp!$J$4:$J$4503,_imp!$C$3667))</f>
        <v/>
      </c>
      <c r="K3665" s="54">
        <f>IF(_imp!$C$3667="","",INDEX(_imp!$K$4:$K$4503,_imp!$C$3667))</f>
        <v/>
      </c>
    </row>
    <row r="3666">
      <c r="A3666" s="54">
        <f>IF(_imp!$C$3668="","",INDEX(_imp!$D$4:$D$4503,_imp!$C$3668))</f>
        <v/>
      </c>
      <c r="B3666" s="54">
        <f>IF(_imp!$C$3668="","",INDEX(_imp!$E$4:$E$4503,_imp!$C$3668))</f>
        <v/>
      </c>
      <c r="C3666" s="54">
        <f>IF(_imp!$C$3668="","",INDEX(_imp!$F$4:$F$4503,_imp!$C$3668))</f>
        <v/>
      </c>
      <c r="D3666" s="54">
        <f>IF(_imp!$C$3668="","",INDEX(_imp!$G$4:$G$4503,_imp!$C$3668))</f>
        <v/>
      </c>
      <c r="E3666" s="54">
        <f>IF(_imp!$C$3668="","",INDEX(_imp!$H$4:$H$4503,_imp!$C$3668))</f>
        <v/>
      </c>
      <c r="F3666" s="54">
        <f>IF(_imp!$C$3668="","",INDEX(_imp!$I$4:$I$4503,_imp!$C$3668))</f>
        <v/>
      </c>
      <c r="G3666" s="54">
        <f>IF(_imp!$C$3668="","",INDEX(_imp!$J$4:$J$4503,_imp!$C$3668))</f>
        <v/>
      </c>
      <c r="K3666" s="54">
        <f>IF(_imp!$C$3668="","",INDEX(_imp!$K$4:$K$4503,_imp!$C$3668))</f>
        <v/>
      </c>
    </row>
    <row r="3667">
      <c r="A3667" s="54">
        <f>IF(_imp!$C$3669="","",INDEX(_imp!$D$4:$D$4503,_imp!$C$3669))</f>
        <v/>
      </c>
      <c r="B3667" s="54">
        <f>IF(_imp!$C$3669="","",INDEX(_imp!$E$4:$E$4503,_imp!$C$3669))</f>
        <v/>
      </c>
      <c r="C3667" s="54">
        <f>IF(_imp!$C$3669="","",INDEX(_imp!$F$4:$F$4503,_imp!$C$3669))</f>
        <v/>
      </c>
      <c r="D3667" s="54">
        <f>IF(_imp!$C$3669="","",INDEX(_imp!$G$4:$G$4503,_imp!$C$3669))</f>
        <v/>
      </c>
      <c r="E3667" s="54">
        <f>IF(_imp!$C$3669="","",INDEX(_imp!$H$4:$H$4503,_imp!$C$3669))</f>
        <v/>
      </c>
      <c r="F3667" s="54">
        <f>IF(_imp!$C$3669="","",INDEX(_imp!$I$4:$I$4503,_imp!$C$3669))</f>
        <v/>
      </c>
      <c r="G3667" s="54">
        <f>IF(_imp!$C$3669="","",INDEX(_imp!$J$4:$J$4503,_imp!$C$3669))</f>
        <v/>
      </c>
      <c r="K3667" s="54">
        <f>IF(_imp!$C$3669="","",INDEX(_imp!$K$4:$K$4503,_imp!$C$3669))</f>
        <v/>
      </c>
    </row>
    <row r="3668">
      <c r="A3668" s="54">
        <f>IF(_imp!$C$3670="","",INDEX(_imp!$D$4:$D$4503,_imp!$C$3670))</f>
        <v/>
      </c>
      <c r="B3668" s="54">
        <f>IF(_imp!$C$3670="","",INDEX(_imp!$E$4:$E$4503,_imp!$C$3670))</f>
        <v/>
      </c>
      <c r="C3668" s="54">
        <f>IF(_imp!$C$3670="","",INDEX(_imp!$F$4:$F$4503,_imp!$C$3670))</f>
        <v/>
      </c>
      <c r="D3668" s="54">
        <f>IF(_imp!$C$3670="","",INDEX(_imp!$G$4:$G$4503,_imp!$C$3670))</f>
        <v/>
      </c>
      <c r="E3668" s="54">
        <f>IF(_imp!$C$3670="","",INDEX(_imp!$H$4:$H$4503,_imp!$C$3670))</f>
        <v/>
      </c>
      <c r="F3668" s="54">
        <f>IF(_imp!$C$3670="","",INDEX(_imp!$I$4:$I$4503,_imp!$C$3670))</f>
        <v/>
      </c>
      <c r="G3668" s="54">
        <f>IF(_imp!$C$3670="","",INDEX(_imp!$J$4:$J$4503,_imp!$C$3670))</f>
        <v/>
      </c>
      <c r="K3668" s="54">
        <f>IF(_imp!$C$3670="","",INDEX(_imp!$K$4:$K$4503,_imp!$C$3670))</f>
        <v/>
      </c>
    </row>
    <row r="3669">
      <c r="A3669" s="54">
        <f>IF(_imp!$C$3671="","",INDEX(_imp!$D$4:$D$4503,_imp!$C$3671))</f>
        <v/>
      </c>
      <c r="B3669" s="54">
        <f>IF(_imp!$C$3671="","",INDEX(_imp!$E$4:$E$4503,_imp!$C$3671))</f>
        <v/>
      </c>
      <c r="C3669" s="54">
        <f>IF(_imp!$C$3671="","",INDEX(_imp!$F$4:$F$4503,_imp!$C$3671))</f>
        <v/>
      </c>
      <c r="D3669" s="54">
        <f>IF(_imp!$C$3671="","",INDEX(_imp!$G$4:$G$4503,_imp!$C$3671))</f>
        <v/>
      </c>
      <c r="E3669" s="54">
        <f>IF(_imp!$C$3671="","",INDEX(_imp!$H$4:$H$4503,_imp!$C$3671))</f>
        <v/>
      </c>
      <c r="F3669" s="54">
        <f>IF(_imp!$C$3671="","",INDEX(_imp!$I$4:$I$4503,_imp!$C$3671))</f>
        <v/>
      </c>
      <c r="G3669" s="54">
        <f>IF(_imp!$C$3671="","",INDEX(_imp!$J$4:$J$4503,_imp!$C$3671))</f>
        <v/>
      </c>
      <c r="K3669" s="54">
        <f>IF(_imp!$C$3671="","",INDEX(_imp!$K$4:$K$4503,_imp!$C$3671))</f>
        <v/>
      </c>
    </row>
    <row r="3670">
      <c r="A3670" s="54">
        <f>IF(_imp!$C$3672="","",INDEX(_imp!$D$4:$D$4503,_imp!$C$3672))</f>
        <v/>
      </c>
      <c r="B3670" s="54">
        <f>IF(_imp!$C$3672="","",INDEX(_imp!$E$4:$E$4503,_imp!$C$3672))</f>
        <v/>
      </c>
      <c r="C3670" s="54">
        <f>IF(_imp!$C$3672="","",INDEX(_imp!$F$4:$F$4503,_imp!$C$3672))</f>
        <v/>
      </c>
      <c r="D3670" s="54">
        <f>IF(_imp!$C$3672="","",INDEX(_imp!$G$4:$G$4503,_imp!$C$3672))</f>
        <v/>
      </c>
      <c r="E3670" s="54">
        <f>IF(_imp!$C$3672="","",INDEX(_imp!$H$4:$H$4503,_imp!$C$3672))</f>
        <v/>
      </c>
      <c r="F3670" s="54">
        <f>IF(_imp!$C$3672="","",INDEX(_imp!$I$4:$I$4503,_imp!$C$3672))</f>
        <v/>
      </c>
      <c r="G3670" s="54">
        <f>IF(_imp!$C$3672="","",INDEX(_imp!$J$4:$J$4503,_imp!$C$3672))</f>
        <v/>
      </c>
      <c r="K3670" s="54">
        <f>IF(_imp!$C$3672="","",INDEX(_imp!$K$4:$K$4503,_imp!$C$3672))</f>
        <v/>
      </c>
    </row>
    <row r="3671">
      <c r="A3671" s="54">
        <f>IF(_imp!$C$3673="","",INDEX(_imp!$D$4:$D$4503,_imp!$C$3673))</f>
        <v/>
      </c>
      <c r="B3671" s="54">
        <f>IF(_imp!$C$3673="","",INDEX(_imp!$E$4:$E$4503,_imp!$C$3673))</f>
        <v/>
      </c>
      <c r="C3671" s="54">
        <f>IF(_imp!$C$3673="","",INDEX(_imp!$F$4:$F$4503,_imp!$C$3673))</f>
        <v/>
      </c>
      <c r="D3671" s="54">
        <f>IF(_imp!$C$3673="","",INDEX(_imp!$G$4:$G$4503,_imp!$C$3673))</f>
        <v/>
      </c>
      <c r="E3671" s="54">
        <f>IF(_imp!$C$3673="","",INDEX(_imp!$H$4:$H$4503,_imp!$C$3673))</f>
        <v/>
      </c>
      <c r="F3671" s="54">
        <f>IF(_imp!$C$3673="","",INDEX(_imp!$I$4:$I$4503,_imp!$C$3673))</f>
        <v/>
      </c>
      <c r="G3671" s="54">
        <f>IF(_imp!$C$3673="","",INDEX(_imp!$J$4:$J$4503,_imp!$C$3673))</f>
        <v/>
      </c>
      <c r="K3671" s="54">
        <f>IF(_imp!$C$3673="","",INDEX(_imp!$K$4:$K$4503,_imp!$C$3673))</f>
        <v/>
      </c>
    </row>
    <row r="3672">
      <c r="A3672" s="54">
        <f>IF(_imp!$C$3674="","",INDEX(_imp!$D$4:$D$4503,_imp!$C$3674))</f>
        <v/>
      </c>
      <c r="B3672" s="54">
        <f>IF(_imp!$C$3674="","",INDEX(_imp!$E$4:$E$4503,_imp!$C$3674))</f>
        <v/>
      </c>
      <c r="C3672" s="54">
        <f>IF(_imp!$C$3674="","",INDEX(_imp!$F$4:$F$4503,_imp!$C$3674))</f>
        <v/>
      </c>
      <c r="D3672" s="54">
        <f>IF(_imp!$C$3674="","",INDEX(_imp!$G$4:$G$4503,_imp!$C$3674))</f>
        <v/>
      </c>
      <c r="E3672" s="54">
        <f>IF(_imp!$C$3674="","",INDEX(_imp!$H$4:$H$4503,_imp!$C$3674))</f>
        <v/>
      </c>
      <c r="F3672" s="54">
        <f>IF(_imp!$C$3674="","",INDEX(_imp!$I$4:$I$4503,_imp!$C$3674))</f>
        <v/>
      </c>
      <c r="G3672" s="54">
        <f>IF(_imp!$C$3674="","",INDEX(_imp!$J$4:$J$4503,_imp!$C$3674))</f>
        <v/>
      </c>
      <c r="K3672" s="54">
        <f>IF(_imp!$C$3674="","",INDEX(_imp!$K$4:$K$4503,_imp!$C$3674))</f>
        <v/>
      </c>
    </row>
    <row r="3673">
      <c r="A3673" s="54">
        <f>IF(_imp!$C$3675="","",INDEX(_imp!$D$4:$D$4503,_imp!$C$3675))</f>
        <v/>
      </c>
      <c r="B3673" s="54">
        <f>IF(_imp!$C$3675="","",INDEX(_imp!$E$4:$E$4503,_imp!$C$3675))</f>
        <v/>
      </c>
      <c r="C3673" s="54">
        <f>IF(_imp!$C$3675="","",INDEX(_imp!$F$4:$F$4503,_imp!$C$3675))</f>
        <v/>
      </c>
      <c r="D3673" s="54">
        <f>IF(_imp!$C$3675="","",INDEX(_imp!$G$4:$G$4503,_imp!$C$3675))</f>
        <v/>
      </c>
      <c r="E3673" s="54">
        <f>IF(_imp!$C$3675="","",INDEX(_imp!$H$4:$H$4503,_imp!$C$3675))</f>
        <v/>
      </c>
      <c r="F3673" s="54">
        <f>IF(_imp!$C$3675="","",INDEX(_imp!$I$4:$I$4503,_imp!$C$3675))</f>
        <v/>
      </c>
      <c r="G3673" s="54">
        <f>IF(_imp!$C$3675="","",INDEX(_imp!$J$4:$J$4503,_imp!$C$3675))</f>
        <v/>
      </c>
      <c r="K3673" s="54">
        <f>IF(_imp!$C$3675="","",INDEX(_imp!$K$4:$K$4503,_imp!$C$3675))</f>
        <v/>
      </c>
    </row>
    <row r="3674">
      <c r="A3674" s="54">
        <f>IF(_imp!$C$3676="","",INDEX(_imp!$D$4:$D$4503,_imp!$C$3676))</f>
        <v/>
      </c>
      <c r="B3674" s="54">
        <f>IF(_imp!$C$3676="","",INDEX(_imp!$E$4:$E$4503,_imp!$C$3676))</f>
        <v/>
      </c>
      <c r="C3674" s="54">
        <f>IF(_imp!$C$3676="","",INDEX(_imp!$F$4:$F$4503,_imp!$C$3676))</f>
        <v/>
      </c>
      <c r="D3674" s="54">
        <f>IF(_imp!$C$3676="","",INDEX(_imp!$G$4:$G$4503,_imp!$C$3676))</f>
        <v/>
      </c>
      <c r="E3674" s="54">
        <f>IF(_imp!$C$3676="","",INDEX(_imp!$H$4:$H$4503,_imp!$C$3676))</f>
        <v/>
      </c>
      <c r="F3674" s="54">
        <f>IF(_imp!$C$3676="","",INDEX(_imp!$I$4:$I$4503,_imp!$C$3676))</f>
        <v/>
      </c>
      <c r="G3674" s="54">
        <f>IF(_imp!$C$3676="","",INDEX(_imp!$J$4:$J$4503,_imp!$C$3676))</f>
        <v/>
      </c>
      <c r="K3674" s="54">
        <f>IF(_imp!$C$3676="","",INDEX(_imp!$K$4:$K$4503,_imp!$C$3676))</f>
        <v/>
      </c>
    </row>
    <row r="3675">
      <c r="A3675" s="54">
        <f>IF(_imp!$C$3677="","",INDEX(_imp!$D$4:$D$4503,_imp!$C$3677))</f>
        <v/>
      </c>
      <c r="B3675" s="54">
        <f>IF(_imp!$C$3677="","",INDEX(_imp!$E$4:$E$4503,_imp!$C$3677))</f>
        <v/>
      </c>
      <c r="C3675" s="54">
        <f>IF(_imp!$C$3677="","",INDEX(_imp!$F$4:$F$4503,_imp!$C$3677))</f>
        <v/>
      </c>
      <c r="D3675" s="54">
        <f>IF(_imp!$C$3677="","",INDEX(_imp!$G$4:$G$4503,_imp!$C$3677))</f>
        <v/>
      </c>
      <c r="E3675" s="54">
        <f>IF(_imp!$C$3677="","",INDEX(_imp!$H$4:$H$4503,_imp!$C$3677))</f>
        <v/>
      </c>
      <c r="F3675" s="54">
        <f>IF(_imp!$C$3677="","",INDEX(_imp!$I$4:$I$4503,_imp!$C$3677))</f>
        <v/>
      </c>
      <c r="G3675" s="54">
        <f>IF(_imp!$C$3677="","",INDEX(_imp!$J$4:$J$4503,_imp!$C$3677))</f>
        <v/>
      </c>
      <c r="K3675" s="54">
        <f>IF(_imp!$C$3677="","",INDEX(_imp!$K$4:$K$4503,_imp!$C$3677))</f>
        <v/>
      </c>
    </row>
    <row r="3676">
      <c r="A3676" s="54">
        <f>IF(_imp!$C$3678="","",INDEX(_imp!$D$4:$D$4503,_imp!$C$3678))</f>
        <v/>
      </c>
      <c r="B3676" s="54">
        <f>IF(_imp!$C$3678="","",INDEX(_imp!$E$4:$E$4503,_imp!$C$3678))</f>
        <v/>
      </c>
      <c r="C3676" s="54">
        <f>IF(_imp!$C$3678="","",INDEX(_imp!$F$4:$F$4503,_imp!$C$3678))</f>
        <v/>
      </c>
      <c r="D3676" s="54">
        <f>IF(_imp!$C$3678="","",INDEX(_imp!$G$4:$G$4503,_imp!$C$3678))</f>
        <v/>
      </c>
      <c r="E3676" s="54">
        <f>IF(_imp!$C$3678="","",INDEX(_imp!$H$4:$H$4503,_imp!$C$3678))</f>
        <v/>
      </c>
      <c r="F3676" s="54">
        <f>IF(_imp!$C$3678="","",INDEX(_imp!$I$4:$I$4503,_imp!$C$3678))</f>
        <v/>
      </c>
      <c r="G3676" s="54">
        <f>IF(_imp!$C$3678="","",INDEX(_imp!$J$4:$J$4503,_imp!$C$3678))</f>
        <v/>
      </c>
      <c r="K3676" s="54">
        <f>IF(_imp!$C$3678="","",INDEX(_imp!$K$4:$K$4503,_imp!$C$3678))</f>
        <v/>
      </c>
    </row>
    <row r="3677">
      <c r="A3677" s="54">
        <f>IF(_imp!$C$3679="","",INDEX(_imp!$D$4:$D$4503,_imp!$C$3679))</f>
        <v/>
      </c>
      <c r="B3677" s="54">
        <f>IF(_imp!$C$3679="","",INDEX(_imp!$E$4:$E$4503,_imp!$C$3679))</f>
        <v/>
      </c>
      <c r="C3677" s="54">
        <f>IF(_imp!$C$3679="","",INDEX(_imp!$F$4:$F$4503,_imp!$C$3679))</f>
        <v/>
      </c>
      <c r="D3677" s="54">
        <f>IF(_imp!$C$3679="","",INDEX(_imp!$G$4:$G$4503,_imp!$C$3679))</f>
        <v/>
      </c>
      <c r="E3677" s="54">
        <f>IF(_imp!$C$3679="","",INDEX(_imp!$H$4:$H$4503,_imp!$C$3679))</f>
        <v/>
      </c>
      <c r="F3677" s="54">
        <f>IF(_imp!$C$3679="","",INDEX(_imp!$I$4:$I$4503,_imp!$C$3679))</f>
        <v/>
      </c>
      <c r="G3677" s="54">
        <f>IF(_imp!$C$3679="","",INDEX(_imp!$J$4:$J$4503,_imp!$C$3679))</f>
        <v/>
      </c>
      <c r="K3677" s="54">
        <f>IF(_imp!$C$3679="","",INDEX(_imp!$K$4:$K$4503,_imp!$C$3679))</f>
        <v/>
      </c>
    </row>
    <row r="3678">
      <c r="A3678" s="54">
        <f>IF(_imp!$C$3680="","",INDEX(_imp!$D$4:$D$4503,_imp!$C$3680))</f>
        <v/>
      </c>
      <c r="B3678" s="54">
        <f>IF(_imp!$C$3680="","",INDEX(_imp!$E$4:$E$4503,_imp!$C$3680))</f>
        <v/>
      </c>
      <c r="C3678" s="54">
        <f>IF(_imp!$C$3680="","",INDEX(_imp!$F$4:$F$4503,_imp!$C$3680))</f>
        <v/>
      </c>
      <c r="D3678" s="54">
        <f>IF(_imp!$C$3680="","",INDEX(_imp!$G$4:$G$4503,_imp!$C$3680))</f>
        <v/>
      </c>
      <c r="E3678" s="54">
        <f>IF(_imp!$C$3680="","",INDEX(_imp!$H$4:$H$4503,_imp!$C$3680))</f>
        <v/>
      </c>
      <c r="F3678" s="54">
        <f>IF(_imp!$C$3680="","",INDEX(_imp!$I$4:$I$4503,_imp!$C$3680))</f>
        <v/>
      </c>
      <c r="G3678" s="54">
        <f>IF(_imp!$C$3680="","",INDEX(_imp!$J$4:$J$4503,_imp!$C$3680))</f>
        <v/>
      </c>
      <c r="K3678" s="54">
        <f>IF(_imp!$C$3680="","",INDEX(_imp!$K$4:$K$4503,_imp!$C$3680))</f>
        <v/>
      </c>
    </row>
    <row r="3679">
      <c r="A3679" s="54">
        <f>IF(_imp!$C$3681="","",INDEX(_imp!$D$4:$D$4503,_imp!$C$3681))</f>
        <v/>
      </c>
      <c r="B3679" s="54">
        <f>IF(_imp!$C$3681="","",INDEX(_imp!$E$4:$E$4503,_imp!$C$3681))</f>
        <v/>
      </c>
      <c r="C3679" s="54">
        <f>IF(_imp!$C$3681="","",INDEX(_imp!$F$4:$F$4503,_imp!$C$3681))</f>
        <v/>
      </c>
      <c r="D3679" s="54">
        <f>IF(_imp!$C$3681="","",INDEX(_imp!$G$4:$G$4503,_imp!$C$3681))</f>
        <v/>
      </c>
      <c r="E3679" s="54">
        <f>IF(_imp!$C$3681="","",INDEX(_imp!$H$4:$H$4503,_imp!$C$3681))</f>
        <v/>
      </c>
      <c r="F3679" s="54">
        <f>IF(_imp!$C$3681="","",INDEX(_imp!$I$4:$I$4503,_imp!$C$3681))</f>
        <v/>
      </c>
      <c r="G3679" s="54">
        <f>IF(_imp!$C$3681="","",INDEX(_imp!$J$4:$J$4503,_imp!$C$3681))</f>
        <v/>
      </c>
      <c r="K3679" s="54">
        <f>IF(_imp!$C$3681="","",INDEX(_imp!$K$4:$K$4503,_imp!$C$3681))</f>
        <v/>
      </c>
    </row>
    <row r="3680">
      <c r="A3680" s="54">
        <f>IF(_imp!$C$3682="","",INDEX(_imp!$D$4:$D$4503,_imp!$C$3682))</f>
        <v/>
      </c>
      <c r="B3680" s="54">
        <f>IF(_imp!$C$3682="","",INDEX(_imp!$E$4:$E$4503,_imp!$C$3682))</f>
        <v/>
      </c>
      <c r="C3680" s="54">
        <f>IF(_imp!$C$3682="","",INDEX(_imp!$F$4:$F$4503,_imp!$C$3682))</f>
        <v/>
      </c>
      <c r="D3680" s="54">
        <f>IF(_imp!$C$3682="","",INDEX(_imp!$G$4:$G$4503,_imp!$C$3682))</f>
        <v/>
      </c>
      <c r="E3680" s="54">
        <f>IF(_imp!$C$3682="","",INDEX(_imp!$H$4:$H$4503,_imp!$C$3682))</f>
        <v/>
      </c>
      <c r="F3680" s="54">
        <f>IF(_imp!$C$3682="","",INDEX(_imp!$I$4:$I$4503,_imp!$C$3682))</f>
        <v/>
      </c>
      <c r="G3680" s="54">
        <f>IF(_imp!$C$3682="","",INDEX(_imp!$J$4:$J$4503,_imp!$C$3682))</f>
        <v/>
      </c>
      <c r="K3680" s="54">
        <f>IF(_imp!$C$3682="","",INDEX(_imp!$K$4:$K$4503,_imp!$C$3682))</f>
        <v/>
      </c>
    </row>
    <row r="3681">
      <c r="A3681" s="54">
        <f>IF(_imp!$C$3683="","",INDEX(_imp!$D$4:$D$4503,_imp!$C$3683))</f>
        <v/>
      </c>
      <c r="B3681" s="54">
        <f>IF(_imp!$C$3683="","",INDEX(_imp!$E$4:$E$4503,_imp!$C$3683))</f>
        <v/>
      </c>
      <c r="C3681" s="54">
        <f>IF(_imp!$C$3683="","",INDEX(_imp!$F$4:$F$4503,_imp!$C$3683))</f>
        <v/>
      </c>
      <c r="D3681" s="54">
        <f>IF(_imp!$C$3683="","",INDEX(_imp!$G$4:$G$4503,_imp!$C$3683))</f>
        <v/>
      </c>
      <c r="E3681" s="54">
        <f>IF(_imp!$C$3683="","",INDEX(_imp!$H$4:$H$4503,_imp!$C$3683))</f>
        <v/>
      </c>
      <c r="F3681" s="54">
        <f>IF(_imp!$C$3683="","",INDEX(_imp!$I$4:$I$4503,_imp!$C$3683))</f>
        <v/>
      </c>
      <c r="G3681" s="54">
        <f>IF(_imp!$C$3683="","",INDEX(_imp!$J$4:$J$4503,_imp!$C$3683))</f>
        <v/>
      </c>
      <c r="K3681" s="54">
        <f>IF(_imp!$C$3683="","",INDEX(_imp!$K$4:$K$4503,_imp!$C$3683))</f>
        <v/>
      </c>
    </row>
    <row r="3682">
      <c r="A3682" s="54">
        <f>IF(_imp!$C$3684="","",INDEX(_imp!$D$4:$D$4503,_imp!$C$3684))</f>
        <v/>
      </c>
      <c r="B3682" s="54">
        <f>IF(_imp!$C$3684="","",INDEX(_imp!$E$4:$E$4503,_imp!$C$3684))</f>
        <v/>
      </c>
      <c r="C3682" s="54">
        <f>IF(_imp!$C$3684="","",INDEX(_imp!$F$4:$F$4503,_imp!$C$3684))</f>
        <v/>
      </c>
      <c r="D3682" s="54">
        <f>IF(_imp!$C$3684="","",INDEX(_imp!$G$4:$G$4503,_imp!$C$3684))</f>
        <v/>
      </c>
      <c r="E3682" s="54">
        <f>IF(_imp!$C$3684="","",INDEX(_imp!$H$4:$H$4503,_imp!$C$3684))</f>
        <v/>
      </c>
      <c r="F3682" s="54">
        <f>IF(_imp!$C$3684="","",INDEX(_imp!$I$4:$I$4503,_imp!$C$3684))</f>
        <v/>
      </c>
      <c r="G3682" s="54">
        <f>IF(_imp!$C$3684="","",INDEX(_imp!$J$4:$J$4503,_imp!$C$3684))</f>
        <v/>
      </c>
      <c r="K3682" s="54">
        <f>IF(_imp!$C$3684="","",INDEX(_imp!$K$4:$K$4503,_imp!$C$3684))</f>
        <v/>
      </c>
    </row>
    <row r="3683">
      <c r="A3683" s="54">
        <f>IF(_imp!$C$3685="","",INDEX(_imp!$D$4:$D$4503,_imp!$C$3685))</f>
        <v/>
      </c>
      <c r="B3683" s="54">
        <f>IF(_imp!$C$3685="","",INDEX(_imp!$E$4:$E$4503,_imp!$C$3685))</f>
        <v/>
      </c>
      <c r="C3683" s="54">
        <f>IF(_imp!$C$3685="","",INDEX(_imp!$F$4:$F$4503,_imp!$C$3685))</f>
        <v/>
      </c>
      <c r="D3683" s="54">
        <f>IF(_imp!$C$3685="","",INDEX(_imp!$G$4:$G$4503,_imp!$C$3685))</f>
        <v/>
      </c>
      <c r="E3683" s="54">
        <f>IF(_imp!$C$3685="","",INDEX(_imp!$H$4:$H$4503,_imp!$C$3685))</f>
        <v/>
      </c>
      <c r="F3683" s="54">
        <f>IF(_imp!$C$3685="","",INDEX(_imp!$I$4:$I$4503,_imp!$C$3685))</f>
        <v/>
      </c>
      <c r="G3683" s="54">
        <f>IF(_imp!$C$3685="","",INDEX(_imp!$J$4:$J$4503,_imp!$C$3685))</f>
        <v/>
      </c>
      <c r="K3683" s="54">
        <f>IF(_imp!$C$3685="","",INDEX(_imp!$K$4:$K$4503,_imp!$C$3685))</f>
        <v/>
      </c>
    </row>
    <row r="3684">
      <c r="A3684" s="54">
        <f>IF(_imp!$C$3686="","",INDEX(_imp!$D$4:$D$4503,_imp!$C$3686))</f>
        <v/>
      </c>
      <c r="B3684" s="54">
        <f>IF(_imp!$C$3686="","",INDEX(_imp!$E$4:$E$4503,_imp!$C$3686))</f>
        <v/>
      </c>
      <c r="C3684" s="54">
        <f>IF(_imp!$C$3686="","",INDEX(_imp!$F$4:$F$4503,_imp!$C$3686))</f>
        <v/>
      </c>
      <c r="D3684" s="54">
        <f>IF(_imp!$C$3686="","",INDEX(_imp!$G$4:$G$4503,_imp!$C$3686))</f>
        <v/>
      </c>
      <c r="E3684" s="54">
        <f>IF(_imp!$C$3686="","",INDEX(_imp!$H$4:$H$4503,_imp!$C$3686))</f>
        <v/>
      </c>
      <c r="F3684" s="54">
        <f>IF(_imp!$C$3686="","",INDEX(_imp!$I$4:$I$4503,_imp!$C$3686))</f>
        <v/>
      </c>
      <c r="G3684" s="54">
        <f>IF(_imp!$C$3686="","",INDEX(_imp!$J$4:$J$4503,_imp!$C$3686))</f>
        <v/>
      </c>
      <c r="K3684" s="54">
        <f>IF(_imp!$C$3686="","",INDEX(_imp!$K$4:$K$4503,_imp!$C$3686))</f>
        <v/>
      </c>
    </row>
    <row r="3685">
      <c r="A3685" s="54">
        <f>IF(_imp!$C$3687="","",INDEX(_imp!$D$4:$D$4503,_imp!$C$3687))</f>
        <v/>
      </c>
      <c r="B3685" s="54">
        <f>IF(_imp!$C$3687="","",INDEX(_imp!$E$4:$E$4503,_imp!$C$3687))</f>
        <v/>
      </c>
      <c r="C3685" s="54">
        <f>IF(_imp!$C$3687="","",INDEX(_imp!$F$4:$F$4503,_imp!$C$3687))</f>
        <v/>
      </c>
      <c r="D3685" s="54">
        <f>IF(_imp!$C$3687="","",INDEX(_imp!$G$4:$G$4503,_imp!$C$3687))</f>
        <v/>
      </c>
      <c r="E3685" s="54">
        <f>IF(_imp!$C$3687="","",INDEX(_imp!$H$4:$H$4503,_imp!$C$3687))</f>
        <v/>
      </c>
      <c r="F3685" s="54">
        <f>IF(_imp!$C$3687="","",INDEX(_imp!$I$4:$I$4503,_imp!$C$3687))</f>
        <v/>
      </c>
      <c r="G3685" s="54">
        <f>IF(_imp!$C$3687="","",INDEX(_imp!$J$4:$J$4503,_imp!$C$3687))</f>
        <v/>
      </c>
      <c r="K3685" s="54">
        <f>IF(_imp!$C$3687="","",INDEX(_imp!$K$4:$K$4503,_imp!$C$3687))</f>
        <v/>
      </c>
    </row>
    <row r="3686">
      <c r="A3686" s="54">
        <f>IF(_imp!$C$3688="","",INDEX(_imp!$D$4:$D$4503,_imp!$C$3688))</f>
        <v/>
      </c>
      <c r="B3686" s="54">
        <f>IF(_imp!$C$3688="","",INDEX(_imp!$E$4:$E$4503,_imp!$C$3688))</f>
        <v/>
      </c>
      <c r="C3686" s="54">
        <f>IF(_imp!$C$3688="","",INDEX(_imp!$F$4:$F$4503,_imp!$C$3688))</f>
        <v/>
      </c>
      <c r="D3686" s="54">
        <f>IF(_imp!$C$3688="","",INDEX(_imp!$G$4:$G$4503,_imp!$C$3688))</f>
        <v/>
      </c>
      <c r="E3686" s="54">
        <f>IF(_imp!$C$3688="","",INDEX(_imp!$H$4:$H$4503,_imp!$C$3688))</f>
        <v/>
      </c>
      <c r="F3686" s="54">
        <f>IF(_imp!$C$3688="","",INDEX(_imp!$I$4:$I$4503,_imp!$C$3688))</f>
        <v/>
      </c>
      <c r="G3686" s="54">
        <f>IF(_imp!$C$3688="","",INDEX(_imp!$J$4:$J$4503,_imp!$C$3688))</f>
        <v/>
      </c>
      <c r="K3686" s="54">
        <f>IF(_imp!$C$3688="","",INDEX(_imp!$K$4:$K$4503,_imp!$C$3688))</f>
        <v/>
      </c>
    </row>
    <row r="3687">
      <c r="A3687" s="54">
        <f>IF(_imp!$C$3689="","",INDEX(_imp!$D$4:$D$4503,_imp!$C$3689))</f>
        <v/>
      </c>
      <c r="B3687" s="54">
        <f>IF(_imp!$C$3689="","",INDEX(_imp!$E$4:$E$4503,_imp!$C$3689))</f>
        <v/>
      </c>
      <c r="C3687" s="54">
        <f>IF(_imp!$C$3689="","",INDEX(_imp!$F$4:$F$4503,_imp!$C$3689))</f>
        <v/>
      </c>
      <c r="D3687" s="54">
        <f>IF(_imp!$C$3689="","",INDEX(_imp!$G$4:$G$4503,_imp!$C$3689))</f>
        <v/>
      </c>
      <c r="E3687" s="54">
        <f>IF(_imp!$C$3689="","",INDEX(_imp!$H$4:$H$4503,_imp!$C$3689))</f>
        <v/>
      </c>
      <c r="F3687" s="54">
        <f>IF(_imp!$C$3689="","",INDEX(_imp!$I$4:$I$4503,_imp!$C$3689))</f>
        <v/>
      </c>
      <c r="G3687" s="54">
        <f>IF(_imp!$C$3689="","",INDEX(_imp!$J$4:$J$4503,_imp!$C$3689))</f>
        <v/>
      </c>
      <c r="K3687" s="54">
        <f>IF(_imp!$C$3689="","",INDEX(_imp!$K$4:$K$4503,_imp!$C$3689))</f>
        <v/>
      </c>
    </row>
    <row r="3688">
      <c r="A3688" s="54">
        <f>IF(_imp!$C$3690="","",INDEX(_imp!$D$4:$D$4503,_imp!$C$3690))</f>
        <v/>
      </c>
      <c r="B3688" s="54">
        <f>IF(_imp!$C$3690="","",INDEX(_imp!$E$4:$E$4503,_imp!$C$3690))</f>
        <v/>
      </c>
      <c r="C3688" s="54">
        <f>IF(_imp!$C$3690="","",INDEX(_imp!$F$4:$F$4503,_imp!$C$3690))</f>
        <v/>
      </c>
      <c r="D3688" s="54">
        <f>IF(_imp!$C$3690="","",INDEX(_imp!$G$4:$G$4503,_imp!$C$3690))</f>
        <v/>
      </c>
      <c r="E3688" s="54">
        <f>IF(_imp!$C$3690="","",INDEX(_imp!$H$4:$H$4503,_imp!$C$3690))</f>
        <v/>
      </c>
      <c r="F3688" s="54">
        <f>IF(_imp!$C$3690="","",INDEX(_imp!$I$4:$I$4503,_imp!$C$3690))</f>
        <v/>
      </c>
      <c r="G3688" s="54">
        <f>IF(_imp!$C$3690="","",INDEX(_imp!$J$4:$J$4503,_imp!$C$3690))</f>
        <v/>
      </c>
      <c r="K3688" s="54">
        <f>IF(_imp!$C$3690="","",INDEX(_imp!$K$4:$K$4503,_imp!$C$3690))</f>
        <v/>
      </c>
    </row>
    <row r="3689">
      <c r="A3689" s="54">
        <f>IF(_imp!$C$3691="","",INDEX(_imp!$D$4:$D$4503,_imp!$C$3691))</f>
        <v/>
      </c>
      <c r="B3689" s="54">
        <f>IF(_imp!$C$3691="","",INDEX(_imp!$E$4:$E$4503,_imp!$C$3691))</f>
        <v/>
      </c>
      <c r="C3689" s="54">
        <f>IF(_imp!$C$3691="","",INDEX(_imp!$F$4:$F$4503,_imp!$C$3691))</f>
        <v/>
      </c>
      <c r="D3689" s="54">
        <f>IF(_imp!$C$3691="","",INDEX(_imp!$G$4:$G$4503,_imp!$C$3691))</f>
        <v/>
      </c>
      <c r="E3689" s="54">
        <f>IF(_imp!$C$3691="","",INDEX(_imp!$H$4:$H$4503,_imp!$C$3691))</f>
        <v/>
      </c>
      <c r="F3689" s="54">
        <f>IF(_imp!$C$3691="","",INDEX(_imp!$I$4:$I$4503,_imp!$C$3691))</f>
        <v/>
      </c>
      <c r="G3689" s="54">
        <f>IF(_imp!$C$3691="","",INDEX(_imp!$J$4:$J$4503,_imp!$C$3691))</f>
        <v/>
      </c>
      <c r="K3689" s="54">
        <f>IF(_imp!$C$3691="","",INDEX(_imp!$K$4:$K$4503,_imp!$C$3691))</f>
        <v/>
      </c>
    </row>
    <row r="3690">
      <c r="A3690" s="54">
        <f>IF(_imp!$C$3692="","",INDEX(_imp!$D$4:$D$4503,_imp!$C$3692))</f>
        <v/>
      </c>
      <c r="B3690" s="54">
        <f>IF(_imp!$C$3692="","",INDEX(_imp!$E$4:$E$4503,_imp!$C$3692))</f>
        <v/>
      </c>
      <c r="C3690" s="54">
        <f>IF(_imp!$C$3692="","",INDEX(_imp!$F$4:$F$4503,_imp!$C$3692))</f>
        <v/>
      </c>
      <c r="D3690" s="54">
        <f>IF(_imp!$C$3692="","",INDEX(_imp!$G$4:$G$4503,_imp!$C$3692))</f>
        <v/>
      </c>
      <c r="E3690" s="54">
        <f>IF(_imp!$C$3692="","",INDEX(_imp!$H$4:$H$4503,_imp!$C$3692))</f>
        <v/>
      </c>
      <c r="F3690" s="54">
        <f>IF(_imp!$C$3692="","",INDEX(_imp!$I$4:$I$4503,_imp!$C$3692))</f>
        <v/>
      </c>
      <c r="G3690" s="54">
        <f>IF(_imp!$C$3692="","",INDEX(_imp!$J$4:$J$4503,_imp!$C$3692))</f>
        <v/>
      </c>
      <c r="K3690" s="54">
        <f>IF(_imp!$C$3692="","",INDEX(_imp!$K$4:$K$4503,_imp!$C$3692))</f>
        <v/>
      </c>
    </row>
    <row r="3691">
      <c r="A3691" s="54">
        <f>IF(_imp!$C$3693="","",INDEX(_imp!$D$4:$D$4503,_imp!$C$3693))</f>
        <v/>
      </c>
      <c r="B3691" s="54">
        <f>IF(_imp!$C$3693="","",INDEX(_imp!$E$4:$E$4503,_imp!$C$3693))</f>
        <v/>
      </c>
      <c r="C3691" s="54">
        <f>IF(_imp!$C$3693="","",INDEX(_imp!$F$4:$F$4503,_imp!$C$3693))</f>
        <v/>
      </c>
      <c r="D3691" s="54">
        <f>IF(_imp!$C$3693="","",INDEX(_imp!$G$4:$G$4503,_imp!$C$3693))</f>
        <v/>
      </c>
      <c r="E3691" s="54">
        <f>IF(_imp!$C$3693="","",INDEX(_imp!$H$4:$H$4503,_imp!$C$3693))</f>
        <v/>
      </c>
      <c r="F3691" s="54">
        <f>IF(_imp!$C$3693="","",INDEX(_imp!$I$4:$I$4503,_imp!$C$3693))</f>
        <v/>
      </c>
      <c r="G3691" s="54">
        <f>IF(_imp!$C$3693="","",INDEX(_imp!$J$4:$J$4503,_imp!$C$3693))</f>
        <v/>
      </c>
      <c r="K3691" s="54">
        <f>IF(_imp!$C$3693="","",INDEX(_imp!$K$4:$K$4503,_imp!$C$3693))</f>
        <v/>
      </c>
    </row>
    <row r="3692">
      <c r="A3692" s="54">
        <f>IF(_imp!$C$3694="","",INDEX(_imp!$D$4:$D$4503,_imp!$C$3694))</f>
        <v/>
      </c>
      <c r="B3692" s="54">
        <f>IF(_imp!$C$3694="","",INDEX(_imp!$E$4:$E$4503,_imp!$C$3694))</f>
        <v/>
      </c>
      <c r="C3692" s="54">
        <f>IF(_imp!$C$3694="","",INDEX(_imp!$F$4:$F$4503,_imp!$C$3694))</f>
        <v/>
      </c>
      <c r="D3692" s="54">
        <f>IF(_imp!$C$3694="","",INDEX(_imp!$G$4:$G$4503,_imp!$C$3694))</f>
        <v/>
      </c>
      <c r="E3692" s="54">
        <f>IF(_imp!$C$3694="","",INDEX(_imp!$H$4:$H$4503,_imp!$C$3694))</f>
        <v/>
      </c>
      <c r="F3692" s="54">
        <f>IF(_imp!$C$3694="","",INDEX(_imp!$I$4:$I$4503,_imp!$C$3694))</f>
        <v/>
      </c>
      <c r="G3692" s="54">
        <f>IF(_imp!$C$3694="","",INDEX(_imp!$J$4:$J$4503,_imp!$C$3694))</f>
        <v/>
      </c>
      <c r="K3692" s="54">
        <f>IF(_imp!$C$3694="","",INDEX(_imp!$K$4:$K$4503,_imp!$C$3694))</f>
        <v/>
      </c>
    </row>
    <row r="3693">
      <c r="A3693" s="54">
        <f>IF(_imp!$C$3695="","",INDEX(_imp!$D$4:$D$4503,_imp!$C$3695))</f>
        <v/>
      </c>
      <c r="B3693" s="54">
        <f>IF(_imp!$C$3695="","",INDEX(_imp!$E$4:$E$4503,_imp!$C$3695))</f>
        <v/>
      </c>
      <c r="C3693" s="54">
        <f>IF(_imp!$C$3695="","",INDEX(_imp!$F$4:$F$4503,_imp!$C$3695))</f>
        <v/>
      </c>
      <c r="D3693" s="54">
        <f>IF(_imp!$C$3695="","",INDEX(_imp!$G$4:$G$4503,_imp!$C$3695))</f>
        <v/>
      </c>
      <c r="E3693" s="54">
        <f>IF(_imp!$C$3695="","",INDEX(_imp!$H$4:$H$4503,_imp!$C$3695))</f>
        <v/>
      </c>
      <c r="F3693" s="54">
        <f>IF(_imp!$C$3695="","",INDEX(_imp!$I$4:$I$4503,_imp!$C$3695))</f>
        <v/>
      </c>
      <c r="G3693" s="54">
        <f>IF(_imp!$C$3695="","",INDEX(_imp!$J$4:$J$4503,_imp!$C$3695))</f>
        <v/>
      </c>
      <c r="K3693" s="54">
        <f>IF(_imp!$C$3695="","",INDEX(_imp!$K$4:$K$4503,_imp!$C$3695))</f>
        <v/>
      </c>
    </row>
    <row r="3694">
      <c r="A3694" s="54">
        <f>IF(_imp!$C$3696="","",INDEX(_imp!$D$4:$D$4503,_imp!$C$3696))</f>
        <v/>
      </c>
      <c r="B3694" s="54">
        <f>IF(_imp!$C$3696="","",INDEX(_imp!$E$4:$E$4503,_imp!$C$3696))</f>
        <v/>
      </c>
      <c r="C3694" s="54">
        <f>IF(_imp!$C$3696="","",INDEX(_imp!$F$4:$F$4503,_imp!$C$3696))</f>
        <v/>
      </c>
      <c r="D3694" s="54">
        <f>IF(_imp!$C$3696="","",INDEX(_imp!$G$4:$G$4503,_imp!$C$3696))</f>
        <v/>
      </c>
      <c r="E3694" s="54">
        <f>IF(_imp!$C$3696="","",INDEX(_imp!$H$4:$H$4503,_imp!$C$3696))</f>
        <v/>
      </c>
      <c r="F3694" s="54">
        <f>IF(_imp!$C$3696="","",INDEX(_imp!$I$4:$I$4503,_imp!$C$3696))</f>
        <v/>
      </c>
      <c r="G3694" s="54">
        <f>IF(_imp!$C$3696="","",INDEX(_imp!$J$4:$J$4503,_imp!$C$3696))</f>
        <v/>
      </c>
      <c r="K3694" s="54">
        <f>IF(_imp!$C$3696="","",INDEX(_imp!$K$4:$K$4503,_imp!$C$3696))</f>
        <v/>
      </c>
    </row>
    <row r="3695">
      <c r="A3695" s="54">
        <f>IF(_imp!$C$3697="","",INDEX(_imp!$D$4:$D$4503,_imp!$C$3697))</f>
        <v/>
      </c>
      <c r="B3695" s="54">
        <f>IF(_imp!$C$3697="","",INDEX(_imp!$E$4:$E$4503,_imp!$C$3697))</f>
        <v/>
      </c>
      <c r="C3695" s="54">
        <f>IF(_imp!$C$3697="","",INDEX(_imp!$F$4:$F$4503,_imp!$C$3697))</f>
        <v/>
      </c>
      <c r="D3695" s="54">
        <f>IF(_imp!$C$3697="","",INDEX(_imp!$G$4:$G$4503,_imp!$C$3697))</f>
        <v/>
      </c>
      <c r="E3695" s="54">
        <f>IF(_imp!$C$3697="","",INDEX(_imp!$H$4:$H$4503,_imp!$C$3697))</f>
        <v/>
      </c>
      <c r="F3695" s="54">
        <f>IF(_imp!$C$3697="","",INDEX(_imp!$I$4:$I$4503,_imp!$C$3697))</f>
        <v/>
      </c>
      <c r="G3695" s="54">
        <f>IF(_imp!$C$3697="","",INDEX(_imp!$J$4:$J$4503,_imp!$C$3697))</f>
        <v/>
      </c>
      <c r="K3695" s="54">
        <f>IF(_imp!$C$3697="","",INDEX(_imp!$K$4:$K$4503,_imp!$C$3697))</f>
        <v/>
      </c>
    </row>
    <row r="3696">
      <c r="A3696" s="54">
        <f>IF(_imp!$C$3698="","",INDEX(_imp!$D$4:$D$4503,_imp!$C$3698))</f>
        <v/>
      </c>
      <c r="B3696" s="54">
        <f>IF(_imp!$C$3698="","",INDEX(_imp!$E$4:$E$4503,_imp!$C$3698))</f>
        <v/>
      </c>
      <c r="C3696" s="54">
        <f>IF(_imp!$C$3698="","",INDEX(_imp!$F$4:$F$4503,_imp!$C$3698))</f>
        <v/>
      </c>
      <c r="D3696" s="54">
        <f>IF(_imp!$C$3698="","",INDEX(_imp!$G$4:$G$4503,_imp!$C$3698))</f>
        <v/>
      </c>
      <c r="E3696" s="54">
        <f>IF(_imp!$C$3698="","",INDEX(_imp!$H$4:$H$4503,_imp!$C$3698))</f>
        <v/>
      </c>
      <c r="F3696" s="54">
        <f>IF(_imp!$C$3698="","",INDEX(_imp!$I$4:$I$4503,_imp!$C$3698))</f>
        <v/>
      </c>
      <c r="G3696" s="54">
        <f>IF(_imp!$C$3698="","",INDEX(_imp!$J$4:$J$4503,_imp!$C$3698))</f>
        <v/>
      </c>
      <c r="K3696" s="54">
        <f>IF(_imp!$C$3698="","",INDEX(_imp!$K$4:$K$4503,_imp!$C$3698))</f>
        <v/>
      </c>
    </row>
    <row r="3697">
      <c r="A3697" s="54">
        <f>IF(_imp!$C$3699="","",INDEX(_imp!$D$4:$D$4503,_imp!$C$3699))</f>
        <v/>
      </c>
      <c r="B3697" s="54">
        <f>IF(_imp!$C$3699="","",INDEX(_imp!$E$4:$E$4503,_imp!$C$3699))</f>
        <v/>
      </c>
      <c r="C3697" s="54">
        <f>IF(_imp!$C$3699="","",INDEX(_imp!$F$4:$F$4503,_imp!$C$3699))</f>
        <v/>
      </c>
      <c r="D3697" s="54">
        <f>IF(_imp!$C$3699="","",INDEX(_imp!$G$4:$G$4503,_imp!$C$3699))</f>
        <v/>
      </c>
      <c r="E3697" s="54">
        <f>IF(_imp!$C$3699="","",INDEX(_imp!$H$4:$H$4503,_imp!$C$3699))</f>
        <v/>
      </c>
      <c r="F3697" s="54">
        <f>IF(_imp!$C$3699="","",INDEX(_imp!$I$4:$I$4503,_imp!$C$3699))</f>
        <v/>
      </c>
      <c r="G3697" s="54">
        <f>IF(_imp!$C$3699="","",INDEX(_imp!$J$4:$J$4503,_imp!$C$3699))</f>
        <v/>
      </c>
      <c r="K3697" s="54">
        <f>IF(_imp!$C$3699="","",INDEX(_imp!$K$4:$K$4503,_imp!$C$3699))</f>
        <v/>
      </c>
    </row>
    <row r="3698">
      <c r="A3698" s="54">
        <f>IF(_imp!$C$3700="","",INDEX(_imp!$D$4:$D$4503,_imp!$C$3700))</f>
        <v/>
      </c>
      <c r="B3698" s="54">
        <f>IF(_imp!$C$3700="","",INDEX(_imp!$E$4:$E$4503,_imp!$C$3700))</f>
        <v/>
      </c>
      <c r="C3698" s="54">
        <f>IF(_imp!$C$3700="","",INDEX(_imp!$F$4:$F$4503,_imp!$C$3700))</f>
        <v/>
      </c>
      <c r="D3698" s="54">
        <f>IF(_imp!$C$3700="","",INDEX(_imp!$G$4:$G$4503,_imp!$C$3700))</f>
        <v/>
      </c>
      <c r="E3698" s="54">
        <f>IF(_imp!$C$3700="","",INDEX(_imp!$H$4:$H$4503,_imp!$C$3700))</f>
        <v/>
      </c>
      <c r="F3698" s="54">
        <f>IF(_imp!$C$3700="","",INDEX(_imp!$I$4:$I$4503,_imp!$C$3700))</f>
        <v/>
      </c>
      <c r="G3698" s="54">
        <f>IF(_imp!$C$3700="","",INDEX(_imp!$J$4:$J$4503,_imp!$C$3700))</f>
        <v/>
      </c>
      <c r="K3698" s="54">
        <f>IF(_imp!$C$3700="","",INDEX(_imp!$K$4:$K$4503,_imp!$C$3700))</f>
        <v/>
      </c>
    </row>
    <row r="3699">
      <c r="A3699" s="54">
        <f>IF(_imp!$C$3701="","",INDEX(_imp!$D$4:$D$4503,_imp!$C$3701))</f>
        <v/>
      </c>
      <c r="B3699" s="54">
        <f>IF(_imp!$C$3701="","",INDEX(_imp!$E$4:$E$4503,_imp!$C$3701))</f>
        <v/>
      </c>
      <c r="C3699" s="54">
        <f>IF(_imp!$C$3701="","",INDEX(_imp!$F$4:$F$4503,_imp!$C$3701))</f>
        <v/>
      </c>
      <c r="D3699" s="54">
        <f>IF(_imp!$C$3701="","",INDEX(_imp!$G$4:$G$4503,_imp!$C$3701))</f>
        <v/>
      </c>
      <c r="E3699" s="54">
        <f>IF(_imp!$C$3701="","",INDEX(_imp!$H$4:$H$4503,_imp!$C$3701))</f>
        <v/>
      </c>
      <c r="F3699" s="54">
        <f>IF(_imp!$C$3701="","",INDEX(_imp!$I$4:$I$4503,_imp!$C$3701))</f>
        <v/>
      </c>
      <c r="G3699" s="54">
        <f>IF(_imp!$C$3701="","",INDEX(_imp!$J$4:$J$4503,_imp!$C$3701))</f>
        <v/>
      </c>
      <c r="K3699" s="54">
        <f>IF(_imp!$C$3701="","",INDEX(_imp!$K$4:$K$4503,_imp!$C$3701))</f>
        <v/>
      </c>
    </row>
    <row r="3700">
      <c r="A3700" s="54">
        <f>IF(_imp!$C$3702="","",INDEX(_imp!$D$4:$D$4503,_imp!$C$3702))</f>
        <v/>
      </c>
      <c r="B3700" s="54">
        <f>IF(_imp!$C$3702="","",INDEX(_imp!$E$4:$E$4503,_imp!$C$3702))</f>
        <v/>
      </c>
      <c r="C3700" s="54">
        <f>IF(_imp!$C$3702="","",INDEX(_imp!$F$4:$F$4503,_imp!$C$3702))</f>
        <v/>
      </c>
      <c r="D3700" s="54">
        <f>IF(_imp!$C$3702="","",INDEX(_imp!$G$4:$G$4503,_imp!$C$3702))</f>
        <v/>
      </c>
      <c r="E3700" s="54">
        <f>IF(_imp!$C$3702="","",INDEX(_imp!$H$4:$H$4503,_imp!$C$3702))</f>
        <v/>
      </c>
      <c r="F3700" s="54">
        <f>IF(_imp!$C$3702="","",INDEX(_imp!$I$4:$I$4503,_imp!$C$3702))</f>
        <v/>
      </c>
      <c r="G3700" s="54">
        <f>IF(_imp!$C$3702="","",INDEX(_imp!$J$4:$J$4503,_imp!$C$3702))</f>
        <v/>
      </c>
      <c r="K3700" s="54">
        <f>IF(_imp!$C$3702="","",INDEX(_imp!$K$4:$K$4503,_imp!$C$3702))</f>
        <v/>
      </c>
    </row>
    <row r="3701">
      <c r="A3701" s="54">
        <f>IF(_imp!$C$3703="","",INDEX(_imp!$D$4:$D$4503,_imp!$C$3703))</f>
        <v/>
      </c>
      <c r="B3701" s="54">
        <f>IF(_imp!$C$3703="","",INDEX(_imp!$E$4:$E$4503,_imp!$C$3703))</f>
        <v/>
      </c>
      <c r="C3701" s="54">
        <f>IF(_imp!$C$3703="","",INDEX(_imp!$F$4:$F$4503,_imp!$C$3703))</f>
        <v/>
      </c>
      <c r="D3701" s="54">
        <f>IF(_imp!$C$3703="","",INDEX(_imp!$G$4:$G$4503,_imp!$C$3703))</f>
        <v/>
      </c>
      <c r="E3701" s="54">
        <f>IF(_imp!$C$3703="","",INDEX(_imp!$H$4:$H$4503,_imp!$C$3703))</f>
        <v/>
      </c>
      <c r="F3701" s="54">
        <f>IF(_imp!$C$3703="","",INDEX(_imp!$I$4:$I$4503,_imp!$C$3703))</f>
        <v/>
      </c>
      <c r="G3701" s="54">
        <f>IF(_imp!$C$3703="","",INDEX(_imp!$J$4:$J$4503,_imp!$C$3703))</f>
        <v/>
      </c>
      <c r="K3701" s="54">
        <f>IF(_imp!$C$3703="","",INDEX(_imp!$K$4:$K$4503,_imp!$C$3703))</f>
        <v/>
      </c>
    </row>
    <row r="3702">
      <c r="A3702" s="54">
        <f>IF(_imp!$C$3704="","",INDEX(_imp!$D$4:$D$4503,_imp!$C$3704))</f>
        <v/>
      </c>
      <c r="B3702" s="54">
        <f>IF(_imp!$C$3704="","",INDEX(_imp!$E$4:$E$4503,_imp!$C$3704))</f>
        <v/>
      </c>
      <c r="C3702" s="54">
        <f>IF(_imp!$C$3704="","",INDEX(_imp!$F$4:$F$4503,_imp!$C$3704))</f>
        <v/>
      </c>
      <c r="D3702" s="54">
        <f>IF(_imp!$C$3704="","",INDEX(_imp!$G$4:$G$4503,_imp!$C$3704))</f>
        <v/>
      </c>
      <c r="E3702" s="54">
        <f>IF(_imp!$C$3704="","",INDEX(_imp!$H$4:$H$4503,_imp!$C$3704))</f>
        <v/>
      </c>
      <c r="F3702" s="54">
        <f>IF(_imp!$C$3704="","",INDEX(_imp!$I$4:$I$4503,_imp!$C$3704))</f>
        <v/>
      </c>
      <c r="G3702" s="54">
        <f>IF(_imp!$C$3704="","",INDEX(_imp!$J$4:$J$4503,_imp!$C$3704))</f>
        <v/>
      </c>
      <c r="K3702" s="54">
        <f>IF(_imp!$C$3704="","",INDEX(_imp!$K$4:$K$4503,_imp!$C$3704))</f>
        <v/>
      </c>
    </row>
    <row r="3703">
      <c r="A3703" s="54">
        <f>IF(_imp!$C$3705="","",INDEX(_imp!$D$4:$D$4503,_imp!$C$3705))</f>
        <v/>
      </c>
      <c r="B3703" s="54">
        <f>IF(_imp!$C$3705="","",INDEX(_imp!$E$4:$E$4503,_imp!$C$3705))</f>
        <v/>
      </c>
      <c r="C3703" s="54">
        <f>IF(_imp!$C$3705="","",INDEX(_imp!$F$4:$F$4503,_imp!$C$3705))</f>
        <v/>
      </c>
      <c r="D3703" s="54">
        <f>IF(_imp!$C$3705="","",INDEX(_imp!$G$4:$G$4503,_imp!$C$3705))</f>
        <v/>
      </c>
      <c r="E3703" s="54">
        <f>IF(_imp!$C$3705="","",INDEX(_imp!$H$4:$H$4503,_imp!$C$3705))</f>
        <v/>
      </c>
      <c r="F3703" s="54">
        <f>IF(_imp!$C$3705="","",INDEX(_imp!$I$4:$I$4503,_imp!$C$3705))</f>
        <v/>
      </c>
      <c r="G3703" s="54">
        <f>IF(_imp!$C$3705="","",INDEX(_imp!$J$4:$J$4503,_imp!$C$3705))</f>
        <v/>
      </c>
      <c r="K3703" s="54">
        <f>IF(_imp!$C$3705="","",INDEX(_imp!$K$4:$K$4503,_imp!$C$3705))</f>
        <v/>
      </c>
    </row>
    <row r="3704">
      <c r="A3704" s="54">
        <f>IF(_imp!$C$3706="","",INDEX(_imp!$D$4:$D$4503,_imp!$C$3706))</f>
        <v/>
      </c>
      <c r="B3704" s="54">
        <f>IF(_imp!$C$3706="","",INDEX(_imp!$E$4:$E$4503,_imp!$C$3706))</f>
        <v/>
      </c>
      <c r="C3704" s="54">
        <f>IF(_imp!$C$3706="","",INDEX(_imp!$F$4:$F$4503,_imp!$C$3706))</f>
        <v/>
      </c>
      <c r="D3704" s="54">
        <f>IF(_imp!$C$3706="","",INDEX(_imp!$G$4:$G$4503,_imp!$C$3706))</f>
        <v/>
      </c>
      <c r="E3704" s="54">
        <f>IF(_imp!$C$3706="","",INDEX(_imp!$H$4:$H$4503,_imp!$C$3706))</f>
        <v/>
      </c>
      <c r="F3704" s="54">
        <f>IF(_imp!$C$3706="","",INDEX(_imp!$I$4:$I$4503,_imp!$C$3706))</f>
        <v/>
      </c>
      <c r="G3704" s="54">
        <f>IF(_imp!$C$3706="","",INDEX(_imp!$J$4:$J$4503,_imp!$C$3706))</f>
        <v/>
      </c>
      <c r="K3704" s="54">
        <f>IF(_imp!$C$3706="","",INDEX(_imp!$K$4:$K$4503,_imp!$C$3706))</f>
        <v/>
      </c>
    </row>
    <row r="3705">
      <c r="A3705" s="54">
        <f>IF(_imp!$C$3707="","",INDEX(_imp!$D$4:$D$4503,_imp!$C$3707))</f>
        <v/>
      </c>
      <c r="B3705" s="54">
        <f>IF(_imp!$C$3707="","",INDEX(_imp!$E$4:$E$4503,_imp!$C$3707))</f>
        <v/>
      </c>
      <c r="C3705" s="54">
        <f>IF(_imp!$C$3707="","",INDEX(_imp!$F$4:$F$4503,_imp!$C$3707))</f>
        <v/>
      </c>
      <c r="D3705" s="54">
        <f>IF(_imp!$C$3707="","",INDEX(_imp!$G$4:$G$4503,_imp!$C$3707))</f>
        <v/>
      </c>
      <c r="E3705" s="54">
        <f>IF(_imp!$C$3707="","",INDEX(_imp!$H$4:$H$4503,_imp!$C$3707))</f>
        <v/>
      </c>
      <c r="F3705" s="54">
        <f>IF(_imp!$C$3707="","",INDEX(_imp!$I$4:$I$4503,_imp!$C$3707))</f>
        <v/>
      </c>
      <c r="G3705" s="54">
        <f>IF(_imp!$C$3707="","",INDEX(_imp!$J$4:$J$4503,_imp!$C$3707))</f>
        <v/>
      </c>
      <c r="K3705" s="54">
        <f>IF(_imp!$C$3707="","",INDEX(_imp!$K$4:$K$4503,_imp!$C$3707))</f>
        <v/>
      </c>
    </row>
    <row r="3706">
      <c r="A3706" s="54">
        <f>IF(_imp!$C$3708="","",INDEX(_imp!$D$4:$D$4503,_imp!$C$3708))</f>
        <v/>
      </c>
      <c r="B3706" s="54">
        <f>IF(_imp!$C$3708="","",INDEX(_imp!$E$4:$E$4503,_imp!$C$3708))</f>
        <v/>
      </c>
      <c r="C3706" s="54">
        <f>IF(_imp!$C$3708="","",INDEX(_imp!$F$4:$F$4503,_imp!$C$3708))</f>
        <v/>
      </c>
      <c r="D3706" s="54">
        <f>IF(_imp!$C$3708="","",INDEX(_imp!$G$4:$G$4503,_imp!$C$3708))</f>
        <v/>
      </c>
      <c r="E3706" s="54">
        <f>IF(_imp!$C$3708="","",INDEX(_imp!$H$4:$H$4503,_imp!$C$3708))</f>
        <v/>
      </c>
      <c r="F3706" s="54">
        <f>IF(_imp!$C$3708="","",INDEX(_imp!$I$4:$I$4503,_imp!$C$3708))</f>
        <v/>
      </c>
      <c r="G3706" s="54">
        <f>IF(_imp!$C$3708="","",INDEX(_imp!$J$4:$J$4503,_imp!$C$3708))</f>
        <v/>
      </c>
      <c r="K3706" s="54">
        <f>IF(_imp!$C$3708="","",INDEX(_imp!$K$4:$K$4503,_imp!$C$3708))</f>
        <v/>
      </c>
    </row>
    <row r="3707">
      <c r="A3707" s="54">
        <f>IF(_imp!$C$3709="","",INDEX(_imp!$D$4:$D$4503,_imp!$C$3709))</f>
        <v/>
      </c>
      <c r="B3707" s="54">
        <f>IF(_imp!$C$3709="","",INDEX(_imp!$E$4:$E$4503,_imp!$C$3709))</f>
        <v/>
      </c>
      <c r="C3707" s="54">
        <f>IF(_imp!$C$3709="","",INDEX(_imp!$F$4:$F$4503,_imp!$C$3709))</f>
        <v/>
      </c>
      <c r="D3707" s="54">
        <f>IF(_imp!$C$3709="","",INDEX(_imp!$G$4:$G$4503,_imp!$C$3709))</f>
        <v/>
      </c>
      <c r="E3707" s="54">
        <f>IF(_imp!$C$3709="","",INDEX(_imp!$H$4:$H$4503,_imp!$C$3709))</f>
        <v/>
      </c>
      <c r="F3707" s="54">
        <f>IF(_imp!$C$3709="","",INDEX(_imp!$I$4:$I$4503,_imp!$C$3709))</f>
        <v/>
      </c>
      <c r="G3707" s="54">
        <f>IF(_imp!$C$3709="","",INDEX(_imp!$J$4:$J$4503,_imp!$C$3709))</f>
        <v/>
      </c>
      <c r="K3707" s="54">
        <f>IF(_imp!$C$3709="","",INDEX(_imp!$K$4:$K$4503,_imp!$C$3709))</f>
        <v/>
      </c>
    </row>
    <row r="3708">
      <c r="A3708" s="54">
        <f>IF(_imp!$C$3710="","",INDEX(_imp!$D$4:$D$4503,_imp!$C$3710))</f>
        <v/>
      </c>
      <c r="B3708" s="54">
        <f>IF(_imp!$C$3710="","",INDEX(_imp!$E$4:$E$4503,_imp!$C$3710))</f>
        <v/>
      </c>
      <c r="C3708" s="54">
        <f>IF(_imp!$C$3710="","",INDEX(_imp!$F$4:$F$4503,_imp!$C$3710))</f>
        <v/>
      </c>
      <c r="D3708" s="54">
        <f>IF(_imp!$C$3710="","",INDEX(_imp!$G$4:$G$4503,_imp!$C$3710))</f>
        <v/>
      </c>
      <c r="E3708" s="54">
        <f>IF(_imp!$C$3710="","",INDEX(_imp!$H$4:$H$4503,_imp!$C$3710))</f>
        <v/>
      </c>
      <c r="F3708" s="54">
        <f>IF(_imp!$C$3710="","",INDEX(_imp!$I$4:$I$4503,_imp!$C$3710))</f>
        <v/>
      </c>
      <c r="G3708" s="54">
        <f>IF(_imp!$C$3710="","",INDEX(_imp!$J$4:$J$4503,_imp!$C$3710))</f>
        <v/>
      </c>
      <c r="K3708" s="54">
        <f>IF(_imp!$C$3710="","",INDEX(_imp!$K$4:$K$4503,_imp!$C$3710))</f>
        <v/>
      </c>
    </row>
    <row r="3709">
      <c r="A3709" s="54">
        <f>IF(_imp!$C$3711="","",INDEX(_imp!$D$4:$D$4503,_imp!$C$3711))</f>
        <v/>
      </c>
      <c r="B3709" s="54">
        <f>IF(_imp!$C$3711="","",INDEX(_imp!$E$4:$E$4503,_imp!$C$3711))</f>
        <v/>
      </c>
      <c r="C3709" s="54">
        <f>IF(_imp!$C$3711="","",INDEX(_imp!$F$4:$F$4503,_imp!$C$3711))</f>
        <v/>
      </c>
      <c r="D3709" s="54">
        <f>IF(_imp!$C$3711="","",INDEX(_imp!$G$4:$G$4503,_imp!$C$3711))</f>
        <v/>
      </c>
      <c r="E3709" s="54">
        <f>IF(_imp!$C$3711="","",INDEX(_imp!$H$4:$H$4503,_imp!$C$3711))</f>
        <v/>
      </c>
      <c r="F3709" s="54">
        <f>IF(_imp!$C$3711="","",INDEX(_imp!$I$4:$I$4503,_imp!$C$3711))</f>
        <v/>
      </c>
      <c r="G3709" s="54">
        <f>IF(_imp!$C$3711="","",INDEX(_imp!$J$4:$J$4503,_imp!$C$3711))</f>
        <v/>
      </c>
      <c r="K3709" s="54">
        <f>IF(_imp!$C$3711="","",INDEX(_imp!$K$4:$K$4503,_imp!$C$3711))</f>
        <v/>
      </c>
    </row>
    <row r="3710">
      <c r="A3710" s="54">
        <f>IF(_imp!$C$3712="","",INDEX(_imp!$D$4:$D$4503,_imp!$C$3712))</f>
        <v/>
      </c>
      <c r="B3710" s="54">
        <f>IF(_imp!$C$3712="","",INDEX(_imp!$E$4:$E$4503,_imp!$C$3712))</f>
        <v/>
      </c>
      <c r="C3710" s="54">
        <f>IF(_imp!$C$3712="","",INDEX(_imp!$F$4:$F$4503,_imp!$C$3712))</f>
        <v/>
      </c>
      <c r="D3710" s="54">
        <f>IF(_imp!$C$3712="","",INDEX(_imp!$G$4:$G$4503,_imp!$C$3712))</f>
        <v/>
      </c>
      <c r="E3710" s="54">
        <f>IF(_imp!$C$3712="","",INDEX(_imp!$H$4:$H$4503,_imp!$C$3712))</f>
        <v/>
      </c>
      <c r="F3710" s="54">
        <f>IF(_imp!$C$3712="","",INDEX(_imp!$I$4:$I$4503,_imp!$C$3712))</f>
        <v/>
      </c>
      <c r="G3710" s="54">
        <f>IF(_imp!$C$3712="","",INDEX(_imp!$J$4:$J$4503,_imp!$C$3712))</f>
        <v/>
      </c>
      <c r="K3710" s="54">
        <f>IF(_imp!$C$3712="","",INDEX(_imp!$K$4:$K$4503,_imp!$C$3712))</f>
        <v/>
      </c>
    </row>
    <row r="3711">
      <c r="A3711" s="54">
        <f>IF(_imp!$C$3713="","",INDEX(_imp!$D$4:$D$4503,_imp!$C$3713))</f>
        <v/>
      </c>
      <c r="B3711" s="54">
        <f>IF(_imp!$C$3713="","",INDEX(_imp!$E$4:$E$4503,_imp!$C$3713))</f>
        <v/>
      </c>
      <c r="C3711" s="54">
        <f>IF(_imp!$C$3713="","",INDEX(_imp!$F$4:$F$4503,_imp!$C$3713))</f>
        <v/>
      </c>
      <c r="D3711" s="54">
        <f>IF(_imp!$C$3713="","",INDEX(_imp!$G$4:$G$4503,_imp!$C$3713))</f>
        <v/>
      </c>
      <c r="E3711" s="54">
        <f>IF(_imp!$C$3713="","",INDEX(_imp!$H$4:$H$4503,_imp!$C$3713))</f>
        <v/>
      </c>
      <c r="F3711" s="54">
        <f>IF(_imp!$C$3713="","",INDEX(_imp!$I$4:$I$4503,_imp!$C$3713))</f>
        <v/>
      </c>
      <c r="G3711" s="54">
        <f>IF(_imp!$C$3713="","",INDEX(_imp!$J$4:$J$4503,_imp!$C$3713))</f>
        <v/>
      </c>
      <c r="K3711" s="54">
        <f>IF(_imp!$C$3713="","",INDEX(_imp!$K$4:$K$4503,_imp!$C$3713))</f>
        <v/>
      </c>
    </row>
    <row r="3712">
      <c r="A3712" s="54">
        <f>IF(_imp!$C$3714="","",INDEX(_imp!$D$4:$D$4503,_imp!$C$3714))</f>
        <v/>
      </c>
      <c r="B3712" s="54">
        <f>IF(_imp!$C$3714="","",INDEX(_imp!$E$4:$E$4503,_imp!$C$3714))</f>
        <v/>
      </c>
      <c r="C3712" s="54">
        <f>IF(_imp!$C$3714="","",INDEX(_imp!$F$4:$F$4503,_imp!$C$3714))</f>
        <v/>
      </c>
      <c r="D3712" s="54">
        <f>IF(_imp!$C$3714="","",INDEX(_imp!$G$4:$G$4503,_imp!$C$3714))</f>
        <v/>
      </c>
      <c r="E3712" s="54">
        <f>IF(_imp!$C$3714="","",INDEX(_imp!$H$4:$H$4503,_imp!$C$3714))</f>
        <v/>
      </c>
      <c r="F3712" s="54">
        <f>IF(_imp!$C$3714="","",INDEX(_imp!$I$4:$I$4503,_imp!$C$3714))</f>
        <v/>
      </c>
      <c r="G3712" s="54">
        <f>IF(_imp!$C$3714="","",INDEX(_imp!$J$4:$J$4503,_imp!$C$3714))</f>
        <v/>
      </c>
      <c r="K3712" s="54">
        <f>IF(_imp!$C$3714="","",INDEX(_imp!$K$4:$K$4503,_imp!$C$3714))</f>
        <v/>
      </c>
    </row>
    <row r="3713">
      <c r="A3713" s="54">
        <f>IF(_imp!$C$3715="","",INDEX(_imp!$D$4:$D$4503,_imp!$C$3715))</f>
        <v/>
      </c>
      <c r="B3713" s="54">
        <f>IF(_imp!$C$3715="","",INDEX(_imp!$E$4:$E$4503,_imp!$C$3715))</f>
        <v/>
      </c>
      <c r="C3713" s="54">
        <f>IF(_imp!$C$3715="","",INDEX(_imp!$F$4:$F$4503,_imp!$C$3715))</f>
        <v/>
      </c>
      <c r="D3713" s="54">
        <f>IF(_imp!$C$3715="","",INDEX(_imp!$G$4:$G$4503,_imp!$C$3715))</f>
        <v/>
      </c>
      <c r="E3713" s="54">
        <f>IF(_imp!$C$3715="","",INDEX(_imp!$H$4:$H$4503,_imp!$C$3715))</f>
        <v/>
      </c>
      <c r="F3713" s="54">
        <f>IF(_imp!$C$3715="","",INDEX(_imp!$I$4:$I$4503,_imp!$C$3715))</f>
        <v/>
      </c>
      <c r="G3713" s="54">
        <f>IF(_imp!$C$3715="","",INDEX(_imp!$J$4:$J$4503,_imp!$C$3715))</f>
        <v/>
      </c>
      <c r="K3713" s="54">
        <f>IF(_imp!$C$3715="","",INDEX(_imp!$K$4:$K$4503,_imp!$C$3715))</f>
        <v/>
      </c>
    </row>
    <row r="3714">
      <c r="A3714" s="54">
        <f>IF(_imp!$C$3716="","",INDEX(_imp!$D$4:$D$4503,_imp!$C$3716))</f>
        <v/>
      </c>
      <c r="B3714" s="54">
        <f>IF(_imp!$C$3716="","",INDEX(_imp!$E$4:$E$4503,_imp!$C$3716))</f>
        <v/>
      </c>
      <c r="C3714" s="54">
        <f>IF(_imp!$C$3716="","",INDEX(_imp!$F$4:$F$4503,_imp!$C$3716))</f>
        <v/>
      </c>
      <c r="D3714" s="54">
        <f>IF(_imp!$C$3716="","",INDEX(_imp!$G$4:$G$4503,_imp!$C$3716))</f>
        <v/>
      </c>
      <c r="E3714" s="54">
        <f>IF(_imp!$C$3716="","",INDEX(_imp!$H$4:$H$4503,_imp!$C$3716))</f>
        <v/>
      </c>
      <c r="F3714" s="54">
        <f>IF(_imp!$C$3716="","",INDEX(_imp!$I$4:$I$4503,_imp!$C$3716))</f>
        <v/>
      </c>
      <c r="G3714" s="54">
        <f>IF(_imp!$C$3716="","",INDEX(_imp!$J$4:$J$4503,_imp!$C$3716))</f>
        <v/>
      </c>
      <c r="K3714" s="54">
        <f>IF(_imp!$C$3716="","",INDEX(_imp!$K$4:$K$4503,_imp!$C$3716))</f>
        <v/>
      </c>
    </row>
    <row r="3715">
      <c r="A3715" s="54">
        <f>IF(_imp!$C$3717="","",INDEX(_imp!$D$4:$D$4503,_imp!$C$3717))</f>
        <v/>
      </c>
      <c r="B3715" s="54">
        <f>IF(_imp!$C$3717="","",INDEX(_imp!$E$4:$E$4503,_imp!$C$3717))</f>
        <v/>
      </c>
      <c r="C3715" s="54">
        <f>IF(_imp!$C$3717="","",INDEX(_imp!$F$4:$F$4503,_imp!$C$3717))</f>
        <v/>
      </c>
      <c r="D3715" s="54">
        <f>IF(_imp!$C$3717="","",INDEX(_imp!$G$4:$G$4503,_imp!$C$3717))</f>
        <v/>
      </c>
      <c r="E3715" s="54">
        <f>IF(_imp!$C$3717="","",INDEX(_imp!$H$4:$H$4503,_imp!$C$3717))</f>
        <v/>
      </c>
      <c r="F3715" s="54">
        <f>IF(_imp!$C$3717="","",INDEX(_imp!$I$4:$I$4503,_imp!$C$3717))</f>
        <v/>
      </c>
      <c r="G3715" s="54">
        <f>IF(_imp!$C$3717="","",INDEX(_imp!$J$4:$J$4503,_imp!$C$3717))</f>
        <v/>
      </c>
      <c r="K3715" s="54">
        <f>IF(_imp!$C$3717="","",INDEX(_imp!$K$4:$K$4503,_imp!$C$3717))</f>
        <v/>
      </c>
    </row>
    <row r="3716">
      <c r="A3716" s="54">
        <f>IF(_imp!$C$3718="","",INDEX(_imp!$D$4:$D$4503,_imp!$C$3718))</f>
        <v/>
      </c>
      <c r="B3716" s="54">
        <f>IF(_imp!$C$3718="","",INDEX(_imp!$E$4:$E$4503,_imp!$C$3718))</f>
        <v/>
      </c>
      <c r="C3716" s="54">
        <f>IF(_imp!$C$3718="","",INDEX(_imp!$F$4:$F$4503,_imp!$C$3718))</f>
        <v/>
      </c>
      <c r="D3716" s="54">
        <f>IF(_imp!$C$3718="","",INDEX(_imp!$G$4:$G$4503,_imp!$C$3718))</f>
        <v/>
      </c>
      <c r="E3716" s="54">
        <f>IF(_imp!$C$3718="","",INDEX(_imp!$H$4:$H$4503,_imp!$C$3718))</f>
        <v/>
      </c>
      <c r="F3716" s="54">
        <f>IF(_imp!$C$3718="","",INDEX(_imp!$I$4:$I$4503,_imp!$C$3718))</f>
        <v/>
      </c>
      <c r="G3716" s="54">
        <f>IF(_imp!$C$3718="","",INDEX(_imp!$J$4:$J$4503,_imp!$C$3718))</f>
        <v/>
      </c>
      <c r="K3716" s="54">
        <f>IF(_imp!$C$3718="","",INDEX(_imp!$K$4:$K$4503,_imp!$C$3718))</f>
        <v/>
      </c>
    </row>
    <row r="3717">
      <c r="A3717" s="54">
        <f>IF(_imp!$C$3719="","",INDEX(_imp!$D$4:$D$4503,_imp!$C$3719))</f>
        <v/>
      </c>
      <c r="B3717" s="54">
        <f>IF(_imp!$C$3719="","",INDEX(_imp!$E$4:$E$4503,_imp!$C$3719))</f>
        <v/>
      </c>
      <c r="C3717" s="54">
        <f>IF(_imp!$C$3719="","",INDEX(_imp!$F$4:$F$4503,_imp!$C$3719))</f>
        <v/>
      </c>
      <c r="D3717" s="54">
        <f>IF(_imp!$C$3719="","",INDEX(_imp!$G$4:$G$4503,_imp!$C$3719))</f>
        <v/>
      </c>
      <c r="E3717" s="54">
        <f>IF(_imp!$C$3719="","",INDEX(_imp!$H$4:$H$4503,_imp!$C$3719))</f>
        <v/>
      </c>
      <c r="F3717" s="54">
        <f>IF(_imp!$C$3719="","",INDEX(_imp!$I$4:$I$4503,_imp!$C$3719))</f>
        <v/>
      </c>
      <c r="G3717" s="54">
        <f>IF(_imp!$C$3719="","",INDEX(_imp!$J$4:$J$4503,_imp!$C$3719))</f>
        <v/>
      </c>
      <c r="K3717" s="54">
        <f>IF(_imp!$C$3719="","",INDEX(_imp!$K$4:$K$4503,_imp!$C$3719))</f>
        <v/>
      </c>
    </row>
    <row r="3718">
      <c r="A3718" s="54">
        <f>IF(_imp!$C$3720="","",INDEX(_imp!$D$4:$D$4503,_imp!$C$3720))</f>
        <v/>
      </c>
      <c r="B3718" s="54">
        <f>IF(_imp!$C$3720="","",INDEX(_imp!$E$4:$E$4503,_imp!$C$3720))</f>
        <v/>
      </c>
      <c r="C3718" s="54">
        <f>IF(_imp!$C$3720="","",INDEX(_imp!$F$4:$F$4503,_imp!$C$3720))</f>
        <v/>
      </c>
      <c r="D3718" s="54">
        <f>IF(_imp!$C$3720="","",INDEX(_imp!$G$4:$G$4503,_imp!$C$3720))</f>
        <v/>
      </c>
      <c r="E3718" s="54">
        <f>IF(_imp!$C$3720="","",INDEX(_imp!$H$4:$H$4503,_imp!$C$3720))</f>
        <v/>
      </c>
      <c r="F3718" s="54">
        <f>IF(_imp!$C$3720="","",INDEX(_imp!$I$4:$I$4503,_imp!$C$3720))</f>
        <v/>
      </c>
      <c r="G3718" s="54">
        <f>IF(_imp!$C$3720="","",INDEX(_imp!$J$4:$J$4503,_imp!$C$3720))</f>
        <v/>
      </c>
      <c r="K3718" s="54">
        <f>IF(_imp!$C$3720="","",INDEX(_imp!$K$4:$K$4503,_imp!$C$3720))</f>
        <v/>
      </c>
    </row>
    <row r="3719">
      <c r="A3719" s="54">
        <f>IF(_imp!$C$3721="","",INDEX(_imp!$D$4:$D$4503,_imp!$C$3721))</f>
        <v/>
      </c>
      <c r="B3719" s="54">
        <f>IF(_imp!$C$3721="","",INDEX(_imp!$E$4:$E$4503,_imp!$C$3721))</f>
        <v/>
      </c>
      <c r="C3719" s="54">
        <f>IF(_imp!$C$3721="","",INDEX(_imp!$F$4:$F$4503,_imp!$C$3721))</f>
        <v/>
      </c>
      <c r="D3719" s="54">
        <f>IF(_imp!$C$3721="","",INDEX(_imp!$G$4:$G$4503,_imp!$C$3721))</f>
        <v/>
      </c>
      <c r="E3719" s="54">
        <f>IF(_imp!$C$3721="","",INDEX(_imp!$H$4:$H$4503,_imp!$C$3721))</f>
        <v/>
      </c>
      <c r="F3719" s="54">
        <f>IF(_imp!$C$3721="","",INDEX(_imp!$I$4:$I$4503,_imp!$C$3721))</f>
        <v/>
      </c>
      <c r="G3719" s="54">
        <f>IF(_imp!$C$3721="","",INDEX(_imp!$J$4:$J$4503,_imp!$C$3721))</f>
        <v/>
      </c>
      <c r="K3719" s="54">
        <f>IF(_imp!$C$3721="","",INDEX(_imp!$K$4:$K$4503,_imp!$C$3721))</f>
        <v/>
      </c>
    </row>
    <row r="3720">
      <c r="A3720" s="54">
        <f>IF(_imp!$C$3722="","",INDEX(_imp!$D$4:$D$4503,_imp!$C$3722))</f>
        <v/>
      </c>
      <c r="B3720" s="54">
        <f>IF(_imp!$C$3722="","",INDEX(_imp!$E$4:$E$4503,_imp!$C$3722))</f>
        <v/>
      </c>
      <c r="C3720" s="54">
        <f>IF(_imp!$C$3722="","",INDEX(_imp!$F$4:$F$4503,_imp!$C$3722))</f>
        <v/>
      </c>
      <c r="D3720" s="54">
        <f>IF(_imp!$C$3722="","",INDEX(_imp!$G$4:$G$4503,_imp!$C$3722))</f>
        <v/>
      </c>
      <c r="E3720" s="54">
        <f>IF(_imp!$C$3722="","",INDEX(_imp!$H$4:$H$4503,_imp!$C$3722))</f>
        <v/>
      </c>
      <c r="F3720" s="54">
        <f>IF(_imp!$C$3722="","",INDEX(_imp!$I$4:$I$4503,_imp!$C$3722))</f>
        <v/>
      </c>
      <c r="G3720" s="54">
        <f>IF(_imp!$C$3722="","",INDEX(_imp!$J$4:$J$4503,_imp!$C$3722))</f>
        <v/>
      </c>
      <c r="K3720" s="54">
        <f>IF(_imp!$C$3722="","",INDEX(_imp!$K$4:$K$4503,_imp!$C$3722))</f>
        <v/>
      </c>
    </row>
    <row r="3721">
      <c r="A3721" s="54">
        <f>IF(_imp!$C$3723="","",INDEX(_imp!$D$4:$D$4503,_imp!$C$3723))</f>
        <v/>
      </c>
      <c r="B3721" s="54">
        <f>IF(_imp!$C$3723="","",INDEX(_imp!$E$4:$E$4503,_imp!$C$3723))</f>
        <v/>
      </c>
      <c r="C3721" s="54">
        <f>IF(_imp!$C$3723="","",INDEX(_imp!$F$4:$F$4503,_imp!$C$3723))</f>
        <v/>
      </c>
      <c r="D3721" s="54">
        <f>IF(_imp!$C$3723="","",INDEX(_imp!$G$4:$G$4503,_imp!$C$3723))</f>
        <v/>
      </c>
      <c r="E3721" s="54">
        <f>IF(_imp!$C$3723="","",INDEX(_imp!$H$4:$H$4503,_imp!$C$3723))</f>
        <v/>
      </c>
      <c r="F3721" s="54">
        <f>IF(_imp!$C$3723="","",INDEX(_imp!$I$4:$I$4503,_imp!$C$3723))</f>
        <v/>
      </c>
      <c r="G3721" s="54">
        <f>IF(_imp!$C$3723="","",INDEX(_imp!$J$4:$J$4503,_imp!$C$3723))</f>
        <v/>
      </c>
      <c r="K3721" s="54">
        <f>IF(_imp!$C$3723="","",INDEX(_imp!$K$4:$K$4503,_imp!$C$3723))</f>
        <v/>
      </c>
    </row>
    <row r="3722">
      <c r="A3722" s="54">
        <f>IF(_imp!$C$3724="","",INDEX(_imp!$D$4:$D$4503,_imp!$C$3724))</f>
        <v/>
      </c>
      <c r="B3722" s="54">
        <f>IF(_imp!$C$3724="","",INDEX(_imp!$E$4:$E$4503,_imp!$C$3724))</f>
        <v/>
      </c>
      <c r="C3722" s="54">
        <f>IF(_imp!$C$3724="","",INDEX(_imp!$F$4:$F$4503,_imp!$C$3724))</f>
        <v/>
      </c>
      <c r="D3722" s="54">
        <f>IF(_imp!$C$3724="","",INDEX(_imp!$G$4:$G$4503,_imp!$C$3724))</f>
        <v/>
      </c>
      <c r="E3722" s="54">
        <f>IF(_imp!$C$3724="","",INDEX(_imp!$H$4:$H$4503,_imp!$C$3724))</f>
        <v/>
      </c>
      <c r="F3722" s="54">
        <f>IF(_imp!$C$3724="","",INDEX(_imp!$I$4:$I$4503,_imp!$C$3724))</f>
        <v/>
      </c>
      <c r="G3722" s="54">
        <f>IF(_imp!$C$3724="","",INDEX(_imp!$J$4:$J$4503,_imp!$C$3724))</f>
        <v/>
      </c>
      <c r="K3722" s="54">
        <f>IF(_imp!$C$3724="","",INDEX(_imp!$K$4:$K$4503,_imp!$C$3724))</f>
        <v/>
      </c>
    </row>
    <row r="3723">
      <c r="A3723" s="54">
        <f>IF(_imp!$C$3725="","",INDEX(_imp!$D$4:$D$4503,_imp!$C$3725))</f>
        <v/>
      </c>
      <c r="B3723" s="54">
        <f>IF(_imp!$C$3725="","",INDEX(_imp!$E$4:$E$4503,_imp!$C$3725))</f>
        <v/>
      </c>
      <c r="C3723" s="54">
        <f>IF(_imp!$C$3725="","",INDEX(_imp!$F$4:$F$4503,_imp!$C$3725))</f>
        <v/>
      </c>
      <c r="D3723" s="54">
        <f>IF(_imp!$C$3725="","",INDEX(_imp!$G$4:$G$4503,_imp!$C$3725))</f>
        <v/>
      </c>
      <c r="E3723" s="54">
        <f>IF(_imp!$C$3725="","",INDEX(_imp!$H$4:$H$4503,_imp!$C$3725))</f>
        <v/>
      </c>
      <c r="F3723" s="54">
        <f>IF(_imp!$C$3725="","",INDEX(_imp!$I$4:$I$4503,_imp!$C$3725))</f>
        <v/>
      </c>
      <c r="G3723" s="54">
        <f>IF(_imp!$C$3725="","",INDEX(_imp!$J$4:$J$4503,_imp!$C$3725))</f>
        <v/>
      </c>
      <c r="K3723" s="54">
        <f>IF(_imp!$C$3725="","",INDEX(_imp!$K$4:$K$4503,_imp!$C$3725))</f>
        <v/>
      </c>
    </row>
    <row r="3724">
      <c r="A3724" s="54">
        <f>IF(_imp!$C$3726="","",INDEX(_imp!$D$4:$D$4503,_imp!$C$3726))</f>
        <v/>
      </c>
      <c r="B3724" s="54">
        <f>IF(_imp!$C$3726="","",INDEX(_imp!$E$4:$E$4503,_imp!$C$3726))</f>
        <v/>
      </c>
      <c r="C3724" s="54">
        <f>IF(_imp!$C$3726="","",INDEX(_imp!$F$4:$F$4503,_imp!$C$3726))</f>
        <v/>
      </c>
      <c r="D3724" s="54">
        <f>IF(_imp!$C$3726="","",INDEX(_imp!$G$4:$G$4503,_imp!$C$3726))</f>
        <v/>
      </c>
      <c r="E3724" s="54">
        <f>IF(_imp!$C$3726="","",INDEX(_imp!$H$4:$H$4503,_imp!$C$3726))</f>
        <v/>
      </c>
      <c r="F3724" s="54">
        <f>IF(_imp!$C$3726="","",INDEX(_imp!$I$4:$I$4503,_imp!$C$3726))</f>
        <v/>
      </c>
      <c r="G3724" s="54">
        <f>IF(_imp!$C$3726="","",INDEX(_imp!$J$4:$J$4503,_imp!$C$3726))</f>
        <v/>
      </c>
      <c r="K3724" s="54">
        <f>IF(_imp!$C$3726="","",INDEX(_imp!$K$4:$K$4503,_imp!$C$3726))</f>
        <v/>
      </c>
    </row>
    <row r="3725">
      <c r="A3725" s="54">
        <f>IF(_imp!$C$3727="","",INDEX(_imp!$D$4:$D$4503,_imp!$C$3727))</f>
        <v/>
      </c>
      <c r="B3725" s="54">
        <f>IF(_imp!$C$3727="","",INDEX(_imp!$E$4:$E$4503,_imp!$C$3727))</f>
        <v/>
      </c>
      <c r="C3725" s="54">
        <f>IF(_imp!$C$3727="","",INDEX(_imp!$F$4:$F$4503,_imp!$C$3727))</f>
        <v/>
      </c>
      <c r="D3725" s="54">
        <f>IF(_imp!$C$3727="","",INDEX(_imp!$G$4:$G$4503,_imp!$C$3727))</f>
        <v/>
      </c>
      <c r="E3725" s="54">
        <f>IF(_imp!$C$3727="","",INDEX(_imp!$H$4:$H$4503,_imp!$C$3727))</f>
        <v/>
      </c>
      <c r="F3725" s="54">
        <f>IF(_imp!$C$3727="","",INDEX(_imp!$I$4:$I$4503,_imp!$C$3727))</f>
        <v/>
      </c>
      <c r="G3725" s="54">
        <f>IF(_imp!$C$3727="","",INDEX(_imp!$J$4:$J$4503,_imp!$C$3727))</f>
        <v/>
      </c>
      <c r="K3725" s="54">
        <f>IF(_imp!$C$3727="","",INDEX(_imp!$K$4:$K$4503,_imp!$C$3727))</f>
        <v/>
      </c>
    </row>
    <row r="3726">
      <c r="A3726" s="54">
        <f>IF(_imp!$C$3728="","",INDEX(_imp!$D$4:$D$4503,_imp!$C$3728))</f>
        <v/>
      </c>
      <c r="B3726" s="54">
        <f>IF(_imp!$C$3728="","",INDEX(_imp!$E$4:$E$4503,_imp!$C$3728))</f>
        <v/>
      </c>
      <c r="C3726" s="54">
        <f>IF(_imp!$C$3728="","",INDEX(_imp!$F$4:$F$4503,_imp!$C$3728))</f>
        <v/>
      </c>
      <c r="D3726" s="54">
        <f>IF(_imp!$C$3728="","",INDEX(_imp!$G$4:$G$4503,_imp!$C$3728))</f>
        <v/>
      </c>
      <c r="E3726" s="54">
        <f>IF(_imp!$C$3728="","",INDEX(_imp!$H$4:$H$4503,_imp!$C$3728))</f>
        <v/>
      </c>
      <c r="F3726" s="54">
        <f>IF(_imp!$C$3728="","",INDEX(_imp!$I$4:$I$4503,_imp!$C$3728))</f>
        <v/>
      </c>
      <c r="G3726" s="54">
        <f>IF(_imp!$C$3728="","",INDEX(_imp!$J$4:$J$4503,_imp!$C$3728))</f>
        <v/>
      </c>
      <c r="K3726" s="54">
        <f>IF(_imp!$C$3728="","",INDEX(_imp!$K$4:$K$4503,_imp!$C$3728))</f>
        <v/>
      </c>
    </row>
    <row r="3727">
      <c r="A3727" s="54">
        <f>IF(_imp!$C$3729="","",INDEX(_imp!$D$4:$D$4503,_imp!$C$3729))</f>
        <v/>
      </c>
      <c r="B3727" s="54">
        <f>IF(_imp!$C$3729="","",INDEX(_imp!$E$4:$E$4503,_imp!$C$3729))</f>
        <v/>
      </c>
      <c r="C3727" s="54">
        <f>IF(_imp!$C$3729="","",INDEX(_imp!$F$4:$F$4503,_imp!$C$3729))</f>
        <v/>
      </c>
      <c r="D3727" s="54">
        <f>IF(_imp!$C$3729="","",INDEX(_imp!$G$4:$G$4503,_imp!$C$3729))</f>
        <v/>
      </c>
      <c r="E3727" s="54">
        <f>IF(_imp!$C$3729="","",INDEX(_imp!$H$4:$H$4503,_imp!$C$3729))</f>
        <v/>
      </c>
      <c r="F3727" s="54">
        <f>IF(_imp!$C$3729="","",INDEX(_imp!$I$4:$I$4503,_imp!$C$3729))</f>
        <v/>
      </c>
      <c r="G3727" s="54">
        <f>IF(_imp!$C$3729="","",INDEX(_imp!$J$4:$J$4503,_imp!$C$3729))</f>
        <v/>
      </c>
      <c r="K3727" s="54">
        <f>IF(_imp!$C$3729="","",INDEX(_imp!$K$4:$K$4503,_imp!$C$3729))</f>
        <v/>
      </c>
    </row>
    <row r="3728">
      <c r="A3728" s="54">
        <f>IF(_imp!$C$3730="","",INDEX(_imp!$D$4:$D$4503,_imp!$C$3730))</f>
        <v/>
      </c>
      <c r="B3728" s="54">
        <f>IF(_imp!$C$3730="","",INDEX(_imp!$E$4:$E$4503,_imp!$C$3730))</f>
        <v/>
      </c>
      <c r="C3728" s="54">
        <f>IF(_imp!$C$3730="","",INDEX(_imp!$F$4:$F$4503,_imp!$C$3730))</f>
        <v/>
      </c>
      <c r="D3728" s="54">
        <f>IF(_imp!$C$3730="","",INDEX(_imp!$G$4:$G$4503,_imp!$C$3730))</f>
        <v/>
      </c>
      <c r="E3728" s="54">
        <f>IF(_imp!$C$3730="","",INDEX(_imp!$H$4:$H$4503,_imp!$C$3730))</f>
        <v/>
      </c>
      <c r="F3728" s="54">
        <f>IF(_imp!$C$3730="","",INDEX(_imp!$I$4:$I$4503,_imp!$C$3730))</f>
        <v/>
      </c>
      <c r="G3728" s="54">
        <f>IF(_imp!$C$3730="","",INDEX(_imp!$J$4:$J$4503,_imp!$C$3730))</f>
        <v/>
      </c>
      <c r="K3728" s="54">
        <f>IF(_imp!$C$3730="","",INDEX(_imp!$K$4:$K$4503,_imp!$C$3730))</f>
        <v/>
      </c>
    </row>
    <row r="3729">
      <c r="A3729" s="54">
        <f>IF(_imp!$C$3731="","",INDEX(_imp!$D$4:$D$4503,_imp!$C$3731))</f>
        <v/>
      </c>
      <c r="B3729" s="54">
        <f>IF(_imp!$C$3731="","",INDEX(_imp!$E$4:$E$4503,_imp!$C$3731))</f>
        <v/>
      </c>
      <c r="C3729" s="54">
        <f>IF(_imp!$C$3731="","",INDEX(_imp!$F$4:$F$4503,_imp!$C$3731))</f>
        <v/>
      </c>
      <c r="D3729" s="54">
        <f>IF(_imp!$C$3731="","",INDEX(_imp!$G$4:$G$4503,_imp!$C$3731))</f>
        <v/>
      </c>
      <c r="E3729" s="54">
        <f>IF(_imp!$C$3731="","",INDEX(_imp!$H$4:$H$4503,_imp!$C$3731))</f>
        <v/>
      </c>
      <c r="F3729" s="54">
        <f>IF(_imp!$C$3731="","",INDEX(_imp!$I$4:$I$4503,_imp!$C$3731))</f>
        <v/>
      </c>
      <c r="G3729" s="54">
        <f>IF(_imp!$C$3731="","",INDEX(_imp!$J$4:$J$4503,_imp!$C$3731))</f>
        <v/>
      </c>
      <c r="K3729" s="54">
        <f>IF(_imp!$C$3731="","",INDEX(_imp!$K$4:$K$4503,_imp!$C$3731))</f>
        <v/>
      </c>
    </row>
    <row r="3730">
      <c r="A3730" s="54">
        <f>IF(_imp!$C$3732="","",INDEX(_imp!$D$4:$D$4503,_imp!$C$3732))</f>
        <v/>
      </c>
      <c r="B3730" s="54">
        <f>IF(_imp!$C$3732="","",INDEX(_imp!$E$4:$E$4503,_imp!$C$3732))</f>
        <v/>
      </c>
      <c r="C3730" s="54">
        <f>IF(_imp!$C$3732="","",INDEX(_imp!$F$4:$F$4503,_imp!$C$3732))</f>
        <v/>
      </c>
      <c r="D3730" s="54">
        <f>IF(_imp!$C$3732="","",INDEX(_imp!$G$4:$G$4503,_imp!$C$3732))</f>
        <v/>
      </c>
      <c r="E3730" s="54">
        <f>IF(_imp!$C$3732="","",INDEX(_imp!$H$4:$H$4503,_imp!$C$3732))</f>
        <v/>
      </c>
      <c r="F3730" s="54">
        <f>IF(_imp!$C$3732="","",INDEX(_imp!$I$4:$I$4503,_imp!$C$3732))</f>
        <v/>
      </c>
      <c r="G3730" s="54">
        <f>IF(_imp!$C$3732="","",INDEX(_imp!$J$4:$J$4503,_imp!$C$3732))</f>
        <v/>
      </c>
      <c r="K3730" s="54">
        <f>IF(_imp!$C$3732="","",INDEX(_imp!$K$4:$K$4503,_imp!$C$3732))</f>
        <v/>
      </c>
    </row>
    <row r="3731">
      <c r="A3731" s="54">
        <f>IF(_imp!$C$3733="","",INDEX(_imp!$D$4:$D$4503,_imp!$C$3733))</f>
        <v/>
      </c>
      <c r="B3731" s="54">
        <f>IF(_imp!$C$3733="","",INDEX(_imp!$E$4:$E$4503,_imp!$C$3733))</f>
        <v/>
      </c>
      <c r="C3731" s="54">
        <f>IF(_imp!$C$3733="","",INDEX(_imp!$F$4:$F$4503,_imp!$C$3733))</f>
        <v/>
      </c>
      <c r="D3731" s="54">
        <f>IF(_imp!$C$3733="","",INDEX(_imp!$G$4:$G$4503,_imp!$C$3733))</f>
        <v/>
      </c>
      <c r="E3731" s="54">
        <f>IF(_imp!$C$3733="","",INDEX(_imp!$H$4:$H$4503,_imp!$C$3733))</f>
        <v/>
      </c>
      <c r="F3731" s="54">
        <f>IF(_imp!$C$3733="","",INDEX(_imp!$I$4:$I$4503,_imp!$C$3733))</f>
        <v/>
      </c>
      <c r="G3731" s="54">
        <f>IF(_imp!$C$3733="","",INDEX(_imp!$J$4:$J$4503,_imp!$C$3733))</f>
        <v/>
      </c>
      <c r="K3731" s="54">
        <f>IF(_imp!$C$3733="","",INDEX(_imp!$K$4:$K$4503,_imp!$C$3733))</f>
        <v/>
      </c>
    </row>
    <row r="3732">
      <c r="A3732" s="54">
        <f>IF(_imp!$C$3734="","",INDEX(_imp!$D$4:$D$4503,_imp!$C$3734))</f>
        <v/>
      </c>
      <c r="B3732" s="54">
        <f>IF(_imp!$C$3734="","",INDEX(_imp!$E$4:$E$4503,_imp!$C$3734))</f>
        <v/>
      </c>
      <c r="C3732" s="54">
        <f>IF(_imp!$C$3734="","",INDEX(_imp!$F$4:$F$4503,_imp!$C$3734))</f>
        <v/>
      </c>
      <c r="D3732" s="54">
        <f>IF(_imp!$C$3734="","",INDEX(_imp!$G$4:$G$4503,_imp!$C$3734))</f>
        <v/>
      </c>
      <c r="E3732" s="54">
        <f>IF(_imp!$C$3734="","",INDEX(_imp!$H$4:$H$4503,_imp!$C$3734))</f>
        <v/>
      </c>
      <c r="F3732" s="54">
        <f>IF(_imp!$C$3734="","",INDEX(_imp!$I$4:$I$4503,_imp!$C$3734))</f>
        <v/>
      </c>
      <c r="G3732" s="54">
        <f>IF(_imp!$C$3734="","",INDEX(_imp!$J$4:$J$4503,_imp!$C$3734))</f>
        <v/>
      </c>
      <c r="K3732" s="54">
        <f>IF(_imp!$C$3734="","",INDEX(_imp!$K$4:$K$4503,_imp!$C$3734))</f>
        <v/>
      </c>
    </row>
    <row r="3733">
      <c r="A3733" s="54">
        <f>IF(_imp!$C$3735="","",INDEX(_imp!$D$4:$D$4503,_imp!$C$3735))</f>
        <v/>
      </c>
      <c r="B3733" s="54">
        <f>IF(_imp!$C$3735="","",INDEX(_imp!$E$4:$E$4503,_imp!$C$3735))</f>
        <v/>
      </c>
      <c r="C3733" s="54">
        <f>IF(_imp!$C$3735="","",INDEX(_imp!$F$4:$F$4503,_imp!$C$3735))</f>
        <v/>
      </c>
      <c r="D3733" s="54">
        <f>IF(_imp!$C$3735="","",INDEX(_imp!$G$4:$G$4503,_imp!$C$3735))</f>
        <v/>
      </c>
      <c r="E3733" s="54">
        <f>IF(_imp!$C$3735="","",INDEX(_imp!$H$4:$H$4503,_imp!$C$3735))</f>
        <v/>
      </c>
      <c r="F3733" s="54">
        <f>IF(_imp!$C$3735="","",INDEX(_imp!$I$4:$I$4503,_imp!$C$3735))</f>
        <v/>
      </c>
      <c r="G3733" s="54">
        <f>IF(_imp!$C$3735="","",INDEX(_imp!$J$4:$J$4503,_imp!$C$3735))</f>
        <v/>
      </c>
      <c r="K3733" s="54">
        <f>IF(_imp!$C$3735="","",INDEX(_imp!$K$4:$K$4503,_imp!$C$3735))</f>
        <v/>
      </c>
    </row>
    <row r="3734">
      <c r="A3734" s="54">
        <f>IF(_imp!$C$3736="","",INDEX(_imp!$D$4:$D$4503,_imp!$C$3736))</f>
        <v/>
      </c>
      <c r="B3734" s="54">
        <f>IF(_imp!$C$3736="","",INDEX(_imp!$E$4:$E$4503,_imp!$C$3736))</f>
        <v/>
      </c>
      <c r="C3734" s="54">
        <f>IF(_imp!$C$3736="","",INDEX(_imp!$F$4:$F$4503,_imp!$C$3736))</f>
        <v/>
      </c>
      <c r="D3734" s="54">
        <f>IF(_imp!$C$3736="","",INDEX(_imp!$G$4:$G$4503,_imp!$C$3736))</f>
        <v/>
      </c>
      <c r="E3734" s="54">
        <f>IF(_imp!$C$3736="","",INDEX(_imp!$H$4:$H$4503,_imp!$C$3736))</f>
        <v/>
      </c>
      <c r="F3734" s="54">
        <f>IF(_imp!$C$3736="","",INDEX(_imp!$I$4:$I$4503,_imp!$C$3736))</f>
        <v/>
      </c>
      <c r="G3734" s="54">
        <f>IF(_imp!$C$3736="","",INDEX(_imp!$J$4:$J$4503,_imp!$C$3736))</f>
        <v/>
      </c>
      <c r="K3734" s="54">
        <f>IF(_imp!$C$3736="","",INDEX(_imp!$K$4:$K$4503,_imp!$C$3736))</f>
        <v/>
      </c>
    </row>
    <row r="3735">
      <c r="A3735" s="54">
        <f>IF(_imp!$C$3737="","",INDEX(_imp!$D$4:$D$4503,_imp!$C$3737))</f>
        <v/>
      </c>
      <c r="B3735" s="54">
        <f>IF(_imp!$C$3737="","",INDEX(_imp!$E$4:$E$4503,_imp!$C$3737))</f>
        <v/>
      </c>
      <c r="C3735" s="54">
        <f>IF(_imp!$C$3737="","",INDEX(_imp!$F$4:$F$4503,_imp!$C$3737))</f>
        <v/>
      </c>
      <c r="D3735" s="54">
        <f>IF(_imp!$C$3737="","",INDEX(_imp!$G$4:$G$4503,_imp!$C$3737))</f>
        <v/>
      </c>
      <c r="E3735" s="54">
        <f>IF(_imp!$C$3737="","",INDEX(_imp!$H$4:$H$4503,_imp!$C$3737))</f>
        <v/>
      </c>
      <c r="F3735" s="54">
        <f>IF(_imp!$C$3737="","",INDEX(_imp!$I$4:$I$4503,_imp!$C$3737))</f>
        <v/>
      </c>
      <c r="G3735" s="54">
        <f>IF(_imp!$C$3737="","",INDEX(_imp!$J$4:$J$4503,_imp!$C$3737))</f>
        <v/>
      </c>
      <c r="K3735" s="54">
        <f>IF(_imp!$C$3737="","",INDEX(_imp!$K$4:$K$4503,_imp!$C$3737))</f>
        <v/>
      </c>
    </row>
    <row r="3736">
      <c r="A3736" s="54">
        <f>IF(_imp!$C$3738="","",INDEX(_imp!$D$4:$D$4503,_imp!$C$3738))</f>
        <v/>
      </c>
      <c r="B3736" s="54">
        <f>IF(_imp!$C$3738="","",INDEX(_imp!$E$4:$E$4503,_imp!$C$3738))</f>
        <v/>
      </c>
      <c r="C3736" s="54">
        <f>IF(_imp!$C$3738="","",INDEX(_imp!$F$4:$F$4503,_imp!$C$3738))</f>
        <v/>
      </c>
      <c r="D3736" s="54">
        <f>IF(_imp!$C$3738="","",INDEX(_imp!$G$4:$G$4503,_imp!$C$3738))</f>
        <v/>
      </c>
      <c r="E3736" s="54">
        <f>IF(_imp!$C$3738="","",INDEX(_imp!$H$4:$H$4503,_imp!$C$3738))</f>
        <v/>
      </c>
      <c r="F3736" s="54">
        <f>IF(_imp!$C$3738="","",INDEX(_imp!$I$4:$I$4503,_imp!$C$3738))</f>
        <v/>
      </c>
      <c r="G3736" s="54">
        <f>IF(_imp!$C$3738="","",INDEX(_imp!$J$4:$J$4503,_imp!$C$3738))</f>
        <v/>
      </c>
      <c r="K3736" s="54">
        <f>IF(_imp!$C$3738="","",INDEX(_imp!$K$4:$K$4503,_imp!$C$3738))</f>
        <v/>
      </c>
    </row>
    <row r="3737">
      <c r="A3737" s="54">
        <f>IF(_imp!$C$3739="","",INDEX(_imp!$D$4:$D$4503,_imp!$C$3739))</f>
        <v/>
      </c>
      <c r="B3737" s="54">
        <f>IF(_imp!$C$3739="","",INDEX(_imp!$E$4:$E$4503,_imp!$C$3739))</f>
        <v/>
      </c>
      <c r="C3737" s="54">
        <f>IF(_imp!$C$3739="","",INDEX(_imp!$F$4:$F$4503,_imp!$C$3739))</f>
        <v/>
      </c>
      <c r="D3737" s="54">
        <f>IF(_imp!$C$3739="","",INDEX(_imp!$G$4:$G$4503,_imp!$C$3739))</f>
        <v/>
      </c>
      <c r="E3737" s="54">
        <f>IF(_imp!$C$3739="","",INDEX(_imp!$H$4:$H$4503,_imp!$C$3739))</f>
        <v/>
      </c>
      <c r="F3737" s="54">
        <f>IF(_imp!$C$3739="","",INDEX(_imp!$I$4:$I$4503,_imp!$C$3739))</f>
        <v/>
      </c>
      <c r="G3737" s="54">
        <f>IF(_imp!$C$3739="","",INDEX(_imp!$J$4:$J$4503,_imp!$C$3739))</f>
        <v/>
      </c>
      <c r="K3737" s="54">
        <f>IF(_imp!$C$3739="","",INDEX(_imp!$K$4:$K$4503,_imp!$C$3739))</f>
        <v/>
      </c>
    </row>
    <row r="3738">
      <c r="A3738" s="54">
        <f>IF(_imp!$C$3740="","",INDEX(_imp!$D$4:$D$4503,_imp!$C$3740))</f>
        <v/>
      </c>
      <c r="B3738" s="54">
        <f>IF(_imp!$C$3740="","",INDEX(_imp!$E$4:$E$4503,_imp!$C$3740))</f>
        <v/>
      </c>
      <c r="C3738" s="54">
        <f>IF(_imp!$C$3740="","",INDEX(_imp!$F$4:$F$4503,_imp!$C$3740))</f>
        <v/>
      </c>
      <c r="D3738" s="54">
        <f>IF(_imp!$C$3740="","",INDEX(_imp!$G$4:$G$4503,_imp!$C$3740))</f>
        <v/>
      </c>
      <c r="E3738" s="54">
        <f>IF(_imp!$C$3740="","",INDEX(_imp!$H$4:$H$4503,_imp!$C$3740))</f>
        <v/>
      </c>
      <c r="F3738" s="54">
        <f>IF(_imp!$C$3740="","",INDEX(_imp!$I$4:$I$4503,_imp!$C$3740))</f>
        <v/>
      </c>
      <c r="G3738" s="54">
        <f>IF(_imp!$C$3740="","",INDEX(_imp!$J$4:$J$4503,_imp!$C$3740))</f>
        <v/>
      </c>
      <c r="K3738" s="54">
        <f>IF(_imp!$C$3740="","",INDEX(_imp!$K$4:$K$4503,_imp!$C$3740))</f>
        <v/>
      </c>
    </row>
    <row r="3739">
      <c r="A3739" s="54">
        <f>IF(_imp!$C$3741="","",INDEX(_imp!$D$4:$D$4503,_imp!$C$3741))</f>
        <v/>
      </c>
      <c r="B3739" s="54">
        <f>IF(_imp!$C$3741="","",INDEX(_imp!$E$4:$E$4503,_imp!$C$3741))</f>
        <v/>
      </c>
      <c r="C3739" s="54">
        <f>IF(_imp!$C$3741="","",INDEX(_imp!$F$4:$F$4503,_imp!$C$3741))</f>
        <v/>
      </c>
      <c r="D3739" s="54">
        <f>IF(_imp!$C$3741="","",INDEX(_imp!$G$4:$G$4503,_imp!$C$3741))</f>
        <v/>
      </c>
      <c r="E3739" s="54">
        <f>IF(_imp!$C$3741="","",INDEX(_imp!$H$4:$H$4503,_imp!$C$3741))</f>
        <v/>
      </c>
      <c r="F3739" s="54">
        <f>IF(_imp!$C$3741="","",INDEX(_imp!$I$4:$I$4503,_imp!$C$3741))</f>
        <v/>
      </c>
      <c r="G3739" s="54">
        <f>IF(_imp!$C$3741="","",INDEX(_imp!$J$4:$J$4503,_imp!$C$3741))</f>
        <v/>
      </c>
      <c r="K3739" s="54">
        <f>IF(_imp!$C$3741="","",INDEX(_imp!$K$4:$K$4503,_imp!$C$3741))</f>
        <v/>
      </c>
    </row>
    <row r="3740">
      <c r="A3740" s="54">
        <f>IF(_imp!$C$3742="","",INDEX(_imp!$D$4:$D$4503,_imp!$C$3742))</f>
        <v/>
      </c>
      <c r="B3740" s="54">
        <f>IF(_imp!$C$3742="","",INDEX(_imp!$E$4:$E$4503,_imp!$C$3742))</f>
        <v/>
      </c>
      <c r="C3740" s="54">
        <f>IF(_imp!$C$3742="","",INDEX(_imp!$F$4:$F$4503,_imp!$C$3742))</f>
        <v/>
      </c>
      <c r="D3740" s="54">
        <f>IF(_imp!$C$3742="","",INDEX(_imp!$G$4:$G$4503,_imp!$C$3742))</f>
        <v/>
      </c>
      <c r="E3740" s="54">
        <f>IF(_imp!$C$3742="","",INDEX(_imp!$H$4:$H$4503,_imp!$C$3742))</f>
        <v/>
      </c>
      <c r="F3740" s="54">
        <f>IF(_imp!$C$3742="","",INDEX(_imp!$I$4:$I$4503,_imp!$C$3742))</f>
        <v/>
      </c>
      <c r="G3740" s="54">
        <f>IF(_imp!$C$3742="","",INDEX(_imp!$J$4:$J$4503,_imp!$C$3742))</f>
        <v/>
      </c>
      <c r="K3740" s="54">
        <f>IF(_imp!$C$3742="","",INDEX(_imp!$K$4:$K$4503,_imp!$C$3742))</f>
        <v/>
      </c>
    </row>
    <row r="3741">
      <c r="A3741" s="54">
        <f>IF(_imp!$C$3743="","",INDEX(_imp!$D$4:$D$4503,_imp!$C$3743))</f>
        <v/>
      </c>
      <c r="B3741" s="54">
        <f>IF(_imp!$C$3743="","",INDEX(_imp!$E$4:$E$4503,_imp!$C$3743))</f>
        <v/>
      </c>
      <c r="C3741" s="54">
        <f>IF(_imp!$C$3743="","",INDEX(_imp!$F$4:$F$4503,_imp!$C$3743))</f>
        <v/>
      </c>
      <c r="D3741" s="54">
        <f>IF(_imp!$C$3743="","",INDEX(_imp!$G$4:$G$4503,_imp!$C$3743))</f>
        <v/>
      </c>
      <c r="E3741" s="54">
        <f>IF(_imp!$C$3743="","",INDEX(_imp!$H$4:$H$4503,_imp!$C$3743))</f>
        <v/>
      </c>
      <c r="F3741" s="54">
        <f>IF(_imp!$C$3743="","",INDEX(_imp!$I$4:$I$4503,_imp!$C$3743))</f>
        <v/>
      </c>
      <c r="G3741" s="54">
        <f>IF(_imp!$C$3743="","",INDEX(_imp!$J$4:$J$4503,_imp!$C$3743))</f>
        <v/>
      </c>
      <c r="K3741" s="54">
        <f>IF(_imp!$C$3743="","",INDEX(_imp!$K$4:$K$4503,_imp!$C$3743))</f>
        <v/>
      </c>
    </row>
    <row r="3742">
      <c r="A3742" s="54">
        <f>IF(_imp!$C$3744="","",INDEX(_imp!$D$4:$D$4503,_imp!$C$3744))</f>
        <v/>
      </c>
      <c r="B3742" s="54">
        <f>IF(_imp!$C$3744="","",INDEX(_imp!$E$4:$E$4503,_imp!$C$3744))</f>
        <v/>
      </c>
      <c r="C3742" s="54">
        <f>IF(_imp!$C$3744="","",INDEX(_imp!$F$4:$F$4503,_imp!$C$3744))</f>
        <v/>
      </c>
      <c r="D3742" s="54">
        <f>IF(_imp!$C$3744="","",INDEX(_imp!$G$4:$G$4503,_imp!$C$3744))</f>
        <v/>
      </c>
      <c r="E3742" s="54">
        <f>IF(_imp!$C$3744="","",INDEX(_imp!$H$4:$H$4503,_imp!$C$3744))</f>
        <v/>
      </c>
      <c r="F3742" s="54">
        <f>IF(_imp!$C$3744="","",INDEX(_imp!$I$4:$I$4503,_imp!$C$3744))</f>
        <v/>
      </c>
      <c r="G3742" s="54">
        <f>IF(_imp!$C$3744="","",INDEX(_imp!$J$4:$J$4503,_imp!$C$3744))</f>
        <v/>
      </c>
      <c r="K3742" s="54">
        <f>IF(_imp!$C$3744="","",INDEX(_imp!$K$4:$K$4503,_imp!$C$3744))</f>
        <v/>
      </c>
    </row>
    <row r="3743">
      <c r="A3743" s="54">
        <f>IF(_imp!$C$3745="","",INDEX(_imp!$D$4:$D$4503,_imp!$C$3745))</f>
        <v/>
      </c>
      <c r="B3743" s="54">
        <f>IF(_imp!$C$3745="","",INDEX(_imp!$E$4:$E$4503,_imp!$C$3745))</f>
        <v/>
      </c>
      <c r="C3743" s="54">
        <f>IF(_imp!$C$3745="","",INDEX(_imp!$F$4:$F$4503,_imp!$C$3745))</f>
        <v/>
      </c>
      <c r="D3743" s="54">
        <f>IF(_imp!$C$3745="","",INDEX(_imp!$G$4:$G$4503,_imp!$C$3745))</f>
        <v/>
      </c>
      <c r="E3743" s="54">
        <f>IF(_imp!$C$3745="","",INDEX(_imp!$H$4:$H$4503,_imp!$C$3745))</f>
        <v/>
      </c>
      <c r="F3743" s="54">
        <f>IF(_imp!$C$3745="","",INDEX(_imp!$I$4:$I$4503,_imp!$C$3745))</f>
        <v/>
      </c>
      <c r="G3743" s="54">
        <f>IF(_imp!$C$3745="","",INDEX(_imp!$J$4:$J$4503,_imp!$C$3745))</f>
        <v/>
      </c>
      <c r="K3743" s="54">
        <f>IF(_imp!$C$3745="","",INDEX(_imp!$K$4:$K$4503,_imp!$C$3745))</f>
        <v/>
      </c>
    </row>
    <row r="3744">
      <c r="A3744" s="54">
        <f>IF(_imp!$C$3746="","",INDEX(_imp!$D$4:$D$4503,_imp!$C$3746))</f>
        <v/>
      </c>
      <c r="B3744" s="54">
        <f>IF(_imp!$C$3746="","",INDEX(_imp!$E$4:$E$4503,_imp!$C$3746))</f>
        <v/>
      </c>
      <c r="C3744" s="54">
        <f>IF(_imp!$C$3746="","",INDEX(_imp!$F$4:$F$4503,_imp!$C$3746))</f>
        <v/>
      </c>
      <c r="D3744" s="54">
        <f>IF(_imp!$C$3746="","",INDEX(_imp!$G$4:$G$4503,_imp!$C$3746))</f>
        <v/>
      </c>
      <c r="E3744" s="54">
        <f>IF(_imp!$C$3746="","",INDEX(_imp!$H$4:$H$4503,_imp!$C$3746))</f>
        <v/>
      </c>
      <c r="F3744" s="54">
        <f>IF(_imp!$C$3746="","",INDEX(_imp!$I$4:$I$4503,_imp!$C$3746))</f>
        <v/>
      </c>
      <c r="G3744" s="54">
        <f>IF(_imp!$C$3746="","",INDEX(_imp!$J$4:$J$4503,_imp!$C$3746))</f>
        <v/>
      </c>
      <c r="K3744" s="54">
        <f>IF(_imp!$C$3746="","",INDEX(_imp!$K$4:$K$4503,_imp!$C$3746))</f>
        <v/>
      </c>
    </row>
    <row r="3745">
      <c r="A3745" s="54">
        <f>IF(_imp!$C$3747="","",INDEX(_imp!$D$4:$D$4503,_imp!$C$3747))</f>
        <v/>
      </c>
      <c r="B3745" s="54">
        <f>IF(_imp!$C$3747="","",INDEX(_imp!$E$4:$E$4503,_imp!$C$3747))</f>
        <v/>
      </c>
      <c r="C3745" s="54">
        <f>IF(_imp!$C$3747="","",INDEX(_imp!$F$4:$F$4503,_imp!$C$3747))</f>
        <v/>
      </c>
      <c r="D3745" s="54">
        <f>IF(_imp!$C$3747="","",INDEX(_imp!$G$4:$G$4503,_imp!$C$3747))</f>
        <v/>
      </c>
      <c r="E3745" s="54">
        <f>IF(_imp!$C$3747="","",INDEX(_imp!$H$4:$H$4503,_imp!$C$3747))</f>
        <v/>
      </c>
      <c r="F3745" s="54">
        <f>IF(_imp!$C$3747="","",INDEX(_imp!$I$4:$I$4503,_imp!$C$3747))</f>
        <v/>
      </c>
      <c r="G3745" s="54">
        <f>IF(_imp!$C$3747="","",INDEX(_imp!$J$4:$J$4503,_imp!$C$3747))</f>
        <v/>
      </c>
      <c r="K3745" s="54">
        <f>IF(_imp!$C$3747="","",INDEX(_imp!$K$4:$K$4503,_imp!$C$3747))</f>
        <v/>
      </c>
    </row>
    <row r="3746">
      <c r="A3746" s="54">
        <f>IF(_imp!$C$3748="","",INDEX(_imp!$D$4:$D$4503,_imp!$C$3748))</f>
        <v/>
      </c>
      <c r="B3746" s="54">
        <f>IF(_imp!$C$3748="","",INDEX(_imp!$E$4:$E$4503,_imp!$C$3748))</f>
        <v/>
      </c>
      <c r="C3746" s="54">
        <f>IF(_imp!$C$3748="","",INDEX(_imp!$F$4:$F$4503,_imp!$C$3748))</f>
        <v/>
      </c>
      <c r="D3746" s="54">
        <f>IF(_imp!$C$3748="","",INDEX(_imp!$G$4:$G$4503,_imp!$C$3748))</f>
        <v/>
      </c>
      <c r="E3746" s="54">
        <f>IF(_imp!$C$3748="","",INDEX(_imp!$H$4:$H$4503,_imp!$C$3748))</f>
        <v/>
      </c>
      <c r="F3746" s="54">
        <f>IF(_imp!$C$3748="","",INDEX(_imp!$I$4:$I$4503,_imp!$C$3748))</f>
        <v/>
      </c>
      <c r="G3746" s="54">
        <f>IF(_imp!$C$3748="","",INDEX(_imp!$J$4:$J$4503,_imp!$C$3748))</f>
        <v/>
      </c>
      <c r="K3746" s="54">
        <f>IF(_imp!$C$3748="","",INDEX(_imp!$K$4:$K$4503,_imp!$C$3748))</f>
        <v/>
      </c>
    </row>
    <row r="3747">
      <c r="A3747" s="54">
        <f>IF(_imp!$C$3749="","",INDEX(_imp!$D$4:$D$4503,_imp!$C$3749))</f>
        <v/>
      </c>
      <c r="B3747" s="54">
        <f>IF(_imp!$C$3749="","",INDEX(_imp!$E$4:$E$4503,_imp!$C$3749))</f>
        <v/>
      </c>
      <c r="C3747" s="54">
        <f>IF(_imp!$C$3749="","",INDEX(_imp!$F$4:$F$4503,_imp!$C$3749))</f>
        <v/>
      </c>
      <c r="D3747" s="54">
        <f>IF(_imp!$C$3749="","",INDEX(_imp!$G$4:$G$4503,_imp!$C$3749))</f>
        <v/>
      </c>
      <c r="E3747" s="54">
        <f>IF(_imp!$C$3749="","",INDEX(_imp!$H$4:$H$4503,_imp!$C$3749))</f>
        <v/>
      </c>
      <c r="F3747" s="54">
        <f>IF(_imp!$C$3749="","",INDEX(_imp!$I$4:$I$4503,_imp!$C$3749))</f>
        <v/>
      </c>
      <c r="G3747" s="54">
        <f>IF(_imp!$C$3749="","",INDEX(_imp!$J$4:$J$4503,_imp!$C$3749))</f>
        <v/>
      </c>
      <c r="K3747" s="54">
        <f>IF(_imp!$C$3749="","",INDEX(_imp!$K$4:$K$4503,_imp!$C$3749))</f>
        <v/>
      </c>
    </row>
    <row r="3748">
      <c r="A3748" s="54">
        <f>IF(_imp!$C$3750="","",INDEX(_imp!$D$4:$D$4503,_imp!$C$3750))</f>
        <v/>
      </c>
      <c r="B3748" s="54">
        <f>IF(_imp!$C$3750="","",INDEX(_imp!$E$4:$E$4503,_imp!$C$3750))</f>
        <v/>
      </c>
      <c r="C3748" s="54">
        <f>IF(_imp!$C$3750="","",INDEX(_imp!$F$4:$F$4503,_imp!$C$3750))</f>
        <v/>
      </c>
      <c r="D3748" s="54">
        <f>IF(_imp!$C$3750="","",INDEX(_imp!$G$4:$G$4503,_imp!$C$3750))</f>
        <v/>
      </c>
      <c r="E3748" s="54">
        <f>IF(_imp!$C$3750="","",INDEX(_imp!$H$4:$H$4503,_imp!$C$3750))</f>
        <v/>
      </c>
      <c r="F3748" s="54">
        <f>IF(_imp!$C$3750="","",INDEX(_imp!$I$4:$I$4503,_imp!$C$3750))</f>
        <v/>
      </c>
      <c r="G3748" s="54">
        <f>IF(_imp!$C$3750="","",INDEX(_imp!$J$4:$J$4503,_imp!$C$3750))</f>
        <v/>
      </c>
      <c r="K3748" s="54">
        <f>IF(_imp!$C$3750="","",INDEX(_imp!$K$4:$K$4503,_imp!$C$3750))</f>
        <v/>
      </c>
    </row>
    <row r="3749">
      <c r="A3749" s="54">
        <f>IF(_imp!$C$3751="","",INDEX(_imp!$D$4:$D$4503,_imp!$C$3751))</f>
        <v/>
      </c>
      <c r="B3749" s="54">
        <f>IF(_imp!$C$3751="","",INDEX(_imp!$E$4:$E$4503,_imp!$C$3751))</f>
        <v/>
      </c>
      <c r="C3749" s="54">
        <f>IF(_imp!$C$3751="","",INDEX(_imp!$F$4:$F$4503,_imp!$C$3751))</f>
        <v/>
      </c>
      <c r="D3749" s="54">
        <f>IF(_imp!$C$3751="","",INDEX(_imp!$G$4:$G$4503,_imp!$C$3751))</f>
        <v/>
      </c>
      <c r="E3749" s="54">
        <f>IF(_imp!$C$3751="","",INDEX(_imp!$H$4:$H$4503,_imp!$C$3751))</f>
        <v/>
      </c>
      <c r="F3749" s="54">
        <f>IF(_imp!$C$3751="","",INDEX(_imp!$I$4:$I$4503,_imp!$C$3751))</f>
        <v/>
      </c>
      <c r="G3749" s="54">
        <f>IF(_imp!$C$3751="","",INDEX(_imp!$J$4:$J$4503,_imp!$C$3751))</f>
        <v/>
      </c>
      <c r="K3749" s="54">
        <f>IF(_imp!$C$3751="","",INDEX(_imp!$K$4:$K$4503,_imp!$C$3751))</f>
        <v/>
      </c>
    </row>
    <row r="3750">
      <c r="A3750" s="54">
        <f>IF(_imp!$C$3752="","",INDEX(_imp!$D$4:$D$4503,_imp!$C$3752))</f>
        <v/>
      </c>
      <c r="B3750" s="54">
        <f>IF(_imp!$C$3752="","",INDEX(_imp!$E$4:$E$4503,_imp!$C$3752))</f>
        <v/>
      </c>
      <c r="C3750" s="54">
        <f>IF(_imp!$C$3752="","",INDEX(_imp!$F$4:$F$4503,_imp!$C$3752))</f>
        <v/>
      </c>
      <c r="D3750" s="54">
        <f>IF(_imp!$C$3752="","",INDEX(_imp!$G$4:$G$4503,_imp!$C$3752))</f>
        <v/>
      </c>
      <c r="E3750" s="54">
        <f>IF(_imp!$C$3752="","",INDEX(_imp!$H$4:$H$4503,_imp!$C$3752))</f>
        <v/>
      </c>
      <c r="F3750" s="54">
        <f>IF(_imp!$C$3752="","",INDEX(_imp!$I$4:$I$4503,_imp!$C$3752))</f>
        <v/>
      </c>
      <c r="G3750" s="54">
        <f>IF(_imp!$C$3752="","",INDEX(_imp!$J$4:$J$4503,_imp!$C$3752))</f>
        <v/>
      </c>
      <c r="K3750" s="54">
        <f>IF(_imp!$C$3752="","",INDEX(_imp!$K$4:$K$4503,_imp!$C$3752))</f>
        <v/>
      </c>
    </row>
    <row r="3751">
      <c r="A3751" s="54">
        <f>IF(_imp!$C$3753="","",INDEX(_imp!$D$4:$D$4503,_imp!$C$3753))</f>
        <v/>
      </c>
      <c r="B3751" s="54">
        <f>IF(_imp!$C$3753="","",INDEX(_imp!$E$4:$E$4503,_imp!$C$3753))</f>
        <v/>
      </c>
      <c r="C3751" s="54">
        <f>IF(_imp!$C$3753="","",INDEX(_imp!$F$4:$F$4503,_imp!$C$3753))</f>
        <v/>
      </c>
      <c r="D3751" s="54">
        <f>IF(_imp!$C$3753="","",INDEX(_imp!$G$4:$G$4503,_imp!$C$3753))</f>
        <v/>
      </c>
      <c r="E3751" s="54">
        <f>IF(_imp!$C$3753="","",INDEX(_imp!$H$4:$H$4503,_imp!$C$3753))</f>
        <v/>
      </c>
      <c r="F3751" s="54">
        <f>IF(_imp!$C$3753="","",INDEX(_imp!$I$4:$I$4503,_imp!$C$3753))</f>
        <v/>
      </c>
      <c r="G3751" s="54">
        <f>IF(_imp!$C$3753="","",INDEX(_imp!$J$4:$J$4503,_imp!$C$3753))</f>
        <v/>
      </c>
      <c r="K3751" s="54">
        <f>IF(_imp!$C$3753="","",INDEX(_imp!$K$4:$K$4503,_imp!$C$3753))</f>
        <v/>
      </c>
    </row>
    <row r="3752">
      <c r="A3752" s="54">
        <f>IF(_imp!$C$3754="","",INDEX(_imp!$D$4:$D$4503,_imp!$C$3754))</f>
        <v/>
      </c>
      <c r="B3752" s="54">
        <f>IF(_imp!$C$3754="","",INDEX(_imp!$E$4:$E$4503,_imp!$C$3754))</f>
        <v/>
      </c>
      <c r="C3752" s="54">
        <f>IF(_imp!$C$3754="","",INDEX(_imp!$F$4:$F$4503,_imp!$C$3754))</f>
        <v/>
      </c>
      <c r="D3752" s="54">
        <f>IF(_imp!$C$3754="","",INDEX(_imp!$G$4:$G$4503,_imp!$C$3754))</f>
        <v/>
      </c>
      <c r="E3752" s="54">
        <f>IF(_imp!$C$3754="","",INDEX(_imp!$H$4:$H$4503,_imp!$C$3754))</f>
        <v/>
      </c>
      <c r="F3752" s="54">
        <f>IF(_imp!$C$3754="","",INDEX(_imp!$I$4:$I$4503,_imp!$C$3754))</f>
        <v/>
      </c>
      <c r="G3752" s="54">
        <f>IF(_imp!$C$3754="","",INDEX(_imp!$J$4:$J$4503,_imp!$C$3754))</f>
        <v/>
      </c>
      <c r="K3752" s="54">
        <f>IF(_imp!$C$3754="","",INDEX(_imp!$K$4:$K$4503,_imp!$C$3754))</f>
        <v/>
      </c>
    </row>
    <row r="3753">
      <c r="A3753" s="54">
        <f>IF(_imp!$C$3755="","",INDEX(_imp!$D$4:$D$4503,_imp!$C$3755))</f>
        <v/>
      </c>
      <c r="B3753" s="54">
        <f>IF(_imp!$C$3755="","",INDEX(_imp!$E$4:$E$4503,_imp!$C$3755))</f>
        <v/>
      </c>
      <c r="C3753" s="54">
        <f>IF(_imp!$C$3755="","",INDEX(_imp!$F$4:$F$4503,_imp!$C$3755))</f>
        <v/>
      </c>
      <c r="D3753" s="54">
        <f>IF(_imp!$C$3755="","",INDEX(_imp!$G$4:$G$4503,_imp!$C$3755))</f>
        <v/>
      </c>
      <c r="E3753" s="54">
        <f>IF(_imp!$C$3755="","",INDEX(_imp!$H$4:$H$4503,_imp!$C$3755))</f>
        <v/>
      </c>
      <c r="F3753" s="54">
        <f>IF(_imp!$C$3755="","",INDEX(_imp!$I$4:$I$4503,_imp!$C$3755))</f>
        <v/>
      </c>
      <c r="G3753" s="54">
        <f>IF(_imp!$C$3755="","",INDEX(_imp!$J$4:$J$4503,_imp!$C$3755))</f>
        <v/>
      </c>
      <c r="K3753" s="54">
        <f>IF(_imp!$C$3755="","",INDEX(_imp!$K$4:$K$4503,_imp!$C$3755))</f>
        <v/>
      </c>
    </row>
    <row r="3754">
      <c r="A3754" s="54">
        <f>IF(_imp!$C$3756="","",INDEX(_imp!$D$4:$D$4503,_imp!$C$3756))</f>
        <v/>
      </c>
      <c r="B3754" s="54">
        <f>IF(_imp!$C$3756="","",INDEX(_imp!$E$4:$E$4503,_imp!$C$3756))</f>
        <v/>
      </c>
      <c r="C3754" s="54">
        <f>IF(_imp!$C$3756="","",INDEX(_imp!$F$4:$F$4503,_imp!$C$3756))</f>
        <v/>
      </c>
      <c r="D3754" s="54">
        <f>IF(_imp!$C$3756="","",INDEX(_imp!$G$4:$G$4503,_imp!$C$3756))</f>
        <v/>
      </c>
      <c r="E3754" s="54">
        <f>IF(_imp!$C$3756="","",INDEX(_imp!$H$4:$H$4503,_imp!$C$3756))</f>
        <v/>
      </c>
      <c r="F3754" s="54">
        <f>IF(_imp!$C$3756="","",INDEX(_imp!$I$4:$I$4503,_imp!$C$3756))</f>
        <v/>
      </c>
      <c r="G3754" s="54">
        <f>IF(_imp!$C$3756="","",INDEX(_imp!$J$4:$J$4503,_imp!$C$3756))</f>
        <v/>
      </c>
      <c r="K3754" s="54">
        <f>IF(_imp!$C$3756="","",INDEX(_imp!$K$4:$K$4503,_imp!$C$3756))</f>
        <v/>
      </c>
    </row>
    <row r="3755">
      <c r="A3755" s="54">
        <f>IF(_imp!$C$3757="","",INDEX(_imp!$D$4:$D$4503,_imp!$C$3757))</f>
        <v/>
      </c>
      <c r="B3755" s="54">
        <f>IF(_imp!$C$3757="","",INDEX(_imp!$E$4:$E$4503,_imp!$C$3757))</f>
        <v/>
      </c>
      <c r="C3755" s="54">
        <f>IF(_imp!$C$3757="","",INDEX(_imp!$F$4:$F$4503,_imp!$C$3757))</f>
        <v/>
      </c>
      <c r="D3755" s="54">
        <f>IF(_imp!$C$3757="","",INDEX(_imp!$G$4:$G$4503,_imp!$C$3757))</f>
        <v/>
      </c>
      <c r="E3755" s="54">
        <f>IF(_imp!$C$3757="","",INDEX(_imp!$H$4:$H$4503,_imp!$C$3757))</f>
        <v/>
      </c>
      <c r="F3755" s="54">
        <f>IF(_imp!$C$3757="","",INDEX(_imp!$I$4:$I$4503,_imp!$C$3757))</f>
        <v/>
      </c>
      <c r="G3755" s="54">
        <f>IF(_imp!$C$3757="","",INDEX(_imp!$J$4:$J$4503,_imp!$C$3757))</f>
        <v/>
      </c>
      <c r="K3755" s="54">
        <f>IF(_imp!$C$3757="","",INDEX(_imp!$K$4:$K$4503,_imp!$C$3757))</f>
        <v/>
      </c>
    </row>
    <row r="3756">
      <c r="A3756" s="54">
        <f>IF(_imp!$C$3758="","",INDEX(_imp!$D$4:$D$4503,_imp!$C$3758))</f>
        <v/>
      </c>
      <c r="B3756" s="54">
        <f>IF(_imp!$C$3758="","",INDEX(_imp!$E$4:$E$4503,_imp!$C$3758))</f>
        <v/>
      </c>
      <c r="C3756" s="54">
        <f>IF(_imp!$C$3758="","",INDEX(_imp!$F$4:$F$4503,_imp!$C$3758))</f>
        <v/>
      </c>
      <c r="D3756" s="54">
        <f>IF(_imp!$C$3758="","",INDEX(_imp!$G$4:$G$4503,_imp!$C$3758))</f>
        <v/>
      </c>
      <c r="E3756" s="54">
        <f>IF(_imp!$C$3758="","",INDEX(_imp!$H$4:$H$4503,_imp!$C$3758))</f>
        <v/>
      </c>
      <c r="F3756" s="54">
        <f>IF(_imp!$C$3758="","",INDEX(_imp!$I$4:$I$4503,_imp!$C$3758))</f>
        <v/>
      </c>
      <c r="G3756" s="54">
        <f>IF(_imp!$C$3758="","",INDEX(_imp!$J$4:$J$4503,_imp!$C$3758))</f>
        <v/>
      </c>
      <c r="K3756" s="54">
        <f>IF(_imp!$C$3758="","",INDEX(_imp!$K$4:$K$4503,_imp!$C$3758))</f>
        <v/>
      </c>
    </row>
    <row r="3757">
      <c r="A3757" s="54">
        <f>IF(_imp!$C$3759="","",INDEX(_imp!$D$4:$D$4503,_imp!$C$3759))</f>
        <v/>
      </c>
      <c r="B3757" s="54">
        <f>IF(_imp!$C$3759="","",INDEX(_imp!$E$4:$E$4503,_imp!$C$3759))</f>
        <v/>
      </c>
      <c r="C3757" s="54">
        <f>IF(_imp!$C$3759="","",INDEX(_imp!$F$4:$F$4503,_imp!$C$3759))</f>
        <v/>
      </c>
      <c r="D3757" s="54">
        <f>IF(_imp!$C$3759="","",INDEX(_imp!$G$4:$G$4503,_imp!$C$3759))</f>
        <v/>
      </c>
      <c r="E3757" s="54">
        <f>IF(_imp!$C$3759="","",INDEX(_imp!$H$4:$H$4503,_imp!$C$3759))</f>
        <v/>
      </c>
      <c r="F3757" s="54">
        <f>IF(_imp!$C$3759="","",INDEX(_imp!$I$4:$I$4503,_imp!$C$3759))</f>
        <v/>
      </c>
      <c r="G3757" s="54">
        <f>IF(_imp!$C$3759="","",INDEX(_imp!$J$4:$J$4503,_imp!$C$3759))</f>
        <v/>
      </c>
      <c r="K3757" s="54">
        <f>IF(_imp!$C$3759="","",INDEX(_imp!$K$4:$K$4503,_imp!$C$3759))</f>
        <v/>
      </c>
    </row>
    <row r="3758">
      <c r="A3758" s="54">
        <f>IF(_imp!$C$3760="","",INDEX(_imp!$D$4:$D$4503,_imp!$C$3760))</f>
        <v/>
      </c>
      <c r="B3758" s="54">
        <f>IF(_imp!$C$3760="","",INDEX(_imp!$E$4:$E$4503,_imp!$C$3760))</f>
        <v/>
      </c>
      <c r="C3758" s="54">
        <f>IF(_imp!$C$3760="","",INDEX(_imp!$F$4:$F$4503,_imp!$C$3760))</f>
        <v/>
      </c>
      <c r="D3758" s="54">
        <f>IF(_imp!$C$3760="","",INDEX(_imp!$G$4:$G$4503,_imp!$C$3760))</f>
        <v/>
      </c>
      <c r="E3758" s="54">
        <f>IF(_imp!$C$3760="","",INDEX(_imp!$H$4:$H$4503,_imp!$C$3760))</f>
        <v/>
      </c>
      <c r="F3758" s="54">
        <f>IF(_imp!$C$3760="","",INDEX(_imp!$I$4:$I$4503,_imp!$C$3760))</f>
        <v/>
      </c>
      <c r="G3758" s="54">
        <f>IF(_imp!$C$3760="","",INDEX(_imp!$J$4:$J$4503,_imp!$C$3760))</f>
        <v/>
      </c>
      <c r="K3758" s="54">
        <f>IF(_imp!$C$3760="","",INDEX(_imp!$K$4:$K$4503,_imp!$C$3760))</f>
        <v/>
      </c>
    </row>
    <row r="3759">
      <c r="A3759" s="54">
        <f>IF(_imp!$C$3761="","",INDEX(_imp!$D$4:$D$4503,_imp!$C$3761))</f>
        <v/>
      </c>
      <c r="B3759" s="54">
        <f>IF(_imp!$C$3761="","",INDEX(_imp!$E$4:$E$4503,_imp!$C$3761))</f>
        <v/>
      </c>
      <c r="C3759" s="54">
        <f>IF(_imp!$C$3761="","",INDEX(_imp!$F$4:$F$4503,_imp!$C$3761))</f>
        <v/>
      </c>
      <c r="D3759" s="54">
        <f>IF(_imp!$C$3761="","",INDEX(_imp!$G$4:$G$4503,_imp!$C$3761))</f>
        <v/>
      </c>
      <c r="E3759" s="54">
        <f>IF(_imp!$C$3761="","",INDEX(_imp!$H$4:$H$4503,_imp!$C$3761))</f>
        <v/>
      </c>
      <c r="F3759" s="54">
        <f>IF(_imp!$C$3761="","",INDEX(_imp!$I$4:$I$4503,_imp!$C$3761))</f>
        <v/>
      </c>
      <c r="G3759" s="54">
        <f>IF(_imp!$C$3761="","",INDEX(_imp!$J$4:$J$4503,_imp!$C$3761))</f>
        <v/>
      </c>
      <c r="K3759" s="54">
        <f>IF(_imp!$C$3761="","",INDEX(_imp!$K$4:$K$4503,_imp!$C$3761))</f>
        <v/>
      </c>
    </row>
    <row r="3760">
      <c r="A3760" s="54">
        <f>IF(_imp!$C$3762="","",INDEX(_imp!$D$4:$D$4503,_imp!$C$3762))</f>
        <v/>
      </c>
      <c r="B3760" s="54">
        <f>IF(_imp!$C$3762="","",INDEX(_imp!$E$4:$E$4503,_imp!$C$3762))</f>
        <v/>
      </c>
      <c r="C3760" s="54">
        <f>IF(_imp!$C$3762="","",INDEX(_imp!$F$4:$F$4503,_imp!$C$3762))</f>
        <v/>
      </c>
      <c r="D3760" s="54">
        <f>IF(_imp!$C$3762="","",INDEX(_imp!$G$4:$G$4503,_imp!$C$3762))</f>
        <v/>
      </c>
      <c r="E3760" s="54">
        <f>IF(_imp!$C$3762="","",INDEX(_imp!$H$4:$H$4503,_imp!$C$3762))</f>
        <v/>
      </c>
      <c r="F3760" s="54">
        <f>IF(_imp!$C$3762="","",INDEX(_imp!$I$4:$I$4503,_imp!$C$3762))</f>
        <v/>
      </c>
      <c r="G3760" s="54">
        <f>IF(_imp!$C$3762="","",INDEX(_imp!$J$4:$J$4503,_imp!$C$3762))</f>
        <v/>
      </c>
      <c r="K3760" s="54">
        <f>IF(_imp!$C$3762="","",INDEX(_imp!$K$4:$K$4503,_imp!$C$3762))</f>
        <v/>
      </c>
    </row>
    <row r="3761">
      <c r="A3761" s="54">
        <f>IF(_imp!$C$3763="","",INDEX(_imp!$D$4:$D$4503,_imp!$C$3763))</f>
        <v/>
      </c>
      <c r="B3761" s="54">
        <f>IF(_imp!$C$3763="","",INDEX(_imp!$E$4:$E$4503,_imp!$C$3763))</f>
        <v/>
      </c>
      <c r="C3761" s="54">
        <f>IF(_imp!$C$3763="","",INDEX(_imp!$F$4:$F$4503,_imp!$C$3763))</f>
        <v/>
      </c>
      <c r="D3761" s="54">
        <f>IF(_imp!$C$3763="","",INDEX(_imp!$G$4:$G$4503,_imp!$C$3763))</f>
        <v/>
      </c>
      <c r="E3761" s="54">
        <f>IF(_imp!$C$3763="","",INDEX(_imp!$H$4:$H$4503,_imp!$C$3763))</f>
        <v/>
      </c>
      <c r="F3761" s="54">
        <f>IF(_imp!$C$3763="","",INDEX(_imp!$I$4:$I$4503,_imp!$C$3763))</f>
        <v/>
      </c>
      <c r="G3761" s="54">
        <f>IF(_imp!$C$3763="","",INDEX(_imp!$J$4:$J$4503,_imp!$C$3763))</f>
        <v/>
      </c>
      <c r="K3761" s="54">
        <f>IF(_imp!$C$3763="","",INDEX(_imp!$K$4:$K$4503,_imp!$C$3763))</f>
        <v/>
      </c>
    </row>
    <row r="3762">
      <c r="A3762" s="54">
        <f>IF(_imp!$C$3764="","",INDEX(_imp!$D$4:$D$4503,_imp!$C$3764))</f>
        <v/>
      </c>
      <c r="B3762" s="54">
        <f>IF(_imp!$C$3764="","",INDEX(_imp!$E$4:$E$4503,_imp!$C$3764))</f>
        <v/>
      </c>
      <c r="C3762" s="54">
        <f>IF(_imp!$C$3764="","",INDEX(_imp!$F$4:$F$4503,_imp!$C$3764))</f>
        <v/>
      </c>
      <c r="D3762" s="54">
        <f>IF(_imp!$C$3764="","",INDEX(_imp!$G$4:$G$4503,_imp!$C$3764))</f>
        <v/>
      </c>
      <c r="E3762" s="54">
        <f>IF(_imp!$C$3764="","",INDEX(_imp!$H$4:$H$4503,_imp!$C$3764))</f>
        <v/>
      </c>
      <c r="F3762" s="54">
        <f>IF(_imp!$C$3764="","",INDEX(_imp!$I$4:$I$4503,_imp!$C$3764))</f>
        <v/>
      </c>
      <c r="G3762" s="54">
        <f>IF(_imp!$C$3764="","",INDEX(_imp!$J$4:$J$4503,_imp!$C$3764))</f>
        <v/>
      </c>
      <c r="K3762" s="54">
        <f>IF(_imp!$C$3764="","",INDEX(_imp!$K$4:$K$4503,_imp!$C$3764))</f>
        <v/>
      </c>
    </row>
    <row r="3763">
      <c r="A3763" s="54">
        <f>IF(_imp!$C$3765="","",INDEX(_imp!$D$4:$D$4503,_imp!$C$3765))</f>
        <v/>
      </c>
      <c r="B3763" s="54">
        <f>IF(_imp!$C$3765="","",INDEX(_imp!$E$4:$E$4503,_imp!$C$3765))</f>
        <v/>
      </c>
      <c r="C3763" s="54">
        <f>IF(_imp!$C$3765="","",INDEX(_imp!$F$4:$F$4503,_imp!$C$3765))</f>
        <v/>
      </c>
      <c r="D3763" s="54">
        <f>IF(_imp!$C$3765="","",INDEX(_imp!$G$4:$G$4503,_imp!$C$3765))</f>
        <v/>
      </c>
      <c r="E3763" s="54">
        <f>IF(_imp!$C$3765="","",INDEX(_imp!$H$4:$H$4503,_imp!$C$3765))</f>
        <v/>
      </c>
      <c r="F3763" s="54">
        <f>IF(_imp!$C$3765="","",INDEX(_imp!$I$4:$I$4503,_imp!$C$3765))</f>
        <v/>
      </c>
      <c r="G3763" s="54">
        <f>IF(_imp!$C$3765="","",INDEX(_imp!$J$4:$J$4503,_imp!$C$3765))</f>
        <v/>
      </c>
      <c r="K3763" s="54">
        <f>IF(_imp!$C$3765="","",INDEX(_imp!$K$4:$K$4503,_imp!$C$3765))</f>
        <v/>
      </c>
    </row>
    <row r="3764">
      <c r="A3764" s="54">
        <f>IF(_imp!$C$3766="","",INDEX(_imp!$D$4:$D$4503,_imp!$C$3766))</f>
        <v/>
      </c>
      <c r="B3764" s="54">
        <f>IF(_imp!$C$3766="","",INDEX(_imp!$E$4:$E$4503,_imp!$C$3766))</f>
        <v/>
      </c>
      <c r="C3764" s="54">
        <f>IF(_imp!$C$3766="","",INDEX(_imp!$F$4:$F$4503,_imp!$C$3766))</f>
        <v/>
      </c>
      <c r="D3764" s="54">
        <f>IF(_imp!$C$3766="","",INDEX(_imp!$G$4:$G$4503,_imp!$C$3766))</f>
        <v/>
      </c>
      <c r="E3764" s="54">
        <f>IF(_imp!$C$3766="","",INDEX(_imp!$H$4:$H$4503,_imp!$C$3766))</f>
        <v/>
      </c>
      <c r="F3764" s="54">
        <f>IF(_imp!$C$3766="","",INDEX(_imp!$I$4:$I$4503,_imp!$C$3766))</f>
        <v/>
      </c>
      <c r="G3764" s="54">
        <f>IF(_imp!$C$3766="","",INDEX(_imp!$J$4:$J$4503,_imp!$C$3766))</f>
        <v/>
      </c>
      <c r="K3764" s="54">
        <f>IF(_imp!$C$3766="","",INDEX(_imp!$K$4:$K$4503,_imp!$C$3766))</f>
        <v/>
      </c>
    </row>
    <row r="3765">
      <c r="A3765" s="54">
        <f>IF(_imp!$C$3767="","",INDEX(_imp!$D$4:$D$4503,_imp!$C$3767))</f>
        <v/>
      </c>
      <c r="B3765" s="54">
        <f>IF(_imp!$C$3767="","",INDEX(_imp!$E$4:$E$4503,_imp!$C$3767))</f>
        <v/>
      </c>
      <c r="C3765" s="54">
        <f>IF(_imp!$C$3767="","",INDEX(_imp!$F$4:$F$4503,_imp!$C$3767))</f>
        <v/>
      </c>
      <c r="D3765" s="54">
        <f>IF(_imp!$C$3767="","",INDEX(_imp!$G$4:$G$4503,_imp!$C$3767))</f>
        <v/>
      </c>
      <c r="E3765" s="54">
        <f>IF(_imp!$C$3767="","",INDEX(_imp!$H$4:$H$4503,_imp!$C$3767))</f>
        <v/>
      </c>
      <c r="F3765" s="54">
        <f>IF(_imp!$C$3767="","",INDEX(_imp!$I$4:$I$4503,_imp!$C$3767))</f>
        <v/>
      </c>
      <c r="G3765" s="54">
        <f>IF(_imp!$C$3767="","",INDEX(_imp!$J$4:$J$4503,_imp!$C$3767))</f>
        <v/>
      </c>
      <c r="K3765" s="54">
        <f>IF(_imp!$C$3767="","",INDEX(_imp!$K$4:$K$4503,_imp!$C$3767))</f>
        <v/>
      </c>
    </row>
    <row r="3766">
      <c r="A3766" s="54">
        <f>IF(_imp!$C$3768="","",INDEX(_imp!$D$4:$D$4503,_imp!$C$3768))</f>
        <v/>
      </c>
      <c r="B3766" s="54">
        <f>IF(_imp!$C$3768="","",INDEX(_imp!$E$4:$E$4503,_imp!$C$3768))</f>
        <v/>
      </c>
      <c r="C3766" s="54">
        <f>IF(_imp!$C$3768="","",INDEX(_imp!$F$4:$F$4503,_imp!$C$3768))</f>
        <v/>
      </c>
      <c r="D3766" s="54">
        <f>IF(_imp!$C$3768="","",INDEX(_imp!$G$4:$G$4503,_imp!$C$3768))</f>
        <v/>
      </c>
      <c r="E3766" s="54">
        <f>IF(_imp!$C$3768="","",INDEX(_imp!$H$4:$H$4503,_imp!$C$3768))</f>
        <v/>
      </c>
      <c r="F3766" s="54">
        <f>IF(_imp!$C$3768="","",INDEX(_imp!$I$4:$I$4503,_imp!$C$3768))</f>
        <v/>
      </c>
      <c r="G3766" s="54">
        <f>IF(_imp!$C$3768="","",INDEX(_imp!$J$4:$J$4503,_imp!$C$3768))</f>
        <v/>
      </c>
      <c r="K3766" s="54">
        <f>IF(_imp!$C$3768="","",INDEX(_imp!$K$4:$K$4503,_imp!$C$3768))</f>
        <v/>
      </c>
    </row>
    <row r="3767">
      <c r="A3767" s="54">
        <f>IF(_imp!$C$3769="","",INDEX(_imp!$D$4:$D$4503,_imp!$C$3769))</f>
        <v/>
      </c>
      <c r="B3767" s="54">
        <f>IF(_imp!$C$3769="","",INDEX(_imp!$E$4:$E$4503,_imp!$C$3769))</f>
        <v/>
      </c>
      <c r="C3767" s="54">
        <f>IF(_imp!$C$3769="","",INDEX(_imp!$F$4:$F$4503,_imp!$C$3769))</f>
        <v/>
      </c>
      <c r="D3767" s="54">
        <f>IF(_imp!$C$3769="","",INDEX(_imp!$G$4:$G$4503,_imp!$C$3769))</f>
        <v/>
      </c>
      <c r="E3767" s="54">
        <f>IF(_imp!$C$3769="","",INDEX(_imp!$H$4:$H$4503,_imp!$C$3769))</f>
        <v/>
      </c>
      <c r="F3767" s="54">
        <f>IF(_imp!$C$3769="","",INDEX(_imp!$I$4:$I$4503,_imp!$C$3769))</f>
        <v/>
      </c>
      <c r="G3767" s="54">
        <f>IF(_imp!$C$3769="","",INDEX(_imp!$J$4:$J$4503,_imp!$C$3769))</f>
        <v/>
      </c>
      <c r="K3767" s="54">
        <f>IF(_imp!$C$3769="","",INDEX(_imp!$K$4:$K$4503,_imp!$C$3769))</f>
        <v/>
      </c>
    </row>
    <row r="3768">
      <c r="A3768" s="54">
        <f>IF(_imp!$C$3770="","",INDEX(_imp!$D$4:$D$4503,_imp!$C$3770))</f>
        <v/>
      </c>
      <c r="B3768" s="54">
        <f>IF(_imp!$C$3770="","",INDEX(_imp!$E$4:$E$4503,_imp!$C$3770))</f>
        <v/>
      </c>
      <c r="C3768" s="54">
        <f>IF(_imp!$C$3770="","",INDEX(_imp!$F$4:$F$4503,_imp!$C$3770))</f>
        <v/>
      </c>
      <c r="D3768" s="54">
        <f>IF(_imp!$C$3770="","",INDEX(_imp!$G$4:$G$4503,_imp!$C$3770))</f>
        <v/>
      </c>
      <c r="E3768" s="54">
        <f>IF(_imp!$C$3770="","",INDEX(_imp!$H$4:$H$4503,_imp!$C$3770))</f>
        <v/>
      </c>
      <c r="F3768" s="54">
        <f>IF(_imp!$C$3770="","",INDEX(_imp!$I$4:$I$4503,_imp!$C$3770))</f>
        <v/>
      </c>
      <c r="G3768" s="54">
        <f>IF(_imp!$C$3770="","",INDEX(_imp!$J$4:$J$4503,_imp!$C$3770))</f>
        <v/>
      </c>
      <c r="K3768" s="54">
        <f>IF(_imp!$C$3770="","",INDEX(_imp!$K$4:$K$4503,_imp!$C$3770))</f>
        <v/>
      </c>
    </row>
    <row r="3769">
      <c r="A3769" s="54">
        <f>IF(_imp!$C$3771="","",INDEX(_imp!$D$4:$D$4503,_imp!$C$3771))</f>
        <v/>
      </c>
      <c r="B3769" s="54">
        <f>IF(_imp!$C$3771="","",INDEX(_imp!$E$4:$E$4503,_imp!$C$3771))</f>
        <v/>
      </c>
      <c r="C3769" s="54">
        <f>IF(_imp!$C$3771="","",INDEX(_imp!$F$4:$F$4503,_imp!$C$3771))</f>
        <v/>
      </c>
      <c r="D3769" s="54">
        <f>IF(_imp!$C$3771="","",INDEX(_imp!$G$4:$G$4503,_imp!$C$3771))</f>
        <v/>
      </c>
      <c r="E3769" s="54">
        <f>IF(_imp!$C$3771="","",INDEX(_imp!$H$4:$H$4503,_imp!$C$3771))</f>
        <v/>
      </c>
      <c r="F3769" s="54">
        <f>IF(_imp!$C$3771="","",INDEX(_imp!$I$4:$I$4503,_imp!$C$3771))</f>
        <v/>
      </c>
      <c r="G3769" s="54">
        <f>IF(_imp!$C$3771="","",INDEX(_imp!$J$4:$J$4503,_imp!$C$3771))</f>
        <v/>
      </c>
      <c r="K3769" s="54">
        <f>IF(_imp!$C$3771="","",INDEX(_imp!$K$4:$K$4503,_imp!$C$3771))</f>
        <v/>
      </c>
    </row>
    <row r="3770">
      <c r="A3770" s="54">
        <f>IF(_imp!$C$3772="","",INDEX(_imp!$D$4:$D$4503,_imp!$C$3772))</f>
        <v/>
      </c>
      <c r="B3770" s="54">
        <f>IF(_imp!$C$3772="","",INDEX(_imp!$E$4:$E$4503,_imp!$C$3772))</f>
        <v/>
      </c>
      <c r="C3770" s="54">
        <f>IF(_imp!$C$3772="","",INDEX(_imp!$F$4:$F$4503,_imp!$C$3772))</f>
        <v/>
      </c>
      <c r="D3770" s="54">
        <f>IF(_imp!$C$3772="","",INDEX(_imp!$G$4:$G$4503,_imp!$C$3772))</f>
        <v/>
      </c>
      <c r="E3770" s="54">
        <f>IF(_imp!$C$3772="","",INDEX(_imp!$H$4:$H$4503,_imp!$C$3772))</f>
        <v/>
      </c>
      <c r="F3770" s="54">
        <f>IF(_imp!$C$3772="","",INDEX(_imp!$I$4:$I$4503,_imp!$C$3772))</f>
        <v/>
      </c>
      <c r="G3770" s="54">
        <f>IF(_imp!$C$3772="","",INDEX(_imp!$J$4:$J$4503,_imp!$C$3772))</f>
        <v/>
      </c>
      <c r="K3770" s="54">
        <f>IF(_imp!$C$3772="","",INDEX(_imp!$K$4:$K$4503,_imp!$C$3772))</f>
        <v/>
      </c>
    </row>
    <row r="3771">
      <c r="A3771" s="54">
        <f>IF(_imp!$C$3773="","",INDEX(_imp!$D$4:$D$4503,_imp!$C$3773))</f>
        <v/>
      </c>
      <c r="B3771" s="54">
        <f>IF(_imp!$C$3773="","",INDEX(_imp!$E$4:$E$4503,_imp!$C$3773))</f>
        <v/>
      </c>
      <c r="C3771" s="54">
        <f>IF(_imp!$C$3773="","",INDEX(_imp!$F$4:$F$4503,_imp!$C$3773))</f>
        <v/>
      </c>
      <c r="D3771" s="54">
        <f>IF(_imp!$C$3773="","",INDEX(_imp!$G$4:$G$4503,_imp!$C$3773))</f>
        <v/>
      </c>
      <c r="E3771" s="54">
        <f>IF(_imp!$C$3773="","",INDEX(_imp!$H$4:$H$4503,_imp!$C$3773))</f>
        <v/>
      </c>
      <c r="F3771" s="54">
        <f>IF(_imp!$C$3773="","",INDEX(_imp!$I$4:$I$4503,_imp!$C$3773))</f>
        <v/>
      </c>
      <c r="G3771" s="54">
        <f>IF(_imp!$C$3773="","",INDEX(_imp!$J$4:$J$4503,_imp!$C$3773))</f>
        <v/>
      </c>
      <c r="K3771" s="54">
        <f>IF(_imp!$C$3773="","",INDEX(_imp!$K$4:$K$4503,_imp!$C$3773))</f>
        <v/>
      </c>
    </row>
    <row r="3772">
      <c r="A3772" s="54">
        <f>IF(_imp!$C$3774="","",INDEX(_imp!$D$4:$D$4503,_imp!$C$3774))</f>
        <v/>
      </c>
      <c r="B3772" s="54">
        <f>IF(_imp!$C$3774="","",INDEX(_imp!$E$4:$E$4503,_imp!$C$3774))</f>
        <v/>
      </c>
      <c r="C3772" s="54">
        <f>IF(_imp!$C$3774="","",INDEX(_imp!$F$4:$F$4503,_imp!$C$3774))</f>
        <v/>
      </c>
      <c r="D3772" s="54">
        <f>IF(_imp!$C$3774="","",INDEX(_imp!$G$4:$G$4503,_imp!$C$3774))</f>
        <v/>
      </c>
      <c r="E3772" s="54">
        <f>IF(_imp!$C$3774="","",INDEX(_imp!$H$4:$H$4503,_imp!$C$3774))</f>
        <v/>
      </c>
      <c r="F3772" s="54">
        <f>IF(_imp!$C$3774="","",INDEX(_imp!$I$4:$I$4503,_imp!$C$3774))</f>
        <v/>
      </c>
      <c r="G3772" s="54">
        <f>IF(_imp!$C$3774="","",INDEX(_imp!$J$4:$J$4503,_imp!$C$3774))</f>
        <v/>
      </c>
      <c r="K3772" s="54">
        <f>IF(_imp!$C$3774="","",INDEX(_imp!$K$4:$K$4503,_imp!$C$3774))</f>
        <v/>
      </c>
    </row>
    <row r="3773">
      <c r="A3773" s="54">
        <f>IF(_imp!$C$3775="","",INDEX(_imp!$D$4:$D$4503,_imp!$C$3775))</f>
        <v/>
      </c>
      <c r="B3773" s="54">
        <f>IF(_imp!$C$3775="","",INDEX(_imp!$E$4:$E$4503,_imp!$C$3775))</f>
        <v/>
      </c>
      <c r="C3773" s="54">
        <f>IF(_imp!$C$3775="","",INDEX(_imp!$F$4:$F$4503,_imp!$C$3775))</f>
        <v/>
      </c>
      <c r="D3773" s="54">
        <f>IF(_imp!$C$3775="","",INDEX(_imp!$G$4:$G$4503,_imp!$C$3775))</f>
        <v/>
      </c>
      <c r="E3773" s="54">
        <f>IF(_imp!$C$3775="","",INDEX(_imp!$H$4:$H$4503,_imp!$C$3775))</f>
        <v/>
      </c>
      <c r="F3773" s="54">
        <f>IF(_imp!$C$3775="","",INDEX(_imp!$I$4:$I$4503,_imp!$C$3775))</f>
        <v/>
      </c>
      <c r="G3773" s="54">
        <f>IF(_imp!$C$3775="","",INDEX(_imp!$J$4:$J$4503,_imp!$C$3775))</f>
        <v/>
      </c>
      <c r="K3773" s="54">
        <f>IF(_imp!$C$3775="","",INDEX(_imp!$K$4:$K$4503,_imp!$C$3775))</f>
        <v/>
      </c>
    </row>
    <row r="3774">
      <c r="A3774" s="54">
        <f>IF(_imp!$C$3776="","",INDEX(_imp!$D$4:$D$4503,_imp!$C$3776))</f>
        <v/>
      </c>
      <c r="B3774" s="54">
        <f>IF(_imp!$C$3776="","",INDEX(_imp!$E$4:$E$4503,_imp!$C$3776))</f>
        <v/>
      </c>
      <c r="C3774" s="54">
        <f>IF(_imp!$C$3776="","",INDEX(_imp!$F$4:$F$4503,_imp!$C$3776))</f>
        <v/>
      </c>
      <c r="D3774" s="54">
        <f>IF(_imp!$C$3776="","",INDEX(_imp!$G$4:$G$4503,_imp!$C$3776))</f>
        <v/>
      </c>
      <c r="E3774" s="54">
        <f>IF(_imp!$C$3776="","",INDEX(_imp!$H$4:$H$4503,_imp!$C$3776))</f>
        <v/>
      </c>
      <c r="F3774" s="54">
        <f>IF(_imp!$C$3776="","",INDEX(_imp!$I$4:$I$4503,_imp!$C$3776))</f>
        <v/>
      </c>
      <c r="G3774" s="54">
        <f>IF(_imp!$C$3776="","",INDEX(_imp!$J$4:$J$4503,_imp!$C$3776))</f>
        <v/>
      </c>
      <c r="K3774" s="54">
        <f>IF(_imp!$C$3776="","",INDEX(_imp!$K$4:$K$4503,_imp!$C$3776))</f>
        <v/>
      </c>
    </row>
    <row r="3775">
      <c r="A3775" s="54">
        <f>IF(_imp!$C$3777="","",INDEX(_imp!$D$4:$D$4503,_imp!$C$3777))</f>
        <v/>
      </c>
      <c r="B3775" s="54">
        <f>IF(_imp!$C$3777="","",INDEX(_imp!$E$4:$E$4503,_imp!$C$3777))</f>
        <v/>
      </c>
      <c r="C3775" s="54">
        <f>IF(_imp!$C$3777="","",INDEX(_imp!$F$4:$F$4503,_imp!$C$3777))</f>
        <v/>
      </c>
      <c r="D3775" s="54">
        <f>IF(_imp!$C$3777="","",INDEX(_imp!$G$4:$G$4503,_imp!$C$3777))</f>
        <v/>
      </c>
      <c r="E3775" s="54">
        <f>IF(_imp!$C$3777="","",INDEX(_imp!$H$4:$H$4503,_imp!$C$3777))</f>
        <v/>
      </c>
      <c r="F3775" s="54">
        <f>IF(_imp!$C$3777="","",INDEX(_imp!$I$4:$I$4503,_imp!$C$3777))</f>
        <v/>
      </c>
      <c r="G3775" s="54">
        <f>IF(_imp!$C$3777="","",INDEX(_imp!$J$4:$J$4503,_imp!$C$3777))</f>
        <v/>
      </c>
      <c r="K3775" s="54">
        <f>IF(_imp!$C$3777="","",INDEX(_imp!$K$4:$K$4503,_imp!$C$3777))</f>
        <v/>
      </c>
    </row>
    <row r="3776">
      <c r="A3776" s="54">
        <f>IF(_imp!$C$3778="","",INDEX(_imp!$D$4:$D$4503,_imp!$C$3778))</f>
        <v/>
      </c>
      <c r="B3776" s="54">
        <f>IF(_imp!$C$3778="","",INDEX(_imp!$E$4:$E$4503,_imp!$C$3778))</f>
        <v/>
      </c>
      <c r="C3776" s="54">
        <f>IF(_imp!$C$3778="","",INDEX(_imp!$F$4:$F$4503,_imp!$C$3778))</f>
        <v/>
      </c>
      <c r="D3776" s="54">
        <f>IF(_imp!$C$3778="","",INDEX(_imp!$G$4:$G$4503,_imp!$C$3778))</f>
        <v/>
      </c>
      <c r="E3776" s="54">
        <f>IF(_imp!$C$3778="","",INDEX(_imp!$H$4:$H$4503,_imp!$C$3778))</f>
        <v/>
      </c>
      <c r="F3776" s="54">
        <f>IF(_imp!$C$3778="","",INDEX(_imp!$I$4:$I$4503,_imp!$C$3778))</f>
        <v/>
      </c>
      <c r="G3776" s="54">
        <f>IF(_imp!$C$3778="","",INDEX(_imp!$J$4:$J$4503,_imp!$C$3778))</f>
        <v/>
      </c>
      <c r="K3776" s="54">
        <f>IF(_imp!$C$3778="","",INDEX(_imp!$K$4:$K$4503,_imp!$C$3778))</f>
        <v/>
      </c>
    </row>
    <row r="3777">
      <c r="A3777" s="54">
        <f>IF(_imp!$C$3779="","",INDEX(_imp!$D$4:$D$4503,_imp!$C$3779))</f>
        <v/>
      </c>
      <c r="B3777" s="54">
        <f>IF(_imp!$C$3779="","",INDEX(_imp!$E$4:$E$4503,_imp!$C$3779))</f>
        <v/>
      </c>
      <c r="C3777" s="54">
        <f>IF(_imp!$C$3779="","",INDEX(_imp!$F$4:$F$4503,_imp!$C$3779))</f>
        <v/>
      </c>
      <c r="D3777" s="54">
        <f>IF(_imp!$C$3779="","",INDEX(_imp!$G$4:$G$4503,_imp!$C$3779))</f>
        <v/>
      </c>
      <c r="E3777" s="54">
        <f>IF(_imp!$C$3779="","",INDEX(_imp!$H$4:$H$4503,_imp!$C$3779))</f>
        <v/>
      </c>
      <c r="F3777" s="54">
        <f>IF(_imp!$C$3779="","",INDEX(_imp!$I$4:$I$4503,_imp!$C$3779))</f>
        <v/>
      </c>
      <c r="G3777" s="54">
        <f>IF(_imp!$C$3779="","",INDEX(_imp!$J$4:$J$4503,_imp!$C$3779))</f>
        <v/>
      </c>
      <c r="K3777" s="54">
        <f>IF(_imp!$C$3779="","",INDEX(_imp!$K$4:$K$4503,_imp!$C$3779))</f>
        <v/>
      </c>
    </row>
    <row r="3778">
      <c r="A3778" s="54">
        <f>IF(_imp!$C$3780="","",INDEX(_imp!$D$4:$D$4503,_imp!$C$3780))</f>
        <v/>
      </c>
      <c r="B3778" s="54">
        <f>IF(_imp!$C$3780="","",INDEX(_imp!$E$4:$E$4503,_imp!$C$3780))</f>
        <v/>
      </c>
      <c r="C3778" s="54">
        <f>IF(_imp!$C$3780="","",INDEX(_imp!$F$4:$F$4503,_imp!$C$3780))</f>
        <v/>
      </c>
      <c r="D3778" s="54">
        <f>IF(_imp!$C$3780="","",INDEX(_imp!$G$4:$G$4503,_imp!$C$3780))</f>
        <v/>
      </c>
      <c r="E3778" s="54">
        <f>IF(_imp!$C$3780="","",INDEX(_imp!$H$4:$H$4503,_imp!$C$3780))</f>
        <v/>
      </c>
      <c r="F3778" s="54">
        <f>IF(_imp!$C$3780="","",INDEX(_imp!$I$4:$I$4503,_imp!$C$3780))</f>
        <v/>
      </c>
      <c r="G3778" s="54">
        <f>IF(_imp!$C$3780="","",INDEX(_imp!$J$4:$J$4503,_imp!$C$3780))</f>
        <v/>
      </c>
      <c r="K3778" s="54">
        <f>IF(_imp!$C$3780="","",INDEX(_imp!$K$4:$K$4503,_imp!$C$3780))</f>
        <v/>
      </c>
    </row>
    <row r="3779">
      <c r="A3779" s="54">
        <f>IF(_imp!$C$3781="","",INDEX(_imp!$D$4:$D$4503,_imp!$C$3781))</f>
        <v/>
      </c>
      <c r="B3779" s="54">
        <f>IF(_imp!$C$3781="","",INDEX(_imp!$E$4:$E$4503,_imp!$C$3781))</f>
        <v/>
      </c>
      <c r="C3779" s="54">
        <f>IF(_imp!$C$3781="","",INDEX(_imp!$F$4:$F$4503,_imp!$C$3781))</f>
        <v/>
      </c>
      <c r="D3779" s="54">
        <f>IF(_imp!$C$3781="","",INDEX(_imp!$G$4:$G$4503,_imp!$C$3781))</f>
        <v/>
      </c>
      <c r="E3779" s="54">
        <f>IF(_imp!$C$3781="","",INDEX(_imp!$H$4:$H$4503,_imp!$C$3781))</f>
        <v/>
      </c>
      <c r="F3779" s="54">
        <f>IF(_imp!$C$3781="","",INDEX(_imp!$I$4:$I$4503,_imp!$C$3781))</f>
        <v/>
      </c>
      <c r="G3779" s="54">
        <f>IF(_imp!$C$3781="","",INDEX(_imp!$J$4:$J$4503,_imp!$C$3781))</f>
        <v/>
      </c>
      <c r="K3779" s="54">
        <f>IF(_imp!$C$3781="","",INDEX(_imp!$K$4:$K$4503,_imp!$C$3781))</f>
        <v/>
      </c>
    </row>
    <row r="3780">
      <c r="A3780" s="54">
        <f>IF(_imp!$C$3782="","",INDEX(_imp!$D$4:$D$4503,_imp!$C$3782))</f>
        <v/>
      </c>
      <c r="B3780" s="54">
        <f>IF(_imp!$C$3782="","",INDEX(_imp!$E$4:$E$4503,_imp!$C$3782))</f>
        <v/>
      </c>
      <c r="C3780" s="54">
        <f>IF(_imp!$C$3782="","",INDEX(_imp!$F$4:$F$4503,_imp!$C$3782))</f>
        <v/>
      </c>
      <c r="D3780" s="54">
        <f>IF(_imp!$C$3782="","",INDEX(_imp!$G$4:$G$4503,_imp!$C$3782))</f>
        <v/>
      </c>
      <c r="E3780" s="54">
        <f>IF(_imp!$C$3782="","",INDEX(_imp!$H$4:$H$4503,_imp!$C$3782))</f>
        <v/>
      </c>
      <c r="F3780" s="54">
        <f>IF(_imp!$C$3782="","",INDEX(_imp!$I$4:$I$4503,_imp!$C$3782))</f>
        <v/>
      </c>
      <c r="G3780" s="54">
        <f>IF(_imp!$C$3782="","",INDEX(_imp!$J$4:$J$4503,_imp!$C$3782))</f>
        <v/>
      </c>
      <c r="K3780" s="54">
        <f>IF(_imp!$C$3782="","",INDEX(_imp!$K$4:$K$4503,_imp!$C$3782))</f>
        <v/>
      </c>
    </row>
    <row r="3781">
      <c r="A3781" s="54">
        <f>IF(_imp!$C$3783="","",INDEX(_imp!$D$4:$D$4503,_imp!$C$3783))</f>
        <v/>
      </c>
      <c r="B3781" s="54">
        <f>IF(_imp!$C$3783="","",INDEX(_imp!$E$4:$E$4503,_imp!$C$3783))</f>
        <v/>
      </c>
      <c r="C3781" s="54">
        <f>IF(_imp!$C$3783="","",INDEX(_imp!$F$4:$F$4503,_imp!$C$3783))</f>
        <v/>
      </c>
      <c r="D3781" s="54">
        <f>IF(_imp!$C$3783="","",INDEX(_imp!$G$4:$G$4503,_imp!$C$3783))</f>
        <v/>
      </c>
      <c r="E3781" s="54">
        <f>IF(_imp!$C$3783="","",INDEX(_imp!$H$4:$H$4503,_imp!$C$3783))</f>
        <v/>
      </c>
      <c r="F3781" s="54">
        <f>IF(_imp!$C$3783="","",INDEX(_imp!$I$4:$I$4503,_imp!$C$3783))</f>
        <v/>
      </c>
      <c r="G3781" s="54">
        <f>IF(_imp!$C$3783="","",INDEX(_imp!$J$4:$J$4503,_imp!$C$3783))</f>
        <v/>
      </c>
      <c r="K3781" s="54">
        <f>IF(_imp!$C$3783="","",INDEX(_imp!$K$4:$K$4503,_imp!$C$3783))</f>
        <v/>
      </c>
    </row>
    <row r="3782">
      <c r="A3782" s="54">
        <f>IF(_imp!$C$3784="","",INDEX(_imp!$D$4:$D$4503,_imp!$C$3784))</f>
        <v/>
      </c>
      <c r="B3782" s="54">
        <f>IF(_imp!$C$3784="","",INDEX(_imp!$E$4:$E$4503,_imp!$C$3784))</f>
        <v/>
      </c>
      <c r="C3782" s="54">
        <f>IF(_imp!$C$3784="","",INDEX(_imp!$F$4:$F$4503,_imp!$C$3784))</f>
        <v/>
      </c>
      <c r="D3782" s="54">
        <f>IF(_imp!$C$3784="","",INDEX(_imp!$G$4:$G$4503,_imp!$C$3784))</f>
        <v/>
      </c>
      <c r="E3782" s="54">
        <f>IF(_imp!$C$3784="","",INDEX(_imp!$H$4:$H$4503,_imp!$C$3784))</f>
        <v/>
      </c>
      <c r="F3782" s="54">
        <f>IF(_imp!$C$3784="","",INDEX(_imp!$I$4:$I$4503,_imp!$C$3784))</f>
        <v/>
      </c>
      <c r="G3782" s="54">
        <f>IF(_imp!$C$3784="","",INDEX(_imp!$J$4:$J$4503,_imp!$C$3784))</f>
        <v/>
      </c>
      <c r="K3782" s="54">
        <f>IF(_imp!$C$3784="","",INDEX(_imp!$K$4:$K$4503,_imp!$C$3784))</f>
        <v/>
      </c>
    </row>
    <row r="3783">
      <c r="A3783" s="54">
        <f>IF(_imp!$C$3785="","",INDEX(_imp!$D$4:$D$4503,_imp!$C$3785))</f>
        <v/>
      </c>
      <c r="B3783" s="54">
        <f>IF(_imp!$C$3785="","",INDEX(_imp!$E$4:$E$4503,_imp!$C$3785))</f>
        <v/>
      </c>
      <c r="C3783" s="54">
        <f>IF(_imp!$C$3785="","",INDEX(_imp!$F$4:$F$4503,_imp!$C$3785))</f>
        <v/>
      </c>
      <c r="D3783" s="54">
        <f>IF(_imp!$C$3785="","",INDEX(_imp!$G$4:$G$4503,_imp!$C$3785))</f>
        <v/>
      </c>
      <c r="E3783" s="54">
        <f>IF(_imp!$C$3785="","",INDEX(_imp!$H$4:$H$4503,_imp!$C$3785))</f>
        <v/>
      </c>
      <c r="F3783" s="54">
        <f>IF(_imp!$C$3785="","",INDEX(_imp!$I$4:$I$4503,_imp!$C$3785))</f>
        <v/>
      </c>
      <c r="G3783" s="54">
        <f>IF(_imp!$C$3785="","",INDEX(_imp!$J$4:$J$4503,_imp!$C$3785))</f>
        <v/>
      </c>
      <c r="K3783" s="54">
        <f>IF(_imp!$C$3785="","",INDEX(_imp!$K$4:$K$4503,_imp!$C$3785))</f>
        <v/>
      </c>
    </row>
    <row r="3784">
      <c r="A3784" s="54">
        <f>IF(_imp!$C$3786="","",INDEX(_imp!$D$4:$D$4503,_imp!$C$3786))</f>
        <v/>
      </c>
      <c r="B3784" s="54">
        <f>IF(_imp!$C$3786="","",INDEX(_imp!$E$4:$E$4503,_imp!$C$3786))</f>
        <v/>
      </c>
      <c r="C3784" s="54">
        <f>IF(_imp!$C$3786="","",INDEX(_imp!$F$4:$F$4503,_imp!$C$3786))</f>
        <v/>
      </c>
      <c r="D3784" s="54">
        <f>IF(_imp!$C$3786="","",INDEX(_imp!$G$4:$G$4503,_imp!$C$3786))</f>
        <v/>
      </c>
      <c r="E3784" s="54">
        <f>IF(_imp!$C$3786="","",INDEX(_imp!$H$4:$H$4503,_imp!$C$3786))</f>
        <v/>
      </c>
      <c r="F3784" s="54">
        <f>IF(_imp!$C$3786="","",INDEX(_imp!$I$4:$I$4503,_imp!$C$3786))</f>
        <v/>
      </c>
      <c r="G3784" s="54">
        <f>IF(_imp!$C$3786="","",INDEX(_imp!$J$4:$J$4503,_imp!$C$3786))</f>
        <v/>
      </c>
      <c r="K3784" s="54">
        <f>IF(_imp!$C$3786="","",INDEX(_imp!$K$4:$K$4503,_imp!$C$3786))</f>
        <v/>
      </c>
    </row>
    <row r="3785">
      <c r="A3785" s="54">
        <f>IF(_imp!$C$3787="","",INDEX(_imp!$D$4:$D$4503,_imp!$C$3787))</f>
        <v/>
      </c>
      <c r="B3785" s="54">
        <f>IF(_imp!$C$3787="","",INDEX(_imp!$E$4:$E$4503,_imp!$C$3787))</f>
        <v/>
      </c>
      <c r="C3785" s="54">
        <f>IF(_imp!$C$3787="","",INDEX(_imp!$F$4:$F$4503,_imp!$C$3787))</f>
        <v/>
      </c>
      <c r="D3785" s="54">
        <f>IF(_imp!$C$3787="","",INDEX(_imp!$G$4:$G$4503,_imp!$C$3787))</f>
        <v/>
      </c>
      <c r="E3785" s="54">
        <f>IF(_imp!$C$3787="","",INDEX(_imp!$H$4:$H$4503,_imp!$C$3787))</f>
        <v/>
      </c>
      <c r="F3785" s="54">
        <f>IF(_imp!$C$3787="","",INDEX(_imp!$I$4:$I$4503,_imp!$C$3787))</f>
        <v/>
      </c>
      <c r="G3785" s="54">
        <f>IF(_imp!$C$3787="","",INDEX(_imp!$J$4:$J$4503,_imp!$C$3787))</f>
        <v/>
      </c>
      <c r="K3785" s="54">
        <f>IF(_imp!$C$3787="","",INDEX(_imp!$K$4:$K$4503,_imp!$C$3787))</f>
        <v/>
      </c>
    </row>
    <row r="3786">
      <c r="A3786" s="54">
        <f>IF(_imp!$C$3788="","",INDEX(_imp!$D$4:$D$4503,_imp!$C$3788))</f>
        <v/>
      </c>
      <c r="B3786" s="54">
        <f>IF(_imp!$C$3788="","",INDEX(_imp!$E$4:$E$4503,_imp!$C$3788))</f>
        <v/>
      </c>
      <c r="C3786" s="54">
        <f>IF(_imp!$C$3788="","",INDEX(_imp!$F$4:$F$4503,_imp!$C$3788))</f>
        <v/>
      </c>
      <c r="D3786" s="54">
        <f>IF(_imp!$C$3788="","",INDEX(_imp!$G$4:$G$4503,_imp!$C$3788))</f>
        <v/>
      </c>
      <c r="E3786" s="54">
        <f>IF(_imp!$C$3788="","",INDEX(_imp!$H$4:$H$4503,_imp!$C$3788))</f>
        <v/>
      </c>
      <c r="F3786" s="54">
        <f>IF(_imp!$C$3788="","",INDEX(_imp!$I$4:$I$4503,_imp!$C$3788))</f>
        <v/>
      </c>
      <c r="G3786" s="54">
        <f>IF(_imp!$C$3788="","",INDEX(_imp!$J$4:$J$4503,_imp!$C$3788))</f>
        <v/>
      </c>
      <c r="K3786" s="54">
        <f>IF(_imp!$C$3788="","",INDEX(_imp!$K$4:$K$4503,_imp!$C$3788))</f>
        <v/>
      </c>
    </row>
    <row r="3787">
      <c r="A3787" s="54">
        <f>IF(_imp!$C$3789="","",INDEX(_imp!$D$4:$D$4503,_imp!$C$3789))</f>
        <v/>
      </c>
      <c r="B3787" s="54">
        <f>IF(_imp!$C$3789="","",INDEX(_imp!$E$4:$E$4503,_imp!$C$3789))</f>
        <v/>
      </c>
      <c r="C3787" s="54">
        <f>IF(_imp!$C$3789="","",INDEX(_imp!$F$4:$F$4503,_imp!$C$3789))</f>
        <v/>
      </c>
      <c r="D3787" s="54">
        <f>IF(_imp!$C$3789="","",INDEX(_imp!$G$4:$G$4503,_imp!$C$3789))</f>
        <v/>
      </c>
      <c r="E3787" s="54">
        <f>IF(_imp!$C$3789="","",INDEX(_imp!$H$4:$H$4503,_imp!$C$3789))</f>
        <v/>
      </c>
      <c r="F3787" s="54">
        <f>IF(_imp!$C$3789="","",INDEX(_imp!$I$4:$I$4503,_imp!$C$3789))</f>
        <v/>
      </c>
      <c r="G3787" s="54">
        <f>IF(_imp!$C$3789="","",INDEX(_imp!$J$4:$J$4503,_imp!$C$3789))</f>
        <v/>
      </c>
      <c r="K3787" s="54">
        <f>IF(_imp!$C$3789="","",INDEX(_imp!$K$4:$K$4503,_imp!$C$3789))</f>
        <v/>
      </c>
    </row>
    <row r="3788">
      <c r="A3788" s="54">
        <f>IF(_imp!$C$3790="","",INDEX(_imp!$D$4:$D$4503,_imp!$C$3790))</f>
        <v/>
      </c>
      <c r="B3788" s="54">
        <f>IF(_imp!$C$3790="","",INDEX(_imp!$E$4:$E$4503,_imp!$C$3790))</f>
        <v/>
      </c>
      <c r="C3788" s="54">
        <f>IF(_imp!$C$3790="","",INDEX(_imp!$F$4:$F$4503,_imp!$C$3790))</f>
        <v/>
      </c>
      <c r="D3788" s="54">
        <f>IF(_imp!$C$3790="","",INDEX(_imp!$G$4:$G$4503,_imp!$C$3790))</f>
        <v/>
      </c>
      <c r="E3788" s="54">
        <f>IF(_imp!$C$3790="","",INDEX(_imp!$H$4:$H$4503,_imp!$C$3790))</f>
        <v/>
      </c>
      <c r="F3788" s="54">
        <f>IF(_imp!$C$3790="","",INDEX(_imp!$I$4:$I$4503,_imp!$C$3790))</f>
        <v/>
      </c>
      <c r="G3788" s="54">
        <f>IF(_imp!$C$3790="","",INDEX(_imp!$J$4:$J$4503,_imp!$C$3790))</f>
        <v/>
      </c>
      <c r="K3788" s="54">
        <f>IF(_imp!$C$3790="","",INDEX(_imp!$K$4:$K$4503,_imp!$C$3790))</f>
        <v/>
      </c>
    </row>
    <row r="3789">
      <c r="A3789" s="54">
        <f>IF(_imp!$C$3791="","",INDEX(_imp!$D$4:$D$4503,_imp!$C$3791))</f>
        <v/>
      </c>
      <c r="B3789" s="54">
        <f>IF(_imp!$C$3791="","",INDEX(_imp!$E$4:$E$4503,_imp!$C$3791))</f>
        <v/>
      </c>
      <c r="C3789" s="54">
        <f>IF(_imp!$C$3791="","",INDEX(_imp!$F$4:$F$4503,_imp!$C$3791))</f>
        <v/>
      </c>
      <c r="D3789" s="54">
        <f>IF(_imp!$C$3791="","",INDEX(_imp!$G$4:$G$4503,_imp!$C$3791))</f>
        <v/>
      </c>
      <c r="E3789" s="54">
        <f>IF(_imp!$C$3791="","",INDEX(_imp!$H$4:$H$4503,_imp!$C$3791))</f>
        <v/>
      </c>
      <c r="F3789" s="54">
        <f>IF(_imp!$C$3791="","",INDEX(_imp!$I$4:$I$4503,_imp!$C$3791))</f>
        <v/>
      </c>
      <c r="G3789" s="54">
        <f>IF(_imp!$C$3791="","",INDEX(_imp!$J$4:$J$4503,_imp!$C$3791))</f>
        <v/>
      </c>
      <c r="K3789" s="54">
        <f>IF(_imp!$C$3791="","",INDEX(_imp!$K$4:$K$4503,_imp!$C$3791))</f>
        <v/>
      </c>
    </row>
    <row r="3790">
      <c r="A3790" s="54">
        <f>IF(_imp!$C$3792="","",INDEX(_imp!$D$4:$D$4503,_imp!$C$3792))</f>
        <v/>
      </c>
      <c r="B3790" s="54">
        <f>IF(_imp!$C$3792="","",INDEX(_imp!$E$4:$E$4503,_imp!$C$3792))</f>
        <v/>
      </c>
      <c r="C3790" s="54">
        <f>IF(_imp!$C$3792="","",INDEX(_imp!$F$4:$F$4503,_imp!$C$3792))</f>
        <v/>
      </c>
      <c r="D3790" s="54">
        <f>IF(_imp!$C$3792="","",INDEX(_imp!$G$4:$G$4503,_imp!$C$3792))</f>
        <v/>
      </c>
      <c r="E3790" s="54">
        <f>IF(_imp!$C$3792="","",INDEX(_imp!$H$4:$H$4503,_imp!$C$3792))</f>
        <v/>
      </c>
      <c r="F3790" s="54">
        <f>IF(_imp!$C$3792="","",INDEX(_imp!$I$4:$I$4503,_imp!$C$3792))</f>
        <v/>
      </c>
      <c r="G3790" s="54">
        <f>IF(_imp!$C$3792="","",INDEX(_imp!$J$4:$J$4503,_imp!$C$3792))</f>
        <v/>
      </c>
      <c r="K3790" s="54">
        <f>IF(_imp!$C$3792="","",INDEX(_imp!$K$4:$K$4503,_imp!$C$3792))</f>
        <v/>
      </c>
    </row>
    <row r="3791">
      <c r="A3791" s="54">
        <f>IF(_imp!$C$3793="","",INDEX(_imp!$D$4:$D$4503,_imp!$C$3793))</f>
        <v/>
      </c>
      <c r="B3791" s="54">
        <f>IF(_imp!$C$3793="","",INDEX(_imp!$E$4:$E$4503,_imp!$C$3793))</f>
        <v/>
      </c>
      <c r="C3791" s="54">
        <f>IF(_imp!$C$3793="","",INDEX(_imp!$F$4:$F$4503,_imp!$C$3793))</f>
        <v/>
      </c>
      <c r="D3791" s="54">
        <f>IF(_imp!$C$3793="","",INDEX(_imp!$G$4:$G$4503,_imp!$C$3793))</f>
        <v/>
      </c>
      <c r="E3791" s="54">
        <f>IF(_imp!$C$3793="","",INDEX(_imp!$H$4:$H$4503,_imp!$C$3793))</f>
        <v/>
      </c>
      <c r="F3791" s="54">
        <f>IF(_imp!$C$3793="","",INDEX(_imp!$I$4:$I$4503,_imp!$C$3793))</f>
        <v/>
      </c>
      <c r="G3791" s="54">
        <f>IF(_imp!$C$3793="","",INDEX(_imp!$J$4:$J$4503,_imp!$C$3793))</f>
        <v/>
      </c>
      <c r="K3791" s="54">
        <f>IF(_imp!$C$3793="","",INDEX(_imp!$K$4:$K$4503,_imp!$C$3793))</f>
        <v/>
      </c>
    </row>
    <row r="3792">
      <c r="A3792" s="54">
        <f>IF(_imp!$C$3794="","",INDEX(_imp!$D$4:$D$4503,_imp!$C$3794))</f>
        <v/>
      </c>
      <c r="B3792" s="54">
        <f>IF(_imp!$C$3794="","",INDEX(_imp!$E$4:$E$4503,_imp!$C$3794))</f>
        <v/>
      </c>
      <c r="C3792" s="54">
        <f>IF(_imp!$C$3794="","",INDEX(_imp!$F$4:$F$4503,_imp!$C$3794))</f>
        <v/>
      </c>
      <c r="D3792" s="54">
        <f>IF(_imp!$C$3794="","",INDEX(_imp!$G$4:$G$4503,_imp!$C$3794))</f>
        <v/>
      </c>
      <c r="E3792" s="54">
        <f>IF(_imp!$C$3794="","",INDEX(_imp!$H$4:$H$4503,_imp!$C$3794))</f>
        <v/>
      </c>
      <c r="F3792" s="54">
        <f>IF(_imp!$C$3794="","",INDEX(_imp!$I$4:$I$4503,_imp!$C$3794))</f>
        <v/>
      </c>
      <c r="G3792" s="54">
        <f>IF(_imp!$C$3794="","",INDEX(_imp!$J$4:$J$4503,_imp!$C$3794))</f>
        <v/>
      </c>
      <c r="K3792" s="54">
        <f>IF(_imp!$C$3794="","",INDEX(_imp!$K$4:$K$4503,_imp!$C$3794))</f>
        <v/>
      </c>
    </row>
    <row r="3793">
      <c r="A3793" s="54">
        <f>IF(_imp!$C$3795="","",INDEX(_imp!$D$4:$D$4503,_imp!$C$3795))</f>
        <v/>
      </c>
      <c r="B3793" s="54">
        <f>IF(_imp!$C$3795="","",INDEX(_imp!$E$4:$E$4503,_imp!$C$3795))</f>
        <v/>
      </c>
      <c r="C3793" s="54">
        <f>IF(_imp!$C$3795="","",INDEX(_imp!$F$4:$F$4503,_imp!$C$3795))</f>
        <v/>
      </c>
      <c r="D3793" s="54">
        <f>IF(_imp!$C$3795="","",INDEX(_imp!$G$4:$G$4503,_imp!$C$3795))</f>
        <v/>
      </c>
      <c r="E3793" s="54">
        <f>IF(_imp!$C$3795="","",INDEX(_imp!$H$4:$H$4503,_imp!$C$3795))</f>
        <v/>
      </c>
      <c r="F3793" s="54">
        <f>IF(_imp!$C$3795="","",INDEX(_imp!$I$4:$I$4503,_imp!$C$3795))</f>
        <v/>
      </c>
      <c r="G3793" s="54">
        <f>IF(_imp!$C$3795="","",INDEX(_imp!$J$4:$J$4503,_imp!$C$3795))</f>
        <v/>
      </c>
      <c r="K3793" s="54">
        <f>IF(_imp!$C$3795="","",INDEX(_imp!$K$4:$K$4503,_imp!$C$3795))</f>
        <v/>
      </c>
    </row>
    <row r="3794">
      <c r="A3794" s="54">
        <f>IF(_imp!$C$3796="","",INDEX(_imp!$D$4:$D$4503,_imp!$C$3796))</f>
        <v/>
      </c>
      <c r="B3794" s="54">
        <f>IF(_imp!$C$3796="","",INDEX(_imp!$E$4:$E$4503,_imp!$C$3796))</f>
        <v/>
      </c>
      <c r="C3794" s="54">
        <f>IF(_imp!$C$3796="","",INDEX(_imp!$F$4:$F$4503,_imp!$C$3796))</f>
        <v/>
      </c>
      <c r="D3794" s="54">
        <f>IF(_imp!$C$3796="","",INDEX(_imp!$G$4:$G$4503,_imp!$C$3796))</f>
        <v/>
      </c>
      <c r="E3794" s="54">
        <f>IF(_imp!$C$3796="","",INDEX(_imp!$H$4:$H$4503,_imp!$C$3796))</f>
        <v/>
      </c>
      <c r="F3794" s="54">
        <f>IF(_imp!$C$3796="","",INDEX(_imp!$I$4:$I$4503,_imp!$C$3796))</f>
        <v/>
      </c>
      <c r="G3794" s="54">
        <f>IF(_imp!$C$3796="","",INDEX(_imp!$J$4:$J$4503,_imp!$C$3796))</f>
        <v/>
      </c>
      <c r="K3794" s="54">
        <f>IF(_imp!$C$3796="","",INDEX(_imp!$K$4:$K$4503,_imp!$C$3796))</f>
        <v/>
      </c>
    </row>
    <row r="3795">
      <c r="A3795" s="54">
        <f>IF(_imp!$C$3797="","",INDEX(_imp!$D$4:$D$4503,_imp!$C$3797))</f>
        <v/>
      </c>
      <c r="B3795" s="54">
        <f>IF(_imp!$C$3797="","",INDEX(_imp!$E$4:$E$4503,_imp!$C$3797))</f>
        <v/>
      </c>
      <c r="C3795" s="54">
        <f>IF(_imp!$C$3797="","",INDEX(_imp!$F$4:$F$4503,_imp!$C$3797))</f>
        <v/>
      </c>
      <c r="D3795" s="54">
        <f>IF(_imp!$C$3797="","",INDEX(_imp!$G$4:$G$4503,_imp!$C$3797))</f>
        <v/>
      </c>
      <c r="E3795" s="54">
        <f>IF(_imp!$C$3797="","",INDEX(_imp!$H$4:$H$4503,_imp!$C$3797))</f>
        <v/>
      </c>
      <c r="F3795" s="54">
        <f>IF(_imp!$C$3797="","",INDEX(_imp!$I$4:$I$4503,_imp!$C$3797))</f>
        <v/>
      </c>
      <c r="G3795" s="54">
        <f>IF(_imp!$C$3797="","",INDEX(_imp!$J$4:$J$4503,_imp!$C$3797))</f>
        <v/>
      </c>
      <c r="K3795" s="54">
        <f>IF(_imp!$C$3797="","",INDEX(_imp!$K$4:$K$4503,_imp!$C$3797))</f>
        <v/>
      </c>
    </row>
    <row r="3796">
      <c r="A3796" s="54">
        <f>IF(_imp!$C$3798="","",INDEX(_imp!$D$4:$D$4503,_imp!$C$3798))</f>
        <v/>
      </c>
      <c r="B3796" s="54">
        <f>IF(_imp!$C$3798="","",INDEX(_imp!$E$4:$E$4503,_imp!$C$3798))</f>
        <v/>
      </c>
      <c r="C3796" s="54">
        <f>IF(_imp!$C$3798="","",INDEX(_imp!$F$4:$F$4503,_imp!$C$3798))</f>
        <v/>
      </c>
      <c r="D3796" s="54">
        <f>IF(_imp!$C$3798="","",INDEX(_imp!$G$4:$G$4503,_imp!$C$3798))</f>
        <v/>
      </c>
      <c r="E3796" s="54">
        <f>IF(_imp!$C$3798="","",INDEX(_imp!$H$4:$H$4503,_imp!$C$3798))</f>
        <v/>
      </c>
      <c r="F3796" s="54">
        <f>IF(_imp!$C$3798="","",INDEX(_imp!$I$4:$I$4503,_imp!$C$3798))</f>
        <v/>
      </c>
      <c r="G3796" s="54">
        <f>IF(_imp!$C$3798="","",INDEX(_imp!$J$4:$J$4503,_imp!$C$3798))</f>
        <v/>
      </c>
      <c r="K3796" s="54">
        <f>IF(_imp!$C$3798="","",INDEX(_imp!$K$4:$K$4503,_imp!$C$3798))</f>
        <v/>
      </c>
    </row>
    <row r="3797">
      <c r="A3797" s="54">
        <f>IF(_imp!$C$3799="","",INDEX(_imp!$D$4:$D$4503,_imp!$C$3799))</f>
        <v/>
      </c>
      <c r="B3797" s="54">
        <f>IF(_imp!$C$3799="","",INDEX(_imp!$E$4:$E$4503,_imp!$C$3799))</f>
        <v/>
      </c>
      <c r="C3797" s="54">
        <f>IF(_imp!$C$3799="","",INDEX(_imp!$F$4:$F$4503,_imp!$C$3799))</f>
        <v/>
      </c>
      <c r="D3797" s="54">
        <f>IF(_imp!$C$3799="","",INDEX(_imp!$G$4:$G$4503,_imp!$C$3799))</f>
        <v/>
      </c>
      <c r="E3797" s="54">
        <f>IF(_imp!$C$3799="","",INDEX(_imp!$H$4:$H$4503,_imp!$C$3799))</f>
        <v/>
      </c>
      <c r="F3797" s="54">
        <f>IF(_imp!$C$3799="","",INDEX(_imp!$I$4:$I$4503,_imp!$C$3799))</f>
        <v/>
      </c>
      <c r="G3797" s="54">
        <f>IF(_imp!$C$3799="","",INDEX(_imp!$J$4:$J$4503,_imp!$C$3799))</f>
        <v/>
      </c>
      <c r="K3797" s="54">
        <f>IF(_imp!$C$3799="","",INDEX(_imp!$K$4:$K$4503,_imp!$C$3799))</f>
        <v/>
      </c>
    </row>
    <row r="3798">
      <c r="A3798" s="54">
        <f>IF(_imp!$C$3800="","",INDEX(_imp!$D$4:$D$4503,_imp!$C$3800))</f>
        <v/>
      </c>
      <c r="B3798" s="54">
        <f>IF(_imp!$C$3800="","",INDEX(_imp!$E$4:$E$4503,_imp!$C$3800))</f>
        <v/>
      </c>
      <c r="C3798" s="54">
        <f>IF(_imp!$C$3800="","",INDEX(_imp!$F$4:$F$4503,_imp!$C$3800))</f>
        <v/>
      </c>
      <c r="D3798" s="54">
        <f>IF(_imp!$C$3800="","",INDEX(_imp!$G$4:$G$4503,_imp!$C$3800))</f>
        <v/>
      </c>
      <c r="E3798" s="54">
        <f>IF(_imp!$C$3800="","",INDEX(_imp!$H$4:$H$4503,_imp!$C$3800))</f>
        <v/>
      </c>
      <c r="F3798" s="54">
        <f>IF(_imp!$C$3800="","",INDEX(_imp!$I$4:$I$4503,_imp!$C$3800))</f>
        <v/>
      </c>
      <c r="G3798" s="54">
        <f>IF(_imp!$C$3800="","",INDEX(_imp!$J$4:$J$4503,_imp!$C$3800))</f>
        <v/>
      </c>
      <c r="K3798" s="54">
        <f>IF(_imp!$C$3800="","",INDEX(_imp!$K$4:$K$4503,_imp!$C$3800))</f>
        <v/>
      </c>
    </row>
    <row r="3799">
      <c r="A3799" s="54">
        <f>IF(_imp!$C$3801="","",INDEX(_imp!$D$4:$D$4503,_imp!$C$3801))</f>
        <v/>
      </c>
      <c r="B3799" s="54">
        <f>IF(_imp!$C$3801="","",INDEX(_imp!$E$4:$E$4503,_imp!$C$3801))</f>
        <v/>
      </c>
      <c r="C3799" s="54">
        <f>IF(_imp!$C$3801="","",INDEX(_imp!$F$4:$F$4503,_imp!$C$3801))</f>
        <v/>
      </c>
      <c r="D3799" s="54">
        <f>IF(_imp!$C$3801="","",INDEX(_imp!$G$4:$G$4503,_imp!$C$3801))</f>
        <v/>
      </c>
      <c r="E3799" s="54">
        <f>IF(_imp!$C$3801="","",INDEX(_imp!$H$4:$H$4503,_imp!$C$3801))</f>
        <v/>
      </c>
      <c r="F3799" s="54">
        <f>IF(_imp!$C$3801="","",INDEX(_imp!$I$4:$I$4503,_imp!$C$3801))</f>
        <v/>
      </c>
      <c r="G3799" s="54">
        <f>IF(_imp!$C$3801="","",INDEX(_imp!$J$4:$J$4503,_imp!$C$3801))</f>
        <v/>
      </c>
      <c r="K3799" s="54">
        <f>IF(_imp!$C$3801="","",INDEX(_imp!$K$4:$K$4503,_imp!$C$3801))</f>
        <v/>
      </c>
    </row>
    <row r="3800">
      <c r="A3800" s="54">
        <f>IF(_imp!$C$3802="","",INDEX(_imp!$D$4:$D$4503,_imp!$C$3802))</f>
        <v/>
      </c>
      <c r="B3800" s="54">
        <f>IF(_imp!$C$3802="","",INDEX(_imp!$E$4:$E$4503,_imp!$C$3802))</f>
        <v/>
      </c>
      <c r="C3800" s="54">
        <f>IF(_imp!$C$3802="","",INDEX(_imp!$F$4:$F$4503,_imp!$C$3802))</f>
        <v/>
      </c>
      <c r="D3800" s="54">
        <f>IF(_imp!$C$3802="","",INDEX(_imp!$G$4:$G$4503,_imp!$C$3802))</f>
        <v/>
      </c>
      <c r="E3800" s="54">
        <f>IF(_imp!$C$3802="","",INDEX(_imp!$H$4:$H$4503,_imp!$C$3802))</f>
        <v/>
      </c>
      <c r="F3800" s="54">
        <f>IF(_imp!$C$3802="","",INDEX(_imp!$I$4:$I$4503,_imp!$C$3802))</f>
        <v/>
      </c>
      <c r="G3800" s="54">
        <f>IF(_imp!$C$3802="","",INDEX(_imp!$J$4:$J$4503,_imp!$C$3802))</f>
        <v/>
      </c>
      <c r="K3800" s="54">
        <f>IF(_imp!$C$3802="","",INDEX(_imp!$K$4:$K$4503,_imp!$C$3802))</f>
        <v/>
      </c>
    </row>
    <row r="3801">
      <c r="A3801" s="54">
        <f>IF(_imp!$C$3803="","",INDEX(_imp!$D$4:$D$4503,_imp!$C$3803))</f>
        <v/>
      </c>
      <c r="B3801" s="54">
        <f>IF(_imp!$C$3803="","",INDEX(_imp!$E$4:$E$4503,_imp!$C$3803))</f>
        <v/>
      </c>
      <c r="C3801" s="54">
        <f>IF(_imp!$C$3803="","",INDEX(_imp!$F$4:$F$4503,_imp!$C$3803))</f>
        <v/>
      </c>
      <c r="D3801" s="54">
        <f>IF(_imp!$C$3803="","",INDEX(_imp!$G$4:$G$4503,_imp!$C$3803))</f>
        <v/>
      </c>
      <c r="E3801" s="54">
        <f>IF(_imp!$C$3803="","",INDEX(_imp!$H$4:$H$4503,_imp!$C$3803))</f>
        <v/>
      </c>
      <c r="F3801" s="54">
        <f>IF(_imp!$C$3803="","",INDEX(_imp!$I$4:$I$4503,_imp!$C$3803))</f>
        <v/>
      </c>
      <c r="G3801" s="54">
        <f>IF(_imp!$C$3803="","",INDEX(_imp!$J$4:$J$4503,_imp!$C$3803))</f>
        <v/>
      </c>
      <c r="K3801" s="54">
        <f>IF(_imp!$C$3803="","",INDEX(_imp!$K$4:$K$4503,_imp!$C$3803))</f>
        <v/>
      </c>
    </row>
    <row r="3802">
      <c r="A3802" s="54">
        <f>IF(_imp!$C$3804="","",INDEX(_imp!$D$4:$D$4503,_imp!$C$3804))</f>
        <v/>
      </c>
      <c r="B3802" s="54">
        <f>IF(_imp!$C$3804="","",INDEX(_imp!$E$4:$E$4503,_imp!$C$3804))</f>
        <v/>
      </c>
      <c r="C3802" s="54">
        <f>IF(_imp!$C$3804="","",INDEX(_imp!$F$4:$F$4503,_imp!$C$3804))</f>
        <v/>
      </c>
      <c r="D3802" s="54">
        <f>IF(_imp!$C$3804="","",INDEX(_imp!$G$4:$G$4503,_imp!$C$3804))</f>
        <v/>
      </c>
      <c r="E3802" s="54">
        <f>IF(_imp!$C$3804="","",INDEX(_imp!$H$4:$H$4503,_imp!$C$3804))</f>
        <v/>
      </c>
      <c r="F3802" s="54">
        <f>IF(_imp!$C$3804="","",INDEX(_imp!$I$4:$I$4503,_imp!$C$3804))</f>
        <v/>
      </c>
      <c r="G3802" s="54">
        <f>IF(_imp!$C$3804="","",INDEX(_imp!$J$4:$J$4503,_imp!$C$3804))</f>
        <v/>
      </c>
      <c r="K3802" s="54">
        <f>IF(_imp!$C$3804="","",INDEX(_imp!$K$4:$K$4503,_imp!$C$3804))</f>
        <v/>
      </c>
    </row>
    <row r="3803">
      <c r="A3803" s="54">
        <f>IF(_imp!$C$3805="","",INDEX(_imp!$D$4:$D$4503,_imp!$C$3805))</f>
        <v/>
      </c>
      <c r="B3803" s="54">
        <f>IF(_imp!$C$3805="","",INDEX(_imp!$E$4:$E$4503,_imp!$C$3805))</f>
        <v/>
      </c>
      <c r="C3803" s="54">
        <f>IF(_imp!$C$3805="","",INDEX(_imp!$F$4:$F$4503,_imp!$C$3805))</f>
        <v/>
      </c>
      <c r="D3803" s="54">
        <f>IF(_imp!$C$3805="","",INDEX(_imp!$G$4:$G$4503,_imp!$C$3805))</f>
        <v/>
      </c>
      <c r="E3803" s="54">
        <f>IF(_imp!$C$3805="","",INDEX(_imp!$H$4:$H$4503,_imp!$C$3805))</f>
        <v/>
      </c>
      <c r="F3803" s="54">
        <f>IF(_imp!$C$3805="","",INDEX(_imp!$I$4:$I$4503,_imp!$C$3805))</f>
        <v/>
      </c>
      <c r="G3803" s="54">
        <f>IF(_imp!$C$3805="","",INDEX(_imp!$J$4:$J$4503,_imp!$C$3805))</f>
        <v/>
      </c>
      <c r="K3803" s="54">
        <f>IF(_imp!$C$3805="","",INDEX(_imp!$K$4:$K$4503,_imp!$C$3805))</f>
        <v/>
      </c>
    </row>
    <row r="3804">
      <c r="A3804" s="54">
        <f>IF(_imp!$C$3806="","",INDEX(_imp!$D$4:$D$4503,_imp!$C$3806))</f>
        <v/>
      </c>
      <c r="B3804" s="54">
        <f>IF(_imp!$C$3806="","",INDEX(_imp!$E$4:$E$4503,_imp!$C$3806))</f>
        <v/>
      </c>
      <c r="C3804" s="54">
        <f>IF(_imp!$C$3806="","",INDEX(_imp!$F$4:$F$4503,_imp!$C$3806))</f>
        <v/>
      </c>
      <c r="D3804" s="54">
        <f>IF(_imp!$C$3806="","",INDEX(_imp!$G$4:$G$4503,_imp!$C$3806))</f>
        <v/>
      </c>
      <c r="E3804" s="54">
        <f>IF(_imp!$C$3806="","",INDEX(_imp!$H$4:$H$4503,_imp!$C$3806))</f>
        <v/>
      </c>
      <c r="F3804" s="54">
        <f>IF(_imp!$C$3806="","",INDEX(_imp!$I$4:$I$4503,_imp!$C$3806))</f>
        <v/>
      </c>
      <c r="G3804" s="54">
        <f>IF(_imp!$C$3806="","",INDEX(_imp!$J$4:$J$4503,_imp!$C$3806))</f>
        <v/>
      </c>
      <c r="K3804" s="54">
        <f>IF(_imp!$C$3806="","",INDEX(_imp!$K$4:$K$4503,_imp!$C$3806))</f>
        <v/>
      </c>
    </row>
    <row r="3805">
      <c r="A3805" s="54">
        <f>IF(_imp!$C$3807="","",INDEX(_imp!$D$4:$D$4503,_imp!$C$3807))</f>
        <v/>
      </c>
      <c r="B3805" s="54">
        <f>IF(_imp!$C$3807="","",INDEX(_imp!$E$4:$E$4503,_imp!$C$3807))</f>
        <v/>
      </c>
      <c r="C3805" s="54">
        <f>IF(_imp!$C$3807="","",INDEX(_imp!$F$4:$F$4503,_imp!$C$3807))</f>
        <v/>
      </c>
      <c r="D3805" s="54">
        <f>IF(_imp!$C$3807="","",INDEX(_imp!$G$4:$G$4503,_imp!$C$3807))</f>
        <v/>
      </c>
      <c r="E3805" s="54">
        <f>IF(_imp!$C$3807="","",INDEX(_imp!$H$4:$H$4503,_imp!$C$3807))</f>
        <v/>
      </c>
      <c r="F3805" s="54">
        <f>IF(_imp!$C$3807="","",INDEX(_imp!$I$4:$I$4503,_imp!$C$3807))</f>
        <v/>
      </c>
      <c r="G3805" s="54">
        <f>IF(_imp!$C$3807="","",INDEX(_imp!$J$4:$J$4503,_imp!$C$3807))</f>
        <v/>
      </c>
      <c r="K3805" s="54">
        <f>IF(_imp!$C$3807="","",INDEX(_imp!$K$4:$K$4503,_imp!$C$3807))</f>
        <v/>
      </c>
    </row>
    <row r="3806">
      <c r="A3806" s="54">
        <f>IF(_imp!$C$3808="","",INDEX(_imp!$D$4:$D$4503,_imp!$C$3808))</f>
        <v/>
      </c>
      <c r="B3806" s="54">
        <f>IF(_imp!$C$3808="","",INDEX(_imp!$E$4:$E$4503,_imp!$C$3808))</f>
        <v/>
      </c>
      <c r="C3806" s="54">
        <f>IF(_imp!$C$3808="","",INDEX(_imp!$F$4:$F$4503,_imp!$C$3808))</f>
        <v/>
      </c>
      <c r="D3806" s="54">
        <f>IF(_imp!$C$3808="","",INDEX(_imp!$G$4:$G$4503,_imp!$C$3808))</f>
        <v/>
      </c>
      <c r="E3806" s="54">
        <f>IF(_imp!$C$3808="","",INDEX(_imp!$H$4:$H$4503,_imp!$C$3808))</f>
        <v/>
      </c>
      <c r="F3806" s="54">
        <f>IF(_imp!$C$3808="","",INDEX(_imp!$I$4:$I$4503,_imp!$C$3808))</f>
        <v/>
      </c>
      <c r="G3806" s="54">
        <f>IF(_imp!$C$3808="","",INDEX(_imp!$J$4:$J$4503,_imp!$C$3808))</f>
        <v/>
      </c>
      <c r="K3806" s="54">
        <f>IF(_imp!$C$3808="","",INDEX(_imp!$K$4:$K$4503,_imp!$C$3808))</f>
        <v/>
      </c>
    </row>
    <row r="3807">
      <c r="A3807" s="54">
        <f>IF(_imp!$C$3809="","",INDEX(_imp!$D$4:$D$4503,_imp!$C$3809))</f>
        <v/>
      </c>
      <c r="B3807" s="54">
        <f>IF(_imp!$C$3809="","",INDEX(_imp!$E$4:$E$4503,_imp!$C$3809))</f>
        <v/>
      </c>
      <c r="C3807" s="54">
        <f>IF(_imp!$C$3809="","",INDEX(_imp!$F$4:$F$4503,_imp!$C$3809))</f>
        <v/>
      </c>
      <c r="D3807" s="54">
        <f>IF(_imp!$C$3809="","",INDEX(_imp!$G$4:$G$4503,_imp!$C$3809))</f>
        <v/>
      </c>
      <c r="E3807" s="54">
        <f>IF(_imp!$C$3809="","",INDEX(_imp!$H$4:$H$4503,_imp!$C$3809))</f>
        <v/>
      </c>
      <c r="F3807" s="54">
        <f>IF(_imp!$C$3809="","",INDEX(_imp!$I$4:$I$4503,_imp!$C$3809))</f>
        <v/>
      </c>
      <c r="G3807" s="54">
        <f>IF(_imp!$C$3809="","",INDEX(_imp!$J$4:$J$4503,_imp!$C$3809))</f>
        <v/>
      </c>
      <c r="K3807" s="54">
        <f>IF(_imp!$C$3809="","",INDEX(_imp!$K$4:$K$4503,_imp!$C$3809))</f>
        <v/>
      </c>
    </row>
    <row r="3808">
      <c r="A3808" s="54">
        <f>IF(_imp!$C$3810="","",INDEX(_imp!$D$4:$D$4503,_imp!$C$3810))</f>
        <v/>
      </c>
      <c r="B3808" s="54">
        <f>IF(_imp!$C$3810="","",INDEX(_imp!$E$4:$E$4503,_imp!$C$3810))</f>
        <v/>
      </c>
      <c r="C3808" s="54">
        <f>IF(_imp!$C$3810="","",INDEX(_imp!$F$4:$F$4503,_imp!$C$3810))</f>
        <v/>
      </c>
      <c r="D3808" s="54">
        <f>IF(_imp!$C$3810="","",INDEX(_imp!$G$4:$G$4503,_imp!$C$3810))</f>
        <v/>
      </c>
      <c r="E3808" s="54">
        <f>IF(_imp!$C$3810="","",INDEX(_imp!$H$4:$H$4503,_imp!$C$3810))</f>
        <v/>
      </c>
      <c r="F3808" s="54">
        <f>IF(_imp!$C$3810="","",INDEX(_imp!$I$4:$I$4503,_imp!$C$3810))</f>
        <v/>
      </c>
      <c r="G3808" s="54">
        <f>IF(_imp!$C$3810="","",INDEX(_imp!$J$4:$J$4503,_imp!$C$3810))</f>
        <v/>
      </c>
      <c r="K3808" s="54">
        <f>IF(_imp!$C$3810="","",INDEX(_imp!$K$4:$K$4503,_imp!$C$3810))</f>
        <v/>
      </c>
    </row>
    <row r="3809">
      <c r="A3809" s="54">
        <f>IF(_imp!$C$3811="","",INDEX(_imp!$D$4:$D$4503,_imp!$C$3811))</f>
        <v/>
      </c>
      <c r="B3809" s="54">
        <f>IF(_imp!$C$3811="","",INDEX(_imp!$E$4:$E$4503,_imp!$C$3811))</f>
        <v/>
      </c>
      <c r="C3809" s="54">
        <f>IF(_imp!$C$3811="","",INDEX(_imp!$F$4:$F$4503,_imp!$C$3811))</f>
        <v/>
      </c>
      <c r="D3809" s="54">
        <f>IF(_imp!$C$3811="","",INDEX(_imp!$G$4:$G$4503,_imp!$C$3811))</f>
        <v/>
      </c>
      <c r="E3809" s="54">
        <f>IF(_imp!$C$3811="","",INDEX(_imp!$H$4:$H$4503,_imp!$C$3811))</f>
        <v/>
      </c>
      <c r="F3809" s="54">
        <f>IF(_imp!$C$3811="","",INDEX(_imp!$I$4:$I$4503,_imp!$C$3811))</f>
        <v/>
      </c>
      <c r="G3809" s="54">
        <f>IF(_imp!$C$3811="","",INDEX(_imp!$J$4:$J$4503,_imp!$C$3811))</f>
        <v/>
      </c>
      <c r="K3809" s="54">
        <f>IF(_imp!$C$3811="","",INDEX(_imp!$K$4:$K$4503,_imp!$C$3811))</f>
        <v/>
      </c>
    </row>
    <row r="3810">
      <c r="A3810" s="54">
        <f>IF(_imp!$C$3812="","",INDEX(_imp!$D$4:$D$4503,_imp!$C$3812))</f>
        <v/>
      </c>
      <c r="B3810" s="54">
        <f>IF(_imp!$C$3812="","",INDEX(_imp!$E$4:$E$4503,_imp!$C$3812))</f>
        <v/>
      </c>
      <c r="C3810" s="54">
        <f>IF(_imp!$C$3812="","",INDEX(_imp!$F$4:$F$4503,_imp!$C$3812))</f>
        <v/>
      </c>
      <c r="D3810" s="54">
        <f>IF(_imp!$C$3812="","",INDEX(_imp!$G$4:$G$4503,_imp!$C$3812))</f>
        <v/>
      </c>
      <c r="E3810" s="54">
        <f>IF(_imp!$C$3812="","",INDEX(_imp!$H$4:$H$4503,_imp!$C$3812))</f>
        <v/>
      </c>
      <c r="F3810" s="54">
        <f>IF(_imp!$C$3812="","",INDEX(_imp!$I$4:$I$4503,_imp!$C$3812))</f>
        <v/>
      </c>
      <c r="G3810" s="54">
        <f>IF(_imp!$C$3812="","",INDEX(_imp!$J$4:$J$4503,_imp!$C$3812))</f>
        <v/>
      </c>
      <c r="K3810" s="54">
        <f>IF(_imp!$C$3812="","",INDEX(_imp!$K$4:$K$4503,_imp!$C$3812))</f>
        <v/>
      </c>
    </row>
    <row r="3811">
      <c r="A3811" s="54">
        <f>IF(_imp!$C$3813="","",INDEX(_imp!$D$4:$D$4503,_imp!$C$3813))</f>
        <v/>
      </c>
      <c r="B3811" s="54">
        <f>IF(_imp!$C$3813="","",INDEX(_imp!$E$4:$E$4503,_imp!$C$3813))</f>
        <v/>
      </c>
      <c r="C3811" s="54">
        <f>IF(_imp!$C$3813="","",INDEX(_imp!$F$4:$F$4503,_imp!$C$3813))</f>
        <v/>
      </c>
      <c r="D3811" s="54">
        <f>IF(_imp!$C$3813="","",INDEX(_imp!$G$4:$G$4503,_imp!$C$3813))</f>
        <v/>
      </c>
      <c r="E3811" s="54">
        <f>IF(_imp!$C$3813="","",INDEX(_imp!$H$4:$H$4503,_imp!$C$3813))</f>
        <v/>
      </c>
      <c r="F3811" s="54">
        <f>IF(_imp!$C$3813="","",INDEX(_imp!$I$4:$I$4503,_imp!$C$3813))</f>
        <v/>
      </c>
      <c r="G3811" s="54">
        <f>IF(_imp!$C$3813="","",INDEX(_imp!$J$4:$J$4503,_imp!$C$3813))</f>
        <v/>
      </c>
      <c r="K3811" s="54">
        <f>IF(_imp!$C$3813="","",INDEX(_imp!$K$4:$K$4503,_imp!$C$3813))</f>
        <v/>
      </c>
    </row>
    <row r="3812">
      <c r="A3812" s="54">
        <f>IF(_imp!$C$3814="","",INDEX(_imp!$D$4:$D$4503,_imp!$C$3814))</f>
        <v/>
      </c>
      <c r="B3812" s="54">
        <f>IF(_imp!$C$3814="","",INDEX(_imp!$E$4:$E$4503,_imp!$C$3814))</f>
        <v/>
      </c>
      <c r="C3812" s="54">
        <f>IF(_imp!$C$3814="","",INDEX(_imp!$F$4:$F$4503,_imp!$C$3814))</f>
        <v/>
      </c>
      <c r="D3812" s="54">
        <f>IF(_imp!$C$3814="","",INDEX(_imp!$G$4:$G$4503,_imp!$C$3814))</f>
        <v/>
      </c>
      <c r="E3812" s="54">
        <f>IF(_imp!$C$3814="","",INDEX(_imp!$H$4:$H$4503,_imp!$C$3814))</f>
        <v/>
      </c>
      <c r="F3812" s="54">
        <f>IF(_imp!$C$3814="","",INDEX(_imp!$I$4:$I$4503,_imp!$C$3814))</f>
        <v/>
      </c>
      <c r="G3812" s="54">
        <f>IF(_imp!$C$3814="","",INDEX(_imp!$J$4:$J$4503,_imp!$C$3814))</f>
        <v/>
      </c>
      <c r="K3812" s="54">
        <f>IF(_imp!$C$3814="","",INDEX(_imp!$K$4:$K$4503,_imp!$C$3814))</f>
        <v/>
      </c>
    </row>
    <row r="3813">
      <c r="A3813" s="54">
        <f>IF(_imp!$C$3815="","",INDEX(_imp!$D$4:$D$4503,_imp!$C$3815))</f>
        <v/>
      </c>
      <c r="B3813" s="54">
        <f>IF(_imp!$C$3815="","",INDEX(_imp!$E$4:$E$4503,_imp!$C$3815))</f>
        <v/>
      </c>
      <c r="C3813" s="54">
        <f>IF(_imp!$C$3815="","",INDEX(_imp!$F$4:$F$4503,_imp!$C$3815))</f>
        <v/>
      </c>
      <c r="D3813" s="54">
        <f>IF(_imp!$C$3815="","",INDEX(_imp!$G$4:$G$4503,_imp!$C$3815))</f>
        <v/>
      </c>
      <c r="E3813" s="54">
        <f>IF(_imp!$C$3815="","",INDEX(_imp!$H$4:$H$4503,_imp!$C$3815))</f>
        <v/>
      </c>
      <c r="F3813" s="54">
        <f>IF(_imp!$C$3815="","",INDEX(_imp!$I$4:$I$4503,_imp!$C$3815))</f>
        <v/>
      </c>
      <c r="G3813" s="54">
        <f>IF(_imp!$C$3815="","",INDEX(_imp!$J$4:$J$4503,_imp!$C$3815))</f>
        <v/>
      </c>
      <c r="K3813" s="54">
        <f>IF(_imp!$C$3815="","",INDEX(_imp!$K$4:$K$4503,_imp!$C$3815))</f>
        <v/>
      </c>
    </row>
    <row r="3814">
      <c r="A3814" s="54">
        <f>IF(_imp!$C$3816="","",INDEX(_imp!$D$4:$D$4503,_imp!$C$3816))</f>
        <v/>
      </c>
      <c r="B3814" s="54">
        <f>IF(_imp!$C$3816="","",INDEX(_imp!$E$4:$E$4503,_imp!$C$3816))</f>
        <v/>
      </c>
      <c r="C3814" s="54">
        <f>IF(_imp!$C$3816="","",INDEX(_imp!$F$4:$F$4503,_imp!$C$3816))</f>
        <v/>
      </c>
      <c r="D3814" s="54">
        <f>IF(_imp!$C$3816="","",INDEX(_imp!$G$4:$G$4503,_imp!$C$3816))</f>
        <v/>
      </c>
      <c r="E3814" s="54">
        <f>IF(_imp!$C$3816="","",INDEX(_imp!$H$4:$H$4503,_imp!$C$3816))</f>
        <v/>
      </c>
      <c r="F3814" s="54">
        <f>IF(_imp!$C$3816="","",INDEX(_imp!$I$4:$I$4503,_imp!$C$3816))</f>
        <v/>
      </c>
      <c r="G3814" s="54">
        <f>IF(_imp!$C$3816="","",INDEX(_imp!$J$4:$J$4503,_imp!$C$3816))</f>
        <v/>
      </c>
      <c r="K3814" s="54">
        <f>IF(_imp!$C$3816="","",INDEX(_imp!$K$4:$K$4503,_imp!$C$3816))</f>
        <v/>
      </c>
    </row>
    <row r="3815">
      <c r="A3815" s="54">
        <f>IF(_imp!$C$3817="","",INDEX(_imp!$D$4:$D$4503,_imp!$C$3817))</f>
        <v/>
      </c>
      <c r="B3815" s="54">
        <f>IF(_imp!$C$3817="","",INDEX(_imp!$E$4:$E$4503,_imp!$C$3817))</f>
        <v/>
      </c>
      <c r="C3815" s="54">
        <f>IF(_imp!$C$3817="","",INDEX(_imp!$F$4:$F$4503,_imp!$C$3817))</f>
        <v/>
      </c>
      <c r="D3815" s="54">
        <f>IF(_imp!$C$3817="","",INDEX(_imp!$G$4:$G$4503,_imp!$C$3817))</f>
        <v/>
      </c>
      <c r="E3815" s="54">
        <f>IF(_imp!$C$3817="","",INDEX(_imp!$H$4:$H$4503,_imp!$C$3817))</f>
        <v/>
      </c>
      <c r="F3815" s="54">
        <f>IF(_imp!$C$3817="","",INDEX(_imp!$I$4:$I$4503,_imp!$C$3817))</f>
        <v/>
      </c>
      <c r="G3815" s="54">
        <f>IF(_imp!$C$3817="","",INDEX(_imp!$J$4:$J$4503,_imp!$C$3817))</f>
        <v/>
      </c>
      <c r="K3815" s="54">
        <f>IF(_imp!$C$3817="","",INDEX(_imp!$K$4:$K$4503,_imp!$C$3817))</f>
        <v/>
      </c>
    </row>
    <row r="3816">
      <c r="A3816" s="54">
        <f>IF(_imp!$C$3818="","",INDEX(_imp!$D$4:$D$4503,_imp!$C$3818))</f>
        <v/>
      </c>
      <c r="B3816" s="54">
        <f>IF(_imp!$C$3818="","",INDEX(_imp!$E$4:$E$4503,_imp!$C$3818))</f>
        <v/>
      </c>
      <c r="C3816" s="54">
        <f>IF(_imp!$C$3818="","",INDEX(_imp!$F$4:$F$4503,_imp!$C$3818))</f>
        <v/>
      </c>
      <c r="D3816" s="54">
        <f>IF(_imp!$C$3818="","",INDEX(_imp!$G$4:$G$4503,_imp!$C$3818))</f>
        <v/>
      </c>
      <c r="E3816" s="54">
        <f>IF(_imp!$C$3818="","",INDEX(_imp!$H$4:$H$4503,_imp!$C$3818))</f>
        <v/>
      </c>
      <c r="F3816" s="54">
        <f>IF(_imp!$C$3818="","",INDEX(_imp!$I$4:$I$4503,_imp!$C$3818))</f>
        <v/>
      </c>
      <c r="G3816" s="54">
        <f>IF(_imp!$C$3818="","",INDEX(_imp!$J$4:$J$4503,_imp!$C$3818))</f>
        <v/>
      </c>
      <c r="K3816" s="54">
        <f>IF(_imp!$C$3818="","",INDEX(_imp!$K$4:$K$4503,_imp!$C$3818))</f>
        <v/>
      </c>
    </row>
    <row r="3817">
      <c r="A3817" s="54">
        <f>IF(_imp!$C$3819="","",INDEX(_imp!$D$4:$D$4503,_imp!$C$3819))</f>
        <v/>
      </c>
      <c r="B3817" s="54">
        <f>IF(_imp!$C$3819="","",INDEX(_imp!$E$4:$E$4503,_imp!$C$3819))</f>
        <v/>
      </c>
      <c r="C3817" s="54">
        <f>IF(_imp!$C$3819="","",INDEX(_imp!$F$4:$F$4503,_imp!$C$3819))</f>
        <v/>
      </c>
      <c r="D3817" s="54">
        <f>IF(_imp!$C$3819="","",INDEX(_imp!$G$4:$G$4503,_imp!$C$3819))</f>
        <v/>
      </c>
      <c r="E3817" s="54">
        <f>IF(_imp!$C$3819="","",INDEX(_imp!$H$4:$H$4503,_imp!$C$3819))</f>
        <v/>
      </c>
      <c r="F3817" s="54">
        <f>IF(_imp!$C$3819="","",INDEX(_imp!$I$4:$I$4503,_imp!$C$3819))</f>
        <v/>
      </c>
      <c r="G3817" s="54">
        <f>IF(_imp!$C$3819="","",INDEX(_imp!$J$4:$J$4503,_imp!$C$3819))</f>
        <v/>
      </c>
      <c r="K3817" s="54">
        <f>IF(_imp!$C$3819="","",INDEX(_imp!$K$4:$K$4503,_imp!$C$3819))</f>
        <v/>
      </c>
    </row>
    <row r="3818">
      <c r="A3818" s="54">
        <f>IF(_imp!$C$3820="","",INDEX(_imp!$D$4:$D$4503,_imp!$C$3820))</f>
        <v/>
      </c>
      <c r="B3818" s="54">
        <f>IF(_imp!$C$3820="","",INDEX(_imp!$E$4:$E$4503,_imp!$C$3820))</f>
        <v/>
      </c>
      <c r="C3818" s="54">
        <f>IF(_imp!$C$3820="","",INDEX(_imp!$F$4:$F$4503,_imp!$C$3820))</f>
        <v/>
      </c>
      <c r="D3818" s="54">
        <f>IF(_imp!$C$3820="","",INDEX(_imp!$G$4:$G$4503,_imp!$C$3820))</f>
        <v/>
      </c>
      <c r="E3818" s="54">
        <f>IF(_imp!$C$3820="","",INDEX(_imp!$H$4:$H$4503,_imp!$C$3820))</f>
        <v/>
      </c>
      <c r="F3818" s="54">
        <f>IF(_imp!$C$3820="","",INDEX(_imp!$I$4:$I$4503,_imp!$C$3820))</f>
        <v/>
      </c>
      <c r="G3818" s="54">
        <f>IF(_imp!$C$3820="","",INDEX(_imp!$J$4:$J$4503,_imp!$C$3820))</f>
        <v/>
      </c>
      <c r="K3818" s="54">
        <f>IF(_imp!$C$3820="","",INDEX(_imp!$K$4:$K$4503,_imp!$C$3820))</f>
        <v/>
      </c>
    </row>
    <row r="3819">
      <c r="A3819" s="54">
        <f>IF(_imp!$C$3821="","",INDEX(_imp!$D$4:$D$4503,_imp!$C$3821))</f>
        <v/>
      </c>
      <c r="B3819" s="54">
        <f>IF(_imp!$C$3821="","",INDEX(_imp!$E$4:$E$4503,_imp!$C$3821))</f>
        <v/>
      </c>
      <c r="C3819" s="54">
        <f>IF(_imp!$C$3821="","",INDEX(_imp!$F$4:$F$4503,_imp!$C$3821))</f>
        <v/>
      </c>
      <c r="D3819" s="54">
        <f>IF(_imp!$C$3821="","",INDEX(_imp!$G$4:$G$4503,_imp!$C$3821))</f>
        <v/>
      </c>
      <c r="E3819" s="54">
        <f>IF(_imp!$C$3821="","",INDEX(_imp!$H$4:$H$4503,_imp!$C$3821))</f>
        <v/>
      </c>
      <c r="F3819" s="54">
        <f>IF(_imp!$C$3821="","",INDEX(_imp!$I$4:$I$4503,_imp!$C$3821))</f>
        <v/>
      </c>
      <c r="G3819" s="54">
        <f>IF(_imp!$C$3821="","",INDEX(_imp!$J$4:$J$4503,_imp!$C$3821))</f>
        <v/>
      </c>
      <c r="K3819" s="54">
        <f>IF(_imp!$C$3821="","",INDEX(_imp!$K$4:$K$4503,_imp!$C$3821))</f>
        <v/>
      </c>
    </row>
    <row r="3820">
      <c r="A3820" s="54">
        <f>IF(_imp!$C$3822="","",INDEX(_imp!$D$4:$D$4503,_imp!$C$3822))</f>
        <v/>
      </c>
      <c r="B3820" s="54">
        <f>IF(_imp!$C$3822="","",INDEX(_imp!$E$4:$E$4503,_imp!$C$3822))</f>
        <v/>
      </c>
      <c r="C3820" s="54">
        <f>IF(_imp!$C$3822="","",INDEX(_imp!$F$4:$F$4503,_imp!$C$3822))</f>
        <v/>
      </c>
      <c r="D3820" s="54">
        <f>IF(_imp!$C$3822="","",INDEX(_imp!$G$4:$G$4503,_imp!$C$3822))</f>
        <v/>
      </c>
      <c r="E3820" s="54">
        <f>IF(_imp!$C$3822="","",INDEX(_imp!$H$4:$H$4503,_imp!$C$3822))</f>
        <v/>
      </c>
      <c r="F3820" s="54">
        <f>IF(_imp!$C$3822="","",INDEX(_imp!$I$4:$I$4503,_imp!$C$3822))</f>
        <v/>
      </c>
      <c r="G3820" s="54">
        <f>IF(_imp!$C$3822="","",INDEX(_imp!$J$4:$J$4503,_imp!$C$3822))</f>
        <v/>
      </c>
      <c r="K3820" s="54">
        <f>IF(_imp!$C$3822="","",INDEX(_imp!$K$4:$K$4503,_imp!$C$3822))</f>
        <v/>
      </c>
    </row>
    <row r="3821">
      <c r="A3821" s="54">
        <f>IF(_imp!$C$3823="","",INDEX(_imp!$D$4:$D$4503,_imp!$C$3823))</f>
        <v/>
      </c>
      <c r="B3821" s="54">
        <f>IF(_imp!$C$3823="","",INDEX(_imp!$E$4:$E$4503,_imp!$C$3823))</f>
        <v/>
      </c>
      <c r="C3821" s="54">
        <f>IF(_imp!$C$3823="","",INDEX(_imp!$F$4:$F$4503,_imp!$C$3823))</f>
        <v/>
      </c>
      <c r="D3821" s="54">
        <f>IF(_imp!$C$3823="","",INDEX(_imp!$G$4:$G$4503,_imp!$C$3823))</f>
        <v/>
      </c>
      <c r="E3821" s="54">
        <f>IF(_imp!$C$3823="","",INDEX(_imp!$H$4:$H$4503,_imp!$C$3823))</f>
        <v/>
      </c>
      <c r="F3821" s="54">
        <f>IF(_imp!$C$3823="","",INDEX(_imp!$I$4:$I$4503,_imp!$C$3823))</f>
        <v/>
      </c>
      <c r="G3821" s="54">
        <f>IF(_imp!$C$3823="","",INDEX(_imp!$J$4:$J$4503,_imp!$C$3823))</f>
        <v/>
      </c>
      <c r="K3821" s="54">
        <f>IF(_imp!$C$3823="","",INDEX(_imp!$K$4:$K$4503,_imp!$C$3823))</f>
        <v/>
      </c>
    </row>
    <row r="3822">
      <c r="A3822" s="54">
        <f>IF(_imp!$C$3824="","",INDEX(_imp!$D$4:$D$4503,_imp!$C$3824))</f>
        <v/>
      </c>
      <c r="B3822" s="54">
        <f>IF(_imp!$C$3824="","",INDEX(_imp!$E$4:$E$4503,_imp!$C$3824))</f>
        <v/>
      </c>
      <c r="C3822" s="54">
        <f>IF(_imp!$C$3824="","",INDEX(_imp!$F$4:$F$4503,_imp!$C$3824))</f>
        <v/>
      </c>
      <c r="D3822" s="54">
        <f>IF(_imp!$C$3824="","",INDEX(_imp!$G$4:$G$4503,_imp!$C$3824))</f>
        <v/>
      </c>
      <c r="E3822" s="54">
        <f>IF(_imp!$C$3824="","",INDEX(_imp!$H$4:$H$4503,_imp!$C$3824))</f>
        <v/>
      </c>
      <c r="F3822" s="54">
        <f>IF(_imp!$C$3824="","",INDEX(_imp!$I$4:$I$4503,_imp!$C$3824))</f>
        <v/>
      </c>
      <c r="G3822" s="54">
        <f>IF(_imp!$C$3824="","",INDEX(_imp!$J$4:$J$4503,_imp!$C$3824))</f>
        <v/>
      </c>
      <c r="K3822" s="54">
        <f>IF(_imp!$C$3824="","",INDEX(_imp!$K$4:$K$4503,_imp!$C$3824))</f>
        <v/>
      </c>
    </row>
    <row r="3823">
      <c r="A3823" s="54">
        <f>IF(_imp!$C$3825="","",INDEX(_imp!$D$4:$D$4503,_imp!$C$3825))</f>
        <v/>
      </c>
      <c r="B3823" s="54">
        <f>IF(_imp!$C$3825="","",INDEX(_imp!$E$4:$E$4503,_imp!$C$3825))</f>
        <v/>
      </c>
      <c r="C3823" s="54">
        <f>IF(_imp!$C$3825="","",INDEX(_imp!$F$4:$F$4503,_imp!$C$3825))</f>
        <v/>
      </c>
      <c r="D3823" s="54">
        <f>IF(_imp!$C$3825="","",INDEX(_imp!$G$4:$G$4503,_imp!$C$3825))</f>
        <v/>
      </c>
      <c r="E3823" s="54">
        <f>IF(_imp!$C$3825="","",INDEX(_imp!$H$4:$H$4503,_imp!$C$3825))</f>
        <v/>
      </c>
      <c r="F3823" s="54">
        <f>IF(_imp!$C$3825="","",INDEX(_imp!$I$4:$I$4503,_imp!$C$3825))</f>
        <v/>
      </c>
      <c r="G3823" s="54">
        <f>IF(_imp!$C$3825="","",INDEX(_imp!$J$4:$J$4503,_imp!$C$3825))</f>
        <v/>
      </c>
      <c r="K3823" s="54">
        <f>IF(_imp!$C$3825="","",INDEX(_imp!$K$4:$K$4503,_imp!$C$3825))</f>
        <v/>
      </c>
    </row>
    <row r="3824">
      <c r="A3824" s="54">
        <f>IF(_imp!$C$3826="","",INDEX(_imp!$D$4:$D$4503,_imp!$C$3826))</f>
        <v/>
      </c>
      <c r="B3824" s="54">
        <f>IF(_imp!$C$3826="","",INDEX(_imp!$E$4:$E$4503,_imp!$C$3826))</f>
        <v/>
      </c>
      <c r="C3824" s="54">
        <f>IF(_imp!$C$3826="","",INDEX(_imp!$F$4:$F$4503,_imp!$C$3826))</f>
        <v/>
      </c>
      <c r="D3824" s="54">
        <f>IF(_imp!$C$3826="","",INDEX(_imp!$G$4:$G$4503,_imp!$C$3826))</f>
        <v/>
      </c>
      <c r="E3824" s="54">
        <f>IF(_imp!$C$3826="","",INDEX(_imp!$H$4:$H$4503,_imp!$C$3826))</f>
        <v/>
      </c>
      <c r="F3824" s="54">
        <f>IF(_imp!$C$3826="","",INDEX(_imp!$I$4:$I$4503,_imp!$C$3826))</f>
        <v/>
      </c>
      <c r="G3824" s="54">
        <f>IF(_imp!$C$3826="","",INDEX(_imp!$J$4:$J$4503,_imp!$C$3826))</f>
        <v/>
      </c>
      <c r="K3824" s="54">
        <f>IF(_imp!$C$3826="","",INDEX(_imp!$K$4:$K$4503,_imp!$C$3826))</f>
        <v/>
      </c>
    </row>
    <row r="3825">
      <c r="A3825" s="54">
        <f>IF(_imp!$C$3827="","",INDEX(_imp!$D$4:$D$4503,_imp!$C$3827))</f>
        <v/>
      </c>
      <c r="B3825" s="54">
        <f>IF(_imp!$C$3827="","",INDEX(_imp!$E$4:$E$4503,_imp!$C$3827))</f>
        <v/>
      </c>
      <c r="C3825" s="54">
        <f>IF(_imp!$C$3827="","",INDEX(_imp!$F$4:$F$4503,_imp!$C$3827))</f>
        <v/>
      </c>
      <c r="D3825" s="54">
        <f>IF(_imp!$C$3827="","",INDEX(_imp!$G$4:$G$4503,_imp!$C$3827))</f>
        <v/>
      </c>
      <c r="E3825" s="54">
        <f>IF(_imp!$C$3827="","",INDEX(_imp!$H$4:$H$4503,_imp!$C$3827))</f>
        <v/>
      </c>
      <c r="F3825" s="54">
        <f>IF(_imp!$C$3827="","",INDEX(_imp!$I$4:$I$4503,_imp!$C$3827))</f>
        <v/>
      </c>
      <c r="G3825" s="54">
        <f>IF(_imp!$C$3827="","",INDEX(_imp!$J$4:$J$4503,_imp!$C$3827))</f>
        <v/>
      </c>
      <c r="K3825" s="54">
        <f>IF(_imp!$C$3827="","",INDEX(_imp!$K$4:$K$4503,_imp!$C$3827))</f>
        <v/>
      </c>
    </row>
    <row r="3826">
      <c r="A3826" s="54">
        <f>IF(_imp!$C$3828="","",INDEX(_imp!$D$4:$D$4503,_imp!$C$3828))</f>
        <v/>
      </c>
      <c r="B3826" s="54">
        <f>IF(_imp!$C$3828="","",INDEX(_imp!$E$4:$E$4503,_imp!$C$3828))</f>
        <v/>
      </c>
      <c r="C3826" s="54">
        <f>IF(_imp!$C$3828="","",INDEX(_imp!$F$4:$F$4503,_imp!$C$3828))</f>
        <v/>
      </c>
      <c r="D3826" s="54">
        <f>IF(_imp!$C$3828="","",INDEX(_imp!$G$4:$G$4503,_imp!$C$3828))</f>
        <v/>
      </c>
      <c r="E3826" s="54">
        <f>IF(_imp!$C$3828="","",INDEX(_imp!$H$4:$H$4503,_imp!$C$3828))</f>
        <v/>
      </c>
      <c r="F3826" s="54">
        <f>IF(_imp!$C$3828="","",INDEX(_imp!$I$4:$I$4503,_imp!$C$3828))</f>
        <v/>
      </c>
      <c r="G3826" s="54">
        <f>IF(_imp!$C$3828="","",INDEX(_imp!$J$4:$J$4503,_imp!$C$3828))</f>
        <v/>
      </c>
      <c r="K3826" s="54">
        <f>IF(_imp!$C$3828="","",INDEX(_imp!$K$4:$K$4503,_imp!$C$3828))</f>
        <v/>
      </c>
    </row>
    <row r="3827">
      <c r="A3827" s="54">
        <f>IF(_imp!$C$3829="","",INDEX(_imp!$D$4:$D$4503,_imp!$C$3829))</f>
        <v/>
      </c>
      <c r="B3827" s="54">
        <f>IF(_imp!$C$3829="","",INDEX(_imp!$E$4:$E$4503,_imp!$C$3829))</f>
        <v/>
      </c>
      <c r="C3827" s="54">
        <f>IF(_imp!$C$3829="","",INDEX(_imp!$F$4:$F$4503,_imp!$C$3829))</f>
        <v/>
      </c>
      <c r="D3827" s="54">
        <f>IF(_imp!$C$3829="","",INDEX(_imp!$G$4:$G$4503,_imp!$C$3829))</f>
        <v/>
      </c>
      <c r="E3827" s="54">
        <f>IF(_imp!$C$3829="","",INDEX(_imp!$H$4:$H$4503,_imp!$C$3829))</f>
        <v/>
      </c>
      <c r="F3827" s="54">
        <f>IF(_imp!$C$3829="","",INDEX(_imp!$I$4:$I$4503,_imp!$C$3829))</f>
        <v/>
      </c>
      <c r="G3827" s="54">
        <f>IF(_imp!$C$3829="","",INDEX(_imp!$J$4:$J$4503,_imp!$C$3829))</f>
        <v/>
      </c>
      <c r="K3827" s="54">
        <f>IF(_imp!$C$3829="","",INDEX(_imp!$K$4:$K$4503,_imp!$C$3829))</f>
        <v/>
      </c>
    </row>
    <row r="3828">
      <c r="A3828" s="54">
        <f>IF(_imp!$C$3830="","",INDEX(_imp!$D$4:$D$4503,_imp!$C$3830))</f>
        <v/>
      </c>
      <c r="B3828" s="54">
        <f>IF(_imp!$C$3830="","",INDEX(_imp!$E$4:$E$4503,_imp!$C$3830))</f>
        <v/>
      </c>
      <c r="C3828" s="54">
        <f>IF(_imp!$C$3830="","",INDEX(_imp!$F$4:$F$4503,_imp!$C$3830))</f>
        <v/>
      </c>
      <c r="D3828" s="54">
        <f>IF(_imp!$C$3830="","",INDEX(_imp!$G$4:$G$4503,_imp!$C$3830))</f>
        <v/>
      </c>
      <c r="E3828" s="54">
        <f>IF(_imp!$C$3830="","",INDEX(_imp!$H$4:$H$4503,_imp!$C$3830))</f>
        <v/>
      </c>
      <c r="F3828" s="54">
        <f>IF(_imp!$C$3830="","",INDEX(_imp!$I$4:$I$4503,_imp!$C$3830))</f>
        <v/>
      </c>
      <c r="G3828" s="54">
        <f>IF(_imp!$C$3830="","",INDEX(_imp!$J$4:$J$4503,_imp!$C$3830))</f>
        <v/>
      </c>
      <c r="K3828" s="54">
        <f>IF(_imp!$C$3830="","",INDEX(_imp!$K$4:$K$4503,_imp!$C$3830))</f>
        <v/>
      </c>
    </row>
    <row r="3829">
      <c r="A3829" s="54">
        <f>IF(_imp!$C$3831="","",INDEX(_imp!$D$4:$D$4503,_imp!$C$3831))</f>
        <v/>
      </c>
      <c r="B3829" s="54">
        <f>IF(_imp!$C$3831="","",INDEX(_imp!$E$4:$E$4503,_imp!$C$3831))</f>
        <v/>
      </c>
      <c r="C3829" s="54">
        <f>IF(_imp!$C$3831="","",INDEX(_imp!$F$4:$F$4503,_imp!$C$3831))</f>
        <v/>
      </c>
      <c r="D3829" s="54">
        <f>IF(_imp!$C$3831="","",INDEX(_imp!$G$4:$G$4503,_imp!$C$3831))</f>
        <v/>
      </c>
      <c r="E3829" s="54">
        <f>IF(_imp!$C$3831="","",INDEX(_imp!$H$4:$H$4503,_imp!$C$3831))</f>
        <v/>
      </c>
      <c r="F3829" s="54">
        <f>IF(_imp!$C$3831="","",INDEX(_imp!$I$4:$I$4503,_imp!$C$3831))</f>
        <v/>
      </c>
      <c r="G3829" s="54">
        <f>IF(_imp!$C$3831="","",INDEX(_imp!$J$4:$J$4503,_imp!$C$3831))</f>
        <v/>
      </c>
      <c r="K3829" s="54">
        <f>IF(_imp!$C$3831="","",INDEX(_imp!$K$4:$K$4503,_imp!$C$3831))</f>
        <v/>
      </c>
    </row>
    <row r="3830">
      <c r="A3830" s="54">
        <f>IF(_imp!$C$3832="","",INDEX(_imp!$D$4:$D$4503,_imp!$C$3832))</f>
        <v/>
      </c>
      <c r="B3830" s="54">
        <f>IF(_imp!$C$3832="","",INDEX(_imp!$E$4:$E$4503,_imp!$C$3832))</f>
        <v/>
      </c>
      <c r="C3830" s="54">
        <f>IF(_imp!$C$3832="","",INDEX(_imp!$F$4:$F$4503,_imp!$C$3832))</f>
        <v/>
      </c>
      <c r="D3830" s="54">
        <f>IF(_imp!$C$3832="","",INDEX(_imp!$G$4:$G$4503,_imp!$C$3832))</f>
        <v/>
      </c>
      <c r="E3830" s="54">
        <f>IF(_imp!$C$3832="","",INDEX(_imp!$H$4:$H$4503,_imp!$C$3832))</f>
        <v/>
      </c>
      <c r="F3830" s="54">
        <f>IF(_imp!$C$3832="","",INDEX(_imp!$I$4:$I$4503,_imp!$C$3832))</f>
        <v/>
      </c>
      <c r="G3830" s="54">
        <f>IF(_imp!$C$3832="","",INDEX(_imp!$J$4:$J$4503,_imp!$C$3832))</f>
        <v/>
      </c>
      <c r="K3830" s="54">
        <f>IF(_imp!$C$3832="","",INDEX(_imp!$K$4:$K$4503,_imp!$C$3832))</f>
        <v/>
      </c>
    </row>
    <row r="3831">
      <c r="A3831" s="54">
        <f>IF(_imp!$C$3833="","",INDEX(_imp!$D$4:$D$4503,_imp!$C$3833))</f>
        <v/>
      </c>
      <c r="B3831" s="54">
        <f>IF(_imp!$C$3833="","",INDEX(_imp!$E$4:$E$4503,_imp!$C$3833))</f>
        <v/>
      </c>
      <c r="C3831" s="54">
        <f>IF(_imp!$C$3833="","",INDEX(_imp!$F$4:$F$4503,_imp!$C$3833))</f>
        <v/>
      </c>
      <c r="D3831" s="54">
        <f>IF(_imp!$C$3833="","",INDEX(_imp!$G$4:$G$4503,_imp!$C$3833))</f>
        <v/>
      </c>
      <c r="E3831" s="54">
        <f>IF(_imp!$C$3833="","",INDEX(_imp!$H$4:$H$4503,_imp!$C$3833))</f>
        <v/>
      </c>
      <c r="F3831" s="54">
        <f>IF(_imp!$C$3833="","",INDEX(_imp!$I$4:$I$4503,_imp!$C$3833))</f>
        <v/>
      </c>
      <c r="G3831" s="54">
        <f>IF(_imp!$C$3833="","",INDEX(_imp!$J$4:$J$4503,_imp!$C$3833))</f>
        <v/>
      </c>
      <c r="K3831" s="54">
        <f>IF(_imp!$C$3833="","",INDEX(_imp!$K$4:$K$4503,_imp!$C$3833))</f>
        <v/>
      </c>
    </row>
    <row r="3832">
      <c r="A3832" s="54">
        <f>IF(_imp!$C$3834="","",INDEX(_imp!$D$4:$D$4503,_imp!$C$3834))</f>
        <v/>
      </c>
      <c r="B3832" s="54">
        <f>IF(_imp!$C$3834="","",INDEX(_imp!$E$4:$E$4503,_imp!$C$3834))</f>
        <v/>
      </c>
      <c r="C3832" s="54">
        <f>IF(_imp!$C$3834="","",INDEX(_imp!$F$4:$F$4503,_imp!$C$3834))</f>
        <v/>
      </c>
      <c r="D3832" s="54">
        <f>IF(_imp!$C$3834="","",INDEX(_imp!$G$4:$G$4503,_imp!$C$3834))</f>
        <v/>
      </c>
      <c r="E3832" s="54">
        <f>IF(_imp!$C$3834="","",INDEX(_imp!$H$4:$H$4503,_imp!$C$3834))</f>
        <v/>
      </c>
      <c r="F3832" s="54">
        <f>IF(_imp!$C$3834="","",INDEX(_imp!$I$4:$I$4503,_imp!$C$3834))</f>
        <v/>
      </c>
      <c r="G3832" s="54">
        <f>IF(_imp!$C$3834="","",INDEX(_imp!$J$4:$J$4503,_imp!$C$3834))</f>
        <v/>
      </c>
      <c r="K3832" s="54">
        <f>IF(_imp!$C$3834="","",INDEX(_imp!$K$4:$K$4503,_imp!$C$3834))</f>
        <v/>
      </c>
    </row>
    <row r="3833">
      <c r="A3833" s="54">
        <f>IF(_imp!$C$3835="","",INDEX(_imp!$D$4:$D$4503,_imp!$C$3835))</f>
        <v/>
      </c>
      <c r="B3833" s="54">
        <f>IF(_imp!$C$3835="","",INDEX(_imp!$E$4:$E$4503,_imp!$C$3835))</f>
        <v/>
      </c>
      <c r="C3833" s="54">
        <f>IF(_imp!$C$3835="","",INDEX(_imp!$F$4:$F$4503,_imp!$C$3835))</f>
        <v/>
      </c>
      <c r="D3833" s="54">
        <f>IF(_imp!$C$3835="","",INDEX(_imp!$G$4:$G$4503,_imp!$C$3835))</f>
        <v/>
      </c>
      <c r="E3833" s="54">
        <f>IF(_imp!$C$3835="","",INDEX(_imp!$H$4:$H$4503,_imp!$C$3835))</f>
        <v/>
      </c>
      <c r="F3833" s="54">
        <f>IF(_imp!$C$3835="","",INDEX(_imp!$I$4:$I$4503,_imp!$C$3835))</f>
        <v/>
      </c>
      <c r="G3833" s="54">
        <f>IF(_imp!$C$3835="","",INDEX(_imp!$J$4:$J$4503,_imp!$C$3835))</f>
        <v/>
      </c>
      <c r="K3833" s="54">
        <f>IF(_imp!$C$3835="","",INDEX(_imp!$K$4:$K$4503,_imp!$C$3835))</f>
        <v/>
      </c>
    </row>
    <row r="3834">
      <c r="A3834" s="54">
        <f>IF(_imp!$C$3836="","",INDEX(_imp!$D$4:$D$4503,_imp!$C$3836))</f>
        <v/>
      </c>
      <c r="B3834" s="54">
        <f>IF(_imp!$C$3836="","",INDEX(_imp!$E$4:$E$4503,_imp!$C$3836))</f>
        <v/>
      </c>
      <c r="C3834" s="54">
        <f>IF(_imp!$C$3836="","",INDEX(_imp!$F$4:$F$4503,_imp!$C$3836))</f>
        <v/>
      </c>
      <c r="D3834" s="54">
        <f>IF(_imp!$C$3836="","",INDEX(_imp!$G$4:$G$4503,_imp!$C$3836))</f>
        <v/>
      </c>
      <c r="E3834" s="54">
        <f>IF(_imp!$C$3836="","",INDEX(_imp!$H$4:$H$4503,_imp!$C$3836))</f>
        <v/>
      </c>
      <c r="F3834" s="54">
        <f>IF(_imp!$C$3836="","",INDEX(_imp!$I$4:$I$4503,_imp!$C$3836))</f>
        <v/>
      </c>
      <c r="G3834" s="54">
        <f>IF(_imp!$C$3836="","",INDEX(_imp!$J$4:$J$4503,_imp!$C$3836))</f>
        <v/>
      </c>
      <c r="K3834" s="54">
        <f>IF(_imp!$C$3836="","",INDEX(_imp!$K$4:$K$4503,_imp!$C$3836))</f>
        <v/>
      </c>
    </row>
    <row r="3835">
      <c r="A3835" s="54">
        <f>IF(_imp!$C$3837="","",INDEX(_imp!$D$4:$D$4503,_imp!$C$3837))</f>
        <v/>
      </c>
      <c r="B3835" s="54">
        <f>IF(_imp!$C$3837="","",INDEX(_imp!$E$4:$E$4503,_imp!$C$3837))</f>
        <v/>
      </c>
      <c r="C3835" s="54">
        <f>IF(_imp!$C$3837="","",INDEX(_imp!$F$4:$F$4503,_imp!$C$3837))</f>
        <v/>
      </c>
      <c r="D3835" s="54">
        <f>IF(_imp!$C$3837="","",INDEX(_imp!$G$4:$G$4503,_imp!$C$3837))</f>
        <v/>
      </c>
      <c r="E3835" s="54">
        <f>IF(_imp!$C$3837="","",INDEX(_imp!$H$4:$H$4503,_imp!$C$3837))</f>
        <v/>
      </c>
      <c r="F3835" s="54">
        <f>IF(_imp!$C$3837="","",INDEX(_imp!$I$4:$I$4503,_imp!$C$3837))</f>
        <v/>
      </c>
      <c r="G3835" s="54">
        <f>IF(_imp!$C$3837="","",INDEX(_imp!$J$4:$J$4503,_imp!$C$3837))</f>
        <v/>
      </c>
      <c r="K3835" s="54">
        <f>IF(_imp!$C$3837="","",INDEX(_imp!$K$4:$K$4503,_imp!$C$3837))</f>
        <v/>
      </c>
    </row>
    <row r="3836">
      <c r="A3836" s="54">
        <f>IF(_imp!$C$3838="","",INDEX(_imp!$D$4:$D$4503,_imp!$C$3838))</f>
        <v/>
      </c>
      <c r="B3836" s="54">
        <f>IF(_imp!$C$3838="","",INDEX(_imp!$E$4:$E$4503,_imp!$C$3838))</f>
        <v/>
      </c>
      <c r="C3836" s="54">
        <f>IF(_imp!$C$3838="","",INDEX(_imp!$F$4:$F$4503,_imp!$C$3838))</f>
        <v/>
      </c>
      <c r="D3836" s="54">
        <f>IF(_imp!$C$3838="","",INDEX(_imp!$G$4:$G$4503,_imp!$C$3838))</f>
        <v/>
      </c>
      <c r="E3836" s="54">
        <f>IF(_imp!$C$3838="","",INDEX(_imp!$H$4:$H$4503,_imp!$C$3838))</f>
        <v/>
      </c>
      <c r="F3836" s="54">
        <f>IF(_imp!$C$3838="","",INDEX(_imp!$I$4:$I$4503,_imp!$C$3838))</f>
        <v/>
      </c>
      <c r="G3836" s="54">
        <f>IF(_imp!$C$3838="","",INDEX(_imp!$J$4:$J$4503,_imp!$C$3838))</f>
        <v/>
      </c>
      <c r="K3836" s="54">
        <f>IF(_imp!$C$3838="","",INDEX(_imp!$K$4:$K$4503,_imp!$C$3838))</f>
        <v/>
      </c>
    </row>
    <row r="3837">
      <c r="A3837" s="54">
        <f>IF(_imp!$C$3839="","",INDEX(_imp!$D$4:$D$4503,_imp!$C$3839))</f>
        <v/>
      </c>
      <c r="B3837" s="54">
        <f>IF(_imp!$C$3839="","",INDEX(_imp!$E$4:$E$4503,_imp!$C$3839))</f>
        <v/>
      </c>
      <c r="C3837" s="54">
        <f>IF(_imp!$C$3839="","",INDEX(_imp!$F$4:$F$4503,_imp!$C$3839))</f>
        <v/>
      </c>
      <c r="D3837" s="54">
        <f>IF(_imp!$C$3839="","",INDEX(_imp!$G$4:$G$4503,_imp!$C$3839))</f>
        <v/>
      </c>
      <c r="E3837" s="54">
        <f>IF(_imp!$C$3839="","",INDEX(_imp!$H$4:$H$4503,_imp!$C$3839))</f>
        <v/>
      </c>
      <c r="F3837" s="54">
        <f>IF(_imp!$C$3839="","",INDEX(_imp!$I$4:$I$4503,_imp!$C$3839))</f>
        <v/>
      </c>
      <c r="G3837" s="54">
        <f>IF(_imp!$C$3839="","",INDEX(_imp!$J$4:$J$4503,_imp!$C$3839))</f>
        <v/>
      </c>
      <c r="K3837" s="54">
        <f>IF(_imp!$C$3839="","",INDEX(_imp!$K$4:$K$4503,_imp!$C$3839))</f>
        <v/>
      </c>
    </row>
    <row r="3838">
      <c r="A3838" s="54">
        <f>IF(_imp!$C$3840="","",INDEX(_imp!$D$4:$D$4503,_imp!$C$3840))</f>
        <v/>
      </c>
      <c r="B3838" s="54">
        <f>IF(_imp!$C$3840="","",INDEX(_imp!$E$4:$E$4503,_imp!$C$3840))</f>
        <v/>
      </c>
      <c r="C3838" s="54">
        <f>IF(_imp!$C$3840="","",INDEX(_imp!$F$4:$F$4503,_imp!$C$3840))</f>
        <v/>
      </c>
      <c r="D3838" s="54">
        <f>IF(_imp!$C$3840="","",INDEX(_imp!$G$4:$G$4503,_imp!$C$3840))</f>
        <v/>
      </c>
      <c r="E3838" s="54">
        <f>IF(_imp!$C$3840="","",INDEX(_imp!$H$4:$H$4503,_imp!$C$3840))</f>
        <v/>
      </c>
      <c r="F3838" s="54">
        <f>IF(_imp!$C$3840="","",INDEX(_imp!$I$4:$I$4503,_imp!$C$3840))</f>
        <v/>
      </c>
      <c r="G3838" s="54">
        <f>IF(_imp!$C$3840="","",INDEX(_imp!$J$4:$J$4503,_imp!$C$3840))</f>
        <v/>
      </c>
      <c r="K3838" s="54">
        <f>IF(_imp!$C$3840="","",INDEX(_imp!$K$4:$K$4503,_imp!$C$3840))</f>
        <v/>
      </c>
    </row>
    <row r="3839">
      <c r="A3839" s="54">
        <f>IF(_imp!$C$3841="","",INDEX(_imp!$D$4:$D$4503,_imp!$C$3841))</f>
        <v/>
      </c>
      <c r="B3839" s="54">
        <f>IF(_imp!$C$3841="","",INDEX(_imp!$E$4:$E$4503,_imp!$C$3841))</f>
        <v/>
      </c>
      <c r="C3839" s="54">
        <f>IF(_imp!$C$3841="","",INDEX(_imp!$F$4:$F$4503,_imp!$C$3841))</f>
        <v/>
      </c>
      <c r="D3839" s="54">
        <f>IF(_imp!$C$3841="","",INDEX(_imp!$G$4:$G$4503,_imp!$C$3841))</f>
        <v/>
      </c>
      <c r="E3839" s="54">
        <f>IF(_imp!$C$3841="","",INDEX(_imp!$H$4:$H$4503,_imp!$C$3841))</f>
        <v/>
      </c>
      <c r="F3839" s="54">
        <f>IF(_imp!$C$3841="","",INDEX(_imp!$I$4:$I$4503,_imp!$C$3841))</f>
        <v/>
      </c>
      <c r="G3839" s="54">
        <f>IF(_imp!$C$3841="","",INDEX(_imp!$J$4:$J$4503,_imp!$C$3841))</f>
        <v/>
      </c>
      <c r="K3839" s="54">
        <f>IF(_imp!$C$3841="","",INDEX(_imp!$K$4:$K$4503,_imp!$C$3841))</f>
        <v/>
      </c>
    </row>
    <row r="3840">
      <c r="A3840" s="54">
        <f>IF(_imp!$C$3842="","",INDEX(_imp!$D$4:$D$4503,_imp!$C$3842))</f>
        <v/>
      </c>
      <c r="B3840" s="54">
        <f>IF(_imp!$C$3842="","",INDEX(_imp!$E$4:$E$4503,_imp!$C$3842))</f>
        <v/>
      </c>
      <c r="C3840" s="54">
        <f>IF(_imp!$C$3842="","",INDEX(_imp!$F$4:$F$4503,_imp!$C$3842))</f>
        <v/>
      </c>
      <c r="D3840" s="54">
        <f>IF(_imp!$C$3842="","",INDEX(_imp!$G$4:$G$4503,_imp!$C$3842))</f>
        <v/>
      </c>
      <c r="E3840" s="54">
        <f>IF(_imp!$C$3842="","",INDEX(_imp!$H$4:$H$4503,_imp!$C$3842))</f>
        <v/>
      </c>
      <c r="F3840" s="54">
        <f>IF(_imp!$C$3842="","",INDEX(_imp!$I$4:$I$4503,_imp!$C$3842))</f>
        <v/>
      </c>
      <c r="G3840" s="54">
        <f>IF(_imp!$C$3842="","",INDEX(_imp!$J$4:$J$4503,_imp!$C$3842))</f>
        <v/>
      </c>
      <c r="K3840" s="54">
        <f>IF(_imp!$C$3842="","",INDEX(_imp!$K$4:$K$4503,_imp!$C$3842))</f>
        <v/>
      </c>
    </row>
    <row r="3841">
      <c r="A3841" s="54">
        <f>IF(_imp!$C$3843="","",INDEX(_imp!$D$4:$D$4503,_imp!$C$3843))</f>
        <v/>
      </c>
      <c r="B3841" s="54">
        <f>IF(_imp!$C$3843="","",INDEX(_imp!$E$4:$E$4503,_imp!$C$3843))</f>
        <v/>
      </c>
      <c r="C3841" s="54">
        <f>IF(_imp!$C$3843="","",INDEX(_imp!$F$4:$F$4503,_imp!$C$3843))</f>
        <v/>
      </c>
      <c r="D3841" s="54">
        <f>IF(_imp!$C$3843="","",INDEX(_imp!$G$4:$G$4503,_imp!$C$3843))</f>
        <v/>
      </c>
      <c r="E3841" s="54">
        <f>IF(_imp!$C$3843="","",INDEX(_imp!$H$4:$H$4503,_imp!$C$3843))</f>
        <v/>
      </c>
      <c r="F3841" s="54">
        <f>IF(_imp!$C$3843="","",INDEX(_imp!$I$4:$I$4503,_imp!$C$3843))</f>
        <v/>
      </c>
      <c r="G3841" s="54">
        <f>IF(_imp!$C$3843="","",INDEX(_imp!$J$4:$J$4503,_imp!$C$3843))</f>
        <v/>
      </c>
      <c r="K3841" s="54">
        <f>IF(_imp!$C$3843="","",INDEX(_imp!$K$4:$K$4503,_imp!$C$3843))</f>
        <v/>
      </c>
    </row>
    <row r="3842">
      <c r="A3842" s="54">
        <f>IF(_imp!$C$3844="","",INDEX(_imp!$D$4:$D$4503,_imp!$C$3844))</f>
        <v/>
      </c>
      <c r="B3842" s="54">
        <f>IF(_imp!$C$3844="","",INDEX(_imp!$E$4:$E$4503,_imp!$C$3844))</f>
        <v/>
      </c>
      <c r="C3842" s="54">
        <f>IF(_imp!$C$3844="","",INDEX(_imp!$F$4:$F$4503,_imp!$C$3844))</f>
        <v/>
      </c>
      <c r="D3842" s="54">
        <f>IF(_imp!$C$3844="","",INDEX(_imp!$G$4:$G$4503,_imp!$C$3844))</f>
        <v/>
      </c>
      <c r="E3842" s="54">
        <f>IF(_imp!$C$3844="","",INDEX(_imp!$H$4:$H$4503,_imp!$C$3844))</f>
        <v/>
      </c>
      <c r="F3842" s="54">
        <f>IF(_imp!$C$3844="","",INDEX(_imp!$I$4:$I$4503,_imp!$C$3844))</f>
        <v/>
      </c>
      <c r="G3842" s="54">
        <f>IF(_imp!$C$3844="","",INDEX(_imp!$J$4:$J$4503,_imp!$C$3844))</f>
        <v/>
      </c>
      <c r="K3842" s="54">
        <f>IF(_imp!$C$3844="","",INDEX(_imp!$K$4:$K$4503,_imp!$C$3844))</f>
        <v/>
      </c>
    </row>
    <row r="3843">
      <c r="A3843" s="54">
        <f>IF(_imp!$C$3845="","",INDEX(_imp!$D$4:$D$4503,_imp!$C$3845))</f>
        <v/>
      </c>
      <c r="B3843" s="54">
        <f>IF(_imp!$C$3845="","",INDEX(_imp!$E$4:$E$4503,_imp!$C$3845))</f>
        <v/>
      </c>
      <c r="C3843" s="54">
        <f>IF(_imp!$C$3845="","",INDEX(_imp!$F$4:$F$4503,_imp!$C$3845))</f>
        <v/>
      </c>
      <c r="D3843" s="54">
        <f>IF(_imp!$C$3845="","",INDEX(_imp!$G$4:$G$4503,_imp!$C$3845))</f>
        <v/>
      </c>
      <c r="E3843" s="54">
        <f>IF(_imp!$C$3845="","",INDEX(_imp!$H$4:$H$4503,_imp!$C$3845))</f>
        <v/>
      </c>
      <c r="F3843" s="54">
        <f>IF(_imp!$C$3845="","",INDEX(_imp!$I$4:$I$4503,_imp!$C$3845))</f>
        <v/>
      </c>
      <c r="G3843" s="54">
        <f>IF(_imp!$C$3845="","",INDEX(_imp!$J$4:$J$4503,_imp!$C$3845))</f>
        <v/>
      </c>
      <c r="K3843" s="54">
        <f>IF(_imp!$C$3845="","",INDEX(_imp!$K$4:$K$4503,_imp!$C$3845))</f>
        <v/>
      </c>
    </row>
    <row r="3844">
      <c r="A3844" s="54">
        <f>IF(_imp!$C$3846="","",INDEX(_imp!$D$4:$D$4503,_imp!$C$3846))</f>
        <v/>
      </c>
      <c r="B3844" s="54">
        <f>IF(_imp!$C$3846="","",INDEX(_imp!$E$4:$E$4503,_imp!$C$3846))</f>
        <v/>
      </c>
      <c r="C3844" s="54">
        <f>IF(_imp!$C$3846="","",INDEX(_imp!$F$4:$F$4503,_imp!$C$3846))</f>
        <v/>
      </c>
      <c r="D3844" s="54">
        <f>IF(_imp!$C$3846="","",INDEX(_imp!$G$4:$G$4503,_imp!$C$3846))</f>
        <v/>
      </c>
      <c r="E3844" s="54">
        <f>IF(_imp!$C$3846="","",INDEX(_imp!$H$4:$H$4503,_imp!$C$3846))</f>
        <v/>
      </c>
      <c r="F3844" s="54">
        <f>IF(_imp!$C$3846="","",INDEX(_imp!$I$4:$I$4503,_imp!$C$3846))</f>
        <v/>
      </c>
      <c r="G3844" s="54">
        <f>IF(_imp!$C$3846="","",INDEX(_imp!$J$4:$J$4503,_imp!$C$3846))</f>
        <v/>
      </c>
      <c r="K3844" s="54">
        <f>IF(_imp!$C$3846="","",INDEX(_imp!$K$4:$K$4503,_imp!$C$3846))</f>
        <v/>
      </c>
    </row>
    <row r="3845">
      <c r="A3845" s="54">
        <f>IF(_imp!$C$3847="","",INDEX(_imp!$D$4:$D$4503,_imp!$C$3847))</f>
        <v/>
      </c>
      <c r="B3845" s="54">
        <f>IF(_imp!$C$3847="","",INDEX(_imp!$E$4:$E$4503,_imp!$C$3847))</f>
        <v/>
      </c>
      <c r="C3845" s="54">
        <f>IF(_imp!$C$3847="","",INDEX(_imp!$F$4:$F$4503,_imp!$C$3847))</f>
        <v/>
      </c>
      <c r="D3845" s="54">
        <f>IF(_imp!$C$3847="","",INDEX(_imp!$G$4:$G$4503,_imp!$C$3847))</f>
        <v/>
      </c>
      <c r="E3845" s="54">
        <f>IF(_imp!$C$3847="","",INDEX(_imp!$H$4:$H$4503,_imp!$C$3847))</f>
        <v/>
      </c>
      <c r="F3845" s="54">
        <f>IF(_imp!$C$3847="","",INDEX(_imp!$I$4:$I$4503,_imp!$C$3847))</f>
        <v/>
      </c>
      <c r="G3845" s="54">
        <f>IF(_imp!$C$3847="","",INDEX(_imp!$J$4:$J$4503,_imp!$C$3847))</f>
        <v/>
      </c>
      <c r="K3845" s="54">
        <f>IF(_imp!$C$3847="","",INDEX(_imp!$K$4:$K$4503,_imp!$C$3847))</f>
        <v/>
      </c>
    </row>
    <row r="3846">
      <c r="A3846" s="54">
        <f>IF(_imp!$C$3848="","",INDEX(_imp!$D$4:$D$4503,_imp!$C$3848))</f>
        <v/>
      </c>
      <c r="B3846" s="54">
        <f>IF(_imp!$C$3848="","",INDEX(_imp!$E$4:$E$4503,_imp!$C$3848))</f>
        <v/>
      </c>
      <c r="C3846" s="54">
        <f>IF(_imp!$C$3848="","",INDEX(_imp!$F$4:$F$4503,_imp!$C$3848))</f>
        <v/>
      </c>
      <c r="D3846" s="54">
        <f>IF(_imp!$C$3848="","",INDEX(_imp!$G$4:$G$4503,_imp!$C$3848))</f>
        <v/>
      </c>
      <c r="E3846" s="54">
        <f>IF(_imp!$C$3848="","",INDEX(_imp!$H$4:$H$4503,_imp!$C$3848))</f>
        <v/>
      </c>
      <c r="F3846" s="54">
        <f>IF(_imp!$C$3848="","",INDEX(_imp!$I$4:$I$4503,_imp!$C$3848))</f>
        <v/>
      </c>
      <c r="G3846" s="54">
        <f>IF(_imp!$C$3848="","",INDEX(_imp!$J$4:$J$4503,_imp!$C$3848))</f>
        <v/>
      </c>
      <c r="K3846" s="54">
        <f>IF(_imp!$C$3848="","",INDEX(_imp!$K$4:$K$4503,_imp!$C$3848))</f>
        <v/>
      </c>
    </row>
    <row r="3847">
      <c r="A3847" s="54">
        <f>IF(_imp!$C$3849="","",INDEX(_imp!$D$4:$D$4503,_imp!$C$3849))</f>
        <v/>
      </c>
      <c r="B3847" s="54">
        <f>IF(_imp!$C$3849="","",INDEX(_imp!$E$4:$E$4503,_imp!$C$3849))</f>
        <v/>
      </c>
      <c r="C3847" s="54">
        <f>IF(_imp!$C$3849="","",INDEX(_imp!$F$4:$F$4503,_imp!$C$3849))</f>
        <v/>
      </c>
      <c r="D3847" s="54">
        <f>IF(_imp!$C$3849="","",INDEX(_imp!$G$4:$G$4503,_imp!$C$3849))</f>
        <v/>
      </c>
      <c r="E3847" s="54">
        <f>IF(_imp!$C$3849="","",INDEX(_imp!$H$4:$H$4503,_imp!$C$3849))</f>
        <v/>
      </c>
      <c r="F3847" s="54">
        <f>IF(_imp!$C$3849="","",INDEX(_imp!$I$4:$I$4503,_imp!$C$3849))</f>
        <v/>
      </c>
      <c r="G3847" s="54">
        <f>IF(_imp!$C$3849="","",INDEX(_imp!$J$4:$J$4503,_imp!$C$3849))</f>
        <v/>
      </c>
      <c r="K3847" s="54">
        <f>IF(_imp!$C$3849="","",INDEX(_imp!$K$4:$K$4503,_imp!$C$3849))</f>
        <v/>
      </c>
    </row>
    <row r="3848">
      <c r="A3848" s="54">
        <f>IF(_imp!$C$3850="","",INDEX(_imp!$D$4:$D$4503,_imp!$C$3850))</f>
        <v/>
      </c>
      <c r="B3848" s="54">
        <f>IF(_imp!$C$3850="","",INDEX(_imp!$E$4:$E$4503,_imp!$C$3850))</f>
        <v/>
      </c>
      <c r="C3848" s="54">
        <f>IF(_imp!$C$3850="","",INDEX(_imp!$F$4:$F$4503,_imp!$C$3850))</f>
        <v/>
      </c>
      <c r="D3848" s="54">
        <f>IF(_imp!$C$3850="","",INDEX(_imp!$G$4:$G$4503,_imp!$C$3850))</f>
        <v/>
      </c>
      <c r="E3848" s="54">
        <f>IF(_imp!$C$3850="","",INDEX(_imp!$H$4:$H$4503,_imp!$C$3850))</f>
        <v/>
      </c>
      <c r="F3848" s="54">
        <f>IF(_imp!$C$3850="","",INDEX(_imp!$I$4:$I$4503,_imp!$C$3850))</f>
        <v/>
      </c>
      <c r="G3848" s="54">
        <f>IF(_imp!$C$3850="","",INDEX(_imp!$J$4:$J$4503,_imp!$C$3850))</f>
        <v/>
      </c>
      <c r="K3848" s="54">
        <f>IF(_imp!$C$3850="","",INDEX(_imp!$K$4:$K$4503,_imp!$C$3850))</f>
        <v/>
      </c>
    </row>
    <row r="3849">
      <c r="A3849" s="54">
        <f>IF(_imp!$C$3851="","",INDEX(_imp!$D$4:$D$4503,_imp!$C$3851))</f>
        <v/>
      </c>
      <c r="B3849" s="54">
        <f>IF(_imp!$C$3851="","",INDEX(_imp!$E$4:$E$4503,_imp!$C$3851))</f>
        <v/>
      </c>
      <c r="C3849" s="54">
        <f>IF(_imp!$C$3851="","",INDEX(_imp!$F$4:$F$4503,_imp!$C$3851))</f>
        <v/>
      </c>
      <c r="D3849" s="54">
        <f>IF(_imp!$C$3851="","",INDEX(_imp!$G$4:$G$4503,_imp!$C$3851))</f>
        <v/>
      </c>
      <c r="E3849" s="54">
        <f>IF(_imp!$C$3851="","",INDEX(_imp!$H$4:$H$4503,_imp!$C$3851))</f>
        <v/>
      </c>
      <c r="F3849" s="54">
        <f>IF(_imp!$C$3851="","",INDEX(_imp!$I$4:$I$4503,_imp!$C$3851))</f>
        <v/>
      </c>
      <c r="G3849" s="54">
        <f>IF(_imp!$C$3851="","",INDEX(_imp!$J$4:$J$4503,_imp!$C$3851))</f>
        <v/>
      </c>
      <c r="K3849" s="54">
        <f>IF(_imp!$C$3851="","",INDEX(_imp!$K$4:$K$4503,_imp!$C$3851))</f>
        <v/>
      </c>
    </row>
    <row r="3850">
      <c r="A3850" s="54">
        <f>IF(_imp!$C$3852="","",INDEX(_imp!$D$4:$D$4503,_imp!$C$3852))</f>
        <v/>
      </c>
      <c r="B3850" s="54">
        <f>IF(_imp!$C$3852="","",INDEX(_imp!$E$4:$E$4503,_imp!$C$3852))</f>
        <v/>
      </c>
      <c r="C3850" s="54">
        <f>IF(_imp!$C$3852="","",INDEX(_imp!$F$4:$F$4503,_imp!$C$3852))</f>
        <v/>
      </c>
      <c r="D3850" s="54">
        <f>IF(_imp!$C$3852="","",INDEX(_imp!$G$4:$G$4503,_imp!$C$3852))</f>
        <v/>
      </c>
      <c r="E3850" s="54">
        <f>IF(_imp!$C$3852="","",INDEX(_imp!$H$4:$H$4503,_imp!$C$3852))</f>
        <v/>
      </c>
      <c r="F3850" s="54">
        <f>IF(_imp!$C$3852="","",INDEX(_imp!$I$4:$I$4503,_imp!$C$3852))</f>
        <v/>
      </c>
      <c r="G3850" s="54">
        <f>IF(_imp!$C$3852="","",INDEX(_imp!$J$4:$J$4503,_imp!$C$3852))</f>
        <v/>
      </c>
      <c r="K3850" s="54">
        <f>IF(_imp!$C$3852="","",INDEX(_imp!$K$4:$K$4503,_imp!$C$3852))</f>
        <v/>
      </c>
    </row>
    <row r="3851">
      <c r="A3851" s="54">
        <f>IF(_imp!$C$3853="","",INDEX(_imp!$D$4:$D$4503,_imp!$C$3853))</f>
        <v/>
      </c>
      <c r="B3851" s="54">
        <f>IF(_imp!$C$3853="","",INDEX(_imp!$E$4:$E$4503,_imp!$C$3853))</f>
        <v/>
      </c>
      <c r="C3851" s="54">
        <f>IF(_imp!$C$3853="","",INDEX(_imp!$F$4:$F$4503,_imp!$C$3853))</f>
        <v/>
      </c>
      <c r="D3851" s="54">
        <f>IF(_imp!$C$3853="","",INDEX(_imp!$G$4:$G$4503,_imp!$C$3853))</f>
        <v/>
      </c>
      <c r="E3851" s="54">
        <f>IF(_imp!$C$3853="","",INDEX(_imp!$H$4:$H$4503,_imp!$C$3853))</f>
        <v/>
      </c>
      <c r="F3851" s="54">
        <f>IF(_imp!$C$3853="","",INDEX(_imp!$I$4:$I$4503,_imp!$C$3853))</f>
        <v/>
      </c>
      <c r="G3851" s="54">
        <f>IF(_imp!$C$3853="","",INDEX(_imp!$J$4:$J$4503,_imp!$C$3853))</f>
        <v/>
      </c>
      <c r="K3851" s="54">
        <f>IF(_imp!$C$3853="","",INDEX(_imp!$K$4:$K$4503,_imp!$C$3853))</f>
        <v/>
      </c>
    </row>
    <row r="3852">
      <c r="A3852" s="54">
        <f>IF(_imp!$C$3854="","",INDEX(_imp!$D$4:$D$4503,_imp!$C$3854))</f>
        <v/>
      </c>
      <c r="B3852" s="54">
        <f>IF(_imp!$C$3854="","",INDEX(_imp!$E$4:$E$4503,_imp!$C$3854))</f>
        <v/>
      </c>
      <c r="C3852" s="54">
        <f>IF(_imp!$C$3854="","",INDEX(_imp!$F$4:$F$4503,_imp!$C$3854))</f>
        <v/>
      </c>
      <c r="D3852" s="54">
        <f>IF(_imp!$C$3854="","",INDEX(_imp!$G$4:$G$4503,_imp!$C$3854))</f>
        <v/>
      </c>
      <c r="E3852" s="54">
        <f>IF(_imp!$C$3854="","",INDEX(_imp!$H$4:$H$4503,_imp!$C$3854))</f>
        <v/>
      </c>
      <c r="F3852" s="54">
        <f>IF(_imp!$C$3854="","",INDEX(_imp!$I$4:$I$4503,_imp!$C$3854))</f>
        <v/>
      </c>
      <c r="G3852" s="54">
        <f>IF(_imp!$C$3854="","",INDEX(_imp!$J$4:$J$4503,_imp!$C$3854))</f>
        <v/>
      </c>
      <c r="K3852" s="54">
        <f>IF(_imp!$C$3854="","",INDEX(_imp!$K$4:$K$4503,_imp!$C$3854))</f>
        <v/>
      </c>
    </row>
    <row r="3853">
      <c r="A3853" s="54">
        <f>IF(_imp!$C$3855="","",INDEX(_imp!$D$4:$D$4503,_imp!$C$3855))</f>
        <v/>
      </c>
      <c r="B3853" s="54">
        <f>IF(_imp!$C$3855="","",INDEX(_imp!$E$4:$E$4503,_imp!$C$3855))</f>
        <v/>
      </c>
      <c r="C3853" s="54">
        <f>IF(_imp!$C$3855="","",INDEX(_imp!$F$4:$F$4503,_imp!$C$3855))</f>
        <v/>
      </c>
      <c r="D3853" s="54">
        <f>IF(_imp!$C$3855="","",INDEX(_imp!$G$4:$G$4503,_imp!$C$3855))</f>
        <v/>
      </c>
      <c r="E3853" s="54">
        <f>IF(_imp!$C$3855="","",INDEX(_imp!$H$4:$H$4503,_imp!$C$3855))</f>
        <v/>
      </c>
      <c r="F3853" s="54">
        <f>IF(_imp!$C$3855="","",INDEX(_imp!$I$4:$I$4503,_imp!$C$3855))</f>
        <v/>
      </c>
      <c r="G3853" s="54">
        <f>IF(_imp!$C$3855="","",INDEX(_imp!$J$4:$J$4503,_imp!$C$3855))</f>
        <v/>
      </c>
      <c r="K3853" s="54">
        <f>IF(_imp!$C$3855="","",INDEX(_imp!$K$4:$K$4503,_imp!$C$3855))</f>
        <v/>
      </c>
    </row>
    <row r="3854">
      <c r="A3854" s="54">
        <f>IF(_imp!$C$3856="","",INDEX(_imp!$D$4:$D$4503,_imp!$C$3856))</f>
        <v/>
      </c>
      <c r="B3854" s="54">
        <f>IF(_imp!$C$3856="","",INDEX(_imp!$E$4:$E$4503,_imp!$C$3856))</f>
        <v/>
      </c>
      <c r="C3854" s="54">
        <f>IF(_imp!$C$3856="","",INDEX(_imp!$F$4:$F$4503,_imp!$C$3856))</f>
        <v/>
      </c>
      <c r="D3854" s="54">
        <f>IF(_imp!$C$3856="","",INDEX(_imp!$G$4:$G$4503,_imp!$C$3856))</f>
        <v/>
      </c>
      <c r="E3854" s="54">
        <f>IF(_imp!$C$3856="","",INDEX(_imp!$H$4:$H$4503,_imp!$C$3856))</f>
        <v/>
      </c>
      <c r="F3854" s="54">
        <f>IF(_imp!$C$3856="","",INDEX(_imp!$I$4:$I$4503,_imp!$C$3856))</f>
        <v/>
      </c>
      <c r="G3854" s="54">
        <f>IF(_imp!$C$3856="","",INDEX(_imp!$J$4:$J$4503,_imp!$C$3856))</f>
        <v/>
      </c>
      <c r="K3854" s="54">
        <f>IF(_imp!$C$3856="","",INDEX(_imp!$K$4:$K$4503,_imp!$C$3856))</f>
        <v/>
      </c>
    </row>
    <row r="3855">
      <c r="A3855" s="54">
        <f>IF(_imp!$C$3857="","",INDEX(_imp!$D$4:$D$4503,_imp!$C$3857))</f>
        <v/>
      </c>
      <c r="B3855" s="54">
        <f>IF(_imp!$C$3857="","",INDEX(_imp!$E$4:$E$4503,_imp!$C$3857))</f>
        <v/>
      </c>
      <c r="C3855" s="54">
        <f>IF(_imp!$C$3857="","",INDEX(_imp!$F$4:$F$4503,_imp!$C$3857))</f>
        <v/>
      </c>
      <c r="D3855" s="54">
        <f>IF(_imp!$C$3857="","",INDEX(_imp!$G$4:$G$4503,_imp!$C$3857))</f>
        <v/>
      </c>
      <c r="E3855" s="54">
        <f>IF(_imp!$C$3857="","",INDEX(_imp!$H$4:$H$4503,_imp!$C$3857))</f>
        <v/>
      </c>
      <c r="F3855" s="54">
        <f>IF(_imp!$C$3857="","",INDEX(_imp!$I$4:$I$4503,_imp!$C$3857))</f>
        <v/>
      </c>
      <c r="G3855" s="54">
        <f>IF(_imp!$C$3857="","",INDEX(_imp!$J$4:$J$4503,_imp!$C$3857))</f>
        <v/>
      </c>
      <c r="K3855" s="54">
        <f>IF(_imp!$C$3857="","",INDEX(_imp!$K$4:$K$4503,_imp!$C$3857))</f>
        <v/>
      </c>
    </row>
    <row r="3856">
      <c r="A3856" s="54">
        <f>IF(_imp!$C$3858="","",INDEX(_imp!$D$4:$D$4503,_imp!$C$3858))</f>
        <v/>
      </c>
      <c r="B3856" s="54">
        <f>IF(_imp!$C$3858="","",INDEX(_imp!$E$4:$E$4503,_imp!$C$3858))</f>
        <v/>
      </c>
      <c r="C3856" s="54">
        <f>IF(_imp!$C$3858="","",INDEX(_imp!$F$4:$F$4503,_imp!$C$3858))</f>
        <v/>
      </c>
      <c r="D3856" s="54">
        <f>IF(_imp!$C$3858="","",INDEX(_imp!$G$4:$G$4503,_imp!$C$3858))</f>
        <v/>
      </c>
      <c r="E3856" s="54">
        <f>IF(_imp!$C$3858="","",INDEX(_imp!$H$4:$H$4503,_imp!$C$3858))</f>
        <v/>
      </c>
      <c r="F3856" s="54">
        <f>IF(_imp!$C$3858="","",INDEX(_imp!$I$4:$I$4503,_imp!$C$3858))</f>
        <v/>
      </c>
      <c r="G3856" s="54">
        <f>IF(_imp!$C$3858="","",INDEX(_imp!$J$4:$J$4503,_imp!$C$3858))</f>
        <v/>
      </c>
      <c r="K3856" s="54">
        <f>IF(_imp!$C$3858="","",INDEX(_imp!$K$4:$K$4503,_imp!$C$3858))</f>
        <v/>
      </c>
    </row>
    <row r="3857">
      <c r="A3857" s="54">
        <f>IF(_imp!$C$3859="","",INDEX(_imp!$D$4:$D$4503,_imp!$C$3859))</f>
        <v/>
      </c>
      <c r="B3857" s="54">
        <f>IF(_imp!$C$3859="","",INDEX(_imp!$E$4:$E$4503,_imp!$C$3859))</f>
        <v/>
      </c>
      <c r="C3857" s="54">
        <f>IF(_imp!$C$3859="","",INDEX(_imp!$F$4:$F$4503,_imp!$C$3859))</f>
        <v/>
      </c>
      <c r="D3857" s="54">
        <f>IF(_imp!$C$3859="","",INDEX(_imp!$G$4:$G$4503,_imp!$C$3859))</f>
        <v/>
      </c>
      <c r="E3857" s="54">
        <f>IF(_imp!$C$3859="","",INDEX(_imp!$H$4:$H$4503,_imp!$C$3859))</f>
        <v/>
      </c>
      <c r="F3857" s="54">
        <f>IF(_imp!$C$3859="","",INDEX(_imp!$I$4:$I$4503,_imp!$C$3859))</f>
        <v/>
      </c>
      <c r="G3857" s="54">
        <f>IF(_imp!$C$3859="","",INDEX(_imp!$J$4:$J$4503,_imp!$C$3859))</f>
        <v/>
      </c>
      <c r="K3857" s="54">
        <f>IF(_imp!$C$3859="","",INDEX(_imp!$K$4:$K$4503,_imp!$C$3859))</f>
        <v/>
      </c>
    </row>
    <row r="3858">
      <c r="A3858" s="54">
        <f>IF(_imp!$C$3860="","",INDEX(_imp!$D$4:$D$4503,_imp!$C$3860))</f>
        <v/>
      </c>
      <c r="B3858" s="54">
        <f>IF(_imp!$C$3860="","",INDEX(_imp!$E$4:$E$4503,_imp!$C$3860))</f>
        <v/>
      </c>
      <c r="C3858" s="54">
        <f>IF(_imp!$C$3860="","",INDEX(_imp!$F$4:$F$4503,_imp!$C$3860))</f>
        <v/>
      </c>
      <c r="D3858" s="54">
        <f>IF(_imp!$C$3860="","",INDEX(_imp!$G$4:$G$4503,_imp!$C$3860))</f>
        <v/>
      </c>
      <c r="E3858" s="54">
        <f>IF(_imp!$C$3860="","",INDEX(_imp!$H$4:$H$4503,_imp!$C$3860))</f>
        <v/>
      </c>
      <c r="F3858" s="54">
        <f>IF(_imp!$C$3860="","",INDEX(_imp!$I$4:$I$4503,_imp!$C$3860))</f>
        <v/>
      </c>
      <c r="G3858" s="54">
        <f>IF(_imp!$C$3860="","",INDEX(_imp!$J$4:$J$4503,_imp!$C$3860))</f>
        <v/>
      </c>
      <c r="K3858" s="54">
        <f>IF(_imp!$C$3860="","",INDEX(_imp!$K$4:$K$4503,_imp!$C$3860))</f>
        <v/>
      </c>
    </row>
    <row r="3859">
      <c r="A3859" s="54">
        <f>IF(_imp!$C$3861="","",INDEX(_imp!$D$4:$D$4503,_imp!$C$3861))</f>
        <v/>
      </c>
      <c r="B3859" s="54">
        <f>IF(_imp!$C$3861="","",INDEX(_imp!$E$4:$E$4503,_imp!$C$3861))</f>
        <v/>
      </c>
      <c r="C3859" s="54">
        <f>IF(_imp!$C$3861="","",INDEX(_imp!$F$4:$F$4503,_imp!$C$3861))</f>
        <v/>
      </c>
      <c r="D3859" s="54">
        <f>IF(_imp!$C$3861="","",INDEX(_imp!$G$4:$G$4503,_imp!$C$3861))</f>
        <v/>
      </c>
      <c r="E3859" s="54">
        <f>IF(_imp!$C$3861="","",INDEX(_imp!$H$4:$H$4503,_imp!$C$3861))</f>
        <v/>
      </c>
      <c r="F3859" s="54">
        <f>IF(_imp!$C$3861="","",INDEX(_imp!$I$4:$I$4503,_imp!$C$3861))</f>
        <v/>
      </c>
      <c r="G3859" s="54">
        <f>IF(_imp!$C$3861="","",INDEX(_imp!$J$4:$J$4503,_imp!$C$3861))</f>
        <v/>
      </c>
      <c r="K3859" s="54">
        <f>IF(_imp!$C$3861="","",INDEX(_imp!$K$4:$K$4503,_imp!$C$3861))</f>
        <v/>
      </c>
    </row>
    <row r="3860">
      <c r="A3860" s="54">
        <f>IF(_imp!$C$3862="","",INDEX(_imp!$D$4:$D$4503,_imp!$C$3862))</f>
        <v/>
      </c>
      <c r="B3860" s="54">
        <f>IF(_imp!$C$3862="","",INDEX(_imp!$E$4:$E$4503,_imp!$C$3862))</f>
        <v/>
      </c>
      <c r="C3860" s="54">
        <f>IF(_imp!$C$3862="","",INDEX(_imp!$F$4:$F$4503,_imp!$C$3862))</f>
        <v/>
      </c>
      <c r="D3860" s="54">
        <f>IF(_imp!$C$3862="","",INDEX(_imp!$G$4:$G$4503,_imp!$C$3862))</f>
        <v/>
      </c>
      <c r="E3860" s="54">
        <f>IF(_imp!$C$3862="","",INDEX(_imp!$H$4:$H$4503,_imp!$C$3862))</f>
        <v/>
      </c>
      <c r="F3860" s="54">
        <f>IF(_imp!$C$3862="","",INDEX(_imp!$I$4:$I$4503,_imp!$C$3862))</f>
        <v/>
      </c>
      <c r="G3860" s="54">
        <f>IF(_imp!$C$3862="","",INDEX(_imp!$J$4:$J$4503,_imp!$C$3862))</f>
        <v/>
      </c>
      <c r="K3860" s="54">
        <f>IF(_imp!$C$3862="","",INDEX(_imp!$K$4:$K$4503,_imp!$C$3862))</f>
        <v/>
      </c>
    </row>
    <row r="3861">
      <c r="A3861" s="54">
        <f>IF(_imp!$C$3863="","",INDEX(_imp!$D$4:$D$4503,_imp!$C$3863))</f>
        <v/>
      </c>
      <c r="B3861" s="54">
        <f>IF(_imp!$C$3863="","",INDEX(_imp!$E$4:$E$4503,_imp!$C$3863))</f>
        <v/>
      </c>
      <c r="C3861" s="54">
        <f>IF(_imp!$C$3863="","",INDEX(_imp!$F$4:$F$4503,_imp!$C$3863))</f>
        <v/>
      </c>
      <c r="D3861" s="54">
        <f>IF(_imp!$C$3863="","",INDEX(_imp!$G$4:$G$4503,_imp!$C$3863))</f>
        <v/>
      </c>
      <c r="E3861" s="54">
        <f>IF(_imp!$C$3863="","",INDEX(_imp!$H$4:$H$4503,_imp!$C$3863))</f>
        <v/>
      </c>
      <c r="F3861" s="54">
        <f>IF(_imp!$C$3863="","",INDEX(_imp!$I$4:$I$4503,_imp!$C$3863))</f>
        <v/>
      </c>
      <c r="G3861" s="54">
        <f>IF(_imp!$C$3863="","",INDEX(_imp!$J$4:$J$4503,_imp!$C$3863))</f>
        <v/>
      </c>
      <c r="K3861" s="54">
        <f>IF(_imp!$C$3863="","",INDEX(_imp!$K$4:$K$4503,_imp!$C$3863))</f>
        <v/>
      </c>
    </row>
    <row r="3862">
      <c r="A3862" s="54">
        <f>IF(_imp!$C$3864="","",INDEX(_imp!$D$4:$D$4503,_imp!$C$3864))</f>
        <v/>
      </c>
      <c r="B3862" s="54">
        <f>IF(_imp!$C$3864="","",INDEX(_imp!$E$4:$E$4503,_imp!$C$3864))</f>
        <v/>
      </c>
      <c r="C3862" s="54">
        <f>IF(_imp!$C$3864="","",INDEX(_imp!$F$4:$F$4503,_imp!$C$3864))</f>
        <v/>
      </c>
      <c r="D3862" s="54">
        <f>IF(_imp!$C$3864="","",INDEX(_imp!$G$4:$G$4503,_imp!$C$3864))</f>
        <v/>
      </c>
      <c r="E3862" s="54">
        <f>IF(_imp!$C$3864="","",INDEX(_imp!$H$4:$H$4503,_imp!$C$3864))</f>
        <v/>
      </c>
      <c r="F3862" s="54">
        <f>IF(_imp!$C$3864="","",INDEX(_imp!$I$4:$I$4503,_imp!$C$3864))</f>
        <v/>
      </c>
      <c r="G3862" s="54">
        <f>IF(_imp!$C$3864="","",INDEX(_imp!$J$4:$J$4503,_imp!$C$3864))</f>
        <v/>
      </c>
      <c r="K3862" s="54">
        <f>IF(_imp!$C$3864="","",INDEX(_imp!$K$4:$K$4503,_imp!$C$3864))</f>
        <v/>
      </c>
    </row>
    <row r="3863">
      <c r="A3863" s="54">
        <f>IF(_imp!$C$3865="","",INDEX(_imp!$D$4:$D$4503,_imp!$C$3865))</f>
        <v/>
      </c>
      <c r="B3863" s="54">
        <f>IF(_imp!$C$3865="","",INDEX(_imp!$E$4:$E$4503,_imp!$C$3865))</f>
        <v/>
      </c>
      <c r="C3863" s="54">
        <f>IF(_imp!$C$3865="","",INDEX(_imp!$F$4:$F$4503,_imp!$C$3865))</f>
        <v/>
      </c>
      <c r="D3863" s="54">
        <f>IF(_imp!$C$3865="","",INDEX(_imp!$G$4:$G$4503,_imp!$C$3865))</f>
        <v/>
      </c>
      <c r="E3863" s="54">
        <f>IF(_imp!$C$3865="","",INDEX(_imp!$H$4:$H$4503,_imp!$C$3865))</f>
        <v/>
      </c>
      <c r="F3863" s="54">
        <f>IF(_imp!$C$3865="","",INDEX(_imp!$I$4:$I$4503,_imp!$C$3865))</f>
        <v/>
      </c>
      <c r="G3863" s="54">
        <f>IF(_imp!$C$3865="","",INDEX(_imp!$J$4:$J$4503,_imp!$C$3865))</f>
        <v/>
      </c>
      <c r="K3863" s="54">
        <f>IF(_imp!$C$3865="","",INDEX(_imp!$K$4:$K$4503,_imp!$C$3865))</f>
        <v/>
      </c>
    </row>
    <row r="3864">
      <c r="A3864" s="54">
        <f>IF(_imp!$C$3866="","",INDEX(_imp!$D$4:$D$4503,_imp!$C$3866))</f>
        <v/>
      </c>
      <c r="B3864" s="54">
        <f>IF(_imp!$C$3866="","",INDEX(_imp!$E$4:$E$4503,_imp!$C$3866))</f>
        <v/>
      </c>
      <c r="C3864" s="54">
        <f>IF(_imp!$C$3866="","",INDEX(_imp!$F$4:$F$4503,_imp!$C$3866))</f>
        <v/>
      </c>
      <c r="D3864" s="54">
        <f>IF(_imp!$C$3866="","",INDEX(_imp!$G$4:$G$4503,_imp!$C$3866))</f>
        <v/>
      </c>
      <c r="E3864" s="54">
        <f>IF(_imp!$C$3866="","",INDEX(_imp!$H$4:$H$4503,_imp!$C$3866))</f>
        <v/>
      </c>
      <c r="F3864" s="54">
        <f>IF(_imp!$C$3866="","",INDEX(_imp!$I$4:$I$4503,_imp!$C$3866))</f>
        <v/>
      </c>
      <c r="G3864" s="54">
        <f>IF(_imp!$C$3866="","",INDEX(_imp!$J$4:$J$4503,_imp!$C$3866))</f>
        <v/>
      </c>
      <c r="K3864" s="54">
        <f>IF(_imp!$C$3866="","",INDEX(_imp!$K$4:$K$4503,_imp!$C$3866))</f>
        <v/>
      </c>
    </row>
    <row r="3865">
      <c r="A3865" s="54">
        <f>IF(_imp!$C$3867="","",INDEX(_imp!$D$4:$D$4503,_imp!$C$3867))</f>
        <v/>
      </c>
      <c r="B3865" s="54">
        <f>IF(_imp!$C$3867="","",INDEX(_imp!$E$4:$E$4503,_imp!$C$3867))</f>
        <v/>
      </c>
      <c r="C3865" s="54">
        <f>IF(_imp!$C$3867="","",INDEX(_imp!$F$4:$F$4503,_imp!$C$3867))</f>
        <v/>
      </c>
      <c r="D3865" s="54">
        <f>IF(_imp!$C$3867="","",INDEX(_imp!$G$4:$G$4503,_imp!$C$3867))</f>
        <v/>
      </c>
      <c r="E3865" s="54">
        <f>IF(_imp!$C$3867="","",INDEX(_imp!$H$4:$H$4503,_imp!$C$3867))</f>
        <v/>
      </c>
      <c r="F3865" s="54">
        <f>IF(_imp!$C$3867="","",INDEX(_imp!$I$4:$I$4503,_imp!$C$3867))</f>
        <v/>
      </c>
      <c r="G3865" s="54">
        <f>IF(_imp!$C$3867="","",INDEX(_imp!$J$4:$J$4503,_imp!$C$3867))</f>
        <v/>
      </c>
      <c r="K3865" s="54">
        <f>IF(_imp!$C$3867="","",INDEX(_imp!$K$4:$K$4503,_imp!$C$3867))</f>
        <v/>
      </c>
    </row>
    <row r="3866">
      <c r="A3866" s="54">
        <f>IF(_imp!$C$3868="","",INDEX(_imp!$D$4:$D$4503,_imp!$C$3868))</f>
        <v/>
      </c>
      <c r="B3866" s="54">
        <f>IF(_imp!$C$3868="","",INDEX(_imp!$E$4:$E$4503,_imp!$C$3868))</f>
        <v/>
      </c>
      <c r="C3866" s="54">
        <f>IF(_imp!$C$3868="","",INDEX(_imp!$F$4:$F$4503,_imp!$C$3868))</f>
        <v/>
      </c>
      <c r="D3866" s="54">
        <f>IF(_imp!$C$3868="","",INDEX(_imp!$G$4:$G$4503,_imp!$C$3868))</f>
        <v/>
      </c>
      <c r="E3866" s="54">
        <f>IF(_imp!$C$3868="","",INDEX(_imp!$H$4:$H$4503,_imp!$C$3868))</f>
        <v/>
      </c>
      <c r="F3866" s="54">
        <f>IF(_imp!$C$3868="","",INDEX(_imp!$I$4:$I$4503,_imp!$C$3868))</f>
        <v/>
      </c>
      <c r="G3866" s="54">
        <f>IF(_imp!$C$3868="","",INDEX(_imp!$J$4:$J$4503,_imp!$C$3868))</f>
        <v/>
      </c>
      <c r="K3866" s="54">
        <f>IF(_imp!$C$3868="","",INDEX(_imp!$K$4:$K$4503,_imp!$C$3868))</f>
        <v/>
      </c>
    </row>
    <row r="3867">
      <c r="A3867" s="54">
        <f>IF(_imp!$C$3869="","",INDEX(_imp!$D$4:$D$4503,_imp!$C$3869))</f>
        <v/>
      </c>
      <c r="B3867" s="54">
        <f>IF(_imp!$C$3869="","",INDEX(_imp!$E$4:$E$4503,_imp!$C$3869))</f>
        <v/>
      </c>
      <c r="C3867" s="54">
        <f>IF(_imp!$C$3869="","",INDEX(_imp!$F$4:$F$4503,_imp!$C$3869))</f>
        <v/>
      </c>
      <c r="D3867" s="54">
        <f>IF(_imp!$C$3869="","",INDEX(_imp!$G$4:$G$4503,_imp!$C$3869))</f>
        <v/>
      </c>
      <c r="E3867" s="54">
        <f>IF(_imp!$C$3869="","",INDEX(_imp!$H$4:$H$4503,_imp!$C$3869))</f>
        <v/>
      </c>
      <c r="F3867" s="54">
        <f>IF(_imp!$C$3869="","",INDEX(_imp!$I$4:$I$4503,_imp!$C$3869))</f>
        <v/>
      </c>
      <c r="G3867" s="54">
        <f>IF(_imp!$C$3869="","",INDEX(_imp!$J$4:$J$4503,_imp!$C$3869))</f>
        <v/>
      </c>
      <c r="K3867" s="54">
        <f>IF(_imp!$C$3869="","",INDEX(_imp!$K$4:$K$4503,_imp!$C$3869))</f>
        <v/>
      </c>
    </row>
    <row r="3868">
      <c r="A3868" s="54">
        <f>IF(_imp!$C$3870="","",INDEX(_imp!$D$4:$D$4503,_imp!$C$3870))</f>
        <v/>
      </c>
      <c r="B3868" s="54">
        <f>IF(_imp!$C$3870="","",INDEX(_imp!$E$4:$E$4503,_imp!$C$3870))</f>
        <v/>
      </c>
      <c r="C3868" s="54">
        <f>IF(_imp!$C$3870="","",INDEX(_imp!$F$4:$F$4503,_imp!$C$3870))</f>
        <v/>
      </c>
      <c r="D3868" s="54">
        <f>IF(_imp!$C$3870="","",INDEX(_imp!$G$4:$G$4503,_imp!$C$3870))</f>
        <v/>
      </c>
      <c r="E3868" s="54">
        <f>IF(_imp!$C$3870="","",INDEX(_imp!$H$4:$H$4503,_imp!$C$3870))</f>
        <v/>
      </c>
      <c r="F3868" s="54">
        <f>IF(_imp!$C$3870="","",INDEX(_imp!$I$4:$I$4503,_imp!$C$3870))</f>
        <v/>
      </c>
      <c r="G3868" s="54">
        <f>IF(_imp!$C$3870="","",INDEX(_imp!$J$4:$J$4503,_imp!$C$3870))</f>
        <v/>
      </c>
      <c r="K3868" s="54">
        <f>IF(_imp!$C$3870="","",INDEX(_imp!$K$4:$K$4503,_imp!$C$3870))</f>
        <v/>
      </c>
    </row>
    <row r="3869">
      <c r="A3869" s="54">
        <f>IF(_imp!$C$3871="","",INDEX(_imp!$D$4:$D$4503,_imp!$C$3871))</f>
        <v/>
      </c>
      <c r="B3869" s="54">
        <f>IF(_imp!$C$3871="","",INDEX(_imp!$E$4:$E$4503,_imp!$C$3871))</f>
        <v/>
      </c>
      <c r="C3869" s="54">
        <f>IF(_imp!$C$3871="","",INDEX(_imp!$F$4:$F$4503,_imp!$C$3871))</f>
        <v/>
      </c>
      <c r="D3869" s="54">
        <f>IF(_imp!$C$3871="","",INDEX(_imp!$G$4:$G$4503,_imp!$C$3871))</f>
        <v/>
      </c>
      <c r="E3869" s="54">
        <f>IF(_imp!$C$3871="","",INDEX(_imp!$H$4:$H$4503,_imp!$C$3871))</f>
        <v/>
      </c>
      <c r="F3869" s="54">
        <f>IF(_imp!$C$3871="","",INDEX(_imp!$I$4:$I$4503,_imp!$C$3871))</f>
        <v/>
      </c>
      <c r="G3869" s="54">
        <f>IF(_imp!$C$3871="","",INDEX(_imp!$J$4:$J$4503,_imp!$C$3871))</f>
        <v/>
      </c>
      <c r="K3869" s="54">
        <f>IF(_imp!$C$3871="","",INDEX(_imp!$K$4:$K$4503,_imp!$C$3871))</f>
        <v/>
      </c>
    </row>
    <row r="3870">
      <c r="A3870" s="54">
        <f>IF(_imp!$C$3872="","",INDEX(_imp!$D$4:$D$4503,_imp!$C$3872))</f>
        <v/>
      </c>
      <c r="B3870" s="54">
        <f>IF(_imp!$C$3872="","",INDEX(_imp!$E$4:$E$4503,_imp!$C$3872))</f>
        <v/>
      </c>
      <c r="C3870" s="54">
        <f>IF(_imp!$C$3872="","",INDEX(_imp!$F$4:$F$4503,_imp!$C$3872))</f>
        <v/>
      </c>
      <c r="D3870" s="54">
        <f>IF(_imp!$C$3872="","",INDEX(_imp!$G$4:$G$4503,_imp!$C$3872))</f>
        <v/>
      </c>
      <c r="E3870" s="54">
        <f>IF(_imp!$C$3872="","",INDEX(_imp!$H$4:$H$4503,_imp!$C$3872))</f>
        <v/>
      </c>
      <c r="F3870" s="54">
        <f>IF(_imp!$C$3872="","",INDEX(_imp!$I$4:$I$4503,_imp!$C$3872))</f>
        <v/>
      </c>
      <c r="G3870" s="54">
        <f>IF(_imp!$C$3872="","",INDEX(_imp!$J$4:$J$4503,_imp!$C$3872))</f>
        <v/>
      </c>
      <c r="K3870" s="54">
        <f>IF(_imp!$C$3872="","",INDEX(_imp!$K$4:$K$4503,_imp!$C$3872))</f>
        <v/>
      </c>
    </row>
    <row r="3871">
      <c r="A3871" s="54">
        <f>IF(_imp!$C$3873="","",INDEX(_imp!$D$4:$D$4503,_imp!$C$3873))</f>
        <v/>
      </c>
      <c r="B3871" s="54">
        <f>IF(_imp!$C$3873="","",INDEX(_imp!$E$4:$E$4503,_imp!$C$3873))</f>
        <v/>
      </c>
      <c r="C3871" s="54">
        <f>IF(_imp!$C$3873="","",INDEX(_imp!$F$4:$F$4503,_imp!$C$3873))</f>
        <v/>
      </c>
      <c r="D3871" s="54">
        <f>IF(_imp!$C$3873="","",INDEX(_imp!$G$4:$G$4503,_imp!$C$3873))</f>
        <v/>
      </c>
      <c r="E3871" s="54">
        <f>IF(_imp!$C$3873="","",INDEX(_imp!$H$4:$H$4503,_imp!$C$3873))</f>
        <v/>
      </c>
      <c r="F3871" s="54">
        <f>IF(_imp!$C$3873="","",INDEX(_imp!$I$4:$I$4503,_imp!$C$3873))</f>
        <v/>
      </c>
      <c r="G3871" s="54">
        <f>IF(_imp!$C$3873="","",INDEX(_imp!$J$4:$J$4503,_imp!$C$3873))</f>
        <v/>
      </c>
      <c r="K3871" s="54">
        <f>IF(_imp!$C$3873="","",INDEX(_imp!$K$4:$K$4503,_imp!$C$3873))</f>
        <v/>
      </c>
    </row>
    <row r="3872">
      <c r="A3872" s="54">
        <f>IF(_imp!$C$3874="","",INDEX(_imp!$D$4:$D$4503,_imp!$C$3874))</f>
        <v/>
      </c>
      <c r="B3872" s="54">
        <f>IF(_imp!$C$3874="","",INDEX(_imp!$E$4:$E$4503,_imp!$C$3874))</f>
        <v/>
      </c>
      <c r="C3872" s="54">
        <f>IF(_imp!$C$3874="","",INDEX(_imp!$F$4:$F$4503,_imp!$C$3874))</f>
        <v/>
      </c>
      <c r="D3872" s="54">
        <f>IF(_imp!$C$3874="","",INDEX(_imp!$G$4:$G$4503,_imp!$C$3874))</f>
        <v/>
      </c>
      <c r="E3872" s="54">
        <f>IF(_imp!$C$3874="","",INDEX(_imp!$H$4:$H$4503,_imp!$C$3874))</f>
        <v/>
      </c>
      <c r="F3872" s="54">
        <f>IF(_imp!$C$3874="","",INDEX(_imp!$I$4:$I$4503,_imp!$C$3874))</f>
        <v/>
      </c>
      <c r="G3872" s="54">
        <f>IF(_imp!$C$3874="","",INDEX(_imp!$J$4:$J$4503,_imp!$C$3874))</f>
        <v/>
      </c>
      <c r="K3872" s="54">
        <f>IF(_imp!$C$3874="","",INDEX(_imp!$K$4:$K$4503,_imp!$C$3874))</f>
        <v/>
      </c>
    </row>
    <row r="3873">
      <c r="A3873" s="54">
        <f>IF(_imp!$C$3875="","",INDEX(_imp!$D$4:$D$4503,_imp!$C$3875))</f>
        <v/>
      </c>
      <c r="B3873" s="54">
        <f>IF(_imp!$C$3875="","",INDEX(_imp!$E$4:$E$4503,_imp!$C$3875))</f>
        <v/>
      </c>
      <c r="C3873" s="54">
        <f>IF(_imp!$C$3875="","",INDEX(_imp!$F$4:$F$4503,_imp!$C$3875))</f>
        <v/>
      </c>
      <c r="D3873" s="54">
        <f>IF(_imp!$C$3875="","",INDEX(_imp!$G$4:$G$4503,_imp!$C$3875))</f>
        <v/>
      </c>
      <c r="E3873" s="54">
        <f>IF(_imp!$C$3875="","",INDEX(_imp!$H$4:$H$4503,_imp!$C$3875))</f>
        <v/>
      </c>
      <c r="F3873" s="54">
        <f>IF(_imp!$C$3875="","",INDEX(_imp!$I$4:$I$4503,_imp!$C$3875))</f>
        <v/>
      </c>
      <c r="G3873" s="54">
        <f>IF(_imp!$C$3875="","",INDEX(_imp!$J$4:$J$4503,_imp!$C$3875))</f>
        <v/>
      </c>
      <c r="K3873" s="54">
        <f>IF(_imp!$C$3875="","",INDEX(_imp!$K$4:$K$4503,_imp!$C$3875))</f>
        <v/>
      </c>
    </row>
    <row r="3874">
      <c r="A3874" s="54">
        <f>IF(_imp!$C$3876="","",INDEX(_imp!$D$4:$D$4503,_imp!$C$3876))</f>
        <v/>
      </c>
      <c r="B3874" s="54">
        <f>IF(_imp!$C$3876="","",INDEX(_imp!$E$4:$E$4503,_imp!$C$3876))</f>
        <v/>
      </c>
      <c r="C3874" s="54">
        <f>IF(_imp!$C$3876="","",INDEX(_imp!$F$4:$F$4503,_imp!$C$3876))</f>
        <v/>
      </c>
      <c r="D3874" s="54">
        <f>IF(_imp!$C$3876="","",INDEX(_imp!$G$4:$G$4503,_imp!$C$3876))</f>
        <v/>
      </c>
      <c r="E3874" s="54">
        <f>IF(_imp!$C$3876="","",INDEX(_imp!$H$4:$H$4503,_imp!$C$3876))</f>
        <v/>
      </c>
      <c r="F3874" s="54">
        <f>IF(_imp!$C$3876="","",INDEX(_imp!$I$4:$I$4503,_imp!$C$3876))</f>
        <v/>
      </c>
      <c r="G3874" s="54">
        <f>IF(_imp!$C$3876="","",INDEX(_imp!$J$4:$J$4503,_imp!$C$3876))</f>
        <v/>
      </c>
      <c r="K3874" s="54">
        <f>IF(_imp!$C$3876="","",INDEX(_imp!$K$4:$K$4503,_imp!$C$3876))</f>
        <v/>
      </c>
    </row>
    <row r="3875">
      <c r="A3875" s="54">
        <f>IF(_imp!$C$3877="","",INDEX(_imp!$D$4:$D$4503,_imp!$C$3877))</f>
        <v/>
      </c>
      <c r="B3875" s="54">
        <f>IF(_imp!$C$3877="","",INDEX(_imp!$E$4:$E$4503,_imp!$C$3877))</f>
        <v/>
      </c>
      <c r="C3875" s="54">
        <f>IF(_imp!$C$3877="","",INDEX(_imp!$F$4:$F$4503,_imp!$C$3877))</f>
        <v/>
      </c>
      <c r="D3875" s="54">
        <f>IF(_imp!$C$3877="","",INDEX(_imp!$G$4:$G$4503,_imp!$C$3877))</f>
        <v/>
      </c>
      <c r="E3875" s="54">
        <f>IF(_imp!$C$3877="","",INDEX(_imp!$H$4:$H$4503,_imp!$C$3877))</f>
        <v/>
      </c>
      <c r="F3875" s="54">
        <f>IF(_imp!$C$3877="","",INDEX(_imp!$I$4:$I$4503,_imp!$C$3877))</f>
        <v/>
      </c>
      <c r="G3875" s="54">
        <f>IF(_imp!$C$3877="","",INDEX(_imp!$J$4:$J$4503,_imp!$C$3877))</f>
        <v/>
      </c>
      <c r="K3875" s="54">
        <f>IF(_imp!$C$3877="","",INDEX(_imp!$K$4:$K$4503,_imp!$C$3877))</f>
        <v/>
      </c>
    </row>
    <row r="3876">
      <c r="A3876" s="54">
        <f>IF(_imp!$C$3878="","",INDEX(_imp!$D$4:$D$4503,_imp!$C$3878))</f>
        <v/>
      </c>
      <c r="B3876" s="54">
        <f>IF(_imp!$C$3878="","",INDEX(_imp!$E$4:$E$4503,_imp!$C$3878))</f>
        <v/>
      </c>
      <c r="C3876" s="54">
        <f>IF(_imp!$C$3878="","",INDEX(_imp!$F$4:$F$4503,_imp!$C$3878))</f>
        <v/>
      </c>
      <c r="D3876" s="54">
        <f>IF(_imp!$C$3878="","",INDEX(_imp!$G$4:$G$4503,_imp!$C$3878))</f>
        <v/>
      </c>
      <c r="E3876" s="54">
        <f>IF(_imp!$C$3878="","",INDEX(_imp!$H$4:$H$4503,_imp!$C$3878))</f>
        <v/>
      </c>
      <c r="F3876" s="54">
        <f>IF(_imp!$C$3878="","",INDEX(_imp!$I$4:$I$4503,_imp!$C$3878))</f>
        <v/>
      </c>
      <c r="G3876" s="54">
        <f>IF(_imp!$C$3878="","",INDEX(_imp!$J$4:$J$4503,_imp!$C$3878))</f>
        <v/>
      </c>
      <c r="K3876" s="54">
        <f>IF(_imp!$C$3878="","",INDEX(_imp!$K$4:$K$4503,_imp!$C$3878))</f>
        <v/>
      </c>
    </row>
    <row r="3877">
      <c r="A3877" s="54">
        <f>IF(_imp!$C$3879="","",INDEX(_imp!$D$4:$D$4503,_imp!$C$3879))</f>
        <v/>
      </c>
      <c r="B3877" s="54">
        <f>IF(_imp!$C$3879="","",INDEX(_imp!$E$4:$E$4503,_imp!$C$3879))</f>
        <v/>
      </c>
      <c r="C3877" s="54">
        <f>IF(_imp!$C$3879="","",INDEX(_imp!$F$4:$F$4503,_imp!$C$3879))</f>
        <v/>
      </c>
      <c r="D3877" s="54">
        <f>IF(_imp!$C$3879="","",INDEX(_imp!$G$4:$G$4503,_imp!$C$3879))</f>
        <v/>
      </c>
      <c r="E3877" s="54">
        <f>IF(_imp!$C$3879="","",INDEX(_imp!$H$4:$H$4503,_imp!$C$3879))</f>
        <v/>
      </c>
      <c r="F3877" s="54">
        <f>IF(_imp!$C$3879="","",INDEX(_imp!$I$4:$I$4503,_imp!$C$3879))</f>
        <v/>
      </c>
      <c r="G3877" s="54">
        <f>IF(_imp!$C$3879="","",INDEX(_imp!$J$4:$J$4503,_imp!$C$3879))</f>
        <v/>
      </c>
      <c r="K3877" s="54">
        <f>IF(_imp!$C$3879="","",INDEX(_imp!$K$4:$K$4503,_imp!$C$3879))</f>
        <v/>
      </c>
    </row>
    <row r="3878">
      <c r="A3878" s="54">
        <f>IF(_imp!$C$3880="","",INDEX(_imp!$D$4:$D$4503,_imp!$C$3880))</f>
        <v/>
      </c>
      <c r="B3878" s="54">
        <f>IF(_imp!$C$3880="","",INDEX(_imp!$E$4:$E$4503,_imp!$C$3880))</f>
        <v/>
      </c>
      <c r="C3878" s="54">
        <f>IF(_imp!$C$3880="","",INDEX(_imp!$F$4:$F$4503,_imp!$C$3880))</f>
        <v/>
      </c>
      <c r="D3878" s="54">
        <f>IF(_imp!$C$3880="","",INDEX(_imp!$G$4:$G$4503,_imp!$C$3880))</f>
        <v/>
      </c>
      <c r="E3878" s="54">
        <f>IF(_imp!$C$3880="","",INDEX(_imp!$H$4:$H$4503,_imp!$C$3880))</f>
        <v/>
      </c>
      <c r="F3878" s="54">
        <f>IF(_imp!$C$3880="","",INDEX(_imp!$I$4:$I$4503,_imp!$C$3880))</f>
        <v/>
      </c>
      <c r="G3878" s="54">
        <f>IF(_imp!$C$3880="","",INDEX(_imp!$J$4:$J$4503,_imp!$C$3880))</f>
        <v/>
      </c>
      <c r="K3878" s="54">
        <f>IF(_imp!$C$3880="","",INDEX(_imp!$K$4:$K$4503,_imp!$C$3880))</f>
        <v/>
      </c>
    </row>
    <row r="3879">
      <c r="A3879" s="54">
        <f>IF(_imp!$C$3881="","",INDEX(_imp!$D$4:$D$4503,_imp!$C$3881))</f>
        <v/>
      </c>
      <c r="B3879" s="54">
        <f>IF(_imp!$C$3881="","",INDEX(_imp!$E$4:$E$4503,_imp!$C$3881))</f>
        <v/>
      </c>
      <c r="C3879" s="54">
        <f>IF(_imp!$C$3881="","",INDEX(_imp!$F$4:$F$4503,_imp!$C$3881))</f>
        <v/>
      </c>
      <c r="D3879" s="54">
        <f>IF(_imp!$C$3881="","",INDEX(_imp!$G$4:$G$4503,_imp!$C$3881))</f>
        <v/>
      </c>
      <c r="E3879" s="54">
        <f>IF(_imp!$C$3881="","",INDEX(_imp!$H$4:$H$4503,_imp!$C$3881))</f>
        <v/>
      </c>
      <c r="F3879" s="54">
        <f>IF(_imp!$C$3881="","",INDEX(_imp!$I$4:$I$4503,_imp!$C$3881))</f>
        <v/>
      </c>
      <c r="G3879" s="54">
        <f>IF(_imp!$C$3881="","",INDEX(_imp!$J$4:$J$4503,_imp!$C$3881))</f>
        <v/>
      </c>
      <c r="K3879" s="54">
        <f>IF(_imp!$C$3881="","",INDEX(_imp!$K$4:$K$4503,_imp!$C$3881))</f>
        <v/>
      </c>
    </row>
    <row r="3880">
      <c r="A3880" s="54">
        <f>IF(_imp!$C$3882="","",INDEX(_imp!$D$4:$D$4503,_imp!$C$3882))</f>
        <v/>
      </c>
      <c r="B3880" s="54">
        <f>IF(_imp!$C$3882="","",INDEX(_imp!$E$4:$E$4503,_imp!$C$3882))</f>
        <v/>
      </c>
      <c r="C3880" s="54">
        <f>IF(_imp!$C$3882="","",INDEX(_imp!$F$4:$F$4503,_imp!$C$3882))</f>
        <v/>
      </c>
      <c r="D3880" s="54">
        <f>IF(_imp!$C$3882="","",INDEX(_imp!$G$4:$G$4503,_imp!$C$3882))</f>
        <v/>
      </c>
      <c r="E3880" s="54">
        <f>IF(_imp!$C$3882="","",INDEX(_imp!$H$4:$H$4503,_imp!$C$3882))</f>
        <v/>
      </c>
      <c r="F3880" s="54">
        <f>IF(_imp!$C$3882="","",INDEX(_imp!$I$4:$I$4503,_imp!$C$3882))</f>
        <v/>
      </c>
      <c r="G3880" s="54">
        <f>IF(_imp!$C$3882="","",INDEX(_imp!$J$4:$J$4503,_imp!$C$3882))</f>
        <v/>
      </c>
      <c r="K3880" s="54">
        <f>IF(_imp!$C$3882="","",INDEX(_imp!$K$4:$K$4503,_imp!$C$3882))</f>
        <v/>
      </c>
    </row>
    <row r="3881">
      <c r="A3881" s="54">
        <f>IF(_imp!$C$3883="","",INDEX(_imp!$D$4:$D$4503,_imp!$C$3883))</f>
        <v/>
      </c>
      <c r="B3881" s="54">
        <f>IF(_imp!$C$3883="","",INDEX(_imp!$E$4:$E$4503,_imp!$C$3883))</f>
        <v/>
      </c>
      <c r="C3881" s="54">
        <f>IF(_imp!$C$3883="","",INDEX(_imp!$F$4:$F$4503,_imp!$C$3883))</f>
        <v/>
      </c>
      <c r="D3881" s="54">
        <f>IF(_imp!$C$3883="","",INDEX(_imp!$G$4:$G$4503,_imp!$C$3883))</f>
        <v/>
      </c>
      <c r="E3881" s="54">
        <f>IF(_imp!$C$3883="","",INDEX(_imp!$H$4:$H$4503,_imp!$C$3883))</f>
        <v/>
      </c>
      <c r="F3881" s="54">
        <f>IF(_imp!$C$3883="","",INDEX(_imp!$I$4:$I$4503,_imp!$C$3883))</f>
        <v/>
      </c>
      <c r="G3881" s="54">
        <f>IF(_imp!$C$3883="","",INDEX(_imp!$J$4:$J$4503,_imp!$C$3883))</f>
        <v/>
      </c>
      <c r="K3881" s="54">
        <f>IF(_imp!$C$3883="","",INDEX(_imp!$K$4:$K$4503,_imp!$C$3883))</f>
        <v/>
      </c>
    </row>
    <row r="3882">
      <c r="A3882" s="54">
        <f>IF(_imp!$C$3884="","",INDEX(_imp!$D$4:$D$4503,_imp!$C$3884))</f>
        <v/>
      </c>
      <c r="B3882" s="54">
        <f>IF(_imp!$C$3884="","",INDEX(_imp!$E$4:$E$4503,_imp!$C$3884))</f>
        <v/>
      </c>
      <c r="C3882" s="54">
        <f>IF(_imp!$C$3884="","",INDEX(_imp!$F$4:$F$4503,_imp!$C$3884))</f>
        <v/>
      </c>
      <c r="D3882" s="54">
        <f>IF(_imp!$C$3884="","",INDEX(_imp!$G$4:$G$4503,_imp!$C$3884))</f>
        <v/>
      </c>
      <c r="E3882" s="54">
        <f>IF(_imp!$C$3884="","",INDEX(_imp!$H$4:$H$4503,_imp!$C$3884))</f>
        <v/>
      </c>
      <c r="F3882" s="54">
        <f>IF(_imp!$C$3884="","",INDEX(_imp!$I$4:$I$4503,_imp!$C$3884))</f>
        <v/>
      </c>
      <c r="G3882" s="54">
        <f>IF(_imp!$C$3884="","",INDEX(_imp!$J$4:$J$4503,_imp!$C$3884))</f>
        <v/>
      </c>
      <c r="K3882" s="54">
        <f>IF(_imp!$C$3884="","",INDEX(_imp!$K$4:$K$4503,_imp!$C$3884))</f>
        <v/>
      </c>
    </row>
    <row r="3883">
      <c r="A3883" s="54">
        <f>IF(_imp!$C$3885="","",INDEX(_imp!$D$4:$D$4503,_imp!$C$3885))</f>
        <v/>
      </c>
      <c r="B3883" s="54">
        <f>IF(_imp!$C$3885="","",INDEX(_imp!$E$4:$E$4503,_imp!$C$3885))</f>
        <v/>
      </c>
      <c r="C3883" s="54">
        <f>IF(_imp!$C$3885="","",INDEX(_imp!$F$4:$F$4503,_imp!$C$3885))</f>
        <v/>
      </c>
      <c r="D3883" s="54">
        <f>IF(_imp!$C$3885="","",INDEX(_imp!$G$4:$G$4503,_imp!$C$3885))</f>
        <v/>
      </c>
      <c r="E3883" s="54">
        <f>IF(_imp!$C$3885="","",INDEX(_imp!$H$4:$H$4503,_imp!$C$3885))</f>
        <v/>
      </c>
      <c r="F3883" s="54">
        <f>IF(_imp!$C$3885="","",INDEX(_imp!$I$4:$I$4503,_imp!$C$3885))</f>
        <v/>
      </c>
      <c r="G3883" s="54">
        <f>IF(_imp!$C$3885="","",INDEX(_imp!$J$4:$J$4503,_imp!$C$3885))</f>
        <v/>
      </c>
      <c r="K3883" s="54">
        <f>IF(_imp!$C$3885="","",INDEX(_imp!$K$4:$K$4503,_imp!$C$3885))</f>
        <v/>
      </c>
    </row>
    <row r="3884">
      <c r="A3884" s="54">
        <f>IF(_imp!$C$3886="","",INDEX(_imp!$D$4:$D$4503,_imp!$C$3886))</f>
        <v/>
      </c>
      <c r="B3884" s="54">
        <f>IF(_imp!$C$3886="","",INDEX(_imp!$E$4:$E$4503,_imp!$C$3886))</f>
        <v/>
      </c>
      <c r="C3884" s="54">
        <f>IF(_imp!$C$3886="","",INDEX(_imp!$F$4:$F$4503,_imp!$C$3886))</f>
        <v/>
      </c>
      <c r="D3884" s="54">
        <f>IF(_imp!$C$3886="","",INDEX(_imp!$G$4:$G$4503,_imp!$C$3886))</f>
        <v/>
      </c>
      <c r="E3884" s="54">
        <f>IF(_imp!$C$3886="","",INDEX(_imp!$H$4:$H$4503,_imp!$C$3886))</f>
        <v/>
      </c>
      <c r="F3884" s="54">
        <f>IF(_imp!$C$3886="","",INDEX(_imp!$I$4:$I$4503,_imp!$C$3886))</f>
        <v/>
      </c>
      <c r="G3884" s="54">
        <f>IF(_imp!$C$3886="","",INDEX(_imp!$J$4:$J$4503,_imp!$C$3886))</f>
        <v/>
      </c>
      <c r="K3884" s="54">
        <f>IF(_imp!$C$3886="","",INDEX(_imp!$K$4:$K$4503,_imp!$C$3886))</f>
        <v/>
      </c>
    </row>
    <row r="3885">
      <c r="A3885" s="54">
        <f>IF(_imp!$C$3887="","",INDEX(_imp!$D$4:$D$4503,_imp!$C$3887))</f>
        <v/>
      </c>
      <c r="B3885" s="54">
        <f>IF(_imp!$C$3887="","",INDEX(_imp!$E$4:$E$4503,_imp!$C$3887))</f>
        <v/>
      </c>
      <c r="C3885" s="54">
        <f>IF(_imp!$C$3887="","",INDEX(_imp!$F$4:$F$4503,_imp!$C$3887))</f>
        <v/>
      </c>
      <c r="D3885" s="54">
        <f>IF(_imp!$C$3887="","",INDEX(_imp!$G$4:$G$4503,_imp!$C$3887))</f>
        <v/>
      </c>
      <c r="E3885" s="54">
        <f>IF(_imp!$C$3887="","",INDEX(_imp!$H$4:$H$4503,_imp!$C$3887))</f>
        <v/>
      </c>
      <c r="F3885" s="54">
        <f>IF(_imp!$C$3887="","",INDEX(_imp!$I$4:$I$4503,_imp!$C$3887))</f>
        <v/>
      </c>
      <c r="G3885" s="54">
        <f>IF(_imp!$C$3887="","",INDEX(_imp!$J$4:$J$4503,_imp!$C$3887))</f>
        <v/>
      </c>
      <c r="K3885" s="54">
        <f>IF(_imp!$C$3887="","",INDEX(_imp!$K$4:$K$4503,_imp!$C$3887))</f>
        <v/>
      </c>
    </row>
    <row r="3886">
      <c r="A3886" s="54">
        <f>IF(_imp!$C$3888="","",INDEX(_imp!$D$4:$D$4503,_imp!$C$3888))</f>
        <v/>
      </c>
      <c r="B3886" s="54">
        <f>IF(_imp!$C$3888="","",INDEX(_imp!$E$4:$E$4503,_imp!$C$3888))</f>
        <v/>
      </c>
      <c r="C3886" s="54">
        <f>IF(_imp!$C$3888="","",INDEX(_imp!$F$4:$F$4503,_imp!$C$3888))</f>
        <v/>
      </c>
      <c r="D3886" s="54">
        <f>IF(_imp!$C$3888="","",INDEX(_imp!$G$4:$G$4503,_imp!$C$3888))</f>
        <v/>
      </c>
      <c r="E3886" s="54">
        <f>IF(_imp!$C$3888="","",INDEX(_imp!$H$4:$H$4503,_imp!$C$3888))</f>
        <v/>
      </c>
      <c r="F3886" s="54">
        <f>IF(_imp!$C$3888="","",INDEX(_imp!$I$4:$I$4503,_imp!$C$3888))</f>
        <v/>
      </c>
      <c r="G3886" s="54">
        <f>IF(_imp!$C$3888="","",INDEX(_imp!$J$4:$J$4503,_imp!$C$3888))</f>
        <v/>
      </c>
      <c r="K3886" s="54">
        <f>IF(_imp!$C$3888="","",INDEX(_imp!$K$4:$K$4503,_imp!$C$3888))</f>
        <v/>
      </c>
    </row>
    <row r="3887">
      <c r="A3887" s="54">
        <f>IF(_imp!$C$3889="","",INDEX(_imp!$D$4:$D$4503,_imp!$C$3889))</f>
        <v/>
      </c>
      <c r="B3887" s="54">
        <f>IF(_imp!$C$3889="","",INDEX(_imp!$E$4:$E$4503,_imp!$C$3889))</f>
        <v/>
      </c>
      <c r="C3887" s="54">
        <f>IF(_imp!$C$3889="","",INDEX(_imp!$F$4:$F$4503,_imp!$C$3889))</f>
        <v/>
      </c>
      <c r="D3887" s="54">
        <f>IF(_imp!$C$3889="","",INDEX(_imp!$G$4:$G$4503,_imp!$C$3889))</f>
        <v/>
      </c>
      <c r="E3887" s="54">
        <f>IF(_imp!$C$3889="","",INDEX(_imp!$H$4:$H$4503,_imp!$C$3889))</f>
        <v/>
      </c>
      <c r="F3887" s="54">
        <f>IF(_imp!$C$3889="","",INDEX(_imp!$I$4:$I$4503,_imp!$C$3889))</f>
        <v/>
      </c>
      <c r="G3887" s="54">
        <f>IF(_imp!$C$3889="","",INDEX(_imp!$J$4:$J$4503,_imp!$C$3889))</f>
        <v/>
      </c>
      <c r="K3887" s="54">
        <f>IF(_imp!$C$3889="","",INDEX(_imp!$K$4:$K$4503,_imp!$C$3889))</f>
        <v/>
      </c>
    </row>
    <row r="3888">
      <c r="A3888" s="54">
        <f>IF(_imp!$C$3890="","",INDEX(_imp!$D$4:$D$4503,_imp!$C$3890))</f>
        <v/>
      </c>
      <c r="B3888" s="54">
        <f>IF(_imp!$C$3890="","",INDEX(_imp!$E$4:$E$4503,_imp!$C$3890))</f>
        <v/>
      </c>
      <c r="C3888" s="54">
        <f>IF(_imp!$C$3890="","",INDEX(_imp!$F$4:$F$4503,_imp!$C$3890))</f>
        <v/>
      </c>
      <c r="D3888" s="54">
        <f>IF(_imp!$C$3890="","",INDEX(_imp!$G$4:$G$4503,_imp!$C$3890))</f>
        <v/>
      </c>
      <c r="E3888" s="54">
        <f>IF(_imp!$C$3890="","",INDEX(_imp!$H$4:$H$4503,_imp!$C$3890))</f>
        <v/>
      </c>
      <c r="F3888" s="54">
        <f>IF(_imp!$C$3890="","",INDEX(_imp!$I$4:$I$4503,_imp!$C$3890))</f>
        <v/>
      </c>
      <c r="G3888" s="54">
        <f>IF(_imp!$C$3890="","",INDEX(_imp!$J$4:$J$4503,_imp!$C$3890))</f>
        <v/>
      </c>
      <c r="K3888" s="54">
        <f>IF(_imp!$C$3890="","",INDEX(_imp!$K$4:$K$4503,_imp!$C$3890))</f>
        <v/>
      </c>
    </row>
    <row r="3889">
      <c r="A3889" s="54">
        <f>IF(_imp!$C$3891="","",INDEX(_imp!$D$4:$D$4503,_imp!$C$3891))</f>
        <v/>
      </c>
      <c r="B3889" s="54">
        <f>IF(_imp!$C$3891="","",INDEX(_imp!$E$4:$E$4503,_imp!$C$3891))</f>
        <v/>
      </c>
      <c r="C3889" s="54">
        <f>IF(_imp!$C$3891="","",INDEX(_imp!$F$4:$F$4503,_imp!$C$3891))</f>
        <v/>
      </c>
      <c r="D3889" s="54">
        <f>IF(_imp!$C$3891="","",INDEX(_imp!$G$4:$G$4503,_imp!$C$3891))</f>
        <v/>
      </c>
      <c r="E3889" s="54">
        <f>IF(_imp!$C$3891="","",INDEX(_imp!$H$4:$H$4503,_imp!$C$3891))</f>
        <v/>
      </c>
      <c r="F3889" s="54">
        <f>IF(_imp!$C$3891="","",INDEX(_imp!$I$4:$I$4503,_imp!$C$3891))</f>
        <v/>
      </c>
      <c r="G3889" s="54">
        <f>IF(_imp!$C$3891="","",INDEX(_imp!$J$4:$J$4503,_imp!$C$3891))</f>
        <v/>
      </c>
      <c r="K3889" s="54">
        <f>IF(_imp!$C$3891="","",INDEX(_imp!$K$4:$K$4503,_imp!$C$3891))</f>
        <v/>
      </c>
    </row>
    <row r="3890">
      <c r="A3890" s="54">
        <f>IF(_imp!$C$3892="","",INDEX(_imp!$D$4:$D$4503,_imp!$C$3892))</f>
        <v/>
      </c>
      <c r="B3890" s="54">
        <f>IF(_imp!$C$3892="","",INDEX(_imp!$E$4:$E$4503,_imp!$C$3892))</f>
        <v/>
      </c>
      <c r="C3890" s="54">
        <f>IF(_imp!$C$3892="","",INDEX(_imp!$F$4:$F$4503,_imp!$C$3892))</f>
        <v/>
      </c>
      <c r="D3890" s="54">
        <f>IF(_imp!$C$3892="","",INDEX(_imp!$G$4:$G$4503,_imp!$C$3892))</f>
        <v/>
      </c>
      <c r="E3890" s="54">
        <f>IF(_imp!$C$3892="","",INDEX(_imp!$H$4:$H$4503,_imp!$C$3892))</f>
        <v/>
      </c>
      <c r="F3890" s="54">
        <f>IF(_imp!$C$3892="","",INDEX(_imp!$I$4:$I$4503,_imp!$C$3892))</f>
        <v/>
      </c>
      <c r="G3890" s="54">
        <f>IF(_imp!$C$3892="","",INDEX(_imp!$J$4:$J$4503,_imp!$C$3892))</f>
        <v/>
      </c>
      <c r="K3890" s="54">
        <f>IF(_imp!$C$3892="","",INDEX(_imp!$K$4:$K$4503,_imp!$C$3892))</f>
        <v/>
      </c>
    </row>
    <row r="3891">
      <c r="A3891" s="54">
        <f>IF(_imp!$C$3893="","",INDEX(_imp!$D$4:$D$4503,_imp!$C$3893))</f>
        <v/>
      </c>
      <c r="B3891" s="54">
        <f>IF(_imp!$C$3893="","",INDEX(_imp!$E$4:$E$4503,_imp!$C$3893))</f>
        <v/>
      </c>
      <c r="C3891" s="54">
        <f>IF(_imp!$C$3893="","",INDEX(_imp!$F$4:$F$4503,_imp!$C$3893))</f>
        <v/>
      </c>
      <c r="D3891" s="54">
        <f>IF(_imp!$C$3893="","",INDEX(_imp!$G$4:$G$4503,_imp!$C$3893))</f>
        <v/>
      </c>
      <c r="E3891" s="54">
        <f>IF(_imp!$C$3893="","",INDEX(_imp!$H$4:$H$4503,_imp!$C$3893))</f>
        <v/>
      </c>
      <c r="F3891" s="54">
        <f>IF(_imp!$C$3893="","",INDEX(_imp!$I$4:$I$4503,_imp!$C$3893))</f>
        <v/>
      </c>
      <c r="G3891" s="54">
        <f>IF(_imp!$C$3893="","",INDEX(_imp!$J$4:$J$4503,_imp!$C$3893))</f>
        <v/>
      </c>
      <c r="K3891" s="54">
        <f>IF(_imp!$C$3893="","",INDEX(_imp!$K$4:$K$4503,_imp!$C$3893))</f>
        <v/>
      </c>
    </row>
    <row r="3892">
      <c r="A3892" s="54">
        <f>IF(_imp!$C$3894="","",INDEX(_imp!$D$4:$D$4503,_imp!$C$3894))</f>
        <v/>
      </c>
      <c r="B3892" s="54">
        <f>IF(_imp!$C$3894="","",INDEX(_imp!$E$4:$E$4503,_imp!$C$3894))</f>
        <v/>
      </c>
      <c r="C3892" s="54">
        <f>IF(_imp!$C$3894="","",INDEX(_imp!$F$4:$F$4503,_imp!$C$3894))</f>
        <v/>
      </c>
      <c r="D3892" s="54">
        <f>IF(_imp!$C$3894="","",INDEX(_imp!$G$4:$G$4503,_imp!$C$3894))</f>
        <v/>
      </c>
      <c r="E3892" s="54">
        <f>IF(_imp!$C$3894="","",INDEX(_imp!$H$4:$H$4503,_imp!$C$3894))</f>
        <v/>
      </c>
      <c r="F3892" s="54">
        <f>IF(_imp!$C$3894="","",INDEX(_imp!$I$4:$I$4503,_imp!$C$3894))</f>
        <v/>
      </c>
      <c r="G3892" s="54">
        <f>IF(_imp!$C$3894="","",INDEX(_imp!$J$4:$J$4503,_imp!$C$3894))</f>
        <v/>
      </c>
      <c r="K3892" s="54">
        <f>IF(_imp!$C$3894="","",INDEX(_imp!$K$4:$K$4503,_imp!$C$3894))</f>
        <v/>
      </c>
    </row>
    <row r="3893">
      <c r="A3893" s="54">
        <f>IF(_imp!$C$3895="","",INDEX(_imp!$D$4:$D$4503,_imp!$C$3895))</f>
        <v/>
      </c>
      <c r="B3893" s="54">
        <f>IF(_imp!$C$3895="","",INDEX(_imp!$E$4:$E$4503,_imp!$C$3895))</f>
        <v/>
      </c>
      <c r="C3893" s="54">
        <f>IF(_imp!$C$3895="","",INDEX(_imp!$F$4:$F$4503,_imp!$C$3895))</f>
        <v/>
      </c>
      <c r="D3893" s="54">
        <f>IF(_imp!$C$3895="","",INDEX(_imp!$G$4:$G$4503,_imp!$C$3895))</f>
        <v/>
      </c>
      <c r="E3893" s="54">
        <f>IF(_imp!$C$3895="","",INDEX(_imp!$H$4:$H$4503,_imp!$C$3895))</f>
        <v/>
      </c>
      <c r="F3893" s="54">
        <f>IF(_imp!$C$3895="","",INDEX(_imp!$I$4:$I$4503,_imp!$C$3895))</f>
        <v/>
      </c>
      <c r="G3893" s="54">
        <f>IF(_imp!$C$3895="","",INDEX(_imp!$J$4:$J$4503,_imp!$C$3895))</f>
        <v/>
      </c>
      <c r="K3893" s="54">
        <f>IF(_imp!$C$3895="","",INDEX(_imp!$K$4:$K$4503,_imp!$C$3895))</f>
        <v/>
      </c>
    </row>
    <row r="3894">
      <c r="A3894" s="54">
        <f>IF(_imp!$C$3896="","",INDEX(_imp!$D$4:$D$4503,_imp!$C$3896))</f>
        <v/>
      </c>
      <c r="B3894" s="54">
        <f>IF(_imp!$C$3896="","",INDEX(_imp!$E$4:$E$4503,_imp!$C$3896))</f>
        <v/>
      </c>
      <c r="C3894" s="54">
        <f>IF(_imp!$C$3896="","",INDEX(_imp!$F$4:$F$4503,_imp!$C$3896))</f>
        <v/>
      </c>
      <c r="D3894" s="54">
        <f>IF(_imp!$C$3896="","",INDEX(_imp!$G$4:$G$4503,_imp!$C$3896))</f>
        <v/>
      </c>
      <c r="E3894" s="54">
        <f>IF(_imp!$C$3896="","",INDEX(_imp!$H$4:$H$4503,_imp!$C$3896))</f>
        <v/>
      </c>
      <c r="F3894" s="54">
        <f>IF(_imp!$C$3896="","",INDEX(_imp!$I$4:$I$4503,_imp!$C$3896))</f>
        <v/>
      </c>
      <c r="G3894" s="54">
        <f>IF(_imp!$C$3896="","",INDEX(_imp!$J$4:$J$4503,_imp!$C$3896))</f>
        <v/>
      </c>
      <c r="K3894" s="54">
        <f>IF(_imp!$C$3896="","",INDEX(_imp!$K$4:$K$4503,_imp!$C$3896))</f>
        <v/>
      </c>
    </row>
    <row r="3895">
      <c r="A3895" s="54">
        <f>IF(_imp!$C$3897="","",INDEX(_imp!$D$4:$D$4503,_imp!$C$3897))</f>
        <v/>
      </c>
      <c r="B3895" s="54">
        <f>IF(_imp!$C$3897="","",INDEX(_imp!$E$4:$E$4503,_imp!$C$3897))</f>
        <v/>
      </c>
      <c r="C3895" s="54">
        <f>IF(_imp!$C$3897="","",INDEX(_imp!$F$4:$F$4503,_imp!$C$3897))</f>
        <v/>
      </c>
      <c r="D3895" s="54">
        <f>IF(_imp!$C$3897="","",INDEX(_imp!$G$4:$G$4503,_imp!$C$3897))</f>
        <v/>
      </c>
      <c r="E3895" s="54">
        <f>IF(_imp!$C$3897="","",INDEX(_imp!$H$4:$H$4503,_imp!$C$3897))</f>
        <v/>
      </c>
      <c r="F3895" s="54">
        <f>IF(_imp!$C$3897="","",INDEX(_imp!$I$4:$I$4503,_imp!$C$3897))</f>
        <v/>
      </c>
      <c r="G3895" s="54">
        <f>IF(_imp!$C$3897="","",INDEX(_imp!$J$4:$J$4503,_imp!$C$3897))</f>
        <v/>
      </c>
      <c r="K3895" s="54">
        <f>IF(_imp!$C$3897="","",INDEX(_imp!$K$4:$K$4503,_imp!$C$3897))</f>
        <v/>
      </c>
    </row>
    <row r="3896">
      <c r="A3896" s="54">
        <f>IF(_imp!$C$3898="","",INDEX(_imp!$D$4:$D$4503,_imp!$C$3898))</f>
        <v/>
      </c>
      <c r="B3896" s="54">
        <f>IF(_imp!$C$3898="","",INDEX(_imp!$E$4:$E$4503,_imp!$C$3898))</f>
        <v/>
      </c>
      <c r="C3896" s="54">
        <f>IF(_imp!$C$3898="","",INDEX(_imp!$F$4:$F$4503,_imp!$C$3898))</f>
        <v/>
      </c>
      <c r="D3896" s="54">
        <f>IF(_imp!$C$3898="","",INDEX(_imp!$G$4:$G$4503,_imp!$C$3898))</f>
        <v/>
      </c>
      <c r="E3896" s="54">
        <f>IF(_imp!$C$3898="","",INDEX(_imp!$H$4:$H$4503,_imp!$C$3898))</f>
        <v/>
      </c>
      <c r="F3896" s="54">
        <f>IF(_imp!$C$3898="","",INDEX(_imp!$I$4:$I$4503,_imp!$C$3898))</f>
        <v/>
      </c>
      <c r="G3896" s="54">
        <f>IF(_imp!$C$3898="","",INDEX(_imp!$J$4:$J$4503,_imp!$C$3898))</f>
        <v/>
      </c>
      <c r="K3896" s="54">
        <f>IF(_imp!$C$3898="","",INDEX(_imp!$K$4:$K$4503,_imp!$C$3898))</f>
        <v/>
      </c>
    </row>
    <row r="3897">
      <c r="A3897" s="54">
        <f>IF(_imp!$C$3899="","",INDEX(_imp!$D$4:$D$4503,_imp!$C$3899))</f>
        <v/>
      </c>
      <c r="B3897" s="54">
        <f>IF(_imp!$C$3899="","",INDEX(_imp!$E$4:$E$4503,_imp!$C$3899))</f>
        <v/>
      </c>
      <c r="C3897" s="54">
        <f>IF(_imp!$C$3899="","",INDEX(_imp!$F$4:$F$4503,_imp!$C$3899))</f>
        <v/>
      </c>
      <c r="D3897" s="54">
        <f>IF(_imp!$C$3899="","",INDEX(_imp!$G$4:$G$4503,_imp!$C$3899))</f>
        <v/>
      </c>
      <c r="E3897" s="54">
        <f>IF(_imp!$C$3899="","",INDEX(_imp!$H$4:$H$4503,_imp!$C$3899))</f>
        <v/>
      </c>
      <c r="F3897" s="54">
        <f>IF(_imp!$C$3899="","",INDEX(_imp!$I$4:$I$4503,_imp!$C$3899))</f>
        <v/>
      </c>
      <c r="G3897" s="54">
        <f>IF(_imp!$C$3899="","",INDEX(_imp!$J$4:$J$4503,_imp!$C$3899))</f>
        <v/>
      </c>
      <c r="K3897" s="54">
        <f>IF(_imp!$C$3899="","",INDEX(_imp!$K$4:$K$4503,_imp!$C$3899))</f>
        <v/>
      </c>
    </row>
    <row r="3898">
      <c r="A3898" s="54">
        <f>IF(_imp!$C$3900="","",INDEX(_imp!$D$4:$D$4503,_imp!$C$3900))</f>
        <v/>
      </c>
      <c r="B3898" s="54">
        <f>IF(_imp!$C$3900="","",INDEX(_imp!$E$4:$E$4503,_imp!$C$3900))</f>
        <v/>
      </c>
      <c r="C3898" s="54">
        <f>IF(_imp!$C$3900="","",INDEX(_imp!$F$4:$F$4503,_imp!$C$3900))</f>
        <v/>
      </c>
      <c r="D3898" s="54">
        <f>IF(_imp!$C$3900="","",INDEX(_imp!$G$4:$G$4503,_imp!$C$3900))</f>
        <v/>
      </c>
      <c r="E3898" s="54">
        <f>IF(_imp!$C$3900="","",INDEX(_imp!$H$4:$H$4503,_imp!$C$3900))</f>
        <v/>
      </c>
      <c r="F3898" s="54">
        <f>IF(_imp!$C$3900="","",INDEX(_imp!$I$4:$I$4503,_imp!$C$3900))</f>
        <v/>
      </c>
      <c r="G3898" s="54">
        <f>IF(_imp!$C$3900="","",INDEX(_imp!$J$4:$J$4503,_imp!$C$3900))</f>
        <v/>
      </c>
      <c r="K3898" s="54">
        <f>IF(_imp!$C$3900="","",INDEX(_imp!$K$4:$K$4503,_imp!$C$3900))</f>
        <v/>
      </c>
    </row>
    <row r="3899">
      <c r="A3899" s="54">
        <f>IF(_imp!$C$3901="","",INDEX(_imp!$D$4:$D$4503,_imp!$C$3901))</f>
        <v/>
      </c>
      <c r="B3899" s="54">
        <f>IF(_imp!$C$3901="","",INDEX(_imp!$E$4:$E$4503,_imp!$C$3901))</f>
        <v/>
      </c>
      <c r="C3899" s="54">
        <f>IF(_imp!$C$3901="","",INDEX(_imp!$F$4:$F$4503,_imp!$C$3901))</f>
        <v/>
      </c>
      <c r="D3899" s="54">
        <f>IF(_imp!$C$3901="","",INDEX(_imp!$G$4:$G$4503,_imp!$C$3901))</f>
        <v/>
      </c>
      <c r="E3899" s="54">
        <f>IF(_imp!$C$3901="","",INDEX(_imp!$H$4:$H$4503,_imp!$C$3901))</f>
        <v/>
      </c>
      <c r="F3899" s="54">
        <f>IF(_imp!$C$3901="","",INDEX(_imp!$I$4:$I$4503,_imp!$C$3901))</f>
        <v/>
      </c>
      <c r="G3899" s="54">
        <f>IF(_imp!$C$3901="","",INDEX(_imp!$J$4:$J$4503,_imp!$C$3901))</f>
        <v/>
      </c>
      <c r="K3899" s="54">
        <f>IF(_imp!$C$3901="","",INDEX(_imp!$K$4:$K$4503,_imp!$C$3901))</f>
        <v/>
      </c>
    </row>
    <row r="3900">
      <c r="A3900" s="54">
        <f>IF(_imp!$C$3902="","",INDEX(_imp!$D$4:$D$4503,_imp!$C$3902))</f>
        <v/>
      </c>
      <c r="B3900" s="54">
        <f>IF(_imp!$C$3902="","",INDEX(_imp!$E$4:$E$4503,_imp!$C$3902))</f>
        <v/>
      </c>
      <c r="C3900" s="54">
        <f>IF(_imp!$C$3902="","",INDEX(_imp!$F$4:$F$4503,_imp!$C$3902))</f>
        <v/>
      </c>
      <c r="D3900" s="54">
        <f>IF(_imp!$C$3902="","",INDEX(_imp!$G$4:$G$4503,_imp!$C$3902))</f>
        <v/>
      </c>
      <c r="E3900" s="54">
        <f>IF(_imp!$C$3902="","",INDEX(_imp!$H$4:$H$4503,_imp!$C$3902))</f>
        <v/>
      </c>
      <c r="F3900" s="54">
        <f>IF(_imp!$C$3902="","",INDEX(_imp!$I$4:$I$4503,_imp!$C$3902))</f>
        <v/>
      </c>
      <c r="G3900" s="54">
        <f>IF(_imp!$C$3902="","",INDEX(_imp!$J$4:$J$4503,_imp!$C$3902))</f>
        <v/>
      </c>
      <c r="K3900" s="54">
        <f>IF(_imp!$C$3902="","",INDEX(_imp!$K$4:$K$4503,_imp!$C$3902))</f>
        <v/>
      </c>
    </row>
    <row r="3901">
      <c r="A3901" s="54">
        <f>IF(_imp!$C$3903="","",INDEX(_imp!$D$4:$D$4503,_imp!$C$3903))</f>
        <v/>
      </c>
      <c r="B3901" s="54">
        <f>IF(_imp!$C$3903="","",INDEX(_imp!$E$4:$E$4503,_imp!$C$3903))</f>
        <v/>
      </c>
      <c r="C3901" s="54">
        <f>IF(_imp!$C$3903="","",INDEX(_imp!$F$4:$F$4503,_imp!$C$3903))</f>
        <v/>
      </c>
      <c r="D3901" s="54">
        <f>IF(_imp!$C$3903="","",INDEX(_imp!$G$4:$G$4503,_imp!$C$3903))</f>
        <v/>
      </c>
      <c r="E3901" s="54">
        <f>IF(_imp!$C$3903="","",INDEX(_imp!$H$4:$H$4503,_imp!$C$3903))</f>
        <v/>
      </c>
      <c r="F3901" s="54">
        <f>IF(_imp!$C$3903="","",INDEX(_imp!$I$4:$I$4503,_imp!$C$3903))</f>
        <v/>
      </c>
      <c r="G3901" s="54">
        <f>IF(_imp!$C$3903="","",INDEX(_imp!$J$4:$J$4503,_imp!$C$3903))</f>
        <v/>
      </c>
      <c r="K3901" s="54">
        <f>IF(_imp!$C$3903="","",INDEX(_imp!$K$4:$K$4503,_imp!$C$3903))</f>
        <v/>
      </c>
    </row>
    <row r="3902">
      <c r="A3902" s="54">
        <f>IF(_imp!$C$3904="","",INDEX(_imp!$D$4:$D$4503,_imp!$C$3904))</f>
        <v/>
      </c>
      <c r="B3902" s="54">
        <f>IF(_imp!$C$3904="","",INDEX(_imp!$E$4:$E$4503,_imp!$C$3904))</f>
        <v/>
      </c>
      <c r="C3902" s="54">
        <f>IF(_imp!$C$3904="","",INDEX(_imp!$F$4:$F$4503,_imp!$C$3904))</f>
        <v/>
      </c>
      <c r="D3902" s="54">
        <f>IF(_imp!$C$3904="","",INDEX(_imp!$G$4:$G$4503,_imp!$C$3904))</f>
        <v/>
      </c>
      <c r="E3902" s="54">
        <f>IF(_imp!$C$3904="","",INDEX(_imp!$H$4:$H$4503,_imp!$C$3904))</f>
        <v/>
      </c>
      <c r="F3902" s="54">
        <f>IF(_imp!$C$3904="","",INDEX(_imp!$I$4:$I$4503,_imp!$C$3904))</f>
        <v/>
      </c>
      <c r="G3902" s="54">
        <f>IF(_imp!$C$3904="","",INDEX(_imp!$J$4:$J$4503,_imp!$C$3904))</f>
        <v/>
      </c>
      <c r="K3902" s="54">
        <f>IF(_imp!$C$3904="","",INDEX(_imp!$K$4:$K$4503,_imp!$C$3904))</f>
        <v/>
      </c>
    </row>
    <row r="3903">
      <c r="A3903" s="54">
        <f>IF(_imp!$C$3905="","",INDEX(_imp!$D$4:$D$4503,_imp!$C$3905))</f>
        <v/>
      </c>
      <c r="B3903" s="54">
        <f>IF(_imp!$C$3905="","",INDEX(_imp!$E$4:$E$4503,_imp!$C$3905))</f>
        <v/>
      </c>
      <c r="C3903" s="54">
        <f>IF(_imp!$C$3905="","",INDEX(_imp!$F$4:$F$4503,_imp!$C$3905))</f>
        <v/>
      </c>
      <c r="D3903" s="54">
        <f>IF(_imp!$C$3905="","",INDEX(_imp!$G$4:$G$4503,_imp!$C$3905))</f>
        <v/>
      </c>
      <c r="E3903" s="54">
        <f>IF(_imp!$C$3905="","",INDEX(_imp!$H$4:$H$4503,_imp!$C$3905))</f>
        <v/>
      </c>
      <c r="F3903" s="54">
        <f>IF(_imp!$C$3905="","",INDEX(_imp!$I$4:$I$4503,_imp!$C$3905))</f>
        <v/>
      </c>
      <c r="G3903" s="54">
        <f>IF(_imp!$C$3905="","",INDEX(_imp!$J$4:$J$4503,_imp!$C$3905))</f>
        <v/>
      </c>
      <c r="K3903" s="54">
        <f>IF(_imp!$C$3905="","",INDEX(_imp!$K$4:$K$4503,_imp!$C$3905))</f>
        <v/>
      </c>
    </row>
    <row r="3904">
      <c r="A3904" s="54">
        <f>IF(_imp!$C$3906="","",INDEX(_imp!$D$4:$D$4503,_imp!$C$3906))</f>
        <v/>
      </c>
      <c r="B3904" s="54">
        <f>IF(_imp!$C$3906="","",INDEX(_imp!$E$4:$E$4503,_imp!$C$3906))</f>
        <v/>
      </c>
      <c r="C3904" s="54">
        <f>IF(_imp!$C$3906="","",INDEX(_imp!$F$4:$F$4503,_imp!$C$3906))</f>
        <v/>
      </c>
      <c r="D3904" s="54">
        <f>IF(_imp!$C$3906="","",INDEX(_imp!$G$4:$G$4503,_imp!$C$3906))</f>
        <v/>
      </c>
      <c r="E3904" s="54">
        <f>IF(_imp!$C$3906="","",INDEX(_imp!$H$4:$H$4503,_imp!$C$3906))</f>
        <v/>
      </c>
      <c r="F3904" s="54">
        <f>IF(_imp!$C$3906="","",INDEX(_imp!$I$4:$I$4503,_imp!$C$3906))</f>
        <v/>
      </c>
      <c r="G3904" s="54">
        <f>IF(_imp!$C$3906="","",INDEX(_imp!$J$4:$J$4503,_imp!$C$3906))</f>
        <v/>
      </c>
      <c r="K3904" s="54">
        <f>IF(_imp!$C$3906="","",INDEX(_imp!$K$4:$K$4503,_imp!$C$3906))</f>
        <v/>
      </c>
    </row>
    <row r="3905">
      <c r="A3905" s="54">
        <f>IF(_imp!$C$3907="","",INDEX(_imp!$D$4:$D$4503,_imp!$C$3907))</f>
        <v/>
      </c>
      <c r="B3905" s="54">
        <f>IF(_imp!$C$3907="","",INDEX(_imp!$E$4:$E$4503,_imp!$C$3907))</f>
        <v/>
      </c>
      <c r="C3905" s="54">
        <f>IF(_imp!$C$3907="","",INDEX(_imp!$F$4:$F$4503,_imp!$C$3907))</f>
        <v/>
      </c>
      <c r="D3905" s="54">
        <f>IF(_imp!$C$3907="","",INDEX(_imp!$G$4:$G$4503,_imp!$C$3907))</f>
        <v/>
      </c>
      <c r="E3905" s="54">
        <f>IF(_imp!$C$3907="","",INDEX(_imp!$H$4:$H$4503,_imp!$C$3907))</f>
        <v/>
      </c>
      <c r="F3905" s="54">
        <f>IF(_imp!$C$3907="","",INDEX(_imp!$I$4:$I$4503,_imp!$C$3907))</f>
        <v/>
      </c>
      <c r="G3905" s="54">
        <f>IF(_imp!$C$3907="","",INDEX(_imp!$J$4:$J$4503,_imp!$C$3907))</f>
        <v/>
      </c>
      <c r="K3905" s="54">
        <f>IF(_imp!$C$3907="","",INDEX(_imp!$K$4:$K$4503,_imp!$C$3907))</f>
        <v/>
      </c>
    </row>
    <row r="3906">
      <c r="A3906" s="54">
        <f>IF(_imp!$C$3908="","",INDEX(_imp!$D$4:$D$4503,_imp!$C$3908))</f>
        <v/>
      </c>
      <c r="B3906" s="54">
        <f>IF(_imp!$C$3908="","",INDEX(_imp!$E$4:$E$4503,_imp!$C$3908))</f>
        <v/>
      </c>
      <c r="C3906" s="54">
        <f>IF(_imp!$C$3908="","",INDEX(_imp!$F$4:$F$4503,_imp!$C$3908))</f>
        <v/>
      </c>
      <c r="D3906" s="54">
        <f>IF(_imp!$C$3908="","",INDEX(_imp!$G$4:$G$4503,_imp!$C$3908))</f>
        <v/>
      </c>
      <c r="E3906" s="54">
        <f>IF(_imp!$C$3908="","",INDEX(_imp!$H$4:$H$4503,_imp!$C$3908))</f>
        <v/>
      </c>
      <c r="F3906" s="54">
        <f>IF(_imp!$C$3908="","",INDEX(_imp!$I$4:$I$4503,_imp!$C$3908))</f>
        <v/>
      </c>
      <c r="G3906" s="54">
        <f>IF(_imp!$C$3908="","",INDEX(_imp!$J$4:$J$4503,_imp!$C$3908))</f>
        <v/>
      </c>
      <c r="K3906" s="54">
        <f>IF(_imp!$C$3908="","",INDEX(_imp!$K$4:$K$4503,_imp!$C$3908))</f>
        <v/>
      </c>
    </row>
    <row r="3907">
      <c r="A3907" s="54">
        <f>IF(_imp!$C$3909="","",INDEX(_imp!$D$4:$D$4503,_imp!$C$3909))</f>
        <v/>
      </c>
      <c r="B3907" s="54">
        <f>IF(_imp!$C$3909="","",INDEX(_imp!$E$4:$E$4503,_imp!$C$3909))</f>
        <v/>
      </c>
      <c r="C3907" s="54">
        <f>IF(_imp!$C$3909="","",INDEX(_imp!$F$4:$F$4503,_imp!$C$3909))</f>
        <v/>
      </c>
      <c r="D3907" s="54">
        <f>IF(_imp!$C$3909="","",INDEX(_imp!$G$4:$G$4503,_imp!$C$3909))</f>
        <v/>
      </c>
      <c r="E3907" s="54">
        <f>IF(_imp!$C$3909="","",INDEX(_imp!$H$4:$H$4503,_imp!$C$3909))</f>
        <v/>
      </c>
      <c r="F3907" s="54">
        <f>IF(_imp!$C$3909="","",INDEX(_imp!$I$4:$I$4503,_imp!$C$3909))</f>
        <v/>
      </c>
      <c r="G3907" s="54">
        <f>IF(_imp!$C$3909="","",INDEX(_imp!$J$4:$J$4503,_imp!$C$3909))</f>
        <v/>
      </c>
      <c r="K3907" s="54">
        <f>IF(_imp!$C$3909="","",INDEX(_imp!$K$4:$K$4503,_imp!$C$3909))</f>
        <v/>
      </c>
    </row>
    <row r="3908">
      <c r="A3908" s="54">
        <f>IF(_imp!$C$3910="","",INDEX(_imp!$D$4:$D$4503,_imp!$C$3910))</f>
        <v/>
      </c>
      <c r="B3908" s="54">
        <f>IF(_imp!$C$3910="","",INDEX(_imp!$E$4:$E$4503,_imp!$C$3910))</f>
        <v/>
      </c>
      <c r="C3908" s="54">
        <f>IF(_imp!$C$3910="","",INDEX(_imp!$F$4:$F$4503,_imp!$C$3910))</f>
        <v/>
      </c>
      <c r="D3908" s="54">
        <f>IF(_imp!$C$3910="","",INDEX(_imp!$G$4:$G$4503,_imp!$C$3910))</f>
        <v/>
      </c>
      <c r="E3908" s="54">
        <f>IF(_imp!$C$3910="","",INDEX(_imp!$H$4:$H$4503,_imp!$C$3910))</f>
        <v/>
      </c>
      <c r="F3908" s="54">
        <f>IF(_imp!$C$3910="","",INDEX(_imp!$I$4:$I$4503,_imp!$C$3910))</f>
        <v/>
      </c>
      <c r="G3908" s="54">
        <f>IF(_imp!$C$3910="","",INDEX(_imp!$J$4:$J$4503,_imp!$C$3910))</f>
        <v/>
      </c>
      <c r="K3908" s="54">
        <f>IF(_imp!$C$3910="","",INDEX(_imp!$K$4:$K$4503,_imp!$C$3910))</f>
        <v/>
      </c>
    </row>
    <row r="3909">
      <c r="A3909" s="54">
        <f>IF(_imp!$C$3911="","",INDEX(_imp!$D$4:$D$4503,_imp!$C$3911))</f>
        <v/>
      </c>
      <c r="B3909" s="54">
        <f>IF(_imp!$C$3911="","",INDEX(_imp!$E$4:$E$4503,_imp!$C$3911))</f>
        <v/>
      </c>
      <c r="C3909" s="54">
        <f>IF(_imp!$C$3911="","",INDEX(_imp!$F$4:$F$4503,_imp!$C$3911))</f>
        <v/>
      </c>
      <c r="D3909" s="54">
        <f>IF(_imp!$C$3911="","",INDEX(_imp!$G$4:$G$4503,_imp!$C$3911))</f>
        <v/>
      </c>
      <c r="E3909" s="54">
        <f>IF(_imp!$C$3911="","",INDEX(_imp!$H$4:$H$4503,_imp!$C$3911))</f>
        <v/>
      </c>
      <c r="F3909" s="54">
        <f>IF(_imp!$C$3911="","",INDEX(_imp!$I$4:$I$4503,_imp!$C$3911))</f>
        <v/>
      </c>
      <c r="G3909" s="54">
        <f>IF(_imp!$C$3911="","",INDEX(_imp!$J$4:$J$4503,_imp!$C$3911))</f>
        <v/>
      </c>
      <c r="K3909" s="54">
        <f>IF(_imp!$C$3911="","",INDEX(_imp!$K$4:$K$4503,_imp!$C$3911))</f>
        <v/>
      </c>
    </row>
    <row r="3910">
      <c r="A3910" s="54">
        <f>IF(_imp!$C$3912="","",INDEX(_imp!$D$4:$D$4503,_imp!$C$3912))</f>
        <v/>
      </c>
      <c r="B3910" s="54">
        <f>IF(_imp!$C$3912="","",INDEX(_imp!$E$4:$E$4503,_imp!$C$3912))</f>
        <v/>
      </c>
      <c r="C3910" s="54">
        <f>IF(_imp!$C$3912="","",INDEX(_imp!$F$4:$F$4503,_imp!$C$3912))</f>
        <v/>
      </c>
      <c r="D3910" s="54">
        <f>IF(_imp!$C$3912="","",INDEX(_imp!$G$4:$G$4503,_imp!$C$3912))</f>
        <v/>
      </c>
      <c r="E3910" s="54">
        <f>IF(_imp!$C$3912="","",INDEX(_imp!$H$4:$H$4503,_imp!$C$3912))</f>
        <v/>
      </c>
      <c r="F3910" s="54">
        <f>IF(_imp!$C$3912="","",INDEX(_imp!$I$4:$I$4503,_imp!$C$3912))</f>
        <v/>
      </c>
      <c r="G3910" s="54">
        <f>IF(_imp!$C$3912="","",INDEX(_imp!$J$4:$J$4503,_imp!$C$3912))</f>
        <v/>
      </c>
      <c r="K3910" s="54">
        <f>IF(_imp!$C$3912="","",INDEX(_imp!$K$4:$K$4503,_imp!$C$3912))</f>
        <v/>
      </c>
    </row>
    <row r="3911">
      <c r="A3911" s="54">
        <f>IF(_imp!$C$3913="","",INDEX(_imp!$D$4:$D$4503,_imp!$C$3913))</f>
        <v/>
      </c>
      <c r="B3911" s="54">
        <f>IF(_imp!$C$3913="","",INDEX(_imp!$E$4:$E$4503,_imp!$C$3913))</f>
        <v/>
      </c>
      <c r="C3911" s="54">
        <f>IF(_imp!$C$3913="","",INDEX(_imp!$F$4:$F$4503,_imp!$C$3913))</f>
        <v/>
      </c>
      <c r="D3911" s="54">
        <f>IF(_imp!$C$3913="","",INDEX(_imp!$G$4:$G$4503,_imp!$C$3913))</f>
        <v/>
      </c>
      <c r="E3911" s="54">
        <f>IF(_imp!$C$3913="","",INDEX(_imp!$H$4:$H$4503,_imp!$C$3913))</f>
        <v/>
      </c>
      <c r="F3911" s="54">
        <f>IF(_imp!$C$3913="","",INDEX(_imp!$I$4:$I$4503,_imp!$C$3913))</f>
        <v/>
      </c>
      <c r="G3911" s="54">
        <f>IF(_imp!$C$3913="","",INDEX(_imp!$J$4:$J$4503,_imp!$C$3913))</f>
        <v/>
      </c>
      <c r="K3911" s="54">
        <f>IF(_imp!$C$3913="","",INDEX(_imp!$K$4:$K$4503,_imp!$C$3913))</f>
        <v/>
      </c>
    </row>
    <row r="3912">
      <c r="A3912" s="54">
        <f>IF(_imp!$C$3914="","",INDEX(_imp!$D$4:$D$4503,_imp!$C$3914))</f>
        <v/>
      </c>
      <c r="B3912" s="54">
        <f>IF(_imp!$C$3914="","",INDEX(_imp!$E$4:$E$4503,_imp!$C$3914))</f>
        <v/>
      </c>
      <c r="C3912" s="54">
        <f>IF(_imp!$C$3914="","",INDEX(_imp!$F$4:$F$4503,_imp!$C$3914))</f>
        <v/>
      </c>
      <c r="D3912" s="54">
        <f>IF(_imp!$C$3914="","",INDEX(_imp!$G$4:$G$4503,_imp!$C$3914))</f>
        <v/>
      </c>
      <c r="E3912" s="54">
        <f>IF(_imp!$C$3914="","",INDEX(_imp!$H$4:$H$4503,_imp!$C$3914))</f>
        <v/>
      </c>
      <c r="F3912" s="54">
        <f>IF(_imp!$C$3914="","",INDEX(_imp!$I$4:$I$4503,_imp!$C$3914))</f>
        <v/>
      </c>
      <c r="G3912" s="54">
        <f>IF(_imp!$C$3914="","",INDEX(_imp!$J$4:$J$4503,_imp!$C$3914))</f>
        <v/>
      </c>
      <c r="K3912" s="54">
        <f>IF(_imp!$C$3914="","",INDEX(_imp!$K$4:$K$4503,_imp!$C$3914))</f>
        <v/>
      </c>
    </row>
    <row r="3913">
      <c r="A3913" s="54">
        <f>IF(_imp!$C$3915="","",INDEX(_imp!$D$4:$D$4503,_imp!$C$3915))</f>
        <v/>
      </c>
      <c r="B3913" s="54">
        <f>IF(_imp!$C$3915="","",INDEX(_imp!$E$4:$E$4503,_imp!$C$3915))</f>
        <v/>
      </c>
      <c r="C3913" s="54">
        <f>IF(_imp!$C$3915="","",INDEX(_imp!$F$4:$F$4503,_imp!$C$3915))</f>
        <v/>
      </c>
      <c r="D3913" s="54">
        <f>IF(_imp!$C$3915="","",INDEX(_imp!$G$4:$G$4503,_imp!$C$3915))</f>
        <v/>
      </c>
      <c r="E3913" s="54">
        <f>IF(_imp!$C$3915="","",INDEX(_imp!$H$4:$H$4503,_imp!$C$3915))</f>
        <v/>
      </c>
      <c r="F3913" s="54">
        <f>IF(_imp!$C$3915="","",INDEX(_imp!$I$4:$I$4503,_imp!$C$3915))</f>
        <v/>
      </c>
      <c r="G3913" s="54">
        <f>IF(_imp!$C$3915="","",INDEX(_imp!$J$4:$J$4503,_imp!$C$3915))</f>
        <v/>
      </c>
      <c r="K3913" s="54">
        <f>IF(_imp!$C$3915="","",INDEX(_imp!$K$4:$K$4503,_imp!$C$3915))</f>
        <v/>
      </c>
    </row>
    <row r="3914">
      <c r="A3914" s="54">
        <f>IF(_imp!$C$3916="","",INDEX(_imp!$D$4:$D$4503,_imp!$C$3916))</f>
        <v/>
      </c>
      <c r="B3914" s="54">
        <f>IF(_imp!$C$3916="","",INDEX(_imp!$E$4:$E$4503,_imp!$C$3916))</f>
        <v/>
      </c>
      <c r="C3914" s="54">
        <f>IF(_imp!$C$3916="","",INDEX(_imp!$F$4:$F$4503,_imp!$C$3916))</f>
        <v/>
      </c>
      <c r="D3914" s="54">
        <f>IF(_imp!$C$3916="","",INDEX(_imp!$G$4:$G$4503,_imp!$C$3916))</f>
        <v/>
      </c>
      <c r="E3914" s="54">
        <f>IF(_imp!$C$3916="","",INDEX(_imp!$H$4:$H$4503,_imp!$C$3916))</f>
        <v/>
      </c>
      <c r="F3914" s="54">
        <f>IF(_imp!$C$3916="","",INDEX(_imp!$I$4:$I$4503,_imp!$C$3916))</f>
        <v/>
      </c>
      <c r="G3914" s="54">
        <f>IF(_imp!$C$3916="","",INDEX(_imp!$J$4:$J$4503,_imp!$C$3916))</f>
        <v/>
      </c>
      <c r="K3914" s="54">
        <f>IF(_imp!$C$3916="","",INDEX(_imp!$K$4:$K$4503,_imp!$C$3916))</f>
        <v/>
      </c>
    </row>
    <row r="3915">
      <c r="A3915" s="54">
        <f>IF(_imp!$C$3917="","",INDEX(_imp!$D$4:$D$4503,_imp!$C$3917))</f>
        <v/>
      </c>
      <c r="B3915" s="54">
        <f>IF(_imp!$C$3917="","",INDEX(_imp!$E$4:$E$4503,_imp!$C$3917))</f>
        <v/>
      </c>
      <c r="C3915" s="54">
        <f>IF(_imp!$C$3917="","",INDEX(_imp!$F$4:$F$4503,_imp!$C$3917))</f>
        <v/>
      </c>
      <c r="D3915" s="54">
        <f>IF(_imp!$C$3917="","",INDEX(_imp!$G$4:$G$4503,_imp!$C$3917))</f>
        <v/>
      </c>
      <c r="E3915" s="54">
        <f>IF(_imp!$C$3917="","",INDEX(_imp!$H$4:$H$4503,_imp!$C$3917))</f>
        <v/>
      </c>
      <c r="F3915" s="54">
        <f>IF(_imp!$C$3917="","",INDEX(_imp!$I$4:$I$4503,_imp!$C$3917))</f>
        <v/>
      </c>
      <c r="G3915" s="54">
        <f>IF(_imp!$C$3917="","",INDEX(_imp!$J$4:$J$4503,_imp!$C$3917))</f>
        <v/>
      </c>
      <c r="K3915" s="54">
        <f>IF(_imp!$C$3917="","",INDEX(_imp!$K$4:$K$4503,_imp!$C$3917))</f>
        <v/>
      </c>
    </row>
    <row r="3916">
      <c r="A3916" s="54">
        <f>IF(_imp!$C$3918="","",INDEX(_imp!$D$4:$D$4503,_imp!$C$3918))</f>
        <v/>
      </c>
      <c r="B3916" s="54">
        <f>IF(_imp!$C$3918="","",INDEX(_imp!$E$4:$E$4503,_imp!$C$3918))</f>
        <v/>
      </c>
      <c r="C3916" s="54">
        <f>IF(_imp!$C$3918="","",INDEX(_imp!$F$4:$F$4503,_imp!$C$3918))</f>
        <v/>
      </c>
      <c r="D3916" s="54">
        <f>IF(_imp!$C$3918="","",INDEX(_imp!$G$4:$G$4503,_imp!$C$3918))</f>
        <v/>
      </c>
      <c r="E3916" s="54">
        <f>IF(_imp!$C$3918="","",INDEX(_imp!$H$4:$H$4503,_imp!$C$3918))</f>
        <v/>
      </c>
      <c r="F3916" s="54">
        <f>IF(_imp!$C$3918="","",INDEX(_imp!$I$4:$I$4503,_imp!$C$3918))</f>
        <v/>
      </c>
      <c r="G3916" s="54">
        <f>IF(_imp!$C$3918="","",INDEX(_imp!$J$4:$J$4503,_imp!$C$3918))</f>
        <v/>
      </c>
      <c r="K3916" s="54">
        <f>IF(_imp!$C$3918="","",INDEX(_imp!$K$4:$K$4503,_imp!$C$3918))</f>
        <v/>
      </c>
    </row>
    <row r="3917">
      <c r="A3917" s="54">
        <f>IF(_imp!$C$3919="","",INDEX(_imp!$D$4:$D$4503,_imp!$C$3919))</f>
        <v/>
      </c>
      <c r="B3917" s="54">
        <f>IF(_imp!$C$3919="","",INDEX(_imp!$E$4:$E$4503,_imp!$C$3919))</f>
        <v/>
      </c>
      <c r="C3917" s="54">
        <f>IF(_imp!$C$3919="","",INDEX(_imp!$F$4:$F$4503,_imp!$C$3919))</f>
        <v/>
      </c>
      <c r="D3917" s="54">
        <f>IF(_imp!$C$3919="","",INDEX(_imp!$G$4:$G$4503,_imp!$C$3919))</f>
        <v/>
      </c>
      <c r="E3917" s="54">
        <f>IF(_imp!$C$3919="","",INDEX(_imp!$H$4:$H$4503,_imp!$C$3919))</f>
        <v/>
      </c>
      <c r="F3917" s="54">
        <f>IF(_imp!$C$3919="","",INDEX(_imp!$I$4:$I$4503,_imp!$C$3919))</f>
        <v/>
      </c>
      <c r="G3917" s="54">
        <f>IF(_imp!$C$3919="","",INDEX(_imp!$J$4:$J$4503,_imp!$C$3919))</f>
        <v/>
      </c>
      <c r="K3917" s="54">
        <f>IF(_imp!$C$3919="","",INDEX(_imp!$K$4:$K$4503,_imp!$C$3919))</f>
        <v/>
      </c>
    </row>
    <row r="3918">
      <c r="A3918" s="54">
        <f>IF(_imp!$C$3920="","",INDEX(_imp!$D$4:$D$4503,_imp!$C$3920))</f>
        <v/>
      </c>
      <c r="B3918" s="54">
        <f>IF(_imp!$C$3920="","",INDEX(_imp!$E$4:$E$4503,_imp!$C$3920))</f>
        <v/>
      </c>
      <c r="C3918" s="54">
        <f>IF(_imp!$C$3920="","",INDEX(_imp!$F$4:$F$4503,_imp!$C$3920))</f>
        <v/>
      </c>
      <c r="D3918" s="54">
        <f>IF(_imp!$C$3920="","",INDEX(_imp!$G$4:$G$4503,_imp!$C$3920))</f>
        <v/>
      </c>
      <c r="E3918" s="54">
        <f>IF(_imp!$C$3920="","",INDEX(_imp!$H$4:$H$4503,_imp!$C$3920))</f>
        <v/>
      </c>
      <c r="F3918" s="54">
        <f>IF(_imp!$C$3920="","",INDEX(_imp!$I$4:$I$4503,_imp!$C$3920))</f>
        <v/>
      </c>
      <c r="G3918" s="54">
        <f>IF(_imp!$C$3920="","",INDEX(_imp!$J$4:$J$4503,_imp!$C$3920))</f>
        <v/>
      </c>
      <c r="K3918" s="54">
        <f>IF(_imp!$C$3920="","",INDEX(_imp!$K$4:$K$4503,_imp!$C$3920))</f>
        <v/>
      </c>
    </row>
    <row r="3919">
      <c r="A3919" s="54">
        <f>IF(_imp!$C$3921="","",INDEX(_imp!$D$4:$D$4503,_imp!$C$3921))</f>
        <v/>
      </c>
      <c r="B3919" s="54">
        <f>IF(_imp!$C$3921="","",INDEX(_imp!$E$4:$E$4503,_imp!$C$3921))</f>
        <v/>
      </c>
      <c r="C3919" s="54">
        <f>IF(_imp!$C$3921="","",INDEX(_imp!$F$4:$F$4503,_imp!$C$3921))</f>
        <v/>
      </c>
      <c r="D3919" s="54">
        <f>IF(_imp!$C$3921="","",INDEX(_imp!$G$4:$G$4503,_imp!$C$3921))</f>
        <v/>
      </c>
      <c r="E3919" s="54">
        <f>IF(_imp!$C$3921="","",INDEX(_imp!$H$4:$H$4503,_imp!$C$3921))</f>
        <v/>
      </c>
      <c r="F3919" s="54">
        <f>IF(_imp!$C$3921="","",INDEX(_imp!$I$4:$I$4503,_imp!$C$3921))</f>
        <v/>
      </c>
      <c r="G3919" s="54">
        <f>IF(_imp!$C$3921="","",INDEX(_imp!$J$4:$J$4503,_imp!$C$3921))</f>
        <v/>
      </c>
      <c r="K3919" s="54">
        <f>IF(_imp!$C$3921="","",INDEX(_imp!$K$4:$K$4503,_imp!$C$3921))</f>
        <v/>
      </c>
    </row>
    <row r="3920">
      <c r="A3920" s="54">
        <f>IF(_imp!$C$3922="","",INDEX(_imp!$D$4:$D$4503,_imp!$C$3922))</f>
        <v/>
      </c>
      <c r="B3920" s="54">
        <f>IF(_imp!$C$3922="","",INDEX(_imp!$E$4:$E$4503,_imp!$C$3922))</f>
        <v/>
      </c>
      <c r="C3920" s="54">
        <f>IF(_imp!$C$3922="","",INDEX(_imp!$F$4:$F$4503,_imp!$C$3922))</f>
        <v/>
      </c>
      <c r="D3920" s="54">
        <f>IF(_imp!$C$3922="","",INDEX(_imp!$G$4:$G$4503,_imp!$C$3922))</f>
        <v/>
      </c>
      <c r="E3920" s="54">
        <f>IF(_imp!$C$3922="","",INDEX(_imp!$H$4:$H$4503,_imp!$C$3922))</f>
        <v/>
      </c>
      <c r="F3920" s="54">
        <f>IF(_imp!$C$3922="","",INDEX(_imp!$I$4:$I$4503,_imp!$C$3922))</f>
        <v/>
      </c>
      <c r="G3920" s="54">
        <f>IF(_imp!$C$3922="","",INDEX(_imp!$J$4:$J$4503,_imp!$C$3922))</f>
        <v/>
      </c>
      <c r="K3920" s="54">
        <f>IF(_imp!$C$3922="","",INDEX(_imp!$K$4:$K$4503,_imp!$C$3922))</f>
        <v/>
      </c>
    </row>
    <row r="3921">
      <c r="A3921" s="54">
        <f>IF(_imp!$C$3923="","",INDEX(_imp!$D$4:$D$4503,_imp!$C$3923))</f>
        <v/>
      </c>
      <c r="B3921" s="54">
        <f>IF(_imp!$C$3923="","",INDEX(_imp!$E$4:$E$4503,_imp!$C$3923))</f>
        <v/>
      </c>
      <c r="C3921" s="54">
        <f>IF(_imp!$C$3923="","",INDEX(_imp!$F$4:$F$4503,_imp!$C$3923))</f>
        <v/>
      </c>
      <c r="D3921" s="54">
        <f>IF(_imp!$C$3923="","",INDEX(_imp!$G$4:$G$4503,_imp!$C$3923))</f>
        <v/>
      </c>
      <c r="E3921" s="54">
        <f>IF(_imp!$C$3923="","",INDEX(_imp!$H$4:$H$4503,_imp!$C$3923))</f>
        <v/>
      </c>
      <c r="F3921" s="54">
        <f>IF(_imp!$C$3923="","",INDEX(_imp!$I$4:$I$4503,_imp!$C$3923))</f>
        <v/>
      </c>
      <c r="G3921" s="54">
        <f>IF(_imp!$C$3923="","",INDEX(_imp!$J$4:$J$4503,_imp!$C$3923))</f>
        <v/>
      </c>
      <c r="K3921" s="54">
        <f>IF(_imp!$C$3923="","",INDEX(_imp!$K$4:$K$4503,_imp!$C$3923))</f>
        <v/>
      </c>
    </row>
    <row r="3922">
      <c r="A3922" s="54">
        <f>IF(_imp!$C$3924="","",INDEX(_imp!$D$4:$D$4503,_imp!$C$3924))</f>
        <v/>
      </c>
      <c r="B3922" s="54">
        <f>IF(_imp!$C$3924="","",INDEX(_imp!$E$4:$E$4503,_imp!$C$3924))</f>
        <v/>
      </c>
      <c r="C3922" s="54">
        <f>IF(_imp!$C$3924="","",INDEX(_imp!$F$4:$F$4503,_imp!$C$3924))</f>
        <v/>
      </c>
      <c r="D3922" s="54">
        <f>IF(_imp!$C$3924="","",INDEX(_imp!$G$4:$G$4503,_imp!$C$3924))</f>
        <v/>
      </c>
      <c r="E3922" s="54">
        <f>IF(_imp!$C$3924="","",INDEX(_imp!$H$4:$H$4503,_imp!$C$3924))</f>
        <v/>
      </c>
      <c r="F3922" s="54">
        <f>IF(_imp!$C$3924="","",INDEX(_imp!$I$4:$I$4503,_imp!$C$3924))</f>
        <v/>
      </c>
      <c r="G3922" s="54">
        <f>IF(_imp!$C$3924="","",INDEX(_imp!$J$4:$J$4503,_imp!$C$3924))</f>
        <v/>
      </c>
      <c r="K3922" s="54">
        <f>IF(_imp!$C$3924="","",INDEX(_imp!$K$4:$K$4503,_imp!$C$3924))</f>
        <v/>
      </c>
    </row>
    <row r="3923">
      <c r="A3923" s="54">
        <f>IF(_imp!$C$3925="","",INDEX(_imp!$D$4:$D$4503,_imp!$C$3925))</f>
        <v/>
      </c>
      <c r="B3923" s="54">
        <f>IF(_imp!$C$3925="","",INDEX(_imp!$E$4:$E$4503,_imp!$C$3925))</f>
        <v/>
      </c>
      <c r="C3923" s="54">
        <f>IF(_imp!$C$3925="","",INDEX(_imp!$F$4:$F$4503,_imp!$C$3925))</f>
        <v/>
      </c>
      <c r="D3923" s="54">
        <f>IF(_imp!$C$3925="","",INDEX(_imp!$G$4:$G$4503,_imp!$C$3925))</f>
        <v/>
      </c>
      <c r="E3923" s="54">
        <f>IF(_imp!$C$3925="","",INDEX(_imp!$H$4:$H$4503,_imp!$C$3925))</f>
        <v/>
      </c>
      <c r="F3923" s="54">
        <f>IF(_imp!$C$3925="","",INDEX(_imp!$I$4:$I$4503,_imp!$C$3925))</f>
        <v/>
      </c>
      <c r="G3923" s="54">
        <f>IF(_imp!$C$3925="","",INDEX(_imp!$J$4:$J$4503,_imp!$C$3925))</f>
        <v/>
      </c>
      <c r="K3923" s="54">
        <f>IF(_imp!$C$3925="","",INDEX(_imp!$K$4:$K$4503,_imp!$C$3925))</f>
        <v/>
      </c>
    </row>
    <row r="3924">
      <c r="A3924" s="54">
        <f>IF(_imp!$C$3926="","",INDEX(_imp!$D$4:$D$4503,_imp!$C$3926))</f>
        <v/>
      </c>
      <c r="B3924" s="54">
        <f>IF(_imp!$C$3926="","",INDEX(_imp!$E$4:$E$4503,_imp!$C$3926))</f>
        <v/>
      </c>
      <c r="C3924" s="54">
        <f>IF(_imp!$C$3926="","",INDEX(_imp!$F$4:$F$4503,_imp!$C$3926))</f>
        <v/>
      </c>
      <c r="D3924" s="54">
        <f>IF(_imp!$C$3926="","",INDEX(_imp!$G$4:$G$4503,_imp!$C$3926))</f>
        <v/>
      </c>
      <c r="E3924" s="54">
        <f>IF(_imp!$C$3926="","",INDEX(_imp!$H$4:$H$4503,_imp!$C$3926))</f>
        <v/>
      </c>
      <c r="F3924" s="54">
        <f>IF(_imp!$C$3926="","",INDEX(_imp!$I$4:$I$4503,_imp!$C$3926))</f>
        <v/>
      </c>
      <c r="G3924" s="54">
        <f>IF(_imp!$C$3926="","",INDEX(_imp!$J$4:$J$4503,_imp!$C$3926))</f>
        <v/>
      </c>
      <c r="K3924" s="54">
        <f>IF(_imp!$C$3926="","",INDEX(_imp!$K$4:$K$4503,_imp!$C$3926))</f>
        <v/>
      </c>
    </row>
    <row r="3925">
      <c r="A3925" s="54">
        <f>IF(_imp!$C$3927="","",INDEX(_imp!$D$4:$D$4503,_imp!$C$3927))</f>
        <v/>
      </c>
      <c r="B3925" s="54">
        <f>IF(_imp!$C$3927="","",INDEX(_imp!$E$4:$E$4503,_imp!$C$3927))</f>
        <v/>
      </c>
      <c r="C3925" s="54">
        <f>IF(_imp!$C$3927="","",INDEX(_imp!$F$4:$F$4503,_imp!$C$3927))</f>
        <v/>
      </c>
      <c r="D3925" s="54">
        <f>IF(_imp!$C$3927="","",INDEX(_imp!$G$4:$G$4503,_imp!$C$3927))</f>
        <v/>
      </c>
      <c r="E3925" s="54">
        <f>IF(_imp!$C$3927="","",INDEX(_imp!$H$4:$H$4503,_imp!$C$3927))</f>
        <v/>
      </c>
      <c r="F3925" s="54">
        <f>IF(_imp!$C$3927="","",INDEX(_imp!$I$4:$I$4503,_imp!$C$3927))</f>
        <v/>
      </c>
      <c r="G3925" s="54">
        <f>IF(_imp!$C$3927="","",INDEX(_imp!$J$4:$J$4503,_imp!$C$3927))</f>
        <v/>
      </c>
      <c r="K3925" s="54">
        <f>IF(_imp!$C$3927="","",INDEX(_imp!$K$4:$K$4503,_imp!$C$3927))</f>
        <v/>
      </c>
    </row>
    <row r="3926">
      <c r="A3926" s="54">
        <f>IF(_imp!$C$3928="","",INDEX(_imp!$D$4:$D$4503,_imp!$C$3928))</f>
        <v/>
      </c>
      <c r="B3926" s="54">
        <f>IF(_imp!$C$3928="","",INDEX(_imp!$E$4:$E$4503,_imp!$C$3928))</f>
        <v/>
      </c>
      <c r="C3926" s="54">
        <f>IF(_imp!$C$3928="","",INDEX(_imp!$F$4:$F$4503,_imp!$C$3928))</f>
        <v/>
      </c>
      <c r="D3926" s="54">
        <f>IF(_imp!$C$3928="","",INDEX(_imp!$G$4:$G$4503,_imp!$C$3928))</f>
        <v/>
      </c>
      <c r="E3926" s="54">
        <f>IF(_imp!$C$3928="","",INDEX(_imp!$H$4:$H$4503,_imp!$C$3928))</f>
        <v/>
      </c>
      <c r="F3926" s="54">
        <f>IF(_imp!$C$3928="","",INDEX(_imp!$I$4:$I$4503,_imp!$C$3928))</f>
        <v/>
      </c>
      <c r="G3926" s="54">
        <f>IF(_imp!$C$3928="","",INDEX(_imp!$J$4:$J$4503,_imp!$C$3928))</f>
        <v/>
      </c>
      <c r="K3926" s="54">
        <f>IF(_imp!$C$3928="","",INDEX(_imp!$K$4:$K$4503,_imp!$C$3928))</f>
        <v/>
      </c>
    </row>
    <row r="3927">
      <c r="A3927" s="54">
        <f>IF(_imp!$C$3929="","",INDEX(_imp!$D$4:$D$4503,_imp!$C$3929))</f>
        <v/>
      </c>
      <c r="B3927" s="54">
        <f>IF(_imp!$C$3929="","",INDEX(_imp!$E$4:$E$4503,_imp!$C$3929))</f>
        <v/>
      </c>
      <c r="C3927" s="54">
        <f>IF(_imp!$C$3929="","",INDEX(_imp!$F$4:$F$4503,_imp!$C$3929))</f>
        <v/>
      </c>
      <c r="D3927" s="54">
        <f>IF(_imp!$C$3929="","",INDEX(_imp!$G$4:$G$4503,_imp!$C$3929))</f>
        <v/>
      </c>
      <c r="E3927" s="54">
        <f>IF(_imp!$C$3929="","",INDEX(_imp!$H$4:$H$4503,_imp!$C$3929))</f>
        <v/>
      </c>
      <c r="F3927" s="54">
        <f>IF(_imp!$C$3929="","",INDEX(_imp!$I$4:$I$4503,_imp!$C$3929))</f>
        <v/>
      </c>
      <c r="G3927" s="54">
        <f>IF(_imp!$C$3929="","",INDEX(_imp!$J$4:$J$4503,_imp!$C$3929))</f>
        <v/>
      </c>
      <c r="K3927" s="54">
        <f>IF(_imp!$C$3929="","",INDEX(_imp!$K$4:$K$4503,_imp!$C$3929))</f>
        <v/>
      </c>
    </row>
    <row r="3928">
      <c r="A3928" s="54">
        <f>IF(_imp!$C$3930="","",INDEX(_imp!$D$4:$D$4503,_imp!$C$3930))</f>
        <v/>
      </c>
      <c r="B3928" s="54">
        <f>IF(_imp!$C$3930="","",INDEX(_imp!$E$4:$E$4503,_imp!$C$3930))</f>
        <v/>
      </c>
      <c r="C3928" s="54">
        <f>IF(_imp!$C$3930="","",INDEX(_imp!$F$4:$F$4503,_imp!$C$3930))</f>
        <v/>
      </c>
      <c r="D3928" s="54">
        <f>IF(_imp!$C$3930="","",INDEX(_imp!$G$4:$G$4503,_imp!$C$3930))</f>
        <v/>
      </c>
      <c r="E3928" s="54">
        <f>IF(_imp!$C$3930="","",INDEX(_imp!$H$4:$H$4503,_imp!$C$3930))</f>
        <v/>
      </c>
      <c r="F3928" s="54">
        <f>IF(_imp!$C$3930="","",INDEX(_imp!$I$4:$I$4503,_imp!$C$3930))</f>
        <v/>
      </c>
      <c r="G3928" s="54">
        <f>IF(_imp!$C$3930="","",INDEX(_imp!$J$4:$J$4503,_imp!$C$3930))</f>
        <v/>
      </c>
      <c r="K3928" s="54">
        <f>IF(_imp!$C$3930="","",INDEX(_imp!$K$4:$K$4503,_imp!$C$3930))</f>
        <v/>
      </c>
    </row>
    <row r="3929">
      <c r="A3929" s="54">
        <f>IF(_imp!$C$3931="","",INDEX(_imp!$D$4:$D$4503,_imp!$C$3931))</f>
        <v/>
      </c>
      <c r="B3929" s="54">
        <f>IF(_imp!$C$3931="","",INDEX(_imp!$E$4:$E$4503,_imp!$C$3931))</f>
        <v/>
      </c>
      <c r="C3929" s="54">
        <f>IF(_imp!$C$3931="","",INDEX(_imp!$F$4:$F$4503,_imp!$C$3931))</f>
        <v/>
      </c>
      <c r="D3929" s="54">
        <f>IF(_imp!$C$3931="","",INDEX(_imp!$G$4:$G$4503,_imp!$C$3931))</f>
        <v/>
      </c>
      <c r="E3929" s="54">
        <f>IF(_imp!$C$3931="","",INDEX(_imp!$H$4:$H$4503,_imp!$C$3931))</f>
        <v/>
      </c>
      <c r="F3929" s="54">
        <f>IF(_imp!$C$3931="","",INDEX(_imp!$I$4:$I$4503,_imp!$C$3931))</f>
        <v/>
      </c>
      <c r="G3929" s="54">
        <f>IF(_imp!$C$3931="","",INDEX(_imp!$J$4:$J$4503,_imp!$C$3931))</f>
        <v/>
      </c>
      <c r="K3929" s="54">
        <f>IF(_imp!$C$3931="","",INDEX(_imp!$K$4:$K$4503,_imp!$C$3931))</f>
        <v/>
      </c>
    </row>
    <row r="3930">
      <c r="A3930" s="54">
        <f>IF(_imp!$C$3932="","",INDEX(_imp!$D$4:$D$4503,_imp!$C$3932))</f>
        <v/>
      </c>
      <c r="B3930" s="54">
        <f>IF(_imp!$C$3932="","",INDEX(_imp!$E$4:$E$4503,_imp!$C$3932))</f>
        <v/>
      </c>
      <c r="C3930" s="54">
        <f>IF(_imp!$C$3932="","",INDEX(_imp!$F$4:$F$4503,_imp!$C$3932))</f>
        <v/>
      </c>
      <c r="D3930" s="54">
        <f>IF(_imp!$C$3932="","",INDEX(_imp!$G$4:$G$4503,_imp!$C$3932))</f>
        <v/>
      </c>
      <c r="E3930" s="54">
        <f>IF(_imp!$C$3932="","",INDEX(_imp!$H$4:$H$4503,_imp!$C$3932))</f>
        <v/>
      </c>
      <c r="F3930" s="54">
        <f>IF(_imp!$C$3932="","",INDEX(_imp!$I$4:$I$4503,_imp!$C$3932))</f>
        <v/>
      </c>
      <c r="G3930" s="54">
        <f>IF(_imp!$C$3932="","",INDEX(_imp!$J$4:$J$4503,_imp!$C$3932))</f>
        <v/>
      </c>
      <c r="K3930" s="54">
        <f>IF(_imp!$C$3932="","",INDEX(_imp!$K$4:$K$4503,_imp!$C$3932))</f>
        <v/>
      </c>
    </row>
    <row r="3931">
      <c r="A3931" s="54">
        <f>IF(_imp!$C$3933="","",INDEX(_imp!$D$4:$D$4503,_imp!$C$3933))</f>
        <v/>
      </c>
      <c r="B3931" s="54">
        <f>IF(_imp!$C$3933="","",INDEX(_imp!$E$4:$E$4503,_imp!$C$3933))</f>
        <v/>
      </c>
      <c r="C3931" s="54">
        <f>IF(_imp!$C$3933="","",INDEX(_imp!$F$4:$F$4503,_imp!$C$3933))</f>
        <v/>
      </c>
      <c r="D3931" s="54">
        <f>IF(_imp!$C$3933="","",INDEX(_imp!$G$4:$G$4503,_imp!$C$3933))</f>
        <v/>
      </c>
      <c r="E3931" s="54">
        <f>IF(_imp!$C$3933="","",INDEX(_imp!$H$4:$H$4503,_imp!$C$3933))</f>
        <v/>
      </c>
      <c r="F3931" s="54">
        <f>IF(_imp!$C$3933="","",INDEX(_imp!$I$4:$I$4503,_imp!$C$3933))</f>
        <v/>
      </c>
      <c r="G3931" s="54">
        <f>IF(_imp!$C$3933="","",INDEX(_imp!$J$4:$J$4503,_imp!$C$3933))</f>
        <v/>
      </c>
      <c r="K3931" s="54">
        <f>IF(_imp!$C$3933="","",INDEX(_imp!$K$4:$K$4503,_imp!$C$3933))</f>
        <v/>
      </c>
    </row>
    <row r="3932">
      <c r="A3932" s="54">
        <f>IF(_imp!$C$3934="","",INDEX(_imp!$D$4:$D$4503,_imp!$C$3934))</f>
        <v/>
      </c>
      <c r="B3932" s="54">
        <f>IF(_imp!$C$3934="","",INDEX(_imp!$E$4:$E$4503,_imp!$C$3934))</f>
        <v/>
      </c>
      <c r="C3932" s="54">
        <f>IF(_imp!$C$3934="","",INDEX(_imp!$F$4:$F$4503,_imp!$C$3934))</f>
        <v/>
      </c>
      <c r="D3932" s="54">
        <f>IF(_imp!$C$3934="","",INDEX(_imp!$G$4:$G$4503,_imp!$C$3934))</f>
        <v/>
      </c>
      <c r="E3932" s="54">
        <f>IF(_imp!$C$3934="","",INDEX(_imp!$H$4:$H$4503,_imp!$C$3934))</f>
        <v/>
      </c>
      <c r="F3932" s="54">
        <f>IF(_imp!$C$3934="","",INDEX(_imp!$I$4:$I$4503,_imp!$C$3934))</f>
        <v/>
      </c>
      <c r="G3932" s="54">
        <f>IF(_imp!$C$3934="","",INDEX(_imp!$J$4:$J$4503,_imp!$C$3934))</f>
        <v/>
      </c>
      <c r="K3932" s="54">
        <f>IF(_imp!$C$3934="","",INDEX(_imp!$K$4:$K$4503,_imp!$C$3934))</f>
        <v/>
      </c>
    </row>
    <row r="3933">
      <c r="A3933" s="54">
        <f>IF(_imp!$C$3935="","",INDEX(_imp!$D$4:$D$4503,_imp!$C$3935))</f>
        <v/>
      </c>
      <c r="B3933" s="54">
        <f>IF(_imp!$C$3935="","",INDEX(_imp!$E$4:$E$4503,_imp!$C$3935))</f>
        <v/>
      </c>
      <c r="C3933" s="54">
        <f>IF(_imp!$C$3935="","",INDEX(_imp!$F$4:$F$4503,_imp!$C$3935))</f>
        <v/>
      </c>
      <c r="D3933" s="54">
        <f>IF(_imp!$C$3935="","",INDEX(_imp!$G$4:$G$4503,_imp!$C$3935))</f>
        <v/>
      </c>
      <c r="E3933" s="54">
        <f>IF(_imp!$C$3935="","",INDEX(_imp!$H$4:$H$4503,_imp!$C$3935))</f>
        <v/>
      </c>
      <c r="F3933" s="54">
        <f>IF(_imp!$C$3935="","",INDEX(_imp!$I$4:$I$4503,_imp!$C$3935))</f>
        <v/>
      </c>
      <c r="G3933" s="54">
        <f>IF(_imp!$C$3935="","",INDEX(_imp!$J$4:$J$4503,_imp!$C$3935))</f>
        <v/>
      </c>
      <c r="K3933" s="54">
        <f>IF(_imp!$C$3935="","",INDEX(_imp!$K$4:$K$4503,_imp!$C$3935))</f>
        <v/>
      </c>
    </row>
    <row r="3934">
      <c r="A3934" s="54">
        <f>IF(_imp!$C$3936="","",INDEX(_imp!$D$4:$D$4503,_imp!$C$3936))</f>
        <v/>
      </c>
      <c r="B3934" s="54">
        <f>IF(_imp!$C$3936="","",INDEX(_imp!$E$4:$E$4503,_imp!$C$3936))</f>
        <v/>
      </c>
      <c r="C3934" s="54">
        <f>IF(_imp!$C$3936="","",INDEX(_imp!$F$4:$F$4503,_imp!$C$3936))</f>
        <v/>
      </c>
      <c r="D3934" s="54">
        <f>IF(_imp!$C$3936="","",INDEX(_imp!$G$4:$G$4503,_imp!$C$3936))</f>
        <v/>
      </c>
      <c r="E3934" s="54">
        <f>IF(_imp!$C$3936="","",INDEX(_imp!$H$4:$H$4503,_imp!$C$3936))</f>
        <v/>
      </c>
      <c r="F3934" s="54">
        <f>IF(_imp!$C$3936="","",INDEX(_imp!$I$4:$I$4503,_imp!$C$3936))</f>
        <v/>
      </c>
      <c r="G3934" s="54">
        <f>IF(_imp!$C$3936="","",INDEX(_imp!$J$4:$J$4503,_imp!$C$3936))</f>
        <v/>
      </c>
      <c r="K3934" s="54">
        <f>IF(_imp!$C$3936="","",INDEX(_imp!$K$4:$K$4503,_imp!$C$3936))</f>
        <v/>
      </c>
    </row>
    <row r="3935">
      <c r="A3935" s="54">
        <f>IF(_imp!$C$3937="","",INDEX(_imp!$D$4:$D$4503,_imp!$C$3937))</f>
        <v/>
      </c>
      <c r="B3935" s="54">
        <f>IF(_imp!$C$3937="","",INDEX(_imp!$E$4:$E$4503,_imp!$C$3937))</f>
        <v/>
      </c>
      <c r="C3935" s="54">
        <f>IF(_imp!$C$3937="","",INDEX(_imp!$F$4:$F$4503,_imp!$C$3937))</f>
        <v/>
      </c>
      <c r="D3935" s="54">
        <f>IF(_imp!$C$3937="","",INDEX(_imp!$G$4:$G$4503,_imp!$C$3937))</f>
        <v/>
      </c>
      <c r="E3935" s="54">
        <f>IF(_imp!$C$3937="","",INDEX(_imp!$H$4:$H$4503,_imp!$C$3937))</f>
        <v/>
      </c>
      <c r="F3935" s="54">
        <f>IF(_imp!$C$3937="","",INDEX(_imp!$I$4:$I$4503,_imp!$C$3937))</f>
        <v/>
      </c>
      <c r="G3935" s="54">
        <f>IF(_imp!$C$3937="","",INDEX(_imp!$J$4:$J$4503,_imp!$C$3937))</f>
        <v/>
      </c>
      <c r="K3935" s="54">
        <f>IF(_imp!$C$3937="","",INDEX(_imp!$K$4:$K$4503,_imp!$C$3937))</f>
        <v/>
      </c>
    </row>
    <row r="3936">
      <c r="A3936" s="54">
        <f>IF(_imp!$C$3938="","",INDEX(_imp!$D$4:$D$4503,_imp!$C$3938))</f>
        <v/>
      </c>
      <c r="B3936" s="54">
        <f>IF(_imp!$C$3938="","",INDEX(_imp!$E$4:$E$4503,_imp!$C$3938))</f>
        <v/>
      </c>
      <c r="C3936" s="54">
        <f>IF(_imp!$C$3938="","",INDEX(_imp!$F$4:$F$4503,_imp!$C$3938))</f>
        <v/>
      </c>
      <c r="D3936" s="54">
        <f>IF(_imp!$C$3938="","",INDEX(_imp!$G$4:$G$4503,_imp!$C$3938))</f>
        <v/>
      </c>
      <c r="E3936" s="54">
        <f>IF(_imp!$C$3938="","",INDEX(_imp!$H$4:$H$4503,_imp!$C$3938))</f>
        <v/>
      </c>
      <c r="F3936" s="54">
        <f>IF(_imp!$C$3938="","",INDEX(_imp!$I$4:$I$4503,_imp!$C$3938))</f>
        <v/>
      </c>
      <c r="G3936" s="54">
        <f>IF(_imp!$C$3938="","",INDEX(_imp!$J$4:$J$4503,_imp!$C$3938))</f>
        <v/>
      </c>
      <c r="K3936" s="54">
        <f>IF(_imp!$C$3938="","",INDEX(_imp!$K$4:$K$4503,_imp!$C$3938))</f>
        <v/>
      </c>
    </row>
    <row r="3937">
      <c r="A3937" s="54">
        <f>IF(_imp!$C$3939="","",INDEX(_imp!$D$4:$D$4503,_imp!$C$3939))</f>
        <v/>
      </c>
      <c r="B3937" s="54">
        <f>IF(_imp!$C$3939="","",INDEX(_imp!$E$4:$E$4503,_imp!$C$3939))</f>
        <v/>
      </c>
      <c r="C3937" s="54">
        <f>IF(_imp!$C$3939="","",INDEX(_imp!$F$4:$F$4503,_imp!$C$3939))</f>
        <v/>
      </c>
      <c r="D3937" s="54">
        <f>IF(_imp!$C$3939="","",INDEX(_imp!$G$4:$G$4503,_imp!$C$3939))</f>
        <v/>
      </c>
      <c r="E3937" s="54">
        <f>IF(_imp!$C$3939="","",INDEX(_imp!$H$4:$H$4503,_imp!$C$3939))</f>
        <v/>
      </c>
      <c r="F3937" s="54">
        <f>IF(_imp!$C$3939="","",INDEX(_imp!$I$4:$I$4503,_imp!$C$3939))</f>
        <v/>
      </c>
      <c r="G3937" s="54">
        <f>IF(_imp!$C$3939="","",INDEX(_imp!$J$4:$J$4503,_imp!$C$3939))</f>
        <v/>
      </c>
      <c r="K3937" s="54">
        <f>IF(_imp!$C$3939="","",INDEX(_imp!$K$4:$K$4503,_imp!$C$3939))</f>
        <v/>
      </c>
    </row>
    <row r="3938">
      <c r="A3938" s="54">
        <f>IF(_imp!$C$3940="","",INDEX(_imp!$D$4:$D$4503,_imp!$C$3940))</f>
        <v/>
      </c>
      <c r="B3938" s="54">
        <f>IF(_imp!$C$3940="","",INDEX(_imp!$E$4:$E$4503,_imp!$C$3940))</f>
        <v/>
      </c>
      <c r="C3938" s="54">
        <f>IF(_imp!$C$3940="","",INDEX(_imp!$F$4:$F$4503,_imp!$C$3940))</f>
        <v/>
      </c>
      <c r="D3938" s="54">
        <f>IF(_imp!$C$3940="","",INDEX(_imp!$G$4:$G$4503,_imp!$C$3940))</f>
        <v/>
      </c>
      <c r="E3938" s="54">
        <f>IF(_imp!$C$3940="","",INDEX(_imp!$H$4:$H$4503,_imp!$C$3940))</f>
        <v/>
      </c>
      <c r="F3938" s="54">
        <f>IF(_imp!$C$3940="","",INDEX(_imp!$I$4:$I$4503,_imp!$C$3940))</f>
        <v/>
      </c>
      <c r="G3938" s="54">
        <f>IF(_imp!$C$3940="","",INDEX(_imp!$J$4:$J$4503,_imp!$C$3940))</f>
        <v/>
      </c>
      <c r="K3938" s="54">
        <f>IF(_imp!$C$3940="","",INDEX(_imp!$K$4:$K$4503,_imp!$C$3940))</f>
        <v/>
      </c>
    </row>
    <row r="3939">
      <c r="A3939" s="54">
        <f>IF(_imp!$C$3941="","",INDEX(_imp!$D$4:$D$4503,_imp!$C$3941))</f>
        <v/>
      </c>
      <c r="B3939" s="54">
        <f>IF(_imp!$C$3941="","",INDEX(_imp!$E$4:$E$4503,_imp!$C$3941))</f>
        <v/>
      </c>
      <c r="C3939" s="54">
        <f>IF(_imp!$C$3941="","",INDEX(_imp!$F$4:$F$4503,_imp!$C$3941))</f>
        <v/>
      </c>
      <c r="D3939" s="54">
        <f>IF(_imp!$C$3941="","",INDEX(_imp!$G$4:$G$4503,_imp!$C$3941))</f>
        <v/>
      </c>
      <c r="E3939" s="54">
        <f>IF(_imp!$C$3941="","",INDEX(_imp!$H$4:$H$4503,_imp!$C$3941))</f>
        <v/>
      </c>
      <c r="F3939" s="54">
        <f>IF(_imp!$C$3941="","",INDEX(_imp!$I$4:$I$4503,_imp!$C$3941))</f>
        <v/>
      </c>
      <c r="G3939" s="54">
        <f>IF(_imp!$C$3941="","",INDEX(_imp!$J$4:$J$4503,_imp!$C$3941))</f>
        <v/>
      </c>
      <c r="K3939" s="54">
        <f>IF(_imp!$C$3941="","",INDEX(_imp!$K$4:$K$4503,_imp!$C$3941))</f>
        <v/>
      </c>
    </row>
    <row r="3940">
      <c r="A3940" s="54">
        <f>IF(_imp!$C$3942="","",INDEX(_imp!$D$4:$D$4503,_imp!$C$3942))</f>
        <v/>
      </c>
      <c r="B3940" s="54">
        <f>IF(_imp!$C$3942="","",INDEX(_imp!$E$4:$E$4503,_imp!$C$3942))</f>
        <v/>
      </c>
      <c r="C3940" s="54">
        <f>IF(_imp!$C$3942="","",INDEX(_imp!$F$4:$F$4503,_imp!$C$3942))</f>
        <v/>
      </c>
      <c r="D3940" s="54">
        <f>IF(_imp!$C$3942="","",INDEX(_imp!$G$4:$G$4503,_imp!$C$3942))</f>
        <v/>
      </c>
      <c r="E3940" s="54">
        <f>IF(_imp!$C$3942="","",INDEX(_imp!$H$4:$H$4503,_imp!$C$3942))</f>
        <v/>
      </c>
      <c r="F3940" s="54">
        <f>IF(_imp!$C$3942="","",INDEX(_imp!$I$4:$I$4503,_imp!$C$3942))</f>
        <v/>
      </c>
      <c r="G3940" s="54">
        <f>IF(_imp!$C$3942="","",INDEX(_imp!$J$4:$J$4503,_imp!$C$3942))</f>
        <v/>
      </c>
      <c r="K3940" s="54">
        <f>IF(_imp!$C$3942="","",INDEX(_imp!$K$4:$K$4503,_imp!$C$3942))</f>
        <v/>
      </c>
    </row>
    <row r="3941">
      <c r="A3941" s="54">
        <f>IF(_imp!$C$3943="","",INDEX(_imp!$D$4:$D$4503,_imp!$C$3943))</f>
        <v/>
      </c>
      <c r="B3941" s="54">
        <f>IF(_imp!$C$3943="","",INDEX(_imp!$E$4:$E$4503,_imp!$C$3943))</f>
        <v/>
      </c>
      <c r="C3941" s="54">
        <f>IF(_imp!$C$3943="","",INDEX(_imp!$F$4:$F$4503,_imp!$C$3943))</f>
        <v/>
      </c>
      <c r="D3941" s="54">
        <f>IF(_imp!$C$3943="","",INDEX(_imp!$G$4:$G$4503,_imp!$C$3943))</f>
        <v/>
      </c>
      <c r="E3941" s="54">
        <f>IF(_imp!$C$3943="","",INDEX(_imp!$H$4:$H$4503,_imp!$C$3943))</f>
        <v/>
      </c>
      <c r="F3941" s="54">
        <f>IF(_imp!$C$3943="","",INDEX(_imp!$I$4:$I$4503,_imp!$C$3943))</f>
        <v/>
      </c>
      <c r="G3941" s="54">
        <f>IF(_imp!$C$3943="","",INDEX(_imp!$J$4:$J$4503,_imp!$C$3943))</f>
        <v/>
      </c>
      <c r="K3941" s="54">
        <f>IF(_imp!$C$3943="","",INDEX(_imp!$K$4:$K$4503,_imp!$C$3943))</f>
        <v/>
      </c>
    </row>
    <row r="3942">
      <c r="A3942" s="54">
        <f>IF(_imp!$C$3944="","",INDEX(_imp!$D$4:$D$4503,_imp!$C$3944))</f>
        <v/>
      </c>
      <c r="B3942" s="54">
        <f>IF(_imp!$C$3944="","",INDEX(_imp!$E$4:$E$4503,_imp!$C$3944))</f>
        <v/>
      </c>
      <c r="C3942" s="54">
        <f>IF(_imp!$C$3944="","",INDEX(_imp!$F$4:$F$4503,_imp!$C$3944))</f>
        <v/>
      </c>
      <c r="D3942" s="54">
        <f>IF(_imp!$C$3944="","",INDEX(_imp!$G$4:$G$4503,_imp!$C$3944))</f>
        <v/>
      </c>
      <c r="E3942" s="54">
        <f>IF(_imp!$C$3944="","",INDEX(_imp!$H$4:$H$4503,_imp!$C$3944))</f>
        <v/>
      </c>
      <c r="F3942" s="54">
        <f>IF(_imp!$C$3944="","",INDEX(_imp!$I$4:$I$4503,_imp!$C$3944))</f>
        <v/>
      </c>
      <c r="G3942" s="54">
        <f>IF(_imp!$C$3944="","",INDEX(_imp!$J$4:$J$4503,_imp!$C$3944))</f>
        <v/>
      </c>
      <c r="K3942" s="54">
        <f>IF(_imp!$C$3944="","",INDEX(_imp!$K$4:$K$4503,_imp!$C$3944))</f>
        <v/>
      </c>
    </row>
    <row r="3943">
      <c r="A3943" s="54">
        <f>IF(_imp!$C$3945="","",INDEX(_imp!$D$4:$D$4503,_imp!$C$3945))</f>
        <v/>
      </c>
      <c r="B3943" s="54">
        <f>IF(_imp!$C$3945="","",INDEX(_imp!$E$4:$E$4503,_imp!$C$3945))</f>
        <v/>
      </c>
      <c r="C3943" s="54">
        <f>IF(_imp!$C$3945="","",INDEX(_imp!$F$4:$F$4503,_imp!$C$3945))</f>
        <v/>
      </c>
      <c r="D3943" s="54">
        <f>IF(_imp!$C$3945="","",INDEX(_imp!$G$4:$G$4503,_imp!$C$3945))</f>
        <v/>
      </c>
      <c r="E3943" s="54">
        <f>IF(_imp!$C$3945="","",INDEX(_imp!$H$4:$H$4503,_imp!$C$3945))</f>
        <v/>
      </c>
      <c r="F3943" s="54">
        <f>IF(_imp!$C$3945="","",INDEX(_imp!$I$4:$I$4503,_imp!$C$3945))</f>
        <v/>
      </c>
      <c r="G3943" s="54">
        <f>IF(_imp!$C$3945="","",INDEX(_imp!$J$4:$J$4503,_imp!$C$3945))</f>
        <v/>
      </c>
      <c r="K3943" s="54">
        <f>IF(_imp!$C$3945="","",INDEX(_imp!$K$4:$K$4503,_imp!$C$3945))</f>
        <v/>
      </c>
    </row>
    <row r="3944">
      <c r="A3944" s="54">
        <f>IF(_imp!$C$3946="","",INDEX(_imp!$D$4:$D$4503,_imp!$C$3946))</f>
        <v/>
      </c>
      <c r="B3944" s="54">
        <f>IF(_imp!$C$3946="","",INDEX(_imp!$E$4:$E$4503,_imp!$C$3946))</f>
        <v/>
      </c>
      <c r="C3944" s="54">
        <f>IF(_imp!$C$3946="","",INDEX(_imp!$F$4:$F$4503,_imp!$C$3946))</f>
        <v/>
      </c>
      <c r="D3944" s="54">
        <f>IF(_imp!$C$3946="","",INDEX(_imp!$G$4:$G$4503,_imp!$C$3946))</f>
        <v/>
      </c>
      <c r="E3944" s="54">
        <f>IF(_imp!$C$3946="","",INDEX(_imp!$H$4:$H$4503,_imp!$C$3946))</f>
        <v/>
      </c>
      <c r="F3944" s="54">
        <f>IF(_imp!$C$3946="","",INDEX(_imp!$I$4:$I$4503,_imp!$C$3946))</f>
        <v/>
      </c>
      <c r="G3944" s="54">
        <f>IF(_imp!$C$3946="","",INDEX(_imp!$J$4:$J$4503,_imp!$C$3946))</f>
        <v/>
      </c>
      <c r="K3944" s="54">
        <f>IF(_imp!$C$3946="","",INDEX(_imp!$K$4:$K$4503,_imp!$C$3946))</f>
        <v/>
      </c>
    </row>
    <row r="3945">
      <c r="A3945" s="54">
        <f>IF(_imp!$C$3947="","",INDEX(_imp!$D$4:$D$4503,_imp!$C$3947))</f>
        <v/>
      </c>
      <c r="B3945" s="54">
        <f>IF(_imp!$C$3947="","",INDEX(_imp!$E$4:$E$4503,_imp!$C$3947))</f>
        <v/>
      </c>
      <c r="C3945" s="54">
        <f>IF(_imp!$C$3947="","",INDEX(_imp!$F$4:$F$4503,_imp!$C$3947))</f>
        <v/>
      </c>
      <c r="D3945" s="54">
        <f>IF(_imp!$C$3947="","",INDEX(_imp!$G$4:$G$4503,_imp!$C$3947))</f>
        <v/>
      </c>
      <c r="E3945" s="54">
        <f>IF(_imp!$C$3947="","",INDEX(_imp!$H$4:$H$4503,_imp!$C$3947))</f>
        <v/>
      </c>
      <c r="F3945" s="54">
        <f>IF(_imp!$C$3947="","",INDEX(_imp!$I$4:$I$4503,_imp!$C$3947))</f>
        <v/>
      </c>
      <c r="G3945" s="54">
        <f>IF(_imp!$C$3947="","",INDEX(_imp!$J$4:$J$4503,_imp!$C$3947))</f>
        <v/>
      </c>
      <c r="K3945" s="54">
        <f>IF(_imp!$C$3947="","",INDEX(_imp!$K$4:$K$4503,_imp!$C$3947))</f>
        <v/>
      </c>
    </row>
    <row r="3946">
      <c r="A3946" s="54">
        <f>IF(_imp!$C$3948="","",INDEX(_imp!$D$4:$D$4503,_imp!$C$3948))</f>
        <v/>
      </c>
      <c r="B3946" s="54">
        <f>IF(_imp!$C$3948="","",INDEX(_imp!$E$4:$E$4503,_imp!$C$3948))</f>
        <v/>
      </c>
      <c r="C3946" s="54">
        <f>IF(_imp!$C$3948="","",INDEX(_imp!$F$4:$F$4503,_imp!$C$3948))</f>
        <v/>
      </c>
      <c r="D3946" s="54">
        <f>IF(_imp!$C$3948="","",INDEX(_imp!$G$4:$G$4503,_imp!$C$3948))</f>
        <v/>
      </c>
      <c r="E3946" s="54">
        <f>IF(_imp!$C$3948="","",INDEX(_imp!$H$4:$H$4503,_imp!$C$3948))</f>
        <v/>
      </c>
      <c r="F3946" s="54">
        <f>IF(_imp!$C$3948="","",INDEX(_imp!$I$4:$I$4503,_imp!$C$3948))</f>
        <v/>
      </c>
      <c r="G3946" s="54">
        <f>IF(_imp!$C$3948="","",INDEX(_imp!$J$4:$J$4503,_imp!$C$3948))</f>
        <v/>
      </c>
      <c r="K3946" s="54">
        <f>IF(_imp!$C$3948="","",INDEX(_imp!$K$4:$K$4503,_imp!$C$3948))</f>
        <v/>
      </c>
    </row>
    <row r="3947">
      <c r="A3947" s="54">
        <f>IF(_imp!$C$3949="","",INDEX(_imp!$D$4:$D$4503,_imp!$C$3949))</f>
        <v/>
      </c>
      <c r="B3947" s="54">
        <f>IF(_imp!$C$3949="","",INDEX(_imp!$E$4:$E$4503,_imp!$C$3949))</f>
        <v/>
      </c>
      <c r="C3947" s="54">
        <f>IF(_imp!$C$3949="","",INDEX(_imp!$F$4:$F$4503,_imp!$C$3949))</f>
        <v/>
      </c>
      <c r="D3947" s="54">
        <f>IF(_imp!$C$3949="","",INDEX(_imp!$G$4:$G$4503,_imp!$C$3949))</f>
        <v/>
      </c>
      <c r="E3947" s="54">
        <f>IF(_imp!$C$3949="","",INDEX(_imp!$H$4:$H$4503,_imp!$C$3949))</f>
        <v/>
      </c>
      <c r="F3947" s="54">
        <f>IF(_imp!$C$3949="","",INDEX(_imp!$I$4:$I$4503,_imp!$C$3949))</f>
        <v/>
      </c>
      <c r="G3947" s="54">
        <f>IF(_imp!$C$3949="","",INDEX(_imp!$J$4:$J$4503,_imp!$C$3949))</f>
        <v/>
      </c>
      <c r="K3947" s="54">
        <f>IF(_imp!$C$3949="","",INDEX(_imp!$K$4:$K$4503,_imp!$C$3949))</f>
        <v/>
      </c>
    </row>
    <row r="3948">
      <c r="A3948" s="54">
        <f>IF(_imp!$C$3950="","",INDEX(_imp!$D$4:$D$4503,_imp!$C$3950))</f>
        <v/>
      </c>
      <c r="B3948" s="54">
        <f>IF(_imp!$C$3950="","",INDEX(_imp!$E$4:$E$4503,_imp!$C$3950))</f>
        <v/>
      </c>
      <c r="C3948" s="54">
        <f>IF(_imp!$C$3950="","",INDEX(_imp!$F$4:$F$4503,_imp!$C$3950))</f>
        <v/>
      </c>
      <c r="D3948" s="54">
        <f>IF(_imp!$C$3950="","",INDEX(_imp!$G$4:$G$4503,_imp!$C$3950))</f>
        <v/>
      </c>
      <c r="E3948" s="54">
        <f>IF(_imp!$C$3950="","",INDEX(_imp!$H$4:$H$4503,_imp!$C$3950))</f>
        <v/>
      </c>
      <c r="F3948" s="54">
        <f>IF(_imp!$C$3950="","",INDEX(_imp!$I$4:$I$4503,_imp!$C$3950))</f>
        <v/>
      </c>
      <c r="G3948" s="54">
        <f>IF(_imp!$C$3950="","",INDEX(_imp!$J$4:$J$4503,_imp!$C$3950))</f>
        <v/>
      </c>
      <c r="K3948" s="54">
        <f>IF(_imp!$C$3950="","",INDEX(_imp!$K$4:$K$4503,_imp!$C$3950))</f>
        <v/>
      </c>
    </row>
    <row r="3949">
      <c r="A3949" s="54">
        <f>IF(_imp!$C$3951="","",INDEX(_imp!$D$4:$D$4503,_imp!$C$3951))</f>
        <v/>
      </c>
      <c r="B3949" s="54">
        <f>IF(_imp!$C$3951="","",INDEX(_imp!$E$4:$E$4503,_imp!$C$3951))</f>
        <v/>
      </c>
      <c r="C3949" s="54">
        <f>IF(_imp!$C$3951="","",INDEX(_imp!$F$4:$F$4503,_imp!$C$3951))</f>
        <v/>
      </c>
      <c r="D3949" s="54">
        <f>IF(_imp!$C$3951="","",INDEX(_imp!$G$4:$G$4503,_imp!$C$3951))</f>
        <v/>
      </c>
      <c r="E3949" s="54">
        <f>IF(_imp!$C$3951="","",INDEX(_imp!$H$4:$H$4503,_imp!$C$3951))</f>
        <v/>
      </c>
      <c r="F3949" s="54">
        <f>IF(_imp!$C$3951="","",INDEX(_imp!$I$4:$I$4503,_imp!$C$3951))</f>
        <v/>
      </c>
      <c r="G3949" s="54">
        <f>IF(_imp!$C$3951="","",INDEX(_imp!$J$4:$J$4503,_imp!$C$3951))</f>
        <v/>
      </c>
      <c r="K3949" s="54">
        <f>IF(_imp!$C$3951="","",INDEX(_imp!$K$4:$K$4503,_imp!$C$3951))</f>
        <v/>
      </c>
    </row>
    <row r="3950">
      <c r="A3950" s="54">
        <f>IF(_imp!$C$3952="","",INDEX(_imp!$D$4:$D$4503,_imp!$C$3952))</f>
        <v/>
      </c>
      <c r="B3950" s="54">
        <f>IF(_imp!$C$3952="","",INDEX(_imp!$E$4:$E$4503,_imp!$C$3952))</f>
        <v/>
      </c>
      <c r="C3950" s="54">
        <f>IF(_imp!$C$3952="","",INDEX(_imp!$F$4:$F$4503,_imp!$C$3952))</f>
        <v/>
      </c>
      <c r="D3950" s="54">
        <f>IF(_imp!$C$3952="","",INDEX(_imp!$G$4:$G$4503,_imp!$C$3952))</f>
        <v/>
      </c>
      <c r="E3950" s="54">
        <f>IF(_imp!$C$3952="","",INDEX(_imp!$H$4:$H$4503,_imp!$C$3952))</f>
        <v/>
      </c>
      <c r="F3950" s="54">
        <f>IF(_imp!$C$3952="","",INDEX(_imp!$I$4:$I$4503,_imp!$C$3952))</f>
        <v/>
      </c>
      <c r="G3950" s="54">
        <f>IF(_imp!$C$3952="","",INDEX(_imp!$J$4:$J$4503,_imp!$C$3952))</f>
        <v/>
      </c>
      <c r="K3950" s="54">
        <f>IF(_imp!$C$3952="","",INDEX(_imp!$K$4:$K$4503,_imp!$C$3952))</f>
        <v/>
      </c>
    </row>
    <row r="3951">
      <c r="A3951" s="54">
        <f>IF(_imp!$C$3953="","",INDEX(_imp!$D$4:$D$4503,_imp!$C$3953))</f>
        <v/>
      </c>
      <c r="B3951" s="54">
        <f>IF(_imp!$C$3953="","",INDEX(_imp!$E$4:$E$4503,_imp!$C$3953))</f>
        <v/>
      </c>
      <c r="C3951" s="54">
        <f>IF(_imp!$C$3953="","",INDEX(_imp!$F$4:$F$4503,_imp!$C$3953))</f>
        <v/>
      </c>
      <c r="D3951" s="54">
        <f>IF(_imp!$C$3953="","",INDEX(_imp!$G$4:$G$4503,_imp!$C$3953))</f>
        <v/>
      </c>
      <c r="E3951" s="54">
        <f>IF(_imp!$C$3953="","",INDEX(_imp!$H$4:$H$4503,_imp!$C$3953))</f>
        <v/>
      </c>
      <c r="F3951" s="54">
        <f>IF(_imp!$C$3953="","",INDEX(_imp!$I$4:$I$4503,_imp!$C$3953))</f>
        <v/>
      </c>
      <c r="G3951" s="54">
        <f>IF(_imp!$C$3953="","",INDEX(_imp!$J$4:$J$4503,_imp!$C$3953))</f>
        <v/>
      </c>
      <c r="K3951" s="54">
        <f>IF(_imp!$C$3953="","",INDEX(_imp!$K$4:$K$4503,_imp!$C$3953))</f>
        <v/>
      </c>
    </row>
    <row r="3952">
      <c r="A3952" s="54">
        <f>IF(_imp!$C$3954="","",INDEX(_imp!$D$4:$D$4503,_imp!$C$3954))</f>
        <v/>
      </c>
      <c r="B3952" s="54">
        <f>IF(_imp!$C$3954="","",INDEX(_imp!$E$4:$E$4503,_imp!$C$3954))</f>
        <v/>
      </c>
      <c r="C3952" s="54">
        <f>IF(_imp!$C$3954="","",INDEX(_imp!$F$4:$F$4503,_imp!$C$3954))</f>
        <v/>
      </c>
      <c r="D3952" s="54">
        <f>IF(_imp!$C$3954="","",INDEX(_imp!$G$4:$G$4503,_imp!$C$3954))</f>
        <v/>
      </c>
      <c r="E3952" s="54">
        <f>IF(_imp!$C$3954="","",INDEX(_imp!$H$4:$H$4503,_imp!$C$3954))</f>
        <v/>
      </c>
      <c r="F3952" s="54">
        <f>IF(_imp!$C$3954="","",INDEX(_imp!$I$4:$I$4503,_imp!$C$3954))</f>
        <v/>
      </c>
      <c r="G3952" s="54">
        <f>IF(_imp!$C$3954="","",INDEX(_imp!$J$4:$J$4503,_imp!$C$3954))</f>
        <v/>
      </c>
      <c r="K3952" s="54">
        <f>IF(_imp!$C$3954="","",INDEX(_imp!$K$4:$K$4503,_imp!$C$3954))</f>
        <v/>
      </c>
    </row>
    <row r="3953">
      <c r="A3953" s="54">
        <f>IF(_imp!$C$3955="","",INDEX(_imp!$D$4:$D$4503,_imp!$C$3955))</f>
        <v/>
      </c>
      <c r="B3953" s="54">
        <f>IF(_imp!$C$3955="","",INDEX(_imp!$E$4:$E$4503,_imp!$C$3955))</f>
        <v/>
      </c>
      <c r="C3953" s="54">
        <f>IF(_imp!$C$3955="","",INDEX(_imp!$F$4:$F$4503,_imp!$C$3955))</f>
        <v/>
      </c>
      <c r="D3953" s="54">
        <f>IF(_imp!$C$3955="","",INDEX(_imp!$G$4:$G$4503,_imp!$C$3955))</f>
        <v/>
      </c>
      <c r="E3953" s="54">
        <f>IF(_imp!$C$3955="","",INDEX(_imp!$H$4:$H$4503,_imp!$C$3955))</f>
        <v/>
      </c>
      <c r="F3953" s="54">
        <f>IF(_imp!$C$3955="","",INDEX(_imp!$I$4:$I$4503,_imp!$C$3955))</f>
        <v/>
      </c>
      <c r="G3953" s="54">
        <f>IF(_imp!$C$3955="","",INDEX(_imp!$J$4:$J$4503,_imp!$C$3955))</f>
        <v/>
      </c>
      <c r="K3953" s="54">
        <f>IF(_imp!$C$3955="","",INDEX(_imp!$K$4:$K$4503,_imp!$C$3955))</f>
        <v/>
      </c>
    </row>
    <row r="3954">
      <c r="A3954" s="54">
        <f>IF(_imp!$C$3956="","",INDEX(_imp!$D$4:$D$4503,_imp!$C$3956))</f>
        <v/>
      </c>
      <c r="B3954" s="54">
        <f>IF(_imp!$C$3956="","",INDEX(_imp!$E$4:$E$4503,_imp!$C$3956))</f>
        <v/>
      </c>
      <c r="C3954" s="54">
        <f>IF(_imp!$C$3956="","",INDEX(_imp!$F$4:$F$4503,_imp!$C$3956))</f>
        <v/>
      </c>
      <c r="D3954" s="54">
        <f>IF(_imp!$C$3956="","",INDEX(_imp!$G$4:$G$4503,_imp!$C$3956))</f>
        <v/>
      </c>
      <c r="E3954" s="54">
        <f>IF(_imp!$C$3956="","",INDEX(_imp!$H$4:$H$4503,_imp!$C$3956))</f>
        <v/>
      </c>
      <c r="F3954" s="54">
        <f>IF(_imp!$C$3956="","",INDEX(_imp!$I$4:$I$4503,_imp!$C$3956))</f>
        <v/>
      </c>
      <c r="G3954" s="54">
        <f>IF(_imp!$C$3956="","",INDEX(_imp!$J$4:$J$4503,_imp!$C$3956))</f>
        <v/>
      </c>
      <c r="K3954" s="54">
        <f>IF(_imp!$C$3956="","",INDEX(_imp!$K$4:$K$4503,_imp!$C$3956))</f>
        <v/>
      </c>
    </row>
    <row r="3955">
      <c r="A3955" s="54">
        <f>IF(_imp!$C$3957="","",INDEX(_imp!$D$4:$D$4503,_imp!$C$3957))</f>
        <v/>
      </c>
      <c r="B3955" s="54">
        <f>IF(_imp!$C$3957="","",INDEX(_imp!$E$4:$E$4503,_imp!$C$3957))</f>
        <v/>
      </c>
      <c r="C3955" s="54">
        <f>IF(_imp!$C$3957="","",INDEX(_imp!$F$4:$F$4503,_imp!$C$3957))</f>
        <v/>
      </c>
      <c r="D3955" s="54">
        <f>IF(_imp!$C$3957="","",INDEX(_imp!$G$4:$G$4503,_imp!$C$3957))</f>
        <v/>
      </c>
      <c r="E3955" s="54">
        <f>IF(_imp!$C$3957="","",INDEX(_imp!$H$4:$H$4503,_imp!$C$3957))</f>
        <v/>
      </c>
      <c r="F3955" s="54">
        <f>IF(_imp!$C$3957="","",INDEX(_imp!$I$4:$I$4503,_imp!$C$3957))</f>
        <v/>
      </c>
      <c r="G3955" s="54">
        <f>IF(_imp!$C$3957="","",INDEX(_imp!$J$4:$J$4503,_imp!$C$3957))</f>
        <v/>
      </c>
      <c r="K3955" s="54">
        <f>IF(_imp!$C$3957="","",INDEX(_imp!$K$4:$K$4503,_imp!$C$3957))</f>
        <v/>
      </c>
    </row>
    <row r="3956">
      <c r="A3956" s="54">
        <f>IF(_imp!$C$3958="","",INDEX(_imp!$D$4:$D$4503,_imp!$C$3958))</f>
        <v/>
      </c>
      <c r="B3956" s="54">
        <f>IF(_imp!$C$3958="","",INDEX(_imp!$E$4:$E$4503,_imp!$C$3958))</f>
        <v/>
      </c>
      <c r="C3956" s="54">
        <f>IF(_imp!$C$3958="","",INDEX(_imp!$F$4:$F$4503,_imp!$C$3958))</f>
        <v/>
      </c>
      <c r="D3956" s="54">
        <f>IF(_imp!$C$3958="","",INDEX(_imp!$G$4:$G$4503,_imp!$C$3958))</f>
        <v/>
      </c>
      <c r="E3956" s="54">
        <f>IF(_imp!$C$3958="","",INDEX(_imp!$H$4:$H$4503,_imp!$C$3958))</f>
        <v/>
      </c>
      <c r="F3956" s="54">
        <f>IF(_imp!$C$3958="","",INDEX(_imp!$I$4:$I$4503,_imp!$C$3958))</f>
        <v/>
      </c>
      <c r="G3956" s="54">
        <f>IF(_imp!$C$3958="","",INDEX(_imp!$J$4:$J$4503,_imp!$C$3958))</f>
        <v/>
      </c>
      <c r="K3956" s="54">
        <f>IF(_imp!$C$3958="","",INDEX(_imp!$K$4:$K$4503,_imp!$C$3958))</f>
        <v/>
      </c>
    </row>
    <row r="3957">
      <c r="A3957" s="54">
        <f>IF(_imp!$C$3959="","",INDEX(_imp!$D$4:$D$4503,_imp!$C$3959))</f>
        <v/>
      </c>
      <c r="B3957" s="54">
        <f>IF(_imp!$C$3959="","",INDEX(_imp!$E$4:$E$4503,_imp!$C$3959))</f>
        <v/>
      </c>
      <c r="C3957" s="54">
        <f>IF(_imp!$C$3959="","",INDEX(_imp!$F$4:$F$4503,_imp!$C$3959))</f>
        <v/>
      </c>
      <c r="D3957" s="54">
        <f>IF(_imp!$C$3959="","",INDEX(_imp!$G$4:$G$4503,_imp!$C$3959))</f>
        <v/>
      </c>
      <c r="E3957" s="54">
        <f>IF(_imp!$C$3959="","",INDEX(_imp!$H$4:$H$4503,_imp!$C$3959))</f>
        <v/>
      </c>
      <c r="F3957" s="54">
        <f>IF(_imp!$C$3959="","",INDEX(_imp!$I$4:$I$4503,_imp!$C$3959))</f>
        <v/>
      </c>
      <c r="G3957" s="54">
        <f>IF(_imp!$C$3959="","",INDEX(_imp!$J$4:$J$4503,_imp!$C$3959))</f>
        <v/>
      </c>
      <c r="K3957" s="54">
        <f>IF(_imp!$C$3959="","",INDEX(_imp!$K$4:$K$4503,_imp!$C$3959))</f>
        <v/>
      </c>
    </row>
    <row r="3958">
      <c r="A3958" s="54">
        <f>IF(_imp!$C$3960="","",INDEX(_imp!$D$4:$D$4503,_imp!$C$3960))</f>
        <v/>
      </c>
      <c r="B3958" s="54">
        <f>IF(_imp!$C$3960="","",INDEX(_imp!$E$4:$E$4503,_imp!$C$3960))</f>
        <v/>
      </c>
      <c r="C3958" s="54">
        <f>IF(_imp!$C$3960="","",INDEX(_imp!$F$4:$F$4503,_imp!$C$3960))</f>
        <v/>
      </c>
      <c r="D3958" s="54">
        <f>IF(_imp!$C$3960="","",INDEX(_imp!$G$4:$G$4503,_imp!$C$3960))</f>
        <v/>
      </c>
      <c r="E3958" s="54">
        <f>IF(_imp!$C$3960="","",INDEX(_imp!$H$4:$H$4503,_imp!$C$3960))</f>
        <v/>
      </c>
      <c r="F3958" s="54">
        <f>IF(_imp!$C$3960="","",INDEX(_imp!$I$4:$I$4503,_imp!$C$3960))</f>
        <v/>
      </c>
      <c r="G3958" s="54">
        <f>IF(_imp!$C$3960="","",INDEX(_imp!$J$4:$J$4503,_imp!$C$3960))</f>
        <v/>
      </c>
      <c r="K3958" s="54">
        <f>IF(_imp!$C$3960="","",INDEX(_imp!$K$4:$K$4503,_imp!$C$3960))</f>
        <v/>
      </c>
    </row>
    <row r="3959">
      <c r="A3959" s="54">
        <f>IF(_imp!$C$3961="","",INDEX(_imp!$D$4:$D$4503,_imp!$C$3961))</f>
        <v/>
      </c>
      <c r="B3959" s="54">
        <f>IF(_imp!$C$3961="","",INDEX(_imp!$E$4:$E$4503,_imp!$C$3961))</f>
        <v/>
      </c>
      <c r="C3959" s="54">
        <f>IF(_imp!$C$3961="","",INDEX(_imp!$F$4:$F$4503,_imp!$C$3961))</f>
        <v/>
      </c>
      <c r="D3959" s="54">
        <f>IF(_imp!$C$3961="","",INDEX(_imp!$G$4:$G$4503,_imp!$C$3961))</f>
        <v/>
      </c>
      <c r="E3959" s="54">
        <f>IF(_imp!$C$3961="","",INDEX(_imp!$H$4:$H$4503,_imp!$C$3961))</f>
        <v/>
      </c>
      <c r="F3959" s="54">
        <f>IF(_imp!$C$3961="","",INDEX(_imp!$I$4:$I$4503,_imp!$C$3961))</f>
        <v/>
      </c>
      <c r="G3959" s="54">
        <f>IF(_imp!$C$3961="","",INDEX(_imp!$J$4:$J$4503,_imp!$C$3961))</f>
        <v/>
      </c>
      <c r="K3959" s="54">
        <f>IF(_imp!$C$3961="","",INDEX(_imp!$K$4:$K$4503,_imp!$C$3961))</f>
        <v/>
      </c>
    </row>
    <row r="3960">
      <c r="A3960" s="54">
        <f>IF(_imp!$C$3962="","",INDEX(_imp!$D$4:$D$4503,_imp!$C$3962))</f>
        <v/>
      </c>
      <c r="B3960" s="54">
        <f>IF(_imp!$C$3962="","",INDEX(_imp!$E$4:$E$4503,_imp!$C$3962))</f>
        <v/>
      </c>
      <c r="C3960" s="54">
        <f>IF(_imp!$C$3962="","",INDEX(_imp!$F$4:$F$4503,_imp!$C$3962))</f>
        <v/>
      </c>
      <c r="D3960" s="54">
        <f>IF(_imp!$C$3962="","",INDEX(_imp!$G$4:$G$4503,_imp!$C$3962))</f>
        <v/>
      </c>
      <c r="E3960" s="54">
        <f>IF(_imp!$C$3962="","",INDEX(_imp!$H$4:$H$4503,_imp!$C$3962))</f>
        <v/>
      </c>
      <c r="F3960" s="54">
        <f>IF(_imp!$C$3962="","",INDEX(_imp!$I$4:$I$4503,_imp!$C$3962))</f>
        <v/>
      </c>
      <c r="G3960" s="54">
        <f>IF(_imp!$C$3962="","",INDEX(_imp!$J$4:$J$4503,_imp!$C$3962))</f>
        <v/>
      </c>
      <c r="K3960" s="54">
        <f>IF(_imp!$C$3962="","",INDEX(_imp!$K$4:$K$4503,_imp!$C$3962))</f>
        <v/>
      </c>
    </row>
    <row r="3961">
      <c r="A3961" s="54">
        <f>IF(_imp!$C$3963="","",INDEX(_imp!$D$4:$D$4503,_imp!$C$3963))</f>
        <v/>
      </c>
      <c r="B3961" s="54">
        <f>IF(_imp!$C$3963="","",INDEX(_imp!$E$4:$E$4503,_imp!$C$3963))</f>
        <v/>
      </c>
      <c r="C3961" s="54">
        <f>IF(_imp!$C$3963="","",INDEX(_imp!$F$4:$F$4503,_imp!$C$3963))</f>
        <v/>
      </c>
      <c r="D3961" s="54">
        <f>IF(_imp!$C$3963="","",INDEX(_imp!$G$4:$G$4503,_imp!$C$3963))</f>
        <v/>
      </c>
      <c r="E3961" s="54">
        <f>IF(_imp!$C$3963="","",INDEX(_imp!$H$4:$H$4503,_imp!$C$3963))</f>
        <v/>
      </c>
      <c r="F3961" s="54">
        <f>IF(_imp!$C$3963="","",INDEX(_imp!$I$4:$I$4503,_imp!$C$3963))</f>
        <v/>
      </c>
      <c r="G3961" s="54">
        <f>IF(_imp!$C$3963="","",INDEX(_imp!$J$4:$J$4503,_imp!$C$3963))</f>
        <v/>
      </c>
      <c r="K3961" s="54">
        <f>IF(_imp!$C$3963="","",INDEX(_imp!$K$4:$K$4503,_imp!$C$3963))</f>
        <v/>
      </c>
    </row>
    <row r="3962">
      <c r="A3962" s="54">
        <f>IF(_imp!$C$3964="","",INDEX(_imp!$D$4:$D$4503,_imp!$C$3964))</f>
        <v/>
      </c>
      <c r="B3962" s="54">
        <f>IF(_imp!$C$3964="","",INDEX(_imp!$E$4:$E$4503,_imp!$C$3964))</f>
        <v/>
      </c>
      <c r="C3962" s="54">
        <f>IF(_imp!$C$3964="","",INDEX(_imp!$F$4:$F$4503,_imp!$C$3964))</f>
        <v/>
      </c>
      <c r="D3962" s="54">
        <f>IF(_imp!$C$3964="","",INDEX(_imp!$G$4:$G$4503,_imp!$C$3964))</f>
        <v/>
      </c>
      <c r="E3962" s="54">
        <f>IF(_imp!$C$3964="","",INDEX(_imp!$H$4:$H$4503,_imp!$C$3964))</f>
        <v/>
      </c>
      <c r="F3962" s="54">
        <f>IF(_imp!$C$3964="","",INDEX(_imp!$I$4:$I$4503,_imp!$C$3964))</f>
        <v/>
      </c>
      <c r="G3962" s="54">
        <f>IF(_imp!$C$3964="","",INDEX(_imp!$J$4:$J$4503,_imp!$C$3964))</f>
        <v/>
      </c>
      <c r="K3962" s="54">
        <f>IF(_imp!$C$3964="","",INDEX(_imp!$K$4:$K$4503,_imp!$C$3964))</f>
        <v/>
      </c>
    </row>
    <row r="3963">
      <c r="A3963" s="54">
        <f>IF(_imp!$C$3965="","",INDEX(_imp!$D$4:$D$4503,_imp!$C$3965))</f>
        <v/>
      </c>
      <c r="B3963" s="54">
        <f>IF(_imp!$C$3965="","",INDEX(_imp!$E$4:$E$4503,_imp!$C$3965))</f>
        <v/>
      </c>
      <c r="C3963" s="54">
        <f>IF(_imp!$C$3965="","",INDEX(_imp!$F$4:$F$4503,_imp!$C$3965))</f>
        <v/>
      </c>
      <c r="D3963" s="54">
        <f>IF(_imp!$C$3965="","",INDEX(_imp!$G$4:$G$4503,_imp!$C$3965))</f>
        <v/>
      </c>
      <c r="E3963" s="54">
        <f>IF(_imp!$C$3965="","",INDEX(_imp!$H$4:$H$4503,_imp!$C$3965))</f>
        <v/>
      </c>
      <c r="F3963" s="54">
        <f>IF(_imp!$C$3965="","",INDEX(_imp!$I$4:$I$4503,_imp!$C$3965))</f>
        <v/>
      </c>
      <c r="G3963" s="54">
        <f>IF(_imp!$C$3965="","",INDEX(_imp!$J$4:$J$4503,_imp!$C$3965))</f>
        <v/>
      </c>
      <c r="K3963" s="54">
        <f>IF(_imp!$C$3965="","",INDEX(_imp!$K$4:$K$4503,_imp!$C$3965))</f>
        <v/>
      </c>
    </row>
    <row r="3964">
      <c r="A3964" s="54">
        <f>IF(_imp!$C$3966="","",INDEX(_imp!$D$4:$D$4503,_imp!$C$3966))</f>
        <v/>
      </c>
      <c r="B3964" s="54">
        <f>IF(_imp!$C$3966="","",INDEX(_imp!$E$4:$E$4503,_imp!$C$3966))</f>
        <v/>
      </c>
      <c r="C3964" s="54">
        <f>IF(_imp!$C$3966="","",INDEX(_imp!$F$4:$F$4503,_imp!$C$3966))</f>
        <v/>
      </c>
      <c r="D3964" s="54">
        <f>IF(_imp!$C$3966="","",INDEX(_imp!$G$4:$G$4503,_imp!$C$3966))</f>
        <v/>
      </c>
      <c r="E3964" s="54">
        <f>IF(_imp!$C$3966="","",INDEX(_imp!$H$4:$H$4503,_imp!$C$3966))</f>
        <v/>
      </c>
      <c r="F3964" s="54">
        <f>IF(_imp!$C$3966="","",INDEX(_imp!$I$4:$I$4503,_imp!$C$3966))</f>
        <v/>
      </c>
      <c r="G3964" s="54">
        <f>IF(_imp!$C$3966="","",INDEX(_imp!$J$4:$J$4503,_imp!$C$3966))</f>
        <v/>
      </c>
      <c r="K3964" s="54">
        <f>IF(_imp!$C$3966="","",INDEX(_imp!$K$4:$K$4503,_imp!$C$3966))</f>
        <v/>
      </c>
    </row>
    <row r="3965">
      <c r="A3965" s="54">
        <f>IF(_imp!$C$3967="","",INDEX(_imp!$D$4:$D$4503,_imp!$C$3967))</f>
        <v/>
      </c>
      <c r="B3965" s="54">
        <f>IF(_imp!$C$3967="","",INDEX(_imp!$E$4:$E$4503,_imp!$C$3967))</f>
        <v/>
      </c>
      <c r="C3965" s="54">
        <f>IF(_imp!$C$3967="","",INDEX(_imp!$F$4:$F$4503,_imp!$C$3967))</f>
        <v/>
      </c>
      <c r="D3965" s="54">
        <f>IF(_imp!$C$3967="","",INDEX(_imp!$G$4:$G$4503,_imp!$C$3967))</f>
        <v/>
      </c>
      <c r="E3965" s="54">
        <f>IF(_imp!$C$3967="","",INDEX(_imp!$H$4:$H$4503,_imp!$C$3967))</f>
        <v/>
      </c>
      <c r="F3965" s="54">
        <f>IF(_imp!$C$3967="","",INDEX(_imp!$I$4:$I$4503,_imp!$C$3967))</f>
        <v/>
      </c>
      <c r="G3965" s="54">
        <f>IF(_imp!$C$3967="","",INDEX(_imp!$J$4:$J$4503,_imp!$C$3967))</f>
        <v/>
      </c>
      <c r="K3965" s="54">
        <f>IF(_imp!$C$3967="","",INDEX(_imp!$K$4:$K$4503,_imp!$C$3967))</f>
        <v/>
      </c>
    </row>
    <row r="3966">
      <c r="A3966" s="54">
        <f>IF(_imp!$C$3968="","",INDEX(_imp!$D$4:$D$4503,_imp!$C$3968))</f>
        <v/>
      </c>
      <c r="B3966" s="54">
        <f>IF(_imp!$C$3968="","",INDEX(_imp!$E$4:$E$4503,_imp!$C$3968))</f>
        <v/>
      </c>
      <c r="C3966" s="54">
        <f>IF(_imp!$C$3968="","",INDEX(_imp!$F$4:$F$4503,_imp!$C$3968))</f>
        <v/>
      </c>
      <c r="D3966" s="54">
        <f>IF(_imp!$C$3968="","",INDEX(_imp!$G$4:$G$4503,_imp!$C$3968))</f>
        <v/>
      </c>
      <c r="E3966" s="54">
        <f>IF(_imp!$C$3968="","",INDEX(_imp!$H$4:$H$4503,_imp!$C$3968))</f>
        <v/>
      </c>
      <c r="F3966" s="54">
        <f>IF(_imp!$C$3968="","",INDEX(_imp!$I$4:$I$4503,_imp!$C$3968))</f>
        <v/>
      </c>
      <c r="G3966" s="54">
        <f>IF(_imp!$C$3968="","",INDEX(_imp!$J$4:$J$4503,_imp!$C$3968))</f>
        <v/>
      </c>
      <c r="K3966" s="54">
        <f>IF(_imp!$C$3968="","",INDEX(_imp!$K$4:$K$4503,_imp!$C$3968))</f>
        <v/>
      </c>
    </row>
    <row r="3967">
      <c r="A3967" s="54">
        <f>IF(_imp!$C$3969="","",INDEX(_imp!$D$4:$D$4503,_imp!$C$3969))</f>
        <v/>
      </c>
      <c r="B3967" s="54">
        <f>IF(_imp!$C$3969="","",INDEX(_imp!$E$4:$E$4503,_imp!$C$3969))</f>
        <v/>
      </c>
      <c r="C3967" s="54">
        <f>IF(_imp!$C$3969="","",INDEX(_imp!$F$4:$F$4503,_imp!$C$3969))</f>
        <v/>
      </c>
      <c r="D3967" s="54">
        <f>IF(_imp!$C$3969="","",INDEX(_imp!$G$4:$G$4503,_imp!$C$3969))</f>
        <v/>
      </c>
      <c r="E3967" s="54">
        <f>IF(_imp!$C$3969="","",INDEX(_imp!$H$4:$H$4503,_imp!$C$3969))</f>
        <v/>
      </c>
      <c r="F3967" s="54">
        <f>IF(_imp!$C$3969="","",INDEX(_imp!$I$4:$I$4503,_imp!$C$3969))</f>
        <v/>
      </c>
      <c r="G3967" s="54">
        <f>IF(_imp!$C$3969="","",INDEX(_imp!$J$4:$J$4503,_imp!$C$3969))</f>
        <v/>
      </c>
      <c r="K3967" s="54">
        <f>IF(_imp!$C$3969="","",INDEX(_imp!$K$4:$K$4503,_imp!$C$3969))</f>
        <v/>
      </c>
    </row>
    <row r="3968">
      <c r="A3968" s="54">
        <f>IF(_imp!$C$3970="","",INDEX(_imp!$D$4:$D$4503,_imp!$C$3970))</f>
        <v/>
      </c>
      <c r="B3968" s="54">
        <f>IF(_imp!$C$3970="","",INDEX(_imp!$E$4:$E$4503,_imp!$C$3970))</f>
        <v/>
      </c>
      <c r="C3968" s="54">
        <f>IF(_imp!$C$3970="","",INDEX(_imp!$F$4:$F$4503,_imp!$C$3970))</f>
        <v/>
      </c>
      <c r="D3968" s="54">
        <f>IF(_imp!$C$3970="","",INDEX(_imp!$G$4:$G$4503,_imp!$C$3970))</f>
        <v/>
      </c>
      <c r="E3968" s="54">
        <f>IF(_imp!$C$3970="","",INDEX(_imp!$H$4:$H$4503,_imp!$C$3970))</f>
        <v/>
      </c>
      <c r="F3968" s="54">
        <f>IF(_imp!$C$3970="","",INDEX(_imp!$I$4:$I$4503,_imp!$C$3970))</f>
        <v/>
      </c>
      <c r="G3968" s="54">
        <f>IF(_imp!$C$3970="","",INDEX(_imp!$J$4:$J$4503,_imp!$C$3970))</f>
        <v/>
      </c>
      <c r="K3968" s="54">
        <f>IF(_imp!$C$3970="","",INDEX(_imp!$K$4:$K$4503,_imp!$C$3970))</f>
        <v/>
      </c>
    </row>
    <row r="3969">
      <c r="A3969" s="54">
        <f>IF(_imp!$C$3971="","",INDEX(_imp!$D$4:$D$4503,_imp!$C$3971))</f>
        <v/>
      </c>
      <c r="B3969" s="54">
        <f>IF(_imp!$C$3971="","",INDEX(_imp!$E$4:$E$4503,_imp!$C$3971))</f>
        <v/>
      </c>
      <c r="C3969" s="54">
        <f>IF(_imp!$C$3971="","",INDEX(_imp!$F$4:$F$4503,_imp!$C$3971))</f>
        <v/>
      </c>
      <c r="D3969" s="54">
        <f>IF(_imp!$C$3971="","",INDEX(_imp!$G$4:$G$4503,_imp!$C$3971))</f>
        <v/>
      </c>
      <c r="E3969" s="54">
        <f>IF(_imp!$C$3971="","",INDEX(_imp!$H$4:$H$4503,_imp!$C$3971))</f>
        <v/>
      </c>
      <c r="F3969" s="54">
        <f>IF(_imp!$C$3971="","",INDEX(_imp!$I$4:$I$4503,_imp!$C$3971))</f>
        <v/>
      </c>
      <c r="G3969" s="54">
        <f>IF(_imp!$C$3971="","",INDEX(_imp!$J$4:$J$4503,_imp!$C$3971))</f>
        <v/>
      </c>
      <c r="K3969" s="54">
        <f>IF(_imp!$C$3971="","",INDEX(_imp!$K$4:$K$4503,_imp!$C$3971))</f>
        <v/>
      </c>
    </row>
    <row r="3970">
      <c r="A3970" s="54">
        <f>IF(_imp!$C$3972="","",INDEX(_imp!$D$4:$D$4503,_imp!$C$3972))</f>
        <v/>
      </c>
      <c r="B3970" s="54">
        <f>IF(_imp!$C$3972="","",INDEX(_imp!$E$4:$E$4503,_imp!$C$3972))</f>
        <v/>
      </c>
      <c r="C3970" s="54">
        <f>IF(_imp!$C$3972="","",INDEX(_imp!$F$4:$F$4503,_imp!$C$3972))</f>
        <v/>
      </c>
      <c r="D3970" s="54">
        <f>IF(_imp!$C$3972="","",INDEX(_imp!$G$4:$G$4503,_imp!$C$3972))</f>
        <v/>
      </c>
      <c r="E3970" s="54">
        <f>IF(_imp!$C$3972="","",INDEX(_imp!$H$4:$H$4503,_imp!$C$3972))</f>
        <v/>
      </c>
      <c r="F3970" s="54">
        <f>IF(_imp!$C$3972="","",INDEX(_imp!$I$4:$I$4503,_imp!$C$3972))</f>
        <v/>
      </c>
      <c r="G3970" s="54">
        <f>IF(_imp!$C$3972="","",INDEX(_imp!$J$4:$J$4503,_imp!$C$3972))</f>
        <v/>
      </c>
      <c r="K3970" s="54">
        <f>IF(_imp!$C$3972="","",INDEX(_imp!$K$4:$K$4503,_imp!$C$3972))</f>
        <v/>
      </c>
    </row>
    <row r="3971">
      <c r="A3971" s="54">
        <f>IF(_imp!$C$3973="","",INDEX(_imp!$D$4:$D$4503,_imp!$C$3973))</f>
        <v/>
      </c>
      <c r="B3971" s="54">
        <f>IF(_imp!$C$3973="","",INDEX(_imp!$E$4:$E$4503,_imp!$C$3973))</f>
        <v/>
      </c>
      <c r="C3971" s="54">
        <f>IF(_imp!$C$3973="","",INDEX(_imp!$F$4:$F$4503,_imp!$C$3973))</f>
        <v/>
      </c>
      <c r="D3971" s="54">
        <f>IF(_imp!$C$3973="","",INDEX(_imp!$G$4:$G$4503,_imp!$C$3973))</f>
        <v/>
      </c>
      <c r="E3971" s="54">
        <f>IF(_imp!$C$3973="","",INDEX(_imp!$H$4:$H$4503,_imp!$C$3973))</f>
        <v/>
      </c>
      <c r="F3971" s="54">
        <f>IF(_imp!$C$3973="","",INDEX(_imp!$I$4:$I$4503,_imp!$C$3973))</f>
        <v/>
      </c>
      <c r="G3971" s="54">
        <f>IF(_imp!$C$3973="","",INDEX(_imp!$J$4:$J$4503,_imp!$C$3973))</f>
        <v/>
      </c>
      <c r="K3971" s="54">
        <f>IF(_imp!$C$3973="","",INDEX(_imp!$K$4:$K$4503,_imp!$C$3973))</f>
        <v/>
      </c>
    </row>
    <row r="3972">
      <c r="A3972" s="54">
        <f>IF(_imp!$C$3974="","",INDEX(_imp!$D$4:$D$4503,_imp!$C$3974))</f>
        <v/>
      </c>
      <c r="B3972" s="54">
        <f>IF(_imp!$C$3974="","",INDEX(_imp!$E$4:$E$4503,_imp!$C$3974))</f>
        <v/>
      </c>
      <c r="C3972" s="54">
        <f>IF(_imp!$C$3974="","",INDEX(_imp!$F$4:$F$4503,_imp!$C$3974))</f>
        <v/>
      </c>
      <c r="D3972" s="54">
        <f>IF(_imp!$C$3974="","",INDEX(_imp!$G$4:$G$4503,_imp!$C$3974))</f>
        <v/>
      </c>
      <c r="E3972" s="54">
        <f>IF(_imp!$C$3974="","",INDEX(_imp!$H$4:$H$4503,_imp!$C$3974))</f>
        <v/>
      </c>
      <c r="F3972" s="54">
        <f>IF(_imp!$C$3974="","",INDEX(_imp!$I$4:$I$4503,_imp!$C$3974))</f>
        <v/>
      </c>
      <c r="G3972" s="54">
        <f>IF(_imp!$C$3974="","",INDEX(_imp!$J$4:$J$4503,_imp!$C$3974))</f>
        <v/>
      </c>
      <c r="K3972" s="54">
        <f>IF(_imp!$C$3974="","",INDEX(_imp!$K$4:$K$4503,_imp!$C$3974))</f>
        <v/>
      </c>
    </row>
    <row r="3973">
      <c r="A3973" s="54">
        <f>IF(_imp!$C$3975="","",INDEX(_imp!$D$4:$D$4503,_imp!$C$3975))</f>
        <v/>
      </c>
      <c r="B3973" s="54">
        <f>IF(_imp!$C$3975="","",INDEX(_imp!$E$4:$E$4503,_imp!$C$3975))</f>
        <v/>
      </c>
      <c r="C3973" s="54">
        <f>IF(_imp!$C$3975="","",INDEX(_imp!$F$4:$F$4503,_imp!$C$3975))</f>
        <v/>
      </c>
      <c r="D3973" s="54">
        <f>IF(_imp!$C$3975="","",INDEX(_imp!$G$4:$G$4503,_imp!$C$3975))</f>
        <v/>
      </c>
      <c r="E3973" s="54">
        <f>IF(_imp!$C$3975="","",INDEX(_imp!$H$4:$H$4503,_imp!$C$3975))</f>
        <v/>
      </c>
      <c r="F3973" s="54">
        <f>IF(_imp!$C$3975="","",INDEX(_imp!$I$4:$I$4503,_imp!$C$3975))</f>
        <v/>
      </c>
      <c r="G3973" s="54">
        <f>IF(_imp!$C$3975="","",INDEX(_imp!$J$4:$J$4503,_imp!$C$3975))</f>
        <v/>
      </c>
      <c r="K3973" s="54">
        <f>IF(_imp!$C$3975="","",INDEX(_imp!$K$4:$K$4503,_imp!$C$3975))</f>
        <v/>
      </c>
    </row>
    <row r="3974">
      <c r="A3974" s="54">
        <f>IF(_imp!$C$3976="","",INDEX(_imp!$D$4:$D$4503,_imp!$C$3976))</f>
        <v/>
      </c>
      <c r="B3974" s="54">
        <f>IF(_imp!$C$3976="","",INDEX(_imp!$E$4:$E$4503,_imp!$C$3976))</f>
        <v/>
      </c>
      <c r="C3974" s="54">
        <f>IF(_imp!$C$3976="","",INDEX(_imp!$F$4:$F$4503,_imp!$C$3976))</f>
        <v/>
      </c>
      <c r="D3974" s="54">
        <f>IF(_imp!$C$3976="","",INDEX(_imp!$G$4:$G$4503,_imp!$C$3976))</f>
        <v/>
      </c>
      <c r="E3974" s="54">
        <f>IF(_imp!$C$3976="","",INDEX(_imp!$H$4:$H$4503,_imp!$C$3976))</f>
        <v/>
      </c>
      <c r="F3974" s="54">
        <f>IF(_imp!$C$3976="","",INDEX(_imp!$I$4:$I$4503,_imp!$C$3976))</f>
        <v/>
      </c>
      <c r="G3974" s="54">
        <f>IF(_imp!$C$3976="","",INDEX(_imp!$J$4:$J$4503,_imp!$C$3976))</f>
        <v/>
      </c>
      <c r="K3974" s="54">
        <f>IF(_imp!$C$3976="","",INDEX(_imp!$K$4:$K$4503,_imp!$C$3976))</f>
        <v/>
      </c>
    </row>
    <row r="3975">
      <c r="A3975" s="54">
        <f>IF(_imp!$C$3977="","",INDEX(_imp!$D$4:$D$4503,_imp!$C$3977))</f>
        <v/>
      </c>
      <c r="B3975" s="54">
        <f>IF(_imp!$C$3977="","",INDEX(_imp!$E$4:$E$4503,_imp!$C$3977))</f>
        <v/>
      </c>
      <c r="C3975" s="54">
        <f>IF(_imp!$C$3977="","",INDEX(_imp!$F$4:$F$4503,_imp!$C$3977))</f>
        <v/>
      </c>
      <c r="D3975" s="54">
        <f>IF(_imp!$C$3977="","",INDEX(_imp!$G$4:$G$4503,_imp!$C$3977))</f>
        <v/>
      </c>
      <c r="E3975" s="54">
        <f>IF(_imp!$C$3977="","",INDEX(_imp!$H$4:$H$4503,_imp!$C$3977))</f>
        <v/>
      </c>
      <c r="F3975" s="54">
        <f>IF(_imp!$C$3977="","",INDEX(_imp!$I$4:$I$4503,_imp!$C$3977))</f>
        <v/>
      </c>
      <c r="G3975" s="54">
        <f>IF(_imp!$C$3977="","",INDEX(_imp!$J$4:$J$4503,_imp!$C$3977))</f>
        <v/>
      </c>
      <c r="K3975" s="54">
        <f>IF(_imp!$C$3977="","",INDEX(_imp!$K$4:$K$4503,_imp!$C$3977))</f>
        <v/>
      </c>
    </row>
    <row r="3976">
      <c r="A3976" s="54">
        <f>IF(_imp!$C$3978="","",INDEX(_imp!$D$4:$D$4503,_imp!$C$3978))</f>
        <v/>
      </c>
      <c r="B3976" s="54">
        <f>IF(_imp!$C$3978="","",INDEX(_imp!$E$4:$E$4503,_imp!$C$3978))</f>
        <v/>
      </c>
      <c r="C3976" s="54">
        <f>IF(_imp!$C$3978="","",INDEX(_imp!$F$4:$F$4503,_imp!$C$3978))</f>
        <v/>
      </c>
      <c r="D3976" s="54">
        <f>IF(_imp!$C$3978="","",INDEX(_imp!$G$4:$G$4503,_imp!$C$3978))</f>
        <v/>
      </c>
      <c r="E3976" s="54">
        <f>IF(_imp!$C$3978="","",INDEX(_imp!$H$4:$H$4503,_imp!$C$3978))</f>
        <v/>
      </c>
      <c r="F3976" s="54">
        <f>IF(_imp!$C$3978="","",INDEX(_imp!$I$4:$I$4503,_imp!$C$3978))</f>
        <v/>
      </c>
      <c r="G3976" s="54">
        <f>IF(_imp!$C$3978="","",INDEX(_imp!$J$4:$J$4503,_imp!$C$3978))</f>
        <v/>
      </c>
      <c r="K3976" s="54">
        <f>IF(_imp!$C$3978="","",INDEX(_imp!$K$4:$K$4503,_imp!$C$3978))</f>
        <v/>
      </c>
    </row>
    <row r="3977">
      <c r="A3977" s="54">
        <f>IF(_imp!$C$3979="","",INDEX(_imp!$D$4:$D$4503,_imp!$C$3979))</f>
        <v/>
      </c>
      <c r="B3977" s="54">
        <f>IF(_imp!$C$3979="","",INDEX(_imp!$E$4:$E$4503,_imp!$C$3979))</f>
        <v/>
      </c>
      <c r="C3977" s="54">
        <f>IF(_imp!$C$3979="","",INDEX(_imp!$F$4:$F$4503,_imp!$C$3979))</f>
        <v/>
      </c>
      <c r="D3977" s="54">
        <f>IF(_imp!$C$3979="","",INDEX(_imp!$G$4:$G$4503,_imp!$C$3979))</f>
        <v/>
      </c>
      <c r="E3977" s="54">
        <f>IF(_imp!$C$3979="","",INDEX(_imp!$H$4:$H$4503,_imp!$C$3979))</f>
        <v/>
      </c>
      <c r="F3977" s="54">
        <f>IF(_imp!$C$3979="","",INDEX(_imp!$I$4:$I$4503,_imp!$C$3979))</f>
        <v/>
      </c>
      <c r="G3977" s="54">
        <f>IF(_imp!$C$3979="","",INDEX(_imp!$J$4:$J$4503,_imp!$C$3979))</f>
        <v/>
      </c>
      <c r="K3977" s="54">
        <f>IF(_imp!$C$3979="","",INDEX(_imp!$K$4:$K$4503,_imp!$C$3979))</f>
        <v/>
      </c>
    </row>
    <row r="3978">
      <c r="A3978" s="54">
        <f>IF(_imp!$C$3980="","",INDEX(_imp!$D$4:$D$4503,_imp!$C$3980))</f>
        <v/>
      </c>
      <c r="B3978" s="54">
        <f>IF(_imp!$C$3980="","",INDEX(_imp!$E$4:$E$4503,_imp!$C$3980))</f>
        <v/>
      </c>
      <c r="C3978" s="54">
        <f>IF(_imp!$C$3980="","",INDEX(_imp!$F$4:$F$4503,_imp!$C$3980))</f>
        <v/>
      </c>
      <c r="D3978" s="54">
        <f>IF(_imp!$C$3980="","",INDEX(_imp!$G$4:$G$4503,_imp!$C$3980))</f>
        <v/>
      </c>
      <c r="E3978" s="54">
        <f>IF(_imp!$C$3980="","",INDEX(_imp!$H$4:$H$4503,_imp!$C$3980))</f>
        <v/>
      </c>
      <c r="F3978" s="54">
        <f>IF(_imp!$C$3980="","",INDEX(_imp!$I$4:$I$4503,_imp!$C$3980))</f>
        <v/>
      </c>
      <c r="G3978" s="54">
        <f>IF(_imp!$C$3980="","",INDEX(_imp!$J$4:$J$4503,_imp!$C$3980))</f>
        <v/>
      </c>
      <c r="K3978" s="54">
        <f>IF(_imp!$C$3980="","",INDEX(_imp!$K$4:$K$4503,_imp!$C$3980))</f>
        <v/>
      </c>
    </row>
    <row r="3979">
      <c r="A3979" s="54">
        <f>IF(_imp!$C$3981="","",INDEX(_imp!$D$4:$D$4503,_imp!$C$3981))</f>
        <v/>
      </c>
      <c r="B3979" s="54">
        <f>IF(_imp!$C$3981="","",INDEX(_imp!$E$4:$E$4503,_imp!$C$3981))</f>
        <v/>
      </c>
      <c r="C3979" s="54">
        <f>IF(_imp!$C$3981="","",INDEX(_imp!$F$4:$F$4503,_imp!$C$3981))</f>
        <v/>
      </c>
      <c r="D3979" s="54">
        <f>IF(_imp!$C$3981="","",INDEX(_imp!$G$4:$G$4503,_imp!$C$3981))</f>
        <v/>
      </c>
      <c r="E3979" s="54">
        <f>IF(_imp!$C$3981="","",INDEX(_imp!$H$4:$H$4503,_imp!$C$3981))</f>
        <v/>
      </c>
      <c r="F3979" s="54">
        <f>IF(_imp!$C$3981="","",INDEX(_imp!$I$4:$I$4503,_imp!$C$3981))</f>
        <v/>
      </c>
      <c r="G3979" s="54">
        <f>IF(_imp!$C$3981="","",INDEX(_imp!$J$4:$J$4503,_imp!$C$3981))</f>
        <v/>
      </c>
      <c r="K3979" s="54">
        <f>IF(_imp!$C$3981="","",INDEX(_imp!$K$4:$K$4503,_imp!$C$3981))</f>
        <v/>
      </c>
    </row>
    <row r="3980">
      <c r="A3980" s="54">
        <f>IF(_imp!$C$3982="","",INDEX(_imp!$D$4:$D$4503,_imp!$C$3982))</f>
        <v/>
      </c>
      <c r="B3980" s="54">
        <f>IF(_imp!$C$3982="","",INDEX(_imp!$E$4:$E$4503,_imp!$C$3982))</f>
        <v/>
      </c>
      <c r="C3980" s="54">
        <f>IF(_imp!$C$3982="","",INDEX(_imp!$F$4:$F$4503,_imp!$C$3982))</f>
        <v/>
      </c>
      <c r="D3980" s="54">
        <f>IF(_imp!$C$3982="","",INDEX(_imp!$G$4:$G$4503,_imp!$C$3982))</f>
        <v/>
      </c>
      <c r="E3980" s="54">
        <f>IF(_imp!$C$3982="","",INDEX(_imp!$H$4:$H$4503,_imp!$C$3982))</f>
        <v/>
      </c>
      <c r="F3980" s="54">
        <f>IF(_imp!$C$3982="","",INDEX(_imp!$I$4:$I$4503,_imp!$C$3982))</f>
        <v/>
      </c>
      <c r="G3980" s="54">
        <f>IF(_imp!$C$3982="","",INDEX(_imp!$J$4:$J$4503,_imp!$C$3982))</f>
        <v/>
      </c>
      <c r="K3980" s="54">
        <f>IF(_imp!$C$3982="","",INDEX(_imp!$K$4:$K$4503,_imp!$C$3982))</f>
        <v/>
      </c>
    </row>
    <row r="3981">
      <c r="A3981" s="54">
        <f>IF(_imp!$C$3983="","",INDEX(_imp!$D$4:$D$4503,_imp!$C$3983))</f>
        <v/>
      </c>
      <c r="B3981" s="54">
        <f>IF(_imp!$C$3983="","",INDEX(_imp!$E$4:$E$4503,_imp!$C$3983))</f>
        <v/>
      </c>
      <c r="C3981" s="54">
        <f>IF(_imp!$C$3983="","",INDEX(_imp!$F$4:$F$4503,_imp!$C$3983))</f>
        <v/>
      </c>
      <c r="D3981" s="54">
        <f>IF(_imp!$C$3983="","",INDEX(_imp!$G$4:$G$4503,_imp!$C$3983))</f>
        <v/>
      </c>
      <c r="E3981" s="54">
        <f>IF(_imp!$C$3983="","",INDEX(_imp!$H$4:$H$4503,_imp!$C$3983))</f>
        <v/>
      </c>
      <c r="F3981" s="54">
        <f>IF(_imp!$C$3983="","",INDEX(_imp!$I$4:$I$4503,_imp!$C$3983))</f>
        <v/>
      </c>
      <c r="G3981" s="54">
        <f>IF(_imp!$C$3983="","",INDEX(_imp!$J$4:$J$4503,_imp!$C$3983))</f>
        <v/>
      </c>
      <c r="K3981" s="54">
        <f>IF(_imp!$C$3983="","",INDEX(_imp!$K$4:$K$4503,_imp!$C$3983))</f>
        <v/>
      </c>
    </row>
    <row r="3982">
      <c r="A3982" s="54">
        <f>IF(_imp!$C$3984="","",INDEX(_imp!$D$4:$D$4503,_imp!$C$3984))</f>
        <v/>
      </c>
      <c r="B3982" s="54">
        <f>IF(_imp!$C$3984="","",INDEX(_imp!$E$4:$E$4503,_imp!$C$3984))</f>
        <v/>
      </c>
      <c r="C3982" s="54">
        <f>IF(_imp!$C$3984="","",INDEX(_imp!$F$4:$F$4503,_imp!$C$3984))</f>
        <v/>
      </c>
      <c r="D3982" s="54">
        <f>IF(_imp!$C$3984="","",INDEX(_imp!$G$4:$G$4503,_imp!$C$3984))</f>
        <v/>
      </c>
      <c r="E3982" s="54">
        <f>IF(_imp!$C$3984="","",INDEX(_imp!$H$4:$H$4503,_imp!$C$3984))</f>
        <v/>
      </c>
      <c r="F3982" s="54">
        <f>IF(_imp!$C$3984="","",INDEX(_imp!$I$4:$I$4503,_imp!$C$3984))</f>
        <v/>
      </c>
      <c r="G3982" s="54">
        <f>IF(_imp!$C$3984="","",INDEX(_imp!$J$4:$J$4503,_imp!$C$3984))</f>
        <v/>
      </c>
      <c r="K3982" s="54">
        <f>IF(_imp!$C$3984="","",INDEX(_imp!$K$4:$K$4503,_imp!$C$3984))</f>
        <v/>
      </c>
    </row>
    <row r="3983">
      <c r="A3983" s="54">
        <f>IF(_imp!$C$3985="","",INDEX(_imp!$D$4:$D$4503,_imp!$C$3985))</f>
        <v/>
      </c>
      <c r="B3983" s="54">
        <f>IF(_imp!$C$3985="","",INDEX(_imp!$E$4:$E$4503,_imp!$C$3985))</f>
        <v/>
      </c>
      <c r="C3983" s="54">
        <f>IF(_imp!$C$3985="","",INDEX(_imp!$F$4:$F$4503,_imp!$C$3985))</f>
        <v/>
      </c>
      <c r="D3983" s="54">
        <f>IF(_imp!$C$3985="","",INDEX(_imp!$G$4:$G$4503,_imp!$C$3985))</f>
        <v/>
      </c>
      <c r="E3983" s="54">
        <f>IF(_imp!$C$3985="","",INDEX(_imp!$H$4:$H$4503,_imp!$C$3985))</f>
        <v/>
      </c>
      <c r="F3983" s="54">
        <f>IF(_imp!$C$3985="","",INDEX(_imp!$I$4:$I$4503,_imp!$C$3985))</f>
        <v/>
      </c>
      <c r="G3983" s="54">
        <f>IF(_imp!$C$3985="","",INDEX(_imp!$J$4:$J$4503,_imp!$C$3985))</f>
        <v/>
      </c>
      <c r="K3983" s="54">
        <f>IF(_imp!$C$3985="","",INDEX(_imp!$K$4:$K$4503,_imp!$C$3985))</f>
        <v/>
      </c>
    </row>
    <row r="3984">
      <c r="A3984" s="54">
        <f>IF(_imp!$C$3986="","",INDEX(_imp!$D$4:$D$4503,_imp!$C$3986))</f>
        <v/>
      </c>
      <c r="B3984" s="54">
        <f>IF(_imp!$C$3986="","",INDEX(_imp!$E$4:$E$4503,_imp!$C$3986))</f>
        <v/>
      </c>
      <c r="C3984" s="54">
        <f>IF(_imp!$C$3986="","",INDEX(_imp!$F$4:$F$4503,_imp!$C$3986))</f>
        <v/>
      </c>
      <c r="D3984" s="54">
        <f>IF(_imp!$C$3986="","",INDEX(_imp!$G$4:$G$4503,_imp!$C$3986))</f>
        <v/>
      </c>
      <c r="E3984" s="54">
        <f>IF(_imp!$C$3986="","",INDEX(_imp!$H$4:$H$4503,_imp!$C$3986))</f>
        <v/>
      </c>
      <c r="F3984" s="54">
        <f>IF(_imp!$C$3986="","",INDEX(_imp!$I$4:$I$4503,_imp!$C$3986))</f>
        <v/>
      </c>
      <c r="G3984" s="54">
        <f>IF(_imp!$C$3986="","",INDEX(_imp!$J$4:$J$4503,_imp!$C$3986))</f>
        <v/>
      </c>
      <c r="K3984" s="54">
        <f>IF(_imp!$C$3986="","",INDEX(_imp!$K$4:$K$4503,_imp!$C$3986))</f>
        <v/>
      </c>
    </row>
    <row r="3985">
      <c r="A3985" s="54">
        <f>IF(_imp!$C$3987="","",INDEX(_imp!$D$4:$D$4503,_imp!$C$3987))</f>
        <v/>
      </c>
      <c r="B3985" s="54">
        <f>IF(_imp!$C$3987="","",INDEX(_imp!$E$4:$E$4503,_imp!$C$3987))</f>
        <v/>
      </c>
      <c r="C3985" s="54">
        <f>IF(_imp!$C$3987="","",INDEX(_imp!$F$4:$F$4503,_imp!$C$3987))</f>
        <v/>
      </c>
      <c r="D3985" s="54">
        <f>IF(_imp!$C$3987="","",INDEX(_imp!$G$4:$G$4503,_imp!$C$3987))</f>
        <v/>
      </c>
      <c r="E3985" s="54">
        <f>IF(_imp!$C$3987="","",INDEX(_imp!$H$4:$H$4503,_imp!$C$3987))</f>
        <v/>
      </c>
      <c r="F3985" s="54">
        <f>IF(_imp!$C$3987="","",INDEX(_imp!$I$4:$I$4503,_imp!$C$3987))</f>
        <v/>
      </c>
      <c r="G3985" s="54">
        <f>IF(_imp!$C$3987="","",INDEX(_imp!$J$4:$J$4503,_imp!$C$3987))</f>
        <v/>
      </c>
      <c r="K3985" s="54">
        <f>IF(_imp!$C$3987="","",INDEX(_imp!$K$4:$K$4503,_imp!$C$3987))</f>
        <v/>
      </c>
    </row>
    <row r="3986">
      <c r="A3986" s="54">
        <f>IF(_imp!$C$3988="","",INDEX(_imp!$D$4:$D$4503,_imp!$C$3988))</f>
        <v/>
      </c>
      <c r="B3986" s="54">
        <f>IF(_imp!$C$3988="","",INDEX(_imp!$E$4:$E$4503,_imp!$C$3988))</f>
        <v/>
      </c>
      <c r="C3986" s="54">
        <f>IF(_imp!$C$3988="","",INDEX(_imp!$F$4:$F$4503,_imp!$C$3988))</f>
        <v/>
      </c>
      <c r="D3986" s="54">
        <f>IF(_imp!$C$3988="","",INDEX(_imp!$G$4:$G$4503,_imp!$C$3988))</f>
        <v/>
      </c>
      <c r="E3986" s="54">
        <f>IF(_imp!$C$3988="","",INDEX(_imp!$H$4:$H$4503,_imp!$C$3988))</f>
        <v/>
      </c>
      <c r="F3986" s="54">
        <f>IF(_imp!$C$3988="","",INDEX(_imp!$I$4:$I$4503,_imp!$C$3988))</f>
        <v/>
      </c>
      <c r="G3986" s="54">
        <f>IF(_imp!$C$3988="","",INDEX(_imp!$J$4:$J$4503,_imp!$C$3988))</f>
        <v/>
      </c>
      <c r="K3986" s="54">
        <f>IF(_imp!$C$3988="","",INDEX(_imp!$K$4:$K$4503,_imp!$C$3988))</f>
        <v/>
      </c>
    </row>
    <row r="3987">
      <c r="A3987" s="54">
        <f>IF(_imp!$C$3989="","",INDEX(_imp!$D$4:$D$4503,_imp!$C$3989))</f>
        <v/>
      </c>
      <c r="B3987" s="54">
        <f>IF(_imp!$C$3989="","",INDEX(_imp!$E$4:$E$4503,_imp!$C$3989))</f>
        <v/>
      </c>
      <c r="C3987" s="54">
        <f>IF(_imp!$C$3989="","",INDEX(_imp!$F$4:$F$4503,_imp!$C$3989))</f>
        <v/>
      </c>
      <c r="D3987" s="54">
        <f>IF(_imp!$C$3989="","",INDEX(_imp!$G$4:$G$4503,_imp!$C$3989))</f>
        <v/>
      </c>
      <c r="E3987" s="54">
        <f>IF(_imp!$C$3989="","",INDEX(_imp!$H$4:$H$4503,_imp!$C$3989))</f>
        <v/>
      </c>
      <c r="F3987" s="54">
        <f>IF(_imp!$C$3989="","",INDEX(_imp!$I$4:$I$4503,_imp!$C$3989))</f>
        <v/>
      </c>
      <c r="G3987" s="54">
        <f>IF(_imp!$C$3989="","",INDEX(_imp!$J$4:$J$4503,_imp!$C$3989))</f>
        <v/>
      </c>
      <c r="K3987" s="54">
        <f>IF(_imp!$C$3989="","",INDEX(_imp!$K$4:$K$4503,_imp!$C$3989))</f>
        <v/>
      </c>
    </row>
    <row r="3988">
      <c r="A3988" s="54">
        <f>IF(_imp!$C$3990="","",INDEX(_imp!$D$4:$D$4503,_imp!$C$3990))</f>
        <v/>
      </c>
      <c r="B3988" s="54">
        <f>IF(_imp!$C$3990="","",INDEX(_imp!$E$4:$E$4503,_imp!$C$3990))</f>
        <v/>
      </c>
      <c r="C3988" s="54">
        <f>IF(_imp!$C$3990="","",INDEX(_imp!$F$4:$F$4503,_imp!$C$3990))</f>
        <v/>
      </c>
      <c r="D3988" s="54">
        <f>IF(_imp!$C$3990="","",INDEX(_imp!$G$4:$G$4503,_imp!$C$3990))</f>
        <v/>
      </c>
      <c r="E3988" s="54">
        <f>IF(_imp!$C$3990="","",INDEX(_imp!$H$4:$H$4503,_imp!$C$3990))</f>
        <v/>
      </c>
      <c r="F3988" s="54">
        <f>IF(_imp!$C$3990="","",INDEX(_imp!$I$4:$I$4503,_imp!$C$3990))</f>
        <v/>
      </c>
      <c r="G3988" s="54">
        <f>IF(_imp!$C$3990="","",INDEX(_imp!$J$4:$J$4503,_imp!$C$3990))</f>
        <v/>
      </c>
      <c r="K3988" s="54">
        <f>IF(_imp!$C$3990="","",INDEX(_imp!$K$4:$K$4503,_imp!$C$3990))</f>
        <v/>
      </c>
    </row>
    <row r="3989">
      <c r="A3989" s="54">
        <f>IF(_imp!$C$3991="","",INDEX(_imp!$D$4:$D$4503,_imp!$C$3991))</f>
        <v/>
      </c>
      <c r="B3989" s="54">
        <f>IF(_imp!$C$3991="","",INDEX(_imp!$E$4:$E$4503,_imp!$C$3991))</f>
        <v/>
      </c>
      <c r="C3989" s="54">
        <f>IF(_imp!$C$3991="","",INDEX(_imp!$F$4:$F$4503,_imp!$C$3991))</f>
        <v/>
      </c>
      <c r="D3989" s="54">
        <f>IF(_imp!$C$3991="","",INDEX(_imp!$G$4:$G$4503,_imp!$C$3991))</f>
        <v/>
      </c>
      <c r="E3989" s="54">
        <f>IF(_imp!$C$3991="","",INDEX(_imp!$H$4:$H$4503,_imp!$C$3991))</f>
        <v/>
      </c>
      <c r="F3989" s="54">
        <f>IF(_imp!$C$3991="","",INDEX(_imp!$I$4:$I$4503,_imp!$C$3991))</f>
        <v/>
      </c>
      <c r="G3989" s="54">
        <f>IF(_imp!$C$3991="","",INDEX(_imp!$J$4:$J$4503,_imp!$C$3991))</f>
        <v/>
      </c>
      <c r="K3989" s="54">
        <f>IF(_imp!$C$3991="","",INDEX(_imp!$K$4:$K$4503,_imp!$C$3991))</f>
        <v/>
      </c>
    </row>
    <row r="3990">
      <c r="A3990" s="54">
        <f>IF(_imp!$C$3992="","",INDEX(_imp!$D$4:$D$4503,_imp!$C$3992))</f>
        <v/>
      </c>
      <c r="B3990" s="54">
        <f>IF(_imp!$C$3992="","",INDEX(_imp!$E$4:$E$4503,_imp!$C$3992))</f>
        <v/>
      </c>
      <c r="C3990" s="54">
        <f>IF(_imp!$C$3992="","",INDEX(_imp!$F$4:$F$4503,_imp!$C$3992))</f>
        <v/>
      </c>
      <c r="D3990" s="54">
        <f>IF(_imp!$C$3992="","",INDEX(_imp!$G$4:$G$4503,_imp!$C$3992))</f>
        <v/>
      </c>
      <c r="E3990" s="54">
        <f>IF(_imp!$C$3992="","",INDEX(_imp!$H$4:$H$4503,_imp!$C$3992))</f>
        <v/>
      </c>
      <c r="F3990" s="54">
        <f>IF(_imp!$C$3992="","",INDEX(_imp!$I$4:$I$4503,_imp!$C$3992))</f>
        <v/>
      </c>
      <c r="G3990" s="54">
        <f>IF(_imp!$C$3992="","",INDEX(_imp!$J$4:$J$4503,_imp!$C$3992))</f>
        <v/>
      </c>
      <c r="K3990" s="54">
        <f>IF(_imp!$C$3992="","",INDEX(_imp!$K$4:$K$4503,_imp!$C$3992))</f>
        <v/>
      </c>
    </row>
    <row r="3991">
      <c r="A3991" s="54">
        <f>IF(_imp!$C$3993="","",INDEX(_imp!$D$4:$D$4503,_imp!$C$3993))</f>
        <v/>
      </c>
      <c r="B3991" s="54">
        <f>IF(_imp!$C$3993="","",INDEX(_imp!$E$4:$E$4503,_imp!$C$3993))</f>
        <v/>
      </c>
      <c r="C3991" s="54">
        <f>IF(_imp!$C$3993="","",INDEX(_imp!$F$4:$F$4503,_imp!$C$3993))</f>
        <v/>
      </c>
      <c r="D3991" s="54">
        <f>IF(_imp!$C$3993="","",INDEX(_imp!$G$4:$G$4503,_imp!$C$3993))</f>
        <v/>
      </c>
      <c r="E3991" s="54">
        <f>IF(_imp!$C$3993="","",INDEX(_imp!$H$4:$H$4503,_imp!$C$3993))</f>
        <v/>
      </c>
      <c r="F3991" s="54">
        <f>IF(_imp!$C$3993="","",INDEX(_imp!$I$4:$I$4503,_imp!$C$3993))</f>
        <v/>
      </c>
      <c r="G3991" s="54">
        <f>IF(_imp!$C$3993="","",INDEX(_imp!$J$4:$J$4503,_imp!$C$3993))</f>
        <v/>
      </c>
      <c r="K3991" s="54">
        <f>IF(_imp!$C$3993="","",INDEX(_imp!$K$4:$K$4503,_imp!$C$3993))</f>
        <v/>
      </c>
    </row>
    <row r="3992">
      <c r="A3992" s="54">
        <f>IF(_imp!$C$3994="","",INDEX(_imp!$D$4:$D$4503,_imp!$C$3994))</f>
        <v/>
      </c>
      <c r="B3992" s="54">
        <f>IF(_imp!$C$3994="","",INDEX(_imp!$E$4:$E$4503,_imp!$C$3994))</f>
        <v/>
      </c>
      <c r="C3992" s="54">
        <f>IF(_imp!$C$3994="","",INDEX(_imp!$F$4:$F$4503,_imp!$C$3994))</f>
        <v/>
      </c>
      <c r="D3992" s="54">
        <f>IF(_imp!$C$3994="","",INDEX(_imp!$G$4:$G$4503,_imp!$C$3994))</f>
        <v/>
      </c>
      <c r="E3992" s="54">
        <f>IF(_imp!$C$3994="","",INDEX(_imp!$H$4:$H$4503,_imp!$C$3994))</f>
        <v/>
      </c>
      <c r="F3992" s="54">
        <f>IF(_imp!$C$3994="","",INDEX(_imp!$I$4:$I$4503,_imp!$C$3994))</f>
        <v/>
      </c>
      <c r="G3992" s="54">
        <f>IF(_imp!$C$3994="","",INDEX(_imp!$J$4:$J$4503,_imp!$C$3994))</f>
        <v/>
      </c>
      <c r="K3992" s="54">
        <f>IF(_imp!$C$3994="","",INDEX(_imp!$K$4:$K$4503,_imp!$C$3994))</f>
        <v/>
      </c>
    </row>
    <row r="3993">
      <c r="A3993" s="54">
        <f>IF(_imp!$C$3995="","",INDEX(_imp!$D$4:$D$4503,_imp!$C$3995))</f>
        <v/>
      </c>
      <c r="B3993" s="54">
        <f>IF(_imp!$C$3995="","",INDEX(_imp!$E$4:$E$4503,_imp!$C$3995))</f>
        <v/>
      </c>
      <c r="C3993" s="54">
        <f>IF(_imp!$C$3995="","",INDEX(_imp!$F$4:$F$4503,_imp!$C$3995))</f>
        <v/>
      </c>
      <c r="D3993" s="54">
        <f>IF(_imp!$C$3995="","",INDEX(_imp!$G$4:$G$4503,_imp!$C$3995))</f>
        <v/>
      </c>
      <c r="E3993" s="54">
        <f>IF(_imp!$C$3995="","",INDEX(_imp!$H$4:$H$4503,_imp!$C$3995))</f>
        <v/>
      </c>
      <c r="F3993" s="54">
        <f>IF(_imp!$C$3995="","",INDEX(_imp!$I$4:$I$4503,_imp!$C$3995))</f>
        <v/>
      </c>
      <c r="G3993" s="54">
        <f>IF(_imp!$C$3995="","",INDEX(_imp!$J$4:$J$4503,_imp!$C$3995))</f>
        <v/>
      </c>
      <c r="K3993" s="54">
        <f>IF(_imp!$C$3995="","",INDEX(_imp!$K$4:$K$4503,_imp!$C$3995))</f>
        <v/>
      </c>
    </row>
    <row r="3994">
      <c r="A3994" s="54">
        <f>IF(_imp!$C$3996="","",INDEX(_imp!$D$4:$D$4503,_imp!$C$3996))</f>
        <v/>
      </c>
      <c r="B3994" s="54">
        <f>IF(_imp!$C$3996="","",INDEX(_imp!$E$4:$E$4503,_imp!$C$3996))</f>
        <v/>
      </c>
      <c r="C3994" s="54">
        <f>IF(_imp!$C$3996="","",INDEX(_imp!$F$4:$F$4503,_imp!$C$3996))</f>
        <v/>
      </c>
      <c r="D3994" s="54">
        <f>IF(_imp!$C$3996="","",INDEX(_imp!$G$4:$G$4503,_imp!$C$3996))</f>
        <v/>
      </c>
      <c r="E3994" s="54">
        <f>IF(_imp!$C$3996="","",INDEX(_imp!$H$4:$H$4503,_imp!$C$3996))</f>
        <v/>
      </c>
      <c r="F3994" s="54">
        <f>IF(_imp!$C$3996="","",INDEX(_imp!$I$4:$I$4503,_imp!$C$3996))</f>
        <v/>
      </c>
      <c r="G3994" s="54">
        <f>IF(_imp!$C$3996="","",INDEX(_imp!$J$4:$J$4503,_imp!$C$3996))</f>
        <v/>
      </c>
      <c r="K3994" s="54">
        <f>IF(_imp!$C$3996="","",INDEX(_imp!$K$4:$K$4503,_imp!$C$3996))</f>
        <v/>
      </c>
    </row>
    <row r="3995">
      <c r="A3995" s="54">
        <f>IF(_imp!$C$3997="","",INDEX(_imp!$D$4:$D$4503,_imp!$C$3997))</f>
        <v/>
      </c>
      <c r="B3995" s="54">
        <f>IF(_imp!$C$3997="","",INDEX(_imp!$E$4:$E$4503,_imp!$C$3997))</f>
        <v/>
      </c>
      <c r="C3995" s="54">
        <f>IF(_imp!$C$3997="","",INDEX(_imp!$F$4:$F$4503,_imp!$C$3997))</f>
        <v/>
      </c>
      <c r="D3995" s="54">
        <f>IF(_imp!$C$3997="","",INDEX(_imp!$G$4:$G$4503,_imp!$C$3997))</f>
        <v/>
      </c>
      <c r="E3995" s="54">
        <f>IF(_imp!$C$3997="","",INDEX(_imp!$H$4:$H$4503,_imp!$C$3997))</f>
        <v/>
      </c>
      <c r="F3995" s="54">
        <f>IF(_imp!$C$3997="","",INDEX(_imp!$I$4:$I$4503,_imp!$C$3997))</f>
        <v/>
      </c>
      <c r="G3995" s="54">
        <f>IF(_imp!$C$3997="","",INDEX(_imp!$J$4:$J$4503,_imp!$C$3997))</f>
        <v/>
      </c>
      <c r="K3995" s="54">
        <f>IF(_imp!$C$3997="","",INDEX(_imp!$K$4:$K$4503,_imp!$C$3997))</f>
        <v/>
      </c>
    </row>
    <row r="3996">
      <c r="A3996" s="54">
        <f>IF(_imp!$C$3998="","",INDEX(_imp!$D$4:$D$4503,_imp!$C$3998))</f>
        <v/>
      </c>
      <c r="B3996" s="54">
        <f>IF(_imp!$C$3998="","",INDEX(_imp!$E$4:$E$4503,_imp!$C$3998))</f>
        <v/>
      </c>
      <c r="C3996" s="54">
        <f>IF(_imp!$C$3998="","",INDEX(_imp!$F$4:$F$4503,_imp!$C$3998))</f>
        <v/>
      </c>
      <c r="D3996" s="54">
        <f>IF(_imp!$C$3998="","",INDEX(_imp!$G$4:$G$4503,_imp!$C$3998))</f>
        <v/>
      </c>
      <c r="E3996" s="54">
        <f>IF(_imp!$C$3998="","",INDEX(_imp!$H$4:$H$4503,_imp!$C$3998))</f>
        <v/>
      </c>
      <c r="F3996" s="54">
        <f>IF(_imp!$C$3998="","",INDEX(_imp!$I$4:$I$4503,_imp!$C$3998))</f>
        <v/>
      </c>
      <c r="G3996" s="54">
        <f>IF(_imp!$C$3998="","",INDEX(_imp!$J$4:$J$4503,_imp!$C$3998))</f>
        <v/>
      </c>
      <c r="K3996" s="54">
        <f>IF(_imp!$C$3998="","",INDEX(_imp!$K$4:$K$4503,_imp!$C$3998))</f>
        <v/>
      </c>
    </row>
    <row r="3997">
      <c r="A3997" s="54">
        <f>IF(_imp!$C$3999="","",INDEX(_imp!$D$4:$D$4503,_imp!$C$3999))</f>
        <v/>
      </c>
      <c r="B3997" s="54">
        <f>IF(_imp!$C$3999="","",INDEX(_imp!$E$4:$E$4503,_imp!$C$3999))</f>
        <v/>
      </c>
      <c r="C3997" s="54">
        <f>IF(_imp!$C$3999="","",INDEX(_imp!$F$4:$F$4503,_imp!$C$3999))</f>
        <v/>
      </c>
      <c r="D3997" s="54">
        <f>IF(_imp!$C$3999="","",INDEX(_imp!$G$4:$G$4503,_imp!$C$3999))</f>
        <v/>
      </c>
      <c r="E3997" s="54">
        <f>IF(_imp!$C$3999="","",INDEX(_imp!$H$4:$H$4503,_imp!$C$3999))</f>
        <v/>
      </c>
      <c r="F3997" s="54">
        <f>IF(_imp!$C$3999="","",INDEX(_imp!$I$4:$I$4503,_imp!$C$3999))</f>
        <v/>
      </c>
      <c r="G3997" s="54">
        <f>IF(_imp!$C$3999="","",INDEX(_imp!$J$4:$J$4503,_imp!$C$3999))</f>
        <v/>
      </c>
      <c r="K3997" s="54">
        <f>IF(_imp!$C$3999="","",INDEX(_imp!$K$4:$K$4503,_imp!$C$3999))</f>
        <v/>
      </c>
    </row>
    <row r="3998">
      <c r="A3998" s="54">
        <f>IF(_imp!$C$4000="","",INDEX(_imp!$D$4:$D$4503,_imp!$C$4000))</f>
        <v/>
      </c>
      <c r="B3998" s="54">
        <f>IF(_imp!$C$4000="","",INDEX(_imp!$E$4:$E$4503,_imp!$C$4000))</f>
        <v/>
      </c>
      <c r="C3998" s="54">
        <f>IF(_imp!$C$4000="","",INDEX(_imp!$F$4:$F$4503,_imp!$C$4000))</f>
        <v/>
      </c>
      <c r="D3998" s="54">
        <f>IF(_imp!$C$4000="","",INDEX(_imp!$G$4:$G$4503,_imp!$C$4000))</f>
        <v/>
      </c>
      <c r="E3998" s="54">
        <f>IF(_imp!$C$4000="","",INDEX(_imp!$H$4:$H$4503,_imp!$C$4000))</f>
        <v/>
      </c>
      <c r="F3998" s="54">
        <f>IF(_imp!$C$4000="","",INDEX(_imp!$I$4:$I$4503,_imp!$C$4000))</f>
        <v/>
      </c>
      <c r="G3998" s="54">
        <f>IF(_imp!$C$4000="","",INDEX(_imp!$J$4:$J$4503,_imp!$C$4000))</f>
        <v/>
      </c>
      <c r="K3998" s="54">
        <f>IF(_imp!$C$4000="","",INDEX(_imp!$K$4:$K$4503,_imp!$C$4000))</f>
        <v/>
      </c>
    </row>
    <row r="3999">
      <c r="A3999" s="54">
        <f>IF(_imp!$C$4001="","",INDEX(_imp!$D$4:$D$4503,_imp!$C$4001))</f>
        <v/>
      </c>
      <c r="B3999" s="54">
        <f>IF(_imp!$C$4001="","",INDEX(_imp!$E$4:$E$4503,_imp!$C$4001))</f>
        <v/>
      </c>
      <c r="C3999" s="54">
        <f>IF(_imp!$C$4001="","",INDEX(_imp!$F$4:$F$4503,_imp!$C$4001))</f>
        <v/>
      </c>
      <c r="D3999" s="54">
        <f>IF(_imp!$C$4001="","",INDEX(_imp!$G$4:$G$4503,_imp!$C$4001))</f>
        <v/>
      </c>
      <c r="E3999" s="54">
        <f>IF(_imp!$C$4001="","",INDEX(_imp!$H$4:$H$4503,_imp!$C$4001))</f>
        <v/>
      </c>
      <c r="F3999" s="54">
        <f>IF(_imp!$C$4001="","",INDEX(_imp!$I$4:$I$4503,_imp!$C$4001))</f>
        <v/>
      </c>
      <c r="G3999" s="54">
        <f>IF(_imp!$C$4001="","",INDEX(_imp!$J$4:$J$4503,_imp!$C$4001))</f>
        <v/>
      </c>
      <c r="K3999" s="54">
        <f>IF(_imp!$C$4001="","",INDEX(_imp!$K$4:$K$4503,_imp!$C$4001))</f>
        <v/>
      </c>
    </row>
    <row r="4000">
      <c r="A4000" s="54">
        <f>IF(_imp!$C$4002="","",INDEX(_imp!$D$4:$D$4503,_imp!$C$4002))</f>
        <v/>
      </c>
      <c r="B4000" s="54">
        <f>IF(_imp!$C$4002="","",INDEX(_imp!$E$4:$E$4503,_imp!$C$4002))</f>
        <v/>
      </c>
      <c r="C4000" s="54">
        <f>IF(_imp!$C$4002="","",INDEX(_imp!$F$4:$F$4503,_imp!$C$4002))</f>
        <v/>
      </c>
      <c r="D4000" s="54">
        <f>IF(_imp!$C$4002="","",INDEX(_imp!$G$4:$G$4503,_imp!$C$4002))</f>
        <v/>
      </c>
      <c r="E4000" s="54">
        <f>IF(_imp!$C$4002="","",INDEX(_imp!$H$4:$H$4503,_imp!$C$4002))</f>
        <v/>
      </c>
      <c r="F4000" s="54">
        <f>IF(_imp!$C$4002="","",INDEX(_imp!$I$4:$I$4503,_imp!$C$4002))</f>
        <v/>
      </c>
      <c r="G4000" s="54">
        <f>IF(_imp!$C$4002="","",INDEX(_imp!$J$4:$J$4503,_imp!$C$4002))</f>
        <v/>
      </c>
      <c r="K4000" s="54">
        <f>IF(_imp!$C$4002="","",INDEX(_imp!$K$4:$K$4503,_imp!$C$4002))</f>
        <v/>
      </c>
    </row>
    <row r="4001">
      <c r="A4001" s="54">
        <f>IF(_imp!$C$4003="","",INDEX(_imp!$D$4:$D$4503,_imp!$C$4003))</f>
        <v/>
      </c>
      <c r="B4001" s="54">
        <f>IF(_imp!$C$4003="","",INDEX(_imp!$E$4:$E$4503,_imp!$C$4003))</f>
        <v/>
      </c>
      <c r="C4001" s="54">
        <f>IF(_imp!$C$4003="","",INDEX(_imp!$F$4:$F$4503,_imp!$C$4003))</f>
        <v/>
      </c>
      <c r="D4001" s="54">
        <f>IF(_imp!$C$4003="","",INDEX(_imp!$G$4:$G$4503,_imp!$C$4003))</f>
        <v/>
      </c>
      <c r="E4001" s="54">
        <f>IF(_imp!$C$4003="","",INDEX(_imp!$H$4:$H$4503,_imp!$C$4003))</f>
        <v/>
      </c>
      <c r="F4001" s="54">
        <f>IF(_imp!$C$4003="","",INDEX(_imp!$I$4:$I$4503,_imp!$C$4003))</f>
        <v/>
      </c>
      <c r="G4001" s="54">
        <f>IF(_imp!$C$4003="","",INDEX(_imp!$J$4:$J$4503,_imp!$C$4003))</f>
        <v/>
      </c>
      <c r="K4001" s="54">
        <f>IF(_imp!$C$4003="","",INDEX(_imp!$K$4:$K$4503,_imp!$C$4003))</f>
        <v/>
      </c>
    </row>
    <row r="4002">
      <c r="A4002" s="54">
        <f>IF(_imp!$C$4004="","",INDEX(_imp!$D$4:$D$4503,_imp!$C$4004))</f>
        <v/>
      </c>
      <c r="B4002" s="54">
        <f>IF(_imp!$C$4004="","",INDEX(_imp!$E$4:$E$4503,_imp!$C$4004))</f>
        <v/>
      </c>
      <c r="C4002" s="54">
        <f>IF(_imp!$C$4004="","",INDEX(_imp!$F$4:$F$4503,_imp!$C$4004))</f>
        <v/>
      </c>
      <c r="D4002" s="54">
        <f>IF(_imp!$C$4004="","",INDEX(_imp!$G$4:$G$4503,_imp!$C$4004))</f>
        <v/>
      </c>
      <c r="E4002" s="54">
        <f>IF(_imp!$C$4004="","",INDEX(_imp!$H$4:$H$4503,_imp!$C$4004))</f>
        <v/>
      </c>
      <c r="F4002" s="54">
        <f>IF(_imp!$C$4004="","",INDEX(_imp!$I$4:$I$4503,_imp!$C$4004))</f>
        <v/>
      </c>
      <c r="G4002" s="54">
        <f>IF(_imp!$C$4004="","",INDEX(_imp!$J$4:$J$4503,_imp!$C$4004))</f>
        <v/>
      </c>
      <c r="K4002" s="54">
        <f>IF(_imp!$C$4004="","",INDEX(_imp!$K$4:$K$4503,_imp!$C$4004))</f>
        <v/>
      </c>
    </row>
    <row r="4003">
      <c r="A4003" s="54">
        <f>IF(_imp!$C$4005="","",INDEX(_imp!$D$4:$D$4503,_imp!$C$4005))</f>
        <v/>
      </c>
      <c r="B4003" s="54">
        <f>IF(_imp!$C$4005="","",INDEX(_imp!$E$4:$E$4503,_imp!$C$4005))</f>
        <v/>
      </c>
      <c r="C4003" s="54">
        <f>IF(_imp!$C$4005="","",INDEX(_imp!$F$4:$F$4503,_imp!$C$4005))</f>
        <v/>
      </c>
      <c r="D4003" s="54">
        <f>IF(_imp!$C$4005="","",INDEX(_imp!$G$4:$G$4503,_imp!$C$4005))</f>
        <v/>
      </c>
      <c r="E4003" s="54">
        <f>IF(_imp!$C$4005="","",INDEX(_imp!$H$4:$H$4503,_imp!$C$4005))</f>
        <v/>
      </c>
      <c r="F4003" s="54">
        <f>IF(_imp!$C$4005="","",INDEX(_imp!$I$4:$I$4503,_imp!$C$4005))</f>
        <v/>
      </c>
      <c r="G4003" s="54">
        <f>IF(_imp!$C$4005="","",INDEX(_imp!$J$4:$J$4503,_imp!$C$4005))</f>
        <v/>
      </c>
      <c r="K4003" s="54">
        <f>IF(_imp!$C$4005="","",INDEX(_imp!$K$4:$K$4503,_imp!$C$4005))</f>
        <v/>
      </c>
    </row>
    <row r="4004">
      <c r="A4004" s="54">
        <f>IF(_imp!$C$4006="","",INDEX(_imp!$D$4:$D$4503,_imp!$C$4006))</f>
        <v/>
      </c>
      <c r="B4004" s="54">
        <f>IF(_imp!$C$4006="","",INDEX(_imp!$E$4:$E$4503,_imp!$C$4006))</f>
        <v/>
      </c>
      <c r="C4004" s="54">
        <f>IF(_imp!$C$4006="","",INDEX(_imp!$F$4:$F$4503,_imp!$C$4006))</f>
        <v/>
      </c>
      <c r="D4004" s="54">
        <f>IF(_imp!$C$4006="","",INDEX(_imp!$G$4:$G$4503,_imp!$C$4006))</f>
        <v/>
      </c>
      <c r="E4004" s="54">
        <f>IF(_imp!$C$4006="","",INDEX(_imp!$H$4:$H$4503,_imp!$C$4006))</f>
        <v/>
      </c>
      <c r="F4004" s="54">
        <f>IF(_imp!$C$4006="","",INDEX(_imp!$I$4:$I$4503,_imp!$C$4006))</f>
        <v/>
      </c>
      <c r="G4004" s="54">
        <f>IF(_imp!$C$4006="","",INDEX(_imp!$J$4:$J$4503,_imp!$C$4006))</f>
        <v/>
      </c>
      <c r="K4004" s="54">
        <f>IF(_imp!$C$4006="","",INDEX(_imp!$K$4:$K$4503,_imp!$C$4006))</f>
        <v/>
      </c>
    </row>
    <row r="4005">
      <c r="A4005" s="54">
        <f>IF(_imp!$C$4007="","",INDEX(_imp!$D$4:$D$4503,_imp!$C$4007))</f>
        <v/>
      </c>
      <c r="B4005" s="54">
        <f>IF(_imp!$C$4007="","",INDEX(_imp!$E$4:$E$4503,_imp!$C$4007))</f>
        <v/>
      </c>
      <c r="C4005" s="54">
        <f>IF(_imp!$C$4007="","",INDEX(_imp!$F$4:$F$4503,_imp!$C$4007))</f>
        <v/>
      </c>
      <c r="D4005" s="54">
        <f>IF(_imp!$C$4007="","",INDEX(_imp!$G$4:$G$4503,_imp!$C$4007))</f>
        <v/>
      </c>
      <c r="E4005" s="54">
        <f>IF(_imp!$C$4007="","",INDEX(_imp!$H$4:$H$4503,_imp!$C$4007))</f>
        <v/>
      </c>
      <c r="F4005" s="54">
        <f>IF(_imp!$C$4007="","",INDEX(_imp!$I$4:$I$4503,_imp!$C$4007))</f>
        <v/>
      </c>
      <c r="G4005" s="54">
        <f>IF(_imp!$C$4007="","",INDEX(_imp!$J$4:$J$4503,_imp!$C$4007))</f>
        <v/>
      </c>
      <c r="K4005" s="54">
        <f>IF(_imp!$C$4007="","",INDEX(_imp!$K$4:$K$4503,_imp!$C$4007))</f>
        <v/>
      </c>
    </row>
    <row r="4006">
      <c r="A4006" s="54">
        <f>IF(_imp!$C$4008="","",INDEX(_imp!$D$4:$D$4503,_imp!$C$4008))</f>
        <v/>
      </c>
      <c r="B4006" s="54">
        <f>IF(_imp!$C$4008="","",INDEX(_imp!$E$4:$E$4503,_imp!$C$4008))</f>
        <v/>
      </c>
      <c r="C4006" s="54">
        <f>IF(_imp!$C$4008="","",INDEX(_imp!$F$4:$F$4503,_imp!$C$4008))</f>
        <v/>
      </c>
      <c r="D4006" s="54">
        <f>IF(_imp!$C$4008="","",INDEX(_imp!$G$4:$G$4503,_imp!$C$4008))</f>
        <v/>
      </c>
      <c r="E4006" s="54">
        <f>IF(_imp!$C$4008="","",INDEX(_imp!$H$4:$H$4503,_imp!$C$4008))</f>
        <v/>
      </c>
      <c r="F4006" s="54">
        <f>IF(_imp!$C$4008="","",INDEX(_imp!$I$4:$I$4503,_imp!$C$4008))</f>
        <v/>
      </c>
      <c r="G4006" s="54">
        <f>IF(_imp!$C$4008="","",INDEX(_imp!$J$4:$J$4503,_imp!$C$4008))</f>
        <v/>
      </c>
      <c r="K4006" s="54">
        <f>IF(_imp!$C$4008="","",INDEX(_imp!$K$4:$K$4503,_imp!$C$4008))</f>
        <v/>
      </c>
    </row>
    <row r="4007">
      <c r="A4007" s="54">
        <f>IF(_imp!$C$4009="","",INDEX(_imp!$D$4:$D$4503,_imp!$C$4009))</f>
        <v/>
      </c>
      <c r="B4007" s="54">
        <f>IF(_imp!$C$4009="","",INDEX(_imp!$E$4:$E$4503,_imp!$C$4009))</f>
        <v/>
      </c>
      <c r="C4007" s="54">
        <f>IF(_imp!$C$4009="","",INDEX(_imp!$F$4:$F$4503,_imp!$C$4009))</f>
        <v/>
      </c>
      <c r="D4007" s="54">
        <f>IF(_imp!$C$4009="","",INDEX(_imp!$G$4:$G$4503,_imp!$C$4009))</f>
        <v/>
      </c>
      <c r="E4007" s="54">
        <f>IF(_imp!$C$4009="","",INDEX(_imp!$H$4:$H$4503,_imp!$C$4009))</f>
        <v/>
      </c>
      <c r="F4007" s="54">
        <f>IF(_imp!$C$4009="","",INDEX(_imp!$I$4:$I$4503,_imp!$C$4009))</f>
        <v/>
      </c>
      <c r="G4007" s="54">
        <f>IF(_imp!$C$4009="","",INDEX(_imp!$J$4:$J$4503,_imp!$C$4009))</f>
        <v/>
      </c>
      <c r="K4007" s="54">
        <f>IF(_imp!$C$4009="","",INDEX(_imp!$K$4:$K$4503,_imp!$C$4009))</f>
        <v/>
      </c>
    </row>
    <row r="4008">
      <c r="A4008" s="54">
        <f>IF(_imp!$C$4010="","",INDEX(_imp!$D$4:$D$4503,_imp!$C$4010))</f>
        <v/>
      </c>
      <c r="B4008" s="54">
        <f>IF(_imp!$C$4010="","",INDEX(_imp!$E$4:$E$4503,_imp!$C$4010))</f>
        <v/>
      </c>
      <c r="C4008" s="54">
        <f>IF(_imp!$C$4010="","",INDEX(_imp!$F$4:$F$4503,_imp!$C$4010))</f>
        <v/>
      </c>
      <c r="D4008" s="54">
        <f>IF(_imp!$C$4010="","",INDEX(_imp!$G$4:$G$4503,_imp!$C$4010))</f>
        <v/>
      </c>
      <c r="E4008" s="54">
        <f>IF(_imp!$C$4010="","",INDEX(_imp!$H$4:$H$4503,_imp!$C$4010))</f>
        <v/>
      </c>
      <c r="F4008" s="54">
        <f>IF(_imp!$C$4010="","",INDEX(_imp!$I$4:$I$4503,_imp!$C$4010))</f>
        <v/>
      </c>
      <c r="G4008" s="54">
        <f>IF(_imp!$C$4010="","",INDEX(_imp!$J$4:$J$4503,_imp!$C$4010))</f>
        <v/>
      </c>
      <c r="K4008" s="54">
        <f>IF(_imp!$C$4010="","",INDEX(_imp!$K$4:$K$4503,_imp!$C$4010))</f>
        <v/>
      </c>
    </row>
    <row r="4009">
      <c r="A4009" s="54">
        <f>IF(_imp!$C$4011="","",INDEX(_imp!$D$4:$D$4503,_imp!$C$4011))</f>
        <v/>
      </c>
      <c r="B4009" s="54">
        <f>IF(_imp!$C$4011="","",INDEX(_imp!$E$4:$E$4503,_imp!$C$4011))</f>
        <v/>
      </c>
      <c r="C4009" s="54">
        <f>IF(_imp!$C$4011="","",INDEX(_imp!$F$4:$F$4503,_imp!$C$4011))</f>
        <v/>
      </c>
      <c r="D4009" s="54">
        <f>IF(_imp!$C$4011="","",INDEX(_imp!$G$4:$G$4503,_imp!$C$4011))</f>
        <v/>
      </c>
      <c r="E4009" s="54">
        <f>IF(_imp!$C$4011="","",INDEX(_imp!$H$4:$H$4503,_imp!$C$4011))</f>
        <v/>
      </c>
      <c r="F4009" s="54">
        <f>IF(_imp!$C$4011="","",INDEX(_imp!$I$4:$I$4503,_imp!$C$4011))</f>
        <v/>
      </c>
      <c r="G4009" s="54">
        <f>IF(_imp!$C$4011="","",INDEX(_imp!$J$4:$J$4503,_imp!$C$4011))</f>
        <v/>
      </c>
      <c r="K4009" s="54">
        <f>IF(_imp!$C$4011="","",INDEX(_imp!$K$4:$K$4503,_imp!$C$4011))</f>
        <v/>
      </c>
    </row>
    <row r="4010">
      <c r="A4010" s="54">
        <f>IF(_imp!$C$4012="","",INDEX(_imp!$D$4:$D$4503,_imp!$C$4012))</f>
        <v/>
      </c>
      <c r="B4010" s="54">
        <f>IF(_imp!$C$4012="","",INDEX(_imp!$E$4:$E$4503,_imp!$C$4012))</f>
        <v/>
      </c>
      <c r="C4010" s="54">
        <f>IF(_imp!$C$4012="","",INDEX(_imp!$F$4:$F$4503,_imp!$C$4012))</f>
        <v/>
      </c>
      <c r="D4010" s="54">
        <f>IF(_imp!$C$4012="","",INDEX(_imp!$G$4:$G$4503,_imp!$C$4012))</f>
        <v/>
      </c>
      <c r="E4010" s="54">
        <f>IF(_imp!$C$4012="","",INDEX(_imp!$H$4:$H$4503,_imp!$C$4012))</f>
        <v/>
      </c>
      <c r="F4010" s="54">
        <f>IF(_imp!$C$4012="","",INDEX(_imp!$I$4:$I$4503,_imp!$C$4012))</f>
        <v/>
      </c>
      <c r="G4010" s="54">
        <f>IF(_imp!$C$4012="","",INDEX(_imp!$J$4:$J$4503,_imp!$C$4012))</f>
        <v/>
      </c>
      <c r="K4010" s="54">
        <f>IF(_imp!$C$4012="","",INDEX(_imp!$K$4:$K$4503,_imp!$C$4012))</f>
        <v/>
      </c>
    </row>
    <row r="4011">
      <c r="A4011" s="54">
        <f>IF(_imp!$C$4013="","",INDEX(_imp!$D$4:$D$4503,_imp!$C$4013))</f>
        <v/>
      </c>
      <c r="B4011" s="54">
        <f>IF(_imp!$C$4013="","",INDEX(_imp!$E$4:$E$4503,_imp!$C$4013))</f>
        <v/>
      </c>
      <c r="C4011" s="54">
        <f>IF(_imp!$C$4013="","",INDEX(_imp!$F$4:$F$4503,_imp!$C$4013))</f>
        <v/>
      </c>
      <c r="D4011" s="54">
        <f>IF(_imp!$C$4013="","",INDEX(_imp!$G$4:$G$4503,_imp!$C$4013))</f>
        <v/>
      </c>
      <c r="E4011" s="54">
        <f>IF(_imp!$C$4013="","",INDEX(_imp!$H$4:$H$4503,_imp!$C$4013))</f>
        <v/>
      </c>
      <c r="F4011" s="54">
        <f>IF(_imp!$C$4013="","",INDEX(_imp!$I$4:$I$4503,_imp!$C$4013))</f>
        <v/>
      </c>
      <c r="G4011" s="54">
        <f>IF(_imp!$C$4013="","",INDEX(_imp!$J$4:$J$4503,_imp!$C$4013))</f>
        <v/>
      </c>
      <c r="K4011" s="54">
        <f>IF(_imp!$C$4013="","",INDEX(_imp!$K$4:$K$4503,_imp!$C$4013))</f>
        <v/>
      </c>
    </row>
    <row r="4012">
      <c r="A4012" s="54">
        <f>IF(_imp!$C$4014="","",INDEX(_imp!$D$4:$D$4503,_imp!$C$4014))</f>
        <v/>
      </c>
      <c r="B4012" s="54">
        <f>IF(_imp!$C$4014="","",INDEX(_imp!$E$4:$E$4503,_imp!$C$4014))</f>
        <v/>
      </c>
      <c r="C4012" s="54">
        <f>IF(_imp!$C$4014="","",INDEX(_imp!$F$4:$F$4503,_imp!$C$4014))</f>
        <v/>
      </c>
      <c r="D4012" s="54">
        <f>IF(_imp!$C$4014="","",INDEX(_imp!$G$4:$G$4503,_imp!$C$4014))</f>
        <v/>
      </c>
      <c r="E4012" s="54">
        <f>IF(_imp!$C$4014="","",INDEX(_imp!$H$4:$H$4503,_imp!$C$4014))</f>
        <v/>
      </c>
      <c r="F4012" s="54">
        <f>IF(_imp!$C$4014="","",INDEX(_imp!$I$4:$I$4503,_imp!$C$4014))</f>
        <v/>
      </c>
      <c r="G4012" s="54">
        <f>IF(_imp!$C$4014="","",INDEX(_imp!$J$4:$J$4503,_imp!$C$4014))</f>
        <v/>
      </c>
      <c r="K4012" s="54">
        <f>IF(_imp!$C$4014="","",INDEX(_imp!$K$4:$K$4503,_imp!$C$4014))</f>
        <v/>
      </c>
    </row>
    <row r="4013">
      <c r="A4013" s="54">
        <f>IF(_imp!$C$4015="","",INDEX(_imp!$D$4:$D$4503,_imp!$C$4015))</f>
        <v/>
      </c>
      <c r="B4013" s="54">
        <f>IF(_imp!$C$4015="","",INDEX(_imp!$E$4:$E$4503,_imp!$C$4015))</f>
        <v/>
      </c>
      <c r="C4013" s="54">
        <f>IF(_imp!$C$4015="","",INDEX(_imp!$F$4:$F$4503,_imp!$C$4015))</f>
        <v/>
      </c>
      <c r="D4013" s="54">
        <f>IF(_imp!$C$4015="","",INDEX(_imp!$G$4:$G$4503,_imp!$C$4015))</f>
        <v/>
      </c>
      <c r="E4013" s="54">
        <f>IF(_imp!$C$4015="","",INDEX(_imp!$H$4:$H$4503,_imp!$C$4015))</f>
        <v/>
      </c>
      <c r="F4013" s="54">
        <f>IF(_imp!$C$4015="","",INDEX(_imp!$I$4:$I$4503,_imp!$C$4015))</f>
        <v/>
      </c>
      <c r="G4013" s="54">
        <f>IF(_imp!$C$4015="","",INDEX(_imp!$J$4:$J$4503,_imp!$C$4015))</f>
        <v/>
      </c>
      <c r="K4013" s="54">
        <f>IF(_imp!$C$4015="","",INDEX(_imp!$K$4:$K$4503,_imp!$C$4015))</f>
        <v/>
      </c>
    </row>
    <row r="4014">
      <c r="A4014" s="54">
        <f>IF(_imp!$C$4016="","",INDEX(_imp!$D$4:$D$4503,_imp!$C$4016))</f>
        <v/>
      </c>
      <c r="B4014" s="54">
        <f>IF(_imp!$C$4016="","",INDEX(_imp!$E$4:$E$4503,_imp!$C$4016))</f>
        <v/>
      </c>
      <c r="C4014" s="54">
        <f>IF(_imp!$C$4016="","",INDEX(_imp!$F$4:$F$4503,_imp!$C$4016))</f>
        <v/>
      </c>
      <c r="D4014" s="54">
        <f>IF(_imp!$C$4016="","",INDEX(_imp!$G$4:$G$4503,_imp!$C$4016))</f>
        <v/>
      </c>
      <c r="E4014" s="54">
        <f>IF(_imp!$C$4016="","",INDEX(_imp!$H$4:$H$4503,_imp!$C$4016))</f>
        <v/>
      </c>
      <c r="F4014" s="54">
        <f>IF(_imp!$C$4016="","",INDEX(_imp!$I$4:$I$4503,_imp!$C$4016))</f>
        <v/>
      </c>
      <c r="G4014" s="54">
        <f>IF(_imp!$C$4016="","",INDEX(_imp!$J$4:$J$4503,_imp!$C$4016))</f>
        <v/>
      </c>
      <c r="K4014" s="54">
        <f>IF(_imp!$C$4016="","",INDEX(_imp!$K$4:$K$4503,_imp!$C$4016))</f>
        <v/>
      </c>
    </row>
    <row r="4015">
      <c r="A4015" s="54">
        <f>IF(_imp!$C$4017="","",INDEX(_imp!$D$4:$D$4503,_imp!$C$4017))</f>
        <v/>
      </c>
      <c r="B4015" s="54">
        <f>IF(_imp!$C$4017="","",INDEX(_imp!$E$4:$E$4503,_imp!$C$4017))</f>
        <v/>
      </c>
      <c r="C4015" s="54">
        <f>IF(_imp!$C$4017="","",INDEX(_imp!$F$4:$F$4503,_imp!$C$4017))</f>
        <v/>
      </c>
      <c r="D4015" s="54">
        <f>IF(_imp!$C$4017="","",INDEX(_imp!$G$4:$G$4503,_imp!$C$4017))</f>
        <v/>
      </c>
      <c r="E4015" s="54">
        <f>IF(_imp!$C$4017="","",INDEX(_imp!$H$4:$H$4503,_imp!$C$4017))</f>
        <v/>
      </c>
      <c r="F4015" s="54">
        <f>IF(_imp!$C$4017="","",INDEX(_imp!$I$4:$I$4503,_imp!$C$4017))</f>
        <v/>
      </c>
      <c r="G4015" s="54">
        <f>IF(_imp!$C$4017="","",INDEX(_imp!$J$4:$J$4503,_imp!$C$4017))</f>
        <v/>
      </c>
      <c r="K4015" s="54">
        <f>IF(_imp!$C$4017="","",INDEX(_imp!$K$4:$K$4503,_imp!$C$4017))</f>
        <v/>
      </c>
    </row>
    <row r="4016">
      <c r="A4016" s="54">
        <f>IF(_imp!$C$4018="","",INDEX(_imp!$D$4:$D$4503,_imp!$C$4018))</f>
        <v/>
      </c>
      <c r="B4016" s="54">
        <f>IF(_imp!$C$4018="","",INDEX(_imp!$E$4:$E$4503,_imp!$C$4018))</f>
        <v/>
      </c>
      <c r="C4016" s="54">
        <f>IF(_imp!$C$4018="","",INDEX(_imp!$F$4:$F$4503,_imp!$C$4018))</f>
        <v/>
      </c>
      <c r="D4016" s="54">
        <f>IF(_imp!$C$4018="","",INDEX(_imp!$G$4:$G$4503,_imp!$C$4018))</f>
        <v/>
      </c>
      <c r="E4016" s="54">
        <f>IF(_imp!$C$4018="","",INDEX(_imp!$H$4:$H$4503,_imp!$C$4018))</f>
        <v/>
      </c>
      <c r="F4016" s="54">
        <f>IF(_imp!$C$4018="","",INDEX(_imp!$I$4:$I$4503,_imp!$C$4018))</f>
        <v/>
      </c>
      <c r="G4016" s="54">
        <f>IF(_imp!$C$4018="","",INDEX(_imp!$J$4:$J$4503,_imp!$C$4018))</f>
        <v/>
      </c>
      <c r="K4016" s="54">
        <f>IF(_imp!$C$4018="","",INDEX(_imp!$K$4:$K$4503,_imp!$C$4018))</f>
        <v/>
      </c>
    </row>
    <row r="4017">
      <c r="A4017" s="54">
        <f>IF(_imp!$C$4019="","",INDEX(_imp!$D$4:$D$4503,_imp!$C$4019))</f>
        <v/>
      </c>
      <c r="B4017" s="54">
        <f>IF(_imp!$C$4019="","",INDEX(_imp!$E$4:$E$4503,_imp!$C$4019))</f>
        <v/>
      </c>
      <c r="C4017" s="54">
        <f>IF(_imp!$C$4019="","",INDEX(_imp!$F$4:$F$4503,_imp!$C$4019))</f>
        <v/>
      </c>
      <c r="D4017" s="54">
        <f>IF(_imp!$C$4019="","",INDEX(_imp!$G$4:$G$4503,_imp!$C$4019))</f>
        <v/>
      </c>
      <c r="E4017" s="54">
        <f>IF(_imp!$C$4019="","",INDEX(_imp!$H$4:$H$4503,_imp!$C$4019))</f>
        <v/>
      </c>
      <c r="F4017" s="54">
        <f>IF(_imp!$C$4019="","",INDEX(_imp!$I$4:$I$4503,_imp!$C$4019))</f>
        <v/>
      </c>
      <c r="G4017" s="54">
        <f>IF(_imp!$C$4019="","",INDEX(_imp!$J$4:$J$4503,_imp!$C$4019))</f>
        <v/>
      </c>
      <c r="K4017" s="54">
        <f>IF(_imp!$C$4019="","",INDEX(_imp!$K$4:$K$4503,_imp!$C$4019))</f>
        <v/>
      </c>
    </row>
    <row r="4018">
      <c r="A4018" s="54">
        <f>IF(_imp!$C$4020="","",INDEX(_imp!$D$4:$D$4503,_imp!$C$4020))</f>
        <v/>
      </c>
      <c r="B4018" s="54">
        <f>IF(_imp!$C$4020="","",INDEX(_imp!$E$4:$E$4503,_imp!$C$4020))</f>
        <v/>
      </c>
      <c r="C4018" s="54">
        <f>IF(_imp!$C$4020="","",INDEX(_imp!$F$4:$F$4503,_imp!$C$4020))</f>
        <v/>
      </c>
      <c r="D4018" s="54">
        <f>IF(_imp!$C$4020="","",INDEX(_imp!$G$4:$G$4503,_imp!$C$4020))</f>
        <v/>
      </c>
      <c r="E4018" s="54">
        <f>IF(_imp!$C$4020="","",INDEX(_imp!$H$4:$H$4503,_imp!$C$4020))</f>
        <v/>
      </c>
      <c r="F4018" s="54">
        <f>IF(_imp!$C$4020="","",INDEX(_imp!$I$4:$I$4503,_imp!$C$4020))</f>
        <v/>
      </c>
      <c r="G4018" s="54">
        <f>IF(_imp!$C$4020="","",INDEX(_imp!$J$4:$J$4503,_imp!$C$4020))</f>
        <v/>
      </c>
      <c r="K4018" s="54">
        <f>IF(_imp!$C$4020="","",INDEX(_imp!$K$4:$K$4503,_imp!$C$4020))</f>
        <v/>
      </c>
    </row>
    <row r="4019">
      <c r="A4019" s="54">
        <f>IF(_imp!$C$4021="","",INDEX(_imp!$D$4:$D$4503,_imp!$C$4021))</f>
        <v/>
      </c>
      <c r="B4019" s="54">
        <f>IF(_imp!$C$4021="","",INDEX(_imp!$E$4:$E$4503,_imp!$C$4021))</f>
        <v/>
      </c>
      <c r="C4019" s="54">
        <f>IF(_imp!$C$4021="","",INDEX(_imp!$F$4:$F$4503,_imp!$C$4021))</f>
        <v/>
      </c>
      <c r="D4019" s="54">
        <f>IF(_imp!$C$4021="","",INDEX(_imp!$G$4:$G$4503,_imp!$C$4021))</f>
        <v/>
      </c>
      <c r="E4019" s="54">
        <f>IF(_imp!$C$4021="","",INDEX(_imp!$H$4:$H$4503,_imp!$C$4021))</f>
        <v/>
      </c>
      <c r="F4019" s="54">
        <f>IF(_imp!$C$4021="","",INDEX(_imp!$I$4:$I$4503,_imp!$C$4021))</f>
        <v/>
      </c>
      <c r="G4019" s="54">
        <f>IF(_imp!$C$4021="","",INDEX(_imp!$J$4:$J$4503,_imp!$C$4021))</f>
        <v/>
      </c>
      <c r="K4019" s="54">
        <f>IF(_imp!$C$4021="","",INDEX(_imp!$K$4:$K$4503,_imp!$C$4021))</f>
        <v/>
      </c>
    </row>
    <row r="4020">
      <c r="A4020" s="54">
        <f>IF(_imp!$C$4022="","",INDEX(_imp!$D$4:$D$4503,_imp!$C$4022))</f>
        <v/>
      </c>
      <c r="B4020" s="54">
        <f>IF(_imp!$C$4022="","",INDEX(_imp!$E$4:$E$4503,_imp!$C$4022))</f>
        <v/>
      </c>
      <c r="C4020" s="54">
        <f>IF(_imp!$C$4022="","",INDEX(_imp!$F$4:$F$4503,_imp!$C$4022))</f>
        <v/>
      </c>
      <c r="D4020" s="54">
        <f>IF(_imp!$C$4022="","",INDEX(_imp!$G$4:$G$4503,_imp!$C$4022))</f>
        <v/>
      </c>
      <c r="E4020" s="54">
        <f>IF(_imp!$C$4022="","",INDEX(_imp!$H$4:$H$4503,_imp!$C$4022))</f>
        <v/>
      </c>
      <c r="F4020" s="54">
        <f>IF(_imp!$C$4022="","",INDEX(_imp!$I$4:$I$4503,_imp!$C$4022))</f>
        <v/>
      </c>
      <c r="G4020" s="54">
        <f>IF(_imp!$C$4022="","",INDEX(_imp!$J$4:$J$4503,_imp!$C$4022))</f>
        <v/>
      </c>
      <c r="K4020" s="54">
        <f>IF(_imp!$C$4022="","",INDEX(_imp!$K$4:$K$4503,_imp!$C$4022))</f>
        <v/>
      </c>
    </row>
    <row r="4021">
      <c r="A4021" s="54">
        <f>IF(_imp!$C$4023="","",INDEX(_imp!$D$4:$D$4503,_imp!$C$4023))</f>
        <v/>
      </c>
      <c r="B4021" s="54">
        <f>IF(_imp!$C$4023="","",INDEX(_imp!$E$4:$E$4503,_imp!$C$4023))</f>
        <v/>
      </c>
      <c r="C4021" s="54">
        <f>IF(_imp!$C$4023="","",INDEX(_imp!$F$4:$F$4503,_imp!$C$4023))</f>
        <v/>
      </c>
      <c r="D4021" s="54">
        <f>IF(_imp!$C$4023="","",INDEX(_imp!$G$4:$G$4503,_imp!$C$4023))</f>
        <v/>
      </c>
      <c r="E4021" s="54">
        <f>IF(_imp!$C$4023="","",INDEX(_imp!$H$4:$H$4503,_imp!$C$4023))</f>
        <v/>
      </c>
      <c r="F4021" s="54">
        <f>IF(_imp!$C$4023="","",INDEX(_imp!$I$4:$I$4503,_imp!$C$4023))</f>
        <v/>
      </c>
      <c r="G4021" s="54">
        <f>IF(_imp!$C$4023="","",INDEX(_imp!$J$4:$J$4503,_imp!$C$4023))</f>
        <v/>
      </c>
      <c r="K4021" s="54">
        <f>IF(_imp!$C$4023="","",INDEX(_imp!$K$4:$K$4503,_imp!$C$4023))</f>
        <v/>
      </c>
    </row>
    <row r="4022">
      <c r="A4022" s="54">
        <f>IF(_imp!$C$4024="","",INDEX(_imp!$D$4:$D$4503,_imp!$C$4024))</f>
        <v/>
      </c>
      <c r="B4022" s="54">
        <f>IF(_imp!$C$4024="","",INDEX(_imp!$E$4:$E$4503,_imp!$C$4024))</f>
        <v/>
      </c>
      <c r="C4022" s="54">
        <f>IF(_imp!$C$4024="","",INDEX(_imp!$F$4:$F$4503,_imp!$C$4024))</f>
        <v/>
      </c>
      <c r="D4022" s="54">
        <f>IF(_imp!$C$4024="","",INDEX(_imp!$G$4:$G$4503,_imp!$C$4024))</f>
        <v/>
      </c>
      <c r="E4022" s="54">
        <f>IF(_imp!$C$4024="","",INDEX(_imp!$H$4:$H$4503,_imp!$C$4024))</f>
        <v/>
      </c>
      <c r="F4022" s="54">
        <f>IF(_imp!$C$4024="","",INDEX(_imp!$I$4:$I$4503,_imp!$C$4024))</f>
        <v/>
      </c>
      <c r="G4022" s="54">
        <f>IF(_imp!$C$4024="","",INDEX(_imp!$J$4:$J$4503,_imp!$C$4024))</f>
        <v/>
      </c>
      <c r="K4022" s="54">
        <f>IF(_imp!$C$4024="","",INDEX(_imp!$K$4:$K$4503,_imp!$C$4024))</f>
        <v/>
      </c>
    </row>
    <row r="4023">
      <c r="A4023" s="54">
        <f>IF(_imp!$C$4025="","",INDEX(_imp!$D$4:$D$4503,_imp!$C$4025))</f>
        <v/>
      </c>
      <c r="B4023" s="54">
        <f>IF(_imp!$C$4025="","",INDEX(_imp!$E$4:$E$4503,_imp!$C$4025))</f>
        <v/>
      </c>
      <c r="C4023" s="54">
        <f>IF(_imp!$C$4025="","",INDEX(_imp!$F$4:$F$4503,_imp!$C$4025))</f>
        <v/>
      </c>
      <c r="D4023" s="54">
        <f>IF(_imp!$C$4025="","",INDEX(_imp!$G$4:$G$4503,_imp!$C$4025))</f>
        <v/>
      </c>
      <c r="E4023" s="54">
        <f>IF(_imp!$C$4025="","",INDEX(_imp!$H$4:$H$4503,_imp!$C$4025))</f>
        <v/>
      </c>
      <c r="F4023" s="54">
        <f>IF(_imp!$C$4025="","",INDEX(_imp!$I$4:$I$4503,_imp!$C$4025))</f>
        <v/>
      </c>
      <c r="G4023" s="54">
        <f>IF(_imp!$C$4025="","",INDEX(_imp!$J$4:$J$4503,_imp!$C$4025))</f>
        <v/>
      </c>
      <c r="K4023" s="54">
        <f>IF(_imp!$C$4025="","",INDEX(_imp!$K$4:$K$4503,_imp!$C$4025))</f>
        <v/>
      </c>
    </row>
    <row r="4024">
      <c r="A4024" s="54">
        <f>IF(_imp!$C$4026="","",INDEX(_imp!$D$4:$D$4503,_imp!$C$4026))</f>
        <v/>
      </c>
      <c r="B4024" s="54">
        <f>IF(_imp!$C$4026="","",INDEX(_imp!$E$4:$E$4503,_imp!$C$4026))</f>
        <v/>
      </c>
      <c r="C4024" s="54">
        <f>IF(_imp!$C$4026="","",INDEX(_imp!$F$4:$F$4503,_imp!$C$4026))</f>
        <v/>
      </c>
      <c r="D4024" s="54">
        <f>IF(_imp!$C$4026="","",INDEX(_imp!$G$4:$G$4503,_imp!$C$4026))</f>
        <v/>
      </c>
      <c r="E4024" s="54">
        <f>IF(_imp!$C$4026="","",INDEX(_imp!$H$4:$H$4503,_imp!$C$4026))</f>
        <v/>
      </c>
      <c r="F4024" s="54">
        <f>IF(_imp!$C$4026="","",INDEX(_imp!$I$4:$I$4503,_imp!$C$4026))</f>
        <v/>
      </c>
      <c r="G4024" s="54">
        <f>IF(_imp!$C$4026="","",INDEX(_imp!$J$4:$J$4503,_imp!$C$4026))</f>
        <v/>
      </c>
      <c r="K4024" s="54">
        <f>IF(_imp!$C$4026="","",INDEX(_imp!$K$4:$K$4503,_imp!$C$4026))</f>
        <v/>
      </c>
    </row>
    <row r="4025">
      <c r="A4025" s="54">
        <f>IF(_imp!$C$4027="","",INDEX(_imp!$D$4:$D$4503,_imp!$C$4027))</f>
        <v/>
      </c>
      <c r="B4025" s="54">
        <f>IF(_imp!$C$4027="","",INDEX(_imp!$E$4:$E$4503,_imp!$C$4027))</f>
        <v/>
      </c>
      <c r="C4025" s="54">
        <f>IF(_imp!$C$4027="","",INDEX(_imp!$F$4:$F$4503,_imp!$C$4027))</f>
        <v/>
      </c>
      <c r="D4025" s="54">
        <f>IF(_imp!$C$4027="","",INDEX(_imp!$G$4:$G$4503,_imp!$C$4027))</f>
        <v/>
      </c>
      <c r="E4025" s="54">
        <f>IF(_imp!$C$4027="","",INDEX(_imp!$H$4:$H$4503,_imp!$C$4027))</f>
        <v/>
      </c>
      <c r="F4025" s="54">
        <f>IF(_imp!$C$4027="","",INDEX(_imp!$I$4:$I$4503,_imp!$C$4027))</f>
        <v/>
      </c>
      <c r="G4025" s="54">
        <f>IF(_imp!$C$4027="","",INDEX(_imp!$J$4:$J$4503,_imp!$C$4027))</f>
        <v/>
      </c>
      <c r="K4025" s="54">
        <f>IF(_imp!$C$4027="","",INDEX(_imp!$K$4:$K$4503,_imp!$C$4027))</f>
        <v/>
      </c>
    </row>
    <row r="4026">
      <c r="A4026" s="54">
        <f>IF(_imp!$C$4028="","",INDEX(_imp!$D$4:$D$4503,_imp!$C$4028))</f>
        <v/>
      </c>
      <c r="B4026" s="54">
        <f>IF(_imp!$C$4028="","",INDEX(_imp!$E$4:$E$4503,_imp!$C$4028))</f>
        <v/>
      </c>
      <c r="C4026" s="54">
        <f>IF(_imp!$C$4028="","",INDEX(_imp!$F$4:$F$4503,_imp!$C$4028))</f>
        <v/>
      </c>
      <c r="D4026" s="54">
        <f>IF(_imp!$C$4028="","",INDEX(_imp!$G$4:$G$4503,_imp!$C$4028))</f>
        <v/>
      </c>
      <c r="E4026" s="54">
        <f>IF(_imp!$C$4028="","",INDEX(_imp!$H$4:$H$4503,_imp!$C$4028))</f>
        <v/>
      </c>
      <c r="F4026" s="54">
        <f>IF(_imp!$C$4028="","",INDEX(_imp!$I$4:$I$4503,_imp!$C$4028))</f>
        <v/>
      </c>
      <c r="G4026" s="54">
        <f>IF(_imp!$C$4028="","",INDEX(_imp!$J$4:$J$4503,_imp!$C$4028))</f>
        <v/>
      </c>
      <c r="K4026" s="54">
        <f>IF(_imp!$C$4028="","",INDEX(_imp!$K$4:$K$4503,_imp!$C$4028))</f>
        <v/>
      </c>
    </row>
    <row r="4027">
      <c r="A4027" s="54">
        <f>IF(_imp!$C$4029="","",INDEX(_imp!$D$4:$D$4503,_imp!$C$4029))</f>
        <v/>
      </c>
      <c r="B4027" s="54">
        <f>IF(_imp!$C$4029="","",INDEX(_imp!$E$4:$E$4503,_imp!$C$4029))</f>
        <v/>
      </c>
      <c r="C4027" s="54">
        <f>IF(_imp!$C$4029="","",INDEX(_imp!$F$4:$F$4503,_imp!$C$4029))</f>
        <v/>
      </c>
      <c r="D4027" s="54">
        <f>IF(_imp!$C$4029="","",INDEX(_imp!$G$4:$G$4503,_imp!$C$4029))</f>
        <v/>
      </c>
      <c r="E4027" s="54">
        <f>IF(_imp!$C$4029="","",INDEX(_imp!$H$4:$H$4503,_imp!$C$4029))</f>
        <v/>
      </c>
      <c r="F4027" s="54">
        <f>IF(_imp!$C$4029="","",INDEX(_imp!$I$4:$I$4503,_imp!$C$4029))</f>
        <v/>
      </c>
      <c r="G4027" s="54">
        <f>IF(_imp!$C$4029="","",INDEX(_imp!$J$4:$J$4503,_imp!$C$4029))</f>
        <v/>
      </c>
      <c r="K4027" s="54">
        <f>IF(_imp!$C$4029="","",INDEX(_imp!$K$4:$K$4503,_imp!$C$4029))</f>
        <v/>
      </c>
    </row>
    <row r="4028">
      <c r="A4028" s="54">
        <f>IF(_imp!$C$4030="","",INDEX(_imp!$D$4:$D$4503,_imp!$C$4030))</f>
        <v/>
      </c>
      <c r="B4028" s="54">
        <f>IF(_imp!$C$4030="","",INDEX(_imp!$E$4:$E$4503,_imp!$C$4030))</f>
        <v/>
      </c>
      <c r="C4028" s="54">
        <f>IF(_imp!$C$4030="","",INDEX(_imp!$F$4:$F$4503,_imp!$C$4030))</f>
        <v/>
      </c>
      <c r="D4028" s="54">
        <f>IF(_imp!$C$4030="","",INDEX(_imp!$G$4:$G$4503,_imp!$C$4030))</f>
        <v/>
      </c>
      <c r="E4028" s="54">
        <f>IF(_imp!$C$4030="","",INDEX(_imp!$H$4:$H$4503,_imp!$C$4030))</f>
        <v/>
      </c>
      <c r="F4028" s="54">
        <f>IF(_imp!$C$4030="","",INDEX(_imp!$I$4:$I$4503,_imp!$C$4030))</f>
        <v/>
      </c>
      <c r="G4028" s="54">
        <f>IF(_imp!$C$4030="","",INDEX(_imp!$J$4:$J$4503,_imp!$C$4030))</f>
        <v/>
      </c>
      <c r="K4028" s="54">
        <f>IF(_imp!$C$4030="","",INDEX(_imp!$K$4:$K$4503,_imp!$C$4030))</f>
        <v/>
      </c>
    </row>
    <row r="4029">
      <c r="A4029" s="54">
        <f>IF(_imp!$C$4031="","",INDEX(_imp!$D$4:$D$4503,_imp!$C$4031))</f>
        <v/>
      </c>
      <c r="B4029" s="54">
        <f>IF(_imp!$C$4031="","",INDEX(_imp!$E$4:$E$4503,_imp!$C$4031))</f>
        <v/>
      </c>
      <c r="C4029" s="54">
        <f>IF(_imp!$C$4031="","",INDEX(_imp!$F$4:$F$4503,_imp!$C$4031))</f>
        <v/>
      </c>
      <c r="D4029" s="54">
        <f>IF(_imp!$C$4031="","",INDEX(_imp!$G$4:$G$4503,_imp!$C$4031))</f>
        <v/>
      </c>
      <c r="E4029" s="54">
        <f>IF(_imp!$C$4031="","",INDEX(_imp!$H$4:$H$4503,_imp!$C$4031))</f>
        <v/>
      </c>
      <c r="F4029" s="54">
        <f>IF(_imp!$C$4031="","",INDEX(_imp!$I$4:$I$4503,_imp!$C$4031))</f>
        <v/>
      </c>
      <c r="G4029" s="54">
        <f>IF(_imp!$C$4031="","",INDEX(_imp!$J$4:$J$4503,_imp!$C$4031))</f>
        <v/>
      </c>
      <c r="K4029" s="54">
        <f>IF(_imp!$C$4031="","",INDEX(_imp!$K$4:$K$4503,_imp!$C$4031))</f>
        <v/>
      </c>
    </row>
    <row r="4030">
      <c r="A4030" s="54">
        <f>IF(_imp!$C$4032="","",INDEX(_imp!$D$4:$D$4503,_imp!$C$4032))</f>
        <v/>
      </c>
      <c r="B4030" s="54">
        <f>IF(_imp!$C$4032="","",INDEX(_imp!$E$4:$E$4503,_imp!$C$4032))</f>
        <v/>
      </c>
      <c r="C4030" s="54">
        <f>IF(_imp!$C$4032="","",INDEX(_imp!$F$4:$F$4503,_imp!$C$4032))</f>
        <v/>
      </c>
      <c r="D4030" s="54">
        <f>IF(_imp!$C$4032="","",INDEX(_imp!$G$4:$G$4503,_imp!$C$4032))</f>
        <v/>
      </c>
      <c r="E4030" s="54">
        <f>IF(_imp!$C$4032="","",INDEX(_imp!$H$4:$H$4503,_imp!$C$4032))</f>
        <v/>
      </c>
      <c r="F4030" s="54">
        <f>IF(_imp!$C$4032="","",INDEX(_imp!$I$4:$I$4503,_imp!$C$4032))</f>
        <v/>
      </c>
      <c r="G4030" s="54">
        <f>IF(_imp!$C$4032="","",INDEX(_imp!$J$4:$J$4503,_imp!$C$4032))</f>
        <v/>
      </c>
      <c r="K4030" s="54">
        <f>IF(_imp!$C$4032="","",INDEX(_imp!$K$4:$K$4503,_imp!$C$4032))</f>
        <v/>
      </c>
    </row>
    <row r="4031">
      <c r="A4031" s="54">
        <f>IF(_imp!$C$4033="","",INDEX(_imp!$D$4:$D$4503,_imp!$C$4033))</f>
        <v/>
      </c>
      <c r="B4031" s="54">
        <f>IF(_imp!$C$4033="","",INDEX(_imp!$E$4:$E$4503,_imp!$C$4033))</f>
        <v/>
      </c>
      <c r="C4031" s="54">
        <f>IF(_imp!$C$4033="","",INDEX(_imp!$F$4:$F$4503,_imp!$C$4033))</f>
        <v/>
      </c>
      <c r="D4031" s="54">
        <f>IF(_imp!$C$4033="","",INDEX(_imp!$G$4:$G$4503,_imp!$C$4033))</f>
        <v/>
      </c>
      <c r="E4031" s="54">
        <f>IF(_imp!$C$4033="","",INDEX(_imp!$H$4:$H$4503,_imp!$C$4033))</f>
        <v/>
      </c>
      <c r="F4031" s="54">
        <f>IF(_imp!$C$4033="","",INDEX(_imp!$I$4:$I$4503,_imp!$C$4033))</f>
        <v/>
      </c>
      <c r="G4031" s="54">
        <f>IF(_imp!$C$4033="","",INDEX(_imp!$J$4:$J$4503,_imp!$C$4033))</f>
        <v/>
      </c>
      <c r="K4031" s="54">
        <f>IF(_imp!$C$4033="","",INDEX(_imp!$K$4:$K$4503,_imp!$C$4033))</f>
        <v/>
      </c>
    </row>
    <row r="4032">
      <c r="A4032" s="54">
        <f>IF(_imp!$C$4034="","",INDEX(_imp!$D$4:$D$4503,_imp!$C$4034))</f>
        <v/>
      </c>
      <c r="B4032" s="54">
        <f>IF(_imp!$C$4034="","",INDEX(_imp!$E$4:$E$4503,_imp!$C$4034))</f>
        <v/>
      </c>
      <c r="C4032" s="54">
        <f>IF(_imp!$C$4034="","",INDEX(_imp!$F$4:$F$4503,_imp!$C$4034))</f>
        <v/>
      </c>
      <c r="D4032" s="54">
        <f>IF(_imp!$C$4034="","",INDEX(_imp!$G$4:$G$4503,_imp!$C$4034))</f>
        <v/>
      </c>
      <c r="E4032" s="54">
        <f>IF(_imp!$C$4034="","",INDEX(_imp!$H$4:$H$4503,_imp!$C$4034))</f>
        <v/>
      </c>
      <c r="F4032" s="54">
        <f>IF(_imp!$C$4034="","",INDEX(_imp!$I$4:$I$4503,_imp!$C$4034))</f>
        <v/>
      </c>
      <c r="G4032" s="54">
        <f>IF(_imp!$C$4034="","",INDEX(_imp!$J$4:$J$4503,_imp!$C$4034))</f>
        <v/>
      </c>
      <c r="K4032" s="54">
        <f>IF(_imp!$C$4034="","",INDEX(_imp!$K$4:$K$4503,_imp!$C$4034))</f>
        <v/>
      </c>
    </row>
    <row r="4033">
      <c r="A4033" s="54">
        <f>IF(_imp!$C$4035="","",INDEX(_imp!$D$4:$D$4503,_imp!$C$4035))</f>
        <v/>
      </c>
      <c r="B4033" s="54">
        <f>IF(_imp!$C$4035="","",INDEX(_imp!$E$4:$E$4503,_imp!$C$4035))</f>
        <v/>
      </c>
      <c r="C4033" s="54">
        <f>IF(_imp!$C$4035="","",INDEX(_imp!$F$4:$F$4503,_imp!$C$4035))</f>
        <v/>
      </c>
      <c r="D4033" s="54">
        <f>IF(_imp!$C$4035="","",INDEX(_imp!$G$4:$G$4503,_imp!$C$4035))</f>
        <v/>
      </c>
      <c r="E4033" s="54">
        <f>IF(_imp!$C$4035="","",INDEX(_imp!$H$4:$H$4503,_imp!$C$4035))</f>
        <v/>
      </c>
      <c r="F4033" s="54">
        <f>IF(_imp!$C$4035="","",INDEX(_imp!$I$4:$I$4503,_imp!$C$4035))</f>
        <v/>
      </c>
      <c r="G4033" s="54">
        <f>IF(_imp!$C$4035="","",INDEX(_imp!$J$4:$J$4503,_imp!$C$4035))</f>
        <v/>
      </c>
      <c r="K4033" s="54">
        <f>IF(_imp!$C$4035="","",INDEX(_imp!$K$4:$K$4503,_imp!$C$4035))</f>
        <v/>
      </c>
    </row>
    <row r="4034">
      <c r="A4034" s="54">
        <f>IF(_imp!$C$4036="","",INDEX(_imp!$D$4:$D$4503,_imp!$C$4036))</f>
        <v/>
      </c>
      <c r="B4034" s="54">
        <f>IF(_imp!$C$4036="","",INDEX(_imp!$E$4:$E$4503,_imp!$C$4036))</f>
        <v/>
      </c>
      <c r="C4034" s="54">
        <f>IF(_imp!$C$4036="","",INDEX(_imp!$F$4:$F$4503,_imp!$C$4036))</f>
        <v/>
      </c>
      <c r="D4034" s="54">
        <f>IF(_imp!$C$4036="","",INDEX(_imp!$G$4:$G$4503,_imp!$C$4036))</f>
        <v/>
      </c>
      <c r="E4034" s="54">
        <f>IF(_imp!$C$4036="","",INDEX(_imp!$H$4:$H$4503,_imp!$C$4036))</f>
        <v/>
      </c>
      <c r="F4034" s="54">
        <f>IF(_imp!$C$4036="","",INDEX(_imp!$I$4:$I$4503,_imp!$C$4036))</f>
        <v/>
      </c>
      <c r="G4034" s="54">
        <f>IF(_imp!$C$4036="","",INDEX(_imp!$J$4:$J$4503,_imp!$C$4036))</f>
        <v/>
      </c>
      <c r="K4034" s="54">
        <f>IF(_imp!$C$4036="","",INDEX(_imp!$K$4:$K$4503,_imp!$C$4036))</f>
        <v/>
      </c>
    </row>
    <row r="4035">
      <c r="A4035" s="54">
        <f>IF(_imp!$C$4037="","",INDEX(_imp!$D$4:$D$4503,_imp!$C$4037))</f>
        <v/>
      </c>
      <c r="B4035" s="54">
        <f>IF(_imp!$C$4037="","",INDEX(_imp!$E$4:$E$4503,_imp!$C$4037))</f>
        <v/>
      </c>
      <c r="C4035" s="54">
        <f>IF(_imp!$C$4037="","",INDEX(_imp!$F$4:$F$4503,_imp!$C$4037))</f>
        <v/>
      </c>
      <c r="D4035" s="54">
        <f>IF(_imp!$C$4037="","",INDEX(_imp!$G$4:$G$4503,_imp!$C$4037))</f>
        <v/>
      </c>
      <c r="E4035" s="54">
        <f>IF(_imp!$C$4037="","",INDEX(_imp!$H$4:$H$4503,_imp!$C$4037))</f>
        <v/>
      </c>
      <c r="F4035" s="54">
        <f>IF(_imp!$C$4037="","",INDEX(_imp!$I$4:$I$4503,_imp!$C$4037))</f>
        <v/>
      </c>
      <c r="G4035" s="54">
        <f>IF(_imp!$C$4037="","",INDEX(_imp!$J$4:$J$4503,_imp!$C$4037))</f>
        <v/>
      </c>
      <c r="K4035" s="54">
        <f>IF(_imp!$C$4037="","",INDEX(_imp!$K$4:$K$4503,_imp!$C$4037))</f>
        <v/>
      </c>
    </row>
    <row r="4036">
      <c r="A4036" s="54">
        <f>IF(_imp!$C$4038="","",INDEX(_imp!$D$4:$D$4503,_imp!$C$4038))</f>
        <v/>
      </c>
      <c r="B4036" s="54">
        <f>IF(_imp!$C$4038="","",INDEX(_imp!$E$4:$E$4503,_imp!$C$4038))</f>
        <v/>
      </c>
      <c r="C4036" s="54">
        <f>IF(_imp!$C$4038="","",INDEX(_imp!$F$4:$F$4503,_imp!$C$4038))</f>
        <v/>
      </c>
      <c r="D4036" s="54">
        <f>IF(_imp!$C$4038="","",INDEX(_imp!$G$4:$G$4503,_imp!$C$4038))</f>
        <v/>
      </c>
      <c r="E4036" s="54">
        <f>IF(_imp!$C$4038="","",INDEX(_imp!$H$4:$H$4503,_imp!$C$4038))</f>
        <v/>
      </c>
      <c r="F4036" s="54">
        <f>IF(_imp!$C$4038="","",INDEX(_imp!$I$4:$I$4503,_imp!$C$4038))</f>
        <v/>
      </c>
      <c r="G4036" s="54">
        <f>IF(_imp!$C$4038="","",INDEX(_imp!$J$4:$J$4503,_imp!$C$4038))</f>
        <v/>
      </c>
      <c r="K4036" s="54">
        <f>IF(_imp!$C$4038="","",INDEX(_imp!$K$4:$K$4503,_imp!$C$4038))</f>
        <v/>
      </c>
    </row>
    <row r="4037">
      <c r="A4037" s="54">
        <f>IF(_imp!$C$4039="","",INDEX(_imp!$D$4:$D$4503,_imp!$C$4039))</f>
        <v/>
      </c>
      <c r="B4037" s="54">
        <f>IF(_imp!$C$4039="","",INDEX(_imp!$E$4:$E$4503,_imp!$C$4039))</f>
        <v/>
      </c>
      <c r="C4037" s="54">
        <f>IF(_imp!$C$4039="","",INDEX(_imp!$F$4:$F$4503,_imp!$C$4039))</f>
        <v/>
      </c>
      <c r="D4037" s="54">
        <f>IF(_imp!$C$4039="","",INDEX(_imp!$G$4:$G$4503,_imp!$C$4039))</f>
        <v/>
      </c>
      <c r="E4037" s="54">
        <f>IF(_imp!$C$4039="","",INDEX(_imp!$H$4:$H$4503,_imp!$C$4039))</f>
        <v/>
      </c>
      <c r="F4037" s="54">
        <f>IF(_imp!$C$4039="","",INDEX(_imp!$I$4:$I$4503,_imp!$C$4039))</f>
        <v/>
      </c>
      <c r="G4037" s="54">
        <f>IF(_imp!$C$4039="","",INDEX(_imp!$J$4:$J$4503,_imp!$C$4039))</f>
        <v/>
      </c>
      <c r="K4037" s="54">
        <f>IF(_imp!$C$4039="","",INDEX(_imp!$K$4:$K$4503,_imp!$C$4039))</f>
        <v/>
      </c>
    </row>
    <row r="4038">
      <c r="A4038" s="54">
        <f>IF(_imp!$C$4040="","",INDEX(_imp!$D$4:$D$4503,_imp!$C$4040))</f>
        <v/>
      </c>
      <c r="B4038" s="54">
        <f>IF(_imp!$C$4040="","",INDEX(_imp!$E$4:$E$4503,_imp!$C$4040))</f>
        <v/>
      </c>
      <c r="C4038" s="54">
        <f>IF(_imp!$C$4040="","",INDEX(_imp!$F$4:$F$4503,_imp!$C$4040))</f>
        <v/>
      </c>
      <c r="D4038" s="54">
        <f>IF(_imp!$C$4040="","",INDEX(_imp!$G$4:$G$4503,_imp!$C$4040))</f>
        <v/>
      </c>
      <c r="E4038" s="54">
        <f>IF(_imp!$C$4040="","",INDEX(_imp!$H$4:$H$4503,_imp!$C$4040))</f>
        <v/>
      </c>
      <c r="F4038" s="54">
        <f>IF(_imp!$C$4040="","",INDEX(_imp!$I$4:$I$4503,_imp!$C$4040))</f>
        <v/>
      </c>
      <c r="G4038" s="54">
        <f>IF(_imp!$C$4040="","",INDEX(_imp!$J$4:$J$4503,_imp!$C$4040))</f>
        <v/>
      </c>
      <c r="K4038" s="54">
        <f>IF(_imp!$C$4040="","",INDEX(_imp!$K$4:$K$4503,_imp!$C$4040))</f>
        <v/>
      </c>
    </row>
    <row r="4039">
      <c r="A4039" s="54">
        <f>IF(_imp!$C$4041="","",INDEX(_imp!$D$4:$D$4503,_imp!$C$4041))</f>
        <v/>
      </c>
      <c r="B4039" s="54">
        <f>IF(_imp!$C$4041="","",INDEX(_imp!$E$4:$E$4503,_imp!$C$4041))</f>
        <v/>
      </c>
      <c r="C4039" s="54">
        <f>IF(_imp!$C$4041="","",INDEX(_imp!$F$4:$F$4503,_imp!$C$4041))</f>
        <v/>
      </c>
      <c r="D4039" s="54">
        <f>IF(_imp!$C$4041="","",INDEX(_imp!$G$4:$G$4503,_imp!$C$4041))</f>
        <v/>
      </c>
      <c r="E4039" s="54">
        <f>IF(_imp!$C$4041="","",INDEX(_imp!$H$4:$H$4503,_imp!$C$4041))</f>
        <v/>
      </c>
      <c r="F4039" s="54">
        <f>IF(_imp!$C$4041="","",INDEX(_imp!$I$4:$I$4503,_imp!$C$4041))</f>
        <v/>
      </c>
      <c r="G4039" s="54">
        <f>IF(_imp!$C$4041="","",INDEX(_imp!$J$4:$J$4503,_imp!$C$4041))</f>
        <v/>
      </c>
      <c r="K4039" s="54">
        <f>IF(_imp!$C$4041="","",INDEX(_imp!$K$4:$K$4503,_imp!$C$4041))</f>
        <v/>
      </c>
    </row>
    <row r="4040">
      <c r="A4040" s="54">
        <f>IF(_imp!$C$4042="","",INDEX(_imp!$D$4:$D$4503,_imp!$C$4042))</f>
        <v/>
      </c>
      <c r="B4040" s="54">
        <f>IF(_imp!$C$4042="","",INDEX(_imp!$E$4:$E$4503,_imp!$C$4042))</f>
        <v/>
      </c>
      <c r="C4040" s="54">
        <f>IF(_imp!$C$4042="","",INDEX(_imp!$F$4:$F$4503,_imp!$C$4042))</f>
        <v/>
      </c>
      <c r="D4040" s="54">
        <f>IF(_imp!$C$4042="","",INDEX(_imp!$G$4:$G$4503,_imp!$C$4042))</f>
        <v/>
      </c>
      <c r="E4040" s="54">
        <f>IF(_imp!$C$4042="","",INDEX(_imp!$H$4:$H$4503,_imp!$C$4042))</f>
        <v/>
      </c>
      <c r="F4040" s="54">
        <f>IF(_imp!$C$4042="","",INDEX(_imp!$I$4:$I$4503,_imp!$C$4042))</f>
        <v/>
      </c>
      <c r="G4040" s="54">
        <f>IF(_imp!$C$4042="","",INDEX(_imp!$J$4:$J$4503,_imp!$C$4042))</f>
        <v/>
      </c>
      <c r="K4040" s="54">
        <f>IF(_imp!$C$4042="","",INDEX(_imp!$K$4:$K$4503,_imp!$C$4042))</f>
        <v/>
      </c>
    </row>
    <row r="4041">
      <c r="A4041" s="54">
        <f>IF(_imp!$C$4043="","",INDEX(_imp!$D$4:$D$4503,_imp!$C$4043))</f>
        <v/>
      </c>
      <c r="B4041" s="54">
        <f>IF(_imp!$C$4043="","",INDEX(_imp!$E$4:$E$4503,_imp!$C$4043))</f>
        <v/>
      </c>
      <c r="C4041" s="54">
        <f>IF(_imp!$C$4043="","",INDEX(_imp!$F$4:$F$4503,_imp!$C$4043))</f>
        <v/>
      </c>
      <c r="D4041" s="54">
        <f>IF(_imp!$C$4043="","",INDEX(_imp!$G$4:$G$4503,_imp!$C$4043))</f>
        <v/>
      </c>
      <c r="E4041" s="54">
        <f>IF(_imp!$C$4043="","",INDEX(_imp!$H$4:$H$4503,_imp!$C$4043))</f>
        <v/>
      </c>
      <c r="F4041" s="54">
        <f>IF(_imp!$C$4043="","",INDEX(_imp!$I$4:$I$4503,_imp!$C$4043))</f>
        <v/>
      </c>
      <c r="G4041" s="54">
        <f>IF(_imp!$C$4043="","",INDEX(_imp!$J$4:$J$4503,_imp!$C$4043))</f>
        <v/>
      </c>
      <c r="K4041" s="54">
        <f>IF(_imp!$C$4043="","",INDEX(_imp!$K$4:$K$4503,_imp!$C$4043))</f>
        <v/>
      </c>
    </row>
    <row r="4042">
      <c r="A4042" s="54">
        <f>IF(_imp!$C$4044="","",INDEX(_imp!$D$4:$D$4503,_imp!$C$4044))</f>
        <v/>
      </c>
      <c r="B4042" s="54">
        <f>IF(_imp!$C$4044="","",INDEX(_imp!$E$4:$E$4503,_imp!$C$4044))</f>
        <v/>
      </c>
      <c r="C4042" s="54">
        <f>IF(_imp!$C$4044="","",INDEX(_imp!$F$4:$F$4503,_imp!$C$4044))</f>
        <v/>
      </c>
      <c r="D4042" s="54">
        <f>IF(_imp!$C$4044="","",INDEX(_imp!$G$4:$G$4503,_imp!$C$4044))</f>
        <v/>
      </c>
      <c r="E4042" s="54">
        <f>IF(_imp!$C$4044="","",INDEX(_imp!$H$4:$H$4503,_imp!$C$4044))</f>
        <v/>
      </c>
      <c r="F4042" s="54">
        <f>IF(_imp!$C$4044="","",INDEX(_imp!$I$4:$I$4503,_imp!$C$4044))</f>
        <v/>
      </c>
      <c r="G4042" s="54">
        <f>IF(_imp!$C$4044="","",INDEX(_imp!$J$4:$J$4503,_imp!$C$4044))</f>
        <v/>
      </c>
      <c r="K4042" s="54">
        <f>IF(_imp!$C$4044="","",INDEX(_imp!$K$4:$K$4503,_imp!$C$4044))</f>
        <v/>
      </c>
    </row>
    <row r="4043">
      <c r="A4043" s="54">
        <f>IF(_imp!$C$4045="","",INDEX(_imp!$D$4:$D$4503,_imp!$C$4045))</f>
        <v/>
      </c>
      <c r="B4043" s="54">
        <f>IF(_imp!$C$4045="","",INDEX(_imp!$E$4:$E$4503,_imp!$C$4045))</f>
        <v/>
      </c>
      <c r="C4043" s="54">
        <f>IF(_imp!$C$4045="","",INDEX(_imp!$F$4:$F$4503,_imp!$C$4045))</f>
        <v/>
      </c>
      <c r="D4043" s="54">
        <f>IF(_imp!$C$4045="","",INDEX(_imp!$G$4:$G$4503,_imp!$C$4045))</f>
        <v/>
      </c>
      <c r="E4043" s="54">
        <f>IF(_imp!$C$4045="","",INDEX(_imp!$H$4:$H$4503,_imp!$C$4045))</f>
        <v/>
      </c>
      <c r="F4043" s="54">
        <f>IF(_imp!$C$4045="","",INDEX(_imp!$I$4:$I$4503,_imp!$C$4045))</f>
        <v/>
      </c>
      <c r="G4043" s="54">
        <f>IF(_imp!$C$4045="","",INDEX(_imp!$J$4:$J$4503,_imp!$C$4045))</f>
        <v/>
      </c>
      <c r="K4043" s="54">
        <f>IF(_imp!$C$4045="","",INDEX(_imp!$K$4:$K$4503,_imp!$C$4045))</f>
        <v/>
      </c>
    </row>
    <row r="4044">
      <c r="A4044" s="54">
        <f>IF(_imp!$C$4046="","",INDEX(_imp!$D$4:$D$4503,_imp!$C$4046))</f>
        <v/>
      </c>
      <c r="B4044" s="54">
        <f>IF(_imp!$C$4046="","",INDEX(_imp!$E$4:$E$4503,_imp!$C$4046))</f>
        <v/>
      </c>
      <c r="C4044" s="54">
        <f>IF(_imp!$C$4046="","",INDEX(_imp!$F$4:$F$4503,_imp!$C$4046))</f>
        <v/>
      </c>
      <c r="D4044" s="54">
        <f>IF(_imp!$C$4046="","",INDEX(_imp!$G$4:$G$4503,_imp!$C$4046))</f>
        <v/>
      </c>
      <c r="E4044" s="54">
        <f>IF(_imp!$C$4046="","",INDEX(_imp!$H$4:$H$4503,_imp!$C$4046))</f>
        <v/>
      </c>
      <c r="F4044" s="54">
        <f>IF(_imp!$C$4046="","",INDEX(_imp!$I$4:$I$4503,_imp!$C$4046))</f>
        <v/>
      </c>
      <c r="G4044" s="54">
        <f>IF(_imp!$C$4046="","",INDEX(_imp!$J$4:$J$4503,_imp!$C$4046))</f>
        <v/>
      </c>
      <c r="K4044" s="54">
        <f>IF(_imp!$C$4046="","",INDEX(_imp!$K$4:$K$4503,_imp!$C$4046))</f>
        <v/>
      </c>
    </row>
    <row r="4045">
      <c r="A4045" s="54">
        <f>IF(_imp!$C$4047="","",INDEX(_imp!$D$4:$D$4503,_imp!$C$4047))</f>
        <v/>
      </c>
      <c r="B4045" s="54">
        <f>IF(_imp!$C$4047="","",INDEX(_imp!$E$4:$E$4503,_imp!$C$4047))</f>
        <v/>
      </c>
      <c r="C4045" s="54">
        <f>IF(_imp!$C$4047="","",INDEX(_imp!$F$4:$F$4503,_imp!$C$4047))</f>
        <v/>
      </c>
      <c r="D4045" s="54">
        <f>IF(_imp!$C$4047="","",INDEX(_imp!$G$4:$G$4503,_imp!$C$4047))</f>
        <v/>
      </c>
      <c r="E4045" s="54">
        <f>IF(_imp!$C$4047="","",INDEX(_imp!$H$4:$H$4503,_imp!$C$4047))</f>
        <v/>
      </c>
      <c r="F4045" s="54">
        <f>IF(_imp!$C$4047="","",INDEX(_imp!$I$4:$I$4503,_imp!$C$4047))</f>
        <v/>
      </c>
      <c r="G4045" s="54">
        <f>IF(_imp!$C$4047="","",INDEX(_imp!$J$4:$J$4503,_imp!$C$4047))</f>
        <v/>
      </c>
      <c r="K4045" s="54">
        <f>IF(_imp!$C$4047="","",INDEX(_imp!$K$4:$K$4503,_imp!$C$4047))</f>
        <v/>
      </c>
    </row>
    <row r="4046">
      <c r="A4046" s="54">
        <f>IF(_imp!$C$4048="","",INDEX(_imp!$D$4:$D$4503,_imp!$C$4048))</f>
        <v/>
      </c>
      <c r="B4046" s="54">
        <f>IF(_imp!$C$4048="","",INDEX(_imp!$E$4:$E$4503,_imp!$C$4048))</f>
        <v/>
      </c>
      <c r="C4046" s="54">
        <f>IF(_imp!$C$4048="","",INDEX(_imp!$F$4:$F$4503,_imp!$C$4048))</f>
        <v/>
      </c>
      <c r="D4046" s="54">
        <f>IF(_imp!$C$4048="","",INDEX(_imp!$G$4:$G$4503,_imp!$C$4048))</f>
        <v/>
      </c>
      <c r="E4046" s="54">
        <f>IF(_imp!$C$4048="","",INDEX(_imp!$H$4:$H$4503,_imp!$C$4048))</f>
        <v/>
      </c>
      <c r="F4046" s="54">
        <f>IF(_imp!$C$4048="","",INDEX(_imp!$I$4:$I$4503,_imp!$C$4048))</f>
        <v/>
      </c>
      <c r="G4046" s="54">
        <f>IF(_imp!$C$4048="","",INDEX(_imp!$J$4:$J$4503,_imp!$C$4048))</f>
        <v/>
      </c>
      <c r="K4046" s="54">
        <f>IF(_imp!$C$4048="","",INDEX(_imp!$K$4:$K$4503,_imp!$C$4048))</f>
        <v/>
      </c>
    </row>
    <row r="4047">
      <c r="A4047" s="54">
        <f>IF(_imp!$C$4049="","",INDEX(_imp!$D$4:$D$4503,_imp!$C$4049))</f>
        <v/>
      </c>
      <c r="B4047" s="54">
        <f>IF(_imp!$C$4049="","",INDEX(_imp!$E$4:$E$4503,_imp!$C$4049))</f>
        <v/>
      </c>
      <c r="C4047" s="54">
        <f>IF(_imp!$C$4049="","",INDEX(_imp!$F$4:$F$4503,_imp!$C$4049))</f>
        <v/>
      </c>
      <c r="D4047" s="54">
        <f>IF(_imp!$C$4049="","",INDEX(_imp!$G$4:$G$4503,_imp!$C$4049))</f>
        <v/>
      </c>
      <c r="E4047" s="54">
        <f>IF(_imp!$C$4049="","",INDEX(_imp!$H$4:$H$4503,_imp!$C$4049))</f>
        <v/>
      </c>
      <c r="F4047" s="54">
        <f>IF(_imp!$C$4049="","",INDEX(_imp!$I$4:$I$4503,_imp!$C$4049))</f>
        <v/>
      </c>
      <c r="G4047" s="54">
        <f>IF(_imp!$C$4049="","",INDEX(_imp!$J$4:$J$4503,_imp!$C$4049))</f>
        <v/>
      </c>
      <c r="K4047" s="54">
        <f>IF(_imp!$C$4049="","",INDEX(_imp!$K$4:$K$4503,_imp!$C$4049))</f>
        <v/>
      </c>
    </row>
    <row r="4048">
      <c r="A4048" s="54">
        <f>IF(_imp!$C$4050="","",INDEX(_imp!$D$4:$D$4503,_imp!$C$4050))</f>
        <v/>
      </c>
      <c r="B4048" s="54">
        <f>IF(_imp!$C$4050="","",INDEX(_imp!$E$4:$E$4503,_imp!$C$4050))</f>
        <v/>
      </c>
      <c r="C4048" s="54">
        <f>IF(_imp!$C$4050="","",INDEX(_imp!$F$4:$F$4503,_imp!$C$4050))</f>
        <v/>
      </c>
      <c r="D4048" s="54">
        <f>IF(_imp!$C$4050="","",INDEX(_imp!$G$4:$G$4503,_imp!$C$4050))</f>
        <v/>
      </c>
      <c r="E4048" s="54">
        <f>IF(_imp!$C$4050="","",INDEX(_imp!$H$4:$H$4503,_imp!$C$4050))</f>
        <v/>
      </c>
      <c r="F4048" s="54">
        <f>IF(_imp!$C$4050="","",INDEX(_imp!$I$4:$I$4503,_imp!$C$4050))</f>
        <v/>
      </c>
      <c r="G4048" s="54">
        <f>IF(_imp!$C$4050="","",INDEX(_imp!$J$4:$J$4503,_imp!$C$4050))</f>
        <v/>
      </c>
      <c r="K4048" s="54">
        <f>IF(_imp!$C$4050="","",INDEX(_imp!$K$4:$K$4503,_imp!$C$4050))</f>
        <v/>
      </c>
    </row>
    <row r="4049">
      <c r="A4049" s="54">
        <f>IF(_imp!$C$4051="","",INDEX(_imp!$D$4:$D$4503,_imp!$C$4051))</f>
        <v/>
      </c>
      <c r="B4049" s="54">
        <f>IF(_imp!$C$4051="","",INDEX(_imp!$E$4:$E$4503,_imp!$C$4051))</f>
        <v/>
      </c>
      <c r="C4049" s="54">
        <f>IF(_imp!$C$4051="","",INDEX(_imp!$F$4:$F$4503,_imp!$C$4051))</f>
        <v/>
      </c>
      <c r="D4049" s="54">
        <f>IF(_imp!$C$4051="","",INDEX(_imp!$G$4:$G$4503,_imp!$C$4051))</f>
        <v/>
      </c>
      <c r="E4049" s="54">
        <f>IF(_imp!$C$4051="","",INDEX(_imp!$H$4:$H$4503,_imp!$C$4051))</f>
        <v/>
      </c>
      <c r="F4049" s="54">
        <f>IF(_imp!$C$4051="","",INDEX(_imp!$I$4:$I$4503,_imp!$C$4051))</f>
        <v/>
      </c>
      <c r="G4049" s="54">
        <f>IF(_imp!$C$4051="","",INDEX(_imp!$J$4:$J$4503,_imp!$C$4051))</f>
        <v/>
      </c>
      <c r="K4049" s="54">
        <f>IF(_imp!$C$4051="","",INDEX(_imp!$K$4:$K$4503,_imp!$C$4051))</f>
        <v/>
      </c>
    </row>
    <row r="4050">
      <c r="A4050" s="54">
        <f>IF(_imp!$C$4052="","",INDEX(_imp!$D$4:$D$4503,_imp!$C$4052))</f>
        <v/>
      </c>
      <c r="B4050" s="54">
        <f>IF(_imp!$C$4052="","",INDEX(_imp!$E$4:$E$4503,_imp!$C$4052))</f>
        <v/>
      </c>
      <c r="C4050" s="54">
        <f>IF(_imp!$C$4052="","",INDEX(_imp!$F$4:$F$4503,_imp!$C$4052))</f>
        <v/>
      </c>
      <c r="D4050" s="54">
        <f>IF(_imp!$C$4052="","",INDEX(_imp!$G$4:$G$4503,_imp!$C$4052))</f>
        <v/>
      </c>
      <c r="E4050" s="54">
        <f>IF(_imp!$C$4052="","",INDEX(_imp!$H$4:$H$4503,_imp!$C$4052))</f>
        <v/>
      </c>
      <c r="F4050" s="54">
        <f>IF(_imp!$C$4052="","",INDEX(_imp!$I$4:$I$4503,_imp!$C$4052))</f>
        <v/>
      </c>
      <c r="G4050" s="54">
        <f>IF(_imp!$C$4052="","",INDEX(_imp!$J$4:$J$4503,_imp!$C$4052))</f>
        <v/>
      </c>
      <c r="K4050" s="54">
        <f>IF(_imp!$C$4052="","",INDEX(_imp!$K$4:$K$4503,_imp!$C$4052))</f>
        <v/>
      </c>
    </row>
    <row r="4051">
      <c r="A4051" s="54">
        <f>IF(_imp!$C$4053="","",INDEX(_imp!$D$4:$D$4503,_imp!$C$4053))</f>
        <v/>
      </c>
      <c r="B4051" s="54">
        <f>IF(_imp!$C$4053="","",INDEX(_imp!$E$4:$E$4503,_imp!$C$4053))</f>
        <v/>
      </c>
      <c r="C4051" s="54">
        <f>IF(_imp!$C$4053="","",INDEX(_imp!$F$4:$F$4503,_imp!$C$4053))</f>
        <v/>
      </c>
      <c r="D4051" s="54">
        <f>IF(_imp!$C$4053="","",INDEX(_imp!$G$4:$G$4503,_imp!$C$4053))</f>
        <v/>
      </c>
      <c r="E4051" s="54">
        <f>IF(_imp!$C$4053="","",INDEX(_imp!$H$4:$H$4503,_imp!$C$4053))</f>
        <v/>
      </c>
      <c r="F4051" s="54">
        <f>IF(_imp!$C$4053="","",INDEX(_imp!$I$4:$I$4503,_imp!$C$4053))</f>
        <v/>
      </c>
      <c r="G4051" s="54">
        <f>IF(_imp!$C$4053="","",INDEX(_imp!$J$4:$J$4503,_imp!$C$4053))</f>
        <v/>
      </c>
      <c r="K4051" s="54">
        <f>IF(_imp!$C$4053="","",INDEX(_imp!$K$4:$K$4503,_imp!$C$4053))</f>
        <v/>
      </c>
    </row>
    <row r="4052">
      <c r="A4052" s="54">
        <f>IF(_imp!$C$4054="","",INDEX(_imp!$D$4:$D$4503,_imp!$C$4054))</f>
        <v/>
      </c>
      <c r="B4052" s="54">
        <f>IF(_imp!$C$4054="","",INDEX(_imp!$E$4:$E$4503,_imp!$C$4054))</f>
        <v/>
      </c>
      <c r="C4052" s="54">
        <f>IF(_imp!$C$4054="","",INDEX(_imp!$F$4:$F$4503,_imp!$C$4054))</f>
        <v/>
      </c>
      <c r="D4052" s="54">
        <f>IF(_imp!$C$4054="","",INDEX(_imp!$G$4:$G$4503,_imp!$C$4054))</f>
        <v/>
      </c>
      <c r="E4052" s="54">
        <f>IF(_imp!$C$4054="","",INDEX(_imp!$H$4:$H$4503,_imp!$C$4054))</f>
        <v/>
      </c>
      <c r="F4052" s="54">
        <f>IF(_imp!$C$4054="","",INDEX(_imp!$I$4:$I$4503,_imp!$C$4054))</f>
        <v/>
      </c>
      <c r="G4052" s="54">
        <f>IF(_imp!$C$4054="","",INDEX(_imp!$J$4:$J$4503,_imp!$C$4054))</f>
        <v/>
      </c>
      <c r="K4052" s="54">
        <f>IF(_imp!$C$4054="","",INDEX(_imp!$K$4:$K$4503,_imp!$C$4054))</f>
        <v/>
      </c>
    </row>
    <row r="4053">
      <c r="A4053" s="54">
        <f>IF(_imp!$C$4055="","",INDEX(_imp!$D$4:$D$4503,_imp!$C$4055))</f>
        <v/>
      </c>
      <c r="B4053" s="54">
        <f>IF(_imp!$C$4055="","",INDEX(_imp!$E$4:$E$4503,_imp!$C$4055))</f>
        <v/>
      </c>
      <c r="C4053" s="54">
        <f>IF(_imp!$C$4055="","",INDEX(_imp!$F$4:$F$4503,_imp!$C$4055))</f>
        <v/>
      </c>
      <c r="D4053" s="54">
        <f>IF(_imp!$C$4055="","",INDEX(_imp!$G$4:$G$4503,_imp!$C$4055))</f>
        <v/>
      </c>
      <c r="E4053" s="54">
        <f>IF(_imp!$C$4055="","",INDEX(_imp!$H$4:$H$4503,_imp!$C$4055))</f>
        <v/>
      </c>
      <c r="F4053" s="54">
        <f>IF(_imp!$C$4055="","",INDEX(_imp!$I$4:$I$4503,_imp!$C$4055))</f>
        <v/>
      </c>
      <c r="G4053" s="54">
        <f>IF(_imp!$C$4055="","",INDEX(_imp!$J$4:$J$4503,_imp!$C$4055))</f>
        <v/>
      </c>
      <c r="K4053" s="54">
        <f>IF(_imp!$C$4055="","",INDEX(_imp!$K$4:$K$4503,_imp!$C$4055))</f>
        <v/>
      </c>
    </row>
    <row r="4054">
      <c r="A4054" s="54">
        <f>IF(_imp!$C$4056="","",INDEX(_imp!$D$4:$D$4503,_imp!$C$4056))</f>
        <v/>
      </c>
      <c r="B4054" s="54">
        <f>IF(_imp!$C$4056="","",INDEX(_imp!$E$4:$E$4503,_imp!$C$4056))</f>
        <v/>
      </c>
      <c r="C4054" s="54">
        <f>IF(_imp!$C$4056="","",INDEX(_imp!$F$4:$F$4503,_imp!$C$4056))</f>
        <v/>
      </c>
      <c r="D4054" s="54">
        <f>IF(_imp!$C$4056="","",INDEX(_imp!$G$4:$G$4503,_imp!$C$4056))</f>
        <v/>
      </c>
      <c r="E4054" s="54">
        <f>IF(_imp!$C$4056="","",INDEX(_imp!$H$4:$H$4503,_imp!$C$4056))</f>
        <v/>
      </c>
      <c r="F4054" s="54">
        <f>IF(_imp!$C$4056="","",INDEX(_imp!$I$4:$I$4503,_imp!$C$4056))</f>
        <v/>
      </c>
      <c r="G4054" s="54">
        <f>IF(_imp!$C$4056="","",INDEX(_imp!$J$4:$J$4503,_imp!$C$4056))</f>
        <v/>
      </c>
      <c r="K4054" s="54">
        <f>IF(_imp!$C$4056="","",INDEX(_imp!$K$4:$K$4503,_imp!$C$4056))</f>
        <v/>
      </c>
    </row>
    <row r="4055">
      <c r="A4055" s="54">
        <f>IF(_imp!$C$4057="","",INDEX(_imp!$D$4:$D$4503,_imp!$C$4057))</f>
        <v/>
      </c>
      <c r="B4055" s="54">
        <f>IF(_imp!$C$4057="","",INDEX(_imp!$E$4:$E$4503,_imp!$C$4057))</f>
        <v/>
      </c>
      <c r="C4055" s="54">
        <f>IF(_imp!$C$4057="","",INDEX(_imp!$F$4:$F$4503,_imp!$C$4057))</f>
        <v/>
      </c>
      <c r="D4055" s="54">
        <f>IF(_imp!$C$4057="","",INDEX(_imp!$G$4:$G$4503,_imp!$C$4057))</f>
        <v/>
      </c>
      <c r="E4055" s="54">
        <f>IF(_imp!$C$4057="","",INDEX(_imp!$H$4:$H$4503,_imp!$C$4057))</f>
        <v/>
      </c>
      <c r="F4055" s="54">
        <f>IF(_imp!$C$4057="","",INDEX(_imp!$I$4:$I$4503,_imp!$C$4057))</f>
        <v/>
      </c>
      <c r="G4055" s="54">
        <f>IF(_imp!$C$4057="","",INDEX(_imp!$J$4:$J$4503,_imp!$C$4057))</f>
        <v/>
      </c>
      <c r="K4055" s="54">
        <f>IF(_imp!$C$4057="","",INDEX(_imp!$K$4:$K$4503,_imp!$C$4057))</f>
        <v/>
      </c>
    </row>
    <row r="4056">
      <c r="A4056" s="54">
        <f>IF(_imp!$C$4058="","",INDEX(_imp!$D$4:$D$4503,_imp!$C$4058))</f>
        <v/>
      </c>
      <c r="B4056" s="54">
        <f>IF(_imp!$C$4058="","",INDEX(_imp!$E$4:$E$4503,_imp!$C$4058))</f>
        <v/>
      </c>
      <c r="C4056" s="54">
        <f>IF(_imp!$C$4058="","",INDEX(_imp!$F$4:$F$4503,_imp!$C$4058))</f>
        <v/>
      </c>
      <c r="D4056" s="54">
        <f>IF(_imp!$C$4058="","",INDEX(_imp!$G$4:$G$4503,_imp!$C$4058))</f>
        <v/>
      </c>
      <c r="E4056" s="54">
        <f>IF(_imp!$C$4058="","",INDEX(_imp!$H$4:$H$4503,_imp!$C$4058))</f>
        <v/>
      </c>
      <c r="F4056" s="54">
        <f>IF(_imp!$C$4058="","",INDEX(_imp!$I$4:$I$4503,_imp!$C$4058))</f>
        <v/>
      </c>
      <c r="G4056" s="54">
        <f>IF(_imp!$C$4058="","",INDEX(_imp!$J$4:$J$4503,_imp!$C$4058))</f>
        <v/>
      </c>
      <c r="K4056" s="54">
        <f>IF(_imp!$C$4058="","",INDEX(_imp!$K$4:$K$4503,_imp!$C$4058))</f>
        <v/>
      </c>
    </row>
    <row r="4057">
      <c r="A4057" s="54">
        <f>IF(_imp!$C$4059="","",INDEX(_imp!$D$4:$D$4503,_imp!$C$4059))</f>
        <v/>
      </c>
      <c r="B4057" s="54">
        <f>IF(_imp!$C$4059="","",INDEX(_imp!$E$4:$E$4503,_imp!$C$4059))</f>
        <v/>
      </c>
      <c r="C4057" s="54">
        <f>IF(_imp!$C$4059="","",INDEX(_imp!$F$4:$F$4503,_imp!$C$4059))</f>
        <v/>
      </c>
      <c r="D4057" s="54">
        <f>IF(_imp!$C$4059="","",INDEX(_imp!$G$4:$G$4503,_imp!$C$4059))</f>
        <v/>
      </c>
      <c r="E4057" s="54">
        <f>IF(_imp!$C$4059="","",INDEX(_imp!$H$4:$H$4503,_imp!$C$4059))</f>
        <v/>
      </c>
      <c r="F4057" s="54">
        <f>IF(_imp!$C$4059="","",INDEX(_imp!$I$4:$I$4503,_imp!$C$4059))</f>
        <v/>
      </c>
      <c r="G4057" s="54">
        <f>IF(_imp!$C$4059="","",INDEX(_imp!$J$4:$J$4503,_imp!$C$4059))</f>
        <v/>
      </c>
      <c r="K4057" s="54">
        <f>IF(_imp!$C$4059="","",INDEX(_imp!$K$4:$K$4503,_imp!$C$4059))</f>
        <v/>
      </c>
    </row>
    <row r="4058">
      <c r="A4058" s="54">
        <f>IF(_imp!$C$4060="","",INDEX(_imp!$D$4:$D$4503,_imp!$C$4060))</f>
        <v/>
      </c>
      <c r="B4058" s="54">
        <f>IF(_imp!$C$4060="","",INDEX(_imp!$E$4:$E$4503,_imp!$C$4060))</f>
        <v/>
      </c>
      <c r="C4058" s="54">
        <f>IF(_imp!$C$4060="","",INDEX(_imp!$F$4:$F$4503,_imp!$C$4060))</f>
        <v/>
      </c>
      <c r="D4058" s="54">
        <f>IF(_imp!$C$4060="","",INDEX(_imp!$G$4:$G$4503,_imp!$C$4060))</f>
        <v/>
      </c>
      <c r="E4058" s="54">
        <f>IF(_imp!$C$4060="","",INDEX(_imp!$H$4:$H$4503,_imp!$C$4060))</f>
        <v/>
      </c>
      <c r="F4058" s="54">
        <f>IF(_imp!$C$4060="","",INDEX(_imp!$I$4:$I$4503,_imp!$C$4060))</f>
        <v/>
      </c>
      <c r="G4058" s="54">
        <f>IF(_imp!$C$4060="","",INDEX(_imp!$J$4:$J$4503,_imp!$C$4060))</f>
        <v/>
      </c>
      <c r="K4058" s="54">
        <f>IF(_imp!$C$4060="","",INDEX(_imp!$K$4:$K$4503,_imp!$C$4060))</f>
        <v/>
      </c>
    </row>
    <row r="4059">
      <c r="A4059" s="54">
        <f>IF(_imp!$C$4061="","",INDEX(_imp!$D$4:$D$4503,_imp!$C$4061))</f>
        <v/>
      </c>
      <c r="B4059" s="54">
        <f>IF(_imp!$C$4061="","",INDEX(_imp!$E$4:$E$4503,_imp!$C$4061))</f>
        <v/>
      </c>
      <c r="C4059" s="54">
        <f>IF(_imp!$C$4061="","",INDEX(_imp!$F$4:$F$4503,_imp!$C$4061))</f>
        <v/>
      </c>
      <c r="D4059" s="54">
        <f>IF(_imp!$C$4061="","",INDEX(_imp!$G$4:$G$4503,_imp!$C$4061))</f>
        <v/>
      </c>
      <c r="E4059" s="54">
        <f>IF(_imp!$C$4061="","",INDEX(_imp!$H$4:$H$4503,_imp!$C$4061))</f>
        <v/>
      </c>
      <c r="F4059" s="54">
        <f>IF(_imp!$C$4061="","",INDEX(_imp!$I$4:$I$4503,_imp!$C$4061))</f>
        <v/>
      </c>
      <c r="G4059" s="54">
        <f>IF(_imp!$C$4061="","",INDEX(_imp!$J$4:$J$4503,_imp!$C$4061))</f>
        <v/>
      </c>
      <c r="K4059" s="54">
        <f>IF(_imp!$C$4061="","",INDEX(_imp!$K$4:$K$4503,_imp!$C$4061))</f>
        <v/>
      </c>
    </row>
    <row r="4060">
      <c r="A4060" s="54">
        <f>IF(_imp!$C$4062="","",INDEX(_imp!$D$4:$D$4503,_imp!$C$4062))</f>
        <v/>
      </c>
      <c r="B4060" s="54">
        <f>IF(_imp!$C$4062="","",INDEX(_imp!$E$4:$E$4503,_imp!$C$4062))</f>
        <v/>
      </c>
      <c r="C4060" s="54">
        <f>IF(_imp!$C$4062="","",INDEX(_imp!$F$4:$F$4503,_imp!$C$4062))</f>
        <v/>
      </c>
      <c r="D4060" s="54">
        <f>IF(_imp!$C$4062="","",INDEX(_imp!$G$4:$G$4503,_imp!$C$4062))</f>
        <v/>
      </c>
      <c r="E4060" s="54">
        <f>IF(_imp!$C$4062="","",INDEX(_imp!$H$4:$H$4503,_imp!$C$4062))</f>
        <v/>
      </c>
      <c r="F4060" s="54">
        <f>IF(_imp!$C$4062="","",INDEX(_imp!$I$4:$I$4503,_imp!$C$4062))</f>
        <v/>
      </c>
      <c r="G4060" s="54">
        <f>IF(_imp!$C$4062="","",INDEX(_imp!$J$4:$J$4503,_imp!$C$4062))</f>
        <v/>
      </c>
      <c r="K4060" s="54">
        <f>IF(_imp!$C$4062="","",INDEX(_imp!$K$4:$K$4503,_imp!$C$4062))</f>
        <v/>
      </c>
    </row>
    <row r="4061">
      <c r="A4061" s="54">
        <f>IF(_imp!$C$4063="","",INDEX(_imp!$D$4:$D$4503,_imp!$C$4063))</f>
        <v/>
      </c>
      <c r="B4061" s="54">
        <f>IF(_imp!$C$4063="","",INDEX(_imp!$E$4:$E$4503,_imp!$C$4063))</f>
        <v/>
      </c>
      <c r="C4061" s="54">
        <f>IF(_imp!$C$4063="","",INDEX(_imp!$F$4:$F$4503,_imp!$C$4063))</f>
        <v/>
      </c>
      <c r="D4061" s="54">
        <f>IF(_imp!$C$4063="","",INDEX(_imp!$G$4:$G$4503,_imp!$C$4063))</f>
        <v/>
      </c>
      <c r="E4061" s="54">
        <f>IF(_imp!$C$4063="","",INDEX(_imp!$H$4:$H$4503,_imp!$C$4063))</f>
        <v/>
      </c>
      <c r="F4061" s="54">
        <f>IF(_imp!$C$4063="","",INDEX(_imp!$I$4:$I$4503,_imp!$C$4063))</f>
        <v/>
      </c>
      <c r="G4061" s="54">
        <f>IF(_imp!$C$4063="","",INDEX(_imp!$J$4:$J$4503,_imp!$C$4063))</f>
        <v/>
      </c>
      <c r="K4061" s="54">
        <f>IF(_imp!$C$4063="","",INDEX(_imp!$K$4:$K$4503,_imp!$C$4063))</f>
        <v/>
      </c>
    </row>
    <row r="4062">
      <c r="A4062" s="54">
        <f>IF(_imp!$C$4064="","",INDEX(_imp!$D$4:$D$4503,_imp!$C$4064))</f>
        <v/>
      </c>
      <c r="B4062" s="54">
        <f>IF(_imp!$C$4064="","",INDEX(_imp!$E$4:$E$4503,_imp!$C$4064))</f>
        <v/>
      </c>
      <c r="C4062" s="54">
        <f>IF(_imp!$C$4064="","",INDEX(_imp!$F$4:$F$4503,_imp!$C$4064))</f>
        <v/>
      </c>
      <c r="D4062" s="54">
        <f>IF(_imp!$C$4064="","",INDEX(_imp!$G$4:$G$4503,_imp!$C$4064))</f>
        <v/>
      </c>
      <c r="E4062" s="54">
        <f>IF(_imp!$C$4064="","",INDEX(_imp!$H$4:$H$4503,_imp!$C$4064))</f>
        <v/>
      </c>
      <c r="F4062" s="54">
        <f>IF(_imp!$C$4064="","",INDEX(_imp!$I$4:$I$4503,_imp!$C$4064))</f>
        <v/>
      </c>
      <c r="G4062" s="54">
        <f>IF(_imp!$C$4064="","",INDEX(_imp!$J$4:$J$4503,_imp!$C$4064))</f>
        <v/>
      </c>
      <c r="K4062" s="54">
        <f>IF(_imp!$C$4064="","",INDEX(_imp!$K$4:$K$4503,_imp!$C$4064))</f>
        <v/>
      </c>
    </row>
    <row r="4063">
      <c r="A4063" s="54">
        <f>IF(_imp!$C$4065="","",INDEX(_imp!$D$4:$D$4503,_imp!$C$4065))</f>
        <v/>
      </c>
      <c r="B4063" s="54">
        <f>IF(_imp!$C$4065="","",INDEX(_imp!$E$4:$E$4503,_imp!$C$4065))</f>
        <v/>
      </c>
      <c r="C4063" s="54">
        <f>IF(_imp!$C$4065="","",INDEX(_imp!$F$4:$F$4503,_imp!$C$4065))</f>
        <v/>
      </c>
      <c r="D4063" s="54">
        <f>IF(_imp!$C$4065="","",INDEX(_imp!$G$4:$G$4503,_imp!$C$4065))</f>
        <v/>
      </c>
      <c r="E4063" s="54">
        <f>IF(_imp!$C$4065="","",INDEX(_imp!$H$4:$H$4503,_imp!$C$4065))</f>
        <v/>
      </c>
      <c r="F4063" s="54">
        <f>IF(_imp!$C$4065="","",INDEX(_imp!$I$4:$I$4503,_imp!$C$4065))</f>
        <v/>
      </c>
      <c r="G4063" s="54">
        <f>IF(_imp!$C$4065="","",INDEX(_imp!$J$4:$J$4503,_imp!$C$4065))</f>
        <v/>
      </c>
      <c r="K4063" s="54">
        <f>IF(_imp!$C$4065="","",INDEX(_imp!$K$4:$K$4503,_imp!$C$4065))</f>
        <v/>
      </c>
    </row>
    <row r="4064">
      <c r="A4064" s="54">
        <f>IF(_imp!$C$4066="","",INDEX(_imp!$D$4:$D$4503,_imp!$C$4066))</f>
        <v/>
      </c>
      <c r="B4064" s="54">
        <f>IF(_imp!$C$4066="","",INDEX(_imp!$E$4:$E$4503,_imp!$C$4066))</f>
        <v/>
      </c>
      <c r="C4064" s="54">
        <f>IF(_imp!$C$4066="","",INDEX(_imp!$F$4:$F$4503,_imp!$C$4066))</f>
        <v/>
      </c>
      <c r="D4064" s="54">
        <f>IF(_imp!$C$4066="","",INDEX(_imp!$G$4:$G$4503,_imp!$C$4066))</f>
        <v/>
      </c>
      <c r="E4064" s="54">
        <f>IF(_imp!$C$4066="","",INDEX(_imp!$H$4:$H$4503,_imp!$C$4066))</f>
        <v/>
      </c>
      <c r="F4064" s="54">
        <f>IF(_imp!$C$4066="","",INDEX(_imp!$I$4:$I$4503,_imp!$C$4066))</f>
        <v/>
      </c>
      <c r="G4064" s="54">
        <f>IF(_imp!$C$4066="","",INDEX(_imp!$J$4:$J$4503,_imp!$C$4066))</f>
        <v/>
      </c>
      <c r="K4064" s="54">
        <f>IF(_imp!$C$4066="","",INDEX(_imp!$K$4:$K$4503,_imp!$C$4066))</f>
        <v/>
      </c>
    </row>
    <row r="4065">
      <c r="A4065" s="54">
        <f>IF(_imp!$C$4067="","",INDEX(_imp!$D$4:$D$4503,_imp!$C$4067))</f>
        <v/>
      </c>
      <c r="B4065" s="54">
        <f>IF(_imp!$C$4067="","",INDEX(_imp!$E$4:$E$4503,_imp!$C$4067))</f>
        <v/>
      </c>
      <c r="C4065" s="54">
        <f>IF(_imp!$C$4067="","",INDEX(_imp!$F$4:$F$4503,_imp!$C$4067))</f>
        <v/>
      </c>
      <c r="D4065" s="54">
        <f>IF(_imp!$C$4067="","",INDEX(_imp!$G$4:$G$4503,_imp!$C$4067))</f>
        <v/>
      </c>
      <c r="E4065" s="54">
        <f>IF(_imp!$C$4067="","",INDEX(_imp!$H$4:$H$4503,_imp!$C$4067))</f>
        <v/>
      </c>
      <c r="F4065" s="54">
        <f>IF(_imp!$C$4067="","",INDEX(_imp!$I$4:$I$4503,_imp!$C$4067))</f>
        <v/>
      </c>
      <c r="G4065" s="54">
        <f>IF(_imp!$C$4067="","",INDEX(_imp!$J$4:$J$4503,_imp!$C$4067))</f>
        <v/>
      </c>
      <c r="K4065" s="54">
        <f>IF(_imp!$C$4067="","",INDEX(_imp!$K$4:$K$4503,_imp!$C$4067))</f>
        <v/>
      </c>
    </row>
    <row r="4066">
      <c r="A4066" s="54">
        <f>IF(_imp!$C$4068="","",INDEX(_imp!$D$4:$D$4503,_imp!$C$4068))</f>
        <v/>
      </c>
      <c r="B4066" s="54">
        <f>IF(_imp!$C$4068="","",INDEX(_imp!$E$4:$E$4503,_imp!$C$4068))</f>
        <v/>
      </c>
      <c r="C4066" s="54">
        <f>IF(_imp!$C$4068="","",INDEX(_imp!$F$4:$F$4503,_imp!$C$4068))</f>
        <v/>
      </c>
      <c r="D4066" s="54">
        <f>IF(_imp!$C$4068="","",INDEX(_imp!$G$4:$G$4503,_imp!$C$4068))</f>
        <v/>
      </c>
      <c r="E4066" s="54">
        <f>IF(_imp!$C$4068="","",INDEX(_imp!$H$4:$H$4503,_imp!$C$4068))</f>
        <v/>
      </c>
      <c r="F4066" s="54">
        <f>IF(_imp!$C$4068="","",INDEX(_imp!$I$4:$I$4503,_imp!$C$4068))</f>
        <v/>
      </c>
      <c r="G4066" s="54">
        <f>IF(_imp!$C$4068="","",INDEX(_imp!$J$4:$J$4503,_imp!$C$4068))</f>
        <v/>
      </c>
      <c r="K4066" s="54">
        <f>IF(_imp!$C$4068="","",INDEX(_imp!$K$4:$K$4503,_imp!$C$4068))</f>
        <v/>
      </c>
    </row>
    <row r="4067">
      <c r="A4067" s="54">
        <f>IF(_imp!$C$4069="","",INDEX(_imp!$D$4:$D$4503,_imp!$C$4069))</f>
        <v/>
      </c>
      <c r="B4067" s="54">
        <f>IF(_imp!$C$4069="","",INDEX(_imp!$E$4:$E$4503,_imp!$C$4069))</f>
        <v/>
      </c>
      <c r="C4067" s="54">
        <f>IF(_imp!$C$4069="","",INDEX(_imp!$F$4:$F$4503,_imp!$C$4069))</f>
        <v/>
      </c>
      <c r="D4067" s="54">
        <f>IF(_imp!$C$4069="","",INDEX(_imp!$G$4:$G$4503,_imp!$C$4069))</f>
        <v/>
      </c>
      <c r="E4067" s="54">
        <f>IF(_imp!$C$4069="","",INDEX(_imp!$H$4:$H$4503,_imp!$C$4069))</f>
        <v/>
      </c>
      <c r="F4067" s="54">
        <f>IF(_imp!$C$4069="","",INDEX(_imp!$I$4:$I$4503,_imp!$C$4069))</f>
        <v/>
      </c>
      <c r="G4067" s="54">
        <f>IF(_imp!$C$4069="","",INDEX(_imp!$J$4:$J$4503,_imp!$C$4069))</f>
        <v/>
      </c>
      <c r="K4067" s="54">
        <f>IF(_imp!$C$4069="","",INDEX(_imp!$K$4:$K$4503,_imp!$C$4069))</f>
        <v/>
      </c>
    </row>
    <row r="4068">
      <c r="A4068" s="54">
        <f>IF(_imp!$C$4070="","",INDEX(_imp!$D$4:$D$4503,_imp!$C$4070))</f>
        <v/>
      </c>
      <c r="B4068" s="54">
        <f>IF(_imp!$C$4070="","",INDEX(_imp!$E$4:$E$4503,_imp!$C$4070))</f>
        <v/>
      </c>
      <c r="C4068" s="54">
        <f>IF(_imp!$C$4070="","",INDEX(_imp!$F$4:$F$4503,_imp!$C$4070))</f>
        <v/>
      </c>
      <c r="D4068" s="54">
        <f>IF(_imp!$C$4070="","",INDEX(_imp!$G$4:$G$4503,_imp!$C$4070))</f>
        <v/>
      </c>
      <c r="E4068" s="54">
        <f>IF(_imp!$C$4070="","",INDEX(_imp!$H$4:$H$4503,_imp!$C$4070))</f>
        <v/>
      </c>
      <c r="F4068" s="54">
        <f>IF(_imp!$C$4070="","",INDEX(_imp!$I$4:$I$4503,_imp!$C$4070))</f>
        <v/>
      </c>
      <c r="G4068" s="54">
        <f>IF(_imp!$C$4070="","",INDEX(_imp!$J$4:$J$4503,_imp!$C$4070))</f>
        <v/>
      </c>
      <c r="K4068" s="54">
        <f>IF(_imp!$C$4070="","",INDEX(_imp!$K$4:$K$4503,_imp!$C$4070))</f>
        <v/>
      </c>
    </row>
    <row r="4069">
      <c r="A4069" s="54">
        <f>IF(_imp!$C$4071="","",INDEX(_imp!$D$4:$D$4503,_imp!$C$4071))</f>
        <v/>
      </c>
      <c r="B4069" s="54">
        <f>IF(_imp!$C$4071="","",INDEX(_imp!$E$4:$E$4503,_imp!$C$4071))</f>
        <v/>
      </c>
      <c r="C4069" s="54">
        <f>IF(_imp!$C$4071="","",INDEX(_imp!$F$4:$F$4503,_imp!$C$4071))</f>
        <v/>
      </c>
      <c r="D4069" s="54">
        <f>IF(_imp!$C$4071="","",INDEX(_imp!$G$4:$G$4503,_imp!$C$4071))</f>
        <v/>
      </c>
      <c r="E4069" s="54">
        <f>IF(_imp!$C$4071="","",INDEX(_imp!$H$4:$H$4503,_imp!$C$4071))</f>
        <v/>
      </c>
      <c r="F4069" s="54">
        <f>IF(_imp!$C$4071="","",INDEX(_imp!$I$4:$I$4503,_imp!$C$4071))</f>
        <v/>
      </c>
      <c r="G4069" s="54">
        <f>IF(_imp!$C$4071="","",INDEX(_imp!$J$4:$J$4503,_imp!$C$4071))</f>
        <v/>
      </c>
      <c r="K4069" s="54">
        <f>IF(_imp!$C$4071="","",INDEX(_imp!$K$4:$K$4503,_imp!$C$4071))</f>
        <v/>
      </c>
    </row>
    <row r="4070">
      <c r="A4070" s="54">
        <f>IF(_imp!$C$4072="","",INDEX(_imp!$D$4:$D$4503,_imp!$C$4072))</f>
        <v/>
      </c>
      <c r="B4070" s="54">
        <f>IF(_imp!$C$4072="","",INDEX(_imp!$E$4:$E$4503,_imp!$C$4072))</f>
        <v/>
      </c>
      <c r="C4070" s="54">
        <f>IF(_imp!$C$4072="","",INDEX(_imp!$F$4:$F$4503,_imp!$C$4072))</f>
        <v/>
      </c>
      <c r="D4070" s="54">
        <f>IF(_imp!$C$4072="","",INDEX(_imp!$G$4:$G$4503,_imp!$C$4072))</f>
        <v/>
      </c>
      <c r="E4070" s="54">
        <f>IF(_imp!$C$4072="","",INDEX(_imp!$H$4:$H$4503,_imp!$C$4072))</f>
        <v/>
      </c>
      <c r="F4070" s="54">
        <f>IF(_imp!$C$4072="","",INDEX(_imp!$I$4:$I$4503,_imp!$C$4072))</f>
        <v/>
      </c>
      <c r="G4070" s="54">
        <f>IF(_imp!$C$4072="","",INDEX(_imp!$J$4:$J$4503,_imp!$C$4072))</f>
        <v/>
      </c>
      <c r="K4070" s="54">
        <f>IF(_imp!$C$4072="","",INDEX(_imp!$K$4:$K$4503,_imp!$C$4072))</f>
        <v/>
      </c>
    </row>
    <row r="4071">
      <c r="A4071" s="54">
        <f>IF(_imp!$C$4073="","",INDEX(_imp!$D$4:$D$4503,_imp!$C$4073))</f>
        <v/>
      </c>
      <c r="B4071" s="54">
        <f>IF(_imp!$C$4073="","",INDEX(_imp!$E$4:$E$4503,_imp!$C$4073))</f>
        <v/>
      </c>
      <c r="C4071" s="54">
        <f>IF(_imp!$C$4073="","",INDEX(_imp!$F$4:$F$4503,_imp!$C$4073))</f>
        <v/>
      </c>
      <c r="D4071" s="54">
        <f>IF(_imp!$C$4073="","",INDEX(_imp!$G$4:$G$4503,_imp!$C$4073))</f>
        <v/>
      </c>
      <c r="E4071" s="54">
        <f>IF(_imp!$C$4073="","",INDEX(_imp!$H$4:$H$4503,_imp!$C$4073))</f>
        <v/>
      </c>
      <c r="F4071" s="54">
        <f>IF(_imp!$C$4073="","",INDEX(_imp!$I$4:$I$4503,_imp!$C$4073))</f>
        <v/>
      </c>
      <c r="G4071" s="54">
        <f>IF(_imp!$C$4073="","",INDEX(_imp!$J$4:$J$4503,_imp!$C$4073))</f>
        <v/>
      </c>
      <c r="K4071" s="54">
        <f>IF(_imp!$C$4073="","",INDEX(_imp!$K$4:$K$4503,_imp!$C$4073))</f>
        <v/>
      </c>
    </row>
    <row r="4072">
      <c r="A4072" s="54">
        <f>IF(_imp!$C$4074="","",INDEX(_imp!$D$4:$D$4503,_imp!$C$4074))</f>
        <v/>
      </c>
      <c r="B4072" s="54">
        <f>IF(_imp!$C$4074="","",INDEX(_imp!$E$4:$E$4503,_imp!$C$4074))</f>
        <v/>
      </c>
      <c r="C4072" s="54">
        <f>IF(_imp!$C$4074="","",INDEX(_imp!$F$4:$F$4503,_imp!$C$4074))</f>
        <v/>
      </c>
      <c r="D4072" s="54">
        <f>IF(_imp!$C$4074="","",INDEX(_imp!$G$4:$G$4503,_imp!$C$4074))</f>
        <v/>
      </c>
      <c r="E4072" s="54">
        <f>IF(_imp!$C$4074="","",INDEX(_imp!$H$4:$H$4503,_imp!$C$4074))</f>
        <v/>
      </c>
      <c r="F4072" s="54">
        <f>IF(_imp!$C$4074="","",INDEX(_imp!$I$4:$I$4503,_imp!$C$4074))</f>
        <v/>
      </c>
      <c r="G4072" s="54">
        <f>IF(_imp!$C$4074="","",INDEX(_imp!$J$4:$J$4503,_imp!$C$4074))</f>
        <v/>
      </c>
      <c r="K4072" s="54">
        <f>IF(_imp!$C$4074="","",INDEX(_imp!$K$4:$K$4503,_imp!$C$4074))</f>
        <v/>
      </c>
    </row>
    <row r="4073">
      <c r="A4073" s="54">
        <f>IF(_imp!$C$4075="","",INDEX(_imp!$D$4:$D$4503,_imp!$C$4075))</f>
        <v/>
      </c>
      <c r="B4073" s="54">
        <f>IF(_imp!$C$4075="","",INDEX(_imp!$E$4:$E$4503,_imp!$C$4075))</f>
        <v/>
      </c>
      <c r="C4073" s="54">
        <f>IF(_imp!$C$4075="","",INDEX(_imp!$F$4:$F$4503,_imp!$C$4075))</f>
        <v/>
      </c>
      <c r="D4073" s="54">
        <f>IF(_imp!$C$4075="","",INDEX(_imp!$G$4:$G$4503,_imp!$C$4075))</f>
        <v/>
      </c>
      <c r="E4073" s="54">
        <f>IF(_imp!$C$4075="","",INDEX(_imp!$H$4:$H$4503,_imp!$C$4075))</f>
        <v/>
      </c>
      <c r="F4073" s="54">
        <f>IF(_imp!$C$4075="","",INDEX(_imp!$I$4:$I$4503,_imp!$C$4075))</f>
        <v/>
      </c>
      <c r="G4073" s="54">
        <f>IF(_imp!$C$4075="","",INDEX(_imp!$J$4:$J$4503,_imp!$C$4075))</f>
        <v/>
      </c>
      <c r="K4073" s="54">
        <f>IF(_imp!$C$4075="","",INDEX(_imp!$K$4:$K$4503,_imp!$C$4075))</f>
        <v/>
      </c>
    </row>
    <row r="4074">
      <c r="A4074" s="54">
        <f>IF(_imp!$C$4076="","",INDEX(_imp!$D$4:$D$4503,_imp!$C$4076))</f>
        <v/>
      </c>
      <c r="B4074" s="54">
        <f>IF(_imp!$C$4076="","",INDEX(_imp!$E$4:$E$4503,_imp!$C$4076))</f>
        <v/>
      </c>
      <c r="C4074" s="54">
        <f>IF(_imp!$C$4076="","",INDEX(_imp!$F$4:$F$4503,_imp!$C$4076))</f>
        <v/>
      </c>
      <c r="D4074" s="54">
        <f>IF(_imp!$C$4076="","",INDEX(_imp!$G$4:$G$4503,_imp!$C$4076))</f>
        <v/>
      </c>
      <c r="E4074" s="54">
        <f>IF(_imp!$C$4076="","",INDEX(_imp!$H$4:$H$4503,_imp!$C$4076))</f>
        <v/>
      </c>
      <c r="F4074" s="54">
        <f>IF(_imp!$C$4076="","",INDEX(_imp!$I$4:$I$4503,_imp!$C$4076))</f>
        <v/>
      </c>
      <c r="G4074" s="54">
        <f>IF(_imp!$C$4076="","",INDEX(_imp!$J$4:$J$4503,_imp!$C$4076))</f>
        <v/>
      </c>
      <c r="K4074" s="54">
        <f>IF(_imp!$C$4076="","",INDEX(_imp!$K$4:$K$4503,_imp!$C$4076))</f>
        <v/>
      </c>
    </row>
    <row r="4075">
      <c r="A4075" s="54">
        <f>IF(_imp!$C$4077="","",INDEX(_imp!$D$4:$D$4503,_imp!$C$4077))</f>
        <v/>
      </c>
      <c r="B4075" s="54">
        <f>IF(_imp!$C$4077="","",INDEX(_imp!$E$4:$E$4503,_imp!$C$4077))</f>
        <v/>
      </c>
      <c r="C4075" s="54">
        <f>IF(_imp!$C$4077="","",INDEX(_imp!$F$4:$F$4503,_imp!$C$4077))</f>
        <v/>
      </c>
      <c r="D4075" s="54">
        <f>IF(_imp!$C$4077="","",INDEX(_imp!$G$4:$G$4503,_imp!$C$4077))</f>
        <v/>
      </c>
      <c r="E4075" s="54">
        <f>IF(_imp!$C$4077="","",INDEX(_imp!$H$4:$H$4503,_imp!$C$4077))</f>
        <v/>
      </c>
      <c r="F4075" s="54">
        <f>IF(_imp!$C$4077="","",INDEX(_imp!$I$4:$I$4503,_imp!$C$4077))</f>
        <v/>
      </c>
      <c r="G4075" s="54">
        <f>IF(_imp!$C$4077="","",INDEX(_imp!$J$4:$J$4503,_imp!$C$4077))</f>
        <v/>
      </c>
      <c r="K4075" s="54">
        <f>IF(_imp!$C$4077="","",INDEX(_imp!$K$4:$K$4503,_imp!$C$4077))</f>
        <v/>
      </c>
    </row>
    <row r="4076">
      <c r="A4076" s="54">
        <f>IF(_imp!$C$4078="","",INDEX(_imp!$D$4:$D$4503,_imp!$C$4078))</f>
        <v/>
      </c>
      <c r="B4076" s="54">
        <f>IF(_imp!$C$4078="","",INDEX(_imp!$E$4:$E$4503,_imp!$C$4078))</f>
        <v/>
      </c>
      <c r="C4076" s="54">
        <f>IF(_imp!$C$4078="","",INDEX(_imp!$F$4:$F$4503,_imp!$C$4078))</f>
        <v/>
      </c>
      <c r="D4076" s="54">
        <f>IF(_imp!$C$4078="","",INDEX(_imp!$G$4:$G$4503,_imp!$C$4078))</f>
        <v/>
      </c>
      <c r="E4076" s="54">
        <f>IF(_imp!$C$4078="","",INDEX(_imp!$H$4:$H$4503,_imp!$C$4078))</f>
        <v/>
      </c>
      <c r="F4076" s="54">
        <f>IF(_imp!$C$4078="","",INDEX(_imp!$I$4:$I$4503,_imp!$C$4078))</f>
        <v/>
      </c>
      <c r="G4076" s="54">
        <f>IF(_imp!$C$4078="","",INDEX(_imp!$J$4:$J$4503,_imp!$C$4078))</f>
        <v/>
      </c>
      <c r="K4076" s="54">
        <f>IF(_imp!$C$4078="","",INDEX(_imp!$K$4:$K$4503,_imp!$C$4078))</f>
        <v/>
      </c>
    </row>
    <row r="4077">
      <c r="A4077" s="54">
        <f>IF(_imp!$C$4079="","",INDEX(_imp!$D$4:$D$4503,_imp!$C$4079))</f>
        <v/>
      </c>
      <c r="B4077" s="54">
        <f>IF(_imp!$C$4079="","",INDEX(_imp!$E$4:$E$4503,_imp!$C$4079))</f>
        <v/>
      </c>
      <c r="C4077" s="54">
        <f>IF(_imp!$C$4079="","",INDEX(_imp!$F$4:$F$4503,_imp!$C$4079))</f>
        <v/>
      </c>
      <c r="D4077" s="54">
        <f>IF(_imp!$C$4079="","",INDEX(_imp!$G$4:$G$4503,_imp!$C$4079))</f>
        <v/>
      </c>
      <c r="E4077" s="54">
        <f>IF(_imp!$C$4079="","",INDEX(_imp!$H$4:$H$4503,_imp!$C$4079))</f>
        <v/>
      </c>
      <c r="F4077" s="54">
        <f>IF(_imp!$C$4079="","",INDEX(_imp!$I$4:$I$4503,_imp!$C$4079))</f>
        <v/>
      </c>
      <c r="G4077" s="54">
        <f>IF(_imp!$C$4079="","",INDEX(_imp!$J$4:$J$4503,_imp!$C$4079))</f>
        <v/>
      </c>
      <c r="K4077" s="54">
        <f>IF(_imp!$C$4079="","",INDEX(_imp!$K$4:$K$4503,_imp!$C$4079))</f>
        <v/>
      </c>
    </row>
    <row r="4078">
      <c r="A4078" s="54">
        <f>IF(_imp!$C$4080="","",INDEX(_imp!$D$4:$D$4503,_imp!$C$4080))</f>
        <v/>
      </c>
      <c r="B4078" s="54">
        <f>IF(_imp!$C$4080="","",INDEX(_imp!$E$4:$E$4503,_imp!$C$4080))</f>
        <v/>
      </c>
      <c r="C4078" s="54">
        <f>IF(_imp!$C$4080="","",INDEX(_imp!$F$4:$F$4503,_imp!$C$4080))</f>
        <v/>
      </c>
      <c r="D4078" s="54">
        <f>IF(_imp!$C$4080="","",INDEX(_imp!$G$4:$G$4503,_imp!$C$4080))</f>
        <v/>
      </c>
      <c r="E4078" s="54">
        <f>IF(_imp!$C$4080="","",INDEX(_imp!$H$4:$H$4503,_imp!$C$4080))</f>
        <v/>
      </c>
      <c r="F4078" s="54">
        <f>IF(_imp!$C$4080="","",INDEX(_imp!$I$4:$I$4503,_imp!$C$4080))</f>
        <v/>
      </c>
      <c r="G4078" s="54">
        <f>IF(_imp!$C$4080="","",INDEX(_imp!$J$4:$J$4503,_imp!$C$4080))</f>
        <v/>
      </c>
      <c r="K4078" s="54">
        <f>IF(_imp!$C$4080="","",INDEX(_imp!$K$4:$K$4503,_imp!$C$4080))</f>
        <v/>
      </c>
    </row>
    <row r="4079">
      <c r="A4079" s="54">
        <f>IF(_imp!$C$4081="","",INDEX(_imp!$D$4:$D$4503,_imp!$C$4081))</f>
        <v/>
      </c>
      <c r="B4079" s="54">
        <f>IF(_imp!$C$4081="","",INDEX(_imp!$E$4:$E$4503,_imp!$C$4081))</f>
        <v/>
      </c>
      <c r="C4079" s="54">
        <f>IF(_imp!$C$4081="","",INDEX(_imp!$F$4:$F$4503,_imp!$C$4081))</f>
        <v/>
      </c>
      <c r="D4079" s="54">
        <f>IF(_imp!$C$4081="","",INDEX(_imp!$G$4:$G$4503,_imp!$C$4081))</f>
        <v/>
      </c>
      <c r="E4079" s="54">
        <f>IF(_imp!$C$4081="","",INDEX(_imp!$H$4:$H$4503,_imp!$C$4081))</f>
        <v/>
      </c>
      <c r="F4079" s="54">
        <f>IF(_imp!$C$4081="","",INDEX(_imp!$I$4:$I$4503,_imp!$C$4081))</f>
        <v/>
      </c>
      <c r="G4079" s="54">
        <f>IF(_imp!$C$4081="","",INDEX(_imp!$J$4:$J$4503,_imp!$C$4081))</f>
        <v/>
      </c>
      <c r="K4079" s="54">
        <f>IF(_imp!$C$4081="","",INDEX(_imp!$K$4:$K$4503,_imp!$C$4081))</f>
        <v/>
      </c>
    </row>
    <row r="4080">
      <c r="A4080" s="54">
        <f>IF(_imp!$C$4082="","",INDEX(_imp!$D$4:$D$4503,_imp!$C$4082))</f>
        <v/>
      </c>
      <c r="B4080" s="54">
        <f>IF(_imp!$C$4082="","",INDEX(_imp!$E$4:$E$4503,_imp!$C$4082))</f>
        <v/>
      </c>
      <c r="C4080" s="54">
        <f>IF(_imp!$C$4082="","",INDEX(_imp!$F$4:$F$4503,_imp!$C$4082))</f>
        <v/>
      </c>
      <c r="D4080" s="54">
        <f>IF(_imp!$C$4082="","",INDEX(_imp!$G$4:$G$4503,_imp!$C$4082))</f>
        <v/>
      </c>
      <c r="E4080" s="54">
        <f>IF(_imp!$C$4082="","",INDEX(_imp!$H$4:$H$4503,_imp!$C$4082))</f>
        <v/>
      </c>
      <c r="F4080" s="54">
        <f>IF(_imp!$C$4082="","",INDEX(_imp!$I$4:$I$4503,_imp!$C$4082))</f>
        <v/>
      </c>
      <c r="G4080" s="54">
        <f>IF(_imp!$C$4082="","",INDEX(_imp!$J$4:$J$4503,_imp!$C$4082))</f>
        <v/>
      </c>
      <c r="K4080" s="54">
        <f>IF(_imp!$C$4082="","",INDEX(_imp!$K$4:$K$4503,_imp!$C$4082))</f>
        <v/>
      </c>
    </row>
    <row r="4081">
      <c r="A4081" s="54">
        <f>IF(_imp!$C$4083="","",INDEX(_imp!$D$4:$D$4503,_imp!$C$4083))</f>
        <v/>
      </c>
      <c r="B4081" s="54">
        <f>IF(_imp!$C$4083="","",INDEX(_imp!$E$4:$E$4503,_imp!$C$4083))</f>
        <v/>
      </c>
      <c r="C4081" s="54">
        <f>IF(_imp!$C$4083="","",INDEX(_imp!$F$4:$F$4503,_imp!$C$4083))</f>
        <v/>
      </c>
      <c r="D4081" s="54">
        <f>IF(_imp!$C$4083="","",INDEX(_imp!$G$4:$G$4503,_imp!$C$4083))</f>
        <v/>
      </c>
      <c r="E4081" s="54">
        <f>IF(_imp!$C$4083="","",INDEX(_imp!$H$4:$H$4503,_imp!$C$4083))</f>
        <v/>
      </c>
      <c r="F4081" s="54">
        <f>IF(_imp!$C$4083="","",INDEX(_imp!$I$4:$I$4503,_imp!$C$4083))</f>
        <v/>
      </c>
      <c r="G4081" s="54">
        <f>IF(_imp!$C$4083="","",INDEX(_imp!$J$4:$J$4503,_imp!$C$4083))</f>
        <v/>
      </c>
      <c r="K4081" s="54">
        <f>IF(_imp!$C$4083="","",INDEX(_imp!$K$4:$K$4503,_imp!$C$4083))</f>
        <v/>
      </c>
    </row>
    <row r="4082">
      <c r="A4082" s="54">
        <f>IF(_imp!$C$4084="","",INDEX(_imp!$D$4:$D$4503,_imp!$C$4084))</f>
        <v/>
      </c>
      <c r="B4082" s="54">
        <f>IF(_imp!$C$4084="","",INDEX(_imp!$E$4:$E$4503,_imp!$C$4084))</f>
        <v/>
      </c>
      <c r="C4082" s="54">
        <f>IF(_imp!$C$4084="","",INDEX(_imp!$F$4:$F$4503,_imp!$C$4084))</f>
        <v/>
      </c>
      <c r="D4082" s="54">
        <f>IF(_imp!$C$4084="","",INDEX(_imp!$G$4:$G$4503,_imp!$C$4084))</f>
        <v/>
      </c>
      <c r="E4082" s="54">
        <f>IF(_imp!$C$4084="","",INDEX(_imp!$H$4:$H$4503,_imp!$C$4084))</f>
        <v/>
      </c>
      <c r="F4082" s="54">
        <f>IF(_imp!$C$4084="","",INDEX(_imp!$I$4:$I$4503,_imp!$C$4084))</f>
        <v/>
      </c>
      <c r="G4082" s="54">
        <f>IF(_imp!$C$4084="","",INDEX(_imp!$J$4:$J$4503,_imp!$C$4084))</f>
        <v/>
      </c>
      <c r="K4082" s="54">
        <f>IF(_imp!$C$4084="","",INDEX(_imp!$K$4:$K$4503,_imp!$C$4084))</f>
        <v/>
      </c>
    </row>
    <row r="4083">
      <c r="A4083" s="54">
        <f>IF(_imp!$C$4085="","",INDEX(_imp!$D$4:$D$4503,_imp!$C$4085))</f>
        <v/>
      </c>
      <c r="B4083" s="54">
        <f>IF(_imp!$C$4085="","",INDEX(_imp!$E$4:$E$4503,_imp!$C$4085))</f>
        <v/>
      </c>
      <c r="C4083" s="54">
        <f>IF(_imp!$C$4085="","",INDEX(_imp!$F$4:$F$4503,_imp!$C$4085))</f>
        <v/>
      </c>
      <c r="D4083" s="54">
        <f>IF(_imp!$C$4085="","",INDEX(_imp!$G$4:$G$4503,_imp!$C$4085))</f>
        <v/>
      </c>
      <c r="E4083" s="54">
        <f>IF(_imp!$C$4085="","",INDEX(_imp!$H$4:$H$4503,_imp!$C$4085))</f>
        <v/>
      </c>
      <c r="F4083" s="54">
        <f>IF(_imp!$C$4085="","",INDEX(_imp!$I$4:$I$4503,_imp!$C$4085))</f>
        <v/>
      </c>
      <c r="G4083" s="54">
        <f>IF(_imp!$C$4085="","",INDEX(_imp!$J$4:$J$4503,_imp!$C$4085))</f>
        <v/>
      </c>
      <c r="K4083" s="54">
        <f>IF(_imp!$C$4085="","",INDEX(_imp!$K$4:$K$4503,_imp!$C$4085))</f>
        <v/>
      </c>
    </row>
    <row r="4084">
      <c r="A4084" s="54">
        <f>IF(_imp!$C$4086="","",INDEX(_imp!$D$4:$D$4503,_imp!$C$4086))</f>
        <v/>
      </c>
      <c r="B4084" s="54">
        <f>IF(_imp!$C$4086="","",INDEX(_imp!$E$4:$E$4503,_imp!$C$4086))</f>
        <v/>
      </c>
      <c r="C4084" s="54">
        <f>IF(_imp!$C$4086="","",INDEX(_imp!$F$4:$F$4503,_imp!$C$4086))</f>
        <v/>
      </c>
      <c r="D4084" s="54">
        <f>IF(_imp!$C$4086="","",INDEX(_imp!$G$4:$G$4503,_imp!$C$4086))</f>
        <v/>
      </c>
      <c r="E4084" s="54">
        <f>IF(_imp!$C$4086="","",INDEX(_imp!$H$4:$H$4503,_imp!$C$4086))</f>
        <v/>
      </c>
      <c r="F4084" s="54">
        <f>IF(_imp!$C$4086="","",INDEX(_imp!$I$4:$I$4503,_imp!$C$4086))</f>
        <v/>
      </c>
      <c r="G4084" s="54">
        <f>IF(_imp!$C$4086="","",INDEX(_imp!$J$4:$J$4503,_imp!$C$4086))</f>
        <v/>
      </c>
      <c r="K4084" s="54">
        <f>IF(_imp!$C$4086="","",INDEX(_imp!$K$4:$K$4503,_imp!$C$4086))</f>
        <v/>
      </c>
    </row>
    <row r="4085">
      <c r="A4085" s="54">
        <f>IF(_imp!$C$4087="","",INDEX(_imp!$D$4:$D$4503,_imp!$C$4087))</f>
        <v/>
      </c>
      <c r="B4085" s="54">
        <f>IF(_imp!$C$4087="","",INDEX(_imp!$E$4:$E$4503,_imp!$C$4087))</f>
        <v/>
      </c>
      <c r="C4085" s="54">
        <f>IF(_imp!$C$4087="","",INDEX(_imp!$F$4:$F$4503,_imp!$C$4087))</f>
        <v/>
      </c>
      <c r="D4085" s="54">
        <f>IF(_imp!$C$4087="","",INDEX(_imp!$G$4:$G$4503,_imp!$C$4087))</f>
        <v/>
      </c>
      <c r="E4085" s="54">
        <f>IF(_imp!$C$4087="","",INDEX(_imp!$H$4:$H$4503,_imp!$C$4087))</f>
        <v/>
      </c>
      <c r="F4085" s="54">
        <f>IF(_imp!$C$4087="","",INDEX(_imp!$I$4:$I$4503,_imp!$C$4087))</f>
        <v/>
      </c>
      <c r="G4085" s="54">
        <f>IF(_imp!$C$4087="","",INDEX(_imp!$J$4:$J$4503,_imp!$C$4087))</f>
        <v/>
      </c>
      <c r="K4085" s="54">
        <f>IF(_imp!$C$4087="","",INDEX(_imp!$K$4:$K$4503,_imp!$C$4087))</f>
        <v/>
      </c>
    </row>
    <row r="4086">
      <c r="A4086" s="54">
        <f>IF(_imp!$C$4088="","",INDEX(_imp!$D$4:$D$4503,_imp!$C$4088))</f>
        <v/>
      </c>
      <c r="B4086" s="54">
        <f>IF(_imp!$C$4088="","",INDEX(_imp!$E$4:$E$4503,_imp!$C$4088))</f>
        <v/>
      </c>
      <c r="C4086" s="54">
        <f>IF(_imp!$C$4088="","",INDEX(_imp!$F$4:$F$4503,_imp!$C$4088))</f>
        <v/>
      </c>
      <c r="D4086" s="54">
        <f>IF(_imp!$C$4088="","",INDEX(_imp!$G$4:$G$4503,_imp!$C$4088))</f>
        <v/>
      </c>
      <c r="E4086" s="54">
        <f>IF(_imp!$C$4088="","",INDEX(_imp!$H$4:$H$4503,_imp!$C$4088))</f>
        <v/>
      </c>
      <c r="F4086" s="54">
        <f>IF(_imp!$C$4088="","",INDEX(_imp!$I$4:$I$4503,_imp!$C$4088))</f>
        <v/>
      </c>
      <c r="G4086" s="54">
        <f>IF(_imp!$C$4088="","",INDEX(_imp!$J$4:$J$4503,_imp!$C$4088))</f>
        <v/>
      </c>
      <c r="K4086" s="54">
        <f>IF(_imp!$C$4088="","",INDEX(_imp!$K$4:$K$4503,_imp!$C$4088))</f>
        <v/>
      </c>
    </row>
    <row r="4087">
      <c r="A4087" s="54">
        <f>IF(_imp!$C$4089="","",INDEX(_imp!$D$4:$D$4503,_imp!$C$4089))</f>
        <v/>
      </c>
      <c r="B4087" s="54">
        <f>IF(_imp!$C$4089="","",INDEX(_imp!$E$4:$E$4503,_imp!$C$4089))</f>
        <v/>
      </c>
      <c r="C4087" s="54">
        <f>IF(_imp!$C$4089="","",INDEX(_imp!$F$4:$F$4503,_imp!$C$4089))</f>
        <v/>
      </c>
      <c r="D4087" s="54">
        <f>IF(_imp!$C$4089="","",INDEX(_imp!$G$4:$G$4503,_imp!$C$4089))</f>
        <v/>
      </c>
      <c r="E4087" s="54">
        <f>IF(_imp!$C$4089="","",INDEX(_imp!$H$4:$H$4503,_imp!$C$4089))</f>
        <v/>
      </c>
      <c r="F4087" s="54">
        <f>IF(_imp!$C$4089="","",INDEX(_imp!$I$4:$I$4503,_imp!$C$4089))</f>
        <v/>
      </c>
      <c r="G4087" s="54">
        <f>IF(_imp!$C$4089="","",INDEX(_imp!$J$4:$J$4503,_imp!$C$4089))</f>
        <v/>
      </c>
      <c r="K4087" s="54">
        <f>IF(_imp!$C$4089="","",INDEX(_imp!$K$4:$K$4503,_imp!$C$4089))</f>
        <v/>
      </c>
    </row>
    <row r="4088">
      <c r="A4088" s="54">
        <f>IF(_imp!$C$4090="","",INDEX(_imp!$D$4:$D$4503,_imp!$C$4090))</f>
        <v/>
      </c>
      <c r="B4088" s="54">
        <f>IF(_imp!$C$4090="","",INDEX(_imp!$E$4:$E$4503,_imp!$C$4090))</f>
        <v/>
      </c>
      <c r="C4088" s="54">
        <f>IF(_imp!$C$4090="","",INDEX(_imp!$F$4:$F$4503,_imp!$C$4090))</f>
        <v/>
      </c>
      <c r="D4088" s="54">
        <f>IF(_imp!$C$4090="","",INDEX(_imp!$G$4:$G$4503,_imp!$C$4090))</f>
        <v/>
      </c>
      <c r="E4088" s="54">
        <f>IF(_imp!$C$4090="","",INDEX(_imp!$H$4:$H$4503,_imp!$C$4090))</f>
        <v/>
      </c>
      <c r="F4088" s="54">
        <f>IF(_imp!$C$4090="","",INDEX(_imp!$I$4:$I$4503,_imp!$C$4090))</f>
        <v/>
      </c>
      <c r="G4088" s="54">
        <f>IF(_imp!$C$4090="","",INDEX(_imp!$J$4:$J$4503,_imp!$C$4090))</f>
        <v/>
      </c>
      <c r="K4088" s="54">
        <f>IF(_imp!$C$4090="","",INDEX(_imp!$K$4:$K$4503,_imp!$C$4090))</f>
        <v/>
      </c>
    </row>
    <row r="4089">
      <c r="A4089" s="54">
        <f>IF(_imp!$C$4091="","",INDEX(_imp!$D$4:$D$4503,_imp!$C$4091))</f>
        <v/>
      </c>
      <c r="B4089" s="54">
        <f>IF(_imp!$C$4091="","",INDEX(_imp!$E$4:$E$4503,_imp!$C$4091))</f>
        <v/>
      </c>
      <c r="C4089" s="54">
        <f>IF(_imp!$C$4091="","",INDEX(_imp!$F$4:$F$4503,_imp!$C$4091))</f>
        <v/>
      </c>
      <c r="D4089" s="54">
        <f>IF(_imp!$C$4091="","",INDEX(_imp!$G$4:$G$4503,_imp!$C$4091))</f>
        <v/>
      </c>
      <c r="E4089" s="54">
        <f>IF(_imp!$C$4091="","",INDEX(_imp!$H$4:$H$4503,_imp!$C$4091))</f>
        <v/>
      </c>
      <c r="F4089" s="54">
        <f>IF(_imp!$C$4091="","",INDEX(_imp!$I$4:$I$4503,_imp!$C$4091))</f>
        <v/>
      </c>
      <c r="G4089" s="54">
        <f>IF(_imp!$C$4091="","",INDEX(_imp!$J$4:$J$4503,_imp!$C$4091))</f>
        <v/>
      </c>
      <c r="K4089" s="54">
        <f>IF(_imp!$C$4091="","",INDEX(_imp!$K$4:$K$4503,_imp!$C$4091))</f>
        <v/>
      </c>
    </row>
    <row r="4090">
      <c r="A4090" s="54">
        <f>IF(_imp!$C$4092="","",INDEX(_imp!$D$4:$D$4503,_imp!$C$4092))</f>
        <v/>
      </c>
      <c r="B4090" s="54">
        <f>IF(_imp!$C$4092="","",INDEX(_imp!$E$4:$E$4503,_imp!$C$4092))</f>
        <v/>
      </c>
      <c r="C4090" s="54">
        <f>IF(_imp!$C$4092="","",INDEX(_imp!$F$4:$F$4503,_imp!$C$4092))</f>
        <v/>
      </c>
      <c r="D4090" s="54">
        <f>IF(_imp!$C$4092="","",INDEX(_imp!$G$4:$G$4503,_imp!$C$4092))</f>
        <v/>
      </c>
      <c r="E4090" s="54">
        <f>IF(_imp!$C$4092="","",INDEX(_imp!$H$4:$H$4503,_imp!$C$4092))</f>
        <v/>
      </c>
      <c r="F4090" s="54">
        <f>IF(_imp!$C$4092="","",INDEX(_imp!$I$4:$I$4503,_imp!$C$4092))</f>
        <v/>
      </c>
      <c r="G4090" s="54">
        <f>IF(_imp!$C$4092="","",INDEX(_imp!$J$4:$J$4503,_imp!$C$4092))</f>
        <v/>
      </c>
      <c r="K4090" s="54">
        <f>IF(_imp!$C$4092="","",INDEX(_imp!$K$4:$K$4503,_imp!$C$4092))</f>
        <v/>
      </c>
    </row>
    <row r="4091">
      <c r="A4091" s="54">
        <f>IF(_imp!$C$4093="","",INDEX(_imp!$D$4:$D$4503,_imp!$C$4093))</f>
        <v/>
      </c>
      <c r="B4091" s="54">
        <f>IF(_imp!$C$4093="","",INDEX(_imp!$E$4:$E$4503,_imp!$C$4093))</f>
        <v/>
      </c>
      <c r="C4091" s="54">
        <f>IF(_imp!$C$4093="","",INDEX(_imp!$F$4:$F$4503,_imp!$C$4093))</f>
        <v/>
      </c>
      <c r="D4091" s="54">
        <f>IF(_imp!$C$4093="","",INDEX(_imp!$G$4:$G$4503,_imp!$C$4093))</f>
        <v/>
      </c>
      <c r="E4091" s="54">
        <f>IF(_imp!$C$4093="","",INDEX(_imp!$H$4:$H$4503,_imp!$C$4093))</f>
        <v/>
      </c>
      <c r="F4091" s="54">
        <f>IF(_imp!$C$4093="","",INDEX(_imp!$I$4:$I$4503,_imp!$C$4093))</f>
        <v/>
      </c>
      <c r="G4091" s="54">
        <f>IF(_imp!$C$4093="","",INDEX(_imp!$J$4:$J$4503,_imp!$C$4093))</f>
        <v/>
      </c>
      <c r="K4091" s="54">
        <f>IF(_imp!$C$4093="","",INDEX(_imp!$K$4:$K$4503,_imp!$C$4093))</f>
        <v/>
      </c>
    </row>
    <row r="4092">
      <c r="A4092" s="54">
        <f>IF(_imp!$C$4094="","",INDEX(_imp!$D$4:$D$4503,_imp!$C$4094))</f>
        <v/>
      </c>
      <c r="B4092" s="54">
        <f>IF(_imp!$C$4094="","",INDEX(_imp!$E$4:$E$4503,_imp!$C$4094))</f>
        <v/>
      </c>
      <c r="C4092" s="54">
        <f>IF(_imp!$C$4094="","",INDEX(_imp!$F$4:$F$4503,_imp!$C$4094))</f>
        <v/>
      </c>
      <c r="D4092" s="54">
        <f>IF(_imp!$C$4094="","",INDEX(_imp!$G$4:$G$4503,_imp!$C$4094))</f>
        <v/>
      </c>
      <c r="E4092" s="54">
        <f>IF(_imp!$C$4094="","",INDEX(_imp!$H$4:$H$4503,_imp!$C$4094))</f>
        <v/>
      </c>
      <c r="F4092" s="54">
        <f>IF(_imp!$C$4094="","",INDEX(_imp!$I$4:$I$4503,_imp!$C$4094))</f>
        <v/>
      </c>
      <c r="G4092" s="54">
        <f>IF(_imp!$C$4094="","",INDEX(_imp!$J$4:$J$4503,_imp!$C$4094))</f>
        <v/>
      </c>
      <c r="K4092" s="54">
        <f>IF(_imp!$C$4094="","",INDEX(_imp!$K$4:$K$4503,_imp!$C$4094))</f>
        <v/>
      </c>
    </row>
    <row r="4093">
      <c r="A4093" s="54">
        <f>IF(_imp!$C$4095="","",INDEX(_imp!$D$4:$D$4503,_imp!$C$4095))</f>
        <v/>
      </c>
      <c r="B4093" s="54">
        <f>IF(_imp!$C$4095="","",INDEX(_imp!$E$4:$E$4503,_imp!$C$4095))</f>
        <v/>
      </c>
      <c r="C4093" s="54">
        <f>IF(_imp!$C$4095="","",INDEX(_imp!$F$4:$F$4503,_imp!$C$4095))</f>
        <v/>
      </c>
      <c r="D4093" s="54">
        <f>IF(_imp!$C$4095="","",INDEX(_imp!$G$4:$G$4503,_imp!$C$4095))</f>
        <v/>
      </c>
      <c r="E4093" s="54">
        <f>IF(_imp!$C$4095="","",INDEX(_imp!$H$4:$H$4503,_imp!$C$4095))</f>
        <v/>
      </c>
      <c r="F4093" s="54">
        <f>IF(_imp!$C$4095="","",INDEX(_imp!$I$4:$I$4503,_imp!$C$4095))</f>
        <v/>
      </c>
      <c r="G4093" s="54">
        <f>IF(_imp!$C$4095="","",INDEX(_imp!$J$4:$J$4503,_imp!$C$4095))</f>
        <v/>
      </c>
      <c r="K4093" s="54">
        <f>IF(_imp!$C$4095="","",INDEX(_imp!$K$4:$K$4503,_imp!$C$4095))</f>
        <v/>
      </c>
    </row>
    <row r="4094">
      <c r="A4094" s="54">
        <f>IF(_imp!$C$4096="","",INDEX(_imp!$D$4:$D$4503,_imp!$C$4096))</f>
        <v/>
      </c>
      <c r="B4094" s="54">
        <f>IF(_imp!$C$4096="","",INDEX(_imp!$E$4:$E$4503,_imp!$C$4096))</f>
        <v/>
      </c>
      <c r="C4094" s="54">
        <f>IF(_imp!$C$4096="","",INDEX(_imp!$F$4:$F$4503,_imp!$C$4096))</f>
        <v/>
      </c>
      <c r="D4094" s="54">
        <f>IF(_imp!$C$4096="","",INDEX(_imp!$G$4:$G$4503,_imp!$C$4096))</f>
        <v/>
      </c>
      <c r="E4094" s="54">
        <f>IF(_imp!$C$4096="","",INDEX(_imp!$H$4:$H$4503,_imp!$C$4096))</f>
        <v/>
      </c>
      <c r="F4094" s="54">
        <f>IF(_imp!$C$4096="","",INDEX(_imp!$I$4:$I$4503,_imp!$C$4096))</f>
        <v/>
      </c>
      <c r="G4094" s="54">
        <f>IF(_imp!$C$4096="","",INDEX(_imp!$J$4:$J$4503,_imp!$C$4096))</f>
        <v/>
      </c>
      <c r="K4094" s="54">
        <f>IF(_imp!$C$4096="","",INDEX(_imp!$K$4:$K$4503,_imp!$C$4096))</f>
        <v/>
      </c>
    </row>
    <row r="4095">
      <c r="A4095" s="54">
        <f>IF(_imp!$C$4097="","",INDEX(_imp!$D$4:$D$4503,_imp!$C$4097))</f>
        <v/>
      </c>
      <c r="B4095" s="54">
        <f>IF(_imp!$C$4097="","",INDEX(_imp!$E$4:$E$4503,_imp!$C$4097))</f>
        <v/>
      </c>
      <c r="C4095" s="54">
        <f>IF(_imp!$C$4097="","",INDEX(_imp!$F$4:$F$4503,_imp!$C$4097))</f>
        <v/>
      </c>
      <c r="D4095" s="54">
        <f>IF(_imp!$C$4097="","",INDEX(_imp!$G$4:$G$4503,_imp!$C$4097))</f>
        <v/>
      </c>
      <c r="E4095" s="54">
        <f>IF(_imp!$C$4097="","",INDEX(_imp!$H$4:$H$4503,_imp!$C$4097))</f>
        <v/>
      </c>
      <c r="F4095" s="54">
        <f>IF(_imp!$C$4097="","",INDEX(_imp!$I$4:$I$4503,_imp!$C$4097))</f>
        <v/>
      </c>
      <c r="G4095" s="54">
        <f>IF(_imp!$C$4097="","",INDEX(_imp!$J$4:$J$4503,_imp!$C$4097))</f>
        <v/>
      </c>
      <c r="K4095" s="54">
        <f>IF(_imp!$C$4097="","",INDEX(_imp!$K$4:$K$4503,_imp!$C$4097))</f>
        <v/>
      </c>
    </row>
    <row r="4096">
      <c r="A4096" s="54">
        <f>IF(_imp!$C$4098="","",INDEX(_imp!$D$4:$D$4503,_imp!$C$4098))</f>
        <v/>
      </c>
      <c r="B4096" s="54">
        <f>IF(_imp!$C$4098="","",INDEX(_imp!$E$4:$E$4503,_imp!$C$4098))</f>
        <v/>
      </c>
      <c r="C4096" s="54">
        <f>IF(_imp!$C$4098="","",INDEX(_imp!$F$4:$F$4503,_imp!$C$4098))</f>
        <v/>
      </c>
      <c r="D4096" s="54">
        <f>IF(_imp!$C$4098="","",INDEX(_imp!$G$4:$G$4503,_imp!$C$4098))</f>
        <v/>
      </c>
      <c r="E4096" s="54">
        <f>IF(_imp!$C$4098="","",INDEX(_imp!$H$4:$H$4503,_imp!$C$4098))</f>
        <v/>
      </c>
      <c r="F4096" s="54">
        <f>IF(_imp!$C$4098="","",INDEX(_imp!$I$4:$I$4503,_imp!$C$4098))</f>
        <v/>
      </c>
      <c r="G4096" s="54">
        <f>IF(_imp!$C$4098="","",INDEX(_imp!$J$4:$J$4503,_imp!$C$4098))</f>
        <v/>
      </c>
      <c r="K4096" s="54">
        <f>IF(_imp!$C$4098="","",INDEX(_imp!$K$4:$K$4503,_imp!$C$4098))</f>
        <v/>
      </c>
    </row>
    <row r="4097">
      <c r="A4097" s="54">
        <f>IF(_imp!$C$4099="","",INDEX(_imp!$D$4:$D$4503,_imp!$C$4099))</f>
        <v/>
      </c>
      <c r="B4097" s="54">
        <f>IF(_imp!$C$4099="","",INDEX(_imp!$E$4:$E$4503,_imp!$C$4099))</f>
        <v/>
      </c>
      <c r="C4097" s="54">
        <f>IF(_imp!$C$4099="","",INDEX(_imp!$F$4:$F$4503,_imp!$C$4099))</f>
        <v/>
      </c>
      <c r="D4097" s="54">
        <f>IF(_imp!$C$4099="","",INDEX(_imp!$G$4:$G$4503,_imp!$C$4099))</f>
        <v/>
      </c>
      <c r="E4097" s="54">
        <f>IF(_imp!$C$4099="","",INDEX(_imp!$H$4:$H$4503,_imp!$C$4099))</f>
        <v/>
      </c>
      <c r="F4097" s="54">
        <f>IF(_imp!$C$4099="","",INDEX(_imp!$I$4:$I$4503,_imp!$C$4099))</f>
        <v/>
      </c>
      <c r="G4097" s="54">
        <f>IF(_imp!$C$4099="","",INDEX(_imp!$J$4:$J$4503,_imp!$C$4099))</f>
        <v/>
      </c>
      <c r="K4097" s="54">
        <f>IF(_imp!$C$4099="","",INDEX(_imp!$K$4:$K$4503,_imp!$C$4099))</f>
        <v/>
      </c>
    </row>
    <row r="4098">
      <c r="A4098" s="54">
        <f>IF(_imp!$C$4100="","",INDEX(_imp!$D$4:$D$4503,_imp!$C$4100))</f>
        <v/>
      </c>
      <c r="B4098" s="54">
        <f>IF(_imp!$C$4100="","",INDEX(_imp!$E$4:$E$4503,_imp!$C$4100))</f>
        <v/>
      </c>
      <c r="C4098" s="54">
        <f>IF(_imp!$C$4100="","",INDEX(_imp!$F$4:$F$4503,_imp!$C$4100))</f>
        <v/>
      </c>
      <c r="D4098" s="54">
        <f>IF(_imp!$C$4100="","",INDEX(_imp!$G$4:$G$4503,_imp!$C$4100))</f>
        <v/>
      </c>
      <c r="E4098" s="54">
        <f>IF(_imp!$C$4100="","",INDEX(_imp!$H$4:$H$4503,_imp!$C$4100))</f>
        <v/>
      </c>
      <c r="F4098" s="54">
        <f>IF(_imp!$C$4100="","",INDEX(_imp!$I$4:$I$4503,_imp!$C$4100))</f>
        <v/>
      </c>
      <c r="G4098" s="54">
        <f>IF(_imp!$C$4100="","",INDEX(_imp!$J$4:$J$4503,_imp!$C$4100))</f>
        <v/>
      </c>
      <c r="K4098" s="54">
        <f>IF(_imp!$C$4100="","",INDEX(_imp!$K$4:$K$4503,_imp!$C$4100))</f>
        <v/>
      </c>
    </row>
    <row r="4099">
      <c r="A4099" s="54">
        <f>IF(_imp!$C$4101="","",INDEX(_imp!$D$4:$D$4503,_imp!$C$4101))</f>
        <v/>
      </c>
      <c r="B4099" s="54">
        <f>IF(_imp!$C$4101="","",INDEX(_imp!$E$4:$E$4503,_imp!$C$4101))</f>
        <v/>
      </c>
      <c r="C4099" s="54">
        <f>IF(_imp!$C$4101="","",INDEX(_imp!$F$4:$F$4503,_imp!$C$4101))</f>
        <v/>
      </c>
      <c r="D4099" s="54">
        <f>IF(_imp!$C$4101="","",INDEX(_imp!$G$4:$G$4503,_imp!$C$4101))</f>
        <v/>
      </c>
      <c r="E4099" s="54">
        <f>IF(_imp!$C$4101="","",INDEX(_imp!$H$4:$H$4503,_imp!$C$4101))</f>
        <v/>
      </c>
      <c r="F4099" s="54">
        <f>IF(_imp!$C$4101="","",INDEX(_imp!$I$4:$I$4503,_imp!$C$4101))</f>
        <v/>
      </c>
      <c r="G4099" s="54">
        <f>IF(_imp!$C$4101="","",INDEX(_imp!$J$4:$J$4503,_imp!$C$4101))</f>
        <v/>
      </c>
      <c r="K4099" s="54">
        <f>IF(_imp!$C$4101="","",INDEX(_imp!$K$4:$K$4503,_imp!$C$4101))</f>
        <v/>
      </c>
    </row>
    <row r="4100">
      <c r="A4100" s="54">
        <f>IF(_imp!$C$4102="","",INDEX(_imp!$D$4:$D$4503,_imp!$C$4102))</f>
        <v/>
      </c>
      <c r="B4100" s="54">
        <f>IF(_imp!$C$4102="","",INDEX(_imp!$E$4:$E$4503,_imp!$C$4102))</f>
        <v/>
      </c>
      <c r="C4100" s="54">
        <f>IF(_imp!$C$4102="","",INDEX(_imp!$F$4:$F$4503,_imp!$C$4102))</f>
        <v/>
      </c>
      <c r="D4100" s="54">
        <f>IF(_imp!$C$4102="","",INDEX(_imp!$G$4:$G$4503,_imp!$C$4102))</f>
        <v/>
      </c>
      <c r="E4100" s="54">
        <f>IF(_imp!$C$4102="","",INDEX(_imp!$H$4:$H$4503,_imp!$C$4102))</f>
        <v/>
      </c>
      <c r="F4100" s="54">
        <f>IF(_imp!$C$4102="","",INDEX(_imp!$I$4:$I$4503,_imp!$C$4102))</f>
        <v/>
      </c>
      <c r="G4100" s="54">
        <f>IF(_imp!$C$4102="","",INDEX(_imp!$J$4:$J$4503,_imp!$C$4102))</f>
        <v/>
      </c>
      <c r="K4100" s="54">
        <f>IF(_imp!$C$4102="","",INDEX(_imp!$K$4:$K$4503,_imp!$C$4102))</f>
        <v/>
      </c>
    </row>
    <row r="4101">
      <c r="A4101" s="54">
        <f>IF(_imp!$C$4103="","",INDEX(_imp!$D$4:$D$4503,_imp!$C$4103))</f>
        <v/>
      </c>
      <c r="B4101" s="54">
        <f>IF(_imp!$C$4103="","",INDEX(_imp!$E$4:$E$4503,_imp!$C$4103))</f>
        <v/>
      </c>
      <c r="C4101" s="54">
        <f>IF(_imp!$C$4103="","",INDEX(_imp!$F$4:$F$4503,_imp!$C$4103))</f>
        <v/>
      </c>
      <c r="D4101" s="54">
        <f>IF(_imp!$C$4103="","",INDEX(_imp!$G$4:$G$4503,_imp!$C$4103))</f>
        <v/>
      </c>
      <c r="E4101" s="54">
        <f>IF(_imp!$C$4103="","",INDEX(_imp!$H$4:$H$4503,_imp!$C$4103))</f>
        <v/>
      </c>
      <c r="F4101" s="54">
        <f>IF(_imp!$C$4103="","",INDEX(_imp!$I$4:$I$4503,_imp!$C$4103))</f>
        <v/>
      </c>
      <c r="G4101" s="54">
        <f>IF(_imp!$C$4103="","",INDEX(_imp!$J$4:$J$4503,_imp!$C$4103))</f>
        <v/>
      </c>
      <c r="K4101" s="54">
        <f>IF(_imp!$C$4103="","",INDEX(_imp!$K$4:$K$4503,_imp!$C$4103))</f>
        <v/>
      </c>
    </row>
    <row r="4102">
      <c r="A4102" s="54">
        <f>IF(_imp!$C$4104="","",INDEX(_imp!$D$4:$D$4503,_imp!$C$4104))</f>
        <v/>
      </c>
      <c r="B4102" s="54">
        <f>IF(_imp!$C$4104="","",INDEX(_imp!$E$4:$E$4503,_imp!$C$4104))</f>
        <v/>
      </c>
      <c r="C4102" s="54">
        <f>IF(_imp!$C$4104="","",INDEX(_imp!$F$4:$F$4503,_imp!$C$4104))</f>
        <v/>
      </c>
      <c r="D4102" s="54">
        <f>IF(_imp!$C$4104="","",INDEX(_imp!$G$4:$G$4503,_imp!$C$4104))</f>
        <v/>
      </c>
      <c r="E4102" s="54">
        <f>IF(_imp!$C$4104="","",INDEX(_imp!$H$4:$H$4503,_imp!$C$4104))</f>
        <v/>
      </c>
      <c r="F4102" s="54">
        <f>IF(_imp!$C$4104="","",INDEX(_imp!$I$4:$I$4503,_imp!$C$4104))</f>
        <v/>
      </c>
      <c r="G4102" s="54">
        <f>IF(_imp!$C$4104="","",INDEX(_imp!$J$4:$J$4503,_imp!$C$4104))</f>
        <v/>
      </c>
      <c r="K4102" s="54">
        <f>IF(_imp!$C$4104="","",INDEX(_imp!$K$4:$K$4503,_imp!$C$4104))</f>
        <v/>
      </c>
    </row>
    <row r="4103">
      <c r="A4103" s="54">
        <f>IF(_imp!$C$4105="","",INDEX(_imp!$D$4:$D$4503,_imp!$C$4105))</f>
        <v/>
      </c>
      <c r="B4103" s="54">
        <f>IF(_imp!$C$4105="","",INDEX(_imp!$E$4:$E$4503,_imp!$C$4105))</f>
        <v/>
      </c>
      <c r="C4103" s="54">
        <f>IF(_imp!$C$4105="","",INDEX(_imp!$F$4:$F$4503,_imp!$C$4105))</f>
        <v/>
      </c>
      <c r="D4103" s="54">
        <f>IF(_imp!$C$4105="","",INDEX(_imp!$G$4:$G$4503,_imp!$C$4105))</f>
        <v/>
      </c>
      <c r="E4103" s="54">
        <f>IF(_imp!$C$4105="","",INDEX(_imp!$H$4:$H$4503,_imp!$C$4105))</f>
        <v/>
      </c>
      <c r="F4103" s="54">
        <f>IF(_imp!$C$4105="","",INDEX(_imp!$I$4:$I$4503,_imp!$C$4105))</f>
        <v/>
      </c>
      <c r="G4103" s="54">
        <f>IF(_imp!$C$4105="","",INDEX(_imp!$J$4:$J$4503,_imp!$C$4105))</f>
        <v/>
      </c>
      <c r="K4103" s="54">
        <f>IF(_imp!$C$4105="","",INDEX(_imp!$K$4:$K$4503,_imp!$C$4105))</f>
        <v/>
      </c>
    </row>
    <row r="4104">
      <c r="A4104" s="54">
        <f>IF(_imp!$C$4106="","",INDEX(_imp!$D$4:$D$4503,_imp!$C$4106))</f>
        <v/>
      </c>
      <c r="B4104" s="54">
        <f>IF(_imp!$C$4106="","",INDEX(_imp!$E$4:$E$4503,_imp!$C$4106))</f>
        <v/>
      </c>
      <c r="C4104" s="54">
        <f>IF(_imp!$C$4106="","",INDEX(_imp!$F$4:$F$4503,_imp!$C$4106))</f>
        <v/>
      </c>
      <c r="D4104" s="54">
        <f>IF(_imp!$C$4106="","",INDEX(_imp!$G$4:$G$4503,_imp!$C$4106))</f>
        <v/>
      </c>
      <c r="E4104" s="54">
        <f>IF(_imp!$C$4106="","",INDEX(_imp!$H$4:$H$4503,_imp!$C$4106))</f>
        <v/>
      </c>
      <c r="F4104" s="54">
        <f>IF(_imp!$C$4106="","",INDEX(_imp!$I$4:$I$4503,_imp!$C$4106))</f>
        <v/>
      </c>
      <c r="G4104" s="54">
        <f>IF(_imp!$C$4106="","",INDEX(_imp!$J$4:$J$4503,_imp!$C$4106))</f>
        <v/>
      </c>
      <c r="K4104" s="54">
        <f>IF(_imp!$C$4106="","",INDEX(_imp!$K$4:$K$4503,_imp!$C$4106))</f>
        <v/>
      </c>
    </row>
    <row r="4105">
      <c r="A4105" s="54">
        <f>IF(_imp!$C$4107="","",INDEX(_imp!$D$4:$D$4503,_imp!$C$4107))</f>
        <v/>
      </c>
      <c r="B4105" s="54">
        <f>IF(_imp!$C$4107="","",INDEX(_imp!$E$4:$E$4503,_imp!$C$4107))</f>
        <v/>
      </c>
      <c r="C4105" s="54">
        <f>IF(_imp!$C$4107="","",INDEX(_imp!$F$4:$F$4503,_imp!$C$4107))</f>
        <v/>
      </c>
      <c r="D4105" s="54">
        <f>IF(_imp!$C$4107="","",INDEX(_imp!$G$4:$G$4503,_imp!$C$4107))</f>
        <v/>
      </c>
      <c r="E4105" s="54">
        <f>IF(_imp!$C$4107="","",INDEX(_imp!$H$4:$H$4503,_imp!$C$4107))</f>
        <v/>
      </c>
      <c r="F4105" s="54">
        <f>IF(_imp!$C$4107="","",INDEX(_imp!$I$4:$I$4503,_imp!$C$4107))</f>
        <v/>
      </c>
      <c r="G4105" s="54">
        <f>IF(_imp!$C$4107="","",INDEX(_imp!$J$4:$J$4503,_imp!$C$4107))</f>
        <v/>
      </c>
      <c r="K4105" s="54">
        <f>IF(_imp!$C$4107="","",INDEX(_imp!$K$4:$K$4503,_imp!$C$4107))</f>
        <v/>
      </c>
    </row>
    <row r="4106">
      <c r="A4106" s="54">
        <f>IF(_imp!$C$4108="","",INDEX(_imp!$D$4:$D$4503,_imp!$C$4108))</f>
        <v/>
      </c>
      <c r="B4106" s="54">
        <f>IF(_imp!$C$4108="","",INDEX(_imp!$E$4:$E$4503,_imp!$C$4108))</f>
        <v/>
      </c>
      <c r="C4106" s="54">
        <f>IF(_imp!$C$4108="","",INDEX(_imp!$F$4:$F$4503,_imp!$C$4108))</f>
        <v/>
      </c>
      <c r="D4106" s="54">
        <f>IF(_imp!$C$4108="","",INDEX(_imp!$G$4:$G$4503,_imp!$C$4108))</f>
        <v/>
      </c>
      <c r="E4106" s="54">
        <f>IF(_imp!$C$4108="","",INDEX(_imp!$H$4:$H$4503,_imp!$C$4108))</f>
        <v/>
      </c>
      <c r="F4106" s="54">
        <f>IF(_imp!$C$4108="","",INDEX(_imp!$I$4:$I$4503,_imp!$C$4108))</f>
        <v/>
      </c>
      <c r="G4106" s="54">
        <f>IF(_imp!$C$4108="","",INDEX(_imp!$J$4:$J$4503,_imp!$C$4108))</f>
        <v/>
      </c>
      <c r="K4106" s="54">
        <f>IF(_imp!$C$4108="","",INDEX(_imp!$K$4:$K$4503,_imp!$C$4108))</f>
        <v/>
      </c>
    </row>
    <row r="4107">
      <c r="A4107" s="54">
        <f>IF(_imp!$C$4109="","",INDEX(_imp!$D$4:$D$4503,_imp!$C$4109))</f>
        <v/>
      </c>
      <c r="B4107" s="54">
        <f>IF(_imp!$C$4109="","",INDEX(_imp!$E$4:$E$4503,_imp!$C$4109))</f>
        <v/>
      </c>
      <c r="C4107" s="54">
        <f>IF(_imp!$C$4109="","",INDEX(_imp!$F$4:$F$4503,_imp!$C$4109))</f>
        <v/>
      </c>
      <c r="D4107" s="54">
        <f>IF(_imp!$C$4109="","",INDEX(_imp!$G$4:$G$4503,_imp!$C$4109))</f>
        <v/>
      </c>
      <c r="E4107" s="54">
        <f>IF(_imp!$C$4109="","",INDEX(_imp!$H$4:$H$4503,_imp!$C$4109))</f>
        <v/>
      </c>
      <c r="F4107" s="54">
        <f>IF(_imp!$C$4109="","",INDEX(_imp!$I$4:$I$4503,_imp!$C$4109))</f>
        <v/>
      </c>
      <c r="G4107" s="54">
        <f>IF(_imp!$C$4109="","",INDEX(_imp!$J$4:$J$4503,_imp!$C$4109))</f>
        <v/>
      </c>
      <c r="K4107" s="54">
        <f>IF(_imp!$C$4109="","",INDEX(_imp!$K$4:$K$4503,_imp!$C$4109))</f>
        <v/>
      </c>
    </row>
    <row r="4108">
      <c r="A4108" s="54">
        <f>IF(_imp!$C$4110="","",INDEX(_imp!$D$4:$D$4503,_imp!$C$4110))</f>
        <v/>
      </c>
      <c r="B4108" s="54">
        <f>IF(_imp!$C$4110="","",INDEX(_imp!$E$4:$E$4503,_imp!$C$4110))</f>
        <v/>
      </c>
      <c r="C4108" s="54">
        <f>IF(_imp!$C$4110="","",INDEX(_imp!$F$4:$F$4503,_imp!$C$4110))</f>
        <v/>
      </c>
      <c r="D4108" s="54">
        <f>IF(_imp!$C$4110="","",INDEX(_imp!$G$4:$G$4503,_imp!$C$4110))</f>
        <v/>
      </c>
      <c r="E4108" s="54">
        <f>IF(_imp!$C$4110="","",INDEX(_imp!$H$4:$H$4503,_imp!$C$4110))</f>
        <v/>
      </c>
      <c r="F4108" s="54">
        <f>IF(_imp!$C$4110="","",INDEX(_imp!$I$4:$I$4503,_imp!$C$4110))</f>
        <v/>
      </c>
      <c r="G4108" s="54">
        <f>IF(_imp!$C$4110="","",INDEX(_imp!$J$4:$J$4503,_imp!$C$4110))</f>
        <v/>
      </c>
      <c r="K4108" s="54">
        <f>IF(_imp!$C$4110="","",INDEX(_imp!$K$4:$K$4503,_imp!$C$4110))</f>
        <v/>
      </c>
    </row>
    <row r="4109">
      <c r="A4109" s="54">
        <f>IF(_imp!$C$4111="","",INDEX(_imp!$D$4:$D$4503,_imp!$C$4111))</f>
        <v/>
      </c>
      <c r="B4109" s="54">
        <f>IF(_imp!$C$4111="","",INDEX(_imp!$E$4:$E$4503,_imp!$C$4111))</f>
        <v/>
      </c>
      <c r="C4109" s="54">
        <f>IF(_imp!$C$4111="","",INDEX(_imp!$F$4:$F$4503,_imp!$C$4111))</f>
        <v/>
      </c>
      <c r="D4109" s="54">
        <f>IF(_imp!$C$4111="","",INDEX(_imp!$G$4:$G$4503,_imp!$C$4111))</f>
        <v/>
      </c>
      <c r="E4109" s="54">
        <f>IF(_imp!$C$4111="","",INDEX(_imp!$H$4:$H$4503,_imp!$C$4111))</f>
        <v/>
      </c>
      <c r="F4109" s="54">
        <f>IF(_imp!$C$4111="","",INDEX(_imp!$I$4:$I$4503,_imp!$C$4111))</f>
        <v/>
      </c>
      <c r="G4109" s="54">
        <f>IF(_imp!$C$4111="","",INDEX(_imp!$J$4:$J$4503,_imp!$C$4111))</f>
        <v/>
      </c>
      <c r="K4109" s="54">
        <f>IF(_imp!$C$4111="","",INDEX(_imp!$K$4:$K$4503,_imp!$C$4111))</f>
        <v/>
      </c>
    </row>
    <row r="4110">
      <c r="A4110" s="54">
        <f>IF(_imp!$C$4112="","",INDEX(_imp!$D$4:$D$4503,_imp!$C$4112))</f>
        <v/>
      </c>
      <c r="B4110" s="54">
        <f>IF(_imp!$C$4112="","",INDEX(_imp!$E$4:$E$4503,_imp!$C$4112))</f>
        <v/>
      </c>
      <c r="C4110" s="54">
        <f>IF(_imp!$C$4112="","",INDEX(_imp!$F$4:$F$4503,_imp!$C$4112))</f>
        <v/>
      </c>
      <c r="D4110" s="54">
        <f>IF(_imp!$C$4112="","",INDEX(_imp!$G$4:$G$4503,_imp!$C$4112))</f>
        <v/>
      </c>
      <c r="E4110" s="54">
        <f>IF(_imp!$C$4112="","",INDEX(_imp!$H$4:$H$4503,_imp!$C$4112))</f>
        <v/>
      </c>
      <c r="F4110" s="54">
        <f>IF(_imp!$C$4112="","",INDEX(_imp!$I$4:$I$4503,_imp!$C$4112))</f>
        <v/>
      </c>
      <c r="G4110" s="54">
        <f>IF(_imp!$C$4112="","",INDEX(_imp!$J$4:$J$4503,_imp!$C$4112))</f>
        <v/>
      </c>
      <c r="K4110" s="54">
        <f>IF(_imp!$C$4112="","",INDEX(_imp!$K$4:$K$4503,_imp!$C$4112))</f>
        <v/>
      </c>
    </row>
    <row r="4111">
      <c r="A4111" s="54">
        <f>IF(_imp!$C$4113="","",INDEX(_imp!$D$4:$D$4503,_imp!$C$4113))</f>
        <v/>
      </c>
      <c r="B4111" s="54">
        <f>IF(_imp!$C$4113="","",INDEX(_imp!$E$4:$E$4503,_imp!$C$4113))</f>
        <v/>
      </c>
      <c r="C4111" s="54">
        <f>IF(_imp!$C$4113="","",INDEX(_imp!$F$4:$F$4503,_imp!$C$4113))</f>
        <v/>
      </c>
      <c r="D4111" s="54">
        <f>IF(_imp!$C$4113="","",INDEX(_imp!$G$4:$G$4503,_imp!$C$4113))</f>
        <v/>
      </c>
      <c r="E4111" s="54">
        <f>IF(_imp!$C$4113="","",INDEX(_imp!$H$4:$H$4503,_imp!$C$4113))</f>
        <v/>
      </c>
      <c r="F4111" s="54">
        <f>IF(_imp!$C$4113="","",INDEX(_imp!$I$4:$I$4503,_imp!$C$4113))</f>
        <v/>
      </c>
      <c r="G4111" s="54">
        <f>IF(_imp!$C$4113="","",INDEX(_imp!$J$4:$J$4503,_imp!$C$4113))</f>
        <v/>
      </c>
      <c r="K4111" s="54">
        <f>IF(_imp!$C$4113="","",INDEX(_imp!$K$4:$K$4503,_imp!$C$4113))</f>
        <v/>
      </c>
    </row>
    <row r="4112">
      <c r="A4112" s="54">
        <f>IF(_imp!$C$4114="","",INDEX(_imp!$D$4:$D$4503,_imp!$C$4114))</f>
        <v/>
      </c>
      <c r="B4112" s="54">
        <f>IF(_imp!$C$4114="","",INDEX(_imp!$E$4:$E$4503,_imp!$C$4114))</f>
        <v/>
      </c>
      <c r="C4112" s="54">
        <f>IF(_imp!$C$4114="","",INDEX(_imp!$F$4:$F$4503,_imp!$C$4114))</f>
        <v/>
      </c>
      <c r="D4112" s="54">
        <f>IF(_imp!$C$4114="","",INDEX(_imp!$G$4:$G$4503,_imp!$C$4114))</f>
        <v/>
      </c>
      <c r="E4112" s="54">
        <f>IF(_imp!$C$4114="","",INDEX(_imp!$H$4:$H$4503,_imp!$C$4114))</f>
        <v/>
      </c>
      <c r="F4112" s="54">
        <f>IF(_imp!$C$4114="","",INDEX(_imp!$I$4:$I$4503,_imp!$C$4114))</f>
        <v/>
      </c>
      <c r="G4112" s="54">
        <f>IF(_imp!$C$4114="","",INDEX(_imp!$J$4:$J$4503,_imp!$C$4114))</f>
        <v/>
      </c>
      <c r="K4112" s="54">
        <f>IF(_imp!$C$4114="","",INDEX(_imp!$K$4:$K$4503,_imp!$C$4114))</f>
        <v/>
      </c>
    </row>
    <row r="4113">
      <c r="A4113" s="54">
        <f>IF(_imp!$C$4115="","",INDEX(_imp!$D$4:$D$4503,_imp!$C$4115))</f>
        <v/>
      </c>
      <c r="B4113" s="54">
        <f>IF(_imp!$C$4115="","",INDEX(_imp!$E$4:$E$4503,_imp!$C$4115))</f>
        <v/>
      </c>
      <c r="C4113" s="54">
        <f>IF(_imp!$C$4115="","",INDEX(_imp!$F$4:$F$4503,_imp!$C$4115))</f>
        <v/>
      </c>
      <c r="D4113" s="54">
        <f>IF(_imp!$C$4115="","",INDEX(_imp!$G$4:$G$4503,_imp!$C$4115))</f>
        <v/>
      </c>
      <c r="E4113" s="54">
        <f>IF(_imp!$C$4115="","",INDEX(_imp!$H$4:$H$4503,_imp!$C$4115))</f>
        <v/>
      </c>
      <c r="F4113" s="54">
        <f>IF(_imp!$C$4115="","",INDEX(_imp!$I$4:$I$4503,_imp!$C$4115))</f>
        <v/>
      </c>
      <c r="G4113" s="54">
        <f>IF(_imp!$C$4115="","",INDEX(_imp!$J$4:$J$4503,_imp!$C$4115))</f>
        <v/>
      </c>
      <c r="K4113" s="54">
        <f>IF(_imp!$C$4115="","",INDEX(_imp!$K$4:$K$4503,_imp!$C$4115))</f>
        <v/>
      </c>
    </row>
    <row r="4114">
      <c r="A4114" s="54">
        <f>IF(_imp!$C$4116="","",INDEX(_imp!$D$4:$D$4503,_imp!$C$4116))</f>
        <v/>
      </c>
      <c r="B4114" s="54">
        <f>IF(_imp!$C$4116="","",INDEX(_imp!$E$4:$E$4503,_imp!$C$4116))</f>
        <v/>
      </c>
      <c r="C4114" s="54">
        <f>IF(_imp!$C$4116="","",INDEX(_imp!$F$4:$F$4503,_imp!$C$4116))</f>
        <v/>
      </c>
      <c r="D4114" s="54">
        <f>IF(_imp!$C$4116="","",INDEX(_imp!$G$4:$G$4503,_imp!$C$4116))</f>
        <v/>
      </c>
      <c r="E4114" s="54">
        <f>IF(_imp!$C$4116="","",INDEX(_imp!$H$4:$H$4503,_imp!$C$4116))</f>
        <v/>
      </c>
      <c r="F4114" s="54">
        <f>IF(_imp!$C$4116="","",INDEX(_imp!$I$4:$I$4503,_imp!$C$4116))</f>
        <v/>
      </c>
      <c r="G4114" s="54">
        <f>IF(_imp!$C$4116="","",INDEX(_imp!$J$4:$J$4503,_imp!$C$4116))</f>
        <v/>
      </c>
      <c r="K4114" s="54">
        <f>IF(_imp!$C$4116="","",INDEX(_imp!$K$4:$K$4503,_imp!$C$4116))</f>
        <v/>
      </c>
    </row>
    <row r="4115">
      <c r="A4115" s="54">
        <f>IF(_imp!$C$4117="","",INDEX(_imp!$D$4:$D$4503,_imp!$C$4117))</f>
        <v/>
      </c>
      <c r="B4115" s="54">
        <f>IF(_imp!$C$4117="","",INDEX(_imp!$E$4:$E$4503,_imp!$C$4117))</f>
        <v/>
      </c>
      <c r="C4115" s="54">
        <f>IF(_imp!$C$4117="","",INDEX(_imp!$F$4:$F$4503,_imp!$C$4117))</f>
        <v/>
      </c>
      <c r="D4115" s="54">
        <f>IF(_imp!$C$4117="","",INDEX(_imp!$G$4:$G$4503,_imp!$C$4117))</f>
        <v/>
      </c>
      <c r="E4115" s="54">
        <f>IF(_imp!$C$4117="","",INDEX(_imp!$H$4:$H$4503,_imp!$C$4117))</f>
        <v/>
      </c>
      <c r="F4115" s="54">
        <f>IF(_imp!$C$4117="","",INDEX(_imp!$I$4:$I$4503,_imp!$C$4117))</f>
        <v/>
      </c>
      <c r="G4115" s="54">
        <f>IF(_imp!$C$4117="","",INDEX(_imp!$J$4:$J$4503,_imp!$C$4117))</f>
        <v/>
      </c>
      <c r="K4115" s="54">
        <f>IF(_imp!$C$4117="","",INDEX(_imp!$K$4:$K$4503,_imp!$C$4117))</f>
        <v/>
      </c>
    </row>
    <row r="4116">
      <c r="A4116" s="54">
        <f>IF(_imp!$C$4118="","",INDEX(_imp!$D$4:$D$4503,_imp!$C$4118))</f>
        <v/>
      </c>
      <c r="B4116" s="54">
        <f>IF(_imp!$C$4118="","",INDEX(_imp!$E$4:$E$4503,_imp!$C$4118))</f>
        <v/>
      </c>
      <c r="C4116" s="54">
        <f>IF(_imp!$C$4118="","",INDEX(_imp!$F$4:$F$4503,_imp!$C$4118))</f>
        <v/>
      </c>
      <c r="D4116" s="54">
        <f>IF(_imp!$C$4118="","",INDEX(_imp!$G$4:$G$4503,_imp!$C$4118))</f>
        <v/>
      </c>
      <c r="E4116" s="54">
        <f>IF(_imp!$C$4118="","",INDEX(_imp!$H$4:$H$4503,_imp!$C$4118))</f>
        <v/>
      </c>
      <c r="F4116" s="54">
        <f>IF(_imp!$C$4118="","",INDEX(_imp!$I$4:$I$4503,_imp!$C$4118))</f>
        <v/>
      </c>
      <c r="G4116" s="54">
        <f>IF(_imp!$C$4118="","",INDEX(_imp!$J$4:$J$4503,_imp!$C$4118))</f>
        <v/>
      </c>
      <c r="K4116" s="54">
        <f>IF(_imp!$C$4118="","",INDEX(_imp!$K$4:$K$4503,_imp!$C$4118))</f>
        <v/>
      </c>
    </row>
    <row r="4117">
      <c r="A4117" s="54">
        <f>IF(_imp!$C$4119="","",INDEX(_imp!$D$4:$D$4503,_imp!$C$4119))</f>
        <v/>
      </c>
      <c r="B4117" s="54">
        <f>IF(_imp!$C$4119="","",INDEX(_imp!$E$4:$E$4503,_imp!$C$4119))</f>
        <v/>
      </c>
      <c r="C4117" s="54">
        <f>IF(_imp!$C$4119="","",INDEX(_imp!$F$4:$F$4503,_imp!$C$4119))</f>
        <v/>
      </c>
      <c r="D4117" s="54">
        <f>IF(_imp!$C$4119="","",INDEX(_imp!$G$4:$G$4503,_imp!$C$4119))</f>
        <v/>
      </c>
      <c r="E4117" s="54">
        <f>IF(_imp!$C$4119="","",INDEX(_imp!$H$4:$H$4503,_imp!$C$4119))</f>
        <v/>
      </c>
      <c r="F4117" s="54">
        <f>IF(_imp!$C$4119="","",INDEX(_imp!$I$4:$I$4503,_imp!$C$4119))</f>
        <v/>
      </c>
      <c r="G4117" s="54">
        <f>IF(_imp!$C$4119="","",INDEX(_imp!$J$4:$J$4503,_imp!$C$4119))</f>
        <v/>
      </c>
      <c r="K4117" s="54">
        <f>IF(_imp!$C$4119="","",INDEX(_imp!$K$4:$K$4503,_imp!$C$4119))</f>
        <v/>
      </c>
    </row>
    <row r="4118">
      <c r="A4118" s="54">
        <f>IF(_imp!$C$4120="","",INDEX(_imp!$D$4:$D$4503,_imp!$C$4120))</f>
        <v/>
      </c>
      <c r="B4118" s="54">
        <f>IF(_imp!$C$4120="","",INDEX(_imp!$E$4:$E$4503,_imp!$C$4120))</f>
        <v/>
      </c>
      <c r="C4118" s="54">
        <f>IF(_imp!$C$4120="","",INDEX(_imp!$F$4:$F$4503,_imp!$C$4120))</f>
        <v/>
      </c>
      <c r="D4118" s="54">
        <f>IF(_imp!$C$4120="","",INDEX(_imp!$G$4:$G$4503,_imp!$C$4120))</f>
        <v/>
      </c>
      <c r="E4118" s="54">
        <f>IF(_imp!$C$4120="","",INDEX(_imp!$H$4:$H$4503,_imp!$C$4120))</f>
        <v/>
      </c>
      <c r="F4118" s="54">
        <f>IF(_imp!$C$4120="","",INDEX(_imp!$I$4:$I$4503,_imp!$C$4120))</f>
        <v/>
      </c>
      <c r="G4118" s="54">
        <f>IF(_imp!$C$4120="","",INDEX(_imp!$J$4:$J$4503,_imp!$C$4120))</f>
        <v/>
      </c>
      <c r="K4118" s="54">
        <f>IF(_imp!$C$4120="","",INDEX(_imp!$K$4:$K$4503,_imp!$C$4120))</f>
        <v/>
      </c>
    </row>
    <row r="4119">
      <c r="A4119" s="54">
        <f>IF(_imp!$C$4121="","",INDEX(_imp!$D$4:$D$4503,_imp!$C$4121))</f>
        <v/>
      </c>
      <c r="B4119" s="54">
        <f>IF(_imp!$C$4121="","",INDEX(_imp!$E$4:$E$4503,_imp!$C$4121))</f>
        <v/>
      </c>
      <c r="C4119" s="54">
        <f>IF(_imp!$C$4121="","",INDEX(_imp!$F$4:$F$4503,_imp!$C$4121))</f>
        <v/>
      </c>
      <c r="D4119" s="54">
        <f>IF(_imp!$C$4121="","",INDEX(_imp!$G$4:$G$4503,_imp!$C$4121))</f>
        <v/>
      </c>
      <c r="E4119" s="54">
        <f>IF(_imp!$C$4121="","",INDEX(_imp!$H$4:$H$4503,_imp!$C$4121))</f>
        <v/>
      </c>
      <c r="F4119" s="54">
        <f>IF(_imp!$C$4121="","",INDEX(_imp!$I$4:$I$4503,_imp!$C$4121))</f>
        <v/>
      </c>
      <c r="G4119" s="54">
        <f>IF(_imp!$C$4121="","",INDEX(_imp!$J$4:$J$4503,_imp!$C$4121))</f>
        <v/>
      </c>
      <c r="K4119" s="54">
        <f>IF(_imp!$C$4121="","",INDEX(_imp!$K$4:$K$4503,_imp!$C$4121))</f>
        <v/>
      </c>
    </row>
    <row r="4120">
      <c r="A4120" s="54">
        <f>IF(_imp!$C$4122="","",INDEX(_imp!$D$4:$D$4503,_imp!$C$4122))</f>
        <v/>
      </c>
      <c r="B4120" s="54">
        <f>IF(_imp!$C$4122="","",INDEX(_imp!$E$4:$E$4503,_imp!$C$4122))</f>
        <v/>
      </c>
      <c r="C4120" s="54">
        <f>IF(_imp!$C$4122="","",INDEX(_imp!$F$4:$F$4503,_imp!$C$4122))</f>
        <v/>
      </c>
      <c r="D4120" s="54">
        <f>IF(_imp!$C$4122="","",INDEX(_imp!$G$4:$G$4503,_imp!$C$4122))</f>
        <v/>
      </c>
      <c r="E4120" s="54">
        <f>IF(_imp!$C$4122="","",INDEX(_imp!$H$4:$H$4503,_imp!$C$4122))</f>
        <v/>
      </c>
      <c r="F4120" s="54">
        <f>IF(_imp!$C$4122="","",INDEX(_imp!$I$4:$I$4503,_imp!$C$4122))</f>
        <v/>
      </c>
      <c r="G4120" s="54">
        <f>IF(_imp!$C$4122="","",INDEX(_imp!$J$4:$J$4503,_imp!$C$4122))</f>
        <v/>
      </c>
      <c r="K4120" s="54">
        <f>IF(_imp!$C$4122="","",INDEX(_imp!$K$4:$K$4503,_imp!$C$4122))</f>
        <v/>
      </c>
    </row>
    <row r="4121">
      <c r="A4121" s="54">
        <f>IF(_imp!$C$4123="","",INDEX(_imp!$D$4:$D$4503,_imp!$C$4123))</f>
        <v/>
      </c>
      <c r="B4121" s="54">
        <f>IF(_imp!$C$4123="","",INDEX(_imp!$E$4:$E$4503,_imp!$C$4123))</f>
        <v/>
      </c>
      <c r="C4121" s="54">
        <f>IF(_imp!$C$4123="","",INDEX(_imp!$F$4:$F$4503,_imp!$C$4123))</f>
        <v/>
      </c>
      <c r="D4121" s="54">
        <f>IF(_imp!$C$4123="","",INDEX(_imp!$G$4:$G$4503,_imp!$C$4123))</f>
        <v/>
      </c>
      <c r="E4121" s="54">
        <f>IF(_imp!$C$4123="","",INDEX(_imp!$H$4:$H$4503,_imp!$C$4123))</f>
        <v/>
      </c>
      <c r="F4121" s="54">
        <f>IF(_imp!$C$4123="","",INDEX(_imp!$I$4:$I$4503,_imp!$C$4123))</f>
        <v/>
      </c>
      <c r="G4121" s="54">
        <f>IF(_imp!$C$4123="","",INDEX(_imp!$J$4:$J$4503,_imp!$C$4123))</f>
        <v/>
      </c>
      <c r="K4121" s="54">
        <f>IF(_imp!$C$4123="","",INDEX(_imp!$K$4:$K$4503,_imp!$C$4123))</f>
        <v/>
      </c>
    </row>
    <row r="4122">
      <c r="A4122" s="54">
        <f>IF(_imp!$C$4124="","",INDEX(_imp!$D$4:$D$4503,_imp!$C$4124))</f>
        <v/>
      </c>
      <c r="B4122" s="54">
        <f>IF(_imp!$C$4124="","",INDEX(_imp!$E$4:$E$4503,_imp!$C$4124))</f>
        <v/>
      </c>
      <c r="C4122" s="54">
        <f>IF(_imp!$C$4124="","",INDEX(_imp!$F$4:$F$4503,_imp!$C$4124))</f>
        <v/>
      </c>
      <c r="D4122" s="54">
        <f>IF(_imp!$C$4124="","",INDEX(_imp!$G$4:$G$4503,_imp!$C$4124))</f>
        <v/>
      </c>
      <c r="E4122" s="54">
        <f>IF(_imp!$C$4124="","",INDEX(_imp!$H$4:$H$4503,_imp!$C$4124))</f>
        <v/>
      </c>
      <c r="F4122" s="54">
        <f>IF(_imp!$C$4124="","",INDEX(_imp!$I$4:$I$4503,_imp!$C$4124))</f>
        <v/>
      </c>
      <c r="G4122" s="54">
        <f>IF(_imp!$C$4124="","",INDEX(_imp!$J$4:$J$4503,_imp!$C$4124))</f>
        <v/>
      </c>
      <c r="K4122" s="54">
        <f>IF(_imp!$C$4124="","",INDEX(_imp!$K$4:$K$4503,_imp!$C$4124))</f>
        <v/>
      </c>
    </row>
    <row r="4123">
      <c r="A4123" s="54">
        <f>IF(_imp!$C$4125="","",INDEX(_imp!$D$4:$D$4503,_imp!$C$4125))</f>
        <v/>
      </c>
      <c r="B4123" s="54">
        <f>IF(_imp!$C$4125="","",INDEX(_imp!$E$4:$E$4503,_imp!$C$4125))</f>
        <v/>
      </c>
      <c r="C4123" s="54">
        <f>IF(_imp!$C$4125="","",INDEX(_imp!$F$4:$F$4503,_imp!$C$4125))</f>
        <v/>
      </c>
      <c r="D4123" s="54">
        <f>IF(_imp!$C$4125="","",INDEX(_imp!$G$4:$G$4503,_imp!$C$4125))</f>
        <v/>
      </c>
      <c r="E4123" s="54">
        <f>IF(_imp!$C$4125="","",INDEX(_imp!$H$4:$H$4503,_imp!$C$4125))</f>
        <v/>
      </c>
      <c r="F4123" s="54">
        <f>IF(_imp!$C$4125="","",INDEX(_imp!$I$4:$I$4503,_imp!$C$4125))</f>
        <v/>
      </c>
      <c r="G4123" s="54">
        <f>IF(_imp!$C$4125="","",INDEX(_imp!$J$4:$J$4503,_imp!$C$4125))</f>
        <v/>
      </c>
      <c r="K4123" s="54">
        <f>IF(_imp!$C$4125="","",INDEX(_imp!$K$4:$K$4503,_imp!$C$4125))</f>
        <v/>
      </c>
    </row>
    <row r="4124">
      <c r="A4124" s="54">
        <f>IF(_imp!$C$4126="","",INDEX(_imp!$D$4:$D$4503,_imp!$C$4126))</f>
        <v/>
      </c>
      <c r="B4124" s="54">
        <f>IF(_imp!$C$4126="","",INDEX(_imp!$E$4:$E$4503,_imp!$C$4126))</f>
        <v/>
      </c>
      <c r="C4124" s="54">
        <f>IF(_imp!$C$4126="","",INDEX(_imp!$F$4:$F$4503,_imp!$C$4126))</f>
        <v/>
      </c>
      <c r="D4124" s="54">
        <f>IF(_imp!$C$4126="","",INDEX(_imp!$G$4:$G$4503,_imp!$C$4126))</f>
        <v/>
      </c>
      <c r="E4124" s="54">
        <f>IF(_imp!$C$4126="","",INDEX(_imp!$H$4:$H$4503,_imp!$C$4126))</f>
        <v/>
      </c>
      <c r="F4124" s="54">
        <f>IF(_imp!$C$4126="","",INDEX(_imp!$I$4:$I$4503,_imp!$C$4126))</f>
        <v/>
      </c>
      <c r="G4124" s="54">
        <f>IF(_imp!$C$4126="","",INDEX(_imp!$J$4:$J$4503,_imp!$C$4126))</f>
        <v/>
      </c>
      <c r="K4124" s="54">
        <f>IF(_imp!$C$4126="","",INDEX(_imp!$K$4:$K$4503,_imp!$C$4126))</f>
        <v/>
      </c>
    </row>
    <row r="4125">
      <c r="A4125" s="54">
        <f>IF(_imp!$C$4127="","",INDEX(_imp!$D$4:$D$4503,_imp!$C$4127))</f>
        <v/>
      </c>
      <c r="B4125" s="54">
        <f>IF(_imp!$C$4127="","",INDEX(_imp!$E$4:$E$4503,_imp!$C$4127))</f>
        <v/>
      </c>
      <c r="C4125" s="54">
        <f>IF(_imp!$C$4127="","",INDEX(_imp!$F$4:$F$4503,_imp!$C$4127))</f>
        <v/>
      </c>
      <c r="D4125" s="54">
        <f>IF(_imp!$C$4127="","",INDEX(_imp!$G$4:$G$4503,_imp!$C$4127))</f>
        <v/>
      </c>
      <c r="E4125" s="54">
        <f>IF(_imp!$C$4127="","",INDEX(_imp!$H$4:$H$4503,_imp!$C$4127))</f>
        <v/>
      </c>
      <c r="F4125" s="54">
        <f>IF(_imp!$C$4127="","",INDEX(_imp!$I$4:$I$4503,_imp!$C$4127))</f>
        <v/>
      </c>
      <c r="G4125" s="54">
        <f>IF(_imp!$C$4127="","",INDEX(_imp!$J$4:$J$4503,_imp!$C$4127))</f>
        <v/>
      </c>
      <c r="K4125" s="54">
        <f>IF(_imp!$C$4127="","",INDEX(_imp!$K$4:$K$4503,_imp!$C$4127))</f>
        <v/>
      </c>
    </row>
    <row r="4126">
      <c r="A4126" s="54">
        <f>IF(_imp!$C$4128="","",INDEX(_imp!$D$4:$D$4503,_imp!$C$4128))</f>
        <v/>
      </c>
      <c r="B4126" s="54">
        <f>IF(_imp!$C$4128="","",INDEX(_imp!$E$4:$E$4503,_imp!$C$4128))</f>
        <v/>
      </c>
      <c r="C4126" s="54">
        <f>IF(_imp!$C$4128="","",INDEX(_imp!$F$4:$F$4503,_imp!$C$4128))</f>
        <v/>
      </c>
      <c r="D4126" s="54">
        <f>IF(_imp!$C$4128="","",INDEX(_imp!$G$4:$G$4503,_imp!$C$4128))</f>
        <v/>
      </c>
      <c r="E4126" s="54">
        <f>IF(_imp!$C$4128="","",INDEX(_imp!$H$4:$H$4503,_imp!$C$4128))</f>
        <v/>
      </c>
      <c r="F4126" s="54">
        <f>IF(_imp!$C$4128="","",INDEX(_imp!$I$4:$I$4503,_imp!$C$4128))</f>
        <v/>
      </c>
      <c r="G4126" s="54">
        <f>IF(_imp!$C$4128="","",INDEX(_imp!$J$4:$J$4503,_imp!$C$4128))</f>
        <v/>
      </c>
      <c r="K4126" s="54">
        <f>IF(_imp!$C$4128="","",INDEX(_imp!$K$4:$K$4503,_imp!$C$4128))</f>
        <v/>
      </c>
    </row>
    <row r="4127">
      <c r="A4127" s="54">
        <f>IF(_imp!$C$4129="","",INDEX(_imp!$D$4:$D$4503,_imp!$C$4129))</f>
        <v/>
      </c>
      <c r="B4127" s="54">
        <f>IF(_imp!$C$4129="","",INDEX(_imp!$E$4:$E$4503,_imp!$C$4129))</f>
        <v/>
      </c>
      <c r="C4127" s="54">
        <f>IF(_imp!$C$4129="","",INDEX(_imp!$F$4:$F$4503,_imp!$C$4129))</f>
        <v/>
      </c>
      <c r="D4127" s="54">
        <f>IF(_imp!$C$4129="","",INDEX(_imp!$G$4:$G$4503,_imp!$C$4129))</f>
        <v/>
      </c>
      <c r="E4127" s="54">
        <f>IF(_imp!$C$4129="","",INDEX(_imp!$H$4:$H$4503,_imp!$C$4129))</f>
        <v/>
      </c>
      <c r="F4127" s="54">
        <f>IF(_imp!$C$4129="","",INDEX(_imp!$I$4:$I$4503,_imp!$C$4129))</f>
        <v/>
      </c>
      <c r="G4127" s="54">
        <f>IF(_imp!$C$4129="","",INDEX(_imp!$J$4:$J$4503,_imp!$C$4129))</f>
        <v/>
      </c>
      <c r="K4127" s="54">
        <f>IF(_imp!$C$4129="","",INDEX(_imp!$K$4:$K$4503,_imp!$C$4129))</f>
        <v/>
      </c>
    </row>
    <row r="4128">
      <c r="A4128" s="54">
        <f>IF(_imp!$C$4130="","",INDEX(_imp!$D$4:$D$4503,_imp!$C$4130))</f>
        <v/>
      </c>
      <c r="B4128" s="54">
        <f>IF(_imp!$C$4130="","",INDEX(_imp!$E$4:$E$4503,_imp!$C$4130))</f>
        <v/>
      </c>
      <c r="C4128" s="54">
        <f>IF(_imp!$C$4130="","",INDEX(_imp!$F$4:$F$4503,_imp!$C$4130))</f>
        <v/>
      </c>
      <c r="D4128" s="54">
        <f>IF(_imp!$C$4130="","",INDEX(_imp!$G$4:$G$4503,_imp!$C$4130))</f>
        <v/>
      </c>
      <c r="E4128" s="54">
        <f>IF(_imp!$C$4130="","",INDEX(_imp!$H$4:$H$4503,_imp!$C$4130))</f>
        <v/>
      </c>
      <c r="F4128" s="54">
        <f>IF(_imp!$C$4130="","",INDEX(_imp!$I$4:$I$4503,_imp!$C$4130))</f>
        <v/>
      </c>
      <c r="G4128" s="54">
        <f>IF(_imp!$C$4130="","",INDEX(_imp!$J$4:$J$4503,_imp!$C$4130))</f>
        <v/>
      </c>
      <c r="K4128" s="54">
        <f>IF(_imp!$C$4130="","",INDEX(_imp!$K$4:$K$4503,_imp!$C$4130))</f>
        <v/>
      </c>
    </row>
    <row r="4129">
      <c r="A4129" s="54">
        <f>IF(_imp!$C$4131="","",INDEX(_imp!$D$4:$D$4503,_imp!$C$4131))</f>
        <v/>
      </c>
      <c r="B4129" s="54">
        <f>IF(_imp!$C$4131="","",INDEX(_imp!$E$4:$E$4503,_imp!$C$4131))</f>
        <v/>
      </c>
      <c r="C4129" s="54">
        <f>IF(_imp!$C$4131="","",INDEX(_imp!$F$4:$F$4503,_imp!$C$4131))</f>
        <v/>
      </c>
      <c r="D4129" s="54">
        <f>IF(_imp!$C$4131="","",INDEX(_imp!$G$4:$G$4503,_imp!$C$4131))</f>
        <v/>
      </c>
      <c r="E4129" s="54">
        <f>IF(_imp!$C$4131="","",INDEX(_imp!$H$4:$H$4503,_imp!$C$4131))</f>
        <v/>
      </c>
      <c r="F4129" s="54">
        <f>IF(_imp!$C$4131="","",INDEX(_imp!$I$4:$I$4503,_imp!$C$4131))</f>
        <v/>
      </c>
      <c r="G4129" s="54">
        <f>IF(_imp!$C$4131="","",INDEX(_imp!$J$4:$J$4503,_imp!$C$4131))</f>
        <v/>
      </c>
      <c r="K4129" s="54">
        <f>IF(_imp!$C$4131="","",INDEX(_imp!$K$4:$K$4503,_imp!$C$4131))</f>
        <v/>
      </c>
    </row>
    <row r="4130">
      <c r="A4130" s="54">
        <f>IF(_imp!$C$4132="","",INDEX(_imp!$D$4:$D$4503,_imp!$C$4132))</f>
        <v/>
      </c>
      <c r="B4130" s="54">
        <f>IF(_imp!$C$4132="","",INDEX(_imp!$E$4:$E$4503,_imp!$C$4132))</f>
        <v/>
      </c>
      <c r="C4130" s="54">
        <f>IF(_imp!$C$4132="","",INDEX(_imp!$F$4:$F$4503,_imp!$C$4132))</f>
        <v/>
      </c>
      <c r="D4130" s="54">
        <f>IF(_imp!$C$4132="","",INDEX(_imp!$G$4:$G$4503,_imp!$C$4132))</f>
        <v/>
      </c>
      <c r="E4130" s="54">
        <f>IF(_imp!$C$4132="","",INDEX(_imp!$H$4:$H$4503,_imp!$C$4132))</f>
        <v/>
      </c>
      <c r="F4130" s="54">
        <f>IF(_imp!$C$4132="","",INDEX(_imp!$I$4:$I$4503,_imp!$C$4132))</f>
        <v/>
      </c>
      <c r="G4130" s="54">
        <f>IF(_imp!$C$4132="","",INDEX(_imp!$J$4:$J$4503,_imp!$C$4132))</f>
        <v/>
      </c>
      <c r="K4130" s="54">
        <f>IF(_imp!$C$4132="","",INDEX(_imp!$K$4:$K$4503,_imp!$C$4132))</f>
        <v/>
      </c>
    </row>
    <row r="4131">
      <c r="A4131" s="54">
        <f>IF(_imp!$C$4133="","",INDEX(_imp!$D$4:$D$4503,_imp!$C$4133))</f>
        <v/>
      </c>
      <c r="B4131" s="54">
        <f>IF(_imp!$C$4133="","",INDEX(_imp!$E$4:$E$4503,_imp!$C$4133))</f>
        <v/>
      </c>
      <c r="C4131" s="54">
        <f>IF(_imp!$C$4133="","",INDEX(_imp!$F$4:$F$4503,_imp!$C$4133))</f>
        <v/>
      </c>
      <c r="D4131" s="54">
        <f>IF(_imp!$C$4133="","",INDEX(_imp!$G$4:$G$4503,_imp!$C$4133))</f>
        <v/>
      </c>
      <c r="E4131" s="54">
        <f>IF(_imp!$C$4133="","",INDEX(_imp!$H$4:$H$4503,_imp!$C$4133))</f>
        <v/>
      </c>
      <c r="F4131" s="54">
        <f>IF(_imp!$C$4133="","",INDEX(_imp!$I$4:$I$4503,_imp!$C$4133))</f>
        <v/>
      </c>
      <c r="G4131" s="54">
        <f>IF(_imp!$C$4133="","",INDEX(_imp!$J$4:$J$4503,_imp!$C$4133))</f>
        <v/>
      </c>
      <c r="K4131" s="54">
        <f>IF(_imp!$C$4133="","",INDEX(_imp!$K$4:$K$4503,_imp!$C$4133))</f>
        <v/>
      </c>
    </row>
    <row r="4132">
      <c r="A4132" s="54">
        <f>IF(_imp!$C$4134="","",INDEX(_imp!$D$4:$D$4503,_imp!$C$4134))</f>
        <v/>
      </c>
      <c r="B4132" s="54">
        <f>IF(_imp!$C$4134="","",INDEX(_imp!$E$4:$E$4503,_imp!$C$4134))</f>
        <v/>
      </c>
      <c r="C4132" s="54">
        <f>IF(_imp!$C$4134="","",INDEX(_imp!$F$4:$F$4503,_imp!$C$4134))</f>
        <v/>
      </c>
      <c r="D4132" s="54">
        <f>IF(_imp!$C$4134="","",INDEX(_imp!$G$4:$G$4503,_imp!$C$4134))</f>
        <v/>
      </c>
      <c r="E4132" s="54">
        <f>IF(_imp!$C$4134="","",INDEX(_imp!$H$4:$H$4503,_imp!$C$4134))</f>
        <v/>
      </c>
      <c r="F4132" s="54">
        <f>IF(_imp!$C$4134="","",INDEX(_imp!$I$4:$I$4503,_imp!$C$4134))</f>
        <v/>
      </c>
      <c r="G4132" s="54">
        <f>IF(_imp!$C$4134="","",INDEX(_imp!$J$4:$J$4503,_imp!$C$4134))</f>
        <v/>
      </c>
      <c r="K4132" s="54">
        <f>IF(_imp!$C$4134="","",INDEX(_imp!$K$4:$K$4503,_imp!$C$4134))</f>
        <v/>
      </c>
    </row>
    <row r="4133">
      <c r="A4133" s="54">
        <f>IF(_imp!$C$4135="","",INDEX(_imp!$D$4:$D$4503,_imp!$C$4135))</f>
        <v/>
      </c>
      <c r="B4133" s="54">
        <f>IF(_imp!$C$4135="","",INDEX(_imp!$E$4:$E$4503,_imp!$C$4135))</f>
        <v/>
      </c>
      <c r="C4133" s="54">
        <f>IF(_imp!$C$4135="","",INDEX(_imp!$F$4:$F$4503,_imp!$C$4135))</f>
        <v/>
      </c>
      <c r="D4133" s="54">
        <f>IF(_imp!$C$4135="","",INDEX(_imp!$G$4:$G$4503,_imp!$C$4135))</f>
        <v/>
      </c>
      <c r="E4133" s="54">
        <f>IF(_imp!$C$4135="","",INDEX(_imp!$H$4:$H$4503,_imp!$C$4135))</f>
        <v/>
      </c>
      <c r="F4133" s="54">
        <f>IF(_imp!$C$4135="","",INDEX(_imp!$I$4:$I$4503,_imp!$C$4135))</f>
        <v/>
      </c>
      <c r="G4133" s="54">
        <f>IF(_imp!$C$4135="","",INDEX(_imp!$J$4:$J$4503,_imp!$C$4135))</f>
        <v/>
      </c>
      <c r="K4133" s="54">
        <f>IF(_imp!$C$4135="","",INDEX(_imp!$K$4:$K$4503,_imp!$C$4135))</f>
        <v/>
      </c>
    </row>
    <row r="4134">
      <c r="A4134" s="54">
        <f>IF(_imp!$C$4136="","",INDEX(_imp!$D$4:$D$4503,_imp!$C$4136))</f>
        <v/>
      </c>
      <c r="B4134" s="54">
        <f>IF(_imp!$C$4136="","",INDEX(_imp!$E$4:$E$4503,_imp!$C$4136))</f>
        <v/>
      </c>
      <c r="C4134" s="54">
        <f>IF(_imp!$C$4136="","",INDEX(_imp!$F$4:$F$4503,_imp!$C$4136))</f>
        <v/>
      </c>
      <c r="D4134" s="54">
        <f>IF(_imp!$C$4136="","",INDEX(_imp!$G$4:$G$4503,_imp!$C$4136))</f>
        <v/>
      </c>
      <c r="E4134" s="54">
        <f>IF(_imp!$C$4136="","",INDEX(_imp!$H$4:$H$4503,_imp!$C$4136))</f>
        <v/>
      </c>
      <c r="F4134" s="54">
        <f>IF(_imp!$C$4136="","",INDEX(_imp!$I$4:$I$4503,_imp!$C$4136))</f>
        <v/>
      </c>
      <c r="G4134" s="54">
        <f>IF(_imp!$C$4136="","",INDEX(_imp!$J$4:$J$4503,_imp!$C$4136))</f>
        <v/>
      </c>
      <c r="K4134" s="54">
        <f>IF(_imp!$C$4136="","",INDEX(_imp!$K$4:$K$4503,_imp!$C$4136))</f>
        <v/>
      </c>
    </row>
    <row r="4135">
      <c r="A4135" s="54">
        <f>IF(_imp!$C$4137="","",INDEX(_imp!$D$4:$D$4503,_imp!$C$4137))</f>
        <v/>
      </c>
      <c r="B4135" s="54">
        <f>IF(_imp!$C$4137="","",INDEX(_imp!$E$4:$E$4503,_imp!$C$4137))</f>
        <v/>
      </c>
      <c r="C4135" s="54">
        <f>IF(_imp!$C$4137="","",INDEX(_imp!$F$4:$F$4503,_imp!$C$4137))</f>
        <v/>
      </c>
      <c r="D4135" s="54">
        <f>IF(_imp!$C$4137="","",INDEX(_imp!$G$4:$G$4503,_imp!$C$4137))</f>
        <v/>
      </c>
      <c r="E4135" s="54">
        <f>IF(_imp!$C$4137="","",INDEX(_imp!$H$4:$H$4503,_imp!$C$4137))</f>
        <v/>
      </c>
      <c r="F4135" s="54">
        <f>IF(_imp!$C$4137="","",INDEX(_imp!$I$4:$I$4503,_imp!$C$4137))</f>
        <v/>
      </c>
      <c r="G4135" s="54">
        <f>IF(_imp!$C$4137="","",INDEX(_imp!$J$4:$J$4503,_imp!$C$4137))</f>
        <v/>
      </c>
      <c r="K4135" s="54">
        <f>IF(_imp!$C$4137="","",INDEX(_imp!$K$4:$K$4503,_imp!$C$4137))</f>
        <v/>
      </c>
    </row>
    <row r="4136">
      <c r="A4136" s="54">
        <f>IF(_imp!$C$4138="","",INDEX(_imp!$D$4:$D$4503,_imp!$C$4138))</f>
        <v/>
      </c>
      <c r="B4136" s="54">
        <f>IF(_imp!$C$4138="","",INDEX(_imp!$E$4:$E$4503,_imp!$C$4138))</f>
        <v/>
      </c>
      <c r="C4136" s="54">
        <f>IF(_imp!$C$4138="","",INDEX(_imp!$F$4:$F$4503,_imp!$C$4138))</f>
        <v/>
      </c>
      <c r="D4136" s="54">
        <f>IF(_imp!$C$4138="","",INDEX(_imp!$G$4:$G$4503,_imp!$C$4138))</f>
        <v/>
      </c>
      <c r="E4136" s="54">
        <f>IF(_imp!$C$4138="","",INDEX(_imp!$H$4:$H$4503,_imp!$C$4138))</f>
        <v/>
      </c>
      <c r="F4136" s="54">
        <f>IF(_imp!$C$4138="","",INDEX(_imp!$I$4:$I$4503,_imp!$C$4138))</f>
        <v/>
      </c>
      <c r="G4136" s="54">
        <f>IF(_imp!$C$4138="","",INDEX(_imp!$J$4:$J$4503,_imp!$C$4138))</f>
        <v/>
      </c>
      <c r="K4136" s="54">
        <f>IF(_imp!$C$4138="","",INDEX(_imp!$K$4:$K$4503,_imp!$C$4138))</f>
        <v/>
      </c>
    </row>
    <row r="4137">
      <c r="A4137" s="54">
        <f>IF(_imp!$C$4139="","",INDEX(_imp!$D$4:$D$4503,_imp!$C$4139))</f>
        <v/>
      </c>
      <c r="B4137" s="54">
        <f>IF(_imp!$C$4139="","",INDEX(_imp!$E$4:$E$4503,_imp!$C$4139))</f>
        <v/>
      </c>
      <c r="C4137" s="54">
        <f>IF(_imp!$C$4139="","",INDEX(_imp!$F$4:$F$4503,_imp!$C$4139))</f>
        <v/>
      </c>
      <c r="D4137" s="54">
        <f>IF(_imp!$C$4139="","",INDEX(_imp!$G$4:$G$4503,_imp!$C$4139))</f>
        <v/>
      </c>
      <c r="E4137" s="54">
        <f>IF(_imp!$C$4139="","",INDEX(_imp!$H$4:$H$4503,_imp!$C$4139))</f>
        <v/>
      </c>
      <c r="F4137" s="54">
        <f>IF(_imp!$C$4139="","",INDEX(_imp!$I$4:$I$4503,_imp!$C$4139))</f>
        <v/>
      </c>
      <c r="G4137" s="54">
        <f>IF(_imp!$C$4139="","",INDEX(_imp!$J$4:$J$4503,_imp!$C$4139))</f>
        <v/>
      </c>
      <c r="K4137" s="54">
        <f>IF(_imp!$C$4139="","",INDEX(_imp!$K$4:$K$4503,_imp!$C$4139))</f>
        <v/>
      </c>
    </row>
    <row r="4138">
      <c r="A4138" s="54">
        <f>IF(_imp!$C$4140="","",INDEX(_imp!$D$4:$D$4503,_imp!$C$4140))</f>
        <v/>
      </c>
      <c r="B4138" s="54">
        <f>IF(_imp!$C$4140="","",INDEX(_imp!$E$4:$E$4503,_imp!$C$4140))</f>
        <v/>
      </c>
      <c r="C4138" s="54">
        <f>IF(_imp!$C$4140="","",INDEX(_imp!$F$4:$F$4503,_imp!$C$4140))</f>
        <v/>
      </c>
      <c r="D4138" s="54">
        <f>IF(_imp!$C$4140="","",INDEX(_imp!$G$4:$G$4503,_imp!$C$4140))</f>
        <v/>
      </c>
      <c r="E4138" s="54">
        <f>IF(_imp!$C$4140="","",INDEX(_imp!$H$4:$H$4503,_imp!$C$4140))</f>
        <v/>
      </c>
      <c r="F4138" s="54">
        <f>IF(_imp!$C$4140="","",INDEX(_imp!$I$4:$I$4503,_imp!$C$4140))</f>
        <v/>
      </c>
      <c r="G4138" s="54">
        <f>IF(_imp!$C$4140="","",INDEX(_imp!$J$4:$J$4503,_imp!$C$4140))</f>
        <v/>
      </c>
      <c r="K4138" s="54">
        <f>IF(_imp!$C$4140="","",INDEX(_imp!$K$4:$K$4503,_imp!$C$4140))</f>
        <v/>
      </c>
    </row>
    <row r="4139">
      <c r="A4139" s="54">
        <f>IF(_imp!$C$4141="","",INDEX(_imp!$D$4:$D$4503,_imp!$C$4141))</f>
        <v/>
      </c>
      <c r="B4139" s="54">
        <f>IF(_imp!$C$4141="","",INDEX(_imp!$E$4:$E$4503,_imp!$C$4141))</f>
        <v/>
      </c>
      <c r="C4139" s="54">
        <f>IF(_imp!$C$4141="","",INDEX(_imp!$F$4:$F$4503,_imp!$C$4141))</f>
        <v/>
      </c>
      <c r="D4139" s="54">
        <f>IF(_imp!$C$4141="","",INDEX(_imp!$G$4:$G$4503,_imp!$C$4141))</f>
        <v/>
      </c>
      <c r="E4139" s="54">
        <f>IF(_imp!$C$4141="","",INDEX(_imp!$H$4:$H$4503,_imp!$C$4141))</f>
        <v/>
      </c>
      <c r="F4139" s="54">
        <f>IF(_imp!$C$4141="","",INDEX(_imp!$I$4:$I$4503,_imp!$C$4141))</f>
        <v/>
      </c>
      <c r="G4139" s="54">
        <f>IF(_imp!$C$4141="","",INDEX(_imp!$J$4:$J$4503,_imp!$C$4141))</f>
        <v/>
      </c>
      <c r="K4139" s="54">
        <f>IF(_imp!$C$4141="","",INDEX(_imp!$K$4:$K$4503,_imp!$C$4141))</f>
        <v/>
      </c>
    </row>
    <row r="4140">
      <c r="A4140" s="54">
        <f>IF(_imp!$C$4142="","",INDEX(_imp!$D$4:$D$4503,_imp!$C$4142))</f>
        <v/>
      </c>
      <c r="B4140" s="54">
        <f>IF(_imp!$C$4142="","",INDEX(_imp!$E$4:$E$4503,_imp!$C$4142))</f>
        <v/>
      </c>
      <c r="C4140" s="54">
        <f>IF(_imp!$C$4142="","",INDEX(_imp!$F$4:$F$4503,_imp!$C$4142))</f>
        <v/>
      </c>
      <c r="D4140" s="54">
        <f>IF(_imp!$C$4142="","",INDEX(_imp!$G$4:$G$4503,_imp!$C$4142))</f>
        <v/>
      </c>
      <c r="E4140" s="54">
        <f>IF(_imp!$C$4142="","",INDEX(_imp!$H$4:$H$4503,_imp!$C$4142))</f>
        <v/>
      </c>
      <c r="F4140" s="54">
        <f>IF(_imp!$C$4142="","",INDEX(_imp!$I$4:$I$4503,_imp!$C$4142))</f>
        <v/>
      </c>
      <c r="G4140" s="54">
        <f>IF(_imp!$C$4142="","",INDEX(_imp!$J$4:$J$4503,_imp!$C$4142))</f>
        <v/>
      </c>
      <c r="K4140" s="54">
        <f>IF(_imp!$C$4142="","",INDEX(_imp!$K$4:$K$4503,_imp!$C$4142))</f>
        <v/>
      </c>
    </row>
    <row r="4141">
      <c r="A4141" s="54">
        <f>IF(_imp!$C$4143="","",INDEX(_imp!$D$4:$D$4503,_imp!$C$4143))</f>
        <v/>
      </c>
      <c r="B4141" s="54">
        <f>IF(_imp!$C$4143="","",INDEX(_imp!$E$4:$E$4503,_imp!$C$4143))</f>
        <v/>
      </c>
      <c r="C4141" s="54">
        <f>IF(_imp!$C$4143="","",INDEX(_imp!$F$4:$F$4503,_imp!$C$4143))</f>
        <v/>
      </c>
      <c r="D4141" s="54">
        <f>IF(_imp!$C$4143="","",INDEX(_imp!$G$4:$G$4503,_imp!$C$4143))</f>
        <v/>
      </c>
      <c r="E4141" s="54">
        <f>IF(_imp!$C$4143="","",INDEX(_imp!$H$4:$H$4503,_imp!$C$4143))</f>
        <v/>
      </c>
      <c r="F4141" s="54">
        <f>IF(_imp!$C$4143="","",INDEX(_imp!$I$4:$I$4503,_imp!$C$4143))</f>
        <v/>
      </c>
      <c r="G4141" s="54">
        <f>IF(_imp!$C$4143="","",INDEX(_imp!$J$4:$J$4503,_imp!$C$4143))</f>
        <v/>
      </c>
      <c r="K4141" s="54">
        <f>IF(_imp!$C$4143="","",INDEX(_imp!$K$4:$K$4503,_imp!$C$4143))</f>
        <v/>
      </c>
    </row>
    <row r="4142">
      <c r="A4142" s="54">
        <f>IF(_imp!$C$4144="","",INDEX(_imp!$D$4:$D$4503,_imp!$C$4144))</f>
        <v/>
      </c>
      <c r="B4142" s="54">
        <f>IF(_imp!$C$4144="","",INDEX(_imp!$E$4:$E$4503,_imp!$C$4144))</f>
        <v/>
      </c>
      <c r="C4142" s="54">
        <f>IF(_imp!$C$4144="","",INDEX(_imp!$F$4:$F$4503,_imp!$C$4144))</f>
        <v/>
      </c>
      <c r="D4142" s="54">
        <f>IF(_imp!$C$4144="","",INDEX(_imp!$G$4:$G$4503,_imp!$C$4144))</f>
        <v/>
      </c>
      <c r="E4142" s="54">
        <f>IF(_imp!$C$4144="","",INDEX(_imp!$H$4:$H$4503,_imp!$C$4144))</f>
        <v/>
      </c>
      <c r="F4142" s="54">
        <f>IF(_imp!$C$4144="","",INDEX(_imp!$I$4:$I$4503,_imp!$C$4144))</f>
        <v/>
      </c>
      <c r="G4142" s="54">
        <f>IF(_imp!$C$4144="","",INDEX(_imp!$J$4:$J$4503,_imp!$C$4144))</f>
        <v/>
      </c>
      <c r="K4142" s="54">
        <f>IF(_imp!$C$4144="","",INDEX(_imp!$K$4:$K$4503,_imp!$C$4144))</f>
        <v/>
      </c>
    </row>
    <row r="4143">
      <c r="A4143" s="54">
        <f>IF(_imp!$C$4145="","",INDEX(_imp!$D$4:$D$4503,_imp!$C$4145))</f>
        <v/>
      </c>
      <c r="B4143" s="54">
        <f>IF(_imp!$C$4145="","",INDEX(_imp!$E$4:$E$4503,_imp!$C$4145))</f>
        <v/>
      </c>
      <c r="C4143" s="54">
        <f>IF(_imp!$C$4145="","",INDEX(_imp!$F$4:$F$4503,_imp!$C$4145))</f>
        <v/>
      </c>
      <c r="D4143" s="54">
        <f>IF(_imp!$C$4145="","",INDEX(_imp!$G$4:$G$4503,_imp!$C$4145))</f>
        <v/>
      </c>
      <c r="E4143" s="54">
        <f>IF(_imp!$C$4145="","",INDEX(_imp!$H$4:$H$4503,_imp!$C$4145))</f>
        <v/>
      </c>
      <c r="F4143" s="54">
        <f>IF(_imp!$C$4145="","",INDEX(_imp!$I$4:$I$4503,_imp!$C$4145))</f>
        <v/>
      </c>
      <c r="G4143" s="54">
        <f>IF(_imp!$C$4145="","",INDEX(_imp!$J$4:$J$4503,_imp!$C$4145))</f>
        <v/>
      </c>
      <c r="K4143" s="54">
        <f>IF(_imp!$C$4145="","",INDEX(_imp!$K$4:$K$4503,_imp!$C$4145))</f>
        <v/>
      </c>
    </row>
    <row r="4144">
      <c r="A4144" s="54">
        <f>IF(_imp!$C$4146="","",INDEX(_imp!$D$4:$D$4503,_imp!$C$4146))</f>
        <v/>
      </c>
      <c r="B4144" s="54">
        <f>IF(_imp!$C$4146="","",INDEX(_imp!$E$4:$E$4503,_imp!$C$4146))</f>
        <v/>
      </c>
      <c r="C4144" s="54">
        <f>IF(_imp!$C$4146="","",INDEX(_imp!$F$4:$F$4503,_imp!$C$4146))</f>
        <v/>
      </c>
      <c r="D4144" s="54">
        <f>IF(_imp!$C$4146="","",INDEX(_imp!$G$4:$G$4503,_imp!$C$4146))</f>
        <v/>
      </c>
      <c r="E4144" s="54">
        <f>IF(_imp!$C$4146="","",INDEX(_imp!$H$4:$H$4503,_imp!$C$4146))</f>
        <v/>
      </c>
      <c r="F4144" s="54">
        <f>IF(_imp!$C$4146="","",INDEX(_imp!$I$4:$I$4503,_imp!$C$4146))</f>
        <v/>
      </c>
      <c r="G4144" s="54">
        <f>IF(_imp!$C$4146="","",INDEX(_imp!$J$4:$J$4503,_imp!$C$4146))</f>
        <v/>
      </c>
      <c r="K4144" s="54">
        <f>IF(_imp!$C$4146="","",INDEX(_imp!$K$4:$K$4503,_imp!$C$4146))</f>
        <v/>
      </c>
    </row>
    <row r="4145">
      <c r="A4145" s="54">
        <f>IF(_imp!$C$4147="","",INDEX(_imp!$D$4:$D$4503,_imp!$C$4147))</f>
        <v/>
      </c>
      <c r="B4145" s="54">
        <f>IF(_imp!$C$4147="","",INDEX(_imp!$E$4:$E$4503,_imp!$C$4147))</f>
        <v/>
      </c>
      <c r="C4145" s="54">
        <f>IF(_imp!$C$4147="","",INDEX(_imp!$F$4:$F$4503,_imp!$C$4147))</f>
        <v/>
      </c>
      <c r="D4145" s="54">
        <f>IF(_imp!$C$4147="","",INDEX(_imp!$G$4:$G$4503,_imp!$C$4147))</f>
        <v/>
      </c>
      <c r="E4145" s="54">
        <f>IF(_imp!$C$4147="","",INDEX(_imp!$H$4:$H$4503,_imp!$C$4147))</f>
        <v/>
      </c>
      <c r="F4145" s="54">
        <f>IF(_imp!$C$4147="","",INDEX(_imp!$I$4:$I$4503,_imp!$C$4147))</f>
        <v/>
      </c>
      <c r="G4145" s="54">
        <f>IF(_imp!$C$4147="","",INDEX(_imp!$J$4:$J$4503,_imp!$C$4147))</f>
        <v/>
      </c>
      <c r="K4145" s="54">
        <f>IF(_imp!$C$4147="","",INDEX(_imp!$K$4:$K$4503,_imp!$C$4147))</f>
        <v/>
      </c>
    </row>
    <row r="4146">
      <c r="A4146" s="54">
        <f>IF(_imp!$C$4148="","",INDEX(_imp!$D$4:$D$4503,_imp!$C$4148))</f>
        <v/>
      </c>
      <c r="B4146" s="54">
        <f>IF(_imp!$C$4148="","",INDEX(_imp!$E$4:$E$4503,_imp!$C$4148))</f>
        <v/>
      </c>
      <c r="C4146" s="54">
        <f>IF(_imp!$C$4148="","",INDEX(_imp!$F$4:$F$4503,_imp!$C$4148))</f>
        <v/>
      </c>
      <c r="D4146" s="54">
        <f>IF(_imp!$C$4148="","",INDEX(_imp!$G$4:$G$4503,_imp!$C$4148))</f>
        <v/>
      </c>
      <c r="E4146" s="54">
        <f>IF(_imp!$C$4148="","",INDEX(_imp!$H$4:$H$4503,_imp!$C$4148))</f>
        <v/>
      </c>
      <c r="F4146" s="54">
        <f>IF(_imp!$C$4148="","",INDEX(_imp!$I$4:$I$4503,_imp!$C$4148))</f>
        <v/>
      </c>
      <c r="G4146" s="54">
        <f>IF(_imp!$C$4148="","",INDEX(_imp!$J$4:$J$4503,_imp!$C$4148))</f>
        <v/>
      </c>
      <c r="K4146" s="54">
        <f>IF(_imp!$C$4148="","",INDEX(_imp!$K$4:$K$4503,_imp!$C$4148))</f>
        <v/>
      </c>
    </row>
    <row r="4147">
      <c r="A4147" s="54">
        <f>IF(_imp!$C$4149="","",INDEX(_imp!$D$4:$D$4503,_imp!$C$4149))</f>
        <v/>
      </c>
      <c r="B4147" s="54">
        <f>IF(_imp!$C$4149="","",INDEX(_imp!$E$4:$E$4503,_imp!$C$4149))</f>
        <v/>
      </c>
      <c r="C4147" s="54">
        <f>IF(_imp!$C$4149="","",INDEX(_imp!$F$4:$F$4503,_imp!$C$4149))</f>
        <v/>
      </c>
      <c r="D4147" s="54">
        <f>IF(_imp!$C$4149="","",INDEX(_imp!$G$4:$G$4503,_imp!$C$4149))</f>
        <v/>
      </c>
      <c r="E4147" s="54">
        <f>IF(_imp!$C$4149="","",INDEX(_imp!$H$4:$H$4503,_imp!$C$4149))</f>
        <v/>
      </c>
      <c r="F4147" s="54">
        <f>IF(_imp!$C$4149="","",INDEX(_imp!$I$4:$I$4503,_imp!$C$4149))</f>
        <v/>
      </c>
      <c r="G4147" s="54">
        <f>IF(_imp!$C$4149="","",INDEX(_imp!$J$4:$J$4503,_imp!$C$4149))</f>
        <v/>
      </c>
      <c r="K4147" s="54">
        <f>IF(_imp!$C$4149="","",INDEX(_imp!$K$4:$K$4503,_imp!$C$4149))</f>
        <v/>
      </c>
    </row>
    <row r="4148">
      <c r="A4148" s="54">
        <f>IF(_imp!$C$4150="","",INDEX(_imp!$D$4:$D$4503,_imp!$C$4150))</f>
        <v/>
      </c>
      <c r="B4148" s="54">
        <f>IF(_imp!$C$4150="","",INDEX(_imp!$E$4:$E$4503,_imp!$C$4150))</f>
        <v/>
      </c>
      <c r="C4148" s="54">
        <f>IF(_imp!$C$4150="","",INDEX(_imp!$F$4:$F$4503,_imp!$C$4150))</f>
        <v/>
      </c>
      <c r="D4148" s="54">
        <f>IF(_imp!$C$4150="","",INDEX(_imp!$G$4:$G$4503,_imp!$C$4150))</f>
        <v/>
      </c>
      <c r="E4148" s="54">
        <f>IF(_imp!$C$4150="","",INDEX(_imp!$H$4:$H$4503,_imp!$C$4150))</f>
        <v/>
      </c>
      <c r="F4148" s="54">
        <f>IF(_imp!$C$4150="","",INDEX(_imp!$I$4:$I$4503,_imp!$C$4150))</f>
        <v/>
      </c>
      <c r="G4148" s="54">
        <f>IF(_imp!$C$4150="","",INDEX(_imp!$J$4:$J$4503,_imp!$C$4150))</f>
        <v/>
      </c>
      <c r="K4148" s="54">
        <f>IF(_imp!$C$4150="","",INDEX(_imp!$K$4:$K$4503,_imp!$C$4150))</f>
        <v/>
      </c>
    </row>
    <row r="4149">
      <c r="A4149" s="54">
        <f>IF(_imp!$C$4151="","",INDEX(_imp!$D$4:$D$4503,_imp!$C$4151))</f>
        <v/>
      </c>
      <c r="B4149" s="54">
        <f>IF(_imp!$C$4151="","",INDEX(_imp!$E$4:$E$4503,_imp!$C$4151))</f>
        <v/>
      </c>
      <c r="C4149" s="54">
        <f>IF(_imp!$C$4151="","",INDEX(_imp!$F$4:$F$4503,_imp!$C$4151))</f>
        <v/>
      </c>
      <c r="D4149" s="54">
        <f>IF(_imp!$C$4151="","",INDEX(_imp!$G$4:$G$4503,_imp!$C$4151))</f>
        <v/>
      </c>
      <c r="E4149" s="54">
        <f>IF(_imp!$C$4151="","",INDEX(_imp!$H$4:$H$4503,_imp!$C$4151))</f>
        <v/>
      </c>
      <c r="F4149" s="54">
        <f>IF(_imp!$C$4151="","",INDEX(_imp!$I$4:$I$4503,_imp!$C$4151))</f>
        <v/>
      </c>
      <c r="G4149" s="54">
        <f>IF(_imp!$C$4151="","",INDEX(_imp!$J$4:$J$4503,_imp!$C$4151))</f>
        <v/>
      </c>
      <c r="K4149" s="54">
        <f>IF(_imp!$C$4151="","",INDEX(_imp!$K$4:$K$4503,_imp!$C$4151))</f>
        <v/>
      </c>
    </row>
    <row r="4150">
      <c r="A4150" s="54">
        <f>IF(_imp!$C$4152="","",INDEX(_imp!$D$4:$D$4503,_imp!$C$4152))</f>
        <v/>
      </c>
      <c r="B4150" s="54">
        <f>IF(_imp!$C$4152="","",INDEX(_imp!$E$4:$E$4503,_imp!$C$4152))</f>
        <v/>
      </c>
      <c r="C4150" s="54">
        <f>IF(_imp!$C$4152="","",INDEX(_imp!$F$4:$F$4503,_imp!$C$4152))</f>
        <v/>
      </c>
      <c r="D4150" s="54">
        <f>IF(_imp!$C$4152="","",INDEX(_imp!$G$4:$G$4503,_imp!$C$4152))</f>
        <v/>
      </c>
      <c r="E4150" s="54">
        <f>IF(_imp!$C$4152="","",INDEX(_imp!$H$4:$H$4503,_imp!$C$4152))</f>
        <v/>
      </c>
      <c r="F4150" s="54">
        <f>IF(_imp!$C$4152="","",INDEX(_imp!$I$4:$I$4503,_imp!$C$4152))</f>
        <v/>
      </c>
      <c r="G4150" s="54">
        <f>IF(_imp!$C$4152="","",INDEX(_imp!$J$4:$J$4503,_imp!$C$4152))</f>
        <v/>
      </c>
      <c r="K4150" s="54">
        <f>IF(_imp!$C$4152="","",INDEX(_imp!$K$4:$K$4503,_imp!$C$4152))</f>
        <v/>
      </c>
    </row>
    <row r="4151">
      <c r="A4151" s="54">
        <f>IF(_imp!$C$4153="","",INDEX(_imp!$D$4:$D$4503,_imp!$C$4153))</f>
        <v/>
      </c>
      <c r="B4151" s="54">
        <f>IF(_imp!$C$4153="","",INDEX(_imp!$E$4:$E$4503,_imp!$C$4153))</f>
        <v/>
      </c>
      <c r="C4151" s="54">
        <f>IF(_imp!$C$4153="","",INDEX(_imp!$F$4:$F$4503,_imp!$C$4153))</f>
        <v/>
      </c>
      <c r="D4151" s="54">
        <f>IF(_imp!$C$4153="","",INDEX(_imp!$G$4:$G$4503,_imp!$C$4153))</f>
        <v/>
      </c>
      <c r="E4151" s="54">
        <f>IF(_imp!$C$4153="","",INDEX(_imp!$H$4:$H$4503,_imp!$C$4153))</f>
        <v/>
      </c>
      <c r="F4151" s="54">
        <f>IF(_imp!$C$4153="","",INDEX(_imp!$I$4:$I$4503,_imp!$C$4153))</f>
        <v/>
      </c>
      <c r="G4151" s="54">
        <f>IF(_imp!$C$4153="","",INDEX(_imp!$J$4:$J$4503,_imp!$C$4153))</f>
        <v/>
      </c>
      <c r="K4151" s="54">
        <f>IF(_imp!$C$4153="","",INDEX(_imp!$K$4:$K$4503,_imp!$C$4153))</f>
        <v/>
      </c>
    </row>
    <row r="4152">
      <c r="A4152" s="54">
        <f>IF(_imp!$C$4154="","",INDEX(_imp!$D$4:$D$4503,_imp!$C$4154))</f>
        <v/>
      </c>
      <c r="B4152" s="54">
        <f>IF(_imp!$C$4154="","",INDEX(_imp!$E$4:$E$4503,_imp!$C$4154))</f>
        <v/>
      </c>
      <c r="C4152" s="54">
        <f>IF(_imp!$C$4154="","",INDEX(_imp!$F$4:$F$4503,_imp!$C$4154))</f>
        <v/>
      </c>
      <c r="D4152" s="54">
        <f>IF(_imp!$C$4154="","",INDEX(_imp!$G$4:$G$4503,_imp!$C$4154))</f>
        <v/>
      </c>
      <c r="E4152" s="54">
        <f>IF(_imp!$C$4154="","",INDEX(_imp!$H$4:$H$4503,_imp!$C$4154))</f>
        <v/>
      </c>
      <c r="F4152" s="54">
        <f>IF(_imp!$C$4154="","",INDEX(_imp!$I$4:$I$4503,_imp!$C$4154))</f>
        <v/>
      </c>
      <c r="G4152" s="54">
        <f>IF(_imp!$C$4154="","",INDEX(_imp!$J$4:$J$4503,_imp!$C$4154))</f>
        <v/>
      </c>
      <c r="K4152" s="54">
        <f>IF(_imp!$C$4154="","",INDEX(_imp!$K$4:$K$4503,_imp!$C$4154))</f>
        <v/>
      </c>
    </row>
    <row r="4153">
      <c r="A4153" s="54">
        <f>IF(_imp!$C$4155="","",INDEX(_imp!$D$4:$D$4503,_imp!$C$4155))</f>
        <v/>
      </c>
      <c r="B4153" s="54">
        <f>IF(_imp!$C$4155="","",INDEX(_imp!$E$4:$E$4503,_imp!$C$4155))</f>
        <v/>
      </c>
      <c r="C4153" s="54">
        <f>IF(_imp!$C$4155="","",INDEX(_imp!$F$4:$F$4503,_imp!$C$4155))</f>
        <v/>
      </c>
      <c r="D4153" s="54">
        <f>IF(_imp!$C$4155="","",INDEX(_imp!$G$4:$G$4503,_imp!$C$4155))</f>
        <v/>
      </c>
      <c r="E4153" s="54">
        <f>IF(_imp!$C$4155="","",INDEX(_imp!$H$4:$H$4503,_imp!$C$4155))</f>
        <v/>
      </c>
      <c r="F4153" s="54">
        <f>IF(_imp!$C$4155="","",INDEX(_imp!$I$4:$I$4503,_imp!$C$4155))</f>
        <v/>
      </c>
      <c r="G4153" s="54">
        <f>IF(_imp!$C$4155="","",INDEX(_imp!$J$4:$J$4503,_imp!$C$4155))</f>
        <v/>
      </c>
      <c r="K4153" s="54">
        <f>IF(_imp!$C$4155="","",INDEX(_imp!$K$4:$K$4503,_imp!$C$4155))</f>
        <v/>
      </c>
    </row>
    <row r="4154">
      <c r="A4154" s="54">
        <f>IF(_imp!$C$4156="","",INDEX(_imp!$D$4:$D$4503,_imp!$C$4156))</f>
        <v/>
      </c>
      <c r="B4154" s="54">
        <f>IF(_imp!$C$4156="","",INDEX(_imp!$E$4:$E$4503,_imp!$C$4156))</f>
        <v/>
      </c>
      <c r="C4154" s="54">
        <f>IF(_imp!$C$4156="","",INDEX(_imp!$F$4:$F$4503,_imp!$C$4156))</f>
        <v/>
      </c>
      <c r="D4154" s="54">
        <f>IF(_imp!$C$4156="","",INDEX(_imp!$G$4:$G$4503,_imp!$C$4156))</f>
        <v/>
      </c>
      <c r="E4154" s="54">
        <f>IF(_imp!$C$4156="","",INDEX(_imp!$H$4:$H$4503,_imp!$C$4156))</f>
        <v/>
      </c>
      <c r="F4154" s="54">
        <f>IF(_imp!$C$4156="","",INDEX(_imp!$I$4:$I$4503,_imp!$C$4156))</f>
        <v/>
      </c>
      <c r="G4154" s="54">
        <f>IF(_imp!$C$4156="","",INDEX(_imp!$J$4:$J$4503,_imp!$C$4156))</f>
        <v/>
      </c>
      <c r="K4154" s="54">
        <f>IF(_imp!$C$4156="","",INDEX(_imp!$K$4:$K$4503,_imp!$C$4156))</f>
        <v/>
      </c>
    </row>
    <row r="4155">
      <c r="A4155" s="54">
        <f>IF(_imp!$C$4157="","",INDEX(_imp!$D$4:$D$4503,_imp!$C$4157))</f>
        <v/>
      </c>
      <c r="B4155" s="54">
        <f>IF(_imp!$C$4157="","",INDEX(_imp!$E$4:$E$4503,_imp!$C$4157))</f>
        <v/>
      </c>
      <c r="C4155" s="54">
        <f>IF(_imp!$C$4157="","",INDEX(_imp!$F$4:$F$4503,_imp!$C$4157))</f>
        <v/>
      </c>
      <c r="D4155" s="54">
        <f>IF(_imp!$C$4157="","",INDEX(_imp!$G$4:$G$4503,_imp!$C$4157))</f>
        <v/>
      </c>
      <c r="E4155" s="54">
        <f>IF(_imp!$C$4157="","",INDEX(_imp!$H$4:$H$4503,_imp!$C$4157))</f>
        <v/>
      </c>
      <c r="F4155" s="54">
        <f>IF(_imp!$C$4157="","",INDEX(_imp!$I$4:$I$4503,_imp!$C$4157))</f>
        <v/>
      </c>
      <c r="G4155" s="54">
        <f>IF(_imp!$C$4157="","",INDEX(_imp!$J$4:$J$4503,_imp!$C$4157))</f>
        <v/>
      </c>
      <c r="K4155" s="54">
        <f>IF(_imp!$C$4157="","",INDEX(_imp!$K$4:$K$4503,_imp!$C$4157))</f>
        <v/>
      </c>
    </row>
    <row r="4156">
      <c r="A4156" s="54">
        <f>IF(_imp!$C$4158="","",INDEX(_imp!$D$4:$D$4503,_imp!$C$4158))</f>
        <v/>
      </c>
      <c r="B4156" s="54">
        <f>IF(_imp!$C$4158="","",INDEX(_imp!$E$4:$E$4503,_imp!$C$4158))</f>
        <v/>
      </c>
      <c r="C4156" s="54">
        <f>IF(_imp!$C$4158="","",INDEX(_imp!$F$4:$F$4503,_imp!$C$4158))</f>
        <v/>
      </c>
      <c r="D4156" s="54">
        <f>IF(_imp!$C$4158="","",INDEX(_imp!$G$4:$G$4503,_imp!$C$4158))</f>
        <v/>
      </c>
      <c r="E4156" s="54">
        <f>IF(_imp!$C$4158="","",INDEX(_imp!$H$4:$H$4503,_imp!$C$4158))</f>
        <v/>
      </c>
      <c r="F4156" s="54">
        <f>IF(_imp!$C$4158="","",INDEX(_imp!$I$4:$I$4503,_imp!$C$4158))</f>
        <v/>
      </c>
      <c r="G4156" s="54">
        <f>IF(_imp!$C$4158="","",INDEX(_imp!$J$4:$J$4503,_imp!$C$4158))</f>
        <v/>
      </c>
      <c r="K4156" s="54">
        <f>IF(_imp!$C$4158="","",INDEX(_imp!$K$4:$K$4503,_imp!$C$4158))</f>
        <v/>
      </c>
    </row>
    <row r="4157">
      <c r="A4157" s="54">
        <f>IF(_imp!$C$4159="","",INDEX(_imp!$D$4:$D$4503,_imp!$C$4159))</f>
        <v/>
      </c>
      <c r="B4157" s="54">
        <f>IF(_imp!$C$4159="","",INDEX(_imp!$E$4:$E$4503,_imp!$C$4159))</f>
        <v/>
      </c>
      <c r="C4157" s="54">
        <f>IF(_imp!$C$4159="","",INDEX(_imp!$F$4:$F$4503,_imp!$C$4159))</f>
        <v/>
      </c>
      <c r="D4157" s="54">
        <f>IF(_imp!$C$4159="","",INDEX(_imp!$G$4:$G$4503,_imp!$C$4159))</f>
        <v/>
      </c>
      <c r="E4157" s="54">
        <f>IF(_imp!$C$4159="","",INDEX(_imp!$H$4:$H$4503,_imp!$C$4159))</f>
        <v/>
      </c>
      <c r="F4157" s="54">
        <f>IF(_imp!$C$4159="","",INDEX(_imp!$I$4:$I$4503,_imp!$C$4159))</f>
        <v/>
      </c>
      <c r="G4157" s="54">
        <f>IF(_imp!$C$4159="","",INDEX(_imp!$J$4:$J$4503,_imp!$C$4159))</f>
        <v/>
      </c>
      <c r="K4157" s="54">
        <f>IF(_imp!$C$4159="","",INDEX(_imp!$K$4:$K$4503,_imp!$C$4159))</f>
        <v/>
      </c>
    </row>
    <row r="4158">
      <c r="A4158" s="54">
        <f>IF(_imp!$C$4160="","",INDEX(_imp!$D$4:$D$4503,_imp!$C$4160))</f>
        <v/>
      </c>
      <c r="B4158" s="54">
        <f>IF(_imp!$C$4160="","",INDEX(_imp!$E$4:$E$4503,_imp!$C$4160))</f>
        <v/>
      </c>
      <c r="C4158" s="54">
        <f>IF(_imp!$C$4160="","",INDEX(_imp!$F$4:$F$4503,_imp!$C$4160))</f>
        <v/>
      </c>
      <c r="D4158" s="54">
        <f>IF(_imp!$C$4160="","",INDEX(_imp!$G$4:$G$4503,_imp!$C$4160))</f>
        <v/>
      </c>
      <c r="E4158" s="54">
        <f>IF(_imp!$C$4160="","",INDEX(_imp!$H$4:$H$4503,_imp!$C$4160))</f>
        <v/>
      </c>
      <c r="F4158" s="54">
        <f>IF(_imp!$C$4160="","",INDEX(_imp!$I$4:$I$4503,_imp!$C$4160))</f>
        <v/>
      </c>
      <c r="G4158" s="54">
        <f>IF(_imp!$C$4160="","",INDEX(_imp!$J$4:$J$4503,_imp!$C$4160))</f>
        <v/>
      </c>
      <c r="K4158" s="54">
        <f>IF(_imp!$C$4160="","",INDEX(_imp!$K$4:$K$4503,_imp!$C$4160))</f>
        <v/>
      </c>
    </row>
    <row r="4159">
      <c r="A4159" s="54">
        <f>IF(_imp!$C$4161="","",INDEX(_imp!$D$4:$D$4503,_imp!$C$4161))</f>
        <v/>
      </c>
      <c r="B4159" s="54">
        <f>IF(_imp!$C$4161="","",INDEX(_imp!$E$4:$E$4503,_imp!$C$4161))</f>
        <v/>
      </c>
      <c r="C4159" s="54">
        <f>IF(_imp!$C$4161="","",INDEX(_imp!$F$4:$F$4503,_imp!$C$4161))</f>
        <v/>
      </c>
      <c r="D4159" s="54">
        <f>IF(_imp!$C$4161="","",INDEX(_imp!$G$4:$G$4503,_imp!$C$4161))</f>
        <v/>
      </c>
      <c r="E4159" s="54">
        <f>IF(_imp!$C$4161="","",INDEX(_imp!$H$4:$H$4503,_imp!$C$4161))</f>
        <v/>
      </c>
      <c r="F4159" s="54">
        <f>IF(_imp!$C$4161="","",INDEX(_imp!$I$4:$I$4503,_imp!$C$4161))</f>
        <v/>
      </c>
      <c r="G4159" s="54">
        <f>IF(_imp!$C$4161="","",INDEX(_imp!$J$4:$J$4503,_imp!$C$4161))</f>
        <v/>
      </c>
      <c r="K4159" s="54">
        <f>IF(_imp!$C$4161="","",INDEX(_imp!$K$4:$K$4503,_imp!$C$4161))</f>
        <v/>
      </c>
    </row>
    <row r="4160">
      <c r="A4160" s="54">
        <f>IF(_imp!$C$4162="","",INDEX(_imp!$D$4:$D$4503,_imp!$C$4162))</f>
        <v/>
      </c>
      <c r="B4160" s="54">
        <f>IF(_imp!$C$4162="","",INDEX(_imp!$E$4:$E$4503,_imp!$C$4162))</f>
        <v/>
      </c>
      <c r="C4160" s="54">
        <f>IF(_imp!$C$4162="","",INDEX(_imp!$F$4:$F$4503,_imp!$C$4162))</f>
        <v/>
      </c>
      <c r="D4160" s="54">
        <f>IF(_imp!$C$4162="","",INDEX(_imp!$G$4:$G$4503,_imp!$C$4162))</f>
        <v/>
      </c>
      <c r="E4160" s="54">
        <f>IF(_imp!$C$4162="","",INDEX(_imp!$H$4:$H$4503,_imp!$C$4162))</f>
        <v/>
      </c>
      <c r="F4160" s="54">
        <f>IF(_imp!$C$4162="","",INDEX(_imp!$I$4:$I$4503,_imp!$C$4162))</f>
        <v/>
      </c>
      <c r="G4160" s="54">
        <f>IF(_imp!$C$4162="","",INDEX(_imp!$J$4:$J$4503,_imp!$C$4162))</f>
        <v/>
      </c>
      <c r="K4160" s="54">
        <f>IF(_imp!$C$4162="","",INDEX(_imp!$K$4:$K$4503,_imp!$C$4162))</f>
        <v/>
      </c>
    </row>
    <row r="4161">
      <c r="A4161" s="54">
        <f>IF(_imp!$C$4163="","",INDEX(_imp!$D$4:$D$4503,_imp!$C$4163))</f>
        <v/>
      </c>
      <c r="B4161" s="54">
        <f>IF(_imp!$C$4163="","",INDEX(_imp!$E$4:$E$4503,_imp!$C$4163))</f>
        <v/>
      </c>
      <c r="C4161" s="54">
        <f>IF(_imp!$C$4163="","",INDEX(_imp!$F$4:$F$4503,_imp!$C$4163))</f>
        <v/>
      </c>
      <c r="D4161" s="54">
        <f>IF(_imp!$C$4163="","",INDEX(_imp!$G$4:$G$4503,_imp!$C$4163))</f>
        <v/>
      </c>
      <c r="E4161" s="54">
        <f>IF(_imp!$C$4163="","",INDEX(_imp!$H$4:$H$4503,_imp!$C$4163))</f>
        <v/>
      </c>
      <c r="F4161" s="54">
        <f>IF(_imp!$C$4163="","",INDEX(_imp!$I$4:$I$4503,_imp!$C$4163))</f>
        <v/>
      </c>
      <c r="G4161" s="54">
        <f>IF(_imp!$C$4163="","",INDEX(_imp!$J$4:$J$4503,_imp!$C$4163))</f>
        <v/>
      </c>
      <c r="K4161" s="54">
        <f>IF(_imp!$C$4163="","",INDEX(_imp!$K$4:$K$4503,_imp!$C$4163))</f>
        <v/>
      </c>
    </row>
    <row r="4162">
      <c r="A4162" s="54">
        <f>IF(_imp!$C$4164="","",INDEX(_imp!$D$4:$D$4503,_imp!$C$4164))</f>
        <v/>
      </c>
      <c r="B4162" s="54">
        <f>IF(_imp!$C$4164="","",INDEX(_imp!$E$4:$E$4503,_imp!$C$4164))</f>
        <v/>
      </c>
      <c r="C4162" s="54">
        <f>IF(_imp!$C$4164="","",INDEX(_imp!$F$4:$F$4503,_imp!$C$4164))</f>
        <v/>
      </c>
      <c r="D4162" s="54">
        <f>IF(_imp!$C$4164="","",INDEX(_imp!$G$4:$G$4503,_imp!$C$4164))</f>
        <v/>
      </c>
      <c r="E4162" s="54">
        <f>IF(_imp!$C$4164="","",INDEX(_imp!$H$4:$H$4503,_imp!$C$4164))</f>
        <v/>
      </c>
      <c r="F4162" s="54">
        <f>IF(_imp!$C$4164="","",INDEX(_imp!$I$4:$I$4503,_imp!$C$4164))</f>
        <v/>
      </c>
      <c r="G4162" s="54">
        <f>IF(_imp!$C$4164="","",INDEX(_imp!$J$4:$J$4503,_imp!$C$4164))</f>
        <v/>
      </c>
      <c r="K4162" s="54">
        <f>IF(_imp!$C$4164="","",INDEX(_imp!$K$4:$K$4503,_imp!$C$4164))</f>
        <v/>
      </c>
    </row>
    <row r="4163">
      <c r="A4163" s="54">
        <f>IF(_imp!$C$4165="","",INDEX(_imp!$D$4:$D$4503,_imp!$C$4165))</f>
        <v/>
      </c>
      <c r="B4163" s="54">
        <f>IF(_imp!$C$4165="","",INDEX(_imp!$E$4:$E$4503,_imp!$C$4165))</f>
        <v/>
      </c>
      <c r="C4163" s="54">
        <f>IF(_imp!$C$4165="","",INDEX(_imp!$F$4:$F$4503,_imp!$C$4165))</f>
        <v/>
      </c>
      <c r="D4163" s="54">
        <f>IF(_imp!$C$4165="","",INDEX(_imp!$G$4:$G$4503,_imp!$C$4165))</f>
        <v/>
      </c>
      <c r="E4163" s="54">
        <f>IF(_imp!$C$4165="","",INDEX(_imp!$H$4:$H$4503,_imp!$C$4165))</f>
        <v/>
      </c>
      <c r="F4163" s="54">
        <f>IF(_imp!$C$4165="","",INDEX(_imp!$I$4:$I$4503,_imp!$C$4165))</f>
        <v/>
      </c>
      <c r="G4163" s="54">
        <f>IF(_imp!$C$4165="","",INDEX(_imp!$J$4:$J$4503,_imp!$C$4165))</f>
        <v/>
      </c>
      <c r="K4163" s="54">
        <f>IF(_imp!$C$4165="","",INDEX(_imp!$K$4:$K$4503,_imp!$C$4165))</f>
        <v/>
      </c>
    </row>
    <row r="4164">
      <c r="A4164" s="54">
        <f>IF(_imp!$C$4166="","",INDEX(_imp!$D$4:$D$4503,_imp!$C$4166))</f>
        <v/>
      </c>
      <c r="B4164" s="54">
        <f>IF(_imp!$C$4166="","",INDEX(_imp!$E$4:$E$4503,_imp!$C$4166))</f>
        <v/>
      </c>
      <c r="C4164" s="54">
        <f>IF(_imp!$C$4166="","",INDEX(_imp!$F$4:$F$4503,_imp!$C$4166))</f>
        <v/>
      </c>
      <c r="D4164" s="54">
        <f>IF(_imp!$C$4166="","",INDEX(_imp!$G$4:$G$4503,_imp!$C$4166))</f>
        <v/>
      </c>
      <c r="E4164" s="54">
        <f>IF(_imp!$C$4166="","",INDEX(_imp!$H$4:$H$4503,_imp!$C$4166))</f>
        <v/>
      </c>
      <c r="F4164" s="54">
        <f>IF(_imp!$C$4166="","",INDEX(_imp!$I$4:$I$4503,_imp!$C$4166))</f>
        <v/>
      </c>
      <c r="G4164" s="54">
        <f>IF(_imp!$C$4166="","",INDEX(_imp!$J$4:$J$4503,_imp!$C$4166))</f>
        <v/>
      </c>
      <c r="K4164" s="54">
        <f>IF(_imp!$C$4166="","",INDEX(_imp!$K$4:$K$4503,_imp!$C$4166))</f>
        <v/>
      </c>
    </row>
    <row r="4165">
      <c r="A4165" s="54">
        <f>IF(_imp!$C$4167="","",INDEX(_imp!$D$4:$D$4503,_imp!$C$4167))</f>
        <v/>
      </c>
      <c r="B4165" s="54">
        <f>IF(_imp!$C$4167="","",INDEX(_imp!$E$4:$E$4503,_imp!$C$4167))</f>
        <v/>
      </c>
      <c r="C4165" s="54">
        <f>IF(_imp!$C$4167="","",INDEX(_imp!$F$4:$F$4503,_imp!$C$4167))</f>
        <v/>
      </c>
      <c r="D4165" s="54">
        <f>IF(_imp!$C$4167="","",INDEX(_imp!$G$4:$G$4503,_imp!$C$4167))</f>
        <v/>
      </c>
      <c r="E4165" s="54">
        <f>IF(_imp!$C$4167="","",INDEX(_imp!$H$4:$H$4503,_imp!$C$4167))</f>
        <v/>
      </c>
      <c r="F4165" s="54">
        <f>IF(_imp!$C$4167="","",INDEX(_imp!$I$4:$I$4503,_imp!$C$4167))</f>
        <v/>
      </c>
      <c r="G4165" s="54">
        <f>IF(_imp!$C$4167="","",INDEX(_imp!$J$4:$J$4503,_imp!$C$4167))</f>
        <v/>
      </c>
      <c r="K4165" s="54">
        <f>IF(_imp!$C$4167="","",INDEX(_imp!$K$4:$K$4503,_imp!$C$4167))</f>
        <v/>
      </c>
    </row>
    <row r="4166">
      <c r="A4166" s="54">
        <f>IF(_imp!$C$4168="","",INDEX(_imp!$D$4:$D$4503,_imp!$C$4168))</f>
        <v/>
      </c>
      <c r="B4166" s="54">
        <f>IF(_imp!$C$4168="","",INDEX(_imp!$E$4:$E$4503,_imp!$C$4168))</f>
        <v/>
      </c>
      <c r="C4166" s="54">
        <f>IF(_imp!$C$4168="","",INDEX(_imp!$F$4:$F$4503,_imp!$C$4168))</f>
        <v/>
      </c>
      <c r="D4166" s="54">
        <f>IF(_imp!$C$4168="","",INDEX(_imp!$G$4:$G$4503,_imp!$C$4168))</f>
        <v/>
      </c>
      <c r="E4166" s="54">
        <f>IF(_imp!$C$4168="","",INDEX(_imp!$H$4:$H$4503,_imp!$C$4168))</f>
        <v/>
      </c>
      <c r="F4166" s="54">
        <f>IF(_imp!$C$4168="","",INDEX(_imp!$I$4:$I$4503,_imp!$C$4168))</f>
        <v/>
      </c>
      <c r="G4166" s="54">
        <f>IF(_imp!$C$4168="","",INDEX(_imp!$J$4:$J$4503,_imp!$C$4168))</f>
        <v/>
      </c>
      <c r="K4166" s="54">
        <f>IF(_imp!$C$4168="","",INDEX(_imp!$K$4:$K$4503,_imp!$C$4168))</f>
        <v/>
      </c>
    </row>
    <row r="4167">
      <c r="A4167" s="54">
        <f>IF(_imp!$C$4169="","",INDEX(_imp!$D$4:$D$4503,_imp!$C$4169))</f>
        <v/>
      </c>
      <c r="B4167" s="54">
        <f>IF(_imp!$C$4169="","",INDEX(_imp!$E$4:$E$4503,_imp!$C$4169))</f>
        <v/>
      </c>
      <c r="C4167" s="54">
        <f>IF(_imp!$C$4169="","",INDEX(_imp!$F$4:$F$4503,_imp!$C$4169))</f>
        <v/>
      </c>
      <c r="D4167" s="54">
        <f>IF(_imp!$C$4169="","",INDEX(_imp!$G$4:$G$4503,_imp!$C$4169))</f>
        <v/>
      </c>
      <c r="E4167" s="54">
        <f>IF(_imp!$C$4169="","",INDEX(_imp!$H$4:$H$4503,_imp!$C$4169))</f>
        <v/>
      </c>
      <c r="F4167" s="54">
        <f>IF(_imp!$C$4169="","",INDEX(_imp!$I$4:$I$4503,_imp!$C$4169))</f>
        <v/>
      </c>
      <c r="G4167" s="54">
        <f>IF(_imp!$C$4169="","",INDEX(_imp!$J$4:$J$4503,_imp!$C$4169))</f>
        <v/>
      </c>
      <c r="K4167" s="54">
        <f>IF(_imp!$C$4169="","",INDEX(_imp!$K$4:$K$4503,_imp!$C$4169))</f>
        <v/>
      </c>
    </row>
    <row r="4168">
      <c r="A4168" s="54">
        <f>IF(_imp!$C$4170="","",INDEX(_imp!$D$4:$D$4503,_imp!$C$4170))</f>
        <v/>
      </c>
      <c r="B4168" s="54">
        <f>IF(_imp!$C$4170="","",INDEX(_imp!$E$4:$E$4503,_imp!$C$4170))</f>
        <v/>
      </c>
      <c r="C4168" s="54">
        <f>IF(_imp!$C$4170="","",INDEX(_imp!$F$4:$F$4503,_imp!$C$4170))</f>
        <v/>
      </c>
      <c r="D4168" s="54">
        <f>IF(_imp!$C$4170="","",INDEX(_imp!$G$4:$G$4503,_imp!$C$4170))</f>
        <v/>
      </c>
      <c r="E4168" s="54">
        <f>IF(_imp!$C$4170="","",INDEX(_imp!$H$4:$H$4503,_imp!$C$4170))</f>
        <v/>
      </c>
      <c r="F4168" s="54">
        <f>IF(_imp!$C$4170="","",INDEX(_imp!$I$4:$I$4503,_imp!$C$4170))</f>
        <v/>
      </c>
      <c r="G4168" s="54">
        <f>IF(_imp!$C$4170="","",INDEX(_imp!$J$4:$J$4503,_imp!$C$4170))</f>
        <v/>
      </c>
      <c r="K4168" s="54">
        <f>IF(_imp!$C$4170="","",INDEX(_imp!$K$4:$K$4503,_imp!$C$4170))</f>
        <v/>
      </c>
    </row>
    <row r="4169">
      <c r="A4169" s="54">
        <f>IF(_imp!$C$4171="","",INDEX(_imp!$D$4:$D$4503,_imp!$C$4171))</f>
        <v/>
      </c>
      <c r="B4169" s="54">
        <f>IF(_imp!$C$4171="","",INDEX(_imp!$E$4:$E$4503,_imp!$C$4171))</f>
        <v/>
      </c>
      <c r="C4169" s="54">
        <f>IF(_imp!$C$4171="","",INDEX(_imp!$F$4:$F$4503,_imp!$C$4171))</f>
        <v/>
      </c>
      <c r="D4169" s="54">
        <f>IF(_imp!$C$4171="","",INDEX(_imp!$G$4:$G$4503,_imp!$C$4171))</f>
        <v/>
      </c>
      <c r="E4169" s="54">
        <f>IF(_imp!$C$4171="","",INDEX(_imp!$H$4:$H$4503,_imp!$C$4171))</f>
        <v/>
      </c>
      <c r="F4169" s="54">
        <f>IF(_imp!$C$4171="","",INDEX(_imp!$I$4:$I$4503,_imp!$C$4171))</f>
        <v/>
      </c>
      <c r="G4169" s="54">
        <f>IF(_imp!$C$4171="","",INDEX(_imp!$J$4:$J$4503,_imp!$C$4171))</f>
        <v/>
      </c>
      <c r="K4169" s="54">
        <f>IF(_imp!$C$4171="","",INDEX(_imp!$K$4:$K$4503,_imp!$C$4171))</f>
        <v/>
      </c>
    </row>
    <row r="4170">
      <c r="A4170" s="54">
        <f>IF(_imp!$C$4172="","",INDEX(_imp!$D$4:$D$4503,_imp!$C$4172))</f>
        <v/>
      </c>
      <c r="B4170" s="54">
        <f>IF(_imp!$C$4172="","",INDEX(_imp!$E$4:$E$4503,_imp!$C$4172))</f>
        <v/>
      </c>
      <c r="C4170" s="54">
        <f>IF(_imp!$C$4172="","",INDEX(_imp!$F$4:$F$4503,_imp!$C$4172))</f>
        <v/>
      </c>
      <c r="D4170" s="54">
        <f>IF(_imp!$C$4172="","",INDEX(_imp!$G$4:$G$4503,_imp!$C$4172))</f>
        <v/>
      </c>
      <c r="E4170" s="54">
        <f>IF(_imp!$C$4172="","",INDEX(_imp!$H$4:$H$4503,_imp!$C$4172))</f>
        <v/>
      </c>
      <c r="F4170" s="54">
        <f>IF(_imp!$C$4172="","",INDEX(_imp!$I$4:$I$4503,_imp!$C$4172))</f>
        <v/>
      </c>
      <c r="G4170" s="54">
        <f>IF(_imp!$C$4172="","",INDEX(_imp!$J$4:$J$4503,_imp!$C$4172))</f>
        <v/>
      </c>
      <c r="K4170" s="54">
        <f>IF(_imp!$C$4172="","",INDEX(_imp!$K$4:$K$4503,_imp!$C$4172))</f>
        <v/>
      </c>
    </row>
    <row r="4171">
      <c r="A4171" s="54">
        <f>IF(_imp!$C$4173="","",INDEX(_imp!$D$4:$D$4503,_imp!$C$4173))</f>
        <v/>
      </c>
      <c r="B4171" s="54">
        <f>IF(_imp!$C$4173="","",INDEX(_imp!$E$4:$E$4503,_imp!$C$4173))</f>
        <v/>
      </c>
      <c r="C4171" s="54">
        <f>IF(_imp!$C$4173="","",INDEX(_imp!$F$4:$F$4503,_imp!$C$4173))</f>
        <v/>
      </c>
      <c r="D4171" s="54">
        <f>IF(_imp!$C$4173="","",INDEX(_imp!$G$4:$G$4503,_imp!$C$4173))</f>
        <v/>
      </c>
      <c r="E4171" s="54">
        <f>IF(_imp!$C$4173="","",INDEX(_imp!$H$4:$H$4503,_imp!$C$4173))</f>
        <v/>
      </c>
      <c r="F4171" s="54">
        <f>IF(_imp!$C$4173="","",INDEX(_imp!$I$4:$I$4503,_imp!$C$4173))</f>
        <v/>
      </c>
      <c r="G4171" s="54">
        <f>IF(_imp!$C$4173="","",INDEX(_imp!$J$4:$J$4503,_imp!$C$4173))</f>
        <v/>
      </c>
      <c r="K4171" s="54">
        <f>IF(_imp!$C$4173="","",INDEX(_imp!$K$4:$K$4503,_imp!$C$4173))</f>
        <v/>
      </c>
    </row>
    <row r="4172">
      <c r="A4172" s="54">
        <f>IF(_imp!$C$4174="","",INDEX(_imp!$D$4:$D$4503,_imp!$C$4174))</f>
        <v/>
      </c>
      <c r="B4172" s="54">
        <f>IF(_imp!$C$4174="","",INDEX(_imp!$E$4:$E$4503,_imp!$C$4174))</f>
        <v/>
      </c>
      <c r="C4172" s="54">
        <f>IF(_imp!$C$4174="","",INDEX(_imp!$F$4:$F$4503,_imp!$C$4174))</f>
        <v/>
      </c>
      <c r="D4172" s="54">
        <f>IF(_imp!$C$4174="","",INDEX(_imp!$G$4:$G$4503,_imp!$C$4174))</f>
        <v/>
      </c>
      <c r="E4172" s="54">
        <f>IF(_imp!$C$4174="","",INDEX(_imp!$H$4:$H$4503,_imp!$C$4174))</f>
        <v/>
      </c>
      <c r="F4172" s="54">
        <f>IF(_imp!$C$4174="","",INDEX(_imp!$I$4:$I$4503,_imp!$C$4174))</f>
        <v/>
      </c>
      <c r="G4172" s="54">
        <f>IF(_imp!$C$4174="","",INDEX(_imp!$J$4:$J$4503,_imp!$C$4174))</f>
        <v/>
      </c>
      <c r="K4172" s="54">
        <f>IF(_imp!$C$4174="","",INDEX(_imp!$K$4:$K$4503,_imp!$C$4174))</f>
        <v/>
      </c>
    </row>
    <row r="4173">
      <c r="A4173" s="54">
        <f>IF(_imp!$C$4175="","",INDEX(_imp!$D$4:$D$4503,_imp!$C$4175))</f>
        <v/>
      </c>
      <c r="B4173" s="54">
        <f>IF(_imp!$C$4175="","",INDEX(_imp!$E$4:$E$4503,_imp!$C$4175))</f>
        <v/>
      </c>
      <c r="C4173" s="54">
        <f>IF(_imp!$C$4175="","",INDEX(_imp!$F$4:$F$4503,_imp!$C$4175))</f>
        <v/>
      </c>
      <c r="D4173" s="54">
        <f>IF(_imp!$C$4175="","",INDEX(_imp!$G$4:$G$4503,_imp!$C$4175))</f>
        <v/>
      </c>
      <c r="E4173" s="54">
        <f>IF(_imp!$C$4175="","",INDEX(_imp!$H$4:$H$4503,_imp!$C$4175))</f>
        <v/>
      </c>
      <c r="F4173" s="54">
        <f>IF(_imp!$C$4175="","",INDEX(_imp!$I$4:$I$4503,_imp!$C$4175))</f>
        <v/>
      </c>
      <c r="G4173" s="54">
        <f>IF(_imp!$C$4175="","",INDEX(_imp!$J$4:$J$4503,_imp!$C$4175))</f>
        <v/>
      </c>
      <c r="K4173" s="54">
        <f>IF(_imp!$C$4175="","",INDEX(_imp!$K$4:$K$4503,_imp!$C$4175))</f>
        <v/>
      </c>
    </row>
    <row r="4174">
      <c r="A4174" s="54">
        <f>IF(_imp!$C$4176="","",INDEX(_imp!$D$4:$D$4503,_imp!$C$4176))</f>
        <v/>
      </c>
      <c r="B4174" s="54">
        <f>IF(_imp!$C$4176="","",INDEX(_imp!$E$4:$E$4503,_imp!$C$4176))</f>
        <v/>
      </c>
      <c r="C4174" s="54">
        <f>IF(_imp!$C$4176="","",INDEX(_imp!$F$4:$F$4503,_imp!$C$4176))</f>
        <v/>
      </c>
      <c r="D4174" s="54">
        <f>IF(_imp!$C$4176="","",INDEX(_imp!$G$4:$G$4503,_imp!$C$4176))</f>
        <v/>
      </c>
      <c r="E4174" s="54">
        <f>IF(_imp!$C$4176="","",INDEX(_imp!$H$4:$H$4503,_imp!$C$4176))</f>
        <v/>
      </c>
      <c r="F4174" s="54">
        <f>IF(_imp!$C$4176="","",INDEX(_imp!$I$4:$I$4503,_imp!$C$4176))</f>
        <v/>
      </c>
      <c r="G4174" s="54">
        <f>IF(_imp!$C$4176="","",INDEX(_imp!$J$4:$J$4503,_imp!$C$4176))</f>
        <v/>
      </c>
      <c r="K4174" s="54">
        <f>IF(_imp!$C$4176="","",INDEX(_imp!$K$4:$K$4503,_imp!$C$4176))</f>
        <v/>
      </c>
    </row>
    <row r="4175">
      <c r="A4175" s="54">
        <f>IF(_imp!$C$4177="","",INDEX(_imp!$D$4:$D$4503,_imp!$C$4177))</f>
        <v/>
      </c>
      <c r="B4175" s="54">
        <f>IF(_imp!$C$4177="","",INDEX(_imp!$E$4:$E$4503,_imp!$C$4177))</f>
        <v/>
      </c>
      <c r="C4175" s="54">
        <f>IF(_imp!$C$4177="","",INDEX(_imp!$F$4:$F$4503,_imp!$C$4177))</f>
        <v/>
      </c>
      <c r="D4175" s="54">
        <f>IF(_imp!$C$4177="","",INDEX(_imp!$G$4:$G$4503,_imp!$C$4177))</f>
        <v/>
      </c>
      <c r="E4175" s="54">
        <f>IF(_imp!$C$4177="","",INDEX(_imp!$H$4:$H$4503,_imp!$C$4177))</f>
        <v/>
      </c>
      <c r="F4175" s="54">
        <f>IF(_imp!$C$4177="","",INDEX(_imp!$I$4:$I$4503,_imp!$C$4177))</f>
        <v/>
      </c>
      <c r="G4175" s="54">
        <f>IF(_imp!$C$4177="","",INDEX(_imp!$J$4:$J$4503,_imp!$C$4177))</f>
        <v/>
      </c>
      <c r="K4175" s="54">
        <f>IF(_imp!$C$4177="","",INDEX(_imp!$K$4:$K$4503,_imp!$C$4177))</f>
        <v/>
      </c>
    </row>
    <row r="4176">
      <c r="A4176" s="54">
        <f>IF(_imp!$C$4178="","",INDEX(_imp!$D$4:$D$4503,_imp!$C$4178))</f>
        <v/>
      </c>
      <c r="B4176" s="54">
        <f>IF(_imp!$C$4178="","",INDEX(_imp!$E$4:$E$4503,_imp!$C$4178))</f>
        <v/>
      </c>
      <c r="C4176" s="54">
        <f>IF(_imp!$C$4178="","",INDEX(_imp!$F$4:$F$4503,_imp!$C$4178))</f>
        <v/>
      </c>
      <c r="D4176" s="54">
        <f>IF(_imp!$C$4178="","",INDEX(_imp!$G$4:$G$4503,_imp!$C$4178))</f>
        <v/>
      </c>
      <c r="E4176" s="54">
        <f>IF(_imp!$C$4178="","",INDEX(_imp!$H$4:$H$4503,_imp!$C$4178))</f>
        <v/>
      </c>
      <c r="F4176" s="54">
        <f>IF(_imp!$C$4178="","",INDEX(_imp!$I$4:$I$4503,_imp!$C$4178))</f>
        <v/>
      </c>
      <c r="G4176" s="54">
        <f>IF(_imp!$C$4178="","",INDEX(_imp!$J$4:$J$4503,_imp!$C$4178))</f>
        <v/>
      </c>
      <c r="K4176" s="54">
        <f>IF(_imp!$C$4178="","",INDEX(_imp!$K$4:$K$4503,_imp!$C$4178))</f>
        <v/>
      </c>
    </row>
    <row r="4177">
      <c r="A4177" s="54">
        <f>IF(_imp!$C$4179="","",INDEX(_imp!$D$4:$D$4503,_imp!$C$4179))</f>
        <v/>
      </c>
      <c r="B4177" s="54">
        <f>IF(_imp!$C$4179="","",INDEX(_imp!$E$4:$E$4503,_imp!$C$4179))</f>
        <v/>
      </c>
      <c r="C4177" s="54">
        <f>IF(_imp!$C$4179="","",INDEX(_imp!$F$4:$F$4503,_imp!$C$4179))</f>
        <v/>
      </c>
      <c r="D4177" s="54">
        <f>IF(_imp!$C$4179="","",INDEX(_imp!$G$4:$G$4503,_imp!$C$4179))</f>
        <v/>
      </c>
      <c r="E4177" s="54">
        <f>IF(_imp!$C$4179="","",INDEX(_imp!$H$4:$H$4503,_imp!$C$4179))</f>
        <v/>
      </c>
      <c r="F4177" s="54">
        <f>IF(_imp!$C$4179="","",INDEX(_imp!$I$4:$I$4503,_imp!$C$4179))</f>
        <v/>
      </c>
      <c r="G4177" s="54">
        <f>IF(_imp!$C$4179="","",INDEX(_imp!$J$4:$J$4503,_imp!$C$4179))</f>
        <v/>
      </c>
      <c r="K4177" s="54">
        <f>IF(_imp!$C$4179="","",INDEX(_imp!$K$4:$K$4503,_imp!$C$4179))</f>
        <v/>
      </c>
    </row>
    <row r="4178">
      <c r="A4178" s="54">
        <f>IF(_imp!$C$4180="","",INDEX(_imp!$D$4:$D$4503,_imp!$C$4180))</f>
        <v/>
      </c>
      <c r="B4178" s="54">
        <f>IF(_imp!$C$4180="","",INDEX(_imp!$E$4:$E$4503,_imp!$C$4180))</f>
        <v/>
      </c>
      <c r="C4178" s="54">
        <f>IF(_imp!$C$4180="","",INDEX(_imp!$F$4:$F$4503,_imp!$C$4180))</f>
        <v/>
      </c>
      <c r="D4178" s="54">
        <f>IF(_imp!$C$4180="","",INDEX(_imp!$G$4:$G$4503,_imp!$C$4180))</f>
        <v/>
      </c>
      <c r="E4178" s="54">
        <f>IF(_imp!$C$4180="","",INDEX(_imp!$H$4:$H$4503,_imp!$C$4180))</f>
        <v/>
      </c>
      <c r="F4178" s="54">
        <f>IF(_imp!$C$4180="","",INDEX(_imp!$I$4:$I$4503,_imp!$C$4180))</f>
        <v/>
      </c>
      <c r="G4178" s="54">
        <f>IF(_imp!$C$4180="","",INDEX(_imp!$J$4:$J$4503,_imp!$C$4180))</f>
        <v/>
      </c>
      <c r="K4178" s="54">
        <f>IF(_imp!$C$4180="","",INDEX(_imp!$K$4:$K$4503,_imp!$C$4180))</f>
        <v/>
      </c>
    </row>
    <row r="4179">
      <c r="A4179" s="54">
        <f>IF(_imp!$C$4181="","",INDEX(_imp!$D$4:$D$4503,_imp!$C$4181))</f>
        <v/>
      </c>
      <c r="B4179" s="54">
        <f>IF(_imp!$C$4181="","",INDEX(_imp!$E$4:$E$4503,_imp!$C$4181))</f>
        <v/>
      </c>
      <c r="C4179" s="54">
        <f>IF(_imp!$C$4181="","",INDEX(_imp!$F$4:$F$4503,_imp!$C$4181))</f>
        <v/>
      </c>
      <c r="D4179" s="54">
        <f>IF(_imp!$C$4181="","",INDEX(_imp!$G$4:$G$4503,_imp!$C$4181))</f>
        <v/>
      </c>
      <c r="E4179" s="54">
        <f>IF(_imp!$C$4181="","",INDEX(_imp!$H$4:$H$4503,_imp!$C$4181))</f>
        <v/>
      </c>
      <c r="F4179" s="54">
        <f>IF(_imp!$C$4181="","",INDEX(_imp!$I$4:$I$4503,_imp!$C$4181))</f>
        <v/>
      </c>
      <c r="G4179" s="54">
        <f>IF(_imp!$C$4181="","",INDEX(_imp!$J$4:$J$4503,_imp!$C$4181))</f>
        <v/>
      </c>
      <c r="K4179" s="54">
        <f>IF(_imp!$C$4181="","",INDEX(_imp!$K$4:$K$4503,_imp!$C$4181))</f>
        <v/>
      </c>
    </row>
    <row r="4180">
      <c r="A4180" s="54">
        <f>IF(_imp!$C$4182="","",INDEX(_imp!$D$4:$D$4503,_imp!$C$4182))</f>
        <v/>
      </c>
      <c r="B4180" s="54">
        <f>IF(_imp!$C$4182="","",INDEX(_imp!$E$4:$E$4503,_imp!$C$4182))</f>
        <v/>
      </c>
      <c r="C4180" s="54">
        <f>IF(_imp!$C$4182="","",INDEX(_imp!$F$4:$F$4503,_imp!$C$4182))</f>
        <v/>
      </c>
      <c r="D4180" s="54">
        <f>IF(_imp!$C$4182="","",INDEX(_imp!$G$4:$G$4503,_imp!$C$4182))</f>
        <v/>
      </c>
      <c r="E4180" s="54">
        <f>IF(_imp!$C$4182="","",INDEX(_imp!$H$4:$H$4503,_imp!$C$4182))</f>
        <v/>
      </c>
      <c r="F4180" s="54">
        <f>IF(_imp!$C$4182="","",INDEX(_imp!$I$4:$I$4503,_imp!$C$4182))</f>
        <v/>
      </c>
      <c r="G4180" s="54">
        <f>IF(_imp!$C$4182="","",INDEX(_imp!$J$4:$J$4503,_imp!$C$4182))</f>
        <v/>
      </c>
      <c r="K4180" s="54">
        <f>IF(_imp!$C$4182="","",INDEX(_imp!$K$4:$K$4503,_imp!$C$4182))</f>
        <v/>
      </c>
    </row>
    <row r="4181">
      <c r="A4181" s="54">
        <f>IF(_imp!$C$4183="","",INDEX(_imp!$D$4:$D$4503,_imp!$C$4183))</f>
        <v/>
      </c>
      <c r="B4181" s="54">
        <f>IF(_imp!$C$4183="","",INDEX(_imp!$E$4:$E$4503,_imp!$C$4183))</f>
        <v/>
      </c>
      <c r="C4181" s="54">
        <f>IF(_imp!$C$4183="","",INDEX(_imp!$F$4:$F$4503,_imp!$C$4183))</f>
        <v/>
      </c>
      <c r="D4181" s="54">
        <f>IF(_imp!$C$4183="","",INDEX(_imp!$G$4:$G$4503,_imp!$C$4183))</f>
        <v/>
      </c>
      <c r="E4181" s="54">
        <f>IF(_imp!$C$4183="","",INDEX(_imp!$H$4:$H$4503,_imp!$C$4183))</f>
        <v/>
      </c>
      <c r="F4181" s="54">
        <f>IF(_imp!$C$4183="","",INDEX(_imp!$I$4:$I$4503,_imp!$C$4183))</f>
        <v/>
      </c>
      <c r="G4181" s="54">
        <f>IF(_imp!$C$4183="","",INDEX(_imp!$J$4:$J$4503,_imp!$C$4183))</f>
        <v/>
      </c>
      <c r="K4181" s="54">
        <f>IF(_imp!$C$4183="","",INDEX(_imp!$K$4:$K$4503,_imp!$C$4183))</f>
        <v/>
      </c>
    </row>
    <row r="4182">
      <c r="A4182" s="54">
        <f>IF(_imp!$C$4184="","",INDEX(_imp!$D$4:$D$4503,_imp!$C$4184))</f>
        <v/>
      </c>
      <c r="B4182" s="54">
        <f>IF(_imp!$C$4184="","",INDEX(_imp!$E$4:$E$4503,_imp!$C$4184))</f>
        <v/>
      </c>
      <c r="C4182" s="54">
        <f>IF(_imp!$C$4184="","",INDEX(_imp!$F$4:$F$4503,_imp!$C$4184))</f>
        <v/>
      </c>
      <c r="D4182" s="54">
        <f>IF(_imp!$C$4184="","",INDEX(_imp!$G$4:$G$4503,_imp!$C$4184))</f>
        <v/>
      </c>
      <c r="E4182" s="54">
        <f>IF(_imp!$C$4184="","",INDEX(_imp!$H$4:$H$4503,_imp!$C$4184))</f>
        <v/>
      </c>
      <c r="F4182" s="54">
        <f>IF(_imp!$C$4184="","",INDEX(_imp!$I$4:$I$4503,_imp!$C$4184))</f>
        <v/>
      </c>
      <c r="G4182" s="54">
        <f>IF(_imp!$C$4184="","",INDEX(_imp!$J$4:$J$4503,_imp!$C$4184))</f>
        <v/>
      </c>
      <c r="K4182" s="54">
        <f>IF(_imp!$C$4184="","",INDEX(_imp!$K$4:$K$4503,_imp!$C$4184))</f>
        <v/>
      </c>
    </row>
    <row r="4183">
      <c r="A4183" s="54">
        <f>IF(_imp!$C$4185="","",INDEX(_imp!$D$4:$D$4503,_imp!$C$4185))</f>
        <v/>
      </c>
      <c r="B4183" s="54">
        <f>IF(_imp!$C$4185="","",INDEX(_imp!$E$4:$E$4503,_imp!$C$4185))</f>
        <v/>
      </c>
      <c r="C4183" s="54">
        <f>IF(_imp!$C$4185="","",INDEX(_imp!$F$4:$F$4503,_imp!$C$4185))</f>
        <v/>
      </c>
      <c r="D4183" s="54">
        <f>IF(_imp!$C$4185="","",INDEX(_imp!$G$4:$G$4503,_imp!$C$4185))</f>
        <v/>
      </c>
      <c r="E4183" s="54">
        <f>IF(_imp!$C$4185="","",INDEX(_imp!$H$4:$H$4503,_imp!$C$4185))</f>
        <v/>
      </c>
      <c r="F4183" s="54">
        <f>IF(_imp!$C$4185="","",INDEX(_imp!$I$4:$I$4503,_imp!$C$4185))</f>
        <v/>
      </c>
      <c r="G4183" s="54">
        <f>IF(_imp!$C$4185="","",INDEX(_imp!$J$4:$J$4503,_imp!$C$4185))</f>
        <v/>
      </c>
      <c r="K4183" s="54">
        <f>IF(_imp!$C$4185="","",INDEX(_imp!$K$4:$K$4503,_imp!$C$4185))</f>
        <v/>
      </c>
    </row>
    <row r="4184">
      <c r="A4184" s="54">
        <f>IF(_imp!$C$4186="","",INDEX(_imp!$D$4:$D$4503,_imp!$C$4186))</f>
        <v/>
      </c>
      <c r="B4184" s="54">
        <f>IF(_imp!$C$4186="","",INDEX(_imp!$E$4:$E$4503,_imp!$C$4186))</f>
        <v/>
      </c>
      <c r="C4184" s="54">
        <f>IF(_imp!$C$4186="","",INDEX(_imp!$F$4:$F$4503,_imp!$C$4186))</f>
        <v/>
      </c>
      <c r="D4184" s="54">
        <f>IF(_imp!$C$4186="","",INDEX(_imp!$G$4:$G$4503,_imp!$C$4186))</f>
        <v/>
      </c>
      <c r="E4184" s="54">
        <f>IF(_imp!$C$4186="","",INDEX(_imp!$H$4:$H$4503,_imp!$C$4186))</f>
        <v/>
      </c>
      <c r="F4184" s="54">
        <f>IF(_imp!$C$4186="","",INDEX(_imp!$I$4:$I$4503,_imp!$C$4186))</f>
        <v/>
      </c>
      <c r="G4184" s="54">
        <f>IF(_imp!$C$4186="","",INDEX(_imp!$J$4:$J$4503,_imp!$C$4186))</f>
        <v/>
      </c>
      <c r="K4184" s="54">
        <f>IF(_imp!$C$4186="","",INDEX(_imp!$K$4:$K$4503,_imp!$C$4186))</f>
        <v/>
      </c>
    </row>
    <row r="4185">
      <c r="A4185" s="54">
        <f>IF(_imp!$C$4187="","",INDEX(_imp!$D$4:$D$4503,_imp!$C$4187))</f>
        <v/>
      </c>
      <c r="B4185" s="54">
        <f>IF(_imp!$C$4187="","",INDEX(_imp!$E$4:$E$4503,_imp!$C$4187))</f>
        <v/>
      </c>
      <c r="C4185" s="54">
        <f>IF(_imp!$C$4187="","",INDEX(_imp!$F$4:$F$4503,_imp!$C$4187))</f>
        <v/>
      </c>
      <c r="D4185" s="54">
        <f>IF(_imp!$C$4187="","",INDEX(_imp!$G$4:$G$4503,_imp!$C$4187))</f>
        <v/>
      </c>
      <c r="E4185" s="54">
        <f>IF(_imp!$C$4187="","",INDEX(_imp!$H$4:$H$4503,_imp!$C$4187))</f>
        <v/>
      </c>
      <c r="F4185" s="54">
        <f>IF(_imp!$C$4187="","",INDEX(_imp!$I$4:$I$4503,_imp!$C$4187))</f>
        <v/>
      </c>
      <c r="G4185" s="54">
        <f>IF(_imp!$C$4187="","",INDEX(_imp!$J$4:$J$4503,_imp!$C$4187))</f>
        <v/>
      </c>
      <c r="K4185" s="54">
        <f>IF(_imp!$C$4187="","",INDEX(_imp!$K$4:$K$4503,_imp!$C$4187))</f>
        <v/>
      </c>
    </row>
    <row r="4186">
      <c r="A4186" s="54">
        <f>IF(_imp!$C$4188="","",INDEX(_imp!$D$4:$D$4503,_imp!$C$4188))</f>
        <v/>
      </c>
      <c r="B4186" s="54">
        <f>IF(_imp!$C$4188="","",INDEX(_imp!$E$4:$E$4503,_imp!$C$4188))</f>
        <v/>
      </c>
      <c r="C4186" s="54">
        <f>IF(_imp!$C$4188="","",INDEX(_imp!$F$4:$F$4503,_imp!$C$4188))</f>
        <v/>
      </c>
      <c r="D4186" s="54">
        <f>IF(_imp!$C$4188="","",INDEX(_imp!$G$4:$G$4503,_imp!$C$4188))</f>
        <v/>
      </c>
      <c r="E4186" s="54">
        <f>IF(_imp!$C$4188="","",INDEX(_imp!$H$4:$H$4503,_imp!$C$4188))</f>
        <v/>
      </c>
      <c r="F4186" s="54">
        <f>IF(_imp!$C$4188="","",INDEX(_imp!$I$4:$I$4503,_imp!$C$4188))</f>
        <v/>
      </c>
      <c r="G4186" s="54">
        <f>IF(_imp!$C$4188="","",INDEX(_imp!$J$4:$J$4503,_imp!$C$4188))</f>
        <v/>
      </c>
      <c r="K4186" s="54">
        <f>IF(_imp!$C$4188="","",INDEX(_imp!$K$4:$K$4503,_imp!$C$4188))</f>
        <v/>
      </c>
    </row>
    <row r="4187">
      <c r="A4187" s="54">
        <f>IF(_imp!$C$4189="","",INDEX(_imp!$D$4:$D$4503,_imp!$C$4189))</f>
        <v/>
      </c>
      <c r="B4187" s="54">
        <f>IF(_imp!$C$4189="","",INDEX(_imp!$E$4:$E$4503,_imp!$C$4189))</f>
        <v/>
      </c>
      <c r="C4187" s="54">
        <f>IF(_imp!$C$4189="","",INDEX(_imp!$F$4:$F$4503,_imp!$C$4189))</f>
        <v/>
      </c>
      <c r="D4187" s="54">
        <f>IF(_imp!$C$4189="","",INDEX(_imp!$G$4:$G$4503,_imp!$C$4189))</f>
        <v/>
      </c>
      <c r="E4187" s="54">
        <f>IF(_imp!$C$4189="","",INDEX(_imp!$H$4:$H$4503,_imp!$C$4189))</f>
        <v/>
      </c>
      <c r="F4187" s="54">
        <f>IF(_imp!$C$4189="","",INDEX(_imp!$I$4:$I$4503,_imp!$C$4189))</f>
        <v/>
      </c>
      <c r="G4187" s="54">
        <f>IF(_imp!$C$4189="","",INDEX(_imp!$J$4:$J$4503,_imp!$C$4189))</f>
        <v/>
      </c>
      <c r="K4187" s="54">
        <f>IF(_imp!$C$4189="","",INDEX(_imp!$K$4:$K$4503,_imp!$C$4189))</f>
        <v/>
      </c>
    </row>
    <row r="4188">
      <c r="A4188" s="54">
        <f>IF(_imp!$C$4190="","",INDEX(_imp!$D$4:$D$4503,_imp!$C$4190))</f>
        <v/>
      </c>
      <c r="B4188" s="54">
        <f>IF(_imp!$C$4190="","",INDEX(_imp!$E$4:$E$4503,_imp!$C$4190))</f>
        <v/>
      </c>
      <c r="C4188" s="54">
        <f>IF(_imp!$C$4190="","",INDEX(_imp!$F$4:$F$4503,_imp!$C$4190))</f>
        <v/>
      </c>
      <c r="D4188" s="54">
        <f>IF(_imp!$C$4190="","",INDEX(_imp!$G$4:$G$4503,_imp!$C$4190))</f>
        <v/>
      </c>
      <c r="E4188" s="54">
        <f>IF(_imp!$C$4190="","",INDEX(_imp!$H$4:$H$4503,_imp!$C$4190))</f>
        <v/>
      </c>
      <c r="F4188" s="54">
        <f>IF(_imp!$C$4190="","",INDEX(_imp!$I$4:$I$4503,_imp!$C$4190))</f>
        <v/>
      </c>
      <c r="G4188" s="54">
        <f>IF(_imp!$C$4190="","",INDEX(_imp!$J$4:$J$4503,_imp!$C$4190))</f>
        <v/>
      </c>
      <c r="K4188" s="54">
        <f>IF(_imp!$C$4190="","",INDEX(_imp!$K$4:$K$4503,_imp!$C$4190))</f>
        <v/>
      </c>
    </row>
    <row r="4189">
      <c r="A4189" s="54">
        <f>IF(_imp!$C$4191="","",INDEX(_imp!$D$4:$D$4503,_imp!$C$4191))</f>
        <v/>
      </c>
      <c r="B4189" s="54">
        <f>IF(_imp!$C$4191="","",INDEX(_imp!$E$4:$E$4503,_imp!$C$4191))</f>
        <v/>
      </c>
      <c r="C4189" s="54">
        <f>IF(_imp!$C$4191="","",INDEX(_imp!$F$4:$F$4503,_imp!$C$4191))</f>
        <v/>
      </c>
      <c r="D4189" s="54">
        <f>IF(_imp!$C$4191="","",INDEX(_imp!$G$4:$G$4503,_imp!$C$4191))</f>
        <v/>
      </c>
      <c r="E4189" s="54">
        <f>IF(_imp!$C$4191="","",INDEX(_imp!$H$4:$H$4503,_imp!$C$4191))</f>
        <v/>
      </c>
      <c r="F4189" s="54">
        <f>IF(_imp!$C$4191="","",INDEX(_imp!$I$4:$I$4503,_imp!$C$4191))</f>
        <v/>
      </c>
      <c r="G4189" s="54">
        <f>IF(_imp!$C$4191="","",INDEX(_imp!$J$4:$J$4503,_imp!$C$4191))</f>
        <v/>
      </c>
      <c r="K4189" s="54">
        <f>IF(_imp!$C$4191="","",INDEX(_imp!$K$4:$K$4503,_imp!$C$4191))</f>
        <v/>
      </c>
    </row>
    <row r="4190">
      <c r="A4190" s="54">
        <f>IF(_imp!$C$4192="","",INDEX(_imp!$D$4:$D$4503,_imp!$C$4192))</f>
        <v/>
      </c>
      <c r="B4190" s="54">
        <f>IF(_imp!$C$4192="","",INDEX(_imp!$E$4:$E$4503,_imp!$C$4192))</f>
        <v/>
      </c>
      <c r="C4190" s="54">
        <f>IF(_imp!$C$4192="","",INDEX(_imp!$F$4:$F$4503,_imp!$C$4192))</f>
        <v/>
      </c>
      <c r="D4190" s="54">
        <f>IF(_imp!$C$4192="","",INDEX(_imp!$G$4:$G$4503,_imp!$C$4192))</f>
        <v/>
      </c>
      <c r="E4190" s="54">
        <f>IF(_imp!$C$4192="","",INDEX(_imp!$H$4:$H$4503,_imp!$C$4192))</f>
        <v/>
      </c>
      <c r="F4190" s="54">
        <f>IF(_imp!$C$4192="","",INDEX(_imp!$I$4:$I$4503,_imp!$C$4192))</f>
        <v/>
      </c>
      <c r="G4190" s="54">
        <f>IF(_imp!$C$4192="","",INDEX(_imp!$J$4:$J$4503,_imp!$C$4192))</f>
        <v/>
      </c>
      <c r="K4190" s="54">
        <f>IF(_imp!$C$4192="","",INDEX(_imp!$K$4:$K$4503,_imp!$C$4192))</f>
        <v/>
      </c>
    </row>
    <row r="4191">
      <c r="A4191" s="54">
        <f>IF(_imp!$C$4193="","",INDEX(_imp!$D$4:$D$4503,_imp!$C$4193))</f>
        <v/>
      </c>
      <c r="B4191" s="54">
        <f>IF(_imp!$C$4193="","",INDEX(_imp!$E$4:$E$4503,_imp!$C$4193))</f>
        <v/>
      </c>
      <c r="C4191" s="54">
        <f>IF(_imp!$C$4193="","",INDEX(_imp!$F$4:$F$4503,_imp!$C$4193))</f>
        <v/>
      </c>
      <c r="D4191" s="54">
        <f>IF(_imp!$C$4193="","",INDEX(_imp!$G$4:$G$4503,_imp!$C$4193))</f>
        <v/>
      </c>
      <c r="E4191" s="54">
        <f>IF(_imp!$C$4193="","",INDEX(_imp!$H$4:$H$4503,_imp!$C$4193))</f>
        <v/>
      </c>
      <c r="F4191" s="54">
        <f>IF(_imp!$C$4193="","",INDEX(_imp!$I$4:$I$4503,_imp!$C$4193))</f>
        <v/>
      </c>
      <c r="G4191" s="54">
        <f>IF(_imp!$C$4193="","",INDEX(_imp!$J$4:$J$4503,_imp!$C$4193))</f>
        <v/>
      </c>
      <c r="K4191" s="54">
        <f>IF(_imp!$C$4193="","",INDEX(_imp!$K$4:$K$4503,_imp!$C$4193))</f>
        <v/>
      </c>
    </row>
    <row r="4192">
      <c r="A4192" s="54">
        <f>IF(_imp!$C$4194="","",INDEX(_imp!$D$4:$D$4503,_imp!$C$4194))</f>
        <v/>
      </c>
      <c r="B4192" s="54">
        <f>IF(_imp!$C$4194="","",INDEX(_imp!$E$4:$E$4503,_imp!$C$4194))</f>
        <v/>
      </c>
      <c r="C4192" s="54">
        <f>IF(_imp!$C$4194="","",INDEX(_imp!$F$4:$F$4503,_imp!$C$4194))</f>
        <v/>
      </c>
      <c r="D4192" s="54">
        <f>IF(_imp!$C$4194="","",INDEX(_imp!$G$4:$G$4503,_imp!$C$4194))</f>
        <v/>
      </c>
      <c r="E4192" s="54">
        <f>IF(_imp!$C$4194="","",INDEX(_imp!$H$4:$H$4503,_imp!$C$4194))</f>
        <v/>
      </c>
      <c r="F4192" s="54">
        <f>IF(_imp!$C$4194="","",INDEX(_imp!$I$4:$I$4503,_imp!$C$4194))</f>
        <v/>
      </c>
      <c r="G4192" s="54">
        <f>IF(_imp!$C$4194="","",INDEX(_imp!$J$4:$J$4503,_imp!$C$4194))</f>
        <v/>
      </c>
      <c r="K4192" s="54">
        <f>IF(_imp!$C$4194="","",INDEX(_imp!$K$4:$K$4503,_imp!$C$4194))</f>
        <v/>
      </c>
    </row>
    <row r="4193">
      <c r="A4193" s="54">
        <f>IF(_imp!$C$4195="","",INDEX(_imp!$D$4:$D$4503,_imp!$C$4195))</f>
        <v/>
      </c>
      <c r="B4193" s="54">
        <f>IF(_imp!$C$4195="","",INDEX(_imp!$E$4:$E$4503,_imp!$C$4195))</f>
        <v/>
      </c>
      <c r="C4193" s="54">
        <f>IF(_imp!$C$4195="","",INDEX(_imp!$F$4:$F$4503,_imp!$C$4195))</f>
        <v/>
      </c>
      <c r="D4193" s="54">
        <f>IF(_imp!$C$4195="","",INDEX(_imp!$G$4:$G$4503,_imp!$C$4195))</f>
        <v/>
      </c>
      <c r="E4193" s="54">
        <f>IF(_imp!$C$4195="","",INDEX(_imp!$H$4:$H$4503,_imp!$C$4195))</f>
        <v/>
      </c>
      <c r="F4193" s="54">
        <f>IF(_imp!$C$4195="","",INDEX(_imp!$I$4:$I$4503,_imp!$C$4195))</f>
        <v/>
      </c>
      <c r="G4193" s="54">
        <f>IF(_imp!$C$4195="","",INDEX(_imp!$J$4:$J$4503,_imp!$C$4195))</f>
        <v/>
      </c>
      <c r="K4193" s="54">
        <f>IF(_imp!$C$4195="","",INDEX(_imp!$K$4:$K$4503,_imp!$C$4195))</f>
        <v/>
      </c>
    </row>
    <row r="4194">
      <c r="A4194" s="54">
        <f>IF(_imp!$C$4196="","",INDEX(_imp!$D$4:$D$4503,_imp!$C$4196))</f>
        <v/>
      </c>
      <c r="B4194" s="54">
        <f>IF(_imp!$C$4196="","",INDEX(_imp!$E$4:$E$4503,_imp!$C$4196))</f>
        <v/>
      </c>
      <c r="C4194" s="54">
        <f>IF(_imp!$C$4196="","",INDEX(_imp!$F$4:$F$4503,_imp!$C$4196))</f>
        <v/>
      </c>
      <c r="D4194" s="54">
        <f>IF(_imp!$C$4196="","",INDEX(_imp!$G$4:$G$4503,_imp!$C$4196))</f>
        <v/>
      </c>
      <c r="E4194" s="54">
        <f>IF(_imp!$C$4196="","",INDEX(_imp!$H$4:$H$4503,_imp!$C$4196))</f>
        <v/>
      </c>
      <c r="F4194" s="54">
        <f>IF(_imp!$C$4196="","",INDEX(_imp!$I$4:$I$4503,_imp!$C$4196))</f>
        <v/>
      </c>
      <c r="G4194" s="54">
        <f>IF(_imp!$C$4196="","",INDEX(_imp!$J$4:$J$4503,_imp!$C$4196))</f>
        <v/>
      </c>
      <c r="K4194" s="54">
        <f>IF(_imp!$C$4196="","",INDEX(_imp!$K$4:$K$4503,_imp!$C$4196))</f>
        <v/>
      </c>
    </row>
    <row r="4195">
      <c r="A4195" s="54">
        <f>IF(_imp!$C$4197="","",INDEX(_imp!$D$4:$D$4503,_imp!$C$4197))</f>
        <v/>
      </c>
      <c r="B4195" s="54">
        <f>IF(_imp!$C$4197="","",INDEX(_imp!$E$4:$E$4503,_imp!$C$4197))</f>
        <v/>
      </c>
      <c r="C4195" s="54">
        <f>IF(_imp!$C$4197="","",INDEX(_imp!$F$4:$F$4503,_imp!$C$4197))</f>
        <v/>
      </c>
      <c r="D4195" s="54">
        <f>IF(_imp!$C$4197="","",INDEX(_imp!$G$4:$G$4503,_imp!$C$4197))</f>
        <v/>
      </c>
      <c r="E4195" s="54">
        <f>IF(_imp!$C$4197="","",INDEX(_imp!$H$4:$H$4503,_imp!$C$4197))</f>
        <v/>
      </c>
      <c r="F4195" s="54">
        <f>IF(_imp!$C$4197="","",INDEX(_imp!$I$4:$I$4503,_imp!$C$4197))</f>
        <v/>
      </c>
      <c r="G4195" s="54">
        <f>IF(_imp!$C$4197="","",INDEX(_imp!$J$4:$J$4503,_imp!$C$4197))</f>
        <v/>
      </c>
      <c r="K4195" s="54">
        <f>IF(_imp!$C$4197="","",INDEX(_imp!$K$4:$K$4503,_imp!$C$4197))</f>
        <v/>
      </c>
    </row>
    <row r="4196">
      <c r="A4196" s="54">
        <f>IF(_imp!$C$4198="","",INDEX(_imp!$D$4:$D$4503,_imp!$C$4198))</f>
        <v/>
      </c>
      <c r="B4196" s="54">
        <f>IF(_imp!$C$4198="","",INDEX(_imp!$E$4:$E$4503,_imp!$C$4198))</f>
        <v/>
      </c>
      <c r="C4196" s="54">
        <f>IF(_imp!$C$4198="","",INDEX(_imp!$F$4:$F$4503,_imp!$C$4198))</f>
        <v/>
      </c>
      <c r="D4196" s="54">
        <f>IF(_imp!$C$4198="","",INDEX(_imp!$G$4:$G$4503,_imp!$C$4198))</f>
        <v/>
      </c>
      <c r="E4196" s="54">
        <f>IF(_imp!$C$4198="","",INDEX(_imp!$H$4:$H$4503,_imp!$C$4198))</f>
        <v/>
      </c>
      <c r="F4196" s="54">
        <f>IF(_imp!$C$4198="","",INDEX(_imp!$I$4:$I$4503,_imp!$C$4198))</f>
        <v/>
      </c>
      <c r="G4196" s="54">
        <f>IF(_imp!$C$4198="","",INDEX(_imp!$J$4:$J$4503,_imp!$C$4198))</f>
        <v/>
      </c>
      <c r="K4196" s="54">
        <f>IF(_imp!$C$4198="","",INDEX(_imp!$K$4:$K$4503,_imp!$C$4198))</f>
        <v/>
      </c>
    </row>
    <row r="4197">
      <c r="A4197" s="54">
        <f>IF(_imp!$C$4199="","",INDEX(_imp!$D$4:$D$4503,_imp!$C$4199))</f>
        <v/>
      </c>
      <c r="B4197" s="54">
        <f>IF(_imp!$C$4199="","",INDEX(_imp!$E$4:$E$4503,_imp!$C$4199))</f>
        <v/>
      </c>
      <c r="C4197" s="54">
        <f>IF(_imp!$C$4199="","",INDEX(_imp!$F$4:$F$4503,_imp!$C$4199))</f>
        <v/>
      </c>
      <c r="D4197" s="54">
        <f>IF(_imp!$C$4199="","",INDEX(_imp!$G$4:$G$4503,_imp!$C$4199))</f>
        <v/>
      </c>
      <c r="E4197" s="54">
        <f>IF(_imp!$C$4199="","",INDEX(_imp!$H$4:$H$4503,_imp!$C$4199))</f>
        <v/>
      </c>
      <c r="F4197" s="54">
        <f>IF(_imp!$C$4199="","",INDEX(_imp!$I$4:$I$4503,_imp!$C$4199))</f>
        <v/>
      </c>
      <c r="G4197" s="54">
        <f>IF(_imp!$C$4199="","",INDEX(_imp!$J$4:$J$4503,_imp!$C$4199))</f>
        <v/>
      </c>
      <c r="K4197" s="54">
        <f>IF(_imp!$C$4199="","",INDEX(_imp!$K$4:$K$4503,_imp!$C$4199))</f>
        <v/>
      </c>
    </row>
    <row r="4198">
      <c r="A4198" s="54">
        <f>IF(_imp!$C$4200="","",INDEX(_imp!$D$4:$D$4503,_imp!$C$4200))</f>
        <v/>
      </c>
      <c r="B4198" s="54">
        <f>IF(_imp!$C$4200="","",INDEX(_imp!$E$4:$E$4503,_imp!$C$4200))</f>
        <v/>
      </c>
      <c r="C4198" s="54">
        <f>IF(_imp!$C$4200="","",INDEX(_imp!$F$4:$F$4503,_imp!$C$4200))</f>
        <v/>
      </c>
      <c r="D4198" s="54">
        <f>IF(_imp!$C$4200="","",INDEX(_imp!$G$4:$G$4503,_imp!$C$4200))</f>
        <v/>
      </c>
      <c r="E4198" s="54">
        <f>IF(_imp!$C$4200="","",INDEX(_imp!$H$4:$H$4503,_imp!$C$4200))</f>
        <v/>
      </c>
      <c r="F4198" s="54">
        <f>IF(_imp!$C$4200="","",INDEX(_imp!$I$4:$I$4503,_imp!$C$4200))</f>
        <v/>
      </c>
      <c r="G4198" s="54">
        <f>IF(_imp!$C$4200="","",INDEX(_imp!$J$4:$J$4503,_imp!$C$4200))</f>
        <v/>
      </c>
      <c r="K4198" s="54">
        <f>IF(_imp!$C$4200="","",INDEX(_imp!$K$4:$K$4503,_imp!$C$4200))</f>
        <v/>
      </c>
    </row>
    <row r="4199">
      <c r="A4199" s="54">
        <f>IF(_imp!$C$4201="","",INDEX(_imp!$D$4:$D$4503,_imp!$C$4201))</f>
        <v/>
      </c>
      <c r="B4199" s="54">
        <f>IF(_imp!$C$4201="","",INDEX(_imp!$E$4:$E$4503,_imp!$C$4201))</f>
        <v/>
      </c>
      <c r="C4199" s="54">
        <f>IF(_imp!$C$4201="","",INDEX(_imp!$F$4:$F$4503,_imp!$C$4201))</f>
        <v/>
      </c>
      <c r="D4199" s="54">
        <f>IF(_imp!$C$4201="","",INDEX(_imp!$G$4:$G$4503,_imp!$C$4201))</f>
        <v/>
      </c>
      <c r="E4199" s="54">
        <f>IF(_imp!$C$4201="","",INDEX(_imp!$H$4:$H$4503,_imp!$C$4201))</f>
        <v/>
      </c>
      <c r="F4199" s="54">
        <f>IF(_imp!$C$4201="","",INDEX(_imp!$I$4:$I$4503,_imp!$C$4201))</f>
        <v/>
      </c>
      <c r="G4199" s="54">
        <f>IF(_imp!$C$4201="","",INDEX(_imp!$J$4:$J$4503,_imp!$C$4201))</f>
        <v/>
      </c>
      <c r="K4199" s="54">
        <f>IF(_imp!$C$4201="","",INDEX(_imp!$K$4:$K$4503,_imp!$C$4201))</f>
        <v/>
      </c>
    </row>
    <row r="4200">
      <c r="A4200" s="54">
        <f>IF(_imp!$C$4202="","",INDEX(_imp!$D$4:$D$4503,_imp!$C$4202))</f>
        <v/>
      </c>
      <c r="B4200" s="54">
        <f>IF(_imp!$C$4202="","",INDEX(_imp!$E$4:$E$4503,_imp!$C$4202))</f>
        <v/>
      </c>
      <c r="C4200" s="54">
        <f>IF(_imp!$C$4202="","",INDEX(_imp!$F$4:$F$4503,_imp!$C$4202))</f>
        <v/>
      </c>
      <c r="D4200" s="54">
        <f>IF(_imp!$C$4202="","",INDEX(_imp!$G$4:$G$4503,_imp!$C$4202))</f>
        <v/>
      </c>
      <c r="E4200" s="54">
        <f>IF(_imp!$C$4202="","",INDEX(_imp!$H$4:$H$4503,_imp!$C$4202))</f>
        <v/>
      </c>
      <c r="F4200" s="54">
        <f>IF(_imp!$C$4202="","",INDEX(_imp!$I$4:$I$4503,_imp!$C$4202))</f>
        <v/>
      </c>
      <c r="G4200" s="54">
        <f>IF(_imp!$C$4202="","",INDEX(_imp!$J$4:$J$4503,_imp!$C$4202))</f>
        <v/>
      </c>
      <c r="K4200" s="54">
        <f>IF(_imp!$C$4202="","",INDEX(_imp!$K$4:$K$4503,_imp!$C$4202))</f>
        <v/>
      </c>
    </row>
    <row r="4201">
      <c r="A4201" s="54">
        <f>IF(_imp!$C$4203="","",INDEX(_imp!$D$4:$D$4503,_imp!$C$4203))</f>
        <v/>
      </c>
      <c r="B4201" s="54">
        <f>IF(_imp!$C$4203="","",INDEX(_imp!$E$4:$E$4503,_imp!$C$4203))</f>
        <v/>
      </c>
      <c r="C4201" s="54">
        <f>IF(_imp!$C$4203="","",INDEX(_imp!$F$4:$F$4503,_imp!$C$4203))</f>
        <v/>
      </c>
      <c r="D4201" s="54">
        <f>IF(_imp!$C$4203="","",INDEX(_imp!$G$4:$G$4503,_imp!$C$4203))</f>
        <v/>
      </c>
      <c r="E4201" s="54">
        <f>IF(_imp!$C$4203="","",INDEX(_imp!$H$4:$H$4503,_imp!$C$4203))</f>
        <v/>
      </c>
      <c r="F4201" s="54">
        <f>IF(_imp!$C$4203="","",INDEX(_imp!$I$4:$I$4503,_imp!$C$4203))</f>
        <v/>
      </c>
      <c r="G4201" s="54">
        <f>IF(_imp!$C$4203="","",INDEX(_imp!$J$4:$J$4503,_imp!$C$4203))</f>
        <v/>
      </c>
      <c r="K4201" s="54">
        <f>IF(_imp!$C$4203="","",INDEX(_imp!$K$4:$K$4503,_imp!$C$4203))</f>
        <v/>
      </c>
    </row>
    <row r="4202">
      <c r="A4202" s="54">
        <f>IF(_imp!$C$4204="","",INDEX(_imp!$D$4:$D$4503,_imp!$C$4204))</f>
        <v/>
      </c>
      <c r="B4202" s="54">
        <f>IF(_imp!$C$4204="","",INDEX(_imp!$E$4:$E$4503,_imp!$C$4204))</f>
        <v/>
      </c>
      <c r="C4202" s="54">
        <f>IF(_imp!$C$4204="","",INDEX(_imp!$F$4:$F$4503,_imp!$C$4204))</f>
        <v/>
      </c>
      <c r="D4202" s="54">
        <f>IF(_imp!$C$4204="","",INDEX(_imp!$G$4:$G$4503,_imp!$C$4204))</f>
        <v/>
      </c>
      <c r="E4202" s="54">
        <f>IF(_imp!$C$4204="","",INDEX(_imp!$H$4:$H$4503,_imp!$C$4204))</f>
        <v/>
      </c>
      <c r="F4202" s="54">
        <f>IF(_imp!$C$4204="","",INDEX(_imp!$I$4:$I$4503,_imp!$C$4204))</f>
        <v/>
      </c>
      <c r="G4202" s="54">
        <f>IF(_imp!$C$4204="","",INDEX(_imp!$J$4:$J$4503,_imp!$C$4204))</f>
        <v/>
      </c>
      <c r="K4202" s="54">
        <f>IF(_imp!$C$4204="","",INDEX(_imp!$K$4:$K$4503,_imp!$C$4204))</f>
        <v/>
      </c>
    </row>
    <row r="4203">
      <c r="A4203" s="54">
        <f>IF(_imp!$C$4205="","",INDEX(_imp!$D$4:$D$4503,_imp!$C$4205))</f>
        <v/>
      </c>
      <c r="B4203" s="54">
        <f>IF(_imp!$C$4205="","",INDEX(_imp!$E$4:$E$4503,_imp!$C$4205))</f>
        <v/>
      </c>
      <c r="C4203" s="54">
        <f>IF(_imp!$C$4205="","",INDEX(_imp!$F$4:$F$4503,_imp!$C$4205))</f>
        <v/>
      </c>
      <c r="D4203" s="54">
        <f>IF(_imp!$C$4205="","",INDEX(_imp!$G$4:$G$4503,_imp!$C$4205))</f>
        <v/>
      </c>
      <c r="E4203" s="54">
        <f>IF(_imp!$C$4205="","",INDEX(_imp!$H$4:$H$4503,_imp!$C$4205))</f>
        <v/>
      </c>
      <c r="F4203" s="54">
        <f>IF(_imp!$C$4205="","",INDEX(_imp!$I$4:$I$4503,_imp!$C$4205))</f>
        <v/>
      </c>
      <c r="G4203" s="54">
        <f>IF(_imp!$C$4205="","",INDEX(_imp!$J$4:$J$4503,_imp!$C$4205))</f>
        <v/>
      </c>
      <c r="K4203" s="54">
        <f>IF(_imp!$C$4205="","",INDEX(_imp!$K$4:$K$4503,_imp!$C$4205))</f>
        <v/>
      </c>
    </row>
    <row r="4204">
      <c r="A4204" s="54">
        <f>IF(_imp!$C$4206="","",INDEX(_imp!$D$4:$D$4503,_imp!$C$4206))</f>
        <v/>
      </c>
      <c r="B4204" s="54">
        <f>IF(_imp!$C$4206="","",INDEX(_imp!$E$4:$E$4503,_imp!$C$4206))</f>
        <v/>
      </c>
      <c r="C4204" s="54">
        <f>IF(_imp!$C$4206="","",INDEX(_imp!$F$4:$F$4503,_imp!$C$4206))</f>
        <v/>
      </c>
      <c r="D4204" s="54">
        <f>IF(_imp!$C$4206="","",INDEX(_imp!$G$4:$G$4503,_imp!$C$4206))</f>
        <v/>
      </c>
      <c r="E4204" s="54">
        <f>IF(_imp!$C$4206="","",INDEX(_imp!$H$4:$H$4503,_imp!$C$4206))</f>
        <v/>
      </c>
      <c r="F4204" s="54">
        <f>IF(_imp!$C$4206="","",INDEX(_imp!$I$4:$I$4503,_imp!$C$4206))</f>
        <v/>
      </c>
      <c r="G4204" s="54">
        <f>IF(_imp!$C$4206="","",INDEX(_imp!$J$4:$J$4503,_imp!$C$4206))</f>
        <v/>
      </c>
      <c r="K4204" s="54">
        <f>IF(_imp!$C$4206="","",INDEX(_imp!$K$4:$K$4503,_imp!$C$4206))</f>
        <v/>
      </c>
    </row>
    <row r="4205">
      <c r="A4205" s="54">
        <f>IF(_imp!$C$4207="","",INDEX(_imp!$D$4:$D$4503,_imp!$C$4207))</f>
        <v/>
      </c>
      <c r="B4205" s="54">
        <f>IF(_imp!$C$4207="","",INDEX(_imp!$E$4:$E$4503,_imp!$C$4207))</f>
        <v/>
      </c>
      <c r="C4205" s="54">
        <f>IF(_imp!$C$4207="","",INDEX(_imp!$F$4:$F$4503,_imp!$C$4207))</f>
        <v/>
      </c>
      <c r="D4205" s="54">
        <f>IF(_imp!$C$4207="","",INDEX(_imp!$G$4:$G$4503,_imp!$C$4207))</f>
        <v/>
      </c>
      <c r="E4205" s="54">
        <f>IF(_imp!$C$4207="","",INDEX(_imp!$H$4:$H$4503,_imp!$C$4207))</f>
        <v/>
      </c>
      <c r="F4205" s="54">
        <f>IF(_imp!$C$4207="","",INDEX(_imp!$I$4:$I$4503,_imp!$C$4207))</f>
        <v/>
      </c>
      <c r="G4205" s="54">
        <f>IF(_imp!$C$4207="","",INDEX(_imp!$J$4:$J$4503,_imp!$C$4207))</f>
        <v/>
      </c>
      <c r="K4205" s="54">
        <f>IF(_imp!$C$4207="","",INDEX(_imp!$K$4:$K$4503,_imp!$C$4207))</f>
        <v/>
      </c>
    </row>
    <row r="4206">
      <c r="A4206" s="54">
        <f>IF(_imp!$C$4208="","",INDEX(_imp!$D$4:$D$4503,_imp!$C$4208))</f>
        <v/>
      </c>
      <c r="B4206" s="54">
        <f>IF(_imp!$C$4208="","",INDEX(_imp!$E$4:$E$4503,_imp!$C$4208))</f>
        <v/>
      </c>
      <c r="C4206" s="54">
        <f>IF(_imp!$C$4208="","",INDEX(_imp!$F$4:$F$4503,_imp!$C$4208))</f>
        <v/>
      </c>
      <c r="D4206" s="54">
        <f>IF(_imp!$C$4208="","",INDEX(_imp!$G$4:$G$4503,_imp!$C$4208))</f>
        <v/>
      </c>
      <c r="E4206" s="54">
        <f>IF(_imp!$C$4208="","",INDEX(_imp!$H$4:$H$4503,_imp!$C$4208))</f>
        <v/>
      </c>
      <c r="F4206" s="54">
        <f>IF(_imp!$C$4208="","",INDEX(_imp!$I$4:$I$4503,_imp!$C$4208))</f>
        <v/>
      </c>
      <c r="G4206" s="54">
        <f>IF(_imp!$C$4208="","",INDEX(_imp!$J$4:$J$4503,_imp!$C$4208))</f>
        <v/>
      </c>
      <c r="K4206" s="54">
        <f>IF(_imp!$C$4208="","",INDEX(_imp!$K$4:$K$4503,_imp!$C$4208))</f>
        <v/>
      </c>
    </row>
    <row r="4207">
      <c r="A4207" s="54">
        <f>IF(_imp!$C$4209="","",INDEX(_imp!$D$4:$D$4503,_imp!$C$4209))</f>
        <v/>
      </c>
      <c r="B4207" s="54">
        <f>IF(_imp!$C$4209="","",INDEX(_imp!$E$4:$E$4503,_imp!$C$4209))</f>
        <v/>
      </c>
      <c r="C4207" s="54">
        <f>IF(_imp!$C$4209="","",INDEX(_imp!$F$4:$F$4503,_imp!$C$4209))</f>
        <v/>
      </c>
      <c r="D4207" s="54">
        <f>IF(_imp!$C$4209="","",INDEX(_imp!$G$4:$G$4503,_imp!$C$4209))</f>
        <v/>
      </c>
      <c r="E4207" s="54">
        <f>IF(_imp!$C$4209="","",INDEX(_imp!$H$4:$H$4503,_imp!$C$4209))</f>
        <v/>
      </c>
      <c r="F4207" s="54">
        <f>IF(_imp!$C$4209="","",INDEX(_imp!$I$4:$I$4503,_imp!$C$4209))</f>
        <v/>
      </c>
      <c r="G4207" s="54">
        <f>IF(_imp!$C$4209="","",INDEX(_imp!$J$4:$J$4503,_imp!$C$4209))</f>
        <v/>
      </c>
      <c r="K4207" s="54">
        <f>IF(_imp!$C$4209="","",INDEX(_imp!$K$4:$K$4503,_imp!$C$4209))</f>
        <v/>
      </c>
    </row>
    <row r="4208">
      <c r="A4208" s="54">
        <f>IF(_imp!$C$4210="","",INDEX(_imp!$D$4:$D$4503,_imp!$C$4210))</f>
        <v/>
      </c>
      <c r="B4208" s="54">
        <f>IF(_imp!$C$4210="","",INDEX(_imp!$E$4:$E$4503,_imp!$C$4210))</f>
        <v/>
      </c>
      <c r="C4208" s="54">
        <f>IF(_imp!$C$4210="","",INDEX(_imp!$F$4:$F$4503,_imp!$C$4210))</f>
        <v/>
      </c>
      <c r="D4208" s="54">
        <f>IF(_imp!$C$4210="","",INDEX(_imp!$G$4:$G$4503,_imp!$C$4210))</f>
        <v/>
      </c>
      <c r="E4208" s="54">
        <f>IF(_imp!$C$4210="","",INDEX(_imp!$H$4:$H$4503,_imp!$C$4210))</f>
        <v/>
      </c>
      <c r="F4208" s="54">
        <f>IF(_imp!$C$4210="","",INDEX(_imp!$I$4:$I$4503,_imp!$C$4210))</f>
        <v/>
      </c>
      <c r="G4208" s="54">
        <f>IF(_imp!$C$4210="","",INDEX(_imp!$J$4:$J$4503,_imp!$C$4210))</f>
        <v/>
      </c>
      <c r="K4208" s="54">
        <f>IF(_imp!$C$4210="","",INDEX(_imp!$K$4:$K$4503,_imp!$C$4210))</f>
        <v/>
      </c>
    </row>
    <row r="4209">
      <c r="A4209" s="54">
        <f>IF(_imp!$C$4211="","",INDEX(_imp!$D$4:$D$4503,_imp!$C$4211))</f>
        <v/>
      </c>
      <c r="B4209" s="54">
        <f>IF(_imp!$C$4211="","",INDEX(_imp!$E$4:$E$4503,_imp!$C$4211))</f>
        <v/>
      </c>
      <c r="C4209" s="54">
        <f>IF(_imp!$C$4211="","",INDEX(_imp!$F$4:$F$4503,_imp!$C$4211))</f>
        <v/>
      </c>
      <c r="D4209" s="54">
        <f>IF(_imp!$C$4211="","",INDEX(_imp!$G$4:$G$4503,_imp!$C$4211))</f>
        <v/>
      </c>
      <c r="E4209" s="54">
        <f>IF(_imp!$C$4211="","",INDEX(_imp!$H$4:$H$4503,_imp!$C$4211))</f>
        <v/>
      </c>
      <c r="F4209" s="54">
        <f>IF(_imp!$C$4211="","",INDEX(_imp!$I$4:$I$4503,_imp!$C$4211))</f>
        <v/>
      </c>
      <c r="G4209" s="54">
        <f>IF(_imp!$C$4211="","",INDEX(_imp!$J$4:$J$4503,_imp!$C$4211))</f>
        <v/>
      </c>
      <c r="K4209" s="54">
        <f>IF(_imp!$C$4211="","",INDEX(_imp!$K$4:$K$4503,_imp!$C$4211))</f>
        <v/>
      </c>
    </row>
    <row r="4210">
      <c r="A4210" s="54">
        <f>IF(_imp!$C$4212="","",INDEX(_imp!$D$4:$D$4503,_imp!$C$4212))</f>
        <v/>
      </c>
      <c r="B4210" s="54">
        <f>IF(_imp!$C$4212="","",INDEX(_imp!$E$4:$E$4503,_imp!$C$4212))</f>
        <v/>
      </c>
      <c r="C4210" s="54">
        <f>IF(_imp!$C$4212="","",INDEX(_imp!$F$4:$F$4503,_imp!$C$4212))</f>
        <v/>
      </c>
      <c r="D4210" s="54">
        <f>IF(_imp!$C$4212="","",INDEX(_imp!$G$4:$G$4503,_imp!$C$4212))</f>
        <v/>
      </c>
      <c r="E4210" s="54">
        <f>IF(_imp!$C$4212="","",INDEX(_imp!$H$4:$H$4503,_imp!$C$4212))</f>
        <v/>
      </c>
      <c r="F4210" s="54">
        <f>IF(_imp!$C$4212="","",INDEX(_imp!$I$4:$I$4503,_imp!$C$4212))</f>
        <v/>
      </c>
      <c r="G4210" s="54">
        <f>IF(_imp!$C$4212="","",INDEX(_imp!$J$4:$J$4503,_imp!$C$4212))</f>
        <v/>
      </c>
      <c r="K4210" s="54">
        <f>IF(_imp!$C$4212="","",INDEX(_imp!$K$4:$K$4503,_imp!$C$4212))</f>
        <v/>
      </c>
    </row>
    <row r="4211">
      <c r="A4211" s="54">
        <f>IF(_imp!$C$4213="","",INDEX(_imp!$D$4:$D$4503,_imp!$C$4213))</f>
        <v/>
      </c>
      <c r="B4211" s="54">
        <f>IF(_imp!$C$4213="","",INDEX(_imp!$E$4:$E$4503,_imp!$C$4213))</f>
        <v/>
      </c>
      <c r="C4211" s="54">
        <f>IF(_imp!$C$4213="","",INDEX(_imp!$F$4:$F$4503,_imp!$C$4213))</f>
        <v/>
      </c>
      <c r="D4211" s="54">
        <f>IF(_imp!$C$4213="","",INDEX(_imp!$G$4:$G$4503,_imp!$C$4213))</f>
        <v/>
      </c>
      <c r="E4211" s="54">
        <f>IF(_imp!$C$4213="","",INDEX(_imp!$H$4:$H$4503,_imp!$C$4213))</f>
        <v/>
      </c>
      <c r="F4211" s="54">
        <f>IF(_imp!$C$4213="","",INDEX(_imp!$I$4:$I$4503,_imp!$C$4213))</f>
        <v/>
      </c>
      <c r="G4211" s="54">
        <f>IF(_imp!$C$4213="","",INDEX(_imp!$J$4:$J$4503,_imp!$C$4213))</f>
        <v/>
      </c>
      <c r="K4211" s="54">
        <f>IF(_imp!$C$4213="","",INDEX(_imp!$K$4:$K$4503,_imp!$C$4213))</f>
        <v/>
      </c>
    </row>
    <row r="4212">
      <c r="A4212" s="54">
        <f>IF(_imp!$C$4214="","",INDEX(_imp!$D$4:$D$4503,_imp!$C$4214))</f>
        <v/>
      </c>
      <c r="B4212" s="54">
        <f>IF(_imp!$C$4214="","",INDEX(_imp!$E$4:$E$4503,_imp!$C$4214))</f>
        <v/>
      </c>
      <c r="C4212" s="54">
        <f>IF(_imp!$C$4214="","",INDEX(_imp!$F$4:$F$4503,_imp!$C$4214))</f>
        <v/>
      </c>
      <c r="D4212" s="54">
        <f>IF(_imp!$C$4214="","",INDEX(_imp!$G$4:$G$4503,_imp!$C$4214))</f>
        <v/>
      </c>
      <c r="E4212" s="54">
        <f>IF(_imp!$C$4214="","",INDEX(_imp!$H$4:$H$4503,_imp!$C$4214))</f>
        <v/>
      </c>
      <c r="F4212" s="54">
        <f>IF(_imp!$C$4214="","",INDEX(_imp!$I$4:$I$4503,_imp!$C$4214))</f>
        <v/>
      </c>
      <c r="G4212" s="54">
        <f>IF(_imp!$C$4214="","",INDEX(_imp!$J$4:$J$4503,_imp!$C$4214))</f>
        <v/>
      </c>
      <c r="K4212" s="54">
        <f>IF(_imp!$C$4214="","",INDEX(_imp!$K$4:$K$4503,_imp!$C$4214))</f>
        <v/>
      </c>
    </row>
    <row r="4213">
      <c r="A4213" s="54">
        <f>IF(_imp!$C$4215="","",INDEX(_imp!$D$4:$D$4503,_imp!$C$4215))</f>
        <v/>
      </c>
      <c r="B4213" s="54">
        <f>IF(_imp!$C$4215="","",INDEX(_imp!$E$4:$E$4503,_imp!$C$4215))</f>
        <v/>
      </c>
      <c r="C4213" s="54">
        <f>IF(_imp!$C$4215="","",INDEX(_imp!$F$4:$F$4503,_imp!$C$4215))</f>
        <v/>
      </c>
      <c r="D4213" s="54">
        <f>IF(_imp!$C$4215="","",INDEX(_imp!$G$4:$G$4503,_imp!$C$4215))</f>
        <v/>
      </c>
      <c r="E4213" s="54">
        <f>IF(_imp!$C$4215="","",INDEX(_imp!$H$4:$H$4503,_imp!$C$4215))</f>
        <v/>
      </c>
      <c r="F4213" s="54">
        <f>IF(_imp!$C$4215="","",INDEX(_imp!$I$4:$I$4503,_imp!$C$4215))</f>
        <v/>
      </c>
      <c r="G4213" s="54">
        <f>IF(_imp!$C$4215="","",INDEX(_imp!$J$4:$J$4503,_imp!$C$4215))</f>
        <v/>
      </c>
      <c r="K4213" s="54">
        <f>IF(_imp!$C$4215="","",INDEX(_imp!$K$4:$K$4503,_imp!$C$4215))</f>
        <v/>
      </c>
    </row>
    <row r="4214">
      <c r="A4214" s="54">
        <f>IF(_imp!$C$4216="","",INDEX(_imp!$D$4:$D$4503,_imp!$C$4216))</f>
        <v/>
      </c>
      <c r="B4214" s="54">
        <f>IF(_imp!$C$4216="","",INDEX(_imp!$E$4:$E$4503,_imp!$C$4216))</f>
        <v/>
      </c>
      <c r="C4214" s="54">
        <f>IF(_imp!$C$4216="","",INDEX(_imp!$F$4:$F$4503,_imp!$C$4216))</f>
        <v/>
      </c>
      <c r="D4214" s="54">
        <f>IF(_imp!$C$4216="","",INDEX(_imp!$G$4:$G$4503,_imp!$C$4216))</f>
        <v/>
      </c>
      <c r="E4214" s="54">
        <f>IF(_imp!$C$4216="","",INDEX(_imp!$H$4:$H$4503,_imp!$C$4216))</f>
        <v/>
      </c>
      <c r="F4214" s="54">
        <f>IF(_imp!$C$4216="","",INDEX(_imp!$I$4:$I$4503,_imp!$C$4216))</f>
        <v/>
      </c>
      <c r="G4214" s="54">
        <f>IF(_imp!$C$4216="","",INDEX(_imp!$J$4:$J$4503,_imp!$C$4216))</f>
        <v/>
      </c>
      <c r="K4214" s="54">
        <f>IF(_imp!$C$4216="","",INDEX(_imp!$K$4:$K$4503,_imp!$C$4216))</f>
        <v/>
      </c>
    </row>
    <row r="4215">
      <c r="A4215" s="54">
        <f>IF(_imp!$C$4217="","",INDEX(_imp!$D$4:$D$4503,_imp!$C$4217))</f>
        <v/>
      </c>
      <c r="B4215" s="54">
        <f>IF(_imp!$C$4217="","",INDEX(_imp!$E$4:$E$4503,_imp!$C$4217))</f>
        <v/>
      </c>
      <c r="C4215" s="54">
        <f>IF(_imp!$C$4217="","",INDEX(_imp!$F$4:$F$4503,_imp!$C$4217))</f>
        <v/>
      </c>
      <c r="D4215" s="54">
        <f>IF(_imp!$C$4217="","",INDEX(_imp!$G$4:$G$4503,_imp!$C$4217))</f>
        <v/>
      </c>
      <c r="E4215" s="54">
        <f>IF(_imp!$C$4217="","",INDEX(_imp!$H$4:$H$4503,_imp!$C$4217))</f>
        <v/>
      </c>
      <c r="F4215" s="54">
        <f>IF(_imp!$C$4217="","",INDEX(_imp!$I$4:$I$4503,_imp!$C$4217))</f>
        <v/>
      </c>
      <c r="G4215" s="54">
        <f>IF(_imp!$C$4217="","",INDEX(_imp!$J$4:$J$4503,_imp!$C$4217))</f>
        <v/>
      </c>
      <c r="K4215" s="54">
        <f>IF(_imp!$C$4217="","",INDEX(_imp!$K$4:$K$4503,_imp!$C$4217))</f>
        <v/>
      </c>
    </row>
    <row r="4216">
      <c r="A4216" s="54">
        <f>IF(_imp!$C$4218="","",INDEX(_imp!$D$4:$D$4503,_imp!$C$4218))</f>
        <v/>
      </c>
      <c r="B4216" s="54">
        <f>IF(_imp!$C$4218="","",INDEX(_imp!$E$4:$E$4503,_imp!$C$4218))</f>
        <v/>
      </c>
      <c r="C4216" s="54">
        <f>IF(_imp!$C$4218="","",INDEX(_imp!$F$4:$F$4503,_imp!$C$4218))</f>
        <v/>
      </c>
      <c r="D4216" s="54">
        <f>IF(_imp!$C$4218="","",INDEX(_imp!$G$4:$G$4503,_imp!$C$4218))</f>
        <v/>
      </c>
      <c r="E4216" s="54">
        <f>IF(_imp!$C$4218="","",INDEX(_imp!$H$4:$H$4503,_imp!$C$4218))</f>
        <v/>
      </c>
      <c r="F4216" s="54">
        <f>IF(_imp!$C$4218="","",INDEX(_imp!$I$4:$I$4503,_imp!$C$4218))</f>
        <v/>
      </c>
      <c r="G4216" s="54">
        <f>IF(_imp!$C$4218="","",INDEX(_imp!$J$4:$J$4503,_imp!$C$4218))</f>
        <v/>
      </c>
      <c r="K4216" s="54">
        <f>IF(_imp!$C$4218="","",INDEX(_imp!$K$4:$K$4503,_imp!$C$4218))</f>
        <v/>
      </c>
    </row>
    <row r="4217">
      <c r="A4217" s="54">
        <f>IF(_imp!$C$4219="","",INDEX(_imp!$D$4:$D$4503,_imp!$C$4219))</f>
        <v/>
      </c>
      <c r="B4217" s="54">
        <f>IF(_imp!$C$4219="","",INDEX(_imp!$E$4:$E$4503,_imp!$C$4219))</f>
        <v/>
      </c>
      <c r="C4217" s="54">
        <f>IF(_imp!$C$4219="","",INDEX(_imp!$F$4:$F$4503,_imp!$C$4219))</f>
        <v/>
      </c>
      <c r="D4217" s="54">
        <f>IF(_imp!$C$4219="","",INDEX(_imp!$G$4:$G$4503,_imp!$C$4219))</f>
        <v/>
      </c>
      <c r="E4217" s="54">
        <f>IF(_imp!$C$4219="","",INDEX(_imp!$H$4:$H$4503,_imp!$C$4219))</f>
        <v/>
      </c>
      <c r="F4217" s="54">
        <f>IF(_imp!$C$4219="","",INDEX(_imp!$I$4:$I$4503,_imp!$C$4219))</f>
        <v/>
      </c>
      <c r="G4217" s="54">
        <f>IF(_imp!$C$4219="","",INDEX(_imp!$J$4:$J$4503,_imp!$C$4219))</f>
        <v/>
      </c>
      <c r="K4217" s="54">
        <f>IF(_imp!$C$4219="","",INDEX(_imp!$K$4:$K$4503,_imp!$C$4219))</f>
        <v/>
      </c>
    </row>
    <row r="4218">
      <c r="A4218" s="54">
        <f>IF(_imp!$C$4220="","",INDEX(_imp!$D$4:$D$4503,_imp!$C$4220))</f>
        <v/>
      </c>
      <c r="B4218" s="54">
        <f>IF(_imp!$C$4220="","",INDEX(_imp!$E$4:$E$4503,_imp!$C$4220))</f>
        <v/>
      </c>
      <c r="C4218" s="54">
        <f>IF(_imp!$C$4220="","",INDEX(_imp!$F$4:$F$4503,_imp!$C$4220))</f>
        <v/>
      </c>
      <c r="D4218" s="54">
        <f>IF(_imp!$C$4220="","",INDEX(_imp!$G$4:$G$4503,_imp!$C$4220))</f>
        <v/>
      </c>
      <c r="E4218" s="54">
        <f>IF(_imp!$C$4220="","",INDEX(_imp!$H$4:$H$4503,_imp!$C$4220))</f>
        <v/>
      </c>
      <c r="F4218" s="54">
        <f>IF(_imp!$C$4220="","",INDEX(_imp!$I$4:$I$4503,_imp!$C$4220))</f>
        <v/>
      </c>
      <c r="G4218" s="54">
        <f>IF(_imp!$C$4220="","",INDEX(_imp!$J$4:$J$4503,_imp!$C$4220))</f>
        <v/>
      </c>
      <c r="K4218" s="54">
        <f>IF(_imp!$C$4220="","",INDEX(_imp!$K$4:$K$4503,_imp!$C$4220))</f>
        <v/>
      </c>
    </row>
    <row r="4219">
      <c r="A4219" s="54">
        <f>IF(_imp!$C$4221="","",INDEX(_imp!$D$4:$D$4503,_imp!$C$4221))</f>
        <v/>
      </c>
      <c r="B4219" s="54">
        <f>IF(_imp!$C$4221="","",INDEX(_imp!$E$4:$E$4503,_imp!$C$4221))</f>
        <v/>
      </c>
      <c r="C4219" s="54">
        <f>IF(_imp!$C$4221="","",INDEX(_imp!$F$4:$F$4503,_imp!$C$4221))</f>
        <v/>
      </c>
      <c r="D4219" s="54">
        <f>IF(_imp!$C$4221="","",INDEX(_imp!$G$4:$G$4503,_imp!$C$4221))</f>
        <v/>
      </c>
      <c r="E4219" s="54">
        <f>IF(_imp!$C$4221="","",INDEX(_imp!$H$4:$H$4503,_imp!$C$4221))</f>
        <v/>
      </c>
      <c r="F4219" s="54">
        <f>IF(_imp!$C$4221="","",INDEX(_imp!$I$4:$I$4503,_imp!$C$4221))</f>
        <v/>
      </c>
      <c r="G4219" s="54">
        <f>IF(_imp!$C$4221="","",INDEX(_imp!$J$4:$J$4503,_imp!$C$4221))</f>
        <v/>
      </c>
      <c r="K4219" s="54">
        <f>IF(_imp!$C$4221="","",INDEX(_imp!$K$4:$K$4503,_imp!$C$4221))</f>
        <v/>
      </c>
    </row>
    <row r="4220">
      <c r="A4220" s="54">
        <f>IF(_imp!$C$4222="","",INDEX(_imp!$D$4:$D$4503,_imp!$C$4222))</f>
        <v/>
      </c>
      <c r="B4220" s="54">
        <f>IF(_imp!$C$4222="","",INDEX(_imp!$E$4:$E$4503,_imp!$C$4222))</f>
        <v/>
      </c>
      <c r="C4220" s="54">
        <f>IF(_imp!$C$4222="","",INDEX(_imp!$F$4:$F$4503,_imp!$C$4222))</f>
        <v/>
      </c>
      <c r="D4220" s="54">
        <f>IF(_imp!$C$4222="","",INDEX(_imp!$G$4:$G$4503,_imp!$C$4222))</f>
        <v/>
      </c>
      <c r="E4220" s="54">
        <f>IF(_imp!$C$4222="","",INDEX(_imp!$H$4:$H$4503,_imp!$C$4222))</f>
        <v/>
      </c>
      <c r="F4220" s="54">
        <f>IF(_imp!$C$4222="","",INDEX(_imp!$I$4:$I$4503,_imp!$C$4222))</f>
        <v/>
      </c>
      <c r="G4220" s="54">
        <f>IF(_imp!$C$4222="","",INDEX(_imp!$J$4:$J$4503,_imp!$C$4222))</f>
        <v/>
      </c>
      <c r="K4220" s="54">
        <f>IF(_imp!$C$4222="","",INDEX(_imp!$K$4:$K$4503,_imp!$C$4222))</f>
        <v/>
      </c>
    </row>
    <row r="4221">
      <c r="A4221" s="54">
        <f>IF(_imp!$C$4223="","",INDEX(_imp!$D$4:$D$4503,_imp!$C$4223))</f>
        <v/>
      </c>
      <c r="B4221" s="54">
        <f>IF(_imp!$C$4223="","",INDEX(_imp!$E$4:$E$4503,_imp!$C$4223))</f>
        <v/>
      </c>
      <c r="C4221" s="54">
        <f>IF(_imp!$C$4223="","",INDEX(_imp!$F$4:$F$4503,_imp!$C$4223))</f>
        <v/>
      </c>
      <c r="D4221" s="54">
        <f>IF(_imp!$C$4223="","",INDEX(_imp!$G$4:$G$4503,_imp!$C$4223))</f>
        <v/>
      </c>
      <c r="E4221" s="54">
        <f>IF(_imp!$C$4223="","",INDEX(_imp!$H$4:$H$4503,_imp!$C$4223))</f>
        <v/>
      </c>
      <c r="F4221" s="54">
        <f>IF(_imp!$C$4223="","",INDEX(_imp!$I$4:$I$4503,_imp!$C$4223))</f>
        <v/>
      </c>
      <c r="G4221" s="54">
        <f>IF(_imp!$C$4223="","",INDEX(_imp!$J$4:$J$4503,_imp!$C$4223))</f>
        <v/>
      </c>
      <c r="K4221" s="54">
        <f>IF(_imp!$C$4223="","",INDEX(_imp!$K$4:$K$4503,_imp!$C$4223))</f>
        <v/>
      </c>
    </row>
    <row r="4222">
      <c r="A4222" s="54">
        <f>IF(_imp!$C$4224="","",INDEX(_imp!$D$4:$D$4503,_imp!$C$4224))</f>
        <v/>
      </c>
      <c r="B4222" s="54">
        <f>IF(_imp!$C$4224="","",INDEX(_imp!$E$4:$E$4503,_imp!$C$4224))</f>
        <v/>
      </c>
      <c r="C4222" s="54">
        <f>IF(_imp!$C$4224="","",INDEX(_imp!$F$4:$F$4503,_imp!$C$4224))</f>
        <v/>
      </c>
      <c r="D4222" s="54">
        <f>IF(_imp!$C$4224="","",INDEX(_imp!$G$4:$G$4503,_imp!$C$4224))</f>
        <v/>
      </c>
      <c r="E4222" s="54">
        <f>IF(_imp!$C$4224="","",INDEX(_imp!$H$4:$H$4503,_imp!$C$4224))</f>
        <v/>
      </c>
      <c r="F4222" s="54">
        <f>IF(_imp!$C$4224="","",INDEX(_imp!$I$4:$I$4503,_imp!$C$4224))</f>
        <v/>
      </c>
      <c r="G4222" s="54">
        <f>IF(_imp!$C$4224="","",INDEX(_imp!$J$4:$J$4503,_imp!$C$4224))</f>
        <v/>
      </c>
      <c r="K4222" s="54">
        <f>IF(_imp!$C$4224="","",INDEX(_imp!$K$4:$K$4503,_imp!$C$4224))</f>
        <v/>
      </c>
    </row>
    <row r="4223">
      <c r="A4223" s="54">
        <f>IF(_imp!$C$4225="","",INDEX(_imp!$D$4:$D$4503,_imp!$C$4225))</f>
        <v/>
      </c>
      <c r="B4223" s="54">
        <f>IF(_imp!$C$4225="","",INDEX(_imp!$E$4:$E$4503,_imp!$C$4225))</f>
        <v/>
      </c>
      <c r="C4223" s="54">
        <f>IF(_imp!$C$4225="","",INDEX(_imp!$F$4:$F$4503,_imp!$C$4225))</f>
        <v/>
      </c>
      <c r="D4223" s="54">
        <f>IF(_imp!$C$4225="","",INDEX(_imp!$G$4:$G$4503,_imp!$C$4225))</f>
        <v/>
      </c>
      <c r="E4223" s="54">
        <f>IF(_imp!$C$4225="","",INDEX(_imp!$H$4:$H$4503,_imp!$C$4225))</f>
        <v/>
      </c>
      <c r="F4223" s="54">
        <f>IF(_imp!$C$4225="","",INDEX(_imp!$I$4:$I$4503,_imp!$C$4225))</f>
        <v/>
      </c>
      <c r="G4223" s="54">
        <f>IF(_imp!$C$4225="","",INDEX(_imp!$J$4:$J$4503,_imp!$C$4225))</f>
        <v/>
      </c>
      <c r="K4223" s="54">
        <f>IF(_imp!$C$4225="","",INDEX(_imp!$K$4:$K$4503,_imp!$C$4225))</f>
        <v/>
      </c>
    </row>
    <row r="4224">
      <c r="A4224" s="54">
        <f>IF(_imp!$C$4226="","",INDEX(_imp!$D$4:$D$4503,_imp!$C$4226))</f>
        <v/>
      </c>
      <c r="B4224" s="54">
        <f>IF(_imp!$C$4226="","",INDEX(_imp!$E$4:$E$4503,_imp!$C$4226))</f>
        <v/>
      </c>
      <c r="C4224" s="54">
        <f>IF(_imp!$C$4226="","",INDEX(_imp!$F$4:$F$4503,_imp!$C$4226))</f>
        <v/>
      </c>
      <c r="D4224" s="54">
        <f>IF(_imp!$C$4226="","",INDEX(_imp!$G$4:$G$4503,_imp!$C$4226))</f>
        <v/>
      </c>
      <c r="E4224" s="54">
        <f>IF(_imp!$C$4226="","",INDEX(_imp!$H$4:$H$4503,_imp!$C$4226))</f>
        <v/>
      </c>
      <c r="F4224" s="54">
        <f>IF(_imp!$C$4226="","",INDEX(_imp!$I$4:$I$4503,_imp!$C$4226))</f>
        <v/>
      </c>
      <c r="G4224" s="54">
        <f>IF(_imp!$C$4226="","",INDEX(_imp!$J$4:$J$4503,_imp!$C$4226))</f>
        <v/>
      </c>
      <c r="K4224" s="54">
        <f>IF(_imp!$C$4226="","",INDEX(_imp!$K$4:$K$4503,_imp!$C$4226))</f>
        <v/>
      </c>
    </row>
    <row r="4225">
      <c r="A4225" s="54">
        <f>IF(_imp!$C$4227="","",INDEX(_imp!$D$4:$D$4503,_imp!$C$4227))</f>
        <v/>
      </c>
      <c r="B4225" s="54">
        <f>IF(_imp!$C$4227="","",INDEX(_imp!$E$4:$E$4503,_imp!$C$4227))</f>
        <v/>
      </c>
      <c r="C4225" s="54">
        <f>IF(_imp!$C$4227="","",INDEX(_imp!$F$4:$F$4503,_imp!$C$4227))</f>
        <v/>
      </c>
      <c r="D4225" s="54">
        <f>IF(_imp!$C$4227="","",INDEX(_imp!$G$4:$G$4503,_imp!$C$4227))</f>
        <v/>
      </c>
      <c r="E4225" s="54">
        <f>IF(_imp!$C$4227="","",INDEX(_imp!$H$4:$H$4503,_imp!$C$4227))</f>
        <v/>
      </c>
      <c r="F4225" s="54">
        <f>IF(_imp!$C$4227="","",INDEX(_imp!$I$4:$I$4503,_imp!$C$4227))</f>
        <v/>
      </c>
      <c r="G4225" s="54">
        <f>IF(_imp!$C$4227="","",INDEX(_imp!$J$4:$J$4503,_imp!$C$4227))</f>
        <v/>
      </c>
      <c r="K4225" s="54">
        <f>IF(_imp!$C$4227="","",INDEX(_imp!$K$4:$K$4503,_imp!$C$4227))</f>
        <v/>
      </c>
    </row>
    <row r="4226">
      <c r="A4226" s="54">
        <f>IF(_imp!$C$4228="","",INDEX(_imp!$D$4:$D$4503,_imp!$C$4228))</f>
        <v/>
      </c>
      <c r="B4226" s="54">
        <f>IF(_imp!$C$4228="","",INDEX(_imp!$E$4:$E$4503,_imp!$C$4228))</f>
        <v/>
      </c>
      <c r="C4226" s="54">
        <f>IF(_imp!$C$4228="","",INDEX(_imp!$F$4:$F$4503,_imp!$C$4228))</f>
        <v/>
      </c>
      <c r="D4226" s="54">
        <f>IF(_imp!$C$4228="","",INDEX(_imp!$G$4:$G$4503,_imp!$C$4228))</f>
        <v/>
      </c>
      <c r="E4226" s="54">
        <f>IF(_imp!$C$4228="","",INDEX(_imp!$H$4:$H$4503,_imp!$C$4228))</f>
        <v/>
      </c>
      <c r="F4226" s="54">
        <f>IF(_imp!$C$4228="","",INDEX(_imp!$I$4:$I$4503,_imp!$C$4228))</f>
        <v/>
      </c>
      <c r="G4226" s="54">
        <f>IF(_imp!$C$4228="","",INDEX(_imp!$J$4:$J$4503,_imp!$C$4228))</f>
        <v/>
      </c>
      <c r="K4226" s="54">
        <f>IF(_imp!$C$4228="","",INDEX(_imp!$K$4:$K$4503,_imp!$C$4228))</f>
        <v/>
      </c>
    </row>
    <row r="4227">
      <c r="A4227" s="54">
        <f>IF(_imp!$C$4229="","",INDEX(_imp!$D$4:$D$4503,_imp!$C$4229))</f>
        <v/>
      </c>
      <c r="B4227" s="54">
        <f>IF(_imp!$C$4229="","",INDEX(_imp!$E$4:$E$4503,_imp!$C$4229))</f>
        <v/>
      </c>
      <c r="C4227" s="54">
        <f>IF(_imp!$C$4229="","",INDEX(_imp!$F$4:$F$4503,_imp!$C$4229))</f>
        <v/>
      </c>
      <c r="D4227" s="54">
        <f>IF(_imp!$C$4229="","",INDEX(_imp!$G$4:$G$4503,_imp!$C$4229))</f>
        <v/>
      </c>
      <c r="E4227" s="54">
        <f>IF(_imp!$C$4229="","",INDEX(_imp!$H$4:$H$4503,_imp!$C$4229))</f>
        <v/>
      </c>
      <c r="F4227" s="54">
        <f>IF(_imp!$C$4229="","",INDEX(_imp!$I$4:$I$4503,_imp!$C$4229))</f>
        <v/>
      </c>
      <c r="G4227" s="54">
        <f>IF(_imp!$C$4229="","",INDEX(_imp!$J$4:$J$4503,_imp!$C$4229))</f>
        <v/>
      </c>
      <c r="K4227" s="54">
        <f>IF(_imp!$C$4229="","",INDEX(_imp!$K$4:$K$4503,_imp!$C$4229))</f>
        <v/>
      </c>
    </row>
    <row r="4228">
      <c r="A4228" s="54">
        <f>IF(_imp!$C$4230="","",INDEX(_imp!$D$4:$D$4503,_imp!$C$4230))</f>
        <v/>
      </c>
      <c r="B4228" s="54">
        <f>IF(_imp!$C$4230="","",INDEX(_imp!$E$4:$E$4503,_imp!$C$4230))</f>
        <v/>
      </c>
      <c r="C4228" s="54">
        <f>IF(_imp!$C$4230="","",INDEX(_imp!$F$4:$F$4503,_imp!$C$4230))</f>
        <v/>
      </c>
      <c r="D4228" s="54">
        <f>IF(_imp!$C$4230="","",INDEX(_imp!$G$4:$G$4503,_imp!$C$4230))</f>
        <v/>
      </c>
      <c r="E4228" s="54">
        <f>IF(_imp!$C$4230="","",INDEX(_imp!$H$4:$H$4503,_imp!$C$4230))</f>
        <v/>
      </c>
      <c r="F4228" s="54">
        <f>IF(_imp!$C$4230="","",INDEX(_imp!$I$4:$I$4503,_imp!$C$4230))</f>
        <v/>
      </c>
      <c r="G4228" s="54">
        <f>IF(_imp!$C$4230="","",INDEX(_imp!$J$4:$J$4503,_imp!$C$4230))</f>
        <v/>
      </c>
      <c r="K4228" s="54">
        <f>IF(_imp!$C$4230="","",INDEX(_imp!$K$4:$K$4503,_imp!$C$4230))</f>
        <v/>
      </c>
    </row>
    <row r="4229">
      <c r="A4229" s="54">
        <f>IF(_imp!$C$4231="","",INDEX(_imp!$D$4:$D$4503,_imp!$C$4231))</f>
        <v/>
      </c>
      <c r="B4229" s="54">
        <f>IF(_imp!$C$4231="","",INDEX(_imp!$E$4:$E$4503,_imp!$C$4231))</f>
        <v/>
      </c>
      <c r="C4229" s="54">
        <f>IF(_imp!$C$4231="","",INDEX(_imp!$F$4:$F$4503,_imp!$C$4231))</f>
        <v/>
      </c>
      <c r="D4229" s="54">
        <f>IF(_imp!$C$4231="","",INDEX(_imp!$G$4:$G$4503,_imp!$C$4231))</f>
        <v/>
      </c>
      <c r="E4229" s="54">
        <f>IF(_imp!$C$4231="","",INDEX(_imp!$H$4:$H$4503,_imp!$C$4231))</f>
        <v/>
      </c>
      <c r="F4229" s="54">
        <f>IF(_imp!$C$4231="","",INDEX(_imp!$I$4:$I$4503,_imp!$C$4231))</f>
        <v/>
      </c>
      <c r="G4229" s="54">
        <f>IF(_imp!$C$4231="","",INDEX(_imp!$J$4:$J$4503,_imp!$C$4231))</f>
        <v/>
      </c>
      <c r="K4229" s="54">
        <f>IF(_imp!$C$4231="","",INDEX(_imp!$K$4:$K$4503,_imp!$C$4231))</f>
        <v/>
      </c>
    </row>
    <row r="4230">
      <c r="A4230" s="54">
        <f>IF(_imp!$C$4232="","",INDEX(_imp!$D$4:$D$4503,_imp!$C$4232))</f>
        <v/>
      </c>
      <c r="B4230" s="54">
        <f>IF(_imp!$C$4232="","",INDEX(_imp!$E$4:$E$4503,_imp!$C$4232))</f>
        <v/>
      </c>
      <c r="C4230" s="54">
        <f>IF(_imp!$C$4232="","",INDEX(_imp!$F$4:$F$4503,_imp!$C$4232))</f>
        <v/>
      </c>
      <c r="D4230" s="54">
        <f>IF(_imp!$C$4232="","",INDEX(_imp!$G$4:$G$4503,_imp!$C$4232))</f>
        <v/>
      </c>
      <c r="E4230" s="54">
        <f>IF(_imp!$C$4232="","",INDEX(_imp!$H$4:$H$4503,_imp!$C$4232))</f>
        <v/>
      </c>
      <c r="F4230" s="54">
        <f>IF(_imp!$C$4232="","",INDEX(_imp!$I$4:$I$4503,_imp!$C$4232))</f>
        <v/>
      </c>
      <c r="G4230" s="54">
        <f>IF(_imp!$C$4232="","",INDEX(_imp!$J$4:$J$4503,_imp!$C$4232))</f>
        <v/>
      </c>
      <c r="K4230" s="54">
        <f>IF(_imp!$C$4232="","",INDEX(_imp!$K$4:$K$4503,_imp!$C$4232))</f>
        <v/>
      </c>
    </row>
    <row r="4231">
      <c r="A4231" s="54">
        <f>IF(_imp!$C$4233="","",INDEX(_imp!$D$4:$D$4503,_imp!$C$4233))</f>
        <v/>
      </c>
      <c r="B4231" s="54">
        <f>IF(_imp!$C$4233="","",INDEX(_imp!$E$4:$E$4503,_imp!$C$4233))</f>
        <v/>
      </c>
      <c r="C4231" s="54">
        <f>IF(_imp!$C$4233="","",INDEX(_imp!$F$4:$F$4503,_imp!$C$4233))</f>
        <v/>
      </c>
      <c r="D4231" s="54">
        <f>IF(_imp!$C$4233="","",INDEX(_imp!$G$4:$G$4503,_imp!$C$4233))</f>
        <v/>
      </c>
      <c r="E4231" s="54">
        <f>IF(_imp!$C$4233="","",INDEX(_imp!$H$4:$H$4503,_imp!$C$4233))</f>
        <v/>
      </c>
      <c r="F4231" s="54">
        <f>IF(_imp!$C$4233="","",INDEX(_imp!$I$4:$I$4503,_imp!$C$4233))</f>
        <v/>
      </c>
      <c r="G4231" s="54">
        <f>IF(_imp!$C$4233="","",INDEX(_imp!$J$4:$J$4503,_imp!$C$4233))</f>
        <v/>
      </c>
      <c r="K4231" s="54">
        <f>IF(_imp!$C$4233="","",INDEX(_imp!$K$4:$K$4503,_imp!$C$4233))</f>
        <v/>
      </c>
    </row>
    <row r="4232">
      <c r="A4232" s="54">
        <f>IF(_imp!$C$4234="","",INDEX(_imp!$D$4:$D$4503,_imp!$C$4234))</f>
        <v/>
      </c>
      <c r="B4232" s="54">
        <f>IF(_imp!$C$4234="","",INDEX(_imp!$E$4:$E$4503,_imp!$C$4234))</f>
        <v/>
      </c>
      <c r="C4232" s="54">
        <f>IF(_imp!$C$4234="","",INDEX(_imp!$F$4:$F$4503,_imp!$C$4234))</f>
        <v/>
      </c>
      <c r="D4232" s="54">
        <f>IF(_imp!$C$4234="","",INDEX(_imp!$G$4:$G$4503,_imp!$C$4234))</f>
        <v/>
      </c>
      <c r="E4232" s="54">
        <f>IF(_imp!$C$4234="","",INDEX(_imp!$H$4:$H$4503,_imp!$C$4234))</f>
        <v/>
      </c>
      <c r="F4232" s="54">
        <f>IF(_imp!$C$4234="","",INDEX(_imp!$I$4:$I$4503,_imp!$C$4234))</f>
        <v/>
      </c>
      <c r="G4232" s="54">
        <f>IF(_imp!$C$4234="","",INDEX(_imp!$J$4:$J$4503,_imp!$C$4234))</f>
        <v/>
      </c>
      <c r="K4232" s="54">
        <f>IF(_imp!$C$4234="","",INDEX(_imp!$K$4:$K$4503,_imp!$C$4234))</f>
        <v/>
      </c>
    </row>
    <row r="4233">
      <c r="A4233" s="54">
        <f>IF(_imp!$C$4235="","",INDEX(_imp!$D$4:$D$4503,_imp!$C$4235))</f>
        <v/>
      </c>
      <c r="B4233" s="54">
        <f>IF(_imp!$C$4235="","",INDEX(_imp!$E$4:$E$4503,_imp!$C$4235))</f>
        <v/>
      </c>
      <c r="C4233" s="54">
        <f>IF(_imp!$C$4235="","",INDEX(_imp!$F$4:$F$4503,_imp!$C$4235))</f>
        <v/>
      </c>
      <c r="D4233" s="54">
        <f>IF(_imp!$C$4235="","",INDEX(_imp!$G$4:$G$4503,_imp!$C$4235))</f>
        <v/>
      </c>
      <c r="E4233" s="54">
        <f>IF(_imp!$C$4235="","",INDEX(_imp!$H$4:$H$4503,_imp!$C$4235))</f>
        <v/>
      </c>
      <c r="F4233" s="54">
        <f>IF(_imp!$C$4235="","",INDEX(_imp!$I$4:$I$4503,_imp!$C$4235))</f>
        <v/>
      </c>
      <c r="G4233" s="54">
        <f>IF(_imp!$C$4235="","",INDEX(_imp!$J$4:$J$4503,_imp!$C$4235))</f>
        <v/>
      </c>
      <c r="K4233" s="54">
        <f>IF(_imp!$C$4235="","",INDEX(_imp!$K$4:$K$4503,_imp!$C$4235))</f>
        <v/>
      </c>
    </row>
    <row r="4234">
      <c r="A4234" s="54">
        <f>IF(_imp!$C$4236="","",INDEX(_imp!$D$4:$D$4503,_imp!$C$4236))</f>
        <v/>
      </c>
      <c r="B4234" s="54">
        <f>IF(_imp!$C$4236="","",INDEX(_imp!$E$4:$E$4503,_imp!$C$4236))</f>
        <v/>
      </c>
      <c r="C4234" s="54">
        <f>IF(_imp!$C$4236="","",INDEX(_imp!$F$4:$F$4503,_imp!$C$4236))</f>
        <v/>
      </c>
      <c r="D4234" s="54">
        <f>IF(_imp!$C$4236="","",INDEX(_imp!$G$4:$G$4503,_imp!$C$4236))</f>
        <v/>
      </c>
      <c r="E4234" s="54">
        <f>IF(_imp!$C$4236="","",INDEX(_imp!$H$4:$H$4503,_imp!$C$4236))</f>
        <v/>
      </c>
      <c r="F4234" s="54">
        <f>IF(_imp!$C$4236="","",INDEX(_imp!$I$4:$I$4503,_imp!$C$4236))</f>
        <v/>
      </c>
      <c r="G4234" s="54">
        <f>IF(_imp!$C$4236="","",INDEX(_imp!$J$4:$J$4503,_imp!$C$4236))</f>
        <v/>
      </c>
      <c r="K4234" s="54">
        <f>IF(_imp!$C$4236="","",INDEX(_imp!$K$4:$K$4503,_imp!$C$4236))</f>
        <v/>
      </c>
    </row>
    <row r="4235">
      <c r="A4235" s="54">
        <f>IF(_imp!$C$4237="","",INDEX(_imp!$D$4:$D$4503,_imp!$C$4237))</f>
        <v/>
      </c>
      <c r="B4235" s="54">
        <f>IF(_imp!$C$4237="","",INDEX(_imp!$E$4:$E$4503,_imp!$C$4237))</f>
        <v/>
      </c>
      <c r="C4235" s="54">
        <f>IF(_imp!$C$4237="","",INDEX(_imp!$F$4:$F$4503,_imp!$C$4237))</f>
        <v/>
      </c>
      <c r="D4235" s="54">
        <f>IF(_imp!$C$4237="","",INDEX(_imp!$G$4:$G$4503,_imp!$C$4237))</f>
        <v/>
      </c>
      <c r="E4235" s="54">
        <f>IF(_imp!$C$4237="","",INDEX(_imp!$H$4:$H$4503,_imp!$C$4237))</f>
        <v/>
      </c>
      <c r="F4235" s="54">
        <f>IF(_imp!$C$4237="","",INDEX(_imp!$I$4:$I$4503,_imp!$C$4237))</f>
        <v/>
      </c>
      <c r="G4235" s="54">
        <f>IF(_imp!$C$4237="","",INDEX(_imp!$J$4:$J$4503,_imp!$C$4237))</f>
        <v/>
      </c>
      <c r="K4235" s="54">
        <f>IF(_imp!$C$4237="","",INDEX(_imp!$K$4:$K$4503,_imp!$C$4237))</f>
        <v/>
      </c>
    </row>
    <row r="4236">
      <c r="A4236" s="54">
        <f>IF(_imp!$C$4238="","",INDEX(_imp!$D$4:$D$4503,_imp!$C$4238))</f>
        <v/>
      </c>
      <c r="B4236" s="54">
        <f>IF(_imp!$C$4238="","",INDEX(_imp!$E$4:$E$4503,_imp!$C$4238))</f>
        <v/>
      </c>
      <c r="C4236" s="54">
        <f>IF(_imp!$C$4238="","",INDEX(_imp!$F$4:$F$4503,_imp!$C$4238))</f>
        <v/>
      </c>
      <c r="D4236" s="54">
        <f>IF(_imp!$C$4238="","",INDEX(_imp!$G$4:$G$4503,_imp!$C$4238))</f>
        <v/>
      </c>
      <c r="E4236" s="54">
        <f>IF(_imp!$C$4238="","",INDEX(_imp!$H$4:$H$4503,_imp!$C$4238))</f>
        <v/>
      </c>
      <c r="F4236" s="54">
        <f>IF(_imp!$C$4238="","",INDEX(_imp!$I$4:$I$4503,_imp!$C$4238))</f>
        <v/>
      </c>
      <c r="G4236" s="54">
        <f>IF(_imp!$C$4238="","",INDEX(_imp!$J$4:$J$4503,_imp!$C$4238))</f>
        <v/>
      </c>
      <c r="K4236" s="54">
        <f>IF(_imp!$C$4238="","",INDEX(_imp!$K$4:$K$4503,_imp!$C$4238))</f>
        <v/>
      </c>
    </row>
    <row r="4237">
      <c r="A4237" s="54">
        <f>IF(_imp!$C$4239="","",INDEX(_imp!$D$4:$D$4503,_imp!$C$4239))</f>
        <v/>
      </c>
      <c r="B4237" s="54">
        <f>IF(_imp!$C$4239="","",INDEX(_imp!$E$4:$E$4503,_imp!$C$4239))</f>
        <v/>
      </c>
      <c r="C4237" s="54">
        <f>IF(_imp!$C$4239="","",INDEX(_imp!$F$4:$F$4503,_imp!$C$4239))</f>
        <v/>
      </c>
      <c r="D4237" s="54">
        <f>IF(_imp!$C$4239="","",INDEX(_imp!$G$4:$G$4503,_imp!$C$4239))</f>
        <v/>
      </c>
      <c r="E4237" s="54">
        <f>IF(_imp!$C$4239="","",INDEX(_imp!$H$4:$H$4503,_imp!$C$4239))</f>
        <v/>
      </c>
      <c r="F4237" s="54">
        <f>IF(_imp!$C$4239="","",INDEX(_imp!$I$4:$I$4503,_imp!$C$4239))</f>
        <v/>
      </c>
      <c r="G4237" s="54">
        <f>IF(_imp!$C$4239="","",INDEX(_imp!$J$4:$J$4503,_imp!$C$4239))</f>
        <v/>
      </c>
      <c r="K4237" s="54">
        <f>IF(_imp!$C$4239="","",INDEX(_imp!$K$4:$K$4503,_imp!$C$4239))</f>
        <v/>
      </c>
    </row>
    <row r="4238">
      <c r="A4238" s="54">
        <f>IF(_imp!$C$4240="","",INDEX(_imp!$D$4:$D$4503,_imp!$C$4240))</f>
        <v/>
      </c>
      <c r="B4238" s="54">
        <f>IF(_imp!$C$4240="","",INDEX(_imp!$E$4:$E$4503,_imp!$C$4240))</f>
        <v/>
      </c>
      <c r="C4238" s="54">
        <f>IF(_imp!$C$4240="","",INDEX(_imp!$F$4:$F$4503,_imp!$C$4240))</f>
        <v/>
      </c>
      <c r="D4238" s="54">
        <f>IF(_imp!$C$4240="","",INDEX(_imp!$G$4:$G$4503,_imp!$C$4240))</f>
        <v/>
      </c>
      <c r="E4238" s="54">
        <f>IF(_imp!$C$4240="","",INDEX(_imp!$H$4:$H$4503,_imp!$C$4240))</f>
        <v/>
      </c>
      <c r="F4238" s="54">
        <f>IF(_imp!$C$4240="","",INDEX(_imp!$I$4:$I$4503,_imp!$C$4240))</f>
        <v/>
      </c>
      <c r="G4238" s="54">
        <f>IF(_imp!$C$4240="","",INDEX(_imp!$J$4:$J$4503,_imp!$C$4240))</f>
        <v/>
      </c>
      <c r="K4238" s="54">
        <f>IF(_imp!$C$4240="","",INDEX(_imp!$K$4:$K$4503,_imp!$C$4240))</f>
        <v/>
      </c>
    </row>
    <row r="4239">
      <c r="A4239" s="54">
        <f>IF(_imp!$C$4241="","",INDEX(_imp!$D$4:$D$4503,_imp!$C$4241))</f>
        <v/>
      </c>
      <c r="B4239" s="54">
        <f>IF(_imp!$C$4241="","",INDEX(_imp!$E$4:$E$4503,_imp!$C$4241))</f>
        <v/>
      </c>
      <c r="C4239" s="54">
        <f>IF(_imp!$C$4241="","",INDEX(_imp!$F$4:$F$4503,_imp!$C$4241))</f>
        <v/>
      </c>
      <c r="D4239" s="54">
        <f>IF(_imp!$C$4241="","",INDEX(_imp!$G$4:$G$4503,_imp!$C$4241))</f>
        <v/>
      </c>
      <c r="E4239" s="54">
        <f>IF(_imp!$C$4241="","",INDEX(_imp!$H$4:$H$4503,_imp!$C$4241))</f>
        <v/>
      </c>
      <c r="F4239" s="54">
        <f>IF(_imp!$C$4241="","",INDEX(_imp!$I$4:$I$4503,_imp!$C$4241))</f>
        <v/>
      </c>
      <c r="G4239" s="54">
        <f>IF(_imp!$C$4241="","",INDEX(_imp!$J$4:$J$4503,_imp!$C$4241))</f>
        <v/>
      </c>
      <c r="K4239" s="54">
        <f>IF(_imp!$C$4241="","",INDEX(_imp!$K$4:$K$4503,_imp!$C$4241))</f>
        <v/>
      </c>
    </row>
    <row r="4240">
      <c r="A4240" s="54">
        <f>IF(_imp!$C$4242="","",INDEX(_imp!$D$4:$D$4503,_imp!$C$4242))</f>
        <v/>
      </c>
      <c r="B4240" s="54">
        <f>IF(_imp!$C$4242="","",INDEX(_imp!$E$4:$E$4503,_imp!$C$4242))</f>
        <v/>
      </c>
      <c r="C4240" s="54">
        <f>IF(_imp!$C$4242="","",INDEX(_imp!$F$4:$F$4503,_imp!$C$4242))</f>
        <v/>
      </c>
      <c r="D4240" s="54">
        <f>IF(_imp!$C$4242="","",INDEX(_imp!$G$4:$G$4503,_imp!$C$4242))</f>
        <v/>
      </c>
      <c r="E4240" s="54">
        <f>IF(_imp!$C$4242="","",INDEX(_imp!$H$4:$H$4503,_imp!$C$4242))</f>
        <v/>
      </c>
      <c r="F4240" s="54">
        <f>IF(_imp!$C$4242="","",INDEX(_imp!$I$4:$I$4503,_imp!$C$4242))</f>
        <v/>
      </c>
      <c r="G4240" s="54">
        <f>IF(_imp!$C$4242="","",INDEX(_imp!$J$4:$J$4503,_imp!$C$4242))</f>
        <v/>
      </c>
      <c r="K4240" s="54">
        <f>IF(_imp!$C$4242="","",INDEX(_imp!$K$4:$K$4503,_imp!$C$4242))</f>
        <v/>
      </c>
    </row>
    <row r="4241">
      <c r="A4241" s="54">
        <f>IF(_imp!$C$4243="","",INDEX(_imp!$D$4:$D$4503,_imp!$C$4243))</f>
        <v/>
      </c>
      <c r="B4241" s="54">
        <f>IF(_imp!$C$4243="","",INDEX(_imp!$E$4:$E$4503,_imp!$C$4243))</f>
        <v/>
      </c>
      <c r="C4241" s="54">
        <f>IF(_imp!$C$4243="","",INDEX(_imp!$F$4:$F$4503,_imp!$C$4243))</f>
        <v/>
      </c>
      <c r="D4241" s="54">
        <f>IF(_imp!$C$4243="","",INDEX(_imp!$G$4:$G$4503,_imp!$C$4243))</f>
        <v/>
      </c>
      <c r="E4241" s="54">
        <f>IF(_imp!$C$4243="","",INDEX(_imp!$H$4:$H$4503,_imp!$C$4243))</f>
        <v/>
      </c>
      <c r="F4241" s="54">
        <f>IF(_imp!$C$4243="","",INDEX(_imp!$I$4:$I$4503,_imp!$C$4243))</f>
        <v/>
      </c>
      <c r="G4241" s="54">
        <f>IF(_imp!$C$4243="","",INDEX(_imp!$J$4:$J$4503,_imp!$C$4243))</f>
        <v/>
      </c>
      <c r="K4241" s="54">
        <f>IF(_imp!$C$4243="","",INDEX(_imp!$K$4:$K$4503,_imp!$C$4243))</f>
        <v/>
      </c>
    </row>
    <row r="4242">
      <c r="A4242" s="54">
        <f>IF(_imp!$C$4244="","",INDEX(_imp!$D$4:$D$4503,_imp!$C$4244))</f>
        <v/>
      </c>
      <c r="B4242" s="54">
        <f>IF(_imp!$C$4244="","",INDEX(_imp!$E$4:$E$4503,_imp!$C$4244))</f>
        <v/>
      </c>
      <c r="C4242" s="54">
        <f>IF(_imp!$C$4244="","",INDEX(_imp!$F$4:$F$4503,_imp!$C$4244))</f>
        <v/>
      </c>
      <c r="D4242" s="54">
        <f>IF(_imp!$C$4244="","",INDEX(_imp!$G$4:$G$4503,_imp!$C$4244))</f>
        <v/>
      </c>
      <c r="E4242" s="54">
        <f>IF(_imp!$C$4244="","",INDEX(_imp!$H$4:$H$4503,_imp!$C$4244))</f>
        <v/>
      </c>
      <c r="F4242" s="54">
        <f>IF(_imp!$C$4244="","",INDEX(_imp!$I$4:$I$4503,_imp!$C$4244))</f>
        <v/>
      </c>
      <c r="G4242" s="54">
        <f>IF(_imp!$C$4244="","",INDEX(_imp!$J$4:$J$4503,_imp!$C$4244))</f>
        <v/>
      </c>
      <c r="K4242" s="54">
        <f>IF(_imp!$C$4244="","",INDEX(_imp!$K$4:$K$4503,_imp!$C$4244))</f>
        <v/>
      </c>
    </row>
    <row r="4243">
      <c r="A4243" s="54">
        <f>IF(_imp!$C$4245="","",INDEX(_imp!$D$4:$D$4503,_imp!$C$4245))</f>
        <v/>
      </c>
      <c r="B4243" s="54">
        <f>IF(_imp!$C$4245="","",INDEX(_imp!$E$4:$E$4503,_imp!$C$4245))</f>
        <v/>
      </c>
      <c r="C4243" s="54">
        <f>IF(_imp!$C$4245="","",INDEX(_imp!$F$4:$F$4503,_imp!$C$4245))</f>
        <v/>
      </c>
      <c r="D4243" s="54">
        <f>IF(_imp!$C$4245="","",INDEX(_imp!$G$4:$G$4503,_imp!$C$4245))</f>
        <v/>
      </c>
      <c r="E4243" s="54">
        <f>IF(_imp!$C$4245="","",INDEX(_imp!$H$4:$H$4503,_imp!$C$4245))</f>
        <v/>
      </c>
      <c r="F4243" s="54">
        <f>IF(_imp!$C$4245="","",INDEX(_imp!$I$4:$I$4503,_imp!$C$4245))</f>
        <v/>
      </c>
      <c r="G4243" s="54">
        <f>IF(_imp!$C$4245="","",INDEX(_imp!$J$4:$J$4503,_imp!$C$4245))</f>
        <v/>
      </c>
      <c r="K4243" s="54">
        <f>IF(_imp!$C$4245="","",INDEX(_imp!$K$4:$K$4503,_imp!$C$4245))</f>
        <v/>
      </c>
    </row>
    <row r="4244">
      <c r="A4244" s="54">
        <f>IF(_imp!$C$4246="","",INDEX(_imp!$D$4:$D$4503,_imp!$C$4246))</f>
        <v/>
      </c>
      <c r="B4244" s="54">
        <f>IF(_imp!$C$4246="","",INDEX(_imp!$E$4:$E$4503,_imp!$C$4246))</f>
        <v/>
      </c>
      <c r="C4244" s="54">
        <f>IF(_imp!$C$4246="","",INDEX(_imp!$F$4:$F$4503,_imp!$C$4246))</f>
        <v/>
      </c>
      <c r="D4244" s="54">
        <f>IF(_imp!$C$4246="","",INDEX(_imp!$G$4:$G$4503,_imp!$C$4246))</f>
        <v/>
      </c>
      <c r="E4244" s="54">
        <f>IF(_imp!$C$4246="","",INDEX(_imp!$H$4:$H$4503,_imp!$C$4246))</f>
        <v/>
      </c>
      <c r="F4244" s="54">
        <f>IF(_imp!$C$4246="","",INDEX(_imp!$I$4:$I$4503,_imp!$C$4246))</f>
        <v/>
      </c>
      <c r="G4244" s="54">
        <f>IF(_imp!$C$4246="","",INDEX(_imp!$J$4:$J$4503,_imp!$C$4246))</f>
        <v/>
      </c>
      <c r="K4244" s="54">
        <f>IF(_imp!$C$4246="","",INDEX(_imp!$K$4:$K$4503,_imp!$C$4246))</f>
        <v/>
      </c>
    </row>
    <row r="4245">
      <c r="A4245" s="54">
        <f>IF(_imp!$C$4247="","",INDEX(_imp!$D$4:$D$4503,_imp!$C$4247))</f>
        <v/>
      </c>
      <c r="B4245" s="54">
        <f>IF(_imp!$C$4247="","",INDEX(_imp!$E$4:$E$4503,_imp!$C$4247))</f>
        <v/>
      </c>
      <c r="C4245" s="54">
        <f>IF(_imp!$C$4247="","",INDEX(_imp!$F$4:$F$4503,_imp!$C$4247))</f>
        <v/>
      </c>
      <c r="D4245" s="54">
        <f>IF(_imp!$C$4247="","",INDEX(_imp!$G$4:$G$4503,_imp!$C$4247))</f>
        <v/>
      </c>
      <c r="E4245" s="54">
        <f>IF(_imp!$C$4247="","",INDEX(_imp!$H$4:$H$4503,_imp!$C$4247))</f>
        <v/>
      </c>
      <c r="F4245" s="54">
        <f>IF(_imp!$C$4247="","",INDEX(_imp!$I$4:$I$4503,_imp!$C$4247))</f>
        <v/>
      </c>
      <c r="G4245" s="54">
        <f>IF(_imp!$C$4247="","",INDEX(_imp!$J$4:$J$4503,_imp!$C$4247))</f>
        <v/>
      </c>
      <c r="K4245" s="54">
        <f>IF(_imp!$C$4247="","",INDEX(_imp!$K$4:$K$4503,_imp!$C$4247))</f>
        <v/>
      </c>
    </row>
    <row r="4246">
      <c r="A4246" s="54">
        <f>IF(_imp!$C$4248="","",INDEX(_imp!$D$4:$D$4503,_imp!$C$4248))</f>
        <v/>
      </c>
      <c r="B4246" s="54">
        <f>IF(_imp!$C$4248="","",INDEX(_imp!$E$4:$E$4503,_imp!$C$4248))</f>
        <v/>
      </c>
      <c r="C4246" s="54">
        <f>IF(_imp!$C$4248="","",INDEX(_imp!$F$4:$F$4503,_imp!$C$4248))</f>
        <v/>
      </c>
      <c r="D4246" s="54">
        <f>IF(_imp!$C$4248="","",INDEX(_imp!$G$4:$G$4503,_imp!$C$4248))</f>
        <v/>
      </c>
      <c r="E4246" s="54">
        <f>IF(_imp!$C$4248="","",INDEX(_imp!$H$4:$H$4503,_imp!$C$4248))</f>
        <v/>
      </c>
      <c r="F4246" s="54">
        <f>IF(_imp!$C$4248="","",INDEX(_imp!$I$4:$I$4503,_imp!$C$4248))</f>
        <v/>
      </c>
      <c r="G4246" s="54">
        <f>IF(_imp!$C$4248="","",INDEX(_imp!$J$4:$J$4503,_imp!$C$4248))</f>
        <v/>
      </c>
      <c r="K4246" s="54">
        <f>IF(_imp!$C$4248="","",INDEX(_imp!$K$4:$K$4503,_imp!$C$4248))</f>
        <v/>
      </c>
    </row>
    <row r="4247">
      <c r="A4247" s="54">
        <f>IF(_imp!$C$4249="","",INDEX(_imp!$D$4:$D$4503,_imp!$C$4249))</f>
        <v/>
      </c>
      <c r="B4247" s="54">
        <f>IF(_imp!$C$4249="","",INDEX(_imp!$E$4:$E$4503,_imp!$C$4249))</f>
        <v/>
      </c>
      <c r="C4247" s="54">
        <f>IF(_imp!$C$4249="","",INDEX(_imp!$F$4:$F$4503,_imp!$C$4249))</f>
        <v/>
      </c>
      <c r="D4247" s="54">
        <f>IF(_imp!$C$4249="","",INDEX(_imp!$G$4:$G$4503,_imp!$C$4249))</f>
        <v/>
      </c>
      <c r="E4247" s="54">
        <f>IF(_imp!$C$4249="","",INDEX(_imp!$H$4:$H$4503,_imp!$C$4249))</f>
        <v/>
      </c>
      <c r="F4247" s="54">
        <f>IF(_imp!$C$4249="","",INDEX(_imp!$I$4:$I$4503,_imp!$C$4249))</f>
        <v/>
      </c>
      <c r="G4247" s="54">
        <f>IF(_imp!$C$4249="","",INDEX(_imp!$J$4:$J$4503,_imp!$C$4249))</f>
        <v/>
      </c>
      <c r="K4247" s="54">
        <f>IF(_imp!$C$4249="","",INDEX(_imp!$K$4:$K$4503,_imp!$C$4249))</f>
        <v/>
      </c>
    </row>
    <row r="4248">
      <c r="A4248" s="54">
        <f>IF(_imp!$C$4250="","",INDEX(_imp!$D$4:$D$4503,_imp!$C$4250))</f>
        <v/>
      </c>
      <c r="B4248" s="54">
        <f>IF(_imp!$C$4250="","",INDEX(_imp!$E$4:$E$4503,_imp!$C$4250))</f>
        <v/>
      </c>
      <c r="C4248" s="54">
        <f>IF(_imp!$C$4250="","",INDEX(_imp!$F$4:$F$4503,_imp!$C$4250))</f>
        <v/>
      </c>
      <c r="D4248" s="54">
        <f>IF(_imp!$C$4250="","",INDEX(_imp!$G$4:$G$4503,_imp!$C$4250))</f>
        <v/>
      </c>
      <c r="E4248" s="54">
        <f>IF(_imp!$C$4250="","",INDEX(_imp!$H$4:$H$4503,_imp!$C$4250))</f>
        <v/>
      </c>
      <c r="F4248" s="54">
        <f>IF(_imp!$C$4250="","",INDEX(_imp!$I$4:$I$4503,_imp!$C$4250))</f>
        <v/>
      </c>
      <c r="G4248" s="54">
        <f>IF(_imp!$C$4250="","",INDEX(_imp!$J$4:$J$4503,_imp!$C$4250))</f>
        <v/>
      </c>
      <c r="K4248" s="54">
        <f>IF(_imp!$C$4250="","",INDEX(_imp!$K$4:$K$4503,_imp!$C$4250))</f>
        <v/>
      </c>
    </row>
    <row r="4249">
      <c r="A4249" s="54">
        <f>IF(_imp!$C$4251="","",INDEX(_imp!$D$4:$D$4503,_imp!$C$4251))</f>
        <v/>
      </c>
      <c r="B4249" s="54">
        <f>IF(_imp!$C$4251="","",INDEX(_imp!$E$4:$E$4503,_imp!$C$4251))</f>
        <v/>
      </c>
      <c r="C4249" s="54">
        <f>IF(_imp!$C$4251="","",INDEX(_imp!$F$4:$F$4503,_imp!$C$4251))</f>
        <v/>
      </c>
      <c r="D4249" s="54">
        <f>IF(_imp!$C$4251="","",INDEX(_imp!$G$4:$G$4503,_imp!$C$4251))</f>
        <v/>
      </c>
      <c r="E4249" s="54">
        <f>IF(_imp!$C$4251="","",INDEX(_imp!$H$4:$H$4503,_imp!$C$4251))</f>
        <v/>
      </c>
      <c r="F4249" s="54">
        <f>IF(_imp!$C$4251="","",INDEX(_imp!$I$4:$I$4503,_imp!$C$4251))</f>
        <v/>
      </c>
      <c r="G4249" s="54">
        <f>IF(_imp!$C$4251="","",INDEX(_imp!$J$4:$J$4503,_imp!$C$4251))</f>
        <v/>
      </c>
      <c r="K4249" s="54">
        <f>IF(_imp!$C$4251="","",INDEX(_imp!$K$4:$K$4503,_imp!$C$4251))</f>
        <v/>
      </c>
    </row>
    <row r="4250">
      <c r="A4250" s="54">
        <f>IF(_imp!$C$4252="","",INDEX(_imp!$D$4:$D$4503,_imp!$C$4252))</f>
        <v/>
      </c>
      <c r="B4250" s="54">
        <f>IF(_imp!$C$4252="","",INDEX(_imp!$E$4:$E$4503,_imp!$C$4252))</f>
        <v/>
      </c>
      <c r="C4250" s="54">
        <f>IF(_imp!$C$4252="","",INDEX(_imp!$F$4:$F$4503,_imp!$C$4252))</f>
        <v/>
      </c>
      <c r="D4250" s="54">
        <f>IF(_imp!$C$4252="","",INDEX(_imp!$G$4:$G$4503,_imp!$C$4252))</f>
        <v/>
      </c>
      <c r="E4250" s="54">
        <f>IF(_imp!$C$4252="","",INDEX(_imp!$H$4:$H$4503,_imp!$C$4252))</f>
        <v/>
      </c>
      <c r="F4250" s="54">
        <f>IF(_imp!$C$4252="","",INDEX(_imp!$I$4:$I$4503,_imp!$C$4252))</f>
        <v/>
      </c>
      <c r="G4250" s="54">
        <f>IF(_imp!$C$4252="","",INDEX(_imp!$J$4:$J$4503,_imp!$C$4252))</f>
        <v/>
      </c>
      <c r="K4250" s="54">
        <f>IF(_imp!$C$4252="","",INDEX(_imp!$K$4:$K$4503,_imp!$C$4252))</f>
        <v/>
      </c>
    </row>
    <row r="4251">
      <c r="A4251" s="54">
        <f>IF(_imp!$C$4253="","",INDEX(_imp!$D$4:$D$4503,_imp!$C$4253))</f>
        <v/>
      </c>
      <c r="B4251" s="54">
        <f>IF(_imp!$C$4253="","",INDEX(_imp!$E$4:$E$4503,_imp!$C$4253))</f>
        <v/>
      </c>
      <c r="C4251" s="54">
        <f>IF(_imp!$C$4253="","",INDEX(_imp!$F$4:$F$4503,_imp!$C$4253))</f>
        <v/>
      </c>
      <c r="D4251" s="54">
        <f>IF(_imp!$C$4253="","",INDEX(_imp!$G$4:$G$4503,_imp!$C$4253))</f>
        <v/>
      </c>
      <c r="E4251" s="54">
        <f>IF(_imp!$C$4253="","",INDEX(_imp!$H$4:$H$4503,_imp!$C$4253))</f>
        <v/>
      </c>
      <c r="F4251" s="54">
        <f>IF(_imp!$C$4253="","",INDEX(_imp!$I$4:$I$4503,_imp!$C$4253))</f>
        <v/>
      </c>
      <c r="G4251" s="54">
        <f>IF(_imp!$C$4253="","",INDEX(_imp!$J$4:$J$4503,_imp!$C$4253))</f>
        <v/>
      </c>
      <c r="K4251" s="54">
        <f>IF(_imp!$C$4253="","",INDEX(_imp!$K$4:$K$4503,_imp!$C$4253))</f>
        <v/>
      </c>
    </row>
    <row r="4252">
      <c r="A4252" s="54">
        <f>IF(_imp!$C$4254="","",INDEX(_imp!$D$4:$D$4503,_imp!$C$4254))</f>
        <v/>
      </c>
      <c r="B4252" s="54">
        <f>IF(_imp!$C$4254="","",INDEX(_imp!$E$4:$E$4503,_imp!$C$4254))</f>
        <v/>
      </c>
      <c r="C4252" s="54">
        <f>IF(_imp!$C$4254="","",INDEX(_imp!$F$4:$F$4503,_imp!$C$4254))</f>
        <v/>
      </c>
      <c r="D4252" s="54">
        <f>IF(_imp!$C$4254="","",INDEX(_imp!$G$4:$G$4503,_imp!$C$4254))</f>
        <v/>
      </c>
      <c r="E4252" s="54">
        <f>IF(_imp!$C$4254="","",INDEX(_imp!$H$4:$H$4503,_imp!$C$4254))</f>
        <v/>
      </c>
      <c r="F4252" s="54">
        <f>IF(_imp!$C$4254="","",INDEX(_imp!$I$4:$I$4503,_imp!$C$4254))</f>
        <v/>
      </c>
      <c r="G4252" s="54">
        <f>IF(_imp!$C$4254="","",INDEX(_imp!$J$4:$J$4503,_imp!$C$4254))</f>
        <v/>
      </c>
      <c r="K4252" s="54">
        <f>IF(_imp!$C$4254="","",INDEX(_imp!$K$4:$K$4503,_imp!$C$4254))</f>
        <v/>
      </c>
    </row>
    <row r="4253">
      <c r="A4253" s="54">
        <f>IF(_imp!$C$4255="","",INDEX(_imp!$D$4:$D$4503,_imp!$C$4255))</f>
        <v/>
      </c>
      <c r="B4253" s="54">
        <f>IF(_imp!$C$4255="","",INDEX(_imp!$E$4:$E$4503,_imp!$C$4255))</f>
        <v/>
      </c>
      <c r="C4253" s="54">
        <f>IF(_imp!$C$4255="","",INDEX(_imp!$F$4:$F$4503,_imp!$C$4255))</f>
        <v/>
      </c>
      <c r="D4253" s="54">
        <f>IF(_imp!$C$4255="","",INDEX(_imp!$G$4:$G$4503,_imp!$C$4255))</f>
        <v/>
      </c>
      <c r="E4253" s="54">
        <f>IF(_imp!$C$4255="","",INDEX(_imp!$H$4:$H$4503,_imp!$C$4255))</f>
        <v/>
      </c>
      <c r="F4253" s="54">
        <f>IF(_imp!$C$4255="","",INDEX(_imp!$I$4:$I$4503,_imp!$C$4255))</f>
        <v/>
      </c>
      <c r="G4253" s="54">
        <f>IF(_imp!$C$4255="","",INDEX(_imp!$J$4:$J$4503,_imp!$C$4255))</f>
        <v/>
      </c>
      <c r="K4253" s="54">
        <f>IF(_imp!$C$4255="","",INDEX(_imp!$K$4:$K$4503,_imp!$C$4255))</f>
        <v/>
      </c>
    </row>
    <row r="4254">
      <c r="A4254" s="54">
        <f>IF(_imp!$C$4256="","",INDEX(_imp!$D$4:$D$4503,_imp!$C$4256))</f>
        <v/>
      </c>
      <c r="B4254" s="54">
        <f>IF(_imp!$C$4256="","",INDEX(_imp!$E$4:$E$4503,_imp!$C$4256))</f>
        <v/>
      </c>
      <c r="C4254" s="54">
        <f>IF(_imp!$C$4256="","",INDEX(_imp!$F$4:$F$4503,_imp!$C$4256))</f>
        <v/>
      </c>
      <c r="D4254" s="54">
        <f>IF(_imp!$C$4256="","",INDEX(_imp!$G$4:$G$4503,_imp!$C$4256))</f>
        <v/>
      </c>
      <c r="E4254" s="54">
        <f>IF(_imp!$C$4256="","",INDEX(_imp!$H$4:$H$4503,_imp!$C$4256))</f>
        <v/>
      </c>
      <c r="F4254" s="54">
        <f>IF(_imp!$C$4256="","",INDEX(_imp!$I$4:$I$4503,_imp!$C$4256))</f>
        <v/>
      </c>
      <c r="G4254" s="54">
        <f>IF(_imp!$C$4256="","",INDEX(_imp!$J$4:$J$4503,_imp!$C$4256))</f>
        <v/>
      </c>
      <c r="K4254" s="54">
        <f>IF(_imp!$C$4256="","",INDEX(_imp!$K$4:$K$4503,_imp!$C$4256))</f>
        <v/>
      </c>
    </row>
    <row r="4255">
      <c r="A4255" s="54">
        <f>IF(_imp!$C$4257="","",INDEX(_imp!$D$4:$D$4503,_imp!$C$4257))</f>
        <v/>
      </c>
      <c r="B4255" s="54">
        <f>IF(_imp!$C$4257="","",INDEX(_imp!$E$4:$E$4503,_imp!$C$4257))</f>
        <v/>
      </c>
      <c r="C4255" s="54">
        <f>IF(_imp!$C$4257="","",INDEX(_imp!$F$4:$F$4503,_imp!$C$4257))</f>
        <v/>
      </c>
      <c r="D4255" s="54">
        <f>IF(_imp!$C$4257="","",INDEX(_imp!$G$4:$G$4503,_imp!$C$4257))</f>
        <v/>
      </c>
      <c r="E4255" s="54">
        <f>IF(_imp!$C$4257="","",INDEX(_imp!$H$4:$H$4503,_imp!$C$4257))</f>
        <v/>
      </c>
      <c r="F4255" s="54">
        <f>IF(_imp!$C$4257="","",INDEX(_imp!$I$4:$I$4503,_imp!$C$4257))</f>
        <v/>
      </c>
      <c r="G4255" s="54">
        <f>IF(_imp!$C$4257="","",INDEX(_imp!$J$4:$J$4503,_imp!$C$4257))</f>
        <v/>
      </c>
      <c r="K4255" s="54">
        <f>IF(_imp!$C$4257="","",INDEX(_imp!$K$4:$K$4503,_imp!$C$4257))</f>
        <v/>
      </c>
    </row>
    <row r="4256">
      <c r="A4256" s="54">
        <f>IF(_imp!$C$4258="","",INDEX(_imp!$D$4:$D$4503,_imp!$C$4258))</f>
        <v/>
      </c>
      <c r="B4256" s="54">
        <f>IF(_imp!$C$4258="","",INDEX(_imp!$E$4:$E$4503,_imp!$C$4258))</f>
        <v/>
      </c>
      <c r="C4256" s="54">
        <f>IF(_imp!$C$4258="","",INDEX(_imp!$F$4:$F$4503,_imp!$C$4258))</f>
        <v/>
      </c>
      <c r="D4256" s="54">
        <f>IF(_imp!$C$4258="","",INDEX(_imp!$G$4:$G$4503,_imp!$C$4258))</f>
        <v/>
      </c>
      <c r="E4256" s="54">
        <f>IF(_imp!$C$4258="","",INDEX(_imp!$H$4:$H$4503,_imp!$C$4258))</f>
        <v/>
      </c>
      <c r="F4256" s="54">
        <f>IF(_imp!$C$4258="","",INDEX(_imp!$I$4:$I$4503,_imp!$C$4258))</f>
        <v/>
      </c>
      <c r="G4256" s="54">
        <f>IF(_imp!$C$4258="","",INDEX(_imp!$J$4:$J$4503,_imp!$C$4258))</f>
        <v/>
      </c>
      <c r="K4256" s="54">
        <f>IF(_imp!$C$4258="","",INDEX(_imp!$K$4:$K$4503,_imp!$C$4258))</f>
        <v/>
      </c>
    </row>
    <row r="4257">
      <c r="A4257" s="54">
        <f>IF(_imp!$C$4259="","",INDEX(_imp!$D$4:$D$4503,_imp!$C$4259))</f>
        <v/>
      </c>
      <c r="B4257" s="54">
        <f>IF(_imp!$C$4259="","",INDEX(_imp!$E$4:$E$4503,_imp!$C$4259))</f>
        <v/>
      </c>
      <c r="C4257" s="54">
        <f>IF(_imp!$C$4259="","",INDEX(_imp!$F$4:$F$4503,_imp!$C$4259))</f>
        <v/>
      </c>
      <c r="D4257" s="54">
        <f>IF(_imp!$C$4259="","",INDEX(_imp!$G$4:$G$4503,_imp!$C$4259))</f>
        <v/>
      </c>
      <c r="E4257" s="54">
        <f>IF(_imp!$C$4259="","",INDEX(_imp!$H$4:$H$4503,_imp!$C$4259))</f>
        <v/>
      </c>
      <c r="F4257" s="54">
        <f>IF(_imp!$C$4259="","",INDEX(_imp!$I$4:$I$4503,_imp!$C$4259))</f>
        <v/>
      </c>
      <c r="G4257" s="54">
        <f>IF(_imp!$C$4259="","",INDEX(_imp!$J$4:$J$4503,_imp!$C$4259))</f>
        <v/>
      </c>
      <c r="K4257" s="54">
        <f>IF(_imp!$C$4259="","",INDEX(_imp!$K$4:$K$4503,_imp!$C$4259))</f>
        <v/>
      </c>
    </row>
    <row r="4258">
      <c r="A4258" s="54">
        <f>IF(_imp!$C$4260="","",INDEX(_imp!$D$4:$D$4503,_imp!$C$4260))</f>
        <v/>
      </c>
      <c r="B4258" s="54">
        <f>IF(_imp!$C$4260="","",INDEX(_imp!$E$4:$E$4503,_imp!$C$4260))</f>
        <v/>
      </c>
      <c r="C4258" s="54">
        <f>IF(_imp!$C$4260="","",INDEX(_imp!$F$4:$F$4503,_imp!$C$4260))</f>
        <v/>
      </c>
      <c r="D4258" s="54">
        <f>IF(_imp!$C$4260="","",INDEX(_imp!$G$4:$G$4503,_imp!$C$4260))</f>
        <v/>
      </c>
      <c r="E4258" s="54">
        <f>IF(_imp!$C$4260="","",INDEX(_imp!$H$4:$H$4503,_imp!$C$4260))</f>
        <v/>
      </c>
      <c r="F4258" s="54">
        <f>IF(_imp!$C$4260="","",INDEX(_imp!$I$4:$I$4503,_imp!$C$4260))</f>
        <v/>
      </c>
      <c r="G4258" s="54">
        <f>IF(_imp!$C$4260="","",INDEX(_imp!$J$4:$J$4503,_imp!$C$4260))</f>
        <v/>
      </c>
      <c r="K4258" s="54">
        <f>IF(_imp!$C$4260="","",INDEX(_imp!$K$4:$K$4503,_imp!$C$4260))</f>
        <v/>
      </c>
    </row>
    <row r="4259">
      <c r="A4259" s="54">
        <f>IF(_imp!$C$4261="","",INDEX(_imp!$D$4:$D$4503,_imp!$C$4261))</f>
        <v/>
      </c>
      <c r="B4259" s="54">
        <f>IF(_imp!$C$4261="","",INDEX(_imp!$E$4:$E$4503,_imp!$C$4261))</f>
        <v/>
      </c>
      <c r="C4259" s="54">
        <f>IF(_imp!$C$4261="","",INDEX(_imp!$F$4:$F$4503,_imp!$C$4261))</f>
        <v/>
      </c>
      <c r="D4259" s="54">
        <f>IF(_imp!$C$4261="","",INDEX(_imp!$G$4:$G$4503,_imp!$C$4261))</f>
        <v/>
      </c>
      <c r="E4259" s="54">
        <f>IF(_imp!$C$4261="","",INDEX(_imp!$H$4:$H$4503,_imp!$C$4261))</f>
        <v/>
      </c>
      <c r="F4259" s="54">
        <f>IF(_imp!$C$4261="","",INDEX(_imp!$I$4:$I$4503,_imp!$C$4261))</f>
        <v/>
      </c>
      <c r="G4259" s="54">
        <f>IF(_imp!$C$4261="","",INDEX(_imp!$J$4:$J$4503,_imp!$C$4261))</f>
        <v/>
      </c>
      <c r="K4259" s="54">
        <f>IF(_imp!$C$4261="","",INDEX(_imp!$K$4:$K$4503,_imp!$C$4261))</f>
        <v/>
      </c>
    </row>
    <row r="4260">
      <c r="A4260" s="54">
        <f>IF(_imp!$C$4262="","",INDEX(_imp!$D$4:$D$4503,_imp!$C$4262))</f>
        <v/>
      </c>
      <c r="B4260" s="54">
        <f>IF(_imp!$C$4262="","",INDEX(_imp!$E$4:$E$4503,_imp!$C$4262))</f>
        <v/>
      </c>
      <c r="C4260" s="54">
        <f>IF(_imp!$C$4262="","",INDEX(_imp!$F$4:$F$4503,_imp!$C$4262))</f>
        <v/>
      </c>
      <c r="D4260" s="54">
        <f>IF(_imp!$C$4262="","",INDEX(_imp!$G$4:$G$4503,_imp!$C$4262))</f>
        <v/>
      </c>
      <c r="E4260" s="54">
        <f>IF(_imp!$C$4262="","",INDEX(_imp!$H$4:$H$4503,_imp!$C$4262))</f>
        <v/>
      </c>
      <c r="F4260" s="54">
        <f>IF(_imp!$C$4262="","",INDEX(_imp!$I$4:$I$4503,_imp!$C$4262))</f>
        <v/>
      </c>
      <c r="G4260" s="54">
        <f>IF(_imp!$C$4262="","",INDEX(_imp!$J$4:$J$4503,_imp!$C$4262))</f>
        <v/>
      </c>
      <c r="K4260" s="54">
        <f>IF(_imp!$C$4262="","",INDEX(_imp!$K$4:$K$4503,_imp!$C$4262))</f>
        <v/>
      </c>
    </row>
    <row r="4261">
      <c r="A4261" s="54">
        <f>IF(_imp!$C$4263="","",INDEX(_imp!$D$4:$D$4503,_imp!$C$4263))</f>
        <v/>
      </c>
      <c r="B4261" s="54">
        <f>IF(_imp!$C$4263="","",INDEX(_imp!$E$4:$E$4503,_imp!$C$4263))</f>
        <v/>
      </c>
      <c r="C4261" s="54">
        <f>IF(_imp!$C$4263="","",INDEX(_imp!$F$4:$F$4503,_imp!$C$4263))</f>
        <v/>
      </c>
      <c r="D4261" s="54">
        <f>IF(_imp!$C$4263="","",INDEX(_imp!$G$4:$G$4503,_imp!$C$4263))</f>
        <v/>
      </c>
      <c r="E4261" s="54">
        <f>IF(_imp!$C$4263="","",INDEX(_imp!$H$4:$H$4503,_imp!$C$4263))</f>
        <v/>
      </c>
      <c r="F4261" s="54">
        <f>IF(_imp!$C$4263="","",INDEX(_imp!$I$4:$I$4503,_imp!$C$4263))</f>
        <v/>
      </c>
      <c r="G4261" s="54">
        <f>IF(_imp!$C$4263="","",INDEX(_imp!$J$4:$J$4503,_imp!$C$4263))</f>
        <v/>
      </c>
      <c r="K4261" s="54">
        <f>IF(_imp!$C$4263="","",INDEX(_imp!$K$4:$K$4503,_imp!$C$4263))</f>
        <v/>
      </c>
    </row>
    <row r="4262">
      <c r="A4262" s="54">
        <f>IF(_imp!$C$4264="","",INDEX(_imp!$D$4:$D$4503,_imp!$C$4264))</f>
        <v/>
      </c>
      <c r="B4262" s="54">
        <f>IF(_imp!$C$4264="","",INDEX(_imp!$E$4:$E$4503,_imp!$C$4264))</f>
        <v/>
      </c>
      <c r="C4262" s="54">
        <f>IF(_imp!$C$4264="","",INDEX(_imp!$F$4:$F$4503,_imp!$C$4264))</f>
        <v/>
      </c>
      <c r="D4262" s="54">
        <f>IF(_imp!$C$4264="","",INDEX(_imp!$G$4:$G$4503,_imp!$C$4264))</f>
        <v/>
      </c>
      <c r="E4262" s="54">
        <f>IF(_imp!$C$4264="","",INDEX(_imp!$H$4:$H$4503,_imp!$C$4264))</f>
        <v/>
      </c>
      <c r="F4262" s="54">
        <f>IF(_imp!$C$4264="","",INDEX(_imp!$I$4:$I$4503,_imp!$C$4264))</f>
        <v/>
      </c>
      <c r="G4262" s="54">
        <f>IF(_imp!$C$4264="","",INDEX(_imp!$J$4:$J$4503,_imp!$C$4264))</f>
        <v/>
      </c>
      <c r="K4262" s="54">
        <f>IF(_imp!$C$4264="","",INDEX(_imp!$K$4:$K$4503,_imp!$C$4264))</f>
        <v/>
      </c>
    </row>
    <row r="4263">
      <c r="A4263" s="54">
        <f>IF(_imp!$C$4265="","",INDEX(_imp!$D$4:$D$4503,_imp!$C$4265))</f>
        <v/>
      </c>
      <c r="B4263" s="54">
        <f>IF(_imp!$C$4265="","",INDEX(_imp!$E$4:$E$4503,_imp!$C$4265))</f>
        <v/>
      </c>
      <c r="C4263" s="54">
        <f>IF(_imp!$C$4265="","",INDEX(_imp!$F$4:$F$4503,_imp!$C$4265))</f>
        <v/>
      </c>
      <c r="D4263" s="54">
        <f>IF(_imp!$C$4265="","",INDEX(_imp!$G$4:$G$4503,_imp!$C$4265))</f>
        <v/>
      </c>
      <c r="E4263" s="54">
        <f>IF(_imp!$C$4265="","",INDEX(_imp!$H$4:$H$4503,_imp!$C$4265))</f>
        <v/>
      </c>
      <c r="F4263" s="54">
        <f>IF(_imp!$C$4265="","",INDEX(_imp!$I$4:$I$4503,_imp!$C$4265))</f>
        <v/>
      </c>
      <c r="G4263" s="54">
        <f>IF(_imp!$C$4265="","",INDEX(_imp!$J$4:$J$4503,_imp!$C$4265))</f>
        <v/>
      </c>
      <c r="K4263" s="54">
        <f>IF(_imp!$C$4265="","",INDEX(_imp!$K$4:$K$4503,_imp!$C$4265))</f>
        <v/>
      </c>
    </row>
    <row r="4264">
      <c r="A4264" s="54">
        <f>IF(_imp!$C$4266="","",INDEX(_imp!$D$4:$D$4503,_imp!$C$4266))</f>
        <v/>
      </c>
      <c r="B4264" s="54">
        <f>IF(_imp!$C$4266="","",INDEX(_imp!$E$4:$E$4503,_imp!$C$4266))</f>
        <v/>
      </c>
      <c r="C4264" s="54">
        <f>IF(_imp!$C$4266="","",INDEX(_imp!$F$4:$F$4503,_imp!$C$4266))</f>
        <v/>
      </c>
      <c r="D4264" s="54">
        <f>IF(_imp!$C$4266="","",INDEX(_imp!$G$4:$G$4503,_imp!$C$4266))</f>
        <v/>
      </c>
      <c r="E4264" s="54">
        <f>IF(_imp!$C$4266="","",INDEX(_imp!$H$4:$H$4503,_imp!$C$4266))</f>
        <v/>
      </c>
      <c r="F4264" s="54">
        <f>IF(_imp!$C$4266="","",INDEX(_imp!$I$4:$I$4503,_imp!$C$4266))</f>
        <v/>
      </c>
      <c r="G4264" s="54">
        <f>IF(_imp!$C$4266="","",INDEX(_imp!$J$4:$J$4503,_imp!$C$4266))</f>
        <v/>
      </c>
      <c r="K4264" s="54">
        <f>IF(_imp!$C$4266="","",INDEX(_imp!$K$4:$K$4503,_imp!$C$4266))</f>
        <v/>
      </c>
    </row>
    <row r="4265">
      <c r="A4265" s="54">
        <f>IF(_imp!$C$4267="","",INDEX(_imp!$D$4:$D$4503,_imp!$C$4267))</f>
        <v/>
      </c>
      <c r="B4265" s="54">
        <f>IF(_imp!$C$4267="","",INDEX(_imp!$E$4:$E$4503,_imp!$C$4267))</f>
        <v/>
      </c>
      <c r="C4265" s="54">
        <f>IF(_imp!$C$4267="","",INDEX(_imp!$F$4:$F$4503,_imp!$C$4267))</f>
        <v/>
      </c>
      <c r="D4265" s="54">
        <f>IF(_imp!$C$4267="","",INDEX(_imp!$G$4:$G$4503,_imp!$C$4267))</f>
        <v/>
      </c>
      <c r="E4265" s="54">
        <f>IF(_imp!$C$4267="","",INDEX(_imp!$H$4:$H$4503,_imp!$C$4267))</f>
        <v/>
      </c>
      <c r="F4265" s="54">
        <f>IF(_imp!$C$4267="","",INDEX(_imp!$I$4:$I$4503,_imp!$C$4267))</f>
        <v/>
      </c>
      <c r="G4265" s="54">
        <f>IF(_imp!$C$4267="","",INDEX(_imp!$J$4:$J$4503,_imp!$C$4267))</f>
        <v/>
      </c>
      <c r="K4265" s="54">
        <f>IF(_imp!$C$4267="","",INDEX(_imp!$K$4:$K$4503,_imp!$C$4267))</f>
        <v/>
      </c>
    </row>
    <row r="4266">
      <c r="A4266" s="54">
        <f>IF(_imp!$C$4268="","",INDEX(_imp!$D$4:$D$4503,_imp!$C$4268))</f>
        <v/>
      </c>
      <c r="B4266" s="54">
        <f>IF(_imp!$C$4268="","",INDEX(_imp!$E$4:$E$4503,_imp!$C$4268))</f>
        <v/>
      </c>
      <c r="C4266" s="54">
        <f>IF(_imp!$C$4268="","",INDEX(_imp!$F$4:$F$4503,_imp!$C$4268))</f>
        <v/>
      </c>
      <c r="D4266" s="54">
        <f>IF(_imp!$C$4268="","",INDEX(_imp!$G$4:$G$4503,_imp!$C$4268))</f>
        <v/>
      </c>
      <c r="E4266" s="54">
        <f>IF(_imp!$C$4268="","",INDEX(_imp!$H$4:$H$4503,_imp!$C$4268))</f>
        <v/>
      </c>
      <c r="F4266" s="54">
        <f>IF(_imp!$C$4268="","",INDEX(_imp!$I$4:$I$4503,_imp!$C$4268))</f>
        <v/>
      </c>
      <c r="G4266" s="54">
        <f>IF(_imp!$C$4268="","",INDEX(_imp!$J$4:$J$4503,_imp!$C$4268))</f>
        <v/>
      </c>
      <c r="K4266" s="54">
        <f>IF(_imp!$C$4268="","",INDEX(_imp!$K$4:$K$4503,_imp!$C$4268))</f>
        <v/>
      </c>
    </row>
    <row r="4267">
      <c r="A4267" s="54">
        <f>IF(_imp!$C$4269="","",INDEX(_imp!$D$4:$D$4503,_imp!$C$4269))</f>
        <v/>
      </c>
      <c r="B4267" s="54">
        <f>IF(_imp!$C$4269="","",INDEX(_imp!$E$4:$E$4503,_imp!$C$4269))</f>
        <v/>
      </c>
      <c r="C4267" s="54">
        <f>IF(_imp!$C$4269="","",INDEX(_imp!$F$4:$F$4503,_imp!$C$4269))</f>
        <v/>
      </c>
      <c r="D4267" s="54">
        <f>IF(_imp!$C$4269="","",INDEX(_imp!$G$4:$G$4503,_imp!$C$4269))</f>
        <v/>
      </c>
      <c r="E4267" s="54">
        <f>IF(_imp!$C$4269="","",INDEX(_imp!$H$4:$H$4503,_imp!$C$4269))</f>
        <v/>
      </c>
      <c r="F4267" s="54">
        <f>IF(_imp!$C$4269="","",INDEX(_imp!$I$4:$I$4503,_imp!$C$4269))</f>
        <v/>
      </c>
      <c r="G4267" s="54">
        <f>IF(_imp!$C$4269="","",INDEX(_imp!$J$4:$J$4503,_imp!$C$4269))</f>
        <v/>
      </c>
      <c r="K4267" s="54">
        <f>IF(_imp!$C$4269="","",INDEX(_imp!$K$4:$K$4503,_imp!$C$4269))</f>
        <v/>
      </c>
    </row>
    <row r="4268">
      <c r="A4268" s="54">
        <f>IF(_imp!$C$4270="","",INDEX(_imp!$D$4:$D$4503,_imp!$C$4270))</f>
        <v/>
      </c>
      <c r="B4268" s="54">
        <f>IF(_imp!$C$4270="","",INDEX(_imp!$E$4:$E$4503,_imp!$C$4270))</f>
        <v/>
      </c>
      <c r="C4268" s="54">
        <f>IF(_imp!$C$4270="","",INDEX(_imp!$F$4:$F$4503,_imp!$C$4270))</f>
        <v/>
      </c>
      <c r="D4268" s="54">
        <f>IF(_imp!$C$4270="","",INDEX(_imp!$G$4:$G$4503,_imp!$C$4270))</f>
        <v/>
      </c>
      <c r="E4268" s="54">
        <f>IF(_imp!$C$4270="","",INDEX(_imp!$H$4:$H$4503,_imp!$C$4270))</f>
        <v/>
      </c>
      <c r="F4268" s="54">
        <f>IF(_imp!$C$4270="","",INDEX(_imp!$I$4:$I$4503,_imp!$C$4270))</f>
        <v/>
      </c>
      <c r="G4268" s="54">
        <f>IF(_imp!$C$4270="","",INDEX(_imp!$J$4:$J$4503,_imp!$C$4270))</f>
        <v/>
      </c>
      <c r="K4268" s="54">
        <f>IF(_imp!$C$4270="","",INDEX(_imp!$K$4:$K$4503,_imp!$C$4270))</f>
        <v/>
      </c>
    </row>
    <row r="4269">
      <c r="A4269" s="54">
        <f>IF(_imp!$C$4271="","",INDEX(_imp!$D$4:$D$4503,_imp!$C$4271))</f>
        <v/>
      </c>
      <c r="B4269" s="54">
        <f>IF(_imp!$C$4271="","",INDEX(_imp!$E$4:$E$4503,_imp!$C$4271))</f>
        <v/>
      </c>
      <c r="C4269" s="54">
        <f>IF(_imp!$C$4271="","",INDEX(_imp!$F$4:$F$4503,_imp!$C$4271))</f>
        <v/>
      </c>
      <c r="D4269" s="54">
        <f>IF(_imp!$C$4271="","",INDEX(_imp!$G$4:$G$4503,_imp!$C$4271))</f>
        <v/>
      </c>
      <c r="E4269" s="54">
        <f>IF(_imp!$C$4271="","",INDEX(_imp!$H$4:$H$4503,_imp!$C$4271))</f>
        <v/>
      </c>
      <c r="F4269" s="54">
        <f>IF(_imp!$C$4271="","",INDEX(_imp!$I$4:$I$4503,_imp!$C$4271))</f>
        <v/>
      </c>
      <c r="G4269" s="54">
        <f>IF(_imp!$C$4271="","",INDEX(_imp!$J$4:$J$4503,_imp!$C$4271))</f>
        <v/>
      </c>
      <c r="K4269" s="54">
        <f>IF(_imp!$C$4271="","",INDEX(_imp!$K$4:$K$4503,_imp!$C$4271))</f>
        <v/>
      </c>
    </row>
    <row r="4270">
      <c r="A4270" s="54">
        <f>IF(_imp!$C$4272="","",INDEX(_imp!$D$4:$D$4503,_imp!$C$4272))</f>
        <v/>
      </c>
      <c r="B4270" s="54">
        <f>IF(_imp!$C$4272="","",INDEX(_imp!$E$4:$E$4503,_imp!$C$4272))</f>
        <v/>
      </c>
      <c r="C4270" s="54">
        <f>IF(_imp!$C$4272="","",INDEX(_imp!$F$4:$F$4503,_imp!$C$4272))</f>
        <v/>
      </c>
      <c r="D4270" s="54">
        <f>IF(_imp!$C$4272="","",INDEX(_imp!$G$4:$G$4503,_imp!$C$4272))</f>
        <v/>
      </c>
      <c r="E4270" s="54">
        <f>IF(_imp!$C$4272="","",INDEX(_imp!$H$4:$H$4503,_imp!$C$4272))</f>
        <v/>
      </c>
      <c r="F4270" s="54">
        <f>IF(_imp!$C$4272="","",INDEX(_imp!$I$4:$I$4503,_imp!$C$4272))</f>
        <v/>
      </c>
      <c r="G4270" s="54">
        <f>IF(_imp!$C$4272="","",INDEX(_imp!$J$4:$J$4503,_imp!$C$4272))</f>
        <v/>
      </c>
      <c r="K4270" s="54">
        <f>IF(_imp!$C$4272="","",INDEX(_imp!$K$4:$K$4503,_imp!$C$4272))</f>
        <v/>
      </c>
    </row>
    <row r="4271">
      <c r="A4271" s="54">
        <f>IF(_imp!$C$4273="","",INDEX(_imp!$D$4:$D$4503,_imp!$C$4273))</f>
        <v/>
      </c>
      <c r="B4271" s="54">
        <f>IF(_imp!$C$4273="","",INDEX(_imp!$E$4:$E$4503,_imp!$C$4273))</f>
        <v/>
      </c>
      <c r="C4271" s="54">
        <f>IF(_imp!$C$4273="","",INDEX(_imp!$F$4:$F$4503,_imp!$C$4273))</f>
        <v/>
      </c>
      <c r="D4271" s="54">
        <f>IF(_imp!$C$4273="","",INDEX(_imp!$G$4:$G$4503,_imp!$C$4273))</f>
        <v/>
      </c>
      <c r="E4271" s="54">
        <f>IF(_imp!$C$4273="","",INDEX(_imp!$H$4:$H$4503,_imp!$C$4273))</f>
        <v/>
      </c>
      <c r="F4271" s="54">
        <f>IF(_imp!$C$4273="","",INDEX(_imp!$I$4:$I$4503,_imp!$C$4273))</f>
        <v/>
      </c>
      <c r="G4271" s="54">
        <f>IF(_imp!$C$4273="","",INDEX(_imp!$J$4:$J$4503,_imp!$C$4273))</f>
        <v/>
      </c>
      <c r="K4271" s="54">
        <f>IF(_imp!$C$4273="","",INDEX(_imp!$K$4:$K$4503,_imp!$C$4273))</f>
        <v/>
      </c>
    </row>
    <row r="4272">
      <c r="A4272" s="54">
        <f>IF(_imp!$C$4274="","",INDEX(_imp!$D$4:$D$4503,_imp!$C$4274))</f>
        <v/>
      </c>
      <c r="B4272" s="54">
        <f>IF(_imp!$C$4274="","",INDEX(_imp!$E$4:$E$4503,_imp!$C$4274))</f>
        <v/>
      </c>
      <c r="C4272" s="54">
        <f>IF(_imp!$C$4274="","",INDEX(_imp!$F$4:$F$4503,_imp!$C$4274))</f>
        <v/>
      </c>
      <c r="D4272" s="54">
        <f>IF(_imp!$C$4274="","",INDEX(_imp!$G$4:$G$4503,_imp!$C$4274))</f>
        <v/>
      </c>
      <c r="E4272" s="54">
        <f>IF(_imp!$C$4274="","",INDEX(_imp!$H$4:$H$4503,_imp!$C$4274))</f>
        <v/>
      </c>
      <c r="F4272" s="54">
        <f>IF(_imp!$C$4274="","",INDEX(_imp!$I$4:$I$4503,_imp!$C$4274))</f>
        <v/>
      </c>
      <c r="G4272" s="54">
        <f>IF(_imp!$C$4274="","",INDEX(_imp!$J$4:$J$4503,_imp!$C$4274))</f>
        <v/>
      </c>
      <c r="K4272" s="54">
        <f>IF(_imp!$C$4274="","",INDEX(_imp!$K$4:$K$4503,_imp!$C$4274))</f>
        <v/>
      </c>
    </row>
    <row r="4273">
      <c r="A4273" s="54">
        <f>IF(_imp!$C$4275="","",INDEX(_imp!$D$4:$D$4503,_imp!$C$4275))</f>
        <v/>
      </c>
      <c r="B4273" s="54">
        <f>IF(_imp!$C$4275="","",INDEX(_imp!$E$4:$E$4503,_imp!$C$4275))</f>
        <v/>
      </c>
      <c r="C4273" s="54">
        <f>IF(_imp!$C$4275="","",INDEX(_imp!$F$4:$F$4503,_imp!$C$4275))</f>
        <v/>
      </c>
      <c r="D4273" s="54">
        <f>IF(_imp!$C$4275="","",INDEX(_imp!$G$4:$G$4503,_imp!$C$4275))</f>
        <v/>
      </c>
      <c r="E4273" s="54">
        <f>IF(_imp!$C$4275="","",INDEX(_imp!$H$4:$H$4503,_imp!$C$4275))</f>
        <v/>
      </c>
      <c r="F4273" s="54">
        <f>IF(_imp!$C$4275="","",INDEX(_imp!$I$4:$I$4503,_imp!$C$4275))</f>
        <v/>
      </c>
      <c r="G4273" s="54">
        <f>IF(_imp!$C$4275="","",INDEX(_imp!$J$4:$J$4503,_imp!$C$4275))</f>
        <v/>
      </c>
      <c r="K4273" s="54">
        <f>IF(_imp!$C$4275="","",INDEX(_imp!$K$4:$K$4503,_imp!$C$4275))</f>
        <v/>
      </c>
    </row>
    <row r="4274">
      <c r="A4274" s="54">
        <f>IF(_imp!$C$4276="","",INDEX(_imp!$D$4:$D$4503,_imp!$C$4276))</f>
        <v/>
      </c>
      <c r="B4274" s="54">
        <f>IF(_imp!$C$4276="","",INDEX(_imp!$E$4:$E$4503,_imp!$C$4276))</f>
        <v/>
      </c>
      <c r="C4274" s="54">
        <f>IF(_imp!$C$4276="","",INDEX(_imp!$F$4:$F$4503,_imp!$C$4276))</f>
        <v/>
      </c>
      <c r="D4274" s="54">
        <f>IF(_imp!$C$4276="","",INDEX(_imp!$G$4:$G$4503,_imp!$C$4276))</f>
        <v/>
      </c>
      <c r="E4274" s="54">
        <f>IF(_imp!$C$4276="","",INDEX(_imp!$H$4:$H$4503,_imp!$C$4276))</f>
        <v/>
      </c>
      <c r="F4274" s="54">
        <f>IF(_imp!$C$4276="","",INDEX(_imp!$I$4:$I$4503,_imp!$C$4276))</f>
        <v/>
      </c>
      <c r="G4274" s="54">
        <f>IF(_imp!$C$4276="","",INDEX(_imp!$J$4:$J$4503,_imp!$C$4276))</f>
        <v/>
      </c>
      <c r="K4274" s="54">
        <f>IF(_imp!$C$4276="","",INDEX(_imp!$K$4:$K$4503,_imp!$C$4276))</f>
        <v/>
      </c>
    </row>
    <row r="4275">
      <c r="A4275" s="54">
        <f>IF(_imp!$C$4277="","",INDEX(_imp!$D$4:$D$4503,_imp!$C$4277))</f>
        <v/>
      </c>
      <c r="B4275" s="54">
        <f>IF(_imp!$C$4277="","",INDEX(_imp!$E$4:$E$4503,_imp!$C$4277))</f>
        <v/>
      </c>
      <c r="C4275" s="54">
        <f>IF(_imp!$C$4277="","",INDEX(_imp!$F$4:$F$4503,_imp!$C$4277))</f>
        <v/>
      </c>
      <c r="D4275" s="54">
        <f>IF(_imp!$C$4277="","",INDEX(_imp!$G$4:$G$4503,_imp!$C$4277))</f>
        <v/>
      </c>
      <c r="E4275" s="54">
        <f>IF(_imp!$C$4277="","",INDEX(_imp!$H$4:$H$4503,_imp!$C$4277))</f>
        <v/>
      </c>
      <c r="F4275" s="54">
        <f>IF(_imp!$C$4277="","",INDEX(_imp!$I$4:$I$4503,_imp!$C$4277))</f>
        <v/>
      </c>
      <c r="G4275" s="54">
        <f>IF(_imp!$C$4277="","",INDEX(_imp!$J$4:$J$4503,_imp!$C$4277))</f>
        <v/>
      </c>
      <c r="K4275" s="54">
        <f>IF(_imp!$C$4277="","",INDEX(_imp!$K$4:$K$4503,_imp!$C$4277))</f>
        <v/>
      </c>
    </row>
    <row r="4276">
      <c r="A4276" s="54">
        <f>IF(_imp!$C$4278="","",INDEX(_imp!$D$4:$D$4503,_imp!$C$4278))</f>
        <v/>
      </c>
      <c r="B4276" s="54">
        <f>IF(_imp!$C$4278="","",INDEX(_imp!$E$4:$E$4503,_imp!$C$4278))</f>
        <v/>
      </c>
      <c r="C4276" s="54">
        <f>IF(_imp!$C$4278="","",INDEX(_imp!$F$4:$F$4503,_imp!$C$4278))</f>
        <v/>
      </c>
      <c r="D4276" s="54">
        <f>IF(_imp!$C$4278="","",INDEX(_imp!$G$4:$G$4503,_imp!$C$4278))</f>
        <v/>
      </c>
      <c r="E4276" s="54">
        <f>IF(_imp!$C$4278="","",INDEX(_imp!$H$4:$H$4503,_imp!$C$4278))</f>
        <v/>
      </c>
      <c r="F4276" s="54">
        <f>IF(_imp!$C$4278="","",INDEX(_imp!$I$4:$I$4503,_imp!$C$4278))</f>
        <v/>
      </c>
      <c r="G4276" s="54">
        <f>IF(_imp!$C$4278="","",INDEX(_imp!$J$4:$J$4503,_imp!$C$4278))</f>
        <v/>
      </c>
      <c r="K4276" s="54">
        <f>IF(_imp!$C$4278="","",INDEX(_imp!$K$4:$K$4503,_imp!$C$4278))</f>
        <v/>
      </c>
    </row>
    <row r="4277">
      <c r="A4277" s="54">
        <f>IF(_imp!$C$4279="","",INDEX(_imp!$D$4:$D$4503,_imp!$C$4279))</f>
        <v/>
      </c>
      <c r="B4277" s="54">
        <f>IF(_imp!$C$4279="","",INDEX(_imp!$E$4:$E$4503,_imp!$C$4279))</f>
        <v/>
      </c>
      <c r="C4277" s="54">
        <f>IF(_imp!$C$4279="","",INDEX(_imp!$F$4:$F$4503,_imp!$C$4279))</f>
        <v/>
      </c>
      <c r="D4277" s="54">
        <f>IF(_imp!$C$4279="","",INDEX(_imp!$G$4:$G$4503,_imp!$C$4279))</f>
        <v/>
      </c>
      <c r="E4277" s="54">
        <f>IF(_imp!$C$4279="","",INDEX(_imp!$H$4:$H$4503,_imp!$C$4279))</f>
        <v/>
      </c>
      <c r="F4277" s="54">
        <f>IF(_imp!$C$4279="","",INDEX(_imp!$I$4:$I$4503,_imp!$C$4279))</f>
        <v/>
      </c>
      <c r="G4277" s="54">
        <f>IF(_imp!$C$4279="","",INDEX(_imp!$J$4:$J$4503,_imp!$C$4279))</f>
        <v/>
      </c>
      <c r="K4277" s="54">
        <f>IF(_imp!$C$4279="","",INDEX(_imp!$K$4:$K$4503,_imp!$C$4279))</f>
        <v/>
      </c>
    </row>
    <row r="4278">
      <c r="A4278" s="54">
        <f>IF(_imp!$C$4280="","",INDEX(_imp!$D$4:$D$4503,_imp!$C$4280))</f>
        <v/>
      </c>
      <c r="B4278" s="54">
        <f>IF(_imp!$C$4280="","",INDEX(_imp!$E$4:$E$4503,_imp!$C$4280))</f>
        <v/>
      </c>
      <c r="C4278" s="54">
        <f>IF(_imp!$C$4280="","",INDEX(_imp!$F$4:$F$4503,_imp!$C$4280))</f>
        <v/>
      </c>
      <c r="D4278" s="54">
        <f>IF(_imp!$C$4280="","",INDEX(_imp!$G$4:$G$4503,_imp!$C$4280))</f>
        <v/>
      </c>
      <c r="E4278" s="54">
        <f>IF(_imp!$C$4280="","",INDEX(_imp!$H$4:$H$4503,_imp!$C$4280))</f>
        <v/>
      </c>
      <c r="F4278" s="54">
        <f>IF(_imp!$C$4280="","",INDEX(_imp!$I$4:$I$4503,_imp!$C$4280))</f>
        <v/>
      </c>
      <c r="G4278" s="54">
        <f>IF(_imp!$C$4280="","",INDEX(_imp!$J$4:$J$4503,_imp!$C$4280))</f>
        <v/>
      </c>
      <c r="K4278" s="54">
        <f>IF(_imp!$C$4280="","",INDEX(_imp!$K$4:$K$4503,_imp!$C$4280))</f>
        <v/>
      </c>
    </row>
    <row r="4279">
      <c r="A4279" s="54">
        <f>IF(_imp!$C$4281="","",INDEX(_imp!$D$4:$D$4503,_imp!$C$4281))</f>
        <v/>
      </c>
      <c r="B4279" s="54">
        <f>IF(_imp!$C$4281="","",INDEX(_imp!$E$4:$E$4503,_imp!$C$4281))</f>
        <v/>
      </c>
      <c r="C4279" s="54">
        <f>IF(_imp!$C$4281="","",INDEX(_imp!$F$4:$F$4503,_imp!$C$4281))</f>
        <v/>
      </c>
      <c r="D4279" s="54">
        <f>IF(_imp!$C$4281="","",INDEX(_imp!$G$4:$G$4503,_imp!$C$4281))</f>
        <v/>
      </c>
      <c r="E4279" s="54">
        <f>IF(_imp!$C$4281="","",INDEX(_imp!$H$4:$H$4503,_imp!$C$4281))</f>
        <v/>
      </c>
      <c r="F4279" s="54">
        <f>IF(_imp!$C$4281="","",INDEX(_imp!$I$4:$I$4503,_imp!$C$4281))</f>
        <v/>
      </c>
      <c r="G4279" s="54">
        <f>IF(_imp!$C$4281="","",INDEX(_imp!$J$4:$J$4503,_imp!$C$4281))</f>
        <v/>
      </c>
      <c r="K4279" s="54">
        <f>IF(_imp!$C$4281="","",INDEX(_imp!$K$4:$K$4503,_imp!$C$4281))</f>
        <v/>
      </c>
    </row>
    <row r="4280">
      <c r="A4280" s="54">
        <f>IF(_imp!$C$4282="","",INDEX(_imp!$D$4:$D$4503,_imp!$C$4282))</f>
        <v/>
      </c>
      <c r="B4280" s="54">
        <f>IF(_imp!$C$4282="","",INDEX(_imp!$E$4:$E$4503,_imp!$C$4282))</f>
        <v/>
      </c>
      <c r="C4280" s="54">
        <f>IF(_imp!$C$4282="","",INDEX(_imp!$F$4:$F$4503,_imp!$C$4282))</f>
        <v/>
      </c>
      <c r="D4280" s="54">
        <f>IF(_imp!$C$4282="","",INDEX(_imp!$G$4:$G$4503,_imp!$C$4282))</f>
        <v/>
      </c>
      <c r="E4280" s="54">
        <f>IF(_imp!$C$4282="","",INDEX(_imp!$H$4:$H$4503,_imp!$C$4282))</f>
        <v/>
      </c>
      <c r="F4280" s="54">
        <f>IF(_imp!$C$4282="","",INDEX(_imp!$I$4:$I$4503,_imp!$C$4282))</f>
        <v/>
      </c>
      <c r="G4280" s="54">
        <f>IF(_imp!$C$4282="","",INDEX(_imp!$J$4:$J$4503,_imp!$C$4282))</f>
        <v/>
      </c>
      <c r="K4280" s="54">
        <f>IF(_imp!$C$4282="","",INDEX(_imp!$K$4:$K$4503,_imp!$C$4282))</f>
        <v/>
      </c>
    </row>
    <row r="4281">
      <c r="A4281" s="54">
        <f>IF(_imp!$C$4283="","",INDEX(_imp!$D$4:$D$4503,_imp!$C$4283))</f>
        <v/>
      </c>
      <c r="B4281" s="54">
        <f>IF(_imp!$C$4283="","",INDEX(_imp!$E$4:$E$4503,_imp!$C$4283))</f>
        <v/>
      </c>
      <c r="C4281" s="54">
        <f>IF(_imp!$C$4283="","",INDEX(_imp!$F$4:$F$4503,_imp!$C$4283))</f>
        <v/>
      </c>
      <c r="D4281" s="54">
        <f>IF(_imp!$C$4283="","",INDEX(_imp!$G$4:$G$4503,_imp!$C$4283))</f>
        <v/>
      </c>
      <c r="E4281" s="54">
        <f>IF(_imp!$C$4283="","",INDEX(_imp!$H$4:$H$4503,_imp!$C$4283))</f>
        <v/>
      </c>
      <c r="F4281" s="54">
        <f>IF(_imp!$C$4283="","",INDEX(_imp!$I$4:$I$4503,_imp!$C$4283))</f>
        <v/>
      </c>
      <c r="G4281" s="54">
        <f>IF(_imp!$C$4283="","",INDEX(_imp!$J$4:$J$4503,_imp!$C$4283))</f>
        <v/>
      </c>
      <c r="K4281" s="54">
        <f>IF(_imp!$C$4283="","",INDEX(_imp!$K$4:$K$4503,_imp!$C$4283))</f>
        <v/>
      </c>
    </row>
    <row r="4282">
      <c r="A4282" s="54">
        <f>IF(_imp!$C$4284="","",INDEX(_imp!$D$4:$D$4503,_imp!$C$4284))</f>
        <v/>
      </c>
      <c r="B4282" s="54">
        <f>IF(_imp!$C$4284="","",INDEX(_imp!$E$4:$E$4503,_imp!$C$4284))</f>
        <v/>
      </c>
      <c r="C4282" s="54">
        <f>IF(_imp!$C$4284="","",INDEX(_imp!$F$4:$F$4503,_imp!$C$4284))</f>
        <v/>
      </c>
      <c r="D4282" s="54">
        <f>IF(_imp!$C$4284="","",INDEX(_imp!$G$4:$G$4503,_imp!$C$4284))</f>
        <v/>
      </c>
      <c r="E4282" s="54">
        <f>IF(_imp!$C$4284="","",INDEX(_imp!$H$4:$H$4503,_imp!$C$4284))</f>
        <v/>
      </c>
      <c r="F4282" s="54">
        <f>IF(_imp!$C$4284="","",INDEX(_imp!$I$4:$I$4503,_imp!$C$4284))</f>
        <v/>
      </c>
      <c r="G4282" s="54">
        <f>IF(_imp!$C$4284="","",INDEX(_imp!$J$4:$J$4503,_imp!$C$4284))</f>
        <v/>
      </c>
      <c r="K4282" s="54">
        <f>IF(_imp!$C$4284="","",INDEX(_imp!$K$4:$K$4503,_imp!$C$4284))</f>
        <v/>
      </c>
    </row>
    <row r="4283">
      <c r="A4283" s="54">
        <f>IF(_imp!$C$4285="","",INDEX(_imp!$D$4:$D$4503,_imp!$C$4285))</f>
        <v/>
      </c>
      <c r="B4283" s="54">
        <f>IF(_imp!$C$4285="","",INDEX(_imp!$E$4:$E$4503,_imp!$C$4285))</f>
        <v/>
      </c>
      <c r="C4283" s="54">
        <f>IF(_imp!$C$4285="","",INDEX(_imp!$F$4:$F$4503,_imp!$C$4285))</f>
        <v/>
      </c>
      <c r="D4283" s="54">
        <f>IF(_imp!$C$4285="","",INDEX(_imp!$G$4:$G$4503,_imp!$C$4285))</f>
        <v/>
      </c>
      <c r="E4283" s="54">
        <f>IF(_imp!$C$4285="","",INDEX(_imp!$H$4:$H$4503,_imp!$C$4285))</f>
        <v/>
      </c>
      <c r="F4283" s="54">
        <f>IF(_imp!$C$4285="","",INDEX(_imp!$I$4:$I$4503,_imp!$C$4285))</f>
        <v/>
      </c>
      <c r="G4283" s="54">
        <f>IF(_imp!$C$4285="","",INDEX(_imp!$J$4:$J$4503,_imp!$C$4285))</f>
        <v/>
      </c>
      <c r="K4283" s="54">
        <f>IF(_imp!$C$4285="","",INDEX(_imp!$K$4:$K$4503,_imp!$C$4285))</f>
        <v/>
      </c>
    </row>
    <row r="4284">
      <c r="A4284" s="54">
        <f>IF(_imp!$C$4286="","",INDEX(_imp!$D$4:$D$4503,_imp!$C$4286))</f>
        <v/>
      </c>
      <c r="B4284" s="54">
        <f>IF(_imp!$C$4286="","",INDEX(_imp!$E$4:$E$4503,_imp!$C$4286))</f>
        <v/>
      </c>
      <c r="C4284" s="54">
        <f>IF(_imp!$C$4286="","",INDEX(_imp!$F$4:$F$4503,_imp!$C$4286))</f>
        <v/>
      </c>
      <c r="D4284" s="54">
        <f>IF(_imp!$C$4286="","",INDEX(_imp!$G$4:$G$4503,_imp!$C$4286))</f>
        <v/>
      </c>
      <c r="E4284" s="54">
        <f>IF(_imp!$C$4286="","",INDEX(_imp!$H$4:$H$4503,_imp!$C$4286))</f>
        <v/>
      </c>
      <c r="F4284" s="54">
        <f>IF(_imp!$C$4286="","",INDEX(_imp!$I$4:$I$4503,_imp!$C$4286))</f>
        <v/>
      </c>
      <c r="G4284" s="54">
        <f>IF(_imp!$C$4286="","",INDEX(_imp!$J$4:$J$4503,_imp!$C$4286))</f>
        <v/>
      </c>
      <c r="K4284" s="54">
        <f>IF(_imp!$C$4286="","",INDEX(_imp!$K$4:$K$4503,_imp!$C$4286))</f>
        <v/>
      </c>
    </row>
    <row r="4285">
      <c r="A4285" s="54">
        <f>IF(_imp!$C$4287="","",INDEX(_imp!$D$4:$D$4503,_imp!$C$4287))</f>
        <v/>
      </c>
      <c r="B4285" s="54">
        <f>IF(_imp!$C$4287="","",INDEX(_imp!$E$4:$E$4503,_imp!$C$4287))</f>
        <v/>
      </c>
      <c r="C4285" s="54">
        <f>IF(_imp!$C$4287="","",INDEX(_imp!$F$4:$F$4503,_imp!$C$4287))</f>
        <v/>
      </c>
      <c r="D4285" s="54">
        <f>IF(_imp!$C$4287="","",INDEX(_imp!$G$4:$G$4503,_imp!$C$4287))</f>
        <v/>
      </c>
      <c r="E4285" s="54">
        <f>IF(_imp!$C$4287="","",INDEX(_imp!$H$4:$H$4503,_imp!$C$4287))</f>
        <v/>
      </c>
      <c r="F4285" s="54">
        <f>IF(_imp!$C$4287="","",INDEX(_imp!$I$4:$I$4503,_imp!$C$4287))</f>
        <v/>
      </c>
      <c r="G4285" s="54">
        <f>IF(_imp!$C$4287="","",INDEX(_imp!$J$4:$J$4503,_imp!$C$4287))</f>
        <v/>
      </c>
      <c r="K4285" s="54">
        <f>IF(_imp!$C$4287="","",INDEX(_imp!$K$4:$K$4503,_imp!$C$4287))</f>
        <v/>
      </c>
    </row>
    <row r="4286">
      <c r="A4286" s="54">
        <f>IF(_imp!$C$4288="","",INDEX(_imp!$D$4:$D$4503,_imp!$C$4288))</f>
        <v/>
      </c>
      <c r="B4286" s="54">
        <f>IF(_imp!$C$4288="","",INDEX(_imp!$E$4:$E$4503,_imp!$C$4288))</f>
        <v/>
      </c>
      <c r="C4286" s="54">
        <f>IF(_imp!$C$4288="","",INDEX(_imp!$F$4:$F$4503,_imp!$C$4288))</f>
        <v/>
      </c>
      <c r="D4286" s="54">
        <f>IF(_imp!$C$4288="","",INDEX(_imp!$G$4:$G$4503,_imp!$C$4288))</f>
        <v/>
      </c>
      <c r="E4286" s="54">
        <f>IF(_imp!$C$4288="","",INDEX(_imp!$H$4:$H$4503,_imp!$C$4288))</f>
        <v/>
      </c>
      <c r="F4286" s="54">
        <f>IF(_imp!$C$4288="","",INDEX(_imp!$I$4:$I$4503,_imp!$C$4288))</f>
        <v/>
      </c>
      <c r="G4286" s="54">
        <f>IF(_imp!$C$4288="","",INDEX(_imp!$J$4:$J$4503,_imp!$C$4288))</f>
        <v/>
      </c>
      <c r="K4286" s="54">
        <f>IF(_imp!$C$4288="","",INDEX(_imp!$K$4:$K$4503,_imp!$C$4288))</f>
        <v/>
      </c>
    </row>
    <row r="4287">
      <c r="A4287" s="54">
        <f>IF(_imp!$C$4289="","",INDEX(_imp!$D$4:$D$4503,_imp!$C$4289))</f>
        <v/>
      </c>
      <c r="B4287" s="54">
        <f>IF(_imp!$C$4289="","",INDEX(_imp!$E$4:$E$4503,_imp!$C$4289))</f>
        <v/>
      </c>
      <c r="C4287" s="54">
        <f>IF(_imp!$C$4289="","",INDEX(_imp!$F$4:$F$4503,_imp!$C$4289))</f>
        <v/>
      </c>
      <c r="D4287" s="54">
        <f>IF(_imp!$C$4289="","",INDEX(_imp!$G$4:$G$4503,_imp!$C$4289))</f>
        <v/>
      </c>
      <c r="E4287" s="54">
        <f>IF(_imp!$C$4289="","",INDEX(_imp!$H$4:$H$4503,_imp!$C$4289))</f>
        <v/>
      </c>
      <c r="F4287" s="54">
        <f>IF(_imp!$C$4289="","",INDEX(_imp!$I$4:$I$4503,_imp!$C$4289))</f>
        <v/>
      </c>
      <c r="G4287" s="54">
        <f>IF(_imp!$C$4289="","",INDEX(_imp!$J$4:$J$4503,_imp!$C$4289))</f>
        <v/>
      </c>
      <c r="K4287" s="54">
        <f>IF(_imp!$C$4289="","",INDEX(_imp!$K$4:$K$4503,_imp!$C$4289))</f>
        <v/>
      </c>
    </row>
    <row r="4288">
      <c r="A4288" s="54">
        <f>IF(_imp!$C$4290="","",INDEX(_imp!$D$4:$D$4503,_imp!$C$4290))</f>
        <v/>
      </c>
      <c r="B4288" s="54">
        <f>IF(_imp!$C$4290="","",INDEX(_imp!$E$4:$E$4503,_imp!$C$4290))</f>
        <v/>
      </c>
      <c r="C4288" s="54">
        <f>IF(_imp!$C$4290="","",INDEX(_imp!$F$4:$F$4503,_imp!$C$4290))</f>
        <v/>
      </c>
      <c r="D4288" s="54">
        <f>IF(_imp!$C$4290="","",INDEX(_imp!$G$4:$G$4503,_imp!$C$4290))</f>
        <v/>
      </c>
      <c r="E4288" s="54">
        <f>IF(_imp!$C$4290="","",INDEX(_imp!$H$4:$H$4503,_imp!$C$4290))</f>
        <v/>
      </c>
      <c r="F4288" s="54">
        <f>IF(_imp!$C$4290="","",INDEX(_imp!$I$4:$I$4503,_imp!$C$4290))</f>
        <v/>
      </c>
      <c r="G4288" s="54">
        <f>IF(_imp!$C$4290="","",INDEX(_imp!$J$4:$J$4503,_imp!$C$4290))</f>
        <v/>
      </c>
      <c r="K4288" s="54">
        <f>IF(_imp!$C$4290="","",INDEX(_imp!$K$4:$K$4503,_imp!$C$4290))</f>
        <v/>
      </c>
    </row>
    <row r="4289">
      <c r="A4289" s="54">
        <f>IF(_imp!$C$4291="","",INDEX(_imp!$D$4:$D$4503,_imp!$C$4291))</f>
        <v/>
      </c>
      <c r="B4289" s="54">
        <f>IF(_imp!$C$4291="","",INDEX(_imp!$E$4:$E$4503,_imp!$C$4291))</f>
        <v/>
      </c>
      <c r="C4289" s="54">
        <f>IF(_imp!$C$4291="","",INDEX(_imp!$F$4:$F$4503,_imp!$C$4291))</f>
        <v/>
      </c>
      <c r="D4289" s="54">
        <f>IF(_imp!$C$4291="","",INDEX(_imp!$G$4:$G$4503,_imp!$C$4291))</f>
        <v/>
      </c>
      <c r="E4289" s="54">
        <f>IF(_imp!$C$4291="","",INDEX(_imp!$H$4:$H$4503,_imp!$C$4291))</f>
        <v/>
      </c>
      <c r="F4289" s="54">
        <f>IF(_imp!$C$4291="","",INDEX(_imp!$I$4:$I$4503,_imp!$C$4291))</f>
        <v/>
      </c>
      <c r="G4289" s="54">
        <f>IF(_imp!$C$4291="","",INDEX(_imp!$J$4:$J$4503,_imp!$C$4291))</f>
        <v/>
      </c>
      <c r="K4289" s="54">
        <f>IF(_imp!$C$4291="","",INDEX(_imp!$K$4:$K$4503,_imp!$C$4291))</f>
        <v/>
      </c>
    </row>
    <row r="4290">
      <c r="A4290" s="54">
        <f>IF(_imp!$C$4292="","",INDEX(_imp!$D$4:$D$4503,_imp!$C$4292))</f>
        <v/>
      </c>
      <c r="B4290" s="54">
        <f>IF(_imp!$C$4292="","",INDEX(_imp!$E$4:$E$4503,_imp!$C$4292))</f>
        <v/>
      </c>
      <c r="C4290" s="54">
        <f>IF(_imp!$C$4292="","",INDEX(_imp!$F$4:$F$4503,_imp!$C$4292))</f>
        <v/>
      </c>
      <c r="D4290" s="54">
        <f>IF(_imp!$C$4292="","",INDEX(_imp!$G$4:$G$4503,_imp!$C$4292))</f>
        <v/>
      </c>
      <c r="E4290" s="54">
        <f>IF(_imp!$C$4292="","",INDEX(_imp!$H$4:$H$4503,_imp!$C$4292))</f>
        <v/>
      </c>
      <c r="F4290" s="54">
        <f>IF(_imp!$C$4292="","",INDEX(_imp!$I$4:$I$4503,_imp!$C$4292))</f>
        <v/>
      </c>
      <c r="G4290" s="54">
        <f>IF(_imp!$C$4292="","",INDEX(_imp!$J$4:$J$4503,_imp!$C$4292))</f>
        <v/>
      </c>
      <c r="K4290" s="54">
        <f>IF(_imp!$C$4292="","",INDEX(_imp!$K$4:$K$4503,_imp!$C$4292))</f>
        <v/>
      </c>
    </row>
    <row r="4291">
      <c r="A4291" s="54">
        <f>IF(_imp!$C$4293="","",INDEX(_imp!$D$4:$D$4503,_imp!$C$4293))</f>
        <v/>
      </c>
      <c r="B4291" s="54">
        <f>IF(_imp!$C$4293="","",INDEX(_imp!$E$4:$E$4503,_imp!$C$4293))</f>
        <v/>
      </c>
      <c r="C4291" s="54">
        <f>IF(_imp!$C$4293="","",INDEX(_imp!$F$4:$F$4503,_imp!$C$4293))</f>
        <v/>
      </c>
      <c r="D4291" s="54">
        <f>IF(_imp!$C$4293="","",INDEX(_imp!$G$4:$G$4503,_imp!$C$4293))</f>
        <v/>
      </c>
      <c r="E4291" s="54">
        <f>IF(_imp!$C$4293="","",INDEX(_imp!$H$4:$H$4503,_imp!$C$4293))</f>
        <v/>
      </c>
      <c r="F4291" s="54">
        <f>IF(_imp!$C$4293="","",INDEX(_imp!$I$4:$I$4503,_imp!$C$4293))</f>
        <v/>
      </c>
      <c r="G4291" s="54">
        <f>IF(_imp!$C$4293="","",INDEX(_imp!$J$4:$J$4503,_imp!$C$4293))</f>
        <v/>
      </c>
      <c r="K4291" s="54">
        <f>IF(_imp!$C$4293="","",INDEX(_imp!$K$4:$K$4503,_imp!$C$4293))</f>
        <v/>
      </c>
    </row>
    <row r="4292">
      <c r="A4292" s="54">
        <f>IF(_imp!$C$4294="","",INDEX(_imp!$D$4:$D$4503,_imp!$C$4294))</f>
        <v/>
      </c>
      <c r="B4292" s="54">
        <f>IF(_imp!$C$4294="","",INDEX(_imp!$E$4:$E$4503,_imp!$C$4294))</f>
        <v/>
      </c>
      <c r="C4292" s="54">
        <f>IF(_imp!$C$4294="","",INDEX(_imp!$F$4:$F$4503,_imp!$C$4294))</f>
        <v/>
      </c>
      <c r="D4292" s="54">
        <f>IF(_imp!$C$4294="","",INDEX(_imp!$G$4:$G$4503,_imp!$C$4294))</f>
        <v/>
      </c>
      <c r="E4292" s="54">
        <f>IF(_imp!$C$4294="","",INDEX(_imp!$H$4:$H$4503,_imp!$C$4294))</f>
        <v/>
      </c>
      <c r="F4292" s="54">
        <f>IF(_imp!$C$4294="","",INDEX(_imp!$I$4:$I$4503,_imp!$C$4294))</f>
        <v/>
      </c>
      <c r="G4292" s="54">
        <f>IF(_imp!$C$4294="","",INDEX(_imp!$J$4:$J$4503,_imp!$C$4294))</f>
        <v/>
      </c>
      <c r="K4292" s="54">
        <f>IF(_imp!$C$4294="","",INDEX(_imp!$K$4:$K$4503,_imp!$C$4294))</f>
        <v/>
      </c>
    </row>
    <row r="4293">
      <c r="A4293" s="54">
        <f>IF(_imp!$C$4295="","",INDEX(_imp!$D$4:$D$4503,_imp!$C$4295))</f>
        <v/>
      </c>
      <c r="B4293" s="54">
        <f>IF(_imp!$C$4295="","",INDEX(_imp!$E$4:$E$4503,_imp!$C$4295))</f>
        <v/>
      </c>
      <c r="C4293" s="54">
        <f>IF(_imp!$C$4295="","",INDEX(_imp!$F$4:$F$4503,_imp!$C$4295))</f>
        <v/>
      </c>
      <c r="D4293" s="54">
        <f>IF(_imp!$C$4295="","",INDEX(_imp!$G$4:$G$4503,_imp!$C$4295))</f>
        <v/>
      </c>
      <c r="E4293" s="54">
        <f>IF(_imp!$C$4295="","",INDEX(_imp!$H$4:$H$4503,_imp!$C$4295))</f>
        <v/>
      </c>
      <c r="F4293" s="54">
        <f>IF(_imp!$C$4295="","",INDEX(_imp!$I$4:$I$4503,_imp!$C$4295))</f>
        <v/>
      </c>
      <c r="G4293" s="54">
        <f>IF(_imp!$C$4295="","",INDEX(_imp!$J$4:$J$4503,_imp!$C$4295))</f>
        <v/>
      </c>
      <c r="K4293" s="54">
        <f>IF(_imp!$C$4295="","",INDEX(_imp!$K$4:$K$4503,_imp!$C$4295))</f>
        <v/>
      </c>
    </row>
    <row r="4294">
      <c r="A4294" s="54">
        <f>IF(_imp!$C$4296="","",INDEX(_imp!$D$4:$D$4503,_imp!$C$4296))</f>
        <v/>
      </c>
      <c r="B4294" s="54">
        <f>IF(_imp!$C$4296="","",INDEX(_imp!$E$4:$E$4503,_imp!$C$4296))</f>
        <v/>
      </c>
      <c r="C4294" s="54">
        <f>IF(_imp!$C$4296="","",INDEX(_imp!$F$4:$F$4503,_imp!$C$4296))</f>
        <v/>
      </c>
      <c r="D4294" s="54">
        <f>IF(_imp!$C$4296="","",INDEX(_imp!$G$4:$G$4503,_imp!$C$4296))</f>
        <v/>
      </c>
      <c r="E4294" s="54">
        <f>IF(_imp!$C$4296="","",INDEX(_imp!$H$4:$H$4503,_imp!$C$4296))</f>
        <v/>
      </c>
      <c r="F4294" s="54">
        <f>IF(_imp!$C$4296="","",INDEX(_imp!$I$4:$I$4503,_imp!$C$4296))</f>
        <v/>
      </c>
      <c r="G4294" s="54">
        <f>IF(_imp!$C$4296="","",INDEX(_imp!$J$4:$J$4503,_imp!$C$4296))</f>
        <v/>
      </c>
      <c r="K4294" s="54">
        <f>IF(_imp!$C$4296="","",INDEX(_imp!$K$4:$K$4503,_imp!$C$4296))</f>
        <v/>
      </c>
    </row>
    <row r="4295">
      <c r="A4295" s="54">
        <f>IF(_imp!$C$4297="","",INDEX(_imp!$D$4:$D$4503,_imp!$C$4297))</f>
        <v/>
      </c>
      <c r="B4295" s="54">
        <f>IF(_imp!$C$4297="","",INDEX(_imp!$E$4:$E$4503,_imp!$C$4297))</f>
        <v/>
      </c>
      <c r="C4295" s="54">
        <f>IF(_imp!$C$4297="","",INDEX(_imp!$F$4:$F$4503,_imp!$C$4297))</f>
        <v/>
      </c>
      <c r="D4295" s="54">
        <f>IF(_imp!$C$4297="","",INDEX(_imp!$G$4:$G$4503,_imp!$C$4297))</f>
        <v/>
      </c>
      <c r="E4295" s="54">
        <f>IF(_imp!$C$4297="","",INDEX(_imp!$H$4:$H$4503,_imp!$C$4297))</f>
        <v/>
      </c>
      <c r="F4295" s="54">
        <f>IF(_imp!$C$4297="","",INDEX(_imp!$I$4:$I$4503,_imp!$C$4297))</f>
        <v/>
      </c>
      <c r="G4295" s="54">
        <f>IF(_imp!$C$4297="","",INDEX(_imp!$J$4:$J$4503,_imp!$C$4297))</f>
        <v/>
      </c>
      <c r="K4295" s="54">
        <f>IF(_imp!$C$4297="","",INDEX(_imp!$K$4:$K$4503,_imp!$C$4297))</f>
        <v/>
      </c>
    </row>
    <row r="4296">
      <c r="A4296" s="54">
        <f>IF(_imp!$C$4298="","",INDEX(_imp!$D$4:$D$4503,_imp!$C$4298))</f>
        <v/>
      </c>
      <c r="B4296" s="54">
        <f>IF(_imp!$C$4298="","",INDEX(_imp!$E$4:$E$4503,_imp!$C$4298))</f>
        <v/>
      </c>
      <c r="C4296" s="54">
        <f>IF(_imp!$C$4298="","",INDEX(_imp!$F$4:$F$4503,_imp!$C$4298))</f>
        <v/>
      </c>
      <c r="D4296" s="54">
        <f>IF(_imp!$C$4298="","",INDEX(_imp!$G$4:$G$4503,_imp!$C$4298))</f>
        <v/>
      </c>
      <c r="E4296" s="54">
        <f>IF(_imp!$C$4298="","",INDEX(_imp!$H$4:$H$4503,_imp!$C$4298))</f>
        <v/>
      </c>
      <c r="F4296" s="54">
        <f>IF(_imp!$C$4298="","",INDEX(_imp!$I$4:$I$4503,_imp!$C$4298))</f>
        <v/>
      </c>
      <c r="G4296" s="54">
        <f>IF(_imp!$C$4298="","",INDEX(_imp!$J$4:$J$4503,_imp!$C$4298))</f>
        <v/>
      </c>
      <c r="K4296" s="54">
        <f>IF(_imp!$C$4298="","",INDEX(_imp!$K$4:$K$4503,_imp!$C$4298))</f>
        <v/>
      </c>
    </row>
    <row r="4297">
      <c r="A4297" s="54">
        <f>IF(_imp!$C$4299="","",INDEX(_imp!$D$4:$D$4503,_imp!$C$4299))</f>
        <v/>
      </c>
      <c r="B4297" s="54">
        <f>IF(_imp!$C$4299="","",INDEX(_imp!$E$4:$E$4503,_imp!$C$4299))</f>
        <v/>
      </c>
      <c r="C4297" s="54">
        <f>IF(_imp!$C$4299="","",INDEX(_imp!$F$4:$F$4503,_imp!$C$4299))</f>
        <v/>
      </c>
      <c r="D4297" s="54">
        <f>IF(_imp!$C$4299="","",INDEX(_imp!$G$4:$G$4503,_imp!$C$4299))</f>
        <v/>
      </c>
      <c r="E4297" s="54">
        <f>IF(_imp!$C$4299="","",INDEX(_imp!$H$4:$H$4503,_imp!$C$4299))</f>
        <v/>
      </c>
      <c r="F4297" s="54">
        <f>IF(_imp!$C$4299="","",INDEX(_imp!$I$4:$I$4503,_imp!$C$4299))</f>
        <v/>
      </c>
      <c r="G4297" s="54">
        <f>IF(_imp!$C$4299="","",INDEX(_imp!$J$4:$J$4503,_imp!$C$4299))</f>
        <v/>
      </c>
      <c r="K4297" s="54">
        <f>IF(_imp!$C$4299="","",INDEX(_imp!$K$4:$K$4503,_imp!$C$4299))</f>
        <v/>
      </c>
    </row>
    <row r="4298">
      <c r="A4298" s="54">
        <f>IF(_imp!$C$4300="","",INDEX(_imp!$D$4:$D$4503,_imp!$C$4300))</f>
        <v/>
      </c>
      <c r="B4298" s="54">
        <f>IF(_imp!$C$4300="","",INDEX(_imp!$E$4:$E$4503,_imp!$C$4300))</f>
        <v/>
      </c>
      <c r="C4298" s="54">
        <f>IF(_imp!$C$4300="","",INDEX(_imp!$F$4:$F$4503,_imp!$C$4300))</f>
        <v/>
      </c>
      <c r="D4298" s="54">
        <f>IF(_imp!$C$4300="","",INDEX(_imp!$G$4:$G$4503,_imp!$C$4300))</f>
        <v/>
      </c>
      <c r="E4298" s="54">
        <f>IF(_imp!$C$4300="","",INDEX(_imp!$H$4:$H$4503,_imp!$C$4300))</f>
        <v/>
      </c>
      <c r="F4298" s="54">
        <f>IF(_imp!$C$4300="","",INDEX(_imp!$I$4:$I$4503,_imp!$C$4300))</f>
        <v/>
      </c>
      <c r="G4298" s="54">
        <f>IF(_imp!$C$4300="","",INDEX(_imp!$J$4:$J$4503,_imp!$C$4300))</f>
        <v/>
      </c>
      <c r="K4298" s="54">
        <f>IF(_imp!$C$4300="","",INDEX(_imp!$K$4:$K$4503,_imp!$C$4300))</f>
        <v/>
      </c>
    </row>
    <row r="4299">
      <c r="A4299" s="54">
        <f>IF(_imp!$C$4301="","",INDEX(_imp!$D$4:$D$4503,_imp!$C$4301))</f>
        <v/>
      </c>
      <c r="B4299" s="54">
        <f>IF(_imp!$C$4301="","",INDEX(_imp!$E$4:$E$4503,_imp!$C$4301))</f>
        <v/>
      </c>
      <c r="C4299" s="54">
        <f>IF(_imp!$C$4301="","",INDEX(_imp!$F$4:$F$4503,_imp!$C$4301))</f>
        <v/>
      </c>
      <c r="D4299" s="54">
        <f>IF(_imp!$C$4301="","",INDEX(_imp!$G$4:$G$4503,_imp!$C$4301))</f>
        <v/>
      </c>
      <c r="E4299" s="54">
        <f>IF(_imp!$C$4301="","",INDEX(_imp!$H$4:$H$4503,_imp!$C$4301))</f>
        <v/>
      </c>
      <c r="F4299" s="54">
        <f>IF(_imp!$C$4301="","",INDEX(_imp!$I$4:$I$4503,_imp!$C$4301))</f>
        <v/>
      </c>
      <c r="G4299" s="54">
        <f>IF(_imp!$C$4301="","",INDEX(_imp!$J$4:$J$4503,_imp!$C$4301))</f>
        <v/>
      </c>
      <c r="K4299" s="54">
        <f>IF(_imp!$C$4301="","",INDEX(_imp!$K$4:$K$4503,_imp!$C$4301))</f>
        <v/>
      </c>
    </row>
    <row r="4300">
      <c r="A4300" s="54">
        <f>IF(_imp!$C$4302="","",INDEX(_imp!$D$4:$D$4503,_imp!$C$4302))</f>
        <v/>
      </c>
      <c r="B4300" s="54">
        <f>IF(_imp!$C$4302="","",INDEX(_imp!$E$4:$E$4503,_imp!$C$4302))</f>
        <v/>
      </c>
      <c r="C4300" s="54">
        <f>IF(_imp!$C$4302="","",INDEX(_imp!$F$4:$F$4503,_imp!$C$4302))</f>
        <v/>
      </c>
      <c r="D4300" s="54">
        <f>IF(_imp!$C$4302="","",INDEX(_imp!$G$4:$G$4503,_imp!$C$4302))</f>
        <v/>
      </c>
      <c r="E4300" s="54">
        <f>IF(_imp!$C$4302="","",INDEX(_imp!$H$4:$H$4503,_imp!$C$4302))</f>
        <v/>
      </c>
      <c r="F4300" s="54">
        <f>IF(_imp!$C$4302="","",INDEX(_imp!$I$4:$I$4503,_imp!$C$4302))</f>
        <v/>
      </c>
      <c r="G4300" s="54">
        <f>IF(_imp!$C$4302="","",INDEX(_imp!$J$4:$J$4503,_imp!$C$4302))</f>
        <v/>
      </c>
      <c r="K4300" s="54">
        <f>IF(_imp!$C$4302="","",INDEX(_imp!$K$4:$K$4503,_imp!$C$4302))</f>
        <v/>
      </c>
    </row>
    <row r="4301">
      <c r="A4301" s="54">
        <f>IF(_imp!$C$4303="","",INDEX(_imp!$D$4:$D$4503,_imp!$C$4303))</f>
        <v/>
      </c>
      <c r="B4301" s="54">
        <f>IF(_imp!$C$4303="","",INDEX(_imp!$E$4:$E$4503,_imp!$C$4303))</f>
        <v/>
      </c>
      <c r="C4301" s="54">
        <f>IF(_imp!$C$4303="","",INDEX(_imp!$F$4:$F$4503,_imp!$C$4303))</f>
        <v/>
      </c>
      <c r="D4301" s="54">
        <f>IF(_imp!$C$4303="","",INDEX(_imp!$G$4:$G$4503,_imp!$C$4303))</f>
        <v/>
      </c>
      <c r="E4301" s="54">
        <f>IF(_imp!$C$4303="","",INDEX(_imp!$H$4:$H$4503,_imp!$C$4303))</f>
        <v/>
      </c>
      <c r="F4301" s="54">
        <f>IF(_imp!$C$4303="","",INDEX(_imp!$I$4:$I$4503,_imp!$C$4303))</f>
        <v/>
      </c>
      <c r="G4301" s="54">
        <f>IF(_imp!$C$4303="","",INDEX(_imp!$J$4:$J$4503,_imp!$C$4303))</f>
        <v/>
      </c>
      <c r="K4301" s="54">
        <f>IF(_imp!$C$4303="","",INDEX(_imp!$K$4:$K$4503,_imp!$C$4303))</f>
        <v/>
      </c>
    </row>
    <row r="4302">
      <c r="A4302" s="54">
        <f>IF(_imp!$C$4304="","",INDEX(_imp!$D$4:$D$4503,_imp!$C$4304))</f>
        <v/>
      </c>
      <c r="B4302" s="54">
        <f>IF(_imp!$C$4304="","",INDEX(_imp!$E$4:$E$4503,_imp!$C$4304))</f>
        <v/>
      </c>
      <c r="C4302" s="54">
        <f>IF(_imp!$C$4304="","",INDEX(_imp!$F$4:$F$4503,_imp!$C$4304))</f>
        <v/>
      </c>
      <c r="D4302" s="54">
        <f>IF(_imp!$C$4304="","",INDEX(_imp!$G$4:$G$4503,_imp!$C$4304))</f>
        <v/>
      </c>
      <c r="E4302" s="54">
        <f>IF(_imp!$C$4304="","",INDEX(_imp!$H$4:$H$4503,_imp!$C$4304))</f>
        <v/>
      </c>
      <c r="F4302" s="54">
        <f>IF(_imp!$C$4304="","",INDEX(_imp!$I$4:$I$4503,_imp!$C$4304))</f>
        <v/>
      </c>
      <c r="G4302" s="54">
        <f>IF(_imp!$C$4304="","",INDEX(_imp!$J$4:$J$4503,_imp!$C$4304))</f>
        <v/>
      </c>
      <c r="K4302" s="54">
        <f>IF(_imp!$C$4304="","",INDEX(_imp!$K$4:$K$4503,_imp!$C$4304))</f>
        <v/>
      </c>
    </row>
    <row r="4303">
      <c r="A4303" s="54">
        <f>IF(_imp!$C$4305="","",INDEX(_imp!$D$4:$D$4503,_imp!$C$4305))</f>
        <v/>
      </c>
      <c r="B4303" s="54">
        <f>IF(_imp!$C$4305="","",INDEX(_imp!$E$4:$E$4503,_imp!$C$4305))</f>
        <v/>
      </c>
      <c r="C4303" s="54">
        <f>IF(_imp!$C$4305="","",INDEX(_imp!$F$4:$F$4503,_imp!$C$4305))</f>
        <v/>
      </c>
      <c r="D4303" s="54">
        <f>IF(_imp!$C$4305="","",INDEX(_imp!$G$4:$G$4503,_imp!$C$4305))</f>
        <v/>
      </c>
      <c r="E4303" s="54">
        <f>IF(_imp!$C$4305="","",INDEX(_imp!$H$4:$H$4503,_imp!$C$4305))</f>
        <v/>
      </c>
      <c r="F4303" s="54">
        <f>IF(_imp!$C$4305="","",INDEX(_imp!$I$4:$I$4503,_imp!$C$4305))</f>
        <v/>
      </c>
      <c r="G4303" s="54">
        <f>IF(_imp!$C$4305="","",INDEX(_imp!$J$4:$J$4503,_imp!$C$4305))</f>
        <v/>
      </c>
      <c r="K4303" s="54">
        <f>IF(_imp!$C$4305="","",INDEX(_imp!$K$4:$K$4503,_imp!$C$4305))</f>
        <v/>
      </c>
    </row>
    <row r="4304">
      <c r="A4304" s="54">
        <f>IF(_imp!$C$4306="","",INDEX(_imp!$D$4:$D$4503,_imp!$C$4306))</f>
        <v/>
      </c>
      <c r="B4304" s="54">
        <f>IF(_imp!$C$4306="","",INDEX(_imp!$E$4:$E$4503,_imp!$C$4306))</f>
        <v/>
      </c>
      <c r="C4304" s="54">
        <f>IF(_imp!$C$4306="","",INDEX(_imp!$F$4:$F$4503,_imp!$C$4306))</f>
        <v/>
      </c>
      <c r="D4304" s="54">
        <f>IF(_imp!$C$4306="","",INDEX(_imp!$G$4:$G$4503,_imp!$C$4306))</f>
        <v/>
      </c>
      <c r="E4304" s="54">
        <f>IF(_imp!$C$4306="","",INDEX(_imp!$H$4:$H$4503,_imp!$C$4306))</f>
        <v/>
      </c>
      <c r="F4304" s="54">
        <f>IF(_imp!$C$4306="","",INDEX(_imp!$I$4:$I$4503,_imp!$C$4306))</f>
        <v/>
      </c>
      <c r="G4304" s="54">
        <f>IF(_imp!$C$4306="","",INDEX(_imp!$J$4:$J$4503,_imp!$C$4306))</f>
        <v/>
      </c>
      <c r="K4304" s="54">
        <f>IF(_imp!$C$4306="","",INDEX(_imp!$K$4:$K$4503,_imp!$C$4306))</f>
        <v/>
      </c>
    </row>
    <row r="4305">
      <c r="A4305" s="54">
        <f>IF(_imp!$C$4307="","",INDEX(_imp!$D$4:$D$4503,_imp!$C$4307))</f>
        <v/>
      </c>
      <c r="B4305" s="54">
        <f>IF(_imp!$C$4307="","",INDEX(_imp!$E$4:$E$4503,_imp!$C$4307))</f>
        <v/>
      </c>
      <c r="C4305" s="54">
        <f>IF(_imp!$C$4307="","",INDEX(_imp!$F$4:$F$4503,_imp!$C$4307))</f>
        <v/>
      </c>
      <c r="D4305" s="54">
        <f>IF(_imp!$C$4307="","",INDEX(_imp!$G$4:$G$4503,_imp!$C$4307))</f>
        <v/>
      </c>
      <c r="E4305" s="54">
        <f>IF(_imp!$C$4307="","",INDEX(_imp!$H$4:$H$4503,_imp!$C$4307))</f>
        <v/>
      </c>
      <c r="F4305" s="54">
        <f>IF(_imp!$C$4307="","",INDEX(_imp!$I$4:$I$4503,_imp!$C$4307))</f>
        <v/>
      </c>
      <c r="G4305" s="54">
        <f>IF(_imp!$C$4307="","",INDEX(_imp!$J$4:$J$4503,_imp!$C$4307))</f>
        <v/>
      </c>
      <c r="K4305" s="54">
        <f>IF(_imp!$C$4307="","",INDEX(_imp!$K$4:$K$4503,_imp!$C$4307))</f>
        <v/>
      </c>
    </row>
    <row r="4306">
      <c r="A4306" s="54">
        <f>IF(_imp!$C$4308="","",INDEX(_imp!$D$4:$D$4503,_imp!$C$4308))</f>
        <v/>
      </c>
      <c r="B4306" s="54">
        <f>IF(_imp!$C$4308="","",INDEX(_imp!$E$4:$E$4503,_imp!$C$4308))</f>
        <v/>
      </c>
      <c r="C4306" s="54">
        <f>IF(_imp!$C$4308="","",INDEX(_imp!$F$4:$F$4503,_imp!$C$4308))</f>
        <v/>
      </c>
      <c r="D4306" s="54">
        <f>IF(_imp!$C$4308="","",INDEX(_imp!$G$4:$G$4503,_imp!$C$4308))</f>
        <v/>
      </c>
      <c r="E4306" s="54">
        <f>IF(_imp!$C$4308="","",INDEX(_imp!$H$4:$H$4503,_imp!$C$4308))</f>
        <v/>
      </c>
      <c r="F4306" s="54">
        <f>IF(_imp!$C$4308="","",INDEX(_imp!$I$4:$I$4503,_imp!$C$4308))</f>
        <v/>
      </c>
      <c r="G4306" s="54">
        <f>IF(_imp!$C$4308="","",INDEX(_imp!$J$4:$J$4503,_imp!$C$4308))</f>
        <v/>
      </c>
      <c r="K4306" s="54">
        <f>IF(_imp!$C$4308="","",INDEX(_imp!$K$4:$K$4503,_imp!$C$4308))</f>
        <v/>
      </c>
    </row>
    <row r="4307">
      <c r="A4307" s="54">
        <f>IF(_imp!$C$4309="","",INDEX(_imp!$D$4:$D$4503,_imp!$C$4309))</f>
        <v/>
      </c>
      <c r="B4307" s="54">
        <f>IF(_imp!$C$4309="","",INDEX(_imp!$E$4:$E$4503,_imp!$C$4309))</f>
        <v/>
      </c>
      <c r="C4307" s="54">
        <f>IF(_imp!$C$4309="","",INDEX(_imp!$F$4:$F$4503,_imp!$C$4309))</f>
        <v/>
      </c>
      <c r="D4307" s="54">
        <f>IF(_imp!$C$4309="","",INDEX(_imp!$G$4:$G$4503,_imp!$C$4309))</f>
        <v/>
      </c>
      <c r="E4307" s="54">
        <f>IF(_imp!$C$4309="","",INDEX(_imp!$H$4:$H$4503,_imp!$C$4309))</f>
        <v/>
      </c>
      <c r="F4307" s="54">
        <f>IF(_imp!$C$4309="","",INDEX(_imp!$I$4:$I$4503,_imp!$C$4309))</f>
        <v/>
      </c>
      <c r="G4307" s="54">
        <f>IF(_imp!$C$4309="","",INDEX(_imp!$J$4:$J$4503,_imp!$C$4309))</f>
        <v/>
      </c>
      <c r="K4307" s="54">
        <f>IF(_imp!$C$4309="","",INDEX(_imp!$K$4:$K$4503,_imp!$C$4309))</f>
        <v/>
      </c>
    </row>
    <row r="4308">
      <c r="A4308" s="54">
        <f>IF(_imp!$C$4310="","",INDEX(_imp!$D$4:$D$4503,_imp!$C$4310))</f>
        <v/>
      </c>
      <c r="B4308" s="54">
        <f>IF(_imp!$C$4310="","",INDEX(_imp!$E$4:$E$4503,_imp!$C$4310))</f>
        <v/>
      </c>
      <c r="C4308" s="54">
        <f>IF(_imp!$C$4310="","",INDEX(_imp!$F$4:$F$4503,_imp!$C$4310))</f>
        <v/>
      </c>
      <c r="D4308" s="54">
        <f>IF(_imp!$C$4310="","",INDEX(_imp!$G$4:$G$4503,_imp!$C$4310))</f>
        <v/>
      </c>
      <c r="E4308" s="54">
        <f>IF(_imp!$C$4310="","",INDEX(_imp!$H$4:$H$4503,_imp!$C$4310))</f>
        <v/>
      </c>
      <c r="F4308" s="54">
        <f>IF(_imp!$C$4310="","",INDEX(_imp!$I$4:$I$4503,_imp!$C$4310))</f>
        <v/>
      </c>
      <c r="G4308" s="54">
        <f>IF(_imp!$C$4310="","",INDEX(_imp!$J$4:$J$4503,_imp!$C$4310))</f>
        <v/>
      </c>
      <c r="K4308" s="54">
        <f>IF(_imp!$C$4310="","",INDEX(_imp!$K$4:$K$4503,_imp!$C$4310))</f>
        <v/>
      </c>
    </row>
    <row r="4309">
      <c r="A4309" s="54">
        <f>IF(_imp!$C$4311="","",INDEX(_imp!$D$4:$D$4503,_imp!$C$4311))</f>
        <v/>
      </c>
      <c r="B4309" s="54">
        <f>IF(_imp!$C$4311="","",INDEX(_imp!$E$4:$E$4503,_imp!$C$4311))</f>
        <v/>
      </c>
      <c r="C4309" s="54">
        <f>IF(_imp!$C$4311="","",INDEX(_imp!$F$4:$F$4503,_imp!$C$4311))</f>
        <v/>
      </c>
      <c r="D4309" s="54">
        <f>IF(_imp!$C$4311="","",INDEX(_imp!$G$4:$G$4503,_imp!$C$4311))</f>
        <v/>
      </c>
      <c r="E4309" s="54">
        <f>IF(_imp!$C$4311="","",INDEX(_imp!$H$4:$H$4503,_imp!$C$4311))</f>
        <v/>
      </c>
      <c r="F4309" s="54">
        <f>IF(_imp!$C$4311="","",INDEX(_imp!$I$4:$I$4503,_imp!$C$4311))</f>
        <v/>
      </c>
      <c r="G4309" s="54">
        <f>IF(_imp!$C$4311="","",INDEX(_imp!$J$4:$J$4503,_imp!$C$4311))</f>
        <v/>
      </c>
      <c r="K4309" s="54">
        <f>IF(_imp!$C$4311="","",INDEX(_imp!$K$4:$K$4503,_imp!$C$4311))</f>
        <v/>
      </c>
    </row>
    <row r="4310">
      <c r="A4310" s="54">
        <f>IF(_imp!$C$4312="","",INDEX(_imp!$D$4:$D$4503,_imp!$C$4312))</f>
        <v/>
      </c>
      <c r="B4310" s="54">
        <f>IF(_imp!$C$4312="","",INDEX(_imp!$E$4:$E$4503,_imp!$C$4312))</f>
        <v/>
      </c>
      <c r="C4310" s="54">
        <f>IF(_imp!$C$4312="","",INDEX(_imp!$F$4:$F$4503,_imp!$C$4312))</f>
        <v/>
      </c>
      <c r="D4310" s="54">
        <f>IF(_imp!$C$4312="","",INDEX(_imp!$G$4:$G$4503,_imp!$C$4312))</f>
        <v/>
      </c>
      <c r="E4310" s="54">
        <f>IF(_imp!$C$4312="","",INDEX(_imp!$H$4:$H$4503,_imp!$C$4312))</f>
        <v/>
      </c>
      <c r="F4310" s="54">
        <f>IF(_imp!$C$4312="","",INDEX(_imp!$I$4:$I$4503,_imp!$C$4312))</f>
        <v/>
      </c>
      <c r="G4310" s="54">
        <f>IF(_imp!$C$4312="","",INDEX(_imp!$J$4:$J$4503,_imp!$C$4312))</f>
        <v/>
      </c>
      <c r="K4310" s="54">
        <f>IF(_imp!$C$4312="","",INDEX(_imp!$K$4:$K$4503,_imp!$C$4312))</f>
        <v/>
      </c>
    </row>
    <row r="4311">
      <c r="A4311" s="54">
        <f>IF(_imp!$C$4313="","",INDEX(_imp!$D$4:$D$4503,_imp!$C$4313))</f>
        <v/>
      </c>
      <c r="B4311" s="54">
        <f>IF(_imp!$C$4313="","",INDEX(_imp!$E$4:$E$4503,_imp!$C$4313))</f>
        <v/>
      </c>
      <c r="C4311" s="54">
        <f>IF(_imp!$C$4313="","",INDEX(_imp!$F$4:$F$4503,_imp!$C$4313))</f>
        <v/>
      </c>
      <c r="D4311" s="54">
        <f>IF(_imp!$C$4313="","",INDEX(_imp!$G$4:$G$4503,_imp!$C$4313))</f>
        <v/>
      </c>
      <c r="E4311" s="54">
        <f>IF(_imp!$C$4313="","",INDEX(_imp!$H$4:$H$4503,_imp!$C$4313))</f>
        <v/>
      </c>
      <c r="F4311" s="54">
        <f>IF(_imp!$C$4313="","",INDEX(_imp!$I$4:$I$4503,_imp!$C$4313))</f>
        <v/>
      </c>
      <c r="G4311" s="54">
        <f>IF(_imp!$C$4313="","",INDEX(_imp!$J$4:$J$4503,_imp!$C$4313))</f>
        <v/>
      </c>
      <c r="K4311" s="54">
        <f>IF(_imp!$C$4313="","",INDEX(_imp!$K$4:$K$4503,_imp!$C$4313))</f>
        <v/>
      </c>
    </row>
    <row r="4312">
      <c r="A4312" s="54">
        <f>IF(_imp!$C$4314="","",INDEX(_imp!$D$4:$D$4503,_imp!$C$4314))</f>
        <v/>
      </c>
      <c r="B4312" s="54">
        <f>IF(_imp!$C$4314="","",INDEX(_imp!$E$4:$E$4503,_imp!$C$4314))</f>
        <v/>
      </c>
      <c r="C4312" s="54">
        <f>IF(_imp!$C$4314="","",INDEX(_imp!$F$4:$F$4503,_imp!$C$4314))</f>
        <v/>
      </c>
      <c r="D4312" s="54">
        <f>IF(_imp!$C$4314="","",INDEX(_imp!$G$4:$G$4503,_imp!$C$4314))</f>
        <v/>
      </c>
      <c r="E4312" s="54">
        <f>IF(_imp!$C$4314="","",INDEX(_imp!$H$4:$H$4503,_imp!$C$4314))</f>
        <v/>
      </c>
      <c r="F4312" s="54">
        <f>IF(_imp!$C$4314="","",INDEX(_imp!$I$4:$I$4503,_imp!$C$4314))</f>
        <v/>
      </c>
      <c r="G4312" s="54">
        <f>IF(_imp!$C$4314="","",INDEX(_imp!$J$4:$J$4503,_imp!$C$4314))</f>
        <v/>
      </c>
      <c r="K4312" s="54">
        <f>IF(_imp!$C$4314="","",INDEX(_imp!$K$4:$K$4503,_imp!$C$4314))</f>
        <v/>
      </c>
    </row>
    <row r="4313">
      <c r="A4313" s="54">
        <f>IF(_imp!$C$4315="","",INDEX(_imp!$D$4:$D$4503,_imp!$C$4315))</f>
        <v/>
      </c>
      <c r="B4313" s="54">
        <f>IF(_imp!$C$4315="","",INDEX(_imp!$E$4:$E$4503,_imp!$C$4315))</f>
        <v/>
      </c>
      <c r="C4313" s="54">
        <f>IF(_imp!$C$4315="","",INDEX(_imp!$F$4:$F$4503,_imp!$C$4315))</f>
        <v/>
      </c>
      <c r="D4313" s="54">
        <f>IF(_imp!$C$4315="","",INDEX(_imp!$G$4:$G$4503,_imp!$C$4315))</f>
        <v/>
      </c>
      <c r="E4313" s="54">
        <f>IF(_imp!$C$4315="","",INDEX(_imp!$H$4:$H$4503,_imp!$C$4315))</f>
        <v/>
      </c>
      <c r="F4313" s="54">
        <f>IF(_imp!$C$4315="","",INDEX(_imp!$I$4:$I$4503,_imp!$C$4315))</f>
        <v/>
      </c>
      <c r="G4313" s="54">
        <f>IF(_imp!$C$4315="","",INDEX(_imp!$J$4:$J$4503,_imp!$C$4315))</f>
        <v/>
      </c>
      <c r="K4313" s="54">
        <f>IF(_imp!$C$4315="","",INDEX(_imp!$K$4:$K$4503,_imp!$C$4315))</f>
        <v/>
      </c>
    </row>
    <row r="4314">
      <c r="A4314" s="54">
        <f>IF(_imp!$C$4316="","",INDEX(_imp!$D$4:$D$4503,_imp!$C$4316))</f>
        <v/>
      </c>
      <c r="B4314" s="54">
        <f>IF(_imp!$C$4316="","",INDEX(_imp!$E$4:$E$4503,_imp!$C$4316))</f>
        <v/>
      </c>
      <c r="C4314" s="54">
        <f>IF(_imp!$C$4316="","",INDEX(_imp!$F$4:$F$4503,_imp!$C$4316))</f>
        <v/>
      </c>
      <c r="D4314" s="54">
        <f>IF(_imp!$C$4316="","",INDEX(_imp!$G$4:$G$4503,_imp!$C$4316))</f>
        <v/>
      </c>
      <c r="E4314" s="54">
        <f>IF(_imp!$C$4316="","",INDEX(_imp!$H$4:$H$4503,_imp!$C$4316))</f>
        <v/>
      </c>
      <c r="F4314" s="54">
        <f>IF(_imp!$C$4316="","",INDEX(_imp!$I$4:$I$4503,_imp!$C$4316))</f>
        <v/>
      </c>
      <c r="G4314" s="54">
        <f>IF(_imp!$C$4316="","",INDEX(_imp!$J$4:$J$4503,_imp!$C$4316))</f>
        <v/>
      </c>
      <c r="K4314" s="54">
        <f>IF(_imp!$C$4316="","",INDEX(_imp!$K$4:$K$4503,_imp!$C$4316))</f>
        <v/>
      </c>
    </row>
    <row r="4315">
      <c r="A4315" s="54">
        <f>IF(_imp!$C$4317="","",INDEX(_imp!$D$4:$D$4503,_imp!$C$4317))</f>
        <v/>
      </c>
      <c r="B4315" s="54">
        <f>IF(_imp!$C$4317="","",INDEX(_imp!$E$4:$E$4503,_imp!$C$4317))</f>
        <v/>
      </c>
      <c r="C4315" s="54">
        <f>IF(_imp!$C$4317="","",INDEX(_imp!$F$4:$F$4503,_imp!$C$4317))</f>
        <v/>
      </c>
      <c r="D4315" s="54">
        <f>IF(_imp!$C$4317="","",INDEX(_imp!$G$4:$G$4503,_imp!$C$4317))</f>
        <v/>
      </c>
      <c r="E4315" s="54">
        <f>IF(_imp!$C$4317="","",INDEX(_imp!$H$4:$H$4503,_imp!$C$4317))</f>
        <v/>
      </c>
      <c r="F4315" s="54">
        <f>IF(_imp!$C$4317="","",INDEX(_imp!$I$4:$I$4503,_imp!$C$4317))</f>
        <v/>
      </c>
      <c r="G4315" s="54">
        <f>IF(_imp!$C$4317="","",INDEX(_imp!$J$4:$J$4503,_imp!$C$4317))</f>
        <v/>
      </c>
      <c r="K4315" s="54">
        <f>IF(_imp!$C$4317="","",INDEX(_imp!$K$4:$K$4503,_imp!$C$4317))</f>
        <v/>
      </c>
    </row>
    <row r="4316">
      <c r="A4316" s="54">
        <f>IF(_imp!$C$4318="","",INDEX(_imp!$D$4:$D$4503,_imp!$C$4318))</f>
        <v/>
      </c>
      <c r="B4316" s="54">
        <f>IF(_imp!$C$4318="","",INDEX(_imp!$E$4:$E$4503,_imp!$C$4318))</f>
        <v/>
      </c>
      <c r="C4316" s="54">
        <f>IF(_imp!$C$4318="","",INDEX(_imp!$F$4:$F$4503,_imp!$C$4318))</f>
        <v/>
      </c>
      <c r="D4316" s="54">
        <f>IF(_imp!$C$4318="","",INDEX(_imp!$G$4:$G$4503,_imp!$C$4318))</f>
        <v/>
      </c>
      <c r="E4316" s="54">
        <f>IF(_imp!$C$4318="","",INDEX(_imp!$H$4:$H$4503,_imp!$C$4318))</f>
        <v/>
      </c>
      <c r="F4316" s="54">
        <f>IF(_imp!$C$4318="","",INDEX(_imp!$I$4:$I$4503,_imp!$C$4318))</f>
        <v/>
      </c>
      <c r="G4316" s="54">
        <f>IF(_imp!$C$4318="","",INDEX(_imp!$J$4:$J$4503,_imp!$C$4318))</f>
        <v/>
      </c>
      <c r="K4316" s="54">
        <f>IF(_imp!$C$4318="","",INDEX(_imp!$K$4:$K$4503,_imp!$C$4318))</f>
        <v/>
      </c>
    </row>
    <row r="4317">
      <c r="A4317" s="54">
        <f>IF(_imp!$C$4319="","",INDEX(_imp!$D$4:$D$4503,_imp!$C$4319))</f>
        <v/>
      </c>
      <c r="B4317" s="54">
        <f>IF(_imp!$C$4319="","",INDEX(_imp!$E$4:$E$4503,_imp!$C$4319))</f>
        <v/>
      </c>
      <c r="C4317" s="54">
        <f>IF(_imp!$C$4319="","",INDEX(_imp!$F$4:$F$4503,_imp!$C$4319))</f>
        <v/>
      </c>
      <c r="D4317" s="54">
        <f>IF(_imp!$C$4319="","",INDEX(_imp!$G$4:$G$4503,_imp!$C$4319))</f>
        <v/>
      </c>
      <c r="E4317" s="54">
        <f>IF(_imp!$C$4319="","",INDEX(_imp!$H$4:$H$4503,_imp!$C$4319))</f>
        <v/>
      </c>
      <c r="F4317" s="54">
        <f>IF(_imp!$C$4319="","",INDEX(_imp!$I$4:$I$4503,_imp!$C$4319))</f>
        <v/>
      </c>
      <c r="G4317" s="54">
        <f>IF(_imp!$C$4319="","",INDEX(_imp!$J$4:$J$4503,_imp!$C$4319))</f>
        <v/>
      </c>
      <c r="K4317" s="54">
        <f>IF(_imp!$C$4319="","",INDEX(_imp!$K$4:$K$4503,_imp!$C$4319))</f>
        <v/>
      </c>
    </row>
    <row r="4318">
      <c r="A4318" s="54">
        <f>IF(_imp!$C$4320="","",INDEX(_imp!$D$4:$D$4503,_imp!$C$4320))</f>
        <v/>
      </c>
      <c r="B4318" s="54">
        <f>IF(_imp!$C$4320="","",INDEX(_imp!$E$4:$E$4503,_imp!$C$4320))</f>
        <v/>
      </c>
      <c r="C4318" s="54">
        <f>IF(_imp!$C$4320="","",INDEX(_imp!$F$4:$F$4503,_imp!$C$4320))</f>
        <v/>
      </c>
      <c r="D4318" s="54">
        <f>IF(_imp!$C$4320="","",INDEX(_imp!$G$4:$G$4503,_imp!$C$4320))</f>
        <v/>
      </c>
      <c r="E4318" s="54">
        <f>IF(_imp!$C$4320="","",INDEX(_imp!$H$4:$H$4503,_imp!$C$4320))</f>
        <v/>
      </c>
      <c r="F4318" s="54">
        <f>IF(_imp!$C$4320="","",INDEX(_imp!$I$4:$I$4503,_imp!$C$4320))</f>
        <v/>
      </c>
      <c r="G4318" s="54">
        <f>IF(_imp!$C$4320="","",INDEX(_imp!$J$4:$J$4503,_imp!$C$4320))</f>
        <v/>
      </c>
      <c r="K4318" s="54">
        <f>IF(_imp!$C$4320="","",INDEX(_imp!$K$4:$K$4503,_imp!$C$4320))</f>
        <v/>
      </c>
    </row>
    <row r="4319">
      <c r="A4319" s="54">
        <f>IF(_imp!$C$4321="","",INDEX(_imp!$D$4:$D$4503,_imp!$C$4321))</f>
        <v/>
      </c>
      <c r="B4319" s="54">
        <f>IF(_imp!$C$4321="","",INDEX(_imp!$E$4:$E$4503,_imp!$C$4321))</f>
        <v/>
      </c>
      <c r="C4319" s="54">
        <f>IF(_imp!$C$4321="","",INDEX(_imp!$F$4:$F$4503,_imp!$C$4321))</f>
        <v/>
      </c>
      <c r="D4319" s="54">
        <f>IF(_imp!$C$4321="","",INDEX(_imp!$G$4:$G$4503,_imp!$C$4321))</f>
        <v/>
      </c>
      <c r="E4319" s="54">
        <f>IF(_imp!$C$4321="","",INDEX(_imp!$H$4:$H$4503,_imp!$C$4321))</f>
        <v/>
      </c>
      <c r="F4319" s="54">
        <f>IF(_imp!$C$4321="","",INDEX(_imp!$I$4:$I$4503,_imp!$C$4321))</f>
        <v/>
      </c>
      <c r="G4319" s="54">
        <f>IF(_imp!$C$4321="","",INDEX(_imp!$J$4:$J$4503,_imp!$C$4321))</f>
        <v/>
      </c>
      <c r="K4319" s="54">
        <f>IF(_imp!$C$4321="","",INDEX(_imp!$K$4:$K$4503,_imp!$C$4321))</f>
        <v/>
      </c>
    </row>
    <row r="4320">
      <c r="A4320" s="54">
        <f>IF(_imp!$C$4322="","",INDEX(_imp!$D$4:$D$4503,_imp!$C$4322))</f>
        <v/>
      </c>
      <c r="B4320" s="54">
        <f>IF(_imp!$C$4322="","",INDEX(_imp!$E$4:$E$4503,_imp!$C$4322))</f>
        <v/>
      </c>
      <c r="C4320" s="54">
        <f>IF(_imp!$C$4322="","",INDEX(_imp!$F$4:$F$4503,_imp!$C$4322))</f>
        <v/>
      </c>
      <c r="D4320" s="54">
        <f>IF(_imp!$C$4322="","",INDEX(_imp!$G$4:$G$4503,_imp!$C$4322))</f>
        <v/>
      </c>
      <c r="E4320" s="54">
        <f>IF(_imp!$C$4322="","",INDEX(_imp!$H$4:$H$4503,_imp!$C$4322))</f>
        <v/>
      </c>
      <c r="F4320" s="54">
        <f>IF(_imp!$C$4322="","",INDEX(_imp!$I$4:$I$4503,_imp!$C$4322))</f>
        <v/>
      </c>
      <c r="G4320" s="54">
        <f>IF(_imp!$C$4322="","",INDEX(_imp!$J$4:$J$4503,_imp!$C$4322))</f>
        <v/>
      </c>
      <c r="K4320" s="54">
        <f>IF(_imp!$C$4322="","",INDEX(_imp!$K$4:$K$4503,_imp!$C$4322))</f>
        <v/>
      </c>
    </row>
    <row r="4321">
      <c r="A4321" s="54">
        <f>IF(_imp!$C$4323="","",INDEX(_imp!$D$4:$D$4503,_imp!$C$4323))</f>
        <v/>
      </c>
      <c r="B4321" s="54">
        <f>IF(_imp!$C$4323="","",INDEX(_imp!$E$4:$E$4503,_imp!$C$4323))</f>
        <v/>
      </c>
      <c r="C4321" s="54">
        <f>IF(_imp!$C$4323="","",INDEX(_imp!$F$4:$F$4503,_imp!$C$4323))</f>
        <v/>
      </c>
      <c r="D4321" s="54">
        <f>IF(_imp!$C$4323="","",INDEX(_imp!$G$4:$G$4503,_imp!$C$4323))</f>
        <v/>
      </c>
      <c r="E4321" s="54">
        <f>IF(_imp!$C$4323="","",INDEX(_imp!$H$4:$H$4503,_imp!$C$4323))</f>
        <v/>
      </c>
      <c r="F4321" s="54">
        <f>IF(_imp!$C$4323="","",INDEX(_imp!$I$4:$I$4503,_imp!$C$4323))</f>
        <v/>
      </c>
      <c r="G4321" s="54">
        <f>IF(_imp!$C$4323="","",INDEX(_imp!$J$4:$J$4503,_imp!$C$4323))</f>
        <v/>
      </c>
      <c r="K4321" s="54">
        <f>IF(_imp!$C$4323="","",INDEX(_imp!$K$4:$K$4503,_imp!$C$4323))</f>
        <v/>
      </c>
    </row>
    <row r="4322">
      <c r="A4322" s="54">
        <f>IF(_imp!$C$4324="","",INDEX(_imp!$D$4:$D$4503,_imp!$C$4324))</f>
        <v/>
      </c>
      <c r="B4322" s="54">
        <f>IF(_imp!$C$4324="","",INDEX(_imp!$E$4:$E$4503,_imp!$C$4324))</f>
        <v/>
      </c>
      <c r="C4322" s="54">
        <f>IF(_imp!$C$4324="","",INDEX(_imp!$F$4:$F$4503,_imp!$C$4324))</f>
        <v/>
      </c>
      <c r="D4322" s="54">
        <f>IF(_imp!$C$4324="","",INDEX(_imp!$G$4:$G$4503,_imp!$C$4324))</f>
        <v/>
      </c>
      <c r="E4322" s="54">
        <f>IF(_imp!$C$4324="","",INDEX(_imp!$H$4:$H$4503,_imp!$C$4324))</f>
        <v/>
      </c>
      <c r="F4322" s="54">
        <f>IF(_imp!$C$4324="","",INDEX(_imp!$I$4:$I$4503,_imp!$C$4324))</f>
        <v/>
      </c>
      <c r="G4322" s="54">
        <f>IF(_imp!$C$4324="","",INDEX(_imp!$J$4:$J$4503,_imp!$C$4324))</f>
        <v/>
      </c>
      <c r="K4322" s="54">
        <f>IF(_imp!$C$4324="","",INDEX(_imp!$K$4:$K$4503,_imp!$C$4324))</f>
        <v/>
      </c>
    </row>
    <row r="4323">
      <c r="A4323" s="54">
        <f>IF(_imp!$C$4325="","",INDEX(_imp!$D$4:$D$4503,_imp!$C$4325))</f>
        <v/>
      </c>
      <c r="B4323" s="54">
        <f>IF(_imp!$C$4325="","",INDEX(_imp!$E$4:$E$4503,_imp!$C$4325))</f>
        <v/>
      </c>
      <c r="C4323" s="54">
        <f>IF(_imp!$C$4325="","",INDEX(_imp!$F$4:$F$4503,_imp!$C$4325))</f>
        <v/>
      </c>
      <c r="D4323" s="54">
        <f>IF(_imp!$C$4325="","",INDEX(_imp!$G$4:$G$4503,_imp!$C$4325))</f>
        <v/>
      </c>
      <c r="E4323" s="54">
        <f>IF(_imp!$C$4325="","",INDEX(_imp!$H$4:$H$4503,_imp!$C$4325))</f>
        <v/>
      </c>
      <c r="F4323" s="54">
        <f>IF(_imp!$C$4325="","",INDEX(_imp!$I$4:$I$4503,_imp!$C$4325))</f>
        <v/>
      </c>
      <c r="G4323" s="54">
        <f>IF(_imp!$C$4325="","",INDEX(_imp!$J$4:$J$4503,_imp!$C$4325))</f>
        <v/>
      </c>
      <c r="K4323" s="54">
        <f>IF(_imp!$C$4325="","",INDEX(_imp!$K$4:$K$4503,_imp!$C$4325))</f>
        <v/>
      </c>
    </row>
    <row r="4324">
      <c r="A4324" s="54">
        <f>IF(_imp!$C$4326="","",INDEX(_imp!$D$4:$D$4503,_imp!$C$4326))</f>
        <v/>
      </c>
      <c r="B4324" s="54">
        <f>IF(_imp!$C$4326="","",INDEX(_imp!$E$4:$E$4503,_imp!$C$4326))</f>
        <v/>
      </c>
      <c r="C4324" s="54">
        <f>IF(_imp!$C$4326="","",INDEX(_imp!$F$4:$F$4503,_imp!$C$4326))</f>
        <v/>
      </c>
      <c r="D4324" s="54">
        <f>IF(_imp!$C$4326="","",INDEX(_imp!$G$4:$G$4503,_imp!$C$4326))</f>
        <v/>
      </c>
      <c r="E4324" s="54">
        <f>IF(_imp!$C$4326="","",INDEX(_imp!$H$4:$H$4503,_imp!$C$4326))</f>
        <v/>
      </c>
      <c r="F4324" s="54">
        <f>IF(_imp!$C$4326="","",INDEX(_imp!$I$4:$I$4503,_imp!$C$4326))</f>
        <v/>
      </c>
      <c r="G4324" s="54">
        <f>IF(_imp!$C$4326="","",INDEX(_imp!$J$4:$J$4503,_imp!$C$4326))</f>
        <v/>
      </c>
      <c r="K4324" s="54">
        <f>IF(_imp!$C$4326="","",INDEX(_imp!$K$4:$K$4503,_imp!$C$4326))</f>
        <v/>
      </c>
    </row>
    <row r="4325">
      <c r="A4325" s="54">
        <f>IF(_imp!$C$4327="","",INDEX(_imp!$D$4:$D$4503,_imp!$C$4327))</f>
        <v/>
      </c>
      <c r="B4325" s="54">
        <f>IF(_imp!$C$4327="","",INDEX(_imp!$E$4:$E$4503,_imp!$C$4327))</f>
        <v/>
      </c>
      <c r="C4325" s="54">
        <f>IF(_imp!$C$4327="","",INDEX(_imp!$F$4:$F$4503,_imp!$C$4327))</f>
        <v/>
      </c>
      <c r="D4325" s="54">
        <f>IF(_imp!$C$4327="","",INDEX(_imp!$G$4:$G$4503,_imp!$C$4327))</f>
        <v/>
      </c>
      <c r="E4325" s="54">
        <f>IF(_imp!$C$4327="","",INDEX(_imp!$H$4:$H$4503,_imp!$C$4327))</f>
        <v/>
      </c>
      <c r="F4325" s="54">
        <f>IF(_imp!$C$4327="","",INDEX(_imp!$I$4:$I$4503,_imp!$C$4327))</f>
        <v/>
      </c>
      <c r="G4325" s="54">
        <f>IF(_imp!$C$4327="","",INDEX(_imp!$J$4:$J$4503,_imp!$C$4327))</f>
        <v/>
      </c>
      <c r="K4325" s="54">
        <f>IF(_imp!$C$4327="","",INDEX(_imp!$K$4:$K$4503,_imp!$C$4327))</f>
        <v/>
      </c>
    </row>
    <row r="4326">
      <c r="A4326" s="54">
        <f>IF(_imp!$C$4328="","",INDEX(_imp!$D$4:$D$4503,_imp!$C$4328))</f>
        <v/>
      </c>
      <c r="B4326" s="54">
        <f>IF(_imp!$C$4328="","",INDEX(_imp!$E$4:$E$4503,_imp!$C$4328))</f>
        <v/>
      </c>
      <c r="C4326" s="54">
        <f>IF(_imp!$C$4328="","",INDEX(_imp!$F$4:$F$4503,_imp!$C$4328))</f>
        <v/>
      </c>
      <c r="D4326" s="54">
        <f>IF(_imp!$C$4328="","",INDEX(_imp!$G$4:$G$4503,_imp!$C$4328))</f>
        <v/>
      </c>
      <c r="E4326" s="54">
        <f>IF(_imp!$C$4328="","",INDEX(_imp!$H$4:$H$4503,_imp!$C$4328))</f>
        <v/>
      </c>
      <c r="F4326" s="54">
        <f>IF(_imp!$C$4328="","",INDEX(_imp!$I$4:$I$4503,_imp!$C$4328))</f>
        <v/>
      </c>
      <c r="G4326" s="54">
        <f>IF(_imp!$C$4328="","",INDEX(_imp!$J$4:$J$4503,_imp!$C$4328))</f>
        <v/>
      </c>
      <c r="K4326" s="54">
        <f>IF(_imp!$C$4328="","",INDEX(_imp!$K$4:$K$4503,_imp!$C$4328))</f>
        <v/>
      </c>
    </row>
    <row r="4327">
      <c r="A4327" s="54">
        <f>IF(_imp!$C$4329="","",INDEX(_imp!$D$4:$D$4503,_imp!$C$4329))</f>
        <v/>
      </c>
      <c r="B4327" s="54">
        <f>IF(_imp!$C$4329="","",INDEX(_imp!$E$4:$E$4503,_imp!$C$4329))</f>
        <v/>
      </c>
      <c r="C4327" s="54">
        <f>IF(_imp!$C$4329="","",INDEX(_imp!$F$4:$F$4503,_imp!$C$4329))</f>
        <v/>
      </c>
      <c r="D4327" s="54">
        <f>IF(_imp!$C$4329="","",INDEX(_imp!$G$4:$G$4503,_imp!$C$4329))</f>
        <v/>
      </c>
      <c r="E4327" s="54">
        <f>IF(_imp!$C$4329="","",INDEX(_imp!$H$4:$H$4503,_imp!$C$4329))</f>
        <v/>
      </c>
      <c r="F4327" s="54">
        <f>IF(_imp!$C$4329="","",INDEX(_imp!$I$4:$I$4503,_imp!$C$4329))</f>
        <v/>
      </c>
      <c r="G4327" s="54">
        <f>IF(_imp!$C$4329="","",INDEX(_imp!$J$4:$J$4503,_imp!$C$4329))</f>
        <v/>
      </c>
      <c r="K4327" s="54">
        <f>IF(_imp!$C$4329="","",INDEX(_imp!$K$4:$K$4503,_imp!$C$4329))</f>
        <v/>
      </c>
    </row>
    <row r="4328">
      <c r="A4328" s="54">
        <f>IF(_imp!$C$4330="","",INDEX(_imp!$D$4:$D$4503,_imp!$C$4330))</f>
        <v/>
      </c>
      <c r="B4328" s="54">
        <f>IF(_imp!$C$4330="","",INDEX(_imp!$E$4:$E$4503,_imp!$C$4330))</f>
        <v/>
      </c>
      <c r="C4328" s="54">
        <f>IF(_imp!$C$4330="","",INDEX(_imp!$F$4:$F$4503,_imp!$C$4330))</f>
        <v/>
      </c>
      <c r="D4328" s="54">
        <f>IF(_imp!$C$4330="","",INDEX(_imp!$G$4:$G$4503,_imp!$C$4330))</f>
        <v/>
      </c>
      <c r="E4328" s="54">
        <f>IF(_imp!$C$4330="","",INDEX(_imp!$H$4:$H$4503,_imp!$C$4330))</f>
        <v/>
      </c>
      <c r="F4328" s="54">
        <f>IF(_imp!$C$4330="","",INDEX(_imp!$I$4:$I$4503,_imp!$C$4330))</f>
        <v/>
      </c>
      <c r="G4328" s="54">
        <f>IF(_imp!$C$4330="","",INDEX(_imp!$J$4:$J$4503,_imp!$C$4330))</f>
        <v/>
      </c>
      <c r="K4328" s="54">
        <f>IF(_imp!$C$4330="","",INDEX(_imp!$K$4:$K$4503,_imp!$C$4330))</f>
        <v/>
      </c>
    </row>
    <row r="4329">
      <c r="A4329" s="54">
        <f>IF(_imp!$C$4331="","",INDEX(_imp!$D$4:$D$4503,_imp!$C$4331))</f>
        <v/>
      </c>
      <c r="B4329" s="54">
        <f>IF(_imp!$C$4331="","",INDEX(_imp!$E$4:$E$4503,_imp!$C$4331))</f>
        <v/>
      </c>
      <c r="C4329" s="54">
        <f>IF(_imp!$C$4331="","",INDEX(_imp!$F$4:$F$4503,_imp!$C$4331))</f>
        <v/>
      </c>
      <c r="D4329" s="54">
        <f>IF(_imp!$C$4331="","",INDEX(_imp!$G$4:$G$4503,_imp!$C$4331))</f>
        <v/>
      </c>
      <c r="E4329" s="54">
        <f>IF(_imp!$C$4331="","",INDEX(_imp!$H$4:$H$4503,_imp!$C$4331))</f>
        <v/>
      </c>
      <c r="F4329" s="54">
        <f>IF(_imp!$C$4331="","",INDEX(_imp!$I$4:$I$4503,_imp!$C$4331))</f>
        <v/>
      </c>
      <c r="G4329" s="54">
        <f>IF(_imp!$C$4331="","",INDEX(_imp!$J$4:$J$4503,_imp!$C$4331))</f>
        <v/>
      </c>
      <c r="K4329" s="54">
        <f>IF(_imp!$C$4331="","",INDEX(_imp!$K$4:$K$4503,_imp!$C$4331))</f>
        <v/>
      </c>
    </row>
    <row r="4330">
      <c r="A4330" s="54">
        <f>IF(_imp!$C$4332="","",INDEX(_imp!$D$4:$D$4503,_imp!$C$4332))</f>
        <v/>
      </c>
      <c r="B4330" s="54">
        <f>IF(_imp!$C$4332="","",INDEX(_imp!$E$4:$E$4503,_imp!$C$4332))</f>
        <v/>
      </c>
      <c r="C4330" s="54">
        <f>IF(_imp!$C$4332="","",INDEX(_imp!$F$4:$F$4503,_imp!$C$4332))</f>
        <v/>
      </c>
      <c r="D4330" s="54">
        <f>IF(_imp!$C$4332="","",INDEX(_imp!$G$4:$G$4503,_imp!$C$4332))</f>
        <v/>
      </c>
      <c r="E4330" s="54">
        <f>IF(_imp!$C$4332="","",INDEX(_imp!$H$4:$H$4503,_imp!$C$4332))</f>
        <v/>
      </c>
      <c r="F4330" s="54">
        <f>IF(_imp!$C$4332="","",INDEX(_imp!$I$4:$I$4503,_imp!$C$4332))</f>
        <v/>
      </c>
      <c r="G4330" s="54">
        <f>IF(_imp!$C$4332="","",INDEX(_imp!$J$4:$J$4503,_imp!$C$4332))</f>
        <v/>
      </c>
      <c r="K4330" s="54">
        <f>IF(_imp!$C$4332="","",INDEX(_imp!$K$4:$K$4503,_imp!$C$4332))</f>
        <v/>
      </c>
    </row>
    <row r="4331">
      <c r="A4331" s="54">
        <f>IF(_imp!$C$4333="","",INDEX(_imp!$D$4:$D$4503,_imp!$C$4333))</f>
        <v/>
      </c>
      <c r="B4331" s="54">
        <f>IF(_imp!$C$4333="","",INDEX(_imp!$E$4:$E$4503,_imp!$C$4333))</f>
        <v/>
      </c>
      <c r="C4331" s="54">
        <f>IF(_imp!$C$4333="","",INDEX(_imp!$F$4:$F$4503,_imp!$C$4333))</f>
        <v/>
      </c>
      <c r="D4331" s="54">
        <f>IF(_imp!$C$4333="","",INDEX(_imp!$G$4:$G$4503,_imp!$C$4333))</f>
        <v/>
      </c>
      <c r="E4331" s="54">
        <f>IF(_imp!$C$4333="","",INDEX(_imp!$H$4:$H$4503,_imp!$C$4333))</f>
        <v/>
      </c>
      <c r="F4331" s="54">
        <f>IF(_imp!$C$4333="","",INDEX(_imp!$I$4:$I$4503,_imp!$C$4333))</f>
        <v/>
      </c>
      <c r="G4331" s="54">
        <f>IF(_imp!$C$4333="","",INDEX(_imp!$J$4:$J$4503,_imp!$C$4333))</f>
        <v/>
      </c>
      <c r="K4331" s="54">
        <f>IF(_imp!$C$4333="","",INDEX(_imp!$K$4:$K$4503,_imp!$C$4333))</f>
        <v/>
      </c>
    </row>
    <row r="4332">
      <c r="A4332" s="54">
        <f>IF(_imp!$C$4334="","",INDEX(_imp!$D$4:$D$4503,_imp!$C$4334))</f>
        <v/>
      </c>
      <c r="B4332" s="54">
        <f>IF(_imp!$C$4334="","",INDEX(_imp!$E$4:$E$4503,_imp!$C$4334))</f>
        <v/>
      </c>
      <c r="C4332" s="54">
        <f>IF(_imp!$C$4334="","",INDEX(_imp!$F$4:$F$4503,_imp!$C$4334))</f>
        <v/>
      </c>
      <c r="D4332" s="54">
        <f>IF(_imp!$C$4334="","",INDEX(_imp!$G$4:$G$4503,_imp!$C$4334))</f>
        <v/>
      </c>
      <c r="E4332" s="54">
        <f>IF(_imp!$C$4334="","",INDEX(_imp!$H$4:$H$4503,_imp!$C$4334))</f>
        <v/>
      </c>
      <c r="F4332" s="54">
        <f>IF(_imp!$C$4334="","",INDEX(_imp!$I$4:$I$4503,_imp!$C$4334))</f>
        <v/>
      </c>
      <c r="G4332" s="54">
        <f>IF(_imp!$C$4334="","",INDEX(_imp!$J$4:$J$4503,_imp!$C$4334))</f>
        <v/>
      </c>
      <c r="K4332" s="54">
        <f>IF(_imp!$C$4334="","",INDEX(_imp!$K$4:$K$4503,_imp!$C$4334))</f>
        <v/>
      </c>
    </row>
    <row r="4333">
      <c r="A4333" s="54">
        <f>IF(_imp!$C$4335="","",INDEX(_imp!$D$4:$D$4503,_imp!$C$4335))</f>
        <v/>
      </c>
      <c r="B4333" s="54">
        <f>IF(_imp!$C$4335="","",INDEX(_imp!$E$4:$E$4503,_imp!$C$4335))</f>
        <v/>
      </c>
      <c r="C4333" s="54">
        <f>IF(_imp!$C$4335="","",INDEX(_imp!$F$4:$F$4503,_imp!$C$4335))</f>
        <v/>
      </c>
      <c r="D4333" s="54">
        <f>IF(_imp!$C$4335="","",INDEX(_imp!$G$4:$G$4503,_imp!$C$4335))</f>
        <v/>
      </c>
      <c r="E4333" s="54">
        <f>IF(_imp!$C$4335="","",INDEX(_imp!$H$4:$H$4503,_imp!$C$4335))</f>
        <v/>
      </c>
      <c r="F4333" s="54">
        <f>IF(_imp!$C$4335="","",INDEX(_imp!$I$4:$I$4503,_imp!$C$4335))</f>
        <v/>
      </c>
      <c r="G4333" s="54">
        <f>IF(_imp!$C$4335="","",INDEX(_imp!$J$4:$J$4503,_imp!$C$4335))</f>
        <v/>
      </c>
      <c r="K4333" s="54">
        <f>IF(_imp!$C$4335="","",INDEX(_imp!$K$4:$K$4503,_imp!$C$4335))</f>
        <v/>
      </c>
    </row>
    <row r="4334">
      <c r="A4334" s="54">
        <f>IF(_imp!$C$4336="","",INDEX(_imp!$D$4:$D$4503,_imp!$C$4336))</f>
        <v/>
      </c>
      <c r="B4334" s="54">
        <f>IF(_imp!$C$4336="","",INDEX(_imp!$E$4:$E$4503,_imp!$C$4336))</f>
        <v/>
      </c>
      <c r="C4334" s="54">
        <f>IF(_imp!$C$4336="","",INDEX(_imp!$F$4:$F$4503,_imp!$C$4336))</f>
        <v/>
      </c>
      <c r="D4334" s="54">
        <f>IF(_imp!$C$4336="","",INDEX(_imp!$G$4:$G$4503,_imp!$C$4336))</f>
        <v/>
      </c>
      <c r="E4334" s="54">
        <f>IF(_imp!$C$4336="","",INDEX(_imp!$H$4:$H$4503,_imp!$C$4336))</f>
        <v/>
      </c>
      <c r="F4334" s="54">
        <f>IF(_imp!$C$4336="","",INDEX(_imp!$I$4:$I$4503,_imp!$C$4336))</f>
        <v/>
      </c>
      <c r="G4334" s="54">
        <f>IF(_imp!$C$4336="","",INDEX(_imp!$J$4:$J$4503,_imp!$C$4336))</f>
        <v/>
      </c>
      <c r="K4334" s="54">
        <f>IF(_imp!$C$4336="","",INDEX(_imp!$K$4:$K$4503,_imp!$C$4336))</f>
        <v/>
      </c>
    </row>
    <row r="4335">
      <c r="A4335" s="54">
        <f>IF(_imp!$C$4337="","",INDEX(_imp!$D$4:$D$4503,_imp!$C$4337))</f>
        <v/>
      </c>
      <c r="B4335" s="54">
        <f>IF(_imp!$C$4337="","",INDEX(_imp!$E$4:$E$4503,_imp!$C$4337))</f>
        <v/>
      </c>
      <c r="C4335" s="54">
        <f>IF(_imp!$C$4337="","",INDEX(_imp!$F$4:$F$4503,_imp!$C$4337))</f>
        <v/>
      </c>
      <c r="D4335" s="54">
        <f>IF(_imp!$C$4337="","",INDEX(_imp!$G$4:$G$4503,_imp!$C$4337))</f>
        <v/>
      </c>
      <c r="E4335" s="54">
        <f>IF(_imp!$C$4337="","",INDEX(_imp!$H$4:$H$4503,_imp!$C$4337))</f>
        <v/>
      </c>
      <c r="F4335" s="54">
        <f>IF(_imp!$C$4337="","",INDEX(_imp!$I$4:$I$4503,_imp!$C$4337))</f>
        <v/>
      </c>
      <c r="G4335" s="54">
        <f>IF(_imp!$C$4337="","",INDEX(_imp!$J$4:$J$4503,_imp!$C$4337))</f>
        <v/>
      </c>
      <c r="K4335" s="54">
        <f>IF(_imp!$C$4337="","",INDEX(_imp!$K$4:$K$4503,_imp!$C$4337))</f>
        <v/>
      </c>
    </row>
    <row r="4336">
      <c r="A4336" s="54">
        <f>IF(_imp!$C$4338="","",INDEX(_imp!$D$4:$D$4503,_imp!$C$4338))</f>
        <v/>
      </c>
      <c r="B4336" s="54">
        <f>IF(_imp!$C$4338="","",INDEX(_imp!$E$4:$E$4503,_imp!$C$4338))</f>
        <v/>
      </c>
      <c r="C4336" s="54">
        <f>IF(_imp!$C$4338="","",INDEX(_imp!$F$4:$F$4503,_imp!$C$4338))</f>
        <v/>
      </c>
      <c r="D4336" s="54">
        <f>IF(_imp!$C$4338="","",INDEX(_imp!$G$4:$G$4503,_imp!$C$4338))</f>
        <v/>
      </c>
      <c r="E4336" s="54">
        <f>IF(_imp!$C$4338="","",INDEX(_imp!$H$4:$H$4503,_imp!$C$4338))</f>
        <v/>
      </c>
      <c r="F4336" s="54">
        <f>IF(_imp!$C$4338="","",INDEX(_imp!$I$4:$I$4503,_imp!$C$4338))</f>
        <v/>
      </c>
      <c r="G4336" s="54">
        <f>IF(_imp!$C$4338="","",INDEX(_imp!$J$4:$J$4503,_imp!$C$4338))</f>
        <v/>
      </c>
      <c r="K4336" s="54">
        <f>IF(_imp!$C$4338="","",INDEX(_imp!$K$4:$K$4503,_imp!$C$4338))</f>
        <v/>
      </c>
    </row>
    <row r="4337">
      <c r="A4337" s="54">
        <f>IF(_imp!$C$4339="","",INDEX(_imp!$D$4:$D$4503,_imp!$C$4339))</f>
        <v/>
      </c>
      <c r="B4337" s="54">
        <f>IF(_imp!$C$4339="","",INDEX(_imp!$E$4:$E$4503,_imp!$C$4339))</f>
        <v/>
      </c>
      <c r="C4337" s="54">
        <f>IF(_imp!$C$4339="","",INDEX(_imp!$F$4:$F$4503,_imp!$C$4339))</f>
        <v/>
      </c>
      <c r="D4337" s="54">
        <f>IF(_imp!$C$4339="","",INDEX(_imp!$G$4:$G$4503,_imp!$C$4339))</f>
        <v/>
      </c>
      <c r="E4337" s="54">
        <f>IF(_imp!$C$4339="","",INDEX(_imp!$H$4:$H$4503,_imp!$C$4339))</f>
        <v/>
      </c>
      <c r="F4337" s="54">
        <f>IF(_imp!$C$4339="","",INDEX(_imp!$I$4:$I$4503,_imp!$C$4339))</f>
        <v/>
      </c>
      <c r="G4337" s="54">
        <f>IF(_imp!$C$4339="","",INDEX(_imp!$J$4:$J$4503,_imp!$C$4339))</f>
        <v/>
      </c>
      <c r="K4337" s="54">
        <f>IF(_imp!$C$4339="","",INDEX(_imp!$K$4:$K$4503,_imp!$C$4339))</f>
        <v/>
      </c>
    </row>
    <row r="4338">
      <c r="A4338" s="54">
        <f>IF(_imp!$C$4340="","",INDEX(_imp!$D$4:$D$4503,_imp!$C$4340))</f>
        <v/>
      </c>
      <c r="B4338" s="54">
        <f>IF(_imp!$C$4340="","",INDEX(_imp!$E$4:$E$4503,_imp!$C$4340))</f>
        <v/>
      </c>
      <c r="C4338" s="54">
        <f>IF(_imp!$C$4340="","",INDEX(_imp!$F$4:$F$4503,_imp!$C$4340))</f>
        <v/>
      </c>
      <c r="D4338" s="54">
        <f>IF(_imp!$C$4340="","",INDEX(_imp!$G$4:$G$4503,_imp!$C$4340))</f>
        <v/>
      </c>
      <c r="E4338" s="54">
        <f>IF(_imp!$C$4340="","",INDEX(_imp!$H$4:$H$4503,_imp!$C$4340))</f>
        <v/>
      </c>
      <c r="F4338" s="54">
        <f>IF(_imp!$C$4340="","",INDEX(_imp!$I$4:$I$4503,_imp!$C$4340))</f>
        <v/>
      </c>
      <c r="G4338" s="54">
        <f>IF(_imp!$C$4340="","",INDEX(_imp!$J$4:$J$4503,_imp!$C$4340))</f>
        <v/>
      </c>
      <c r="K4338" s="54">
        <f>IF(_imp!$C$4340="","",INDEX(_imp!$K$4:$K$4503,_imp!$C$4340))</f>
        <v/>
      </c>
    </row>
    <row r="4339">
      <c r="A4339" s="54">
        <f>IF(_imp!$C$4341="","",INDEX(_imp!$D$4:$D$4503,_imp!$C$4341))</f>
        <v/>
      </c>
      <c r="B4339" s="54">
        <f>IF(_imp!$C$4341="","",INDEX(_imp!$E$4:$E$4503,_imp!$C$4341))</f>
        <v/>
      </c>
      <c r="C4339" s="54">
        <f>IF(_imp!$C$4341="","",INDEX(_imp!$F$4:$F$4503,_imp!$C$4341))</f>
        <v/>
      </c>
      <c r="D4339" s="54">
        <f>IF(_imp!$C$4341="","",INDEX(_imp!$G$4:$G$4503,_imp!$C$4341))</f>
        <v/>
      </c>
      <c r="E4339" s="54">
        <f>IF(_imp!$C$4341="","",INDEX(_imp!$H$4:$H$4503,_imp!$C$4341))</f>
        <v/>
      </c>
      <c r="F4339" s="54">
        <f>IF(_imp!$C$4341="","",INDEX(_imp!$I$4:$I$4503,_imp!$C$4341))</f>
        <v/>
      </c>
      <c r="G4339" s="54">
        <f>IF(_imp!$C$4341="","",INDEX(_imp!$J$4:$J$4503,_imp!$C$4341))</f>
        <v/>
      </c>
      <c r="K4339" s="54">
        <f>IF(_imp!$C$4341="","",INDEX(_imp!$K$4:$K$4503,_imp!$C$4341))</f>
        <v/>
      </c>
    </row>
    <row r="4340">
      <c r="A4340" s="54">
        <f>IF(_imp!$C$4342="","",INDEX(_imp!$D$4:$D$4503,_imp!$C$4342))</f>
        <v/>
      </c>
      <c r="B4340" s="54">
        <f>IF(_imp!$C$4342="","",INDEX(_imp!$E$4:$E$4503,_imp!$C$4342))</f>
        <v/>
      </c>
      <c r="C4340" s="54">
        <f>IF(_imp!$C$4342="","",INDEX(_imp!$F$4:$F$4503,_imp!$C$4342))</f>
        <v/>
      </c>
      <c r="D4340" s="54">
        <f>IF(_imp!$C$4342="","",INDEX(_imp!$G$4:$G$4503,_imp!$C$4342))</f>
        <v/>
      </c>
      <c r="E4340" s="54">
        <f>IF(_imp!$C$4342="","",INDEX(_imp!$H$4:$H$4503,_imp!$C$4342))</f>
        <v/>
      </c>
      <c r="F4340" s="54">
        <f>IF(_imp!$C$4342="","",INDEX(_imp!$I$4:$I$4503,_imp!$C$4342))</f>
        <v/>
      </c>
      <c r="G4340" s="54">
        <f>IF(_imp!$C$4342="","",INDEX(_imp!$J$4:$J$4503,_imp!$C$4342))</f>
        <v/>
      </c>
      <c r="K4340" s="54">
        <f>IF(_imp!$C$4342="","",INDEX(_imp!$K$4:$K$4503,_imp!$C$4342))</f>
        <v/>
      </c>
    </row>
    <row r="4341">
      <c r="A4341" s="54">
        <f>IF(_imp!$C$4343="","",INDEX(_imp!$D$4:$D$4503,_imp!$C$4343))</f>
        <v/>
      </c>
      <c r="B4341" s="54">
        <f>IF(_imp!$C$4343="","",INDEX(_imp!$E$4:$E$4503,_imp!$C$4343))</f>
        <v/>
      </c>
      <c r="C4341" s="54">
        <f>IF(_imp!$C$4343="","",INDEX(_imp!$F$4:$F$4503,_imp!$C$4343))</f>
        <v/>
      </c>
      <c r="D4341" s="54">
        <f>IF(_imp!$C$4343="","",INDEX(_imp!$G$4:$G$4503,_imp!$C$4343))</f>
        <v/>
      </c>
      <c r="E4341" s="54">
        <f>IF(_imp!$C$4343="","",INDEX(_imp!$H$4:$H$4503,_imp!$C$4343))</f>
        <v/>
      </c>
      <c r="F4341" s="54">
        <f>IF(_imp!$C$4343="","",INDEX(_imp!$I$4:$I$4503,_imp!$C$4343))</f>
        <v/>
      </c>
      <c r="G4341" s="54">
        <f>IF(_imp!$C$4343="","",INDEX(_imp!$J$4:$J$4503,_imp!$C$4343))</f>
        <v/>
      </c>
      <c r="K4341" s="54">
        <f>IF(_imp!$C$4343="","",INDEX(_imp!$K$4:$K$4503,_imp!$C$4343))</f>
        <v/>
      </c>
    </row>
    <row r="4342">
      <c r="A4342" s="54">
        <f>IF(_imp!$C$4344="","",INDEX(_imp!$D$4:$D$4503,_imp!$C$4344))</f>
        <v/>
      </c>
      <c r="B4342" s="54">
        <f>IF(_imp!$C$4344="","",INDEX(_imp!$E$4:$E$4503,_imp!$C$4344))</f>
        <v/>
      </c>
      <c r="C4342" s="54">
        <f>IF(_imp!$C$4344="","",INDEX(_imp!$F$4:$F$4503,_imp!$C$4344))</f>
        <v/>
      </c>
      <c r="D4342" s="54">
        <f>IF(_imp!$C$4344="","",INDEX(_imp!$G$4:$G$4503,_imp!$C$4344))</f>
        <v/>
      </c>
      <c r="E4342" s="54">
        <f>IF(_imp!$C$4344="","",INDEX(_imp!$H$4:$H$4503,_imp!$C$4344))</f>
        <v/>
      </c>
      <c r="F4342" s="54">
        <f>IF(_imp!$C$4344="","",INDEX(_imp!$I$4:$I$4503,_imp!$C$4344))</f>
        <v/>
      </c>
      <c r="G4342" s="54">
        <f>IF(_imp!$C$4344="","",INDEX(_imp!$J$4:$J$4503,_imp!$C$4344))</f>
        <v/>
      </c>
      <c r="K4342" s="54">
        <f>IF(_imp!$C$4344="","",INDEX(_imp!$K$4:$K$4503,_imp!$C$4344))</f>
        <v/>
      </c>
    </row>
    <row r="4343">
      <c r="A4343" s="54">
        <f>IF(_imp!$C$4345="","",INDEX(_imp!$D$4:$D$4503,_imp!$C$4345))</f>
        <v/>
      </c>
      <c r="B4343" s="54">
        <f>IF(_imp!$C$4345="","",INDEX(_imp!$E$4:$E$4503,_imp!$C$4345))</f>
        <v/>
      </c>
      <c r="C4343" s="54">
        <f>IF(_imp!$C$4345="","",INDEX(_imp!$F$4:$F$4503,_imp!$C$4345))</f>
        <v/>
      </c>
      <c r="D4343" s="54">
        <f>IF(_imp!$C$4345="","",INDEX(_imp!$G$4:$G$4503,_imp!$C$4345))</f>
        <v/>
      </c>
      <c r="E4343" s="54">
        <f>IF(_imp!$C$4345="","",INDEX(_imp!$H$4:$H$4503,_imp!$C$4345))</f>
        <v/>
      </c>
      <c r="F4343" s="54">
        <f>IF(_imp!$C$4345="","",INDEX(_imp!$I$4:$I$4503,_imp!$C$4345))</f>
        <v/>
      </c>
      <c r="G4343" s="54">
        <f>IF(_imp!$C$4345="","",INDEX(_imp!$J$4:$J$4503,_imp!$C$4345))</f>
        <v/>
      </c>
      <c r="K4343" s="54">
        <f>IF(_imp!$C$4345="","",INDEX(_imp!$K$4:$K$4503,_imp!$C$4345))</f>
        <v/>
      </c>
    </row>
    <row r="4344">
      <c r="A4344" s="54">
        <f>IF(_imp!$C$4346="","",INDEX(_imp!$D$4:$D$4503,_imp!$C$4346))</f>
        <v/>
      </c>
      <c r="B4344" s="54">
        <f>IF(_imp!$C$4346="","",INDEX(_imp!$E$4:$E$4503,_imp!$C$4346))</f>
        <v/>
      </c>
      <c r="C4344" s="54">
        <f>IF(_imp!$C$4346="","",INDEX(_imp!$F$4:$F$4503,_imp!$C$4346))</f>
        <v/>
      </c>
      <c r="D4344" s="54">
        <f>IF(_imp!$C$4346="","",INDEX(_imp!$G$4:$G$4503,_imp!$C$4346))</f>
        <v/>
      </c>
      <c r="E4344" s="54">
        <f>IF(_imp!$C$4346="","",INDEX(_imp!$H$4:$H$4503,_imp!$C$4346))</f>
        <v/>
      </c>
      <c r="F4344" s="54">
        <f>IF(_imp!$C$4346="","",INDEX(_imp!$I$4:$I$4503,_imp!$C$4346))</f>
        <v/>
      </c>
      <c r="G4344" s="54">
        <f>IF(_imp!$C$4346="","",INDEX(_imp!$J$4:$J$4503,_imp!$C$4346))</f>
        <v/>
      </c>
      <c r="K4344" s="54">
        <f>IF(_imp!$C$4346="","",INDEX(_imp!$K$4:$K$4503,_imp!$C$4346))</f>
        <v/>
      </c>
    </row>
    <row r="4345">
      <c r="A4345" s="54">
        <f>IF(_imp!$C$4347="","",INDEX(_imp!$D$4:$D$4503,_imp!$C$4347))</f>
        <v/>
      </c>
      <c r="B4345" s="54">
        <f>IF(_imp!$C$4347="","",INDEX(_imp!$E$4:$E$4503,_imp!$C$4347))</f>
        <v/>
      </c>
      <c r="C4345" s="54">
        <f>IF(_imp!$C$4347="","",INDEX(_imp!$F$4:$F$4503,_imp!$C$4347))</f>
        <v/>
      </c>
      <c r="D4345" s="54">
        <f>IF(_imp!$C$4347="","",INDEX(_imp!$G$4:$G$4503,_imp!$C$4347))</f>
        <v/>
      </c>
      <c r="E4345" s="54">
        <f>IF(_imp!$C$4347="","",INDEX(_imp!$H$4:$H$4503,_imp!$C$4347))</f>
        <v/>
      </c>
      <c r="F4345" s="54">
        <f>IF(_imp!$C$4347="","",INDEX(_imp!$I$4:$I$4503,_imp!$C$4347))</f>
        <v/>
      </c>
      <c r="G4345" s="54">
        <f>IF(_imp!$C$4347="","",INDEX(_imp!$J$4:$J$4503,_imp!$C$4347))</f>
        <v/>
      </c>
      <c r="K4345" s="54">
        <f>IF(_imp!$C$4347="","",INDEX(_imp!$K$4:$K$4503,_imp!$C$4347))</f>
        <v/>
      </c>
    </row>
    <row r="4346">
      <c r="A4346" s="54">
        <f>IF(_imp!$C$4348="","",INDEX(_imp!$D$4:$D$4503,_imp!$C$4348))</f>
        <v/>
      </c>
      <c r="B4346" s="54">
        <f>IF(_imp!$C$4348="","",INDEX(_imp!$E$4:$E$4503,_imp!$C$4348))</f>
        <v/>
      </c>
      <c r="C4346" s="54">
        <f>IF(_imp!$C$4348="","",INDEX(_imp!$F$4:$F$4503,_imp!$C$4348))</f>
        <v/>
      </c>
      <c r="D4346" s="54">
        <f>IF(_imp!$C$4348="","",INDEX(_imp!$G$4:$G$4503,_imp!$C$4348))</f>
        <v/>
      </c>
      <c r="E4346" s="54">
        <f>IF(_imp!$C$4348="","",INDEX(_imp!$H$4:$H$4503,_imp!$C$4348))</f>
        <v/>
      </c>
      <c r="F4346" s="54">
        <f>IF(_imp!$C$4348="","",INDEX(_imp!$I$4:$I$4503,_imp!$C$4348))</f>
        <v/>
      </c>
      <c r="G4346" s="54">
        <f>IF(_imp!$C$4348="","",INDEX(_imp!$J$4:$J$4503,_imp!$C$4348))</f>
        <v/>
      </c>
      <c r="K4346" s="54">
        <f>IF(_imp!$C$4348="","",INDEX(_imp!$K$4:$K$4503,_imp!$C$4348))</f>
        <v/>
      </c>
    </row>
    <row r="4347">
      <c r="A4347" s="54">
        <f>IF(_imp!$C$4349="","",INDEX(_imp!$D$4:$D$4503,_imp!$C$4349))</f>
        <v/>
      </c>
      <c r="B4347" s="54">
        <f>IF(_imp!$C$4349="","",INDEX(_imp!$E$4:$E$4503,_imp!$C$4349))</f>
        <v/>
      </c>
      <c r="C4347" s="54">
        <f>IF(_imp!$C$4349="","",INDEX(_imp!$F$4:$F$4503,_imp!$C$4349))</f>
        <v/>
      </c>
      <c r="D4347" s="54">
        <f>IF(_imp!$C$4349="","",INDEX(_imp!$G$4:$G$4503,_imp!$C$4349))</f>
        <v/>
      </c>
      <c r="E4347" s="54">
        <f>IF(_imp!$C$4349="","",INDEX(_imp!$H$4:$H$4503,_imp!$C$4349))</f>
        <v/>
      </c>
      <c r="F4347" s="54">
        <f>IF(_imp!$C$4349="","",INDEX(_imp!$I$4:$I$4503,_imp!$C$4349))</f>
        <v/>
      </c>
      <c r="G4347" s="54">
        <f>IF(_imp!$C$4349="","",INDEX(_imp!$J$4:$J$4503,_imp!$C$4349))</f>
        <v/>
      </c>
      <c r="K4347" s="54">
        <f>IF(_imp!$C$4349="","",INDEX(_imp!$K$4:$K$4503,_imp!$C$4349))</f>
        <v/>
      </c>
    </row>
    <row r="4348">
      <c r="A4348" s="54">
        <f>IF(_imp!$C$4350="","",INDEX(_imp!$D$4:$D$4503,_imp!$C$4350))</f>
        <v/>
      </c>
      <c r="B4348" s="54">
        <f>IF(_imp!$C$4350="","",INDEX(_imp!$E$4:$E$4503,_imp!$C$4350))</f>
        <v/>
      </c>
      <c r="C4348" s="54">
        <f>IF(_imp!$C$4350="","",INDEX(_imp!$F$4:$F$4503,_imp!$C$4350))</f>
        <v/>
      </c>
      <c r="D4348" s="54">
        <f>IF(_imp!$C$4350="","",INDEX(_imp!$G$4:$G$4503,_imp!$C$4350))</f>
        <v/>
      </c>
      <c r="E4348" s="54">
        <f>IF(_imp!$C$4350="","",INDEX(_imp!$H$4:$H$4503,_imp!$C$4350))</f>
        <v/>
      </c>
      <c r="F4348" s="54">
        <f>IF(_imp!$C$4350="","",INDEX(_imp!$I$4:$I$4503,_imp!$C$4350))</f>
        <v/>
      </c>
      <c r="G4348" s="54">
        <f>IF(_imp!$C$4350="","",INDEX(_imp!$J$4:$J$4503,_imp!$C$4350))</f>
        <v/>
      </c>
      <c r="K4348" s="54">
        <f>IF(_imp!$C$4350="","",INDEX(_imp!$K$4:$K$4503,_imp!$C$4350))</f>
        <v/>
      </c>
    </row>
    <row r="4349">
      <c r="A4349" s="54">
        <f>IF(_imp!$C$4351="","",INDEX(_imp!$D$4:$D$4503,_imp!$C$4351))</f>
        <v/>
      </c>
      <c r="B4349" s="54">
        <f>IF(_imp!$C$4351="","",INDEX(_imp!$E$4:$E$4503,_imp!$C$4351))</f>
        <v/>
      </c>
      <c r="C4349" s="54">
        <f>IF(_imp!$C$4351="","",INDEX(_imp!$F$4:$F$4503,_imp!$C$4351))</f>
        <v/>
      </c>
      <c r="D4349" s="54">
        <f>IF(_imp!$C$4351="","",INDEX(_imp!$G$4:$G$4503,_imp!$C$4351))</f>
        <v/>
      </c>
      <c r="E4349" s="54">
        <f>IF(_imp!$C$4351="","",INDEX(_imp!$H$4:$H$4503,_imp!$C$4351))</f>
        <v/>
      </c>
      <c r="F4349" s="54">
        <f>IF(_imp!$C$4351="","",INDEX(_imp!$I$4:$I$4503,_imp!$C$4351))</f>
        <v/>
      </c>
      <c r="G4349" s="54">
        <f>IF(_imp!$C$4351="","",INDEX(_imp!$J$4:$J$4503,_imp!$C$4351))</f>
        <v/>
      </c>
      <c r="K4349" s="54">
        <f>IF(_imp!$C$4351="","",INDEX(_imp!$K$4:$K$4503,_imp!$C$4351))</f>
        <v/>
      </c>
    </row>
    <row r="4350">
      <c r="A4350" s="54">
        <f>IF(_imp!$C$4352="","",INDEX(_imp!$D$4:$D$4503,_imp!$C$4352))</f>
        <v/>
      </c>
      <c r="B4350" s="54">
        <f>IF(_imp!$C$4352="","",INDEX(_imp!$E$4:$E$4503,_imp!$C$4352))</f>
        <v/>
      </c>
      <c r="C4350" s="54">
        <f>IF(_imp!$C$4352="","",INDEX(_imp!$F$4:$F$4503,_imp!$C$4352))</f>
        <v/>
      </c>
      <c r="D4350" s="54">
        <f>IF(_imp!$C$4352="","",INDEX(_imp!$G$4:$G$4503,_imp!$C$4352))</f>
        <v/>
      </c>
      <c r="E4350" s="54">
        <f>IF(_imp!$C$4352="","",INDEX(_imp!$H$4:$H$4503,_imp!$C$4352))</f>
        <v/>
      </c>
      <c r="F4350" s="54">
        <f>IF(_imp!$C$4352="","",INDEX(_imp!$I$4:$I$4503,_imp!$C$4352))</f>
        <v/>
      </c>
      <c r="G4350" s="54">
        <f>IF(_imp!$C$4352="","",INDEX(_imp!$J$4:$J$4503,_imp!$C$4352))</f>
        <v/>
      </c>
      <c r="K4350" s="54">
        <f>IF(_imp!$C$4352="","",INDEX(_imp!$K$4:$K$4503,_imp!$C$4352))</f>
        <v/>
      </c>
    </row>
    <row r="4351">
      <c r="A4351" s="54">
        <f>IF(_imp!$C$4353="","",INDEX(_imp!$D$4:$D$4503,_imp!$C$4353))</f>
        <v/>
      </c>
      <c r="B4351" s="54">
        <f>IF(_imp!$C$4353="","",INDEX(_imp!$E$4:$E$4503,_imp!$C$4353))</f>
        <v/>
      </c>
      <c r="C4351" s="54">
        <f>IF(_imp!$C$4353="","",INDEX(_imp!$F$4:$F$4503,_imp!$C$4353))</f>
        <v/>
      </c>
      <c r="D4351" s="54">
        <f>IF(_imp!$C$4353="","",INDEX(_imp!$G$4:$G$4503,_imp!$C$4353))</f>
        <v/>
      </c>
      <c r="E4351" s="54">
        <f>IF(_imp!$C$4353="","",INDEX(_imp!$H$4:$H$4503,_imp!$C$4353))</f>
        <v/>
      </c>
      <c r="F4351" s="54">
        <f>IF(_imp!$C$4353="","",INDEX(_imp!$I$4:$I$4503,_imp!$C$4353))</f>
        <v/>
      </c>
      <c r="G4351" s="54">
        <f>IF(_imp!$C$4353="","",INDEX(_imp!$J$4:$J$4503,_imp!$C$4353))</f>
        <v/>
      </c>
      <c r="K4351" s="54">
        <f>IF(_imp!$C$4353="","",INDEX(_imp!$K$4:$K$4503,_imp!$C$4353))</f>
        <v/>
      </c>
    </row>
    <row r="4352">
      <c r="A4352" s="54">
        <f>IF(_imp!$C$4354="","",INDEX(_imp!$D$4:$D$4503,_imp!$C$4354))</f>
        <v/>
      </c>
      <c r="B4352" s="54">
        <f>IF(_imp!$C$4354="","",INDEX(_imp!$E$4:$E$4503,_imp!$C$4354))</f>
        <v/>
      </c>
      <c r="C4352" s="54">
        <f>IF(_imp!$C$4354="","",INDEX(_imp!$F$4:$F$4503,_imp!$C$4354))</f>
        <v/>
      </c>
      <c r="D4352" s="54">
        <f>IF(_imp!$C$4354="","",INDEX(_imp!$G$4:$G$4503,_imp!$C$4354))</f>
        <v/>
      </c>
      <c r="E4352" s="54">
        <f>IF(_imp!$C$4354="","",INDEX(_imp!$H$4:$H$4503,_imp!$C$4354))</f>
        <v/>
      </c>
      <c r="F4352" s="54">
        <f>IF(_imp!$C$4354="","",INDEX(_imp!$I$4:$I$4503,_imp!$C$4354))</f>
        <v/>
      </c>
      <c r="G4352" s="54">
        <f>IF(_imp!$C$4354="","",INDEX(_imp!$J$4:$J$4503,_imp!$C$4354))</f>
        <v/>
      </c>
      <c r="K4352" s="54">
        <f>IF(_imp!$C$4354="","",INDEX(_imp!$K$4:$K$4503,_imp!$C$4354))</f>
        <v/>
      </c>
    </row>
    <row r="4353">
      <c r="A4353" s="54">
        <f>IF(_imp!$C$4355="","",INDEX(_imp!$D$4:$D$4503,_imp!$C$4355))</f>
        <v/>
      </c>
      <c r="B4353" s="54">
        <f>IF(_imp!$C$4355="","",INDEX(_imp!$E$4:$E$4503,_imp!$C$4355))</f>
        <v/>
      </c>
      <c r="C4353" s="54">
        <f>IF(_imp!$C$4355="","",INDEX(_imp!$F$4:$F$4503,_imp!$C$4355))</f>
        <v/>
      </c>
      <c r="D4353" s="54">
        <f>IF(_imp!$C$4355="","",INDEX(_imp!$G$4:$G$4503,_imp!$C$4355))</f>
        <v/>
      </c>
      <c r="E4353" s="54">
        <f>IF(_imp!$C$4355="","",INDEX(_imp!$H$4:$H$4503,_imp!$C$4355))</f>
        <v/>
      </c>
      <c r="F4353" s="54">
        <f>IF(_imp!$C$4355="","",INDEX(_imp!$I$4:$I$4503,_imp!$C$4355))</f>
        <v/>
      </c>
      <c r="G4353" s="54">
        <f>IF(_imp!$C$4355="","",INDEX(_imp!$J$4:$J$4503,_imp!$C$4355))</f>
        <v/>
      </c>
      <c r="K4353" s="54">
        <f>IF(_imp!$C$4355="","",INDEX(_imp!$K$4:$K$4503,_imp!$C$4355))</f>
        <v/>
      </c>
    </row>
    <row r="4354">
      <c r="A4354" s="54">
        <f>IF(_imp!$C$4356="","",INDEX(_imp!$D$4:$D$4503,_imp!$C$4356))</f>
        <v/>
      </c>
      <c r="B4354" s="54">
        <f>IF(_imp!$C$4356="","",INDEX(_imp!$E$4:$E$4503,_imp!$C$4356))</f>
        <v/>
      </c>
      <c r="C4354" s="54">
        <f>IF(_imp!$C$4356="","",INDEX(_imp!$F$4:$F$4503,_imp!$C$4356))</f>
        <v/>
      </c>
      <c r="D4354" s="54">
        <f>IF(_imp!$C$4356="","",INDEX(_imp!$G$4:$G$4503,_imp!$C$4356))</f>
        <v/>
      </c>
      <c r="E4354" s="54">
        <f>IF(_imp!$C$4356="","",INDEX(_imp!$H$4:$H$4503,_imp!$C$4356))</f>
        <v/>
      </c>
      <c r="F4354" s="54">
        <f>IF(_imp!$C$4356="","",INDEX(_imp!$I$4:$I$4503,_imp!$C$4356))</f>
        <v/>
      </c>
      <c r="G4354" s="54">
        <f>IF(_imp!$C$4356="","",INDEX(_imp!$J$4:$J$4503,_imp!$C$4356))</f>
        <v/>
      </c>
      <c r="K4354" s="54">
        <f>IF(_imp!$C$4356="","",INDEX(_imp!$K$4:$K$4503,_imp!$C$4356))</f>
        <v/>
      </c>
    </row>
    <row r="4355">
      <c r="A4355" s="54">
        <f>IF(_imp!$C$4357="","",INDEX(_imp!$D$4:$D$4503,_imp!$C$4357))</f>
        <v/>
      </c>
      <c r="B4355" s="54">
        <f>IF(_imp!$C$4357="","",INDEX(_imp!$E$4:$E$4503,_imp!$C$4357))</f>
        <v/>
      </c>
      <c r="C4355" s="54">
        <f>IF(_imp!$C$4357="","",INDEX(_imp!$F$4:$F$4503,_imp!$C$4357))</f>
        <v/>
      </c>
      <c r="D4355" s="54">
        <f>IF(_imp!$C$4357="","",INDEX(_imp!$G$4:$G$4503,_imp!$C$4357))</f>
        <v/>
      </c>
      <c r="E4355" s="54">
        <f>IF(_imp!$C$4357="","",INDEX(_imp!$H$4:$H$4503,_imp!$C$4357))</f>
        <v/>
      </c>
      <c r="F4355" s="54">
        <f>IF(_imp!$C$4357="","",INDEX(_imp!$I$4:$I$4503,_imp!$C$4357))</f>
        <v/>
      </c>
      <c r="G4355" s="54">
        <f>IF(_imp!$C$4357="","",INDEX(_imp!$J$4:$J$4503,_imp!$C$4357))</f>
        <v/>
      </c>
      <c r="K4355" s="54">
        <f>IF(_imp!$C$4357="","",INDEX(_imp!$K$4:$K$4503,_imp!$C$4357))</f>
        <v/>
      </c>
    </row>
    <row r="4356">
      <c r="A4356" s="54">
        <f>IF(_imp!$C$4358="","",INDEX(_imp!$D$4:$D$4503,_imp!$C$4358))</f>
        <v/>
      </c>
      <c r="B4356" s="54">
        <f>IF(_imp!$C$4358="","",INDEX(_imp!$E$4:$E$4503,_imp!$C$4358))</f>
        <v/>
      </c>
      <c r="C4356" s="54">
        <f>IF(_imp!$C$4358="","",INDEX(_imp!$F$4:$F$4503,_imp!$C$4358))</f>
        <v/>
      </c>
      <c r="D4356" s="54">
        <f>IF(_imp!$C$4358="","",INDEX(_imp!$G$4:$G$4503,_imp!$C$4358))</f>
        <v/>
      </c>
      <c r="E4356" s="54">
        <f>IF(_imp!$C$4358="","",INDEX(_imp!$H$4:$H$4503,_imp!$C$4358))</f>
        <v/>
      </c>
      <c r="F4356" s="54">
        <f>IF(_imp!$C$4358="","",INDEX(_imp!$I$4:$I$4503,_imp!$C$4358))</f>
        <v/>
      </c>
      <c r="G4356" s="54">
        <f>IF(_imp!$C$4358="","",INDEX(_imp!$J$4:$J$4503,_imp!$C$4358))</f>
        <v/>
      </c>
      <c r="K4356" s="54">
        <f>IF(_imp!$C$4358="","",INDEX(_imp!$K$4:$K$4503,_imp!$C$4358))</f>
        <v/>
      </c>
    </row>
    <row r="4357">
      <c r="A4357" s="54">
        <f>IF(_imp!$C$4359="","",INDEX(_imp!$D$4:$D$4503,_imp!$C$4359))</f>
        <v/>
      </c>
      <c r="B4357" s="54">
        <f>IF(_imp!$C$4359="","",INDEX(_imp!$E$4:$E$4503,_imp!$C$4359))</f>
        <v/>
      </c>
      <c r="C4357" s="54">
        <f>IF(_imp!$C$4359="","",INDEX(_imp!$F$4:$F$4503,_imp!$C$4359))</f>
        <v/>
      </c>
      <c r="D4357" s="54">
        <f>IF(_imp!$C$4359="","",INDEX(_imp!$G$4:$G$4503,_imp!$C$4359))</f>
        <v/>
      </c>
      <c r="E4357" s="54">
        <f>IF(_imp!$C$4359="","",INDEX(_imp!$H$4:$H$4503,_imp!$C$4359))</f>
        <v/>
      </c>
      <c r="F4357" s="54">
        <f>IF(_imp!$C$4359="","",INDEX(_imp!$I$4:$I$4503,_imp!$C$4359))</f>
        <v/>
      </c>
      <c r="G4357" s="54">
        <f>IF(_imp!$C$4359="","",INDEX(_imp!$J$4:$J$4503,_imp!$C$4359))</f>
        <v/>
      </c>
      <c r="K4357" s="54">
        <f>IF(_imp!$C$4359="","",INDEX(_imp!$K$4:$K$4503,_imp!$C$4359))</f>
        <v/>
      </c>
    </row>
    <row r="4358">
      <c r="A4358" s="54">
        <f>IF(_imp!$C$4360="","",INDEX(_imp!$D$4:$D$4503,_imp!$C$4360))</f>
        <v/>
      </c>
      <c r="B4358" s="54">
        <f>IF(_imp!$C$4360="","",INDEX(_imp!$E$4:$E$4503,_imp!$C$4360))</f>
        <v/>
      </c>
      <c r="C4358" s="54">
        <f>IF(_imp!$C$4360="","",INDEX(_imp!$F$4:$F$4503,_imp!$C$4360))</f>
        <v/>
      </c>
      <c r="D4358" s="54">
        <f>IF(_imp!$C$4360="","",INDEX(_imp!$G$4:$G$4503,_imp!$C$4360))</f>
        <v/>
      </c>
      <c r="E4358" s="54">
        <f>IF(_imp!$C$4360="","",INDEX(_imp!$H$4:$H$4503,_imp!$C$4360))</f>
        <v/>
      </c>
      <c r="F4358" s="54">
        <f>IF(_imp!$C$4360="","",INDEX(_imp!$I$4:$I$4503,_imp!$C$4360))</f>
        <v/>
      </c>
      <c r="G4358" s="54">
        <f>IF(_imp!$C$4360="","",INDEX(_imp!$J$4:$J$4503,_imp!$C$4360))</f>
        <v/>
      </c>
      <c r="K4358" s="54">
        <f>IF(_imp!$C$4360="","",INDEX(_imp!$K$4:$K$4503,_imp!$C$4360))</f>
        <v/>
      </c>
    </row>
    <row r="4359">
      <c r="A4359" s="54">
        <f>IF(_imp!$C$4361="","",INDEX(_imp!$D$4:$D$4503,_imp!$C$4361))</f>
        <v/>
      </c>
      <c r="B4359" s="54">
        <f>IF(_imp!$C$4361="","",INDEX(_imp!$E$4:$E$4503,_imp!$C$4361))</f>
        <v/>
      </c>
      <c r="C4359" s="54">
        <f>IF(_imp!$C$4361="","",INDEX(_imp!$F$4:$F$4503,_imp!$C$4361))</f>
        <v/>
      </c>
      <c r="D4359" s="54">
        <f>IF(_imp!$C$4361="","",INDEX(_imp!$G$4:$G$4503,_imp!$C$4361))</f>
        <v/>
      </c>
      <c r="E4359" s="54">
        <f>IF(_imp!$C$4361="","",INDEX(_imp!$H$4:$H$4503,_imp!$C$4361))</f>
        <v/>
      </c>
      <c r="F4359" s="54">
        <f>IF(_imp!$C$4361="","",INDEX(_imp!$I$4:$I$4503,_imp!$C$4361))</f>
        <v/>
      </c>
      <c r="G4359" s="54">
        <f>IF(_imp!$C$4361="","",INDEX(_imp!$J$4:$J$4503,_imp!$C$4361))</f>
        <v/>
      </c>
      <c r="K4359" s="54">
        <f>IF(_imp!$C$4361="","",INDEX(_imp!$K$4:$K$4503,_imp!$C$4361))</f>
        <v/>
      </c>
    </row>
    <row r="4360">
      <c r="A4360" s="54">
        <f>IF(_imp!$C$4362="","",INDEX(_imp!$D$4:$D$4503,_imp!$C$4362))</f>
        <v/>
      </c>
      <c r="B4360" s="54">
        <f>IF(_imp!$C$4362="","",INDEX(_imp!$E$4:$E$4503,_imp!$C$4362))</f>
        <v/>
      </c>
      <c r="C4360" s="54">
        <f>IF(_imp!$C$4362="","",INDEX(_imp!$F$4:$F$4503,_imp!$C$4362))</f>
        <v/>
      </c>
      <c r="D4360" s="54">
        <f>IF(_imp!$C$4362="","",INDEX(_imp!$G$4:$G$4503,_imp!$C$4362))</f>
        <v/>
      </c>
      <c r="E4360" s="54">
        <f>IF(_imp!$C$4362="","",INDEX(_imp!$H$4:$H$4503,_imp!$C$4362))</f>
        <v/>
      </c>
      <c r="F4360" s="54">
        <f>IF(_imp!$C$4362="","",INDEX(_imp!$I$4:$I$4503,_imp!$C$4362))</f>
        <v/>
      </c>
      <c r="G4360" s="54">
        <f>IF(_imp!$C$4362="","",INDEX(_imp!$J$4:$J$4503,_imp!$C$4362))</f>
        <v/>
      </c>
      <c r="K4360" s="54">
        <f>IF(_imp!$C$4362="","",INDEX(_imp!$K$4:$K$4503,_imp!$C$4362))</f>
        <v/>
      </c>
    </row>
    <row r="4361">
      <c r="A4361" s="54">
        <f>IF(_imp!$C$4363="","",INDEX(_imp!$D$4:$D$4503,_imp!$C$4363))</f>
        <v/>
      </c>
      <c r="B4361" s="54">
        <f>IF(_imp!$C$4363="","",INDEX(_imp!$E$4:$E$4503,_imp!$C$4363))</f>
        <v/>
      </c>
      <c r="C4361" s="54">
        <f>IF(_imp!$C$4363="","",INDEX(_imp!$F$4:$F$4503,_imp!$C$4363))</f>
        <v/>
      </c>
      <c r="D4361" s="54">
        <f>IF(_imp!$C$4363="","",INDEX(_imp!$G$4:$G$4503,_imp!$C$4363))</f>
        <v/>
      </c>
      <c r="E4361" s="54">
        <f>IF(_imp!$C$4363="","",INDEX(_imp!$H$4:$H$4503,_imp!$C$4363))</f>
        <v/>
      </c>
      <c r="F4361" s="54">
        <f>IF(_imp!$C$4363="","",INDEX(_imp!$I$4:$I$4503,_imp!$C$4363))</f>
        <v/>
      </c>
      <c r="G4361" s="54">
        <f>IF(_imp!$C$4363="","",INDEX(_imp!$J$4:$J$4503,_imp!$C$4363))</f>
        <v/>
      </c>
      <c r="K4361" s="54">
        <f>IF(_imp!$C$4363="","",INDEX(_imp!$K$4:$K$4503,_imp!$C$4363))</f>
        <v/>
      </c>
    </row>
    <row r="4362">
      <c r="A4362" s="54">
        <f>IF(_imp!$C$4364="","",INDEX(_imp!$D$4:$D$4503,_imp!$C$4364))</f>
        <v/>
      </c>
      <c r="B4362" s="54">
        <f>IF(_imp!$C$4364="","",INDEX(_imp!$E$4:$E$4503,_imp!$C$4364))</f>
        <v/>
      </c>
      <c r="C4362" s="54">
        <f>IF(_imp!$C$4364="","",INDEX(_imp!$F$4:$F$4503,_imp!$C$4364))</f>
        <v/>
      </c>
      <c r="D4362" s="54">
        <f>IF(_imp!$C$4364="","",INDEX(_imp!$G$4:$G$4503,_imp!$C$4364))</f>
        <v/>
      </c>
      <c r="E4362" s="54">
        <f>IF(_imp!$C$4364="","",INDEX(_imp!$H$4:$H$4503,_imp!$C$4364))</f>
        <v/>
      </c>
      <c r="F4362" s="54">
        <f>IF(_imp!$C$4364="","",INDEX(_imp!$I$4:$I$4503,_imp!$C$4364))</f>
        <v/>
      </c>
      <c r="G4362" s="54">
        <f>IF(_imp!$C$4364="","",INDEX(_imp!$J$4:$J$4503,_imp!$C$4364))</f>
        <v/>
      </c>
      <c r="K4362" s="54">
        <f>IF(_imp!$C$4364="","",INDEX(_imp!$K$4:$K$4503,_imp!$C$4364))</f>
        <v/>
      </c>
    </row>
    <row r="4363">
      <c r="A4363" s="54">
        <f>IF(_imp!$C$4365="","",INDEX(_imp!$D$4:$D$4503,_imp!$C$4365))</f>
        <v/>
      </c>
      <c r="B4363" s="54">
        <f>IF(_imp!$C$4365="","",INDEX(_imp!$E$4:$E$4503,_imp!$C$4365))</f>
        <v/>
      </c>
      <c r="C4363" s="54">
        <f>IF(_imp!$C$4365="","",INDEX(_imp!$F$4:$F$4503,_imp!$C$4365))</f>
        <v/>
      </c>
      <c r="D4363" s="54">
        <f>IF(_imp!$C$4365="","",INDEX(_imp!$G$4:$G$4503,_imp!$C$4365))</f>
        <v/>
      </c>
      <c r="E4363" s="54">
        <f>IF(_imp!$C$4365="","",INDEX(_imp!$H$4:$H$4503,_imp!$C$4365))</f>
        <v/>
      </c>
      <c r="F4363" s="54">
        <f>IF(_imp!$C$4365="","",INDEX(_imp!$I$4:$I$4503,_imp!$C$4365))</f>
        <v/>
      </c>
      <c r="G4363" s="54">
        <f>IF(_imp!$C$4365="","",INDEX(_imp!$J$4:$J$4503,_imp!$C$4365))</f>
        <v/>
      </c>
      <c r="K4363" s="54">
        <f>IF(_imp!$C$4365="","",INDEX(_imp!$K$4:$K$4503,_imp!$C$4365))</f>
        <v/>
      </c>
    </row>
    <row r="4364">
      <c r="A4364" s="54">
        <f>IF(_imp!$C$4366="","",INDEX(_imp!$D$4:$D$4503,_imp!$C$4366))</f>
        <v/>
      </c>
      <c r="B4364" s="54">
        <f>IF(_imp!$C$4366="","",INDEX(_imp!$E$4:$E$4503,_imp!$C$4366))</f>
        <v/>
      </c>
      <c r="C4364" s="54">
        <f>IF(_imp!$C$4366="","",INDEX(_imp!$F$4:$F$4503,_imp!$C$4366))</f>
        <v/>
      </c>
      <c r="D4364" s="54">
        <f>IF(_imp!$C$4366="","",INDEX(_imp!$G$4:$G$4503,_imp!$C$4366))</f>
        <v/>
      </c>
      <c r="E4364" s="54">
        <f>IF(_imp!$C$4366="","",INDEX(_imp!$H$4:$H$4503,_imp!$C$4366))</f>
        <v/>
      </c>
      <c r="F4364" s="54">
        <f>IF(_imp!$C$4366="","",INDEX(_imp!$I$4:$I$4503,_imp!$C$4366))</f>
        <v/>
      </c>
      <c r="G4364" s="54">
        <f>IF(_imp!$C$4366="","",INDEX(_imp!$J$4:$J$4503,_imp!$C$4366))</f>
        <v/>
      </c>
      <c r="K4364" s="54">
        <f>IF(_imp!$C$4366="","",INDEX(_imp!$K$4:$K$4503,_imp!$C$4366))</f>
        <v/>
      </c>
    </row>
    <row r="4365">
      <c r="A4365" s="54">
        <f>IF(_imp!$C$4367="","",INDEX(_imp!$D$4:$D$4503,_imp!$C$4367))</f>
        <v/>
      </c>
      <c r="B4365" s="54">
        <f>IF(_imp!$C$4367="","",INDEX(_imp!$E$4:$E$4503,_imp!$C$4367))</f>
        <v/>
      </c>
      <c r="C4365" s="54">
        <f>IF(_imp!$C$4367="","",INDEX(_imp!$F$4:$F$4503,_imp!$C$4367))</f>
        <v/>
      </c>
      <c r="D4365" s="54">
        <f>IF(_imp!$C$4367="","",INDEX(_imp!$G$4:$G$4503,_imp!$C$4367))</f>
        <v/>
      </c>
      <c r="E4365" s="54">
        <f>IF(_imp!$C$4367="","",INDEX(_imp!$H$4:$H$4503,_imp!$C$4367))</f>
        <v/>
      </c>
      <c r="F4365" s="54">
        <f>IF(_imp!$C$4367="","",INDEX(_imp!$I$4:$I$4503,_imp!$C$4367))</f>
        <v/>
      </c>
      <c r="G4365" s="54">
        <f>IF(_imp!$C$4367="","",INDEX(_imp!$J$4:$J$4503,_imp!$C$4367))</f>
        <v/>
      </c>
      <c r="K4365" s="54">
        <f>IF(_imp!$C$4367="","",INDEX(_imp!$K$4:$K$4503,_imp!$C$4367))</f>
        <v/>
      </c>
    </row>
    <row r="4366">
      <c r="A4366" s="54">
        <f>IF(_imp!$C$4368="","",INDEX(_imp!$D$4:$D$4503,_imp!$C$4368))</f>
        <v/>
      </c>
      <c r="B4366" s="54">
        <f>IF(_imp!$C$4368="","",INDEX(_imp!$E$4:$E$4503,_imp!$C$4368))</f>
        <v/>
      </c>
      <c r="C4366" s="54">
        <f>IF(_imp!$C$4368="","",INDEX(_imp!$F$4:$F$4503,_imp!$C$4368))</f>
        <v/>
      </c>
      <c r="D4366" s="54">
        <f>IF(_imp!$C$4368="","",INDEX(_imp!$G$4:$G$4503,_imp!$C$4368))</f>
        <v/>
      </c>
      <c r="E4366" s="54">
        <f>IF(_imp!$C$4368="","",INDEX(_imp!$H$4:$H$4503,_imp!$C$4368))</f>
        <v/>
      </c>
      <c r="F4366" s="54">
        <f>IF(_imp!$C$4368="","",INDEX(_imp!$I$4:$I$4503,_imp!$C$4368))</f>
        <v/>
      </c>
      <c r="G4366" s="54">
        <f>IF(_imp!$C$4368="","",INDEX(_imp!$J$4:$J$4503,_imp!$C$4368))</f>
        <v/>
      </c>
      <c r="K4366" s="54">
        <f>IF(_imp!$C$4368="","",INDEX(_imp!$K$4:$K$4503,_imp!$C$4368))</f>
        <v/>
      </c>
    </row>
    <row r="4367">
      <c r="A4367" s="54">
        <f>IF(_imp!$C$4369="","",INDEX(_imp!$D$4:$D$4503,_imp!$C$4369))</f>
        <v/>
      </c>
      <c r="B4367" s="54">
        <f>IF(_imp!$C$4369="","",INDEX(_imp!$E$4:$E$4503,_imp!$C$4369))</f>
        <v/>
      </c>
      <c r="C4367" s="54">
        <f>IF(_imp!$C$4369="","",INDEX(_imp!$F$4:$F$4503,_imp!$C$4369))</f>
        <v/>
      </c>
      <c r="D4367" s="54">
        <f>IF(_imp!$C$4369="","",INDEX(_imp!$G$4:$G$4503,_imp!$C$4369))</f>
        <v/>
      </c>
      <c r="E4367" s="54">
        <f>IF(_imp!$C$4369="","",INDEX(_imp!$H$4:$H$4503,_imp!$C$4369))</f>
        <v/>
      </c>
      <c r="F4367" s="54">
        <f>IF(_imp!$C$4369="","",INDEX(_imp!$I$4:$I$4503,_imp!$C$4369))</f>
        <v/>
      </c>
      <c r="G4367" s="54">
        <f>IF(_imp!$C$4369="","",INDEX(_imp!$J$4:$J$4503,_imp!$C$4369))</f>
        <v/>
      </c>
      <c r="K4367" s="54">
        <f>IF(_imp!$C$4369="","",INDEX(_imp!$K$4:$K$4503,_imp!$C$4369))</f>
        <v/>
      </c>
    </row>
    <row r="4368">
      <c r="A4368" s="54">
        <f>IF(_imp!$C$4370="","",INDEX(_imp!$D$4:$D$4503,_imp!$C$4370))</f>
        <v/>
      </c>
      <c r="B4368" s="54">
        <f>IF(_imp!$C$4370="","",INDEX(_imp!$E$4:$E$4503,_imp!$C$4370))</f>
        <v/>
      </c>
      <c r="C4368" s="54">
        <f>IF(_imp!$C$4370="","",INDEX(_imp!$F$4:$F$4503,_imp!$C$4370))</f>
        <v/>
      </c>
      <c r="D4368" s="54">
        <f>IF(_imp!$C$4370="","",INDEX(_imp!$G$4:$G$4503,_imp!$C$4370))</f>
        <v/>
      </c>
      <c r="E4368" s="54">
        <f>IF(_imp!$C$4370="","",INDEX(_imp!$H$4:$H$4503,_imp!$C$4370))</f>
        <v/>
      </c>
      <c r="F4368" s="54">
        <f>IF(_imp!$C$4370="","",INDEX(_imp!$I$4:$I$4503,_imp!$C$4370))</f>
        <v/>
      </c>
      <c r="G4368" s="54">
        <f>IF(_imp!$C$4370="","",INDEX(_imp!$J$4:$J$4503,_imp!$C$4370))</f>
        <v/>
      </c>
      <c r="K4368" s="54">
        <f>IF(_imp!$C$4370="","",INDEX(_imp!$K$4:$K$4503,_imp!$C$4370))</f>
        <v/>
      </c>
    </row>
    <row r="4369">
      <c r="A4369" s="54">
        <f>IF(_imp!$C$4371="","",INDEX(_imp!$D$4:$D$4503,_imp!$C$4371))</f>
        <v/>
      </c>
      <c r="B4369" s="54">
        <f>IF(_imp!$C$4371="","",INDEX(_imp!$E$4:$E$4503,_imp!$C$4371))</f>
        <v/>
      </c>
      <c r="C4369" s="54">
        <f>IF(_imp!$C$4371="","",INDEX(_imp!$F$4:$F$4503,_imp!$C$4371))</f>
        <v/>
      </c>
      <c r="D4369" s="54">
        <f>IF(_imp!$C$4371="","",INDEX(_imp!$G$4:$G$4503,_imp!$C$4371))</f>
        <v/>
      </c>
      <c r="E4369" s="54">
        <f>IF(_imp!$C$4371="","",INDEX(_imp!$H$4:$H$4503,_imp!$C$4371))</f>
        <v/>
      </c>
      <c r="F4369" s="54">
        <f>IF(_imp!$C$4371="","",INDEX(_imp!$I$4:$I$4503,_imp!$C$4371))</f>
        <v/>
      </c>
      <c r="G4369" s="54">
        <f>IF(_imp!$C$4371="","",INDEX(_imp!$J$4:$J$4503,_imp!$C$4371))</f>
        <v/>
      </c>
      <c r="K4369" s="54">
        <f>IF(_imp!$C$4371="","",INDEX(_imp!$K$4:$K$4503,_imp!$C$4371))</f>
        <v/>
      </c>
    </row>
    <row r="4370">
      <c r="A4370" s="54">
        <f>IF(_imp!$C$4372="","",INDEX(_imp!$D$4:$D$4503,_imp!$C$4372))</f>
        <v/>
      </c>
      <c r="B4370" s="54">
        <f>IF(_imp!$C$4372="","",INDEX(_imp!$E$4:$E$4503,_imp!$C$4372))</f>
        <v/>
      </c>
      <c r="C4370" s="54">
        <f>IF(_imp!$C$4372="","",INDEX(_imp!$F$4:$F$4503,_imp!$C$4372))</f>
        <v/>
      </c>
      <c r="D4370" s="54">
        <f>IF(_imp!$C$4372="","",INDEX(_imp!$G$4:$G$4503,_imp!$C$4372))</f>
        <v/>
      </c>
      <c r="E4370" s="54">
        <f>IF(_imp!$C$4372="","",INDEX(_imp!$H$4:$H$4503,_imp!$C$4372))</f>
        <v/>
      </c>
      <c r="F4370" s="54">
        <f>IF(_imp!$C$4372="","",INDEX(_imp!$I$4:$I$4503,_imp!$C$4372))</f>
        <v/>
      </c>
      <c r="G4370" s="54">
        <f>IF(_imp!$C$4372="","",INDEX(_imp!$J$4:$J$4503,_imp!$C$4372))</f>
        <v/>
      </c>
      <c r="K4370" s="54">
        <f>IF(_imp!$C$4372="","",INDEX(_imp!$K$4:$K$4503,_imp!$C$4372))</f>
        <v/>
      </c>
    </row>
    <row r="4371">
      <c r="A4371" s="54">
        <f>IF(_imp!$C$4373="","",INDEX(_imp!$D$4:$D$4503,_imp!$C$4373))</f>
        <v/>
      </c>
      <c r="B4371" s="54">
        <f>IF(_imp!$C$4373="","",INDEX(_imp!$E$4:$E$4503,_imp!$C$4373))</f>
        <v/>
      </c>
      <c r="C4371" s="54">
        <f>IF(_imp!$C$4373="","",INDEX(_imp!$F$4:$F$4503,_imp!$C$4373))</f>
        <v/>
      </c>
      <c r="D4371" s="54">
        <f>IF(_imp!$C$4373="","",INDEX(_imp!$G$4:$G$4503,_imp!$C$4373))</f>
        <v/>
      </c>
      <c r="E4371" s="54">
        <f>IF(_imp!$C$4373="","",INDEX(_imp!$H$4:$H$4503,_imp!$C$4373))</f>
        <v/>
      </c>
      <c r="F4371" s="54">
        <f>IF(_imp!$C$4373="","",INDEX(_imp!$I$4:$I$4503,_imp!$C$4373))</f>
        <v/>
      </c>
      <c r="G4371" s="54">
        <f>IF(_imp!$C$4373="","",INDEX(_imp!$J$4:$J$4503,_imp!$C$4373))</f>
        <v/>
      </c>
      <c r="K4371" s="54">
        <f>IF(_imp!$C$4373="","",INDEX(_imp!$K$4:$K$4503,_imp!$C$4373))</f>
        <v/>
      </c>
    </row>
    <row r="4372">
      <c r="A4372" s="54">
        <f>IF(_imp!$C$4374="","",INDEX(_imp!$D$4:$D$4503,_imp!$C$4374))</f>
        <v/>
      </c>
      <c r="B4372" s="54">
        <f>IF(_imp!$C$4374="","",INDEX(_imp!$E$4:$E$4503,_imp!$C$4374))</f>
        <v/>
      </c>
      <c r="C4372" s="54">
        <f>IF(_imp!$C$4374="","",INDEX(_imp!$F$4:$F$4503,_imp!$C$4374))</f>
        <v/>
      </c>
      <c r="D4372" s="54">
        <f>IF(_imp!$C$4374="","",INDEX(_imp!$G$4:$G$4503,_imp!$C$4374))</f>
        <v/>
      </c>
      <c r="E4372" s="54">
        <f>IF(_imp!$C$4374="","",INDEX(_imp!$H$4:$H$4503,_imp!$C$4374))</f>
        <v/>
      </c>
      <c r="F4372" s="54">
        <f>IF(_imp!$C$4374="","",INDEX(_imp!$I$4:$I$4503,_imp!$C$4374))</f>
        <v/>
      </c>
      <c r="G4372" s="54">
        <f>IF(_imp!$C$4374="","",INDEX(_imp!$J$4:$J$4503,_imp!$C$4374))</f>
        <v/>
      </c>
      <c r="K4372" s="54">
        <f>IF(_imp!$C$4374="","",INDEX(_imp!$K$4:$K$4503,_imp!$C$4374))</f>
        <v/>
      </c>
    </row>
    <row r="4373">
      <c r="A4373" s="54">
        <f>IF(_imp!$C$4375="","",INDEX(_imp!$D$4:$D$4503,_imp!$C$4375))</f>
        <v/>
      </c>
      <c r="B4373" s="54">
        <f>IF(_imp!$C$4375="","",INDEX(_imp!$E$4:$E$4503,_imp!$C$4375))</f>
        <v/>
      </c>
      <c r="C4373" s="54">
        <f>IF(_imp!$C$4375="","",INDEX(_imp!$F$4:$F$4503,_imp!$C$4375))</f>
        <v/>
      </c>
      <c r="D4373" s="54">
        <f>IF(_imp!$C$4375="","",INDEX(_imp!$G$4:$G$4503,_imp!$C$4375))</f>
        <v/>
      </c>
      <c r="E4373" s="54">
        <f>IF(_imp!$C$4375="","",INDEX(_imp!$H$4:$H$4503,_imp!$C$4375))</f>
        <v/>
      </c>
      <c r="F4373" s="54">
        <f>IF(_imp!$C$4375="","",INDEX(_imp!$I$4:$I$4503,_imp!$C$4375))</f>
        <v/>
      </c>
      <c r="G4373" s="54">
        <f>IF(_imp!$C$4375="","",INDEX(_imp!$J$4:$J$4503,_imp!$C$4375))</f>
        <v/>
      </c>
      <c r="K4373" s="54">
        <f>IF(_imp!$C$4375="","",INDEX(_imp!$K$4:$K$4503,_imp!$C$4375))</f>
        <v/>
      </c>
    </row>
    <row r="4374">
      <c r="A4374" s="54">
        <f>IF(_imp!$C$4376="","",INDEX(_imp!$D$4:$D$4503,_imp!$C$4376))</f>
        <v/>
      </c>
      <c r="B4374" s="54">
        <f>IF(_imp!$C$4376="","",INDEX(_imp!$E$4:$E$4503,_imp!$C$4376))</f>
        <v/>
      </c>
      <c r="C4374" s="54">
        <f>IF(_imp!$C$4376="","",INDEX(_imp!$F$4:$F$4503,_imp!$C$4376))</f>
        <v/>
      </c>
      <c r="D4374" s="54">
        <f>IF(_imp!$C$4376="","",INDEX(_imp!$G$4:$G$4503,_imp!$C$4376))</f>
        <v/>
      </c>
      <c r="E4374" s="54">
        <f>IF(_imp!$C$4376="","",INDEX(_imp!$H$4:$H$4503,_imp!$C$4376))</f>
        <v/>
      </c>
      <c r="F4374" s="54">
        <f>IF(_imp!$C$4376="","",INDEX(_imp!$I$4:$I$4503,_imp!$C$4376))</f>
        <v/>
      </c>
      <c r="G4374" s="54">
        <f>IF(_imp!$C$4376="","",INDEX(_imp!$J$4:$J$4503,_imp!$C$4376))</f>
        <v/>
      </c>
      <c r="K4374" s="54">
        <f>IF(_imp!$C$4376="","",INDEX(_imp!$K$4:$K$4503,_imp!$C$4376))</f>
        <v/>
      </c>
    </row>
    <row r="4375">
      <c r="A4375" s="54">
        <f>IF(_imp!$C$4377="","",INDEX(_imp!$D$4:$D$4503,_imp!$C$4377))</f>
        <v/>
      </c>
      <c r="B4375" s="54">
        <f>IF(_imp!$C$4377="","",INDEX(_imp!$E$4:$E$4503,_imp!$C$4377))</f>
        <v/>
      </c>
      <c r="C4375" s="54">
        <f>IF(_imp!$C$4377="","",INDEX(_imp!$F$4:$F$4503,_imp!$C$4377))</f>
        <v/>
      </c>
      <c r="D4375" s="54">
        <f>IF(_imp!$C$4377="","",INDEX(_imp!$G$4:$G$4503,_imp!$C$4377))</f>
        <v/>
      </c>
      <c r="E4375" s="54">
        <f>IF(_imp!$C$4377="","",INDEX(_imp!$H$4:$H$4503,_imp!$C$4377))</f>
        <v/>
      </c>
      <c r="F4375" s="54">
        <f>IF(_imp!$C$4377="","",INDEX(_imp!$I$4:$I$4503,_imp!$C$4377))</f>
        <v/>
      </c>
      <c r="G4375" s="54">
        <f>IF(_imp!$C$4377="","",INDEX(_imp!$J$4:$J$4503,_imp!$C$4377))</f>
        <v/>
      </c>
      <c r="K4375" s="54">
        <f>IF(_imp!$C$4377="","",INDEX(_imp!$K$4:$K$4503,_imp!$C$4377))</f>
        <v/>
      </c>
    </row>
    <row r="4376">
      <c r="A4376" s="54">
        <f>IF(_imp!$C$4378="","",INDEX(_imp!$D$4:$D$4503,_imp!$C$4378))</f>
        <v/>
      </c>
      <c r="B4376" s="54">
        <f>IF(_imp!$C$4378="","",INDEX(_imp!$E$4:$E$4503,_imp!$C$4378))</f>
        <v/>
      </c>
      <c r="C4376" s="54">
        <f>IF(_imp!$C$4378="","",INDEX(_imp!$F$4:$F$4503,_imp!$C$4378))</f>
        <v/>
      </c>
      <c r="D4376" s="54">
        <f>IF(_imp!$C$4378="","",INDEX(_imp!$G$4:$G$4503,_imp!$C$4378))</f>
        <v/>
      </c>
      <c r="E4376" s="54">
        <f>IF(_imp!$C$4378="","",INDEX(_imp!$H$4:$H$4503,_imp!$C$4378))</f>
        <v/>
      </c>
      <c r="F4376" s="54">
        <f>IF(_imp!$C$4378="","",INDEX(_imp!$I$4:$I$4503,_imp!$C$4378))</f>
        <v/>
      </c>
      <c r="G4376" s="54">
        <f>IF(_imp!$C$4378="","",INDEX(_imp!$J$4:$J$4503,_imp!$C$4378))</f>
        <v/>
      </c>
      <c r="K4376" s="54">
        <f>IF(_imp!$C$4378="","",INDEX(_imp!$K$4:$K$4503,_imp!$C$4378))</f>
        <v/>
      </c>
    </row>
    <row r="4377">
      <c r="A4377" s="54">
        <f>IF(_imp!$C$4379="","",INDEX(_imp!$D$4:$D$4503,_imp!$C$4379))</f>
        <v/>
      </c>
      <c r="B4377" s="54">
        <f>IF(_imp!$C$4379="","",INDEX(_imp!$E$4:$E$4503,_imp!$C$4379))</f>
        <v/>
      </c>
      <c r="C4377" s="54">
        <f>IF(_imp!$C$4379="","",INDEX(_imp!$F$4:$F$4503,_imp!$C$4379))</f>
        <v/>
      </c>
      <c r="D4377" s="54">
        <f>IF(_imp!$C$4379="","",INDEX(_imp!$G$4:$G$4503,_imp!$C$4379))</f>
        <v/>
      </c>
      <c r="E4377" s="54">
        <f>IF(_imp!$C$4379="","",INDEX(_imp!$H$4:$H$4503,_imp!$C$4379))</f>
        <v/>
      </c>
      <c r="F4377" s="54">
        <f>IF(_imp!$C$4379="","",INDEX(_imp!$I$4:$I$4503,_imp!$C$4379))</f>
        <v/>
      </c>
      <c r="G4377" s="54">
        <f>IF(_imp!$C$4379="","",INDEX(_imp!$J$4:$J$4503,_imp!$C$4379))</f>
        <v/>
      </c>
      <c r="K4377" s="54">
        <f>IF(_imp!$C$4379="","",INDEX(_imp!$K$4:$K$4503,_imp!$C$4379))</f>
        <v/>
      </c>
    </row>
    <row r="4378">
      <c r="A4378" s="54">
        <f>IF(_imp!$C$4380="","",INDEX(_imp!$D$4:$D$4503,_imp!$C$4380))</f>
        <v/>
      </c>
      <c r="B4378" s="54">
        <f>IF(_imp!$C$4380="","",INDEX(_imp!$E$4:$E$4503,_imp!$C$4380))</f>
        <v/>
      </c>
      <c r="C4378" s="54">
        <f>IF(_imp!$C$4380="","",INDEX(_imp!$F$4:$F$4503,_imp!$C$4380))</f>
        <v/>
      </c>
      <c r="D4378" s="54">
        <f>IF(_imp!$C$4380="","",INDEX(_imp!$G$4:$G$4503,_imp!$C$4380))</f>
        <v/>
      </c>
      <c r="E4378" s="54">
        <f>IF(_imp!$C$4380="","",INDEX(_imp!$H$4:$H$4503,_imp!$C$4380))</f>
        <v/>
      </c>
      <c r="F4378" s="54">
        <f>IF(_imp!$C$4380="","",INDEX(_imp!$I$4:$I$4503,_imp!$C$4380))</f>
        <v/>
      </c>
      <c r="G4378" s="54">
        <f>IF(_imp!$C$4380="","",INDEX(_imp!$J$4:$J$4503,_imp!$C$4380))</f>
        <v/>
      </c>
      <c r="K4378" s="54">
        <f>IF(_imp!$C$4380="","",INDEX(_imp!$K$4:$K$4503,_imp!$C$4380))</f>
        <v/>
      </c>
    </row>
    <row r="4379">
      <c r="A4379" s="54">
        <f>IF(_imp!$C$4381="","",INDEX(_imp!$D$4:$D$4503,_imp!$C$4381))</f>
        <v/>
      </c>
      <c r="B4379" s="54">
        <f>IF(_imp!$C$4381="","",INDEX(_imp!$E$4:$E$4503,_imp!$C$4381))</f>
        <v/>
      </c>
      <c r="C4379" s="54">
        <f>IF(_imp!$C$4381="","",INDEX(_imp!$F$4:$F$4503,_imp!$C$4381))</f>
        <v/>
      </c>
      <c r="D4379" s="54">
        <f>IF(_imp!$C$4381="","",INDEX(_imp!$G$4:$G$4503,_imp!$C$4381))</f>
        <v/>
      </c>
      <c r="E4379" s="54">
        <f>IF(_imp!$C$4381="","",INDEX(_imp!$H$4:$H$4503,_imp!$C$4381))</f>
        <v/>
      </c>
      <c r="F4379" s="54">
        <f>IF(_imp!$C$4381="","",INDEX(_imp!$I$4:$I$4503,_imp!$C$4381))</f>
        <v/>
      </c>
      <c r="G4379" s="54">
        <f>IF(_imp!$C$4381="","",INDEX(_imp!$J$4:$J$4503,_imp!$C$4381))</f>
        <v/>
      </c>
      <c r="K4379" s="54">
        <f>IF(_imp!$C$4381="","",INDEX(_imp!$K$4:$K$4503,_imp!$C$4381))</f>
        <v/>
      </c>
    </row>
    <row r="4380">
      <c r="A4380" s="54">
        <f>IF(_imp!$C$4382="","",INDEX(_imp!$D$4:$D$4503,_imp!$C$4382))</f>
        <v/>
      </c>
      <c r="B4380" s="54">
        <f>IF(_imp!$C$4382="","",INDEX(_imp!$E$4:$E$4503,_imp!$C$4382))</f>
        <v/>
      </c>
      <c r="C4380" s="54">
        <f>IF(_imp!$C$4382="","",INDEX(_imp!$F$4:$F$4503,_imp!$C$4382))</f>
        <v/>
      </c>
      <c r="D4380" s="54">
        <f>IF(_imp!$C$4382="","",INDEX(_imp!$G$4:$G$4503,_imp!$C$4382))</f>
        <v/>
      </c>
      <c r="E4380" s="54">
        <f>IF(_imp!$C$4382="","",INDEX(_imp!$H$4:$H$4503,_imp!$C$4382))</f>
        <v/>
      </c>
      <c r="F4380" s="54">
        <f>IF(_imp!$C$4382="","",INDEX(_imp!$I$4:$I$4503,_imp!$C$4382))</f>
        <v/>
      </c>
      <c r="G4380" s="54">
        <f>IF(_imp!$C$4382="","",INDEX(_imp!$J$4:$J$4503,_imp!$C$4382))</f>
        <v/>
      </c>
      <c r="K4380" s="54">
        <f>IF(_imp!$C$4382="","",INDEX(_imp!$K$4:$K$4503,_imp!$C$4382))</f>
        <v/>
      </c>
    </row>
    <row r="4381">
      <c r="A4381" s="54">
        <f>IF(_imp!$C$4383="","",INDEX(_imp!$D$4:$D$4503,_imp!$C$4383))</f>
        <v/>
      </c>
      <c r="B4381" s="54">
        <f>IF(_imp!$C$4383="","",INDEX(_imp!$E$4:$E$4503,_imp!$C$4383))</f>
        <v/>
      </c>
      <c r="C4381" s="54">
        <f>IF(_imp!$C$4383="","",INDEX(_imp!$F$4:$F$4503,_imp!$C$4383))</f>
        <v/>
      </c>
      <c r="D4381" s="54">
        <f>IF(_imp!$C$4383="","",INDEX(_imp!$G$4:$G$4503,_imp!$C$4383))</f>
        <v/>
      </c>
      <c r="E4381" s="54">
        <f>IF(_imp!$C$4383="","",INDEX(_imp!$H$4:$H$4503,_imp!$C$4383))</f>
        <v/>
      </c>
      <c r="F4381" s="54">
        <f>IF(_imp!$C$4383="","",INDEX(_imp!$I$4:$I$4503,_imp!$C$4383))</f>
        <v/>
      </c>
      <c r="G4381" s="54">
        <f>IF(_imp!$C$4383="","",INDEX(_imp!$J$4:$J$4503,_imp!$C$4383))</f>
        <v/>
      </c>
      <c r="K4381" s="54">
        <f>IF(_imp!$C$4383="","",INDEX(_imp!$K$4:$K$4503,_imp!$C$4383))</f>
        <v/>
      </c>
    </row>
    <row r="4382">
      <c r="A4382" s="54">
        <f>IF(_imp!$C$4384="","",INDEX(_imp!$D$4:$D$4503,_imp!$C$4384))</f>
        <v/>
      </c>
      <c r="B4382" s="54">
        <f>IF(_imp!$C$4384="","",INDEX(_imp!$E$4:$E$4503,_imp!$C$4384))</f>
        <v/>
      </c>
      <c r="C4382" s="54">
        <f>IF(_imp!$C$4384="","",INDEX(_imp!$F$4:$F$4503,_imp!$C$4384))</f>
        <v/>
      </c>
      <c r="D4382" s="54">
        <f>IF(_imp!$C$4384="","",INDEX(_imp!$G$4:$G$4503,_imp!$C$4384))</f>
        <v/>
      </c>
      <c r="E4382" s="54">
        <f>IF(_imp!$C$4384="","",INDEX(_imp!$H$4:$H$4503,_imp!$C$4384))</f>
        <v/>
      </c>
      <c r="F4382" s="54">
        <f>IF(_imp!$C$4384="","",INDEX(_imp!$I$4:$I$4503,_imp!$C$4384))</f>
        <v/>
      </c>
      <c r="G4382" s="54">
        <f>IF(_imp!$C$4384="","",INDEX(_imp!$J$4:$J$4503,_imp!$C$4384))</f>
        <v/>
      </c>
      <c r="K4382" s="54">
        <f>IF(_imp!$C$4384="","",INDEX(_imp!$K$4:$K$4503,_imp!$C$4384))</f>
        <v/>
      </c>
    </row>
    <row r="4383">
      <c r="A4383" s="54">
        <f>IF(_imp!$C$4385="","",INDEX(_imp!$D$4:$D$4503,_imp!$C$4385))</f>
        <v/>
      </c>
      <c r="B4383" s="54">
        <f>IF(_imp!$C$4385="","",INDEX(_imp!$E$4:$E$4503,_imp!$C$4385))</f>
        <v/>
      </c>
      <c r="C4383" s="54">
        <f>IF(_imp!$C$4385="","",INDEX(_imp!$F$4:$F$4503,_imp!$C$4385))</f>
        <v/>
      </c>
      <c r="D4383" s="54">
        <f>IF(_imp!$C$4385="","",INDEX(_imp!$G$4:$G$4503,_imp!$C$4385))</f>
        <v/>
      </c>
      <c r="E4383" s="54">
        <f>IF(_imp!$C$4385="","",INDEX(_imp!$H$4:$H$4503,_imp!$C$4385))</f>
        <v/>
      </c>
      <c r="F4383" s="54">
        <f>IF(_imp!$C$4385="","",INDEX(_imp!$I$4:$I$4503,_imp!$C$4385))</f>
        <v/>
      </c>
      <c r="G4383" s="54">
        <f>IF(_imp!$C$4385="","",INDEX(_imp!$J$4:$J$4503,_imp!$C$4385))</f>
        <v/>
      </c>
      <c r="K4383" s="54">
        <f>IF(_imp!$C$4385="","",INDEX(_imp!$K$4:$K$4503,_imp!$C$4385))</f>
        <v/>
      </c>
    </row>
    <row r="4384">
      <c r="A4384" s="54">
        <f>IF(_imp!$C$4386="","",INDEX(_imp!$D$4:$D$4503,_imp!$C$4386))</f>
        <v/>
      </c>
      <c r="B4384" s="54">
        <f>IF(_imp!$C$4386="","",INDEX(_imp!$E$4:$E$4503,_imp!$C$4386))</f>
        <v/>
      </c>
      <c r="C4384" s="54">
        <f>IF(_imp!$C$4386="","",INDEX(_imp!$F$4:$F$4503,_imp!$C$4386))</f>
        <v/>
      </c>
      <c r="D4384" s="54">
        <f>IF(_imp!$C$4386="","",INDEX(_imp!$G$4:$G$4503,_imp!$C$4386))</f>
        <v/>
      </c>
      <c r="E4384" s="54">
        <f>IF(_imp!$C$4386="","",INDEX(_imp!$H$4:$H$4503,_imp!$C$4386))</f>
        <v/>
      </c>
      <c r="F4384" s="54">
        <f>IF(_imp!$C$4386="","",INDEX(_imp!$I$4:$I$4503,_imp!$C$4386))</f>
        <v/>
      </c>
      <c r="G4384" s="54">
        <f>IF(_imp!$C$4386="","",INDEX(_imp!$J$4:$J$4503,_imp!$C$4386))</f>
        <v/>
      </c>
      <c r="K4384" s="54">
        <f>IF(_imp!$C$4386="","",INDEX(_imp!$K$4:$K$4503,_imp!$C$4386))</f>
        <v/>
      </c>
    </row>
    <row r="4385">
      <c r="A4385" s="54">
        <f>IF(_imp!$C$4387="","",INDEX(_imp!$D$4:$D$4503,_imp!$C$4387))</f>
        <v/>
      </c>
      <c r="B4385" s="54">
        <f>IF(_imp!$C$4387="","",INDEX(_imp!$E$4:$E$4503,_imp!$C$4387))</f>
        <v/>
      </c>
      <c r="C4385" s="54">
        <f>IF(_imp!$C$4387="","",INDEX(_imp!$F$4:$F$4503,_imp!$C$4387))</f>
        <v/>
      </c>
      <c r="D4385" s="54">
        <f>IF(_imp!$C$4387="","",INDEX(_imp!$G$4:$G$4503,_imp!$C$4387))</f>
        <v/>
      </c>
      <c r="E4385" s="54">
        <f>IF(_imp!$C$4387="","",INDEX(_imp!$H$4:$H$4503,_imp!$C$4387))</f>
        <v/>
      </c>
      <c r="F4385" s="54">
        <f>IF(_imp!$C$4387="","",INDEX(_imp!$I$4:$I$4503,_imp!$C$4387))</f>
        <v/>
      </c>
      <c r="G4385" s="54">
        <f>IF(_imp!$C$4387="","",INDEX(_imp!$J$4:$J$4503,_imp!$C$4387))</f>
        <v/>
      </c>
      <c r="K4385" s="54">
        <f>IF(_imp!$C$4387="","",INDEX(_imp!$K$4:$K$4503,_imp!$C$4387))</f>
        <v/>
      </c>
    </row>
    <row r="4386">
      <c r="A4386" s="54">
        <f>IF(_imp!$C$4388="","",INDEX(_imp!$D$4:$D$4503,_imp!$C$4388))</f>
        <v/>
      </c>
      <c r="B4386" s="54">
        <f>IF(_imp!$C$4388="","",INDEX(_imp!$E$4:$E$4503,_imp!$C$4388))</f>
        <v/>
      </c>
      <c r="C4386" s="54">
        <f>IF(_imp!$C$4388="","",INDEX(_imp!$F$4:$F$4503,_imp!$C$4388))</f>
        <v/>
      </c>
      <c r="D4386" s="54">
        <f>IF(_imp!$C$4388="","",INDEX(_imp!$G$4:$G$4503,_imp!$C$4388))</f>
        <v/>
      </c>
      <c r="E4386" s="54">
        <f>IF(_imp!$C$4388="","",INDEX(_imp!$H$4:$H$4503,_imp!$C$4388))</f>
        <v/>
      </c>
      <c r="F4386" s="54">
        <f>IF(_imp!$C$4388="","",INDEX(_imp!$I$4:$I$4503,_imp!$C$4388))</f>
        <v/>
      </c>
      <c r="G4386" s="54">
        <f>IF(_imp!$C$4388="","",INDEX(_imp!$J$4:$J$4503,_imp!$C$4388))</f>
        <v/>
      </c>
      <c r="K4386" s="54">
        <f>IF(_imp!$C$4388="","",INDEX(_imp!$K$4:$K$4503,_imp!$C$4388))</f>
        <v/>
      </c>
    </row>
    <row r="4387">
      <c r="A4387" s="54">
        <f>IF(_imp!$C$4389="","",INDEX(_imp!$D$4:$D$4503,_imp!$C$4389))</f>
        <v/>
      </c>
      <c r="B4387" s="54">
        <f>IF(_imp!$C$4389="","",INDEX(_imp!$E$4:$E$4503,_imp!$C$4389))</f>
        <v/>
      </c>
      <c r="C4387" s="54">
        <f>IF(_imp!$C$4389="","",INDEX(_imp!$F$4:$F$4503,_imp!$C$4389))</f>
        <v/>
      </c>
      <c r="D4387" s="54">
        <f>IF(_imp!$C$4389="","",INDEX(_imp!$G$4:$G$4503,_imp!$C$4389))</f>
        <v/>
      </c>
      <c r="E4387" s="54">
        <f>IF(_imp!$C$4389="","",INDEX(_imp!$H$4:$H$4503,_imp!$C$4389))</f>
        <v/>
      </c>
      <c r="F4387" s="54">
        <f>IF(_imp!$C$4389="","",INDEX(_imp!$I$4:$I$4503,_imp!$C$4389))</f>
        <v/>
      </c>
      <c r="G4387" s="54">
        <f>IF(_imp!$C$4389="","",INDEX(_imp!$J$4:$J$4503,_imp!$C$4389))</f>
        <v/>
      </c>
      <c r="K4387" s="54">
        <f>IF(_imp!$C$4389="","",INDEX(_imp!$K$4:$K$4503,_imp!$C$4389))</f>
        <v/>
      </c>
    </row>
    <row r="4388">
      <c r="A4388" s="54">
        <f>IF(_imp!$C$4390="","",INDEX(_imp!$D$4:$D$4503,_imp!$C$4390))</f>
        <v/>
      </c>
      <c r="B4388" s="54">
        <f>IF(_imp!$C$4390="","",INDEX(_imp!$E$4:$E$4503,_imp!$C$4390))</f>
        <v/>
      </c>
      <c r="C4388" s="54">
        <f>IF(_imp!$C$4390="","",INDEX(_imp!$F$4:$F$4503,_imp!$C$4390))</f>
        <v/>
      </c>
      <c r="D4388" s="54">
        <f>IF(_imp!$C$4390="","",INDEX(_imp!$G$4:$G$4503,_imp!$C$4390))</f>
        <v/>
      </c>
      <c r="E4388" s="54">
        <f>IF(_imp!$C$4390="","",INDEX(_imp!$H$4:$H$4503,_imp!$C$4390))</f>
        <v/>
      </c>
      <c r="F4388" s="54">
        <f>IF(_imp!$C$4390="","",INDEX(_imp!$I$4:$I$4503,_imp!$C$4390))</f>
        <v/>
      </c>
      <c r="G4388" s="54">
        <f>IF(_imp!$C$4390="","",INDEX(_imp!$J$4:$J$4503,_imp!$C$4390))</f>
        <v/>
      </c>
      <c r="K4388" s="54">
        <f>IF(_imp!$C$4390="","",INDEX(_imp!$K$4:$K$4503,_imp!$C$4390))</f>
        <v/>
      </c>
    </row>
    <row r="4389">
      <c r="A4389" s="54">
        <f>IF(_imp!$C$4391="","",INDEX(_imp!$D$4:$D$4503,_imp!$C$4391))</f>
        <v/>
      </c>
      <c r="B4389" s="54">
        <f>IF(_imp!$C$4391="","",INDEX(_imp!$E$4:$E$4503,_imp!$C$4391))</f>
        <v/>
      </c>
      <c r="C4389" s="54">
        <f>IF(_imp!$C$4391="","",INDEX(_imp!$F$4:$F$4503,_imp!$C$4391))</f>
        <v/>
      </c>
      <c r="D4389" s="54">
        <f>IF(_imp!$C$4391="","",INDEX(_imp!$G$4:$G$4503,_imp!$C$4391))</f>
        <v/>
      </c>
      <c r="E4389" s="54">
        <f>IF(_imp!$C$4391="","",INDEX(_imp!$H$4:$H$4503,_imp!$C$4391))</f>
        <v/>
      </c>
      <c r="F4389" s="54">
        <f>IF(_imp!$C$4391="","",INDEX(_imp!$I$4:$I$4503,_imp!$C$4391))</f>
        <v/>
      </c>
      <c r="G4389" s="54">
        <f>IF(_imp!$C$4391="","",INDEX(_imp!$J$4:$J$4503,_imp!$C$4391))</f>
        <v/>
      </c>
      <c r="K4389" s="54">
        <f>IF(_imp!$C$4391="","",INDEX(_imp!$K$4:$K$4503,_imp!$C$4391))</f>
        <v/>
      </c>
    </row>
    <row r="4390">
      <c r="A4390" s="54">
        <f>IF(_imp!$C$4392="","",INDEX(_imp!$D$4:$D$4503,_imp!$C$4392))</f>
        <v/>
      </c>
      <c r="B4390" s="54">
        <f>IF(_imp!$C$4392="","",INDEX(_imp!$E$4:$E$4503,_imp!$C$4392))</f>
        <v/>
      </c>
      <c r="C4390" s="54">
        <f>IF(_imp!$C$4392="","",INDEX(_imp!$F$4:$F$4503,_imp!$C$4392))</f>
        <v/>
      </c>
      <c r="D4390" s="54">
        <f>IF(_imp!$C$4392="","",INDEX(_imp!$G$4:$G$4503,_imp!$C$4392))</f>
        <v/>
      </c>
      <c r="E4390" s="54">
        <f>IF(_imp!$C$4392="","",INDEX(_imp!$H$4:$H$4503,_imp!$C$4392))</f>
        <v/>
      </c>
      <c r="F4390" s="54">
        <f>IF(_imp!$C$4392="","",INDEX(_imp!$I$4:$I$4503,_imp!$C$4392))</f>
        <v/>
      </c>
      <c r="G4390" s="54">
        <f>IF(_imp!$C$4392="","",INDEX(_imp!$J$4:$J$4503,_imp!$C$4392))</f>
        <v/>
      </c>
      <c r="K4390" s="54">
        <f>IF(_imp!$C$4392="","",INDEX(_imp!$K$4:$K$4503,_imp!$C$4392))</f>
        <v/>
      </c>
    </row>
    <row r="4391">
      <c r="A4391" s="54">
        <f>IF(_imp!$C$4393="","",INDEX(_imp!$D$4:$D$4503,_imp!$C$4393))</f>
        <v/>
      </c>
      <c r="B4391" s="54">
        <f>IF(_imp!$C$4393="","",INDEX(_imp!$E$4:$E$4503,_imp!$C$4393))</f>
        <v/>
      </c>
      <c r="C4391" s="54">
        <f>IF(_imp!$C$4393="","",INDEX(_imp!$F$4:$F$4503,_imp!$C$4393))</f>
        <v/>
      </c>
      <c r="D4391" s="54">
        <f>IF(_imp!$C$4393="","",INDEX(_imp!$G$4:$G$4503,_imp!$C$4393))</f>
        <v/>
      </c>
      <c r="E4391" s="54">
        <f>IF(_imp!$C$4393="","",INDEX(_imp!$H$4:$H$4503,_imp!$C$4393))</f>
        <v/>
      </c>
      <c r="F4391" s="54">
        <f>IF(_imp!$C$4393="","",INDEX(_imp!$I$4:$I$4503,_imp!$C$4393))</f>
        <v/>
      </c>
      <c r="G4391" s="54">
        <f>IF(_imp!$C$4393="","",INDEX(_imp!$J$4:$J$4503,_imp!$C$4393))</f>
        <v/>
      </c>
      <c r="K4391" s="54">
        <f>IF(_imp!$C$4393="","",INDEX(_imp!$K$4:$K$4503,_imp!$C$4393))</f>
        <v/>
      </c>
    </row>
    <row r="4392">
      <c r="A4392" s="54">
        <f>IF(_imp!$C$4394="","",INDEX(_imp!$D$4:$D$4503,_imp!$C$4394))</f>
        <v/>
      </c>
      <c r="B4392" s="54">
        <f>IF(_imp!$C$4394="","",INDEX(_imp!$E$4:$E$4503,_imp!$C$4394))</f>
        <v/>
      </c>
      <c r="C4392" s="54">
        <f>IF(_imp!$C$4394="","",INDEX(_imp!$F$4:$F$4503,_imp!$C$4394))</f>
        <v/>
      </c>
      <c r="D4392" s="54">
        <f>IF(_imp!$C$4394="","",INDEX(_imp!$G$4:$G$4503,_imp!$C$4394))</f>
        <v/>
      </c>
      <c r="E4392" s="54">
        <f>IF(_imp!$C$4394="","",INDEX(_imp!$H$4:$H$4503,_imp!$C$4394))</f>
        <v/>
      </c>
      <c r="F4392" s="54">
        <f>IF(_imp!$C$4394="","",INDEX(_imp!$I$4:$I$4503,_imp!$C$4394))</f>
        <v/>
      </c>
      <c r="G4392" s="54">
        <f>IF(_imp!$C$4394="","",INDEX(_imp!$J$4:$J$4503,_imp!$C$4394))</f>
        <v/>
      </c>
      <c r="K4392" s="54">
        <f>IF(_imp!$C$4394="","",INDEX(_imp!$K$4:$K$4503,_imp!$C$4394))</f>
        <v/>
      </c>
    </row>
    <row r="4393">
      <c r="A4393" s="54">
        <f>IF(_imp!$C$4395="","",INDEX(_imp!$D$4:$D$4503,_imp!$C$4395))</f>
        <v/>
      </c>
      <c r="B4393" s="54">
        <f>IF(_imp!$C$4395="","",INDEX(_imp!$E$4:$E$4503,_imp!$C$4395))</f>
        <v/>
      </c>
      <c r="C4393" s="54">
        <f>IF(_imp!$C$4395="","",INDEX(_imp!$F$4:$F$4503,_imp!$C$4395))</f>
        <v/>
      </c>
      <c r="D4393" s="54">
        <f>IF(_imp!$C$4395="","",INDEX(_imp!$G$4:$G$4503,_imp!$C$4395))</f>
        <v/>
      </c>
      <c r="E4393" s="54">
        <f>IF(_imp!$C$4395="","",INDEX(_imp!$H$4:$H$4503,_imp!$C$4395))</f>
        <v/>
      </c>
      <c r="F4393" s="54">
        <f>IF(_imp!$C$4395="","",INDEX(_imp!$I$4:$I$4503,_imp!$C$4395))</f>
        <v/>
      </c>
      <c r="G4393" s="54">
        <f>IF(_imp!$C$4395="","",INDEX(_imp!$J$4:$J$4503,_imp!$C$4395))</f>
        <v/>
      </c>
      <c r="K4393" s="54">
        <f>IF(_imp!$C$4395="","",INDEX(_imp!$K$4:$K$4503,_imp!$C$4395))</f>
        <v/>
      </c>
    </row>
    <row r="4394">
      <c r="A4394" s="54">
        <f>IF(_imp!$C$4396="","",INDEX(_imp!$D$4:$D$4503,_imp!$C$4396))</f>
        <v/>
      </c>
      <c r="B4394" s="54">
        <f>IF(_imp!$C$4396="","",INDEX(_imp!$E$4:$E$4503,_imp!$C$4396))</f>
        <v/>
      </c>
      <c r="C4394" s="54">
        <f>IF(_imp!$C$4396="","",INDEX(_imp!$F$4:$F$4503,_imp!$C$4396))</f>
        <v/>
      </c>
      <c r="D4394" s="54">
        <f>IF(_imp!$C$4396="","",INDEX(_imp!$G$4:$G$4503,_imp!$C$4396))</f>
        <v/>
      </c>
      <c r="E4394" s="54">
        <f>IF(_imp!$C$4396="","",INDEX(_imp!$H$4:$H$4503,_imp!$C$4396))</f>
        <v/>
      </c>
      <c r="F4394" s="54">
        <f>IF(_imp!$C$4396="","",INDEX(_imp!$I$4:$I$4503,_imp!$C$4396))</f>
        <v/>
      </c>
      <c r="G4394" s="54">
        <f>IF(_imp!$C$4396="","",INDEX(_imp!$J$4:$J$4503,_imp!$C$4396))</f>
        <v/>
      </c>
      <c r="K4394" s="54">
        <f>IF(_imp!$C$4396="","",INDEX(_imp!$K$4:$K$4503,_imp!$C$4396))</f>
        <v/>
      </c>
    </row>
    <row r="4395">
      <c r="A4395" s="54">
        <f>IF(_imp!$C$4397="","",INDEX(_imp!$D$4:$D$4503,_imp!$C$4397))</f>
        <v/>
      </c>
      <c r="B4395" s="54">
        <f>IF(_imp!$C$4397="","",INDEX(_imp!$E$4:$E$4503,_imp!$C$4397))</f>
        <v/>
      </c>
      <c r="C4395" s="54">
        <f>IF(_imp!$C$4397="","",INDEX(_imp!$F$4:$F$4503,_imp!$C$4397))</f>
        <v/>
      </c>
      <c r="D4395" s="54">
        <f>IF(_imp!$C$4397="","",INDEX(_imp!$G$4:$G$4503,_imp!$C$4397))</f>
        <v/>
      </c>
      <c r="E4395" s="54">
        <f>IF(_imp!$C$4397="","",INDEX(_imp!$H$4:$H$4503,_imp!$C$4397))</f>
        <v/>
      </c>
      <c r="F4395" s="54">
        <f>IF(_imp!$C$4397="","",INDEX(_imp!$I$4:$I$4503,_imp!$C$4397))</f>
        <v/>
      </c>
      <c r="G4395" s="54">
        <f>IF(_imp!$C$4397="","",INDEX(_imp!$J$4:$J$4503,_imp!$C$4397))</f>
        <v/>
      </c>
      <c r="K4395" s="54">
        <f>IF(_imp!$C$4397="","",INDEX(_imp!$K$4:$K$4503,_imp!$C$4397))</f>
        <v/>
      </c>
    </row>
    <row r="4396">
      <c r="A4396" s="54">
        <f>IF(_imp!$C$4398="","",INDEX(_imp!$D$4:$D$4503,_imp!$C$4398))</f>
        <v/>
      </c>
      <c r="B4396" s="54">
        <f>IF(_imp!$C$4398="","",INDEX(_imp!$E$4:$E$4503,_imp!$C$4398))</f>
        <v/>
      </c>
      <c r="C4396" s="54">
        <f>IF(_imp!$C$4398="","",INDEX(_imp!$F$4:$F$4503,_imp!$C$4398))</f>
        <v/>
      </c>
      <c r="D4396" s="54">
        <f>IF(_imp!$C$4398="","",INDEX(_imp!$G$4:$G$4503,_imp!$C$4398))</f>
        <v/>
      </c>
      <c r="E4396" s="54">
        <f>IF(_imp!$C$4398="","",INDEX(_imp!$H$4:$H$4503,_imp!$C$4398))</f>
        <v/>
      </c>
      <c r="F4396" s="54">
        <f>IF(_imp!$C$4398="","",INDEX(_imp!$I$4:$I$4503,_imp!$C$4398))</f>
        <v/>
      </c>
      <c r="G4396" s="54">
        <f>IF(_imp!$C$4398="","",INDEX(_imp!$J$4:$J$4503,_imp!$C$4398))</f>
        <v/>
      </c>
      <c r="K4396" s="54">
        <f>IF(_imp!$C$4398="","",INDEX(_imp!$K$4:$K$4503,_imp!$C$4398))</f>
        <v/>
      </c>
    </row>
    <row r="4397">
      <c r="A4397" s="54">
        <f>IF(_imp!$C$4399="","",INDEX(_imp!$D$4:$D$4503,_imp!$C$4399))</f>
        <v/>
      </c>
      <c r="B4397" s="54">
        <f>IF(_imp!$C$4399="","",INDEX(_imp!$E$4:$E$4503,_imp!$C$4399))</f>
        <v/>
      </c>
      <c r="C4397" s="54">
        <f>IF(_imp!$C$4399="","",INDEX(_imp!$F$4:$F$4503,_imp!$C$4399))</f>
        <v/>
      </c>
      <c r="D4397" s="54">
        <f>IF(_imp!$C$4399="","",INDEX(_imp!$G$4:$G$4503,_imp!$C$4399))</f>
        <v/>
      </c>
      <c r="E4397" s="54">
        <f>IF(_imp!$C$4399="","",INDEX(_imp!$H$4:$H$4503,_imp!$C$4399))</f>
        <v/>
      </c>
      <c r="F4397" s="54">
        <f>IF(_imp!$C$4399="","",INDEX(_imp!$I$4:$I$4503,_imp!$C$4399))</f>
        <v/>
      </c>
      <c r="G4397" s="54">
        <f>IF(_imp!$C$4399="","",INDEX(_imp!$J$4:$J$4503,_imp!$C$4399))</f>
        <v/>
      </c>
      <c r="K4397" s="54">
        <f>IF(_imp!$C$4399="","",INDEX(_imp!$K$4:$K$4503,_imp!$C$4399))</f>
        <v/>
      </c>
    </row>
    <row r="4398">
      <c r="A4398" s="54">
        <f>IF(_imp!$C$4400="","",INDEX(_imp!$D$4:$D$4503,_imp!$C$4400))</f>
        <v/>
      </c>
      <c r="B4398" s="54">
        <f>IF(_imp!$C$4400="","",INDEX(_imp!$E$4:$E$4503,_imp!$C$4400))</f>
        <v/>
      </c>
      <c r="C4398" s="54">
        <f>IF(_imp!$C$4400="","",INDEX(_imp!$F$4:$F$4503,_imp!$C$4400))</f>
        <v/>
      </c>
      <c r="D4398" s="54">
        <f>IF(_imp!$C$4400="","",INDEX(_imp!$G$4:$G$4503,_imp!$C$4400))</f>
        <v/>
      </c>
      <c r="E4398" s="54">
        <f>IF(_imp!$C$4400="","",INDEX(_imp!$H$4:$H$4503,_imp!$C$4400))</f>
        <v/>
      </c>
      <c r="F4398" s="54">
        <f>IF(_imp!$C$4400="","",INDEX(_imp!$I$4:$I$4503,_imp!$C$4400))</f>
        <v/>
      </c>
      <c r="G4398" s="54">
        <f>IF(_imp!$C$4400="","",INDEX(_imp!$J$4:$J$4503,_imp!$C$4400))</f>
        <v/>
      </c>
      <c r="K4398" s="54">
        <f>IF(_imp!$C$4400="","",INDEX(_imp!$K$4:$K$4503,_imp!$C$4400))</f>
        <v/>
      </c>
    </row>
    <row r="4399">
      <c r="A4399" s="54">
        <f>IF(_imp!$C$4401="","",INDEX(_imp!$D$4:$D$4503,_imp!$C$4401))</f>
        <v/>
      </c>
      <c r="B4399" s="54">
        <f>IF(_imp!$C$4401="","",INDEX(_imp!$E$4:$E$4503,_imp!$C$4401))</f>
        <v/>
      </c>
      <c r="C4399" s="54">
        <f>IF(_imp!$C$4401="","",INDEX(_imp!$F$4:$F$4503,_imp!$C$4401))</f>
        <v/>
      </c>
      <c r="D4399" s="54">
        <f>IF(_imp!$C$4401="","",INDEX(_imp!$G$4:$G$4503,_imp!$C$4401))</f>
        <v/>
      </c>
      <c r="E4399" s="54">
        <f>IF(_imp!$C$4401="","",INDEX(_imp!$H$4:$H$4503,_imp!$C$4401))</f>
        <v/>
      </c>
      <c r="F4399" s="54">
        <f>IF(_imp!$C$4401="","",INDEX(_imp!$I$4:$I$4503,_imp!$C$4401))</f>
        <v/>
      </c>
      <c r="G4399" s="54">
        <f>IF(_imp!$C$4401="","",INDEX(_imp!$J$4:$J$4503,_imp!$C$4401))</f>
        <v/>
      </c>
      <c r="K4399" s="54">
        <f>IF(_imp!$C$4401="","",INDEX(_imp!$K$4:$K$4503,_imp!$C$4401))</f>
        <v/>
      </c>
    </row>
    <row r="4400">
      <c r="A4400" s="54">
        <f>IF(_imp!$C$4402="","",INDEX(_imp!$D$4:$D$4503,_imp!$C$4402))</f>
        <v/>
      </c>
      <c r="B4400" s="54">
        <f>IF(_imp!$C$4402="","",INDEX(_imp!$E$4:$E$4503,_imp!$C$4402))</f>
        <v/>
      </c>
      <c r="C4400" s="54">
        <f>IF(_imp!$C$4402="","",INDEX(_imp!$F$4:$F$4503,_imp!$C$4402))</f>
        <v/>
      </c>
      <c r="D4400" s="54">
        <f>IF(_imp!$C$4402="","",INDEX(_imp!$G$4:$G$4503,_imp!$C$4402))</f>
        <v/>
      </c>
      <c r="E4400" s="54">
        <f>IF(_imp!$C$4402="","",INDEX(_imp!$H$4:$H$4503,_imp!$C$4402))</f>
        <v/>
      </c>
      <c r="F4400" s="54">
        <f>IF(_imp!$C$4402="","",INDEX(_imp!$I$4:$I$4503,_imp!$C$4402))</f>
        <v/>
      </c>
      <c r="G4400" s="54">
        <f>IF(_imp!$C$4402="","",INDEX(_imp!$J$4:$J$4503,_imp!$C$4402))</f>
        <v/>
      </c>
      <c r="K4400" s="54">
        <f>IF(_imp!$C$4402="","",INDEX(_imp!$K$4:$K$4503,_imp!$C$4402))</f>
        <v/>
      </c>
    </row>
    <row r="4401">
      <c r="A4401" s="54">
        <f>IF(_imp!$C$4403="","",INDEX(_imp!$D$4:$D$4503,_imp!$C$4403))</f>
        <v/>
      </c>
      <c r="B4401" s="54">
        <f>IF(_imp!$C$4403="","",INDEX(_imp!$E$4:$E$4503,_imp!$C$4403))</f>
        <v/>
      </c>
      <c r="C4401" s="54">
        <f>IF(_imp!$C$4403="","",INDEX(_imp!$F$4:$F$4503,_imp!$C$4403))</f>
        <v/>
      </c>
      <c r="D4401" s="54">
        <f>IF(_imp!$C$4403="","",INDEX(_imp!$G$4:$G$4503,_imp!$C$4403))</f>
        <v/>
      </c>
      <c r="E4401" s="54">
        <f>IF(_imp!$C$4403="","",INDEX(_imp!$H$4:$H$4503,_imp!$C$4403))</f>
        <v/>
      </c>
      <c r="F4401" s="54">
        <f>IF(_imp!$C$4403="","",INDEX(_imp!$I$4:$I$4503,_imp!$C$4403))</f>
        <v/>
      </c>
      <c r="G4401" s="54">
        <f>IF(_imp!$C$4403="","",INDEX(_imp!$J$4:$J$4503,_imp!$C$4403))</f>
        <v/>
      </c>
      <c r="K4401" s="54">
        <f>IF(_imp!$C$4403="","",INDEX(_imp!$K$4:$K$4503,_imp!$C$4403))</f>
        <v/>
      </c>
    </row>
    <row r="4402">
      <c r="A4402" s="54">
        <f>IF(_imp!$C$4404="","",INDEX(_imp!$D$4:$D$4503,_imp!$C$4404))</f>
        <v/>
      </c>
      <c r="B4402" s="54">
        <f>IF(_imp!$C$4404="","",INDEX(_imp!$E$4:$E$4503,_imp!$C$4404))</f>
        <v/>
      </c>
      <c r="C4402" s="54">
        <f>IF(_imp!$C$4404="","",INDEX(_imp!$F$4:$F$4503,_imp!$C$4404))</f>
        <v/>
      </c>
      <c r="D4402" s="54">
        <f>IF(_imp!$C$4404="","",INDEX(_imp!$G$4:$G$4503,_imp!$C$4404))</f>
        <v/>
      </c>
      <c r="E4402" s="54">
        <f>IF(_imp!$C$4404="","",INDEX(_imp!$H$4:$H$4503,_imp!$C$4404))</f>
        <v/>
      </c>
      <c r="F4402" s="54">
        <f>IF(_imp!$C$4404="","",INDEX(_imp!$I$4:$I$4503,_imp!$C$4404))</f>
        <v/>
      </c>
      <c r="G4402" s="54">
        <f>IF(_imp!$C$4404="","",INDEX(_imp!$J$4:$J$4503,_imp!$C$4404))</f>
        <v/>
      </c>
      <c r="K4402" s="54">
        <f>IF(_imp!$C$4404="","",INDEX(_imp!$K$4:$K$4503,_imp!$C$4404))</f>
        <v/>
      </c>
    </row>
    <row r="4403">
      <c r="A4403" s="54">
        <f>IF(_imp!$C$4405="","",INDEX(_imp!$D$4:$D$4503,_imp!$C$4405))</f>
        <v/>
      </c>
      <c r="B4403" s="54">
        <f>IF(_imp!$C$4405="","",INDEX(_imp!$E$4:$E$4503,_imp!$C$4405))</f>
        <v/>
      </c>
      <c r="C4403" s="54">
        <f>IF(_imp!$C$4405="","",INDEX(_imp!$F$4:$F$4503,_imp!$C$4405))</f>
        <v/>
      </c>
      <c r="D4403" s="54">
        <f>IF(_imp!$C$4405="","",INDEX(_imp!$G$4:$G$4503,_imp!$C$4405))</f>
        <v/>
      </c>
      <c r="E4403" s="54">
        <f>IF(_imp!$C$4405="","",INDEX(_imp!$H$4:$H$4503,_imp!$C$4405))</f>
        <v/>
      </c>
      <c r="F4403" s="54">
        <f>IF(_imp!$C$4405="","",INDEX(_imp!$I$4:$I$4503,_imp!$C$4405))</f>
        <v/>
      </c>
      <c r="G4403" s="54">
        <f>IF(_imp!$C$4405="","",INDEX(_imp!$J$4:$J$4503,_imp!$C$4405))</f>
        <v/>
      </c>
      <c r="K4403" s="54">
        <f>IF(_imp!$C$4405="","",INDEX(_imp!$K$4:$K$4503,_imp!$C$4405))</f>
        <v/>
      </c>
    </row>
    <row r="4404">
      <c r="A4404" s="54">
        <f>IF(_imp!$C$4406="","",INDEX(_imp!$D$4:$D$4503,_imp!$C$4406))</f>
        <v/>
      </c>
      <c r="B4404" s="54">
        <f>IF(_imp!$C$4406="","",INDEX(_imp!$E$4:$E$4503,_imp!$C$4406))</f>
        <v/>
      </c>
      <c r="C4404" s="54">
        <f>IF(_imp!$C$4406="","",INDEX(_imp!$F$4:$F$4503,_imp!$C$4406))</f>
        <v/>
      </c>
      <c r="D4404" s="54">
        <f>IF(_imp!$C$4406="","",INDEX(_imp!$G$4:$G$4503,_imp!$C$4406))</f>
        <v/>
      </c>
      <c r="E4404" s="54">
        <f>IF(_imp!$C$4406="","",INDEX(_imp!$H$4:$H$4503,_imp!$C$4406))</f>
        <v/>
      </c>
      <c r="F4404" s="54">
        <f>IF(_imp!$C$4406="","",INDEX(_imp!$I$4:$I$4503,_imp!$C$4406))</f>
        <v/>
      </c>
      <c r="G4404" s="54">
        <f>IF(_imp!$C$4406="","",INDEX(_imp!$J$4:$J$4503,_imp!$C$4406))</f>
        <v/>
      </c>
      <c r="K4404" s="54">
        <f>IF(_imp!$C$4406="","",INDEX(_imp!$K$4:$K$4503,_imp!$C$4406))</f>
        <v/>
      </c>
    </row>
    <row r="4405">
      <c r="A4405" s="54">
        <f>IF(_imp!$C$4407="","",INDEX(_imp!$D$4:$D$4503,_imp!$C$4407))</f>
        <v/>
      </c>
      <c r="B4405" s="54">
        <f>IF(_imp!$C$4407="","",INDEX(_imp!$E$4:$E$4503,_imp!$C$4407))</f>
        <v/>
      </c>
      <c r="C4405" s="54">
        <f>IF(_imp!$C$4407="","",INDEX(_imp!$F$4:$F$4503,_imp!$C$4407))</f>
        <v/>
      </c>
      <c r="D4405" s="54">
        <f>IF(_imp!$C$4407="","",INDEX(_imp!$G$4:$G$4503,_imp!$C$4407))</f>
        <v/>
      </c>
      <c r="E4405" s="54">
        <f>IF(_imp!$C$4407="","",INDEX(_imp!$H$4:$H$4503,_imp!$C$4407))</f>
        <v/>
      </c>
      <c r="F4405" s="54">
        <f>IF(_imp!$C$4407="","",INDEX(_imp!$I$4:$I$4503,_imp!$C$4407))</f>
        <v/>
      </c>
      <c r="G4405" s="54">
        <f>IF(_imp!$C$4407="","",INDEX(_imp!$J$4:$J$4503,_imp!$C$4407))</f>
        <v/>
      </c>
      <c r="K4405" s="54">
        <f>IF(_imp!$C$4407="","",INDEX(_imp!$K$4:$K$4503,_imp!$C$4407))</f>
        <v/>
      </c>
    </row>
    <row r="4406">
      <c r="A4406" s="54">
        <f>IF(_imp!$C$4408="","",INDEX(_imp!$D$4:$D$4503,_imp!$C$4408))</f>
        <v/>
      </c>
      <c r="B4406" s="54">
        <f>IF(_imp!$C$4408="","",INDEX(_imp!$E$4:$E$4503,_imp!$C$4408))</f>
        <v/>
      </c>
      <c r="C4406" s="54">
        <f>IF(_imp!$C$4408="","",INDEX(_imp!$F$4:$F$4503,_imp!$C$4408))</f>
        <v/>
      </c>
      <c r="D4406" s="54">
        <f>IF(_imp!$C$4408="","",INDEX(_imp!$G$4:$G$4503,_imp!$C$4408))</f>
        <v/>
      </c>
      <c r="E4406" s="54">
        <f>IF(_imp!$C$4408="","",INDEX(_imp!$H$4:$H$4503,_imp!$C$4408))</f>
        <v/>
      </c>
      <c r="F4406" s="54">
        <f>IF(_imp!$C$4408="","",INDEX(_imp!$I$4:$I$4503,_imp!$C$4408))</f>
        <v/>
      </c>
      <c r="G4406" s="54">
        <f>IF(_imp!$C$4408="","",INDEX(_imp!$J$4:$J$4503,_imp!$C$4408))</f>
        <v/>
      </c>
      <c r="K4406" s="54">
        <f>IF(_imp!$C$4408="","",INDEX(_imp!$K$4:$K$4503,_imp!$C$4408))</f>
        <v/>
      </c>
    </row>
    <row r="4407">
      <c r="A4407" s="54">
        <f>IF(_imp!$C$4409="","",INDEX(_imp!$D$4:$D$4503,_imp!$C$4409))</f>
        <v/>
      </c>
      <c r="B4407" s="54">
        <f>IF(_imp!$C$4409="","",INDEX(_imp!$E$4:$E$4503,_imp!$C$4409))</f>
        <v/>
      </c>
      <c r="C4407" s="54">
        <f>IF(_imp!$C$4409="","",INDEX(_imp!$F$4:$F$4503,_imp!$C$4409))</f>
        <v/>
      </c>
      <c r="D4407" s="54">
        <f>IF(_imp!$C$4409="","",INDEX(_imp!$G$4:$G$4503,_imp!$C$4409))</f>
        <v/>
      </c>
      <c r="E4407" s="54">
        <f>IF(_imp!$C$4409="","",INDEX(_imp!$H$4:$H$4503,_imp!$C$4409))</f>
        <v/>
      </c>
      <c r="F4407" s="54">
        <f>IF(_imp!$C$4409="","",INDEX(_imp!$I$4:$I$4503,_imp!$C$4409))</f>
        <v/>
      </c>
      <c r="G4407" s="54">
        <f>IF(_imp!$C$4409="","",INDEX(_imp!$J$4:$J$4503,_imp!$C$4409))</f>
        <v/>
      </c>
      <c r="K4407" s="54">
        <f>IF(_imp!$C$4409="","",INDEX(_imp!$K$4:$K$4503,_imp!$C$4409))</f>
        <v/>
      </c>
    </row>
    <row r="4408">
      <c r="A4408" s="54">
        <f>IF(_imp!$C$4410="","",INDEX(_imp!$D$4:$D$4503,_imp!$C$4410))</f>
        <v/>
      </c>
      <c r="B4408" s="54">
        <f>IF(_imp!$C$4410="","",INDEX(_imp!$E$4:$E$4503,_imp!$C$4410))</f>
        <v/>
      </c>
      <c r="C4408" s="54">
        <f>IF(_imp!$C$4410="","",INDEX(_imp!$F$4:$F$4503,_imp!$C$4410))</f>
        <v/>
      </c>
      <c r="D4408" s="54">
        <f>IF(_imp!$C$4410="","",INDEX(_imp!$G$4:$G$4503,_imp!$C$4410))</f>
        <v/>
      </c>
      <c r="E4408" s="54">
        <f>IF(_imp!$C$4410="","",INDEX(_imp!$H$4:$H$4503,_imp!$C$4410))</f>
        <v/>
      </c>
      <c r="F4408" s="54">
        <f>IF(_imp!$C$4410="","",INDEX(_imp!$I$4:$I$4503,_imp!$C$4410))</f>
        <v/>
      </c>
      <c r="G4408" s="54">
        <f>IF(_imp!$C$4410="","",INDEX(_imp!$J$4:$J$4503,_imp!$C$4410))</f>
        <v/>
      </c>
      <c r="K4408" s="54">
        <f>IF(_imp!$C$4410="","",INDEX(_imp!$K$4:$K$4503,_imp!$C$4410))</f>
        <v/>
      </c>
    </row>
    <row r="4409">
      <c r="A4409" s="54">
        <f>IF(_imp!$C$4411="","",INDEX(_imp!$D$4:$D$4503,_imp!$C$4411))</f>
        <v/>
      </c>
      <c r="B4409" s="54">
        <f>IF(_imp!$C$4411="","",INDEX(_imp!$E$4:$E$4503,_imp!$C$4411))</f>
        <v/>
      </c>
      <c r="C4409" s="54">
        <f>IF(_imp!$C$4411="","",INDEX(_imp!$F$4:$F$4503,_imp!$C$4411))</f>
        <v/>
      </c>
      <c r="D4409" s="54">
        <f>IF(_imp!$C$4411="","",INDEX(_imp!$G$4:$G$4503,_imp!$C$4411))</f>
        <v/>
      </c>
      <c r="E4409" s="54">
        <f>IF(_imp!$C$4411="","",INDEX(_imp!$H$4:$H$4503,_imp!$C$4411))</f>
        <v/>
      </c>
      <c r="F4409" s="54">
        <f>IF(_imp!$C$4411="","",INDEX(_imp!$I$4:$I$4503,_imp!$C$4411))</f>
        <v/>
      </c>
      <c r="G4409" s="54">
        <f>IF(_imp!$C$4411="","",INDEX(_imp!$J$4:$J$4503,_imp!$C$4411))</f>
        <v/>
      </c>
      <c r="K4409" s="54">
        <f>IF(_imp!$C$4411="","",INDEX(_imp!$K$4:$K$4503,_imp!$C$4411))</f>
        <v/>
      </c>
    </row>
    <row r="4410">
      <c r="A4410" s="54">
        <f>IF(_imp!$C$4412="","",INDEX(_imp!$D$4:$D$4503,_imp!$C$4412))</f>
        <v/>
      </c>
      <c r="B4410" s="54">
        <f>IF(_imp!$C$4412="","",INDEX(_imp!$E$4:$E$4503,_imp!$C$4412))</f>
        <v/>
      </c>
      <c r="C4410" s="54">
        <f>IF(_imp!$C$4412="","",INDEX(_imp!$F$4:$F$4503,_imp!$C$4412))</f>
        <v/>
      </c>
      <c r="D4410" s="54">
        <f>IF(_imp!$C$4412="","",INDEX(_imp!$G$4:$G$4503,_imp!$C$4412))</f>
        <v/>
      </c>
      <c r="E4410" s="54">
        <f>IF(_imp!$C$4412="","",INDEX(_imp!$H$4:$H$4503,_imp!$C$4412))</f>
        <v/>
      </c>
      <c r="F4410" s="54">
        <f>IF(_imp!$C$4412="","",INDEX(_imp!$I$4:$I$4503,_imp!$C$4412))</f>
        <v/>
      </c>
      <c r="G4410" s="54">
        <f>IF(_imp!$C$4412="","",INDEX(_imp!$J$4:$J$4503,_imp!$C$4412))</f>
        <v/>
      </c>
      <c r="K4410" s="54">
        <f>IF(_imp!$C$4412="","",INDEX(_imp!$K$4:$K$4503,_imp!$C$4412))</f>
        <v/>
      </c>
    </row>
    <row r="4411">
      <c r="A4411" s="54">
        <f>IF(_imp!$C$4413="","",INDEX(_imp!$D$4:$D$4503,_imp!$C$4413))</f>
        <v/>
      </c>
      <c r="B4411" s="54">
        <f>IF(_imp!$C$4413="","",INDEX(_imp!$E$4:$E$4503,_imp!$C$4413))</f>
        <v/>
      </c>
      <c r="C4411" s="54">
        <f>IF(_imp!$C$4413="","",INDEX(_imp!$F$4:$F$4503,_imp!$C$4413))</f>
        <v/>
      </c>
      <c r="D4411" s="54">
        <f>IF(_imp!$C$4413="","",INDEX(_imp!$G$4:$G$4503,_imp!$C$4413))</f>
        <v/>
      </c>
      <c r="E4411" s="54">
        <f>IF(_imp!$C$4413="","",INDEX(_imp!$H$4:$H$4503,_imp!$C$4413))</f>
        <v/>
      </c>
      <c r="F4411" s="54">
        <f>IF(_imp!$C$4413="","",INDEX(_imp!$I$4:$I$4503,_imp!$C$4413))</f>
        <v/>
      </c>
      <c r="G4411" s="54">
        <f>IF(_imp!$C$4413="","",INDEX(_imp!$J$4:$J$4503,_imp!$C$4413))</f>
        <v/>
      </c>
      <c r="K4411" s="54">
        <f>IF(_imp!$C$4413="","",INDEX(_imp!$K$4:$K$4503,_imp!$C$4413))</f>
        <v/>
      </c>
    </row>
    <row r="4412">
      <c r="A4412" s="54">
        <f>IF(_imp!$C$4414="","",INDEX(_imp!$D$4:$D$4503,_imp!$C$4414))</f>
        <v/>
      </c>
      <c r="B4412" s="54">
        <f>IF(_imp!$C$4414="","",INDEX(_imp!$E$4:$E$4503,_imp!$C$4414))</f>
        <v/>
      </c>
      <c r="C4412" s="54">
        <f>IF(_imp!$C$4414="","",INDEX(_imp!$F$4:$F$4503,_imp!$C$4414))</f>
        <v/>
      </c>
      <c r="D4412" s="54">
        <f>IF(_imp!$C$4414="","",INDEX(_imp!$G$4:$G$4503,_imp!$C$4414))</f>
        <v/>
      </c>
      <c r="E4412" s="54">
        <f>IF(_imp!$C$4414="","",INDEX(_imp!$H$4:$H$4503,_imp!$C$4414))</f>
        <v/>
      </c>
      <c r="F4412" s="54">
        <f>IF(_imp!$C$4414="","",INDEX(_imp!$I$4:$I$4503,_imp!$C$4414))</f>
        <v/>
      </c>
      <c r="G4412" s="54">
        <f>IF(_imp!$C$4414="","",INDEX(_imp!$J$4:$J$4503,_imp!$C$4414))</f>
        <v/>
      </c>
      <c r="K4412" s="54">
        <f>IF(_imp!$C$4414="","",INDEX(_imp!$K$4:$K$4503,_imp!$C$4414))</f>
        <v/>
      </c>
    </row>
    <row r="4413">
      <c r="A4413" s="54">
        <f>IF(_imp!$C$4415="","",INDEX(_imp!$D$4:$D$4503,_imp!$C$4415))</f>
        <v/>
      </c>
      <c r="B4413" s="54">
        <f>IF(_imp!$C$4415="","",INDEX(_imp!$E$4:$E$4503,_imp!$C$4415))</f>
        <v/>
      </c>
      <c r="C4413" s="54">
        <f>IF(_imp!$C$4415="","",INDEX(_imp!$F$4:$F$4503,_imp!$C$4415))</f>
        <v/>
      </c>
      <c r="D4413" s="54">
        <f>IF(_imp!$C$4415="","",INDEX(_imp!$G$4:$G$4503,_imp!$C$4415))</f>
        <v/>
      </c>
      <c r="E4413" s="54">
        <f>IF(_imp!$C$4415="","",INDEX(_imp!$H$4:$H$4503,_imp!$C$4415))</f>
        <v/>
      </c>
      <c r="F4413" s="54">
        <f>IF(_imp!$C$4415="","",INDEX(_imp!$I$4:$I$4503,_imp!$C$4415))</f>
        <v/>
      </c>
      <c r="G4413" s="54">
        <f>IF(_imp!$C$4415="","",INDEX(_imp!$J$4:$J$4503,_imp!$C$4415))</f>
        <v/>
      </c>
      <c r="K4413" s="54">
        <f>IF(_imp!$C$4415="","",INDEX(_imp!$K$4:$K$4503,_imp!$C$4415))</f>
        <v/>
      </c>
    </row>
    <row r="4414">
      <c r="A4414" s="54">
        <f>IF(_imp!$C$4416="","",INDEX(_imp!$D$4:$D$4503,_imp!$C$4416))</f>
        <v/>
      </c>
      <c r="B4414" s="54">
        <f>IF(_imp!$C$4416="","",INDEX(_imp!$E$4:$E$4503,_imp!$C$4416))</f>
        <v/>
      </c>
      <c r="C4414" s="54">
        <f>IF(_imp!$C$4416="","",INDEX(_imp!$F$4:$F$4503,_imp!$C$4416))</f>
        <v/>
      </c>
      <c r="D4414" s="54">
        <f>IF(_imp!$C$4416="","",INDEX(_imp!$G$4:$G$4503,_imp!$C$4416))</f>
        <v/>
      </c>
      <c r="E4414" s="54">
        <f>IF(_imp!$C$4416="","",INDEX(_imp!$H$4:$H$4503,_imp!$C$4416))</f>
        <v/>
      </c>
      <c r="F4414" s="54">
        <f>IF(_imp!$C$4416="","",INDEX(_imp!$I$4:$I$4503,_imp!$C$4416))</f>
        <v/>
      </c>
      <c r="G4414" s="54">
        <f>IF(_imp!$C$4416="","",INDEX(_imp!$J$4:$J$4503,_imp!$C$4416))</f>
        <v/>
      </c>
      <c r="K4414" s="54">
        <f>IF(_imp!$C$4416="","",INDEX(_imp!$K$4:$K$4503,_imp!$C$4416))</f>
        <v/>
      </c>
    </row>
    <row r="4415">
      <c r="A4415" s="54">
        <f>IF(_imp!$C$4417="","",INDEX(_imp!$D$4:$D$4503,_imp!$C$4417))</f>
        <v/>
      </c>
      <c r="B4415" s="54">
        <f>IF(_imp!$C$4417="","",INDEX(_imp!$E$4:$E$4503,_imp!$C$4417))</f>
        <v/>
      </c>
      <c r="C4415" s="54">
        <f>IF(_imp!$C$4417="","",INDEX(_imp!$F$4:$F$4503,_imp!$C$4417))</f>
        <v/>
      </c>
      <c r="D4415" s="54">
        <f>IF(_imp!$C$4417="","",INDEX(_imp!$G$4:$G$4503,_imp!$C$4417))</f>
        <v/>
      </c>
      <c r="E4415" s="54">
        <f>IF(_imp!$C$4417="","",INDEX(_imp!$H$4:$H$4503,_imp!$C$4417))</f>
        <v/>
      </c>
      <c r="F4415" s="54">
        <f>IF(_imp!$C$4417="","",INDEX(_imp!$I$4:$I$4503,_imp!$C$4417))</f>
        <v/>
      </c>
      <c r="G4415" s="54">
        <f>IF(_imp!$C$4417="","",INDEX(_imp!$J$4:$J$4503,_imp!$C$4417))</f>
        <v/>
      </c>
      <c r="K4415" s="54">
        <f>IF(_imp!$C$4417="","",INDEX(_imp!$K$4:$K$4503,_imp!$C$4417))</f>
        <v/>
      </c>
    </row>
    <row r="4416">
      <c r="A4416" s="54">
        <f>IF(_imp!$C$4418="","",INDEX(_imp!$D$4:$D$4503,_imp!$C$4418))</f>
        <v/>
      </c>
      <c r="B4416" s="54">
        <f>IF(_imp!$C$4418="","",INDEX(_imp!$E$4:$E$4503,_imp!$C$4418))</f>
        <v/>
      </c>
      <c r="C4416" s="54">
        <f>IF(_imp!$C$4418="","",INDEX(_imp!$F$4:$F$4503,_imp!$C$4418))</f>
        <v/>
      </c>
      <c r="D4416" s="54">
        <f>IF(_imp!$C$4418="","",INDEX(_imp!$G$4:$G$4503,_imp!$C$4418))</f>
        <v/>
      </c>
      <c r="E4416" s="54">
        <f>IF(_imp!$C$4418="","",INDEX(_imp!$H$4:$H$4503,_imp!$C$4418))</f>
        <v/>
      </c>
      <c r="F4416" s="54">
        <f>IF(_imp!$C$4418="","",INDEX(_imp!$I$4:$I$4503,_imp!$C$4418))</f>
        <v/>
      </c>
      <c r="G4416" s="54">
        <f>IF(_imp!$C$4418="","",INDEX(_imp!$J$4:$J$4503,_imp!$C$4418))</f>
        <v/>
      </c>
      <c r="K4416" s="54">
        <f>IF(_imp!$C$4418="","",INDEX(_imp!$K$4:$K$4503,_imp!$C$4418))</f>
        <v/>
      </c>
    </row>
    <row r="4417">
      <c r="A4417" s="54">
        <f>IF(_imp!$C$4419="","",INDEX(_imp!$D$4:$D$4503,_imp!$C$4419))</f>
        <v/>
      </c>
      <c r="B4417" s="54">
        <f>IF(_imp!$C$4419="","",INDEX(_imp!$E$4:$E$4503,_imp!$C$4419))</f>
        <v/>
      </c>
      <c r="C4417" s="54">
        <f>IF(_imp!$C$4419="","",INDEX(_imp!$F$4:$F$4503,_imp!$C$4419))</f>
        <v/>
      </c>
      <c r="D4417" s="54">
        <f>IF(_imp!$C$4419="","",INDEX(_imp!$G$4:$G$4503,_imp!$C$4419))</f>
        <v/>
      </c>
      <c r="E4417" s="54">
        <f>IF(_imp!$C$4419="","",INDEX(_imp!$H$4:$H$4503,_imp!$C$4419))</f>
        <v/>
      </c>
      <c r="F4417" s="54">
        <f>IF(_imp!$C$4419="","",INDEX(_imp!$I$4:$I$4503,_imp!$C$4419))</f>
        <v/>
      </c>
      <c r="G4417" s="54">
        <f>IF(_imp!$C$4419="","",INDEX(_imp!$J$4:$J$4503,_imp!$C$4419))</f>
        <v/>
      </c>
      <c r="K4417" s="54">
        <f>IF(_imp!$C$4419="","",INDEX(_imp!$K$4:$K$4503,_imp!$C$4419))</f>
        <v/>
      </c>
    </row>
    <row r="4418">
      <c r="A4418" s="54">
        <f>IF(_imp!$C$4420="","",INDEX(_imp!$D$4:$D$4503,_imp!$C$4420))</f>
        <v/>
      </c>
      <c r="B4418" s="54">
        <f>IF(_imp!$C$4420="","",INDEX(_imp!$E$4:$E$4503,_imp!$C$4420))</f>
        <v/>
      </c>
      <c r="C4418" s="54">
        <f>IF(_imp!$C$4420="","",INDEX(_imp!$F$4:$F$4503,_imp!$C$4420))</f>
        <v/>
      </c>
      <c r="D4418" s="54">
        <f>IF(_imp!$C$4420="","",INDEX(_imp!$G$4:$G$4503,_imp!$C$4420))</f>
        <v/>
      </c>
      <c r="E4418" s="54">
        <f>IF(_imp!$C$4420="","",INDEX(_imp!$H$4:$H$4503,_imp!$C$4420))</f>
        <v/>
      </c>
      <c r="F4418" s="54">
        <f>IF(_imp!$C$4420="","",INDEX(_imp!$I$4:$I$4503,_imp!$C$4420))</f>
        <v/>
      </c>
      <c r="G4418" s="54">
        <f>IF(_imp!$C$4420="","",INDEX(_imp!$J$4:$J$4503,_imp!$C$4420))</f>
        <v/>
      </c>
      <c r="K4418" s="54">
        <f>IF(_imp!$C$4420="","",INDEX(_imp!$K$4:$K$4503,_imp!$C$4420))</f>
        <v/>
      </c>
    </row>
    <row r="4419">
      <c r="A4419" s="54">
        <f>IF(_imp!$C$4421="","",INDEX(_imp!$D$4:$D$4503,_imp!$C$4421))</f>
        <v/>
      </c>
      <c r="B4419" s="54">
        <f>IF(_imp!$C$4421="","",INDEX(_imp!$E$4:$E$4503,_imp!$C$4421))</f>
        <v/>
      </c>
      <c r="C4419" s="54">
        <f>IF(_imp!$C$4421="","",INDEX(_imp!$F$4:$F$4503,_imp!$C$4421))</f>
        <v/>
      </c>
      <c r="D4419" s="54">
        <f>IF(_imp!$C$4421="","",INDEX(_imp!$G$4:$G$4503,_imp!$C$4421))</f>
        <v/>
      </c>
      <c r="E4419" s="54">
        <f>IF(_imp!$C$4421="","",INDEX(_imp!$H$4:$H$4503,_imp!$C$4421))</f>
        <v/>
      </c>
      <c r="F4419" s="54">
        <f>IF(_imp!$C$4421="","",INDEX(_imp!$I$4:$I$4503,_imp!$C$4421))</f>
        <v/>
      </c>
      <c r="G4419" s="54">
        <f>IF(_imp!$C$4421="","",INDEX(_imp!$J$4:$J$4503,_imp!$C$4421))</f>
        <v/>
      </c>
      <c r="K4419" s="54">
        <f>IF(_imp!$C$4421="","",INDEX(_imp!$K$4:$K$4503,_imp!$C$4421))</f>
        <v/>
      </c>
    </row>
    <row r="4420">
      <c r="A4420" s="54">
        <f>IF(_imp!$C$4422="","",INDEX(_imp!$D$4:$D$4503,_imp!$C$4422))</f>
        <v/>
      </c>
      <c r="B4420" s="54">
        <f>IF(_imp!$C$4422="","",INDEX(_imp!$E$4:$E$4503,_imp!$C$4422))</f>
        <v/>
      </c>
      <c r="C4420" s="54">
        <f>IF(_imp!$C$4422="","",INDEX(_imp!$F$4:$F$4503,_imp!$C$4422))</f>
        <v/>
      </c>
      <c r="D4420" s="54">
        <f>IF(_imp!$C$4422="","",INDEX(_imp!$G$4:$G$4503,_imp!$C$4422))</f>
        <v/>
      </c>
      <c r="E4420" s="54">
        <f>IF(_imp!$C$4422="","",INDEX(_imp!$H$4:$H$4503,_imp!$C$4422))</f>
        <v/>
      </c>
      <c r="F4420" s="54">
        <f>IF(_imp!$C$4422="","",INDEX(_imp!$I$4:$I$4503,_imp!$C$4422))</f>
        <v/>
      </c>
      <c r="G4420" s="54">
        <f>IF(_imp!$C$4422="","",INDEX(_imp!$J$4:$J$4503,_imp!$C$4422))</f>
        <v/>
      </c>
      <c r="K4420" s="54">
        <f>IF(_imp!$C$4422="","",INDEX(_imp!$K$4:$K$4503,_imp!$C$4422))</f>
        <v/>
      </c>
    </row>
    <row r="4421">
      <c r="A4421" s="54">
        <f>IF(_imp!$C$4423="","",INDEX(_imp!$D$4:$D$4503,_imp!$C$4423))</f>
        <v/>
      </c>
      <c r="B4421" s="54">
        <f>IF(_imp!$C$4423="","",INDEX(_imp!$E$4:$E$4503,_imp!$C$4423))</f>
        <v/>
      </c>
      <c r="C4421" s="54">
        <f>IF(_imp!$C$4423="","",INDEX(_imp!$F$4:$F$4503,_imp!$C$4423))</f>
        <v/>
      </c>
      <c r="D4421" s="54">
        <f>IF(_imp!$C$4423="","",INDEX(_imp!$G$4:$G$4503,_imp!$C$4423))</f>
        <v/>
      </c>
      <c r="E4421" s="54">
        <f>IF(_imp!$C$4423="","",INDEX(_imp!$H$4:$H$4503,_imp!$C$4423))</f>
        <v/>
      </c>
      <c r="F4421" s="54">
        <f>IF(_imp!$C$4423="","",INDEX(_imp!$I$4:$I$4503,_imp!$C$4423))</f>
        <v/>
      </c>
      <c r="G4421" s="54">
        <f>IF(_imp!$C$4423="","",INDEX(_imp!$J$4:$J$4503,_imp!$C$4423))</f>
        <v/>
      </c>
      <c r="K4421" s="54">
        <f>IF(_imp!$C$4423="","",INDEX(_imp!$K$4:$K$4503,_imp!$C$4423))</f>
        <v/>
      </c>
    </row>
    <row r="4422">
      <c r="A4422" s="54">
        <f>IF(_imp!$C$4424="","",INDEX(_imp!$D$4:$D$4503,_imp!$C$4424))</f>
        <v/>
      </c>
      <c r="B4422" s="54">
        <f>IF(_imp!$C$4424="","",INDEX(_imp!$E$4:$E$4503,_imp!$C$4424))</f>
        <v/>
      </c>
      <c r="C4422" s="54">
        <f>IF(_imp!$C$4424="","",INDEX(_imp!$F$4:$F$4503,_imp!$C$4424))</f>
        <v/>
      </c>
      <c r="D4422" s="54">
        <f>IF(_imp!$C$4424="","",INDEX(_imp!$G$4:$G$4503,_imp!$C$4424))</f>
        <v/>
      </c>
      <c r="E4422" s="54">
        <f>IF(_imp!$C$4424="","",INDEX(_imp!$H$4:$H$4503,_imp!$C$4424))</f>
        <v/>
      </c>
      <c r="F4422" s="54">
        <f>IF(_imp!$C$4424="","",INDEX(_imp!$I$4:$I$4503,_imp!$C$4424))</f>
        <v/>
      </c>
      <c r="G4422" s="54">
        <f>IF(_imp!$C$4424="","",INDEX(_imp!$J$4:$J$4503,_imp!$C$4424))</f>
        <v/>
      </c>
      <c r="K4422" s="54">
        <f>IF(_imp!$C$4424="","",INDEX(_imp!$K$4:$K$4503,_imp!$C$4424))</f>
        <v/>
      </c>
    </row>
    <row r="4423">
      <c r="A4423" s="54">
        <f>IF(_imp!$C$4425="","",INDEX(_imp!$D$4:$D$4503,_imp!$C$4425))</f>
        <v/>
      </c>
      <c r="B4423" s="54">
        <f>IF(_imp!$C$4425="","",INDEX(_imp!$E$4:$E$4503,_imp!$C$4425))</f>
        <v/>
      </c>
      <c r="C4423" s="54">
        <f>IF(_imp!$C$4425="","",INDEX(_imp!$F$4:$F$4503,_imp!$C$4425))</f>
        <v/>
      </c>
      <c r="D4423" s="54">
        <f>IF(_imp!$C$4425="","",INDEX(_imp!$G$4:$G$4503,_imp!$C$4425))</f>
        <v/>
      </c>
      <c r="E4423" s="54">
        <f>IF(_imp!$C$4425="","",INDEX(_imp!$H$4:$H$4503,_imp!$C$4425))</f>
        <v/>
      </c>
      <c r="F4423" s="54">
        <f>IF(_imp!$C$4425="","",INDEX(_imp!$I$4:$I$4503,_imp!$C$4425))</f>
        <v/>
      </c>
      <c r="G4423" s="54">
        <f>IF(_imp!$C$4425="","",INDEX(_imp!$J$4:$J$4503,_imp!$C$4425))</f>
        <v/>
      </c>
      <c r="K4423" s="54">
        <f>IF(_imp!$C$4425="","",INDEX(_imp!$K$4:$K$4503,_imp!$C$4425))</f>
        <v/>
      </c>
    </row>
    <row r="4424">
      <c r="A4424" s="54">
        <f>IF(_imp!$C$4426="","",INDEX(_imp!$D$4:$D$4503,_imp!$C$4426))</f>
        <v/>
      </c>
      <c r="B4424" s="54">
        <f>IF(_imp!$C$4426="","",INDEX(_imp!$E$4:$E$4503,_imp!$C$4426))</f>
        <v/>
      </c>
      <c r="C4424" s="54">
        <f>IF(_imp!$C$4426="","",INDEX(_imp!$F$4:$F$4503,_imp!$C$4426))</f>
        <v/>
      </c>
      <c r="D4424" s="54">
        <f>IF(_imp!$C$4426="","",INDEX(_imp!$G$4:$G$4503,_imp!$C$4426))</f>
        <v/>
      </c>
      <c r="E4424" s="54">
        <f>IF(_imp!$C$4426="","",INDEX(_imp!$H$4:$H$4503,_imp!$C$4426))</f>
        <v/>
      </c>
      <c r="F4424" s="54">
        <f>IF(_imp!$C$4426="","",INDEX(_imp!$I$4:$I$4503,_imp!$C$4426))</f>
        <v/>
      </c>
      <c r="G4424" s="54">
        <f>IF(_imp!$C$4426="","",INDEX(_imp!$J$4:$J$4503,_imp!$C$4426))</f>
        <v/>
      </c>
      <c r="K4424" s="54">
        <f>IF(_imp!$C$4426="","",INDEX(_imp!$K$4:$K$4503,_imp!$C$4426))</f>
        <v/>
      </c>
    </row>
    <row r="4425">
      <c r="A4425" s="54">
        <f>IF(_imp!$C$4427="","",INDEX(_imp!$D$4:$D$4503,_imp!$C$4427))</f>
        <v/>
      </c>
      <c r="B4425" s="54">
        <f>IF(_imp!$C$4427="","",INDEX(_imp!$E$4:$E$4503,_imp!$C$4427))</f>
        <v/>
      </c>
      <c r="C4425" s="54">
        <f>IF(_imp!$C$4427="","",INDEX(_imp!$F$4:$F$4503,_imp!$C$4427))</f>
        <v/>
      </c>
      <c r="D4425" s="54">
        <f>IF(_imp!$C$4427="","",INDEX(_imp!$G$4:$G$4503,_imp!$C$4427))</f>
        <v/>
      </c>
      <c r="E4425" s="54">
        <f>IF(_imp!$C$4427="","",INDEX(_imp!$H$4:$H$4503,_imp!$C$4427))</f>
        <v/>
      </c>
      <c r="F4425" s="54">
        <f>IF(_imp!$C$4427="","",INDEX(_imp!$I$4:$I$4503,_imp!$C$4427))</f>
        <v/>
      </c>
      <c r="G4425" s="54">
        <f>IF(_imp!$C$4427="","",INDEX(_imp!$J$4:$J$4503,_imp!$C$4427))</f>
        <v/>
      </c>
      <c r="K4425" s="54">
        <f>IF(_imp!$C$4427="","",INDEX(_imp!$K$4:$K$4503,_imp!$C$4427))</f>
        <v/>
      </c>
    </row>
    <row r="4426">
      <c r="A4426" s="54">
        <f>IF(_imp!$C$4428="","",INDEX(_imp!$D$4:$D$4503,_imp!$C$4428))</f>
        <v/>
      </c>
      <c r="B4426" s="54">
        <f>IF(_imp!$C$4428="","",INDEX(_imp!$E$4:$E$4503,_imp!$C$4428))</f>
        <v/>
      </c>
      <c r="C4426" s="54">
        <f>IF(_imp!$C$4428="","",INDEX(_imp!$F$4:$F$4503,_imp!$C$4428))</f>
        <v/>
      </c>
      <c r="D4426" s="54">
        <f>IF(_imp!$C$4428="","",INDEX(_imp!$G$4:$G$4503,_imp!$C$4428))</f>
        <v/>
      </c>
      <c r="E4426" s="54">
        <f>IF(_imp!$C$4428="","",INDEX(_imp!$H$4:$H$4503,_imp!$C$4428))</f>
        <v/>
      </c>
      <c r="F4426" s="54">
        <f>IF(_imp!$C$4428="","",INDEX(_imp!$I$4:$I$4503,_imp!$C$4428))</f>
        <v/>
      </c>
      <c r="G4426" s="54">
        <f>IF(_imp!$C$4428="","",INDEX(_imp!$J$4:$J$4503,_imp!$C$4428))</f>
        <v/>
      </c>
      <c r="K4426" s="54">
        <f>IF(_imp!$C$4428="","",INDEX(_imp!$K$4:$K$4503,_imp!$C$4428))</f>
        <v/>
      </c>
    </row>
    <row r="4427">
      <c r="A4427" s="54">
        <f>IF(_imp!$C$4429="","",INDEX(_imp!$D$4:$D$4503,_imp!$C$4429))</f>
        <v/>
      </c>
      <c r="B4427" s="54">
        <f>IF(_imp!$C$4429="","",INDEX(_imp!$E$4:$E$4503,_imp!$C$4429))</f>
        <v/>
      </c>
      <c r="C4427" s="54">
        <f>IF(_imp!$C$4429="","",INDEX(_imp!$F$4:$F$4503,_imp!$C$4429))</f>
        <v/>
      </c>
      <c r="D4427" s="54">
        <f>IF(_imp!$C$4429="","",INDEX(_imp!$G$4:$G$4503,_imp!$C$4429))</f>
        <v/>
      </c>
      <c r="E4427" s="54">
        <f>IF(_imp!$C$4429="","",INDEX(_imp!$H$4:$H$4503,_imp!$C$4429))</f>
        <v/>
      </c>
      <c r="F4427" s="54">
        <f>IF(_imp!$C$4429="","",INDEX(_imp!$I$4:$I$4503,_imp!$C$4429))</f>
        <v/>
      </c>
      <c r="G4427" s="54">
        <f>IF(_imp!$C$4429="","",INDEX(_imp!$J$4:$J$4503,_imp!$C$4429))</f>
        <v/>
      </c>
      <c r="K4427" s="54">
        <f>IF(_imp!$C$4429="","",INDEX(_imp!$K$4:$K$4503,_imp!$C$4429))</f>
        <v/>
      </c>
    </row>
    <row r="4428">
      <c r="A4428" s="54">
        <f>IF(_imp!$C$4430="","",INDEX(_imp!$D$4:$D$4503,_imp!$C$4430))</f>
        <v/>
      </c>
      <c r="B4428" s="54">
        <f>IF(_imp!$C$4430="","",INDEX(_imp!$E$4:$E$4503,_imp!$C$4430))</f>
        <v/>
      </c>
      <c r="C4428" s="54">
        <f>IF(_imp!$C$4430="","",INDEX(_imp!$F$4:$F$4503,_imp!$C$4430))</f>
        <v/>
      </c>
      <c r="D4428" s="54">
        <f>IF(_imp!$C$4430="","",INDEX(_imp!$G$4:$G$4503,_imp!$C$4430))</f>
        <v/>
      </c>
      <c r="E4428" s="54">
        <f>IF(_imp!$C$4430="","",INDEX(_imp!$H$4:$H$4503,_imp!$C$4430))</f>
        <v/>
      </c>
      <c r="F4428" s="54">
        <f>IF(_imp!$C$4430="","",INDEX(_imp!$I$4:$I$4503,_imp!$C$4430))</f>
        <v/>
      </c>
      <c r="G4428" s="54">
        <f>IF(_imp!$C$4430="","",INDEX(_imp!$J$4:$J$4503,_imp!$C$4430))</f>
        <v/>
      </c>
      <c r="K4428" s="54">
        <f>IF(_imp!$C$4430="","",INDEX(_imp!$K$4:$K$4503,_imp!$C$4430))</f>
        <v/>
      </c>
    </row>
    <row r="4429">
      <c r="A4429" s="54">
        <f>IF(_imp!$C$4431="","",INDEX(_imp!$D$4:$D$4503,_imp!$C$4431))</f>
        <v/>
      </c>
      <c r="B4429" s="54">
        <f>IF(_imp!$C$4431="","",INDEX(_imp!$E$4:$E$4503,_imp!$C$4431))</f>
        <v/>
      </c>
      <c r="C4429" s="54">
        <f>IF(_imp!$C$4431="","",INDEX(_imp!$F$4:$F$4503,_imp!$C$4431))</f>
        <v/>
      </c>
      <c r="D4429" s="54">
        <f>IF(_imp!$C$4431="","",INDEX(_imp!$G$4:$G$4503,_imp!$C$4431))</f>
        <v/>
      </c>
      <c r="E4429" s="54">
        <f>IF(_imp!$C$4431="","",INDEX(_imp!$H$4:$H$4503,_imp!$C$4431))</f>
        <v/>
      </c>
      <c r="F4429" s="54">
        <f>IF(_imp!$C$4431="","",INDEX(_imp!$I$4:$I$4503,_imp!$C$4431))</f>
        <v/>
      </c>
      <c r="G4429" s="54">
        <f>IF(_imp!$C$4431="","",INDEX(_imp!$J$4:$J$4503,_imp!$C$4431))</f>
        <v/>
      </c>
      <c r="K4429" s="54">
        <f>IF(_imp!$C$4431="","",INDEX(_imp!$K$4:$K$4503,_imp!$C$4431))</f>
        <v/>
      </c>
    </row>
    <row r="4430">
      <c r="A4430" s="54">
        <f>IF(_imp!$C$4432="","",INDEX(_imp!$D$4:$D$4503,_imp!$C$4432))</f>
        <v/>
      </c>
      <c r="B4430" s="54">
        <f>IF(_imp!$C$4432="","",INDEX(_imp!$E$4:$E$4503,_imp!$C$4432))</f>
        <v/>
      </c>
      <c r="C4430" s="54">
        <f>IF(_imp!$C$4432="","",INDEX(_imp!$F$4:$F$4503,_imp!$C$4432))</f>
        <v/>
      </c>
      <c r="D4430" s="54">
        <f>IF(_imp!$C$4432="","",INDEX(_imp!$G$4:$G$4503,_imp!$C$4432))</f>
        <v/>
      </c>
      <c r="E4430" s="54">
        <f>IF(_imp!$C$4432="","",INDEX(_imp!$H$4:$H$4503,_imp!$C$4432))</f>
        <v/>
      </c>
      <c r="F4430" s="54">
        <f>IF(_imp!$C$4432="","",INDEX(_imp!$I$4:$I$4503,_imp!$C$4432))</f>
        <v/>
      </c>
      <c r="G4430" s="54">
        <f>IF(_imp!$C$4432="","",INDEX(_imp!$J$4:$J$4503,_imp!$C$4432))</f>
        <v/>
      </c>
      <c r="K4430" s="54">
        <f>IF(_imp!$C$4432="","",INDEX(_imp!$K$4:$K$4503,_imp!$C$4432))</f>
        <v/>
      </c>
    </row>
    <row r="4431">
      <c r="A4431" s="54">
        <f>IF(_imp!$C$4433="","",INDEX(_imp!$D$4:$D$4503,_imp!$C$4433))</f>
        <v/>
      </c>
      <c r="B4431" s="54">
        <f>IF(_imp!$C$4433="","",INDEX(_imp!$E$4:$E$4503,_imp!$C$4433))</f>
        <v/>
      </c>
      <c r="C4431" s="54">
        <f>IF(_imp!$C$4433="","",INDEX(_imp!$F$4:$F$4503,_imp!$C$4433))</f>
        <v/>
      </c>
      <c r="D4431" s="54">
        <f>IF(_imp!$C$4433="","",INDEX(_imp!$G$4:$G$4503,_imp!$C$4433))</f>
        <v/>
      </c>
      <c r="E4431" s="54">
        <f>IF(_imp!$C$4433="","",INDEX(_imp!$H$4:$H$4503,_imp!$C$4433))</f>
        <v/>
      </c>
      <c r="F4431" s="54">
        <f>IF(_imp!$C$4433="","",INDEX(_imp!$I$4:$I$4503,_imp!$C$4433))</f>
        <v/>
      </c>
      <c r="G4431" s="54">
        <f>IF(_imp!$C$4433="","",INDEX(_imp!$J$4:$J$4503,_imp!$C$4433))</f>
        <v/>
      </c>
      <c r="K4431" s="54">
        <f>IF(_imp!$C$4433="","",INDEX(_imp!$K$4:$K$4503,_imp!$C$4433))</f>
        <v/>
      </c>
    </row>
    <row r="4432">
      <c r="A4432" s="54">
        <f>IF(_imp!$C$4434="","",INDEX(_imp!$D$4:$D$4503,_imp!$C$4434))</f>
        <v/>
      </c>
      <c r="B4432" s="54">
        <f>IF(_imp!$C$4434="","",INDEX(_imp!$E$4:$E$4503,_imp!$C$4434))</f>
        <v/>
      </c>
      <c r="C4432" s="54">
        <f>IF(_imp!$C$4434="","",INDEX(_imp!$F$4:$F$4503,_imp!$C$4434))</f>
        <v/>
      </c>
      <c r="D4432" s="54">
        <f>IF(_imp!$C$4434="","",INDEX(_imp!$G$4:$G$4503,_imp!$C$4434))</f>
        <v/>
      </c>
      <c r="E4432" s="54">
        <f>IF(_imp!$C$4434="","",INDEX(_imp!$H$4:$H$4503,_imp!$C$4434))</f>
        <v/>
      </c>
      <c r="F4432" s="54">
        <f>IF(_imp!$C$4434="","",INDEX(_imp!$I$4:$I$4503,_imp!$C$4434))</f>
        <v/>
      </c>
      <c r="G4432" s="54">
        <f>IF(_imp!$C$4434="","",INDEX(_imp!$J$4:$J$4503,_imp!$C$4434))</f>
        <v/>
      </c>
      <c r="K4432" s="54">
        <f>IF(_imp!$C$4434="","",INDEX(_imp!$K$4:$K$4503,_imp!$C$4434))</f>
        <v/>
      </c>
    </row>
    <row r="4433">
      <c r="A4433" s="54">
        <f>IF(_imp!$C$4435="","",INDEX(_imp!$D$4:$D$4503,_imp!$C$4435))</f>
        <v/>
      </c>
      <c r="B4433" s="54">
        <f>IF(_imp!$C$4435="","",INDEX(_imp!$E$4:$E$4503,_imp!$C$4435))</f>
        <v/>
      </c>
      <c r="C4433" s="54">
        <f>IF(_imp!$C$4435="","",INDEX(_imp!$F$4:$F$4503,_imp!$C$4435))</f>
        <v/>
      </c>
      <c r="D4433" s="54">
        <f>IF(_imp!$C$4435="","",INDEX(_imp!$G$4:$G$4503,_imp!$C$4435))</f>
        <v/>
      </c>
      <c r="E4433" s="54">
        <f>IF(_imp!$C$4435="","",INDEX(_imp!$H$4:$H$4503,_imp!$C$4435))</f>
        <v/>
      </c>
      <c r="F4433" s="54">
        <f>IF(_imp!$C$4435="","",INDEX(_imp!$I$4:$I$4503,_imp!$C$4435))</f>
        <v/>
      </c>
      <c r="G4433" s="54">
        <f>IF(_imp!$C$4435="","",INDEX(_imp!$J$4:$J$4503,_imp!$C$4435))</f>
        <v/>
      </c>
      <c r="K4433" s="54">
        <f>IF(_imp!$C$4435="","",INDEX(_imp!$K$4:$K$4503,_imp!$C$4435))</f>
        <v/>
      </c>
    </row>
    <row r="4434">
      <c r="A4434" s="54">
        <f>IF(_imp!$C$4436="","",INDEX(_imp!$D$4:$D$4503,_imp!$C$4436))</f>
        <v/>
      </c>
      <c r="B4434" s="54">
        <f>IF(_imp!$C$4436="","",INDEX(_imp!$E$4:$E$4503,_imp!$C$4436))</f>
        <v/>
      </c>
      <c r="C4434" s="54">
        <f>IF(_imp!$C$4436="","",INDEX(_imp!$F$4:$F$4503,_imp!$C$4436))</f>
        <v/>
      </c>
      <c r="D4434" s="54">
        <f>IF(_imp!$C$4436="","",INDEX(_imp!$G$4:$G$4503,_imp!$C$4436))</f>
        <v/>
      </c>
      <c r="E4434" s="54">
        <f>IF(_imp!$C$4436="","",INDEX(_imp!$H$4:$H$4503,_imp!$C$4436))</f>
        <v/>
      </c>
      <c r="F4434" s="54">
        <f>IF(_imp!$C$4436="","",INDEX(_imp!$I$4:$I$4503,_imp!$C$4436))</f>
        <v/>
      </c>
      <c r="G4434" s="54">
        <f>IF(_imp!$C$4436="","",INDEX(_imp!$J$4:$J$4503,_imp!$C$4436))</f>
        <v/>
      </c>
      <c r="K4434" s="54">
        <f>IF(_imp!$C$4436="","",INDEX(_imp!$K$4:$K$4503,_imp!$C$4436))</f>
        <v/>
      </c>
    </row>
    <row r="4435">
      <c r="A4435" s="54">
        <f>IF(_imp!$C$4437="","",INDEX(_imp!$D$4:$D$4503,_imp!$C$4437))</f>
        <v/>
      </c>
      <c r="B4435" s="54">
        <f>IF(_imp!$C$4437="","",INDEX(_imp!$E$4:$E$4503,_imp!$C$4437))</f>
        <v/>
      </c>
      <c r="C4435" s="54">
        <f>IF(_imp!$C$4437="","",INDEX(_imp!$F$4:$F$4503,_imp!$C$4437))</f>
        <v/>
      </c>
      <c r="D4435" s="54">
        <f>IF(_imp!$C$4437="","",INDEX(_imp!$G$4:$G$4503,_imp!$C$4437))</f>
        <v/>
      </c>
      <c r="E4435" s="54">
        <f>IF(_imp!$C$4437="","",INDEX(_imp!$H$4:$H$4503,_imp!$C$4437))</f>
        <v/>
      </c>
      <c r="F4435" s="54">
        <f>IF(_imp!$C$4437="","",INDEX(_imp!$I$4:$I$4503,_imp!$C$4437))</f>
        <v/>
      </c>
      <c r="G4435" s="54">
        <f>IF(_imp!$C$4437="","",INDEX(_imp!$J$4:$J$4503,_imp!$C$4437))</f>
        <v/>
      </c>
      <c r="K4435" s="54">
        <f>IF(_imp!$C$4437="","",INDEX(_imp!$K$4:$K$4503,_imp!$C$4437))</f>
        <v/>
      </c>
    </row>
    <row r="4436">
      <c r="A4436" s="54">
        <f>IF(_imp!$C$4438="","",INDEX(_imp!$D$4:$D$4503,_imp!$C$4438))</f>
        <v/>
      </c>
      <c r="B4436" s="54">
        <f>IF(_imp!$C$4438="","",INDEX(_imp!$E$4:$E$4503,_imp!$C$4438))</f>
        <v/>
      </c>
      <c r="C4436" s="54">
        <f>IF(_imp!$C$4438="","",INDEX(_imp!$F$4:$F$4503,_imp!$C$4438))</f>
        <v/>
      </c>
      <c r="D4436" s="54">
        <f>IF(_imp!$C$4438="","",INDEX(_imp!$G$4:$G$4503,_imp!$C$4438))</f>
        <v/>
      </c>
      <c r="E4436" s="54">
        <f>IF(_imp!$C$4438="","",INDEX(_imp!$H$4:$H$4503,_imp!$C$4438))</f>
        <v/>
      </c>
      <c r="F4436" s="54">
        <f>IF(_imp!$C$4438="","",INDEX(_imp!$I$4:$I$4503,_imp!$C$4438))</f>
        <v/>
      </c>
      <c r="G4436" s="54">
        <f>IF(_imp!$C$4438="","",INDEX(_imp!$J$4:$J$4503,_imp!$C$4438))</f>
        <v/>
      </c>
      <c r="K4436" s="54">
        <f>IF(_imp!$C$4438="","",INDEX(_imp!$K$4:$K$4503,_imp!$C$4438))</f>
        <v/>
      </c>
    </row>
    <row r="4437">
      <c r="A4437" s="54">
        <f>IF(_imp!$C$4439="","",INDEX(_imp!$D$4:$D$4503,_imp!$C$4439))</f>
        <v/>
      </c>
      <c r="B4437" s="54">
        <f>IF(_imp!$C$4439="","",INDEX(_imp!$E$4:$E$4503,_imp!$C$4439))</f>
        <v/>
      </c>
      <c r="C4437" s="54">
        <f>IF(_imp!$C$4439="","",INDEX(_imp!$F$4:$F$4503,_imp!$C$4439))</f>
        <v/>
      </c>
      <c r="D4437" s="54">
        <f>IF(_imp!$C$4439="","",INDEX(_imp!$G$4:$G$4503,_imp!$C$4439))</f>
        <v/>
      </c>
      <c r="E4437" s="54">
        <f>IF(_imp!$C$4439="","",INDEX(_imp!$H$4:$H$4503,_imp!$C$4439))</f>
        <v/>
      </c>
      <c r="F4437" s="54">
        <f>IF(_imp!$C$4439="","",INDEX(_imp!$I$4:$I$4503,_imp!$C$4439))</f>
        <v/>
      </c>
      <c r="G4437" s="54">
        <f>IF(_imp!$C$4439="","",INDEX(_imp!$J$4:$J$4503,_imp!$C$4439))</f>
        <v/>
      </c>
      <c r="K4437" s="54">
        <f>IF(_imp!$C$4439="","",INDEX(_imp!$K$4:$K$4503,_imp!$C$4439))</f>
        <v/>
      </c>
    </row>
    <row r="4438">
      <c r="A4438" s="54">
        <f>IF(_imp!$C$4440="","",INDEX(_imp!$D$4:$D$4503,_imp!$C$4440))</f>
        <v/>
      </c>
      <c r="B4438" s="54">
        <f>IF(_imp!$C$4440="","",INDEX(_imp!$E$4:$E$4503,_imp!$C$4440))</f>
        <v/>
      </c>
      <c r="C4438" s="54">
        <f>IF(_imp!$C$4440="","",INDEX(_imp!$F$4:$F$4503,_imp!$C$4440))</f>
        <v/>
      </c>
      <c r="D4438" s="54">
        <f>IF(_imp!$C$4440="","",INDEX(_imp!$G$4:$G$4503,_imp!$C$4440))</f>
        <v/>
      </c>
      <c r="E4438" s="54">
        <f>IF(_imp!$C$4440="","",INDEX(_imp!$H$4:$H$4503,_imp!$C$4440))</f>
        <v/>
      </c>
      <c r="F4438" s="54">
        <f>IF(_imp!$C$4440="","",INDEX(_imp!$I$4:$I$4503,_imp!$C$4440))</f>
        <v/>
      </c>
      <c r="G4438" s="54">
        <f>IF(_imp!$C$4440="","",INDEX(_imp!$J$4:$J$4503,_imp!$C$4440))</f>
        <v/>
      </c>
      <c r="K4438" s="54">
        <f>IF(_imp!$C$4440="","",INDEX(_imp!$K$4:$K$4503,_imp!$C$4440))</f>
        <v/>
      </c>
    </row>
    <row r="4439">
      <c r="A4439" s="54">
        <f>IF(_imp!$C$4441="","",INDEX(_imp!$D$4:$D$4503,_imp!$C$4441))</f>
        <v/>
      </c>
      <c r="B4439" s="54">
        <f>IF(_imp!$C$4441="","",INDEX(_imp!$E$4:$E$4503,_imp!$C$4441))</f>
        <v/>
      </c>
      <c r="C4439" s="54">
        <f>IF(_imp!$C$4441="","",INDEX(_imp!$F$4:$F$4503,_imp!$C$4441))</f>
        <v/>
      </c>
      <c r="D4439" s="54">
        <f>IF(_imp!$C$4441="","",INDEX(_imp!$G$4:$G$4503,_imp!$C$4441))</f>
        <v/>
      </c>
      <c r="E4439" s="54">
        <f>IF(_imp!$C$4441="","",INDEX(_imp!$H$4:$H$4503,_imp!$C$4441))</f>
        <v/>
      </c>
      <c r="F4439" s="54">
        <f>IF(_imp!$C$4441="","",INDEX(_imp!$I$4:$I$4503,_imp!$C$4441))</f>
        <v/>
      </c>
      <c r="G4439" s="54">
        <f>IF(_imp!$C$4441="","",INDEX(_imp!$J$4:$J$4503,_imp!$C$4441))</f>
        <v/>
      </c>
      <c r="K4439" s="54">
        <f>IF(_imp!$C$4441="","",INDEX(_imp!$K$4:$K$4503,_imp!$C$4441))</f>
        <v/>
      </c>
    </row>
    <row r="4440">
      <c r="A4440" s="54">
        <f>IF(_imp!$C$4442="","",INDEX(_imp!$D$4:$D$4503,_imp!$C$4442))</f>
        <v/>
      </c>
      <c r="B4440" s="54">
        <f>IF(_imp!$C$4442="","",INDEX(_imp!$E$4:$E$4503,_imp!$C$4442))</f>
        <v/>
      </c>
      <c r="C4440" s="54">
        <f>IF(_imp!$C$4442="","",INDEX(_imp!$F$4:$F$4503,_imp!$C$4442))</f>
        <v/>
      </c>
      <c r="D4440" s="54">
        <f>IF(_imp!$C$4442="","",INDEX(_imp!$G$4:$G$4503,_imp!$C$4442))</f>
        <v/>
      </c>
      <c r="E4440" s="54">
        <f>IF(_imp!$C$4442="","",INDEX(_imp!$H$4:$H$4503,_imp!$C$4442))</f>
        <v/>
      </c>
      <c r="F4440" s="54">
        <f>IF(_imp!$C$4442="","",INDEX(_imp!$I$4:$I$4503,_imp!$C$4442))</f>
        <v/>
      </c>
      <c r="G4440" s="54">
        <f>IF(_imp!$C$4442="","",INDEX(_imp!$J$4:$J$4503,_imp!$C$4442))</f>
        <v/>
      </c>
      <c r="K4440" s="54">
        <f>IF(_imp!$C$4442="","",INDEX(_imp!$K$4:$K$4503,_imp!$C$4442))</f>
        <v/>
      </c>
    </row>
    <row r="4441">
      <c r="A4441" s="54">
        <f>IF(_imp!$C$4443="","",INDEX(_imp!$D$4:$D$4503,_imp!$C$4443))</f>
        <v/>
      </c>
      <c r="B4441" s="54">
        <f>IF(_imp!$C$4443="","",INDEX(_imp!$E$4:$E$4503,_imp!$C$4443))</f>
        <v/>
      </c>
      <c r="C4441" s="54">
        <f>IF(_imp!$C$4443="","",INDEX(_imp!$F$4:$F$4503,_imp!$C$4443))</f>
        <v/>
      </c>
      <c r="D4441" s="54">
        <f>IF(_imp!$C$4443="","",INDEX(_imp!$G$4:$G$4503,_imp!$C$4443))</f>
        <v/>
      </c>
      <c r="E4441" s="54">
        <f>IF(_imp!$C$4443="","",INDEX(_imp!$H$4:$H$4503,_imp!$C$4443))</f>
        <v/>
      </c>
      <c r="F4441" s="54">
        <f>IF(_imp!$C$4443="","",INDEX(_imp!$I$4:$I$4503,_imp!$C$4443))</f>
        <v/>
      </c>
      <c r="G4441" s="54">
        <f>IF(_imp!$C$4443="","",INDEX(_imp!$J$4:$J$4503,_imp!$C$4443))</f>
        <v/>
      </c>
      <c r="K4441" s="54">
        <f>IF(_imp!$C$4443="","",INDEX(_imp!$K$4:$K$4503,_imp!$C$4443))</f>
        <v/>
      </c>
    </row>
    <row r="4442">
      <c r="A4442" s="54">
        <f>IF(_imp!$C$4444="","",INDEX(_imp!$D$4:$D$4503,_imp!$C$4444))</f>
        <v/>
      </c>
      <c r="B4442" s="54">
        <f>IF(_imp!$C$4444="","",INDEX(_imp!$E$4:$E$4503,_imp!$C$4444))</f>
        <v/>
      </c>
      <c r="C4442" s="54">
        <f>IF(_imp!$C$4444="","",INDEX(_imp!$F$4:$F$4503,_imp!$C$4444))</f>
        <v/>
      </c>
      <c r="D4442" s="54">
        <f>IF(_imp!$C$4444="","",INDEX(_imp!$G$4:$G$4503,_imp!$C$4444))</f>
        <v/>
      </c>
      <c r="E4442" s="54">
        <f>IF(_imp!$C$4444="","",INDEX(_imp!$H$4:$H$4503,_imp!$C$4444))</f>
        <v/>
      </c>
      <c r="F4442" s="54">
        <f>IF(_imp!$C$4444="","",INDEX(_imp!$I$4:$I$4503,_imp!$C$4444))</f>
        <v/>
      </c>
      <c r="G4442" s="54">
        <f>IF(_imp!$C$4444="","",INDEX(_imp!$J$4:$J$4503,_imp!$C$4444))</f>
        <v/>
      </c>
      <c r="K4442" s="54">
        <f>IF(_imp!$C$4444="","",INDEX(_imp!$K$4:$K$4503,_imp!$C$4444))</f>
        <v/>
      </c>
    </row>
    <row r="4443">
      <c r="A4443" s="54">
        <f>IF(_imp!$C$4445="","",INDEX(_imp!$D$4:$D$4503,_imp!$C$4445))</f>
        <v/>
      </c>
      <c r="B4443" s="54">
        <f>IF(_imp!$C$4445="","",INDEX(_imp!$E$4:$E$4503,_imp!$C$4445))</f>
        <v/>
      </c>
      <c r="C4443" s="54">
        <f>IF(_imp!$C$4445="","",INDEX(_imp!$F$4:$F$4503,_imp!$C$4445))</f>
        <v/>
      </c>
      <c r="D4443" s="54">
        <f>IF(_imp!$C$4445="","",INDEX(_imp!$G$4:$G$4503,_imp!$C$4445))</f>
        <v/>
      </c>
      <c r="E4443" s="54">
        <f>IF(_imp!$C$4445="","",INDEX(_imp!$H$4:$H$4503,_imp!$C$4445))</f>
        <v/>
      </c>
      <c r="F4443" s="54">
        <f>IF(_imp!$C$4445="","",INDEX(_imp!$I$4:$I$4503,_imp!$C$4445))</f>
        <v/>
      </c>
      <c r="G4443" s="54">
        <f>IF(_imp!$C$4445="","",INDEX(_imp!$J$4:$J$4503,_imp!$C$4445))</f>
        <v/>
      </c>
      <c r="K4443" s="54">
        <f>IF(_imp!$C$4445="","",INDEX(_imp!$K$4:$K$4503,_imp!$C$4445))</f>
        <v/>
      </c>
    </row>
    <row r="4444">
      <c r="A4444" s="54">
        <f>IF(_imp!$C$4446="","",INDEX(_imp!$D$4:$D$4503,_imp!$C$4446))</f>
        <v/>
      </c>
      <c r="B4444" s="54">
        <f>IF(_imp!$C$4446="","",INDEX(_imp!$E$4:$E$4503,_imp!$C$4446))</f>
        <v/>
      </c>
      <c r="C4444" s="54">
        <f>IF(_imp!$C$4446="","",INDEX(_imp!$F$4:$F$4503,_imp!$C$4446))</f>
        <v/>
      </c>
      <c r="D4444" s="54">
        <f>IF(_imp!$C$4446="","",INDEX(_imp!$G$4:$G$4503,_imp!$C$4446))</f>
        <v/>
      </c>
      <c r="E4444" s="54">
        <f>IF(_imp!$C$4446="","",INDEX(_imp!$H$4:$H$4503,_imp!$C$4446))</f>
        <v/>
      </c>
      <c r="F4444" s="54">
        <f>IF(_imp!$C$4446="","",INDEX(_imp!$I$4:$I$4503,_imp!$C$4446))</f>
        <v/>
      </c>
      <c r="G4444" s="54">
        <f>IF(_imp!$C$4446="","",INDEX(_imp!$J$4:$J$4503,_imp!$C$4446))</f>
        <v/>
      </c>
      <c r="K4444" s="54">
        <f>IF(_imp!$C$4446="","",INDEX(_imp!$K$4:$K$4503,_imp!$C$4446))</f>
        <v/>
      </c>
    </row>
    <row r="4445">
      <c r="A4445" s="54">
        <f>IF(_imp!$C$4447="","",INDEX(_imp!$D$4:$D$4503,_imp!$C$4447))</f>
        <v/>
      </c>
      <c r="B4445" s="54">
        <f>IF(_imp!$C$4447="","",INDEX(_imp!$E$4:$E$4503,_imp!$C$4447))</f>
        <v/>
      </c>
      <c r="C4445" s="54">
        <f>IF(_imp!$C$4447="","",INDEX(_imp!$F$4:$F$4503,_imp!$C$4447))</f>
        <v/>
      </c>
      <c r="D4445" s="54">
        <f>IF(_imp!$C$4447="","",INDEX(_imp!$G$4:$G$4503,_imp!$C$4447))</f>
        <v/>
      </c>
      <c r="E4445" s="54">
        <f>IF(_imp!$C$4447="","",INDEX(_imp!$H$4:$H$4503,_imp!$C$4447))</f>
        <v/>
      </c>
      <c r="F4445" s="54">
        <f>IF(_imp!$C$4447="","",INDEX(_imp!$I$4:$I$4503,_imp!$C$4447))</f>
        <v/>
      </c>
      <c r="G4445" s="54">
        <f>IF(_imp!$C$4447="","",INDEX(_imp!$J$4:$J$4503,_imp!$C$4447))</f>
        <v/>
      </c>
      <c r="K4445" s="54">
        <f>IF(_imp!$C$4447="","",INDEX(_imp!$K$4:$K$4503,_imp!$C$4447))</f>
        <v/>
      </c>
    </row>
    <row r="4446">
      <c r="A4446" s="54">
        <f>IF(_imp!$C$4448="","",INDEX(_imp!$D$4:$D$4503,_imp!$C$4448))</f>
        <v/>
      </c>
      <c r="B4446" s="54">
        <f>IF(_imp!$C$4448="","",INDEX(_imp!$E$4:$E$4503,_imp!$C$4448))</f>
        <v/>
      </c>
      <c r="C4446" s="54">
        <f>IF(_imp!$C$4448="","",INDEX(_imp!$F$4:$F$4503,_imp!$C$4448))</f>
        <v/>
      </c>
      <c r="D4446" s="54">
        <f>IF(_imp!$C$4448="","",INDEX(_imp!$G$4:$G$4503,_imp!$C$4448))</f>
        <v/>
      </c>
      <c r="E4446" s="54">
        <f>IF(_imp!$C$4448="","",INDEX(_imp!$H$4:$H$4503,_imp!$C$4448))</f>
        <v/>
      </c>
      <c r="F4446" s="54">
        <f>IF(_imp!$C$4448="","",INDEX(_imp!$I$4:$I$4503,_imp!$C$4448))</f>
        <v/>
      </c>
      <c r="G4446" s="54">
        <f>IF(_imp!$C$4448="","",INDEX(_imp!$J$4:$J$4503,_imp!$C$4448))</f>
        <v/>
      </c>
      <c r="K4446" s="54">
        <f>IF(_imp!$C$4448="","",INDEX(_imp!$K$4:$K$4503,_imp!$C$4448))</f>
        <v/>
      </c>
    </row>
    <row r="4447">
      <c r="A4447" s="54">
        <f>IF(_imp!$C$4449="","",INDEX(_imp!$D$4:$D$4503,_imp!$C$4449))</f>
        <v/>
      </c>
      <c r="B4447" s="54">
        <f>IF(_imp!$C$4449="","",INDEX(_imp!$E$4:$E$4503,_imp!$C$4449))</f>
        <v/>
      </c>
      <c r="C4447" s="54">
        <f>IF(_imp!$C$4449="","",INDEX(_imp!$F$4:$F$4503,_imp!$C$4449))</f>
        <v/>
      </c>
      <c r="D4447" s="54">
        <f>IF(_imp!$C$4449="","",INDEX(_imp!$G$4:$G$4503,_imp!$C$4449))</f>
        <v/>
      </c>
      <c r="E4447" s="54">
        <f>IF(_imp!$C$4449="","",INDEX(_imp!$H$4:$H$4503,_imp!$C$4449))</f>
        <v/>
      </c>
      <c r="F4447" s="54">
        <f>IF(_imp!$C$4449="","",INDEX(_imp!$I$4:$I$4503,_imp!$C$4449))</f>
        <v/>
      </c>
      <c r="G4447" s="54">
        <f>IF(_imp!$C$4449="","",INDEX(_imp!$J$4:$J$4503,_imp!$C$4449))</f>
        <v/>
      </c>
      <c r="K4447" s="54">
        <f>IF(_imp!$C$4449="","",INDEX(_imp!$K$4:$K$4503,_imp!$C$4449))</f>
        <v/>
      </c>
    </row>
    <row r="4448">
      <c r="A4448" s="54">
        <f>IF(_imp!$C$4450="","",INDEX(_imp!$D$4:$D$4503,_imp!$C$4450))</f>
        <v/>
      </c>
      <c r="B4448" s="54">
        <f>IF(_imp!$C$4450="","",INDEX(_imp!$E$4:$E$4503,_imp!$C$4450))</f>
        <v/>
      </c>
      <c r="C4448" s="54">
        <f>IF(_imp!$C$4450="","",INDEX(_imp!$F$4:$F$4503,_imp!$C$4450))</f>
        <v/>
      </c>
      <c r="D4448" s="54">
        <f>IF(_imp!$C$4450="","",INDEX(_imp!$G$4:$G$4503,_imp!$C$4450))</f>
        <v/>
      </c>
      <c r="E4448" s="54">
        <f>IF(_imp!$C$4450="","",INDEX(_imp!$H$4:$H$4503,_imp!$C$4450))</f>
        <v/>
      </c>
      <c r="F4448" s="54">
        <f>IF(_imp!$C$4450="","",INDEX(_imp!$I$4:$I$4503,_imp!$C$4450))</f>
        <v/>
      </c>
      <c r="G4448" s="54">
        <f>IF(_imp!$C$4450="","",INDEX(_imp!$J$4:$J$4503,_imp!$C$4450))</f>
        <v/>
      </c>
      <c r="K4448" s="54">
        <f>IF(_imp!$C$4450="","",INDEX(_imp!$K$4:$K$4503,_imp!$C$4450))</f>
        <v/>
      </c>
    </row>
    <row r="4449">
      <c r="A4449" s="54">
        <f>IF(_imp!$C$4451="","",INDEX(_imp!$D$4:$D$4503,_imp!$C$4451))</f>
        <v/>
      </c>
      <c r="B4449" s="54">
        <f>IF(_imp!$C$4451="","",INDEX(_imp!$E$4:$E$4503,_imp!$C$4451))</f>
        <v/>
      </c>
      <c r="C4449" s="54">
        <f>IF(_imp!$C$4451="","",INDEX(_imp!$F$4:$F$4503,_imp!$C$4451))</f>
        <v/>
      </c>
      <c r="D4449" s="54">
        <f>IF(_imp!$C$4451="","",INDEX(_imp!$G$4:$G$4503,_imp!$C$4451))</f>
        <v/>
      </c>
      <c r="E4449" s="54">
        <f>IF(_imp!$C$4451="","",INDEX(_imp!$H$4:$H$4503,_imp!$C$4451))</f>
        <v/>
      </c>
      <c r="F4449" s="54">
        <f>IF(_imp!$C$4451="","",INDEX(_imp!$I$4:$I$4503,_imp!$C$4451))</f>
        <v/>
      </c>
      <c r="G4449" s="54">
        <f>IF(_imp!$C$4451="","",INDEX(_imp!$J$4:$J$4503,_imp!$C$4451))</f>
        <v/>
      </c>
      <c r="K4449" s="54">
        <f>IF(_imp!$C$4451="","",INDEX(_imp!$K$4:$K$4503,_imp!$C$4451))</f>
        <v/>
      </c>
    </row>
    <row r="4450">
      <c r="A4450" s="54">
        <f>IF(_imp!$C$4452="","",INDEX(_imp!$D$4:$D$4503,_imp!$C$4452))</f>
        <v/>
      </c>
      <c r="B4450" s="54">
        <f>IF(_imp!$C$4452="","",INDEX(_imp!$E$4:$E$4503,_imp!$C$4452))</f>
        <v/>
      </c>
      <c r="C4450" s="54">
        <f>IF(_imp!$C$4452="","",INDEX(_imp!$F$4:$F$4503,_imp!$C$4452))</f>
        <v/>
      </c>
      <c r="D4450" s="54">
        <f>IF(_imp!$C$4452="","",INDEX(_imp!$G$4:$G$4503,_imp!$C$4452))</f>
        <v/>
      </c>
      <c r="E4450" s="54">
        <f>IF(_imp!$C$4452="","",INDEX(_imp!$H$4:$H$4503,_imp!$C$4452))</f>
        <v/>
      </c>
      <c r="F4450" s="54">
        <f>IF(_imp!$C$4452="","",INDEX(_imp!$I$4:$I$4503,_imp!$C$4452))</f>
        <v/>
      </c>
      <c r="G4450" s="54">
        <f>IF(_imp!$C$4452="","",INDEX(_imp!$J$4:$J$4503,_imp!$C$4452))</f>
        <v/>
      </c>
      <c r="K4450" s="54">
        <f>IF(_imp!$C$4452="","",INDEX(_imp!$K$4:$K$4503,_imp!$C$4452))</f>
        <v/>
      </c>
    </row>
    <row r="4451">
      <c r="A4451" s="54">
        <f>IF(_imp!$C$4453="","",INDEX(_imp!$D$4:$D$4503,_imp!$C$4453))</f>
        <v/>
      </c>
      <c r="B4451" s="54">
        <f>IF(_imp!$C$4453="","",INDEX(_imp!$E$4:$E$4503,_imp!$C$4453))</f>
        <v/>
      </c>
      <c r="C4451" s="54">
        <f>IF(_imp!$C$4453="","",INDEX(_imp!$F$4:$F$4503,_imp!$C$4453))</f>
        <v/>
      </c>
      <c r="D4451" s="54">
        <f>IF(_imp!$C$4453="","",INDEX(_imp!$G$4:$G$4503,_imp!$C$4453))</f>
        <v/>
      </c>
      <c r="E4451" s="54">
        <f>IF(_imp!$C$4453="","",INDEX(_imp!$H$4:$H$4503,_imp!$C$4453))</f>
        <v/>
      </c>
      <c r="F4451" s="54">
        <f>IF(_imp!$C$4453="","",INDEX(_imp!$I$4:$I$4503,_imp!$C$4453))</f>
        <v/>
      </c>
      <c r="G4451" s="54">
        <f>IF(_imp!$C$4453="","",INDEX(_imp!$J$4:$J$4503,_imp!$C$4453))</f>
        <v/>
      </c>
      <c r="K4451" s="54">
        <f>IF(_imp!$C$4453="","",INDEX(_imp!$K$4:$K$4503,_imp!$C$4453))</f>
        <v/>
      </c>
    </row>
    <row r="4452">
      <c r="A4452" s="54">
        <f>IF(_imp!$C$4454="","",INDEX(_imp!$D$4:$D$4503,_imp!$C$4454))</f>
        <v/>
      </c>
      <c r="B4452" s="54">
        <f>IF(_imp!$C$4454="","",INDEX(_imp!$E$4:$E$4503,_imp!$C$4454))</f>
        <v/>
      </c>
      <c r="C4452" s="54">
        <f>IF(_imp!$C$4454="","",INDEX(_imp!$F$4:$F$4503,_imp!$C$4454))</f>
        <v/>
      </c>
      <c r="D4452" s="54">
        <f>IF(_imp!$C$4454="","",INDEX(_imp!$G$4:$G$4503,_imp!$C$4454))</f>
        <v/>
      </c>
      <c r="E4452" s="54">
        <f>IF(_imp!$C$4454="","",INDEX(_imp!$H$4:$H$4503,_imp!$C$4454))</f>
        <v/>
      </c>
      <c r="F4452" s="54">
        <f>IF(_imp!$C$4454="","",INDEX(_imp!$I$4:$I$4503,_imp!$C$4454))</f>
        <v/>
      </c>
      <c r="G4452" s="54">
        <f>IF(_imp!$C$4454="","",INDEX(_imp!$J$4:$J$4503,_imp!$C$4454))</f>
        <v/>
      </c>
      <c r="K4452" s="54">
        <f>IF(_imp!$C$4454="","",INDEX(_imp!$K$4:$K$4503,_imp!$C$4454))</f>
        <v/>
      </c>
    </row>
    <row r="4453">
      <c r="A4453" s="54">
        <f>IF(_imp!$C$4455="","",INDEX(_imp!$D$4:$D$4503,_imp!$C$4455))</f>
        <v/>
      </c>
      <c r="B4453" s="54">
        <f>IF(_imp!$C$4455="","",INDEX(_imp!$E$4:$E$4503,_imp!$C$4455))</f>
        <v/>
      </c>
      <c r="C4453" s="54">
        <f>IF(_imp!$C$4455="","",INDEX(_imp!$F$4:$F$4503,_imp!$C$4455))</f>
        <v/>
      </c>
      <c r="D4453" s="54">
        <f>IF(_imp!$C$4455="","",INDEX(_imp!$G$4:$G$4503,_imp!$C$4455))</f>
        <v/>
      </c>
      <c r="E4453" s="54">
        <f>IF(_imp!$C$4455="","",INDEX(_imp!$H$4:$H$4503,_imp!$C$4455))</f>
        <v/>
      </c>
      <c r="F4453" s="54">
        <f>IF(_imp!$C$4455="","",INDEX(_imp!$I$4:$I$4503,_imp!$C$4455))</f>
        <v/>
      </c>
      <c r="G4453" s="54">
        <f>IF(_imp!$C$4455="","",INDEX(_imp!$J$4:$J$4503,_imp!$C$4455))</f>
        <v/>
      </c>
      <c r="K4453" s="54">
        <f>IF(_imp!$C$4455="","",INDEX(_imp!$K$4:$K$4503,_imp!$C$4455))</f>
        <v/>
      </c>
    </row>
    <row r="4454">
      <c r="A4454" s="54">
        <f>IF(_imp!$C$4456="","",INDEX(_imp!$D$4:$D$4503,_imp!$C$4456))</f>
        <v/>
      </c>
      <c r="B4454" s="54">
        <f>IF(_imp!$C$4456="","",INDEX(_imp!$E$4:$E$4503,_imp!$C$4456))</f>
        <v/>
      </c>
      <c r="C4454" s="54">
        <f>IF(_imp!$C$4456="","",INDEX(_imp!$F$4:$F$4503,_imp!$C$4456))</f>
        <v/>
      </c>
      <c r="D4454" s="54">
        <f>IF(_imp!$C$4456="","",INDEX(_imp!$G$4:$G$4503,_imp!$C$4456))</f>
        <v/>
      </c>
      <c r="E4454" s="54">
        <f>IF(_imp!$C$4456="","",INDEX(_imp!$H$4:$H$4503,_imp!$C$4456))</f>
        <v/>
      </c>
      <c r="F4454" s="54">
        <f>IF(_imp!$C$4456="","",INDEX(_imp!$I$4:$I$4503,_imp!$C$4456))</f>
        <v/>
      </c>
      <c r="G4454" s="54">
        <f>IF(_imp!$C$4456="","",INDEX(_imp!$J$4:$J$4503,_imp!$C$4456))</f>
        <v/>
      </c>
      <c r="K4454" s="54">
        <f>IF(_imp!$C$4456="","",INDEX(_imp!$K$4:$K$4503,_imp!$C$4456))</f>
        <v/>
      </c>
    </row>
    <row r="4455">
      <c r="A4455" s="54">
        <f>IF(_imp!$C$4457="","",INDEX(_imp!$D$4:$D$4503,_imp!$C$4457))</f>
        <v/>
      </c>
      <c r="B4455" s="54">
        <f>IF(_imp!$C$4457="","",INDEX(_imp!$E$4:$E$4503,_imp!$C$4457))</f>
        <v/>
      </c>
      <c r="C4455" s="54">
        <f>IF(_imp!$C$4457="","",INDEX(_imp!$F$4:$F$4503,_imp!$C$4457))</f>
        <v/>
      </c>
      <c r="D4455" s="54">
        <f>IF(_imp!$C$4457="","",INDEX(_imp!$G$4:$G$4503,_imp!$C$4457))</f>
        <v/>
      </c>
      <c r="E4455" s="54">
        <f>IF(_imp!$C$4457="","",INDEX(_imp!$H$4:$H$4503,_imp!$C$4457))</f>
        <v/>
      </c>
      <c r="F4455" s="54">
        <f>IF(_imp!$C$4457="","",INDEX(_imp!$I$4:$I$4503,_imp!$C$4457))</f>
        <v/>
      </c>
      <c r="G4455" s="54">
        <f>IF(_imp!$C$4457="","",INDEX(_imp!$J$4:$J$4503,_imp!$C$4457))</f>
        <v/>
      </c>
      <c r="K4455" s="54">
        <f>IF(_imp!$C$4457="","",INDEX(_imp!$K$4:$K$4503,_imp!$C$4457))</f>
        <v/>
      </c>
    </row>
    <row r="4456">
      <c r="A4456" s="54">
        <f>IF(_imp!$C$4458="","",INDEX(_imp!$D$4:$D$4503,_imp!$C$4458))</f>
        <v/>
      </c>
      <c r="B4456" s="54">
        <f>IF(_imp!$C$4458="","",INDEX(_imp!$E$4:$E$4503,_imp!$C$4458))</f>
        <v/>
      </c>
      <c r="C4456" s="54">
        <f>IF(_imp!$C$4458="","",INDEX(_imp!$F$4:$F$4503,_imp!$C$4458))</f>
        <v/>
      </c>
      <c r="D4456" s="54">
        <f>IF(_imp!$C$4458="","",INDEX(_imp!$G$4:$G$4503,_imp!$C$4458))</f>
        <v/>
      </c>
      <c r="E4456" s="54">
        <f>IF(_imp!$C$4458="","",INDEX(_imp!$H$4:$H$4503,_imp!$C$4458))</f>
        <v/>
      </c>
      <c r="F4456" s="54">
        <f>IF(_imp!$C$4458="","",INDEX(_imp!$I$4:$I$4503,_imp!$C$4458))</f>
        <v/>
      </c>
      <c r="G4456" s="54">
        <f>IF(_imp!$C$4458="","",INDEX(_imp!$J$4:$J$4503,_imp!$C$4458))</f>
        <v/>
      </c>
      <c r="K4456" s="54">
        <f>IF(_imp!$C$4458="","",INDEX(_imp!$K$4:$K$4503,_imp!$C$4458))</f>
        <v/>
      </c>
    </row>
    <row r="4457">
      <c r="A4457" s="54">
        <f>IF(_imp!$C$4459="","",INDEX(_imp!$D$4:$D$4503,_imp!$C$4459))</f>
        <v/>
      </c>
      <c r="B4457" s="54">
        <f>IF(_imp!$C$4459="","",INDEX(_imp!$E$4:$E$4503,_imp!$C$4459))</f>
        <v/>
      </c>
      <c r="C4457" s="54">
        <f>IF(_imp!$C$4459="","",INDEX(_imp!$F$4:$F$4503,_imp!$C$4459))</f>
        <v/>
      </c>
      <c r="D4457" s="54">
        <f>IF(_imp!$C$4459="","",INDEX(_imp!$G$4:$G$4503,_imp!$C$4459))</f>
        <v/>
      </c>
      <c r="E4457" s="54">
        <f>IF(_imp!$C$4459="","",INDEX(_imp!$H$4:$H$4503,_imp!$C$4459))</f>
        <v/>
      </c>
      <c r="F4457" s="54">
        <f>IF(_imp!$C$4459="","",INDEX(_imp!$I$4:$I$4503,_imp!$C$4459))</f>
        <v/>
      </c>
      <c r="G4457" s="54">
        <f>IF(_imp!$C$4459="","",INDEX(_imp!$J$4:$J$4503,_imp!$C$4459))</f>
        <v/>
      </c>
      <c r="K4457" s="54">
        <f>IF(_imp!$C$4459="","",INDEX(_imp!$K$4:$K$4503,_imp!$C$4459))</f>
        <v/>
      </c>
    </row>
    <row r="4458">
      <c r="A4458" s="54">
        <f>IF(_imp!$C$4460="","",INDEX(_imp!$D$4:$D$4503,_imp!$C$4460))</f>
        <v/>
      </c>
      <c r="B4458" s="54">
        <f>IF(_imp!$C$4460="","",INDEX(_imp!$E$4:$E$4503,_imp!$C$4460))</f>
        <v/>
      </c>
      <c r="C4458" s="54">
        <f>IF(_imp!$C$4460="","",INDEX(_imp!$F$4:$F$4503,_imp!$C$4460))</f>
        <v/>
      </c>
      <c r="D4458" s="54">
        <f>IF(_imp!$C$4460="","",INDEX(_imp!$G$4:$G$4503,_imp!$C$4460))</f>
        <v/>
      </c>
      <c r="E4458" s="54">
        <f>IF(_imp!$C$4460="","",INDEX(_imp!$H$4:$H$4503,_imp!$C$4460))</f>
        <v/>
      </c>
      <c r="F4458" s="54">
        <f>IF(_imp!$C$4460="","",INDEX(_imp!$I$4:$I$4503,_imp!$C$4460))</f>
        <v/>
      </c>
      <c r="G4458" s="54">
        <f>IF(_imp!$C$4460="","",INDEX(_imp!$J$4:$J$4503,_imp!$C$4460))</f>
        <v/>
      </c>
      <c r="K4458" s="54">
        <f>IF(_imp!$C$4460="","",INDEX(_imp!$K$4:$K$4503,_imp!$C$4460))</f>
        <v/>
      </c>
    </row>
    <row r="4459">
      <c r="A4459" s="54">
        <f>IF(_imp!$C$4461="","",INDEX(_imp!$D$4:$D$4503,_imp!$C$4461))</f>
        <v/>
      </c>
      <c r="B4459" s="54">
        <f>IF(_imp!$C$4461="","",INDEX(_imp!$E$4:$E$4503,_imp!$C$4461))</f>
        <v/>
      </c>
      <c r="C4459" s="54">
        <f>IF(_imp!$C$4461="","",INDEX(_imp!$F$4:$F$4503,_imp!$C$4461))</f>
        <v/>
      </c>
      <c r="D4459" s="54">
        <f>IF(_imp!$C$4461="","",INDEX(_imp!$G$4:$G$4503,_imp!$C$4461))</f>
        <v/>
      </c>
      <c r="E4459" s="54">
        <f>IF(_imp!$C$4461="","",INDEX(_imp!$H$4:$H$4503,_imp!$C$4461))</f>
        <v/>
      </c>
      <c r="F4459" s="54">
        <f>IF(_imp!$C$4461="","",INDEX(_imp!$I$4:$I$4503,_imp!$C$4461))</f>
        <v/>
      </c>
      <c r="G4459" s="54">
        <f>IF(_imp!$C$4461="","",INDEX(_imp!$J$4:$J$4503,_imp!$C$4461))</f>
        <v/>
      </c>
      <c r="K4459" s="54">
        <f>IF(_imp!$C$4461="","",INDEX(_imp!$K$4:$K$4503,_imp!$C$4461))</f>
        <v/>
      </c>
    </row>
    <row r="4460">
      <c r="A4460" s="54">
        <f>IF(_imp!$C$4462="","",INDEX(_imp!$D$4:$D$4503,_imp!$C$4462))</f>
        <v/>
      </c>
      <c r="B4460" s="54">
        <f>IF(_imp!$C$4462="","",INDEX(_imp!$E$4:$E$4503,_imp!$C$4462))</f>
        <v/>
      </c>
      <c r="C4460" s="54">
        <f>IF(_imp!$C$4462="","",INDEX(_imp!$F$4:$F$4503,_imp!$C$4462))</f>
        <v/>
      </c>
      <c r="D4460" s="54">
        <f>IF(_imp!$C$4462="","",INDEX(_imp!$G$4:$G$4503,_imp!$C$4462))</f>
        <v/>
      </c>
      <c r="E4460" s="54">
        <f>IF(_imp!$C$4462="","",INDEX(_imp!$H$4:$H$4503,_imp!$C$4462))</f>
        <v/>
      </c>
      <c r="F4460" s="54">
        <f>IF(_imp!$C$4462="","",INDEX(_imp!$I$4:$I$4503,_imp!$C$4462))</f>
        <v/>
      </c>
      <c r="G4460" s="54">
        <f>IF(_imp!$C$4462="","",INDEX(_imp!$J$4:$J$4503,_imp!$C$4462))</f>
        <v/>
      </c>
      <c r="K4460" s="54">
        <f>IF(_imp!$C$4462="","",INDEX(_imp!$K$4:$K$4503,_imp!$C$4462))</f>
        <v/>
      </c>
    </row>
    <row r="4461">
      <c r="A4461" s="54">
        <f>IF(_imp!$C$4463="","",INDEX(_imp!$D$4:$D$4503,_imp!$C$4463))</f>
        <v/>
      </c>
      <c r="B4461" s="54">
        <f>IF(_imp!$C$4463="","",INDEX(_imp!$E$4:$E$4503,_imp!$C$4463))</f>
        <v/>
      </c>
      <c r="C4461" s="54">
        <f>IF(_imp!$C$4463="","",INDEX(_imp!$F$4:$F$4503,_imp!$C$4463))</f>
        <v/>
      </c>
      <c r="D4461" s="54">
        <f>IF(_imp!$C$4463="","",INDEX(_imp!$G$4:$G$4503,_imp!$C$4463))</f>
        <v/>
      </c>
      <c r="E4461" s="54">
        <f>IF(_imp!$C$4463="","",INDEX(_imp!$H$4:$H$4503,_imp!$C$4463))</f>
        <v/>
      </c>
      <c r="F4461" s="54">
        <f>IF(_imp!$C$4463="","",INDEX(_imp!$I$4:$I$4503,_imp!$C$4463))</f>
        <v/>
      </c>
      <c r="G4461" s="54">
        <f>IF(_imp!$C$4463="","",INDEX(_imp!$J$4:$J$4503,_imp!$C$4463))</f>
        <v/>
      </c>
      <c r="K4461" s="54">
        <f>IF(_imp!$C$4463="","",INDEX(_imp!$K$4:$K$4503,_imp!$C$4463))</f>
        <v/>
      </c>
    </row>
    <row r="4462">
      <c r="A4462" s="54">
        <f>IF(_imp!$C$4464="","",INDEX(_imp!$D$4:$D$4503,_imp!$C$4464))</f>
        <v/>
      </c>
      <c r="B4462" s="54">
        <f>IF(_imp!$C$4464="","",INDEX(_imp!$E$4:$E$4503,_imp!$C$4464))</f>
        <v/>
      </c>
      <c r="C4462" s="54">
        <f>IF(_imp!$C$4464="","",INDEX(_imp!$F$4:$F$4503,_imp!$C$4464))</f>
        <v/>
      </c>
      <c r="D4462" s="54">
        <f>IF(_imp!$C$4464="","",INDEX(_imp!$G$4:$G$4503,_imp!$C$4464))</f>
        <v/>
      </c>
      <c r="E4462" s="54">
        <f>IF(_imp!$C$4464="","",INDEX(_imp!$H$4:$H$4503,_imp!$C$4464))</f>
        <v/>
      </c>
      <c r="F4462" s="54">
        <f>IF(_imp!$C$4464="","",INDEX(_imp!$I$4:$I$4503,_imp!$C$4464))</f>
        <v/>
      </c>
      <c r="G4462" s="54">
        <f>IF(_imp!$C$4464="","",INDEX(_imp!$J$4:$J$4503,_imp!$C$4464))</f>
        <v/>
      </c>
      <c r="K4462" s="54">
        <f>IF(_imp!$C$4464="","",INDEX(_imp!$K$4:$K$4503,_imp!$C$4464))</f>
        <v/>
      </c>
    </row>
    <row r="4463">
      <c r="A4463" s="54">
        <f>IF(_imp!$C$4465="","",INDEX(_imp!$D$4:$D$4503,_imp!$C$4465))</f>
        <v/>
      </c>
      <c r="B4463" s="54">
        <f>IF(_imp!$C$4465="","",INDEX(_imp!$E$4:$E$4503,_imp!$C$4465))</f>
        <v/>
      </c>
      <c r="C4463" s="54">
        <f>IF(_imp!$C$4465="","",INDEX(_imp!$F$4:$F$4503,_imp!$C$4465))</f>
        <v/>
      </c>
      <c r="D4463" s="54">
        <f>IF(_imp!$C$4465="","",INDEX(_imp!$G$4:$G$4503,_imp!$C$4465))</f>
        <v/>
      </c>
      <c r="E4463" s="54">
        <f>IF(_imp!$C$4465="","",INDEX(_imp!$H$4:$H$4503,_imp!$C$4465))</f>
        <v/>
      </c>
      <c r="F4463" s="54">
        <f>IF(_imp!$C$4465="","",INDEX(_imp!$I$4:$I$4503,_imp!$C$4465))</f>
        <v/>
      </c>
      <c r="G4463" s="54">
        <f>IF(_imp!$C$4465="","",INDEX(_imp!$J$4:$J$4503,_imp!$C$4465))</f>
        <v/>
      </c>
      <c r="K4463" s="54">
        <f>IF(_imp!$C$4465="","",INDEX(_imp!$K$4:$K$4503,_imp!$C$4465))</f>
        <v/>
      </c>
    </row>
    <row r="4464">
      <c r="A4464" s="54">
        <f>IF(_imp!$C$4466="","",INDEX(_imp!$D$4:$D$4503,_imp!$C$4466))</f>
        <v/>
      </c>
      <c r="B4464" s="54">
        <f>IF(_imp!$C$4466="","",INDEX(_imp!$E$4:$E$4503,_imp!$C$4466))</f>
        <v/>
      </c>
      <c r="C4464" s="54">
        <f>IF(_imp!$C$4466="","",INDEX(_imp!$F$4:$F$4503,_imp!$C$4466))</f>
        <v/>
      </c>
      <c r="D4464" s="54">
        <f>IF(_imp!$C$4466="","",INDEX(_imp!$G$4:$G$4503,_imp!$C$4466))</f>
        <v/>
      </c>
      <c r="E4464" s="54">
        <f>IF(_imp!$C$4466="","",INDEX(_imp!$H$4:$H$4503,_imp!$C$4466))</f>
        <v/>
      </c>
      <c r="F4464" s="54">
        <f>IF(_imp!$C$4466="","",INDEX(_imp!$I$4:$I$4503,_imp!$C$4466))</f>
        <v/>
      </c>
      <c r="G4464" s="54">
        <f>IF(_imp!$C$4466="","",INDEX(_imp!$J$4:$J$4503,_imp!$C$4466))</f>
        <v/>
      </c>
      <c r="K4464" s="54">
        <f>IF(_imp!$C$4466="","",INDEX(_imp!$K$4:$K$4503,_imp!$C$4466))</f>
        <v/>
      </c>
    </row>
    <row r="4465">
      <c r="A4465" s="54">
        <f>IF(_imp!$C$4467="","",INDEX(_imp!$D$4:$D$4503,_imp!$C$4467))</f>
        <v/>
      </c>
      <c r="B4465" s="54">
        <f>IF(_imp!$C$4467="","",INDEX(_imp!$E$4:$E$4503,_imp!$C$4467))</f>
        <v/>
      </c>
      <c r="C4465" s="54">
        <f>IF(_imp!$C$4467="","",INDEX(_imp!$F$4:$F$4503,_imp!$C$4467))</f>
        <v/>
      </c>
      <c r="D4465" s="54">
        <f>IF(_imp!$C$4467="","",INDEX(_imp!$G$4:$G$4503,_imp!$C$4467))</f>
        <v/>
      </c>
      <c r="E4465" s="54">
        <f>IF(_imp!$C$4467="","",INDEX(_imp!$H$4:$H$4503,_imp!$C$4467))</f>
        <v/>
      </c>
      <c r="F4465" s="54">
        <f>IF(_imp!$C$4467="","",INDEX(_imp!$I$4:$I$4503,_imp!$C$4467))</f>
        <v/>
      </c>
      <c r="G4465" s="54">
        <f>IF(_imp!$C$4467="","",INDEX(_imp!$J$4:$J$4503,_imp!$C$4467))</f>
        <v/>
      </c>
      <c r="K4465" s="54">
        <f>IF(_imp!$C$4467="","",INDEX(_imp!$K$4:$K$4503,_imp!$C$4467))</f>
        <v/>
      </c>
    </row>
    <row r="4466">
      <c r="A4466" s="54">
        <f>IF(_imp!$C$4468="","",INDEX(_imp!$D$4:$D$4503,_imp!$C$4468))</f>
        <v/>
      </c>
      <c r="B4466" s="54">
        <f>IF(_imp!$C$4468="","",INDEX(_imp!$E$4:$E$4503,_imp!$C$4468))</f>
        <v/>
      </c>
      <c r="C4466" s="54">
        <f>IF(_imp!$C$4468="","",INDEX(_imp!$F$4:$F$4503,_imp!$C$4468))</f>
        <v/>
      </c>
      <c r="D4466" s="54">
        <f>IF(_imp!$C$4468="","",INDEX(_imp!$G$4:$G$4503,_imp!$C$4468))</f>
        <v/>
      </c>
      <c r="E4466" s="54">
        <f>IF(_imp!$C$4468="","",INDEX(_imp!$H$4:$H$4503,_imp!$C$4468))</f>
        <v/>
      </c>
      <c r="F4466" s="54">
        <f>IF(_imp!$C$4468="","",INDEX(_imp!$I$4:$I$4503,_imp!$C$4468))</f>
        <v/>
      </c>
      <c r="G4466" s="54">
        <f>IF(_imp!$C$4468="","",INDEX(_imp!$J$4:$J$4503,_imp!$C$4468))</f>
        <v/>
      </c>
      <c r="K4466" s="54">
        <f>IF(_imp!$C$4468="","",INDEX(_imp!$K$4:$K$4503,_imp!$C$4468))</f>
        <v/>
      </c>
    </row>
    <row r="4467">
      <c r="A4467" s="54">
        <f>IF(_imp!$C$4469="","",INDEX(_imp!$D$4:$D$4503,_imp!$C$4469))</f>
        <v/>
      </c>
      <c r="B4467" s="54">
        <f>IF(_imp!$C$4469="","",INDEX(_imp!$E$4:$E$4503,_imp!$C$4469))</f>
        <v/>
      </c>
      <c r="C4467" s="54">
        <f>IF(_imp!$C$4469="","",INDEX(_imp!$F$4:$F$4503,_imp!$C$4469))</f>
        <v/>
      </c>
      <c r="D4467" s="54">
        <f>IF(_imp!$C$4469="","",INDEX(_imp!$G$4:$G$4503,_imp!$C$4469))</f>
        <v/>
      </c>
      <c r="E4467" s="54">
        <f>IF(_imp!$C$4469="","",INDEX(_imp!$H$4:$H$4503,_imp!$C$4469))</f>
        <v/>
      </c>
      <c r="F4467" s="54">
        <f>IF(_imp!$C$4469="","",INDEX(_imp!$I$4:$I$4503,_imp!$C$4469))</f>
        <v/>
      </c>
      <c r="G4467" s="54">
        <f>IF(_imp!$C$4469="","",INDEX(_imp!$J$4:$J$4503,_imp!$C$4469))</f>
        <v/>
      </c>
      <c r="K4467" s="54">
        <f>IF(_imp!$C$4469="","",INDEX(_imp!$K$4:$K$4503,_imp!$C$4469))</f>
        <v/>
      </c>
    </row>
    <row r="4468">
      <c r="A4468" s="54">
        <f>IF(_imp!$C$4470="","",INDEX(_imp!$D$4:$D$4503,_imp!$C$4470))</f>
        <v/>
      </c>
      <c r="B4468" s="54">
        <f>IF(_imp!$C$4470="","",INDEX(_imp!$E$4:$E$4503,_imp!$C$4470))</f>
        <v/>
      </c>
      <c r="C4468" s="54">
        <f>IF(_imp!$C$4470="","",INDEX(_imp!$F$4:$F$4503,_imp!$C$4470))</f>
        <v/>
      </c>
      <c r="D4468" s="54">
        <f>IF(_imp!$C$4470="","",INDEX(_imp!$G$4:$G$4503,_imp!$C$4470))</f>
        <v/>
      </c>
      <c r="E4468" s="54">
        <f>IF(_imp!$C$4470="","",INDEX(_imp!$H$4:$H$4503,_imp!$C$4470))</f>
        <v/>
      </c>
      <c r="F4468" s="54">
        <f>IF(_imp!$C$4470="","",INDEX(_imp!$I$4:$I$4503,_imp!$C$4470))</f>
        <v/>
      </c>
      <c r="G4468" s="54">
        <f>IF(_imp!$C$4470="","",INDEX(_imp!$J$4:$J$4503,_imp!$C$4470))</f>
        <v/>
      </c>
      <c r="K4468" s="54">
        <f>IF(_imp!$C$4470="","",INDEX(_imp!$K$4:$K$4503,_imp!$C$4470))</f>
        <v/>
      </c>
    </row>
    <row r="4469">
      <c r="A4469" s="54">
        <f>IF(_imp!$C$4471="","",INDEX(_imp!$D$4:$D$4503,_imp!$C$4471))</f>
        <v/>
      </c>
      <c r="B4469" s="54">
        <f>IF(_imp!$C$4471="","",INDEX(_imp!$E$4:$E$4503,_imp!$C$4471))</f>
        <v/>
      </c>
      <c r="C4469" s="54">
        <f>IF(_imp!$C$4471="","",INDEX(_imp!$F$4:$F$4503,_imp!$C$4471))</f>
        <v/>
      </c>
      <c r="D4469" s="54">
        <f>IF(_imp!$C$4471="","",INDEX(_imp!$G$4:$G$4503,_imp!$C$4471))</f>
        <v/>
      </c>
      <c r="E4469" s="54">
        <f>IF(_imp!$C$4471="","",INDEX(_imp!$H$4:$H$4503,_imp!$C$4471))</f>
        <v/>
      </c>
      <c r="F4469" s="54">
        <f>IF(_imp!$C$4471="","",INDEX(_imp!$I$4:$I$4503,_imp!$C$4471))</f>
        <v/>
      </c>
      <c r="G4469" s="54">
        <f>IF(_imp!$C$4471="","",INDEX(_imp!$J$4:$J$4503,_imp!$C$4471))</f>
        <v/>
      </c>
      <c r="K4469" s="54">
        <f>IF(_imp!$C$4471="","",INDEX(_imp!$K$4:$K$4503,_imp!$C$4471))</f>
        <v/>
      </c>
    </row>
    <row r="4470">
      <c r="A4470" s="54">
        <f>IF(_imp!$C$4472="","",INDEX(_imp!$D$4:$D$4503,_imp!$C$4472))</f>
        <v/>
      </c>
      <c r="B4470" s="54">
        <f>IF(_imp!$C$4472="","",INDEX(_imp!$E$4:$E$4503,_imp!$C$4472))</f>
        <v/>
      </c>
      <c r="C4470" s="54">
        <f>IF(_imp!$C$4472="","",INDEX(_imp!$F$4:$F$4503,_imp!$C$4472))</f>
        <v/>
      </c>
      <c r="D4470" s="54">
        <f>IF(_imp!$C$4472="","",INDEX(_imp!$G$4:$G$4503,_imp!$C$4472))</f>
        <v/>
      </c>
      <c r="E4470" s="54">
        <f>IF(_imp!$C$4472="","",INDEX(_imp!$H$4:$H$4503,_imp!$C$4472))</f>
        <v/>
      </c>
      <c r="F4470" s="54">
        <f>IF(_imp!$C$4472="","",INDEX(_imp!$I$4:$I$4503,_imp!$C$4472))</f>
        <v/>
      </c>
      <c r="G4470" s="54">
        <f>IF(_imp!$C$4472="","",INDEX(_imp!$J$4:$J$4503,_imp!$C$4472))</f>
        <v/>
      </c>
      <c r="K4470" s="54">
        <f>IF(_imp!$C$4472="","",INDEX(_imp!$K$4:$K$4503,_imp!$C$4472))</f>
        <v/>
      </c>
    </row>
    <row r="4471">
      <c r="A4471" s="54">
        <f>IF(_imp!$C$4473="","",INDEX(_imp!$D$4:$D$4503,_imp!$C$4473))</f>
        <v/>
      </c>
      <c r="B4471" s="54">
        <f>IF(_imp!$C$4473="","",INDEX(_imp!$E$4:$E$4503,_imp!$C$4473))</f>
        <v/>
      </c>
      <c r="C4471" s="54">
        <f>IF(_imp!$C$4473="","",INDEX(_imp!$F$4:$F$4503,_imp!$C$4473))</f>
        <v/>
      </c>
      <c r="D4471" s="54">
        <f>IF(_imp!$C$4473="","",INDEX(_imp!$G$4:$G$4503,_imp!$C$4473))</f>
        <v/>
      </c>
      <c r="E4471" s="54">
        <f>IF(_imp!$C$4473="","",INDEX(_imp!$H$4:$H$4503,_imp!$C$4473))</f>
        <v/>
      </c>
      <c r="F4471" s="54">
        <f>IF(_imp!$C$4473="","",INDEX(_imp!$I$4:$I$4503,_imp!$C$4473))</f>
        <v/>
      </c>
      <c r="G4471" s="54">
        <f>IF(_imp!$C$4473="","",INDEX(_imp!$J$4:$J$4503,_imp!$C$4473))</f>
        <v/>
      </c>
      <c r="K4471" s="54">
        <f>IF(_imp!$C$4473="","",INDEX(_imp!$K$4:$K$4503,_imp!$C$4473))</f>
        <v/>
      </c>
    </row>
    <row r="4472">
      <c r="A4472" s="54">
        <f>IF(_imp!$C$4474="","",INDEX(_imp!$D$4:$D$4503,_imp!$C$4474))</f>
        <v/>
      </c>
      <c r="B4472" s="54">
        <f>IF(_imp!$C$4474="","",INDEX(_imp!$E$4:$E$4503,_imp!$C$4474))</f>
        <v/>
      </c>
      <c r="C4472" s="54">
        <f>IF(_imp!$C$4474="","",INDEX(_imp!$F$4:$F$4503,_imp!$C$4474))</f>
        <v/>
      </c>
      <c r="D4472" s="54">
        <f>IF(_imp!$C$4474="","",INDEX(_imp!$G$4:$G$4503,_imp!$C$4474))</f>
        <v/>
      </c>
      <c r="E4472" s="54">
        <f>IF(_imp!$C$4474="","",INDEX(_imp!$H$4:$H$4503,_imp!$C$4474))</f>
        <v/>
      </c>
      <c r="F4472" s="54">
        <f>IF(_imp!$C$4474="","",INDEX(_imp!$I$4:$I$4503,_imp!$C$4474))</f>
        <v/>
      </c>
      <c r="G4472" s="54">
        <f>IF(_imp!$C$4474="","",INDEX(_imp!$J$4:$J$4503,_imp!$C$4474))</f>
        <v/>
      </c>
      <c r="K4472" s="54">
        <f>IF(_imp!$C$4474="","",INDEX(_imp!$K$4:$K$4503,_imp!$C$4474))</f>
        <v/>
      </c>
    </row>
    <row r="4473">
      <c r="A4473" s="54">
        <f>IF(_imp!$C$4475="","",INDEX(_imp!$D$4:$D$4503,_imp!$C$4475))</f>
        <v/>
      </c>
      <c r="B4473" s="54">
        <f>IF(_imp!$C$4475="","",INDEX(_imp!$E$4:$E$4503,_imp!$C$4475))</f>
        <v/>
      </c>
      <c r="C4473" s="54">
        <f>IF(_imp!$C$4475="","",INDEX(_imp!$F$4:$F$4503,_imp!$C$4475))</f>
        <v/>
      </c>
      <c r="D4473" s="54">
        <f>IF(_imp!$C$4475="","",INDEX(_imp!$G$4:$G$4503,_imp!$C$4475))</f>
        <v/>
      </c>
      <c r="E4473" s="54">
        <f>IF(_imp!$C$4475="","",INDEX(_imp!$H$4:$H$4503,_imp!$C$4475))</f>
        <v/>
      </c>
      <c r="F4473" s="54">
        <f>IF(_imp!$C$4475="","",INDEX(_imp!$I$4:$I$4503,_imp!$C$4475))</f>
        <v/>
      </c>
      <c r="G4473" s="54">
        <f>IF(_imp!$C$4475="","",INDEX(_imp!$J$4:$J$4503,_imp!$C$4475))</f>
        <v/>
      </c>
      <c r="K4473" s="54">
        <f>IF(_imp!$C$4475="","",INDEX(_imp!$K$4:$K$4503,_imp!$C$4475))</f>
        <v/>
      </c>
    </row>
    <row r="4474">
      <c r="A4474" s="54">
        <f>IF(_imp!$C$4476="","",INDEX(_imp!$D$4:$D$4503,_imp!$C$4476))</f>
        <v/>
      </c>
      <c r="B4474" s="54">
        <f>IF(_imp!$C$4476="","",INDEX(_imp!$E$4:$E$4503,_imp!$C$4476))</f>
        <v/>
      </c>
      <c r="C4474" s="54">
        <f>IF(_imp!$C$4476="","",INDEX(_imp!$F$4:$F$4503,_imp!$C$4476))</f>
        <v/>
      </c>
      <c r="D4474" s="54">
        <f>IF(_imp!$C$4476="","",INDEX(_imp!$G$4:$G$4503,_imp!$C$4476))</f>
        <v/>
      </c>
      <c r="E4474" s="54">
        <f>IF(_imp!$C$4476="","",INDEX(_imp!$H$4:$H$4503,_imp!$C$4476))</f>
        <v/>
      </c>
      <c r="F4474" s="54">
        <f>IF(_imp!$C$4476="","",INDEX(_imp!$I$4:$I$4503,_imp!$C$4476))</f>
        <v/>
      </c>
      <c r="G4474" s="54">
        <f>IF(_imp!$C$4476="","",INDEX(_imp!$J$4:$J$4503,_imp!$C$4476))</f>
        <v/>
      </c>
      <c r="K4474" s="54">
        <f>IF(_imp!$C$4476="","",INDEX(_imp!$K$4:$K$4503,_imp!$C$4476))</f>
        <v/>
      </c>
    </row>
    <row r="4475">
      <c r="A4475" s="54">
        <f>IF(_imp!$C$4477="","",INDEX(_imp!$D$4:$D$4503,_imp!$C$4477))</f>
        <v/>
      </c>
      <c r="B4475" s="54">
        <f>IF(_imp!$C$4477="","",INDEX(_imp!$E$4:$E$4503,_imp!$C$4477))</f>
        <v/>
      </c>
      <c r="C4475" s="54">
        <f>IF(_imp!$C$4477="","",INDEX(_imp!$F$4:$F$4503,_imp!$C$4477))</f>
        <v/>
      </c>
      <c r="D4475" s="54">
        <f>IF(_imp!$C$4477="","",INDEX(_imp!$G$4:$G$4503,_imp!$C$4477))</f>
        <v/>
      </c>
      <c r="E4475" s="54">
        <f>IF(_imp!$C$4477="","",INDEX(_imp!$H$4:$H$4503,_imp!$C$4477))</f>
        <v/>
      </c>
      <c r="F4475" s="54">
        <f>IF(_imp!$C$4477="","",INDEX(_imp!$I$4:$I$4503,_imp!$C$4477))</f>
        <v/>
      </c>
      <c r="G4475" s="54">
        <f>IF(_imp!$C$4477="","",INDEX(_imp!$J$4:$J$4503,_imp!$C$4477))</f>
        <v/>
      </c>
      <c r="K4475" s="54">
        <f>IF(_imp!$C$4477="","",INDEX(_imp!$K$4:$K$4503,_imp!$C$4477))</f>
        <v/>
      </c>
    </row>
    <row r="4476">
      <c r="A4476" s="54">
        <f>IF(_imp!$C$4478="","",INDEX(_imp!$D$4:$D$4503,_imp!$C$4478))</f>
        <v/>
      </c>
      <c r="B4476" s="54">
        <f>IF(_imp!$C$4478="","",INDEX(_imp!$E$4:$E$4503,_imp!$C$4478))</f>
        <v/>
      </c>
      <c r="C4476" s="54">
        <f>IF(_imp!$C$4478="","",INDEX(_imp!$F$4:$F$4503,_imp!$C$4478))</f>
        <v/>
      </c>
      <c r="D4476" s="54">
        <f>IF(_imp!$C$4478="","",INDEX(_imp!$G$4:$G$4503,_imp!$C$4478))</f>
        <v/>
      </c>
      <c r="E4476" s="54">
        <f>IF(_imp!$C$4478="","",INDEX(_imp!$H$4:$H$4503,_imp!$C$4478))</f>
        <v/>
      </c>
      <c r="F4476" s="54">
        <f>IF(_imp!$C$4478="","",INDEX(_imp!$I$4:$I$4503,_imp!$C$4478))</f>
        <v/>
      </c>
      <c r="G4476" s="54">
        <f>IF(_imp!$C$4478="","",INDEX(_imp!$J$4:$J$4503,_imp!$C$4478))</f>
        <v/>
      </c>
      <c r="K4476" s="54">
        <f>IF(_imp!$C$4478="","",INDEX(_imp!$K$4:$K$4503,_imp!$C$4478))</f>
        <v/>
      </c>
    </row>
    <row r="4477">
      <c r="A4477" s="54">
        <f>IF(_imp!$C$4479="","",INDEX(_imp!$D$4:$D$4503,_imp!$C$4479))</f>
        <v/>
      </c>
      <c r="B4477" s="54">
        <f>IF(_imp!$C$4479="","",INDEX(_imp!$E$4:$E$4503,_imp!$C$4479))</f>
        <v/>
      </c>
      <c r="C4477" s="54">
        <f>IF(_imp!$C$4479="","",INDEX(_imp!$F$4:$F$4503,_imp!$C$4479))</f>
        <v/>
      </c>
      <c r="D4477" s="54">
        <f>IF(_imp!$C$4479="","",INDEX(_imp!$G$4:$G$4503,_imp!$C$4479))</f>
        <v/>
      </c>
      <c r="E4477" s="54">
        <f>IF(_imp!$C$4479="","",INDEX(_imp!$H$4:$H$4503,_imp!$C$4479))</f>
        <v/>
      </c>
      <c r="F4477" s="54">
        <f>IF(_imp!$C$4479="","",INDEX(_imp!$I$4:$I$4503,_imp!$C$4479))</f>
        <v/>
      </c>
      <c r="G4477" s="54">
        <f>IF(_imp!$C$4479="","",INDEX(_imp!$J$4:$J$4503,_imp!$C$4479))</f>
        <v/>
      </c>
      <c r="K4477" s="54">
        <f>IF(_imp!$C$4479="","",INDEX(_imp!$K$4:$K$4503,_imp!$C$4479))</f>
        <v/>
      </c>
    </row>
    <row r="4478">
      <c r="A4478" s="54">
        <f>IF(_imp!$C$4480="","",INDEX(_imp!$D$4:$D$4503,_imp!$C$4480))</f>
        <v/>
      </c>
      <c r="B4478" s="54">
        <f>IF(_imp!$C$4480="","",INDEX(_imp!$E$4:$E$4503,_imp!$C$4480))</f>
        <v/>
      </c>
      <c r="C4478" s="54">
        <f>IF(_imp!$C$4480="","",INDEX(_imp!$F$4:$F$4503,_imp!$C$4480))</f>
        <v/>
      </c>
      <c r="D4478" s="54">
        <f>IF(_imp!$C$4480="","",INDEX(_imp!$G$4:$G$4503,_imp!$C$4480))</f>
        <v/>
      </c>
      <c r="E4478" s="54">
        <f>IF(_imp!$C$4480="","",INDEX(_imp!$H$4:$H$4503,_imp!$C$4480))</f>
        <v/>
      </c>
      <c r="F4478" s="54">
        <f>IF(_imp!$C$4480="","",INDEX(_imp!$I$4:$I$4503,_imp!$C$4480))</f>
        <v/>
      </c>
      <c r="G4478" s="54">
        <f>IF(_imp!$C$4480="","",INDEX(_imp!$J$4:$J$4503,_imp!$C$4480))</f>
        <v/>
      </c>
      <c r="K4478" s="54">
        <f>IF(_imp!$C$4480="","",INDEX(_imp!$K$4:$K$4503,_imp!$C$4480))</f>
        <v/>
      </c>
    </row>
    <row r="4479">
      <c r="A4479" s="54">
        <f>IF(_imp!$C$4481="","",INDEX(_imp!$D$4:$D$4503,_imp!$C$4481))</f>
        <v/>
      </c>
      <c r="B4479" s="54">
        <f>IF(_imp!$C$4481="","",INDEX(_imp!$E$4:$E$4503,_imp!$C$4481))</f>
        <v/>
      </c>
      <c r="C4479" s="54">
        <f>IF(_imp!$C$4481="","",INDEX(_imp!$F$4:$F$4503,_imp!$C$4481))</f>
        <v/>
      </c>
      <c r="D4479" s="54">
        <f>IF(_imp!$C$4481="","",INDEX(_imp!$G$4:$G$4503,_imp!$C$4481))</f>
        <v/>
      </c>
      <c r="E4479" s="54">
        <f>IF(_imp!$C$4481="","",INDEX(_imp!$H$4:$H$4503,_imp!$C$4481))</f>
        <v/>
      </c>
      <c r="F4479" s="54">
        <f>IF(_imp!$C$4481="","",INDEX(_imp!$I$4:$I$4503,_imp!$C$4481))</f>
        <v/>
      </c>
      <c r="G4479" s="54">
        <f>IF(_imp!$C$4481="","",INDEX(_imp!$J$4:$J$4503,_imp!$C$4481))</f>
        <v/>
      </c>
      <c r="K4479" s="54">
        <f>IF(_imp!$C$4481="","",INDEX(_imp!$K$4:$K$4503,_imp!$C$4481))</f>
        <v/>
      </c>
    </row>
    <row r="4480">
      <c r="A4480" s="54">
        <f>IF(_imp!$C$4482="","",INDEX(_imp!$D$4:$D$4503,_imp!$C$4482))</f>
        <v/>
      </c>
      <c r="B4480" s="54">
        <f>IF(_imp!$C$4482="","",INDEX(_imp!$E$4:$E$4503,_imp!$C$4482))</f>
        <v/>
      </c>
      <c r="C4480" s="54">
        <f>IF(_imp!$C$4482="","",INDEX(_imp!$F$4:$F$4503,_imp!$C$4482))</f>
        <v/>
      </c>
      <c r="D4480" s="54">
        <f>IF(_imp!$C$4482="","",INDEX(_imp!$G$4:$G$4503,_imp!$C$4482))</f>
        <v/>
      </c>
      <c r="E4480" s="54">
        <f>IF(_imp!$C$4482="","",INDEX(_imp!$H$4:$H$4503,_imp!$C$4482))</f>
        <v/>
      </c>
      <c r="F4480" s="54">
        <f>IF(_imp!$C$4482="","",INDEX(_imp!$I$4:$I$4503,_imp!$C$4482))</f>
        <v/>
      </c>
      <c r="G4480" s="54">
        <f>IF(_imp!$C$4482="","",INDEX(_imp!$J$4:$J$4503,_imp!$C$4482))</f>
        <v/>
      </c>
      <c r="K4480" s="54">
        <f>IF(_imp!$C$4482="","",INDEX(_imp!$K$4:$K$4503,_imp!$C$4482))</f>
        <v/>
      </c>
    </row>
    <row r="4481">
      <c r="A4481" s="54">
        <f>IF(_imp!$C$4483="","",INDEX(_imp!$D$4:$D$4503,_imp!$C$4483))</f>
        <v/>
      </c>
      <c r="B4481" s="54">
        <f>IF(_imp!$C$4483="","",INDEX(_imp!$E$4:$E$4503,_imp!$C$4483))</f>
        <v/>
      </c>
      <c r="C4481" s="54">
        <f>IF(_imp!$C$4483="","",INDEX(_imp!$F$4:$F$4503,_imp!$C$4483))</f>
        <v/>
      </c>
      <c r="D4481" s="54">
        <f>IF(_imp!$C$4483="","",INDEX(_imp!$G$4:$G$4503,_imp!$C$4483))</f>
        <v/>
      </c>
      <c r="E4481" s="54">
        <f>IF(_imp!$C$4483="","",INDEX(_imp!$H$4:$H$4503,_imp!$C$4483))</f>
        <v/>
      </c>
      <c r="F4481" s="54">
        <f>IF(_imp!$C$4483="","",INDEX(_imp!$I$4:$I$4503,_imp!$C$4483))</f>
        <v/>
      </c>
      <c r="G4481" s="54">
        <f>IF(_imp!$C$4483="","",INDEX(_imp!$J$4:$J$4503,_imp!$C$4483))</f>
        <v/>
      </c>
      <c r="K4481" s="54">
        <f>IF(_imp!$C$4483="","",INDEX(_imp!$K$4:$K$4503,_imp!$C$4483))</f>
        <v/>
      </c>
    </row>
    <row r="4482">
      <c r="A4482" s="54">
        <f>IF(_imp!$C$4484="","",INDEX(_imp!$D$4:$D$4503,_imp!$C$4484))</f>
        <v/>
      </c>
      <c r="B4482" s="54">
        <f>IF(_imp!$C$4484="","",INDEX(_imp!$E$4:$E$4503,_imp!$C$4484))</f>
        <v/>
      </c>
      <c r="C4482" s="54">
        <f>IF(_imp!$C$4484="","",INDEX(_imp!$F$4:$F$4503,_imp!$C$4484))</f>
        <v/>
      </c>
      <c r="D4482" s="54">
        <f>IF(_imp!$C$4484="","",INDEX(_imp!$G$4:$G$4503,_imp!$C$4484))</f>
        <v/>
      </c>
      <c r="E4482" s="54">
        <f>IF(_imp!$C$4484="","",INDEX(_imp!$H$4:$H$4503,_imp!$C$4484))</f>
        <v/>
      </c>
      <c r="F4482" s="54">
        <f>IF(_imp!$C$4484="","",INDEX(_imp!$I$4:$I$4503,_imp!$C$4484))</f>
        <v/>
      </c>
      <c r="G4482" s="54">
        <f>IF(_imp!$C$4484="","",INDEX(_imp!$J$4:$J$4503,_imp!$C$4484))</f>
        <v/>
      </c>
      <c r="K4482" s="54">
        <f>IF(_imp!$C$4484="","",INDEX(_imp!$K$4:$K$4503,_imp!$C$4484))</f>
        <v/>
      </c>
    </row>
    <row r="4483">
      <c r="A4483" s="54">
        <f>IF(_imp!$C$4485="","",INDEX(_imp!$D$4:$D$4503,_imp!$C$4485))</f>
        <v/>
      </c>
      <c r="B4483" s="54">
        <f>IF(_imp!$C$4485="","",INDEX(_imp!$E$4:$E$4503,_imp!$C$4485))</f>
        <v/>
      </c>
      <c r="C4483" s="54">
        <f>IF(_imp!$C$4485="","",INDEX(_imp!$F$4:$F$4503,_imp!$C$4485))</f>
        <v/>
      </c>
      <c r="D4483" s="54">
        <f>IF(_imp!$C$4485="","",INDEX(_imp!$G$4:$G$4503,_imp!$C$4485))</f>
        <v/>
      </c>
      <c r="E4483" s="54">
        <f>IF(_imp!$C$4485="","",INDEX(_imp!$H$4:$H$4503,_imp!$C$4485))</f>
        <v/>
      </c>
      <c r="F4483" s="54">
        <f>IF(_imp!$C$4485="","",INDEX(_imp!$I$4:$I$4503,_imp!$C$4485))</f>
        <v/>
      </c>
      <c r="G4483" s="54">
        <f>IF(_imp!$C$4485="","",INDEX(_imp!$J$4:$J$4503,_imp!$C$4485))</f>
        <v/>
      </c>
      <c r="K4483" s="54">
        <f>IF(_imp!$C$4485="","",INDEX(_imp!$K$4:$K$4503,_imp!$C$4485))</f>
        <v/>
      </c>
    </row>
    <row r="4484">
      <c r="A4484" s="54">
        <f>IF(_imp!$C$4486="","",INDEX(_imp!$D$4:$D$4503,_imp!$C$4486))</f>
        <v/>
      </c>
      <c r="B4484" s="54">
        <f>IF(_imp!$C$4486="","",INDEX(_imp!$E$4:$E$4503,_imp!$C$4486))</f>
        <v/>
      </c>
      <c r="C4484" s="54">
        <f>IF(_imp!$C$4486="","",INDEX(_imp!$F$4:$F$4503,_imp!$C$4486))</f>
        <v/>
      </c>
      <c r="D4484" s="54">
        <f>IF(_imp!$C$4486="","",INDEX(_imp!$G$4:$G$4503,_imp!$C$4486))</f>
        <v/>
      </c>
      <c r="E4484" s="54">
        <f>IF(_imp!$C$4486="","",INDEX(_imp!$H$4:$H$4503,_imp!$C$4486))</f>
        <v/>
      </c>
      <c r="F4484" s="54">
        <f>IF(_imp!$C$4486="","",INDEX(_imp!$I$4:$I$4503,_imp!$C$4486))</f>
        <v/>
      </c>
      <c r="G4484" s="54">
        <f>IF(_imp!$C$4486="","",INDEX(_imp!$J$4:$J$4503,_imp!$C$4486))</f>
        <v/>
      </c>
      <c r="K4484" s="54">
        <f>IF(_imp!$C$4486="","",INDEX(_imp!$K$4:$K$4503,_imp!$C$4486))</f>
        <v/>
      </c>
    </row>
    <row r="4485">
      <c r="A4485" s="54">
        <f>IF(_imp!$C$4487="","",INDEX(_imp!$D$4:$D$4503,_imp!$C$4487))</f>
        <v/>
      </c>
      <c r="B4485" s="54">
        <f>IF(_imp!$C$4487="","",INDEX(_imp!$E$4:$E$4503,_imp!$C$4487))</f>
        <v/>
      </c>
      <c r="C4485" s="54">
        <f>IF(_imp!$C$4487="","",INDEX(_imp!$F$4:$F$4503,_imp!$C$4487))</f>
        <v/>
      </c>
      <c r="D4485" s="54">
        <f>IF(_imp!$C$4487="","",INDEX(_imp!$G$4:$G$4503,_imp!$C$4487))</f>
        <v/>
      </c>
      <c r="E4485" s="54">
        <f>IF(_imp!$C$4487="","",INDEX(_imp!$H$4:$H$4503,_imp!$C$4487))</f>
        <v/>
      </c>
      <c r="F4485" s="54">
        <f>IF(_imp!$C$4487="","",INDEX(_imp!$I$4:$I$4503,_imp!$C$4487))</f>
        <v/>
      </c>
      <c r="G4485" s="54">
        <f>IF(_imp!$C$4487="","",INDEX(_imp!$J$4:$J$4503,_imp!$C$4487))</f>
        <v/>
      </c>
      <c r="K4485" s="54">
        <f>IF(_imp!$C$4487="","",INDEX(_imp!$K$4:$K$4503,_imp!$C$4487))</f>
        <v/>
      </c>
    </row>
    <row r="4486">
      <c r="A4486" s="54">
        <f>IF(_imp!$C$4488="","",INDEX(_imp!$D$4:$D$4503,_imp!$C$4488))</f>
        <v/>
      </c>
      <c r="B4486" s="54">
        <f>IF(_imp!$C$4488="","",INDEX(_imp!$E$4:$E$4503,_imp!$C$4488))</f>
        <v/>
      </c>
      <c r="C4486" s="54">
        <f>IF(_imp!$C$4488="","",INDEX(_imp!$F$4:$F$4503,_imp!$C$4488))</f>
        <v/>
      </c>
      <c r="D4486" s="54">
        <f>IF(_imp!$C$4488="","",INDEX(_imp!$G$4:$G$4503,_imp!$C$4488))</f>
        <v/>
      </c>
      <c r="E4486" s="54">
        <f>IF(_imp!$C$4488="","",INDEX(_imp!$H$4:$H$4503,_imp!$C$4488))</f>
        <v/>
      </c>
      <c r="F4486" s="54">
        <f>IF(_imp!$C$4488="","",INDEX(_imp!$I$4:$I$4503,_imp!$C$4488))</f>
        <v/>
      </c>
      <c r="G4486" s="54">
        <f>IF(_imp!$C$4488="","",INDEX(_imp!$J$4:$J$4503,_imp!$C$4488))</f>
        <v/>
      </c>
      <c r="K4486" s="54">
        <f>IF(_imp!$C$4488="","",INDEX(_imp!$K$4:$K$4503,_imp!$C$4488))</f>
        <v/>
      </c>
    </row>
    <row r="4487">
      <c r="A4487" s="54">
        <f>IF(_imp!$C$4489="","",INDEX(_imp!$D$4:$D$4503,_imp!$C$4489))</f>
        <v/>
      </c>
      <c r="B4487" s="54">
        <f>IF(_imp!$C$4489="","",INDEX(_imp!$E$4:$E$4503,_imp!$C$4489))</f>
        <v/>
      </c>
      <c r="C4487" s="54">
        <f>IF(_imp!$C$4489="","",INDEX(_imp!$F$4:$F$4503,_imp!$C$4489))</f>
        <v/>
      </c>
      <c r="D4487" s="54">
        <f>IF(_imp!$C$4489="","",INDEX(_imp!$G$4:$G$4503,_imp!$C$4489))</f>
        <v/>
      </c>
      <c r="E4487" s="54">
        <f>IF(_imp!$C$4489="","",INDEX(_imp!$H$4:$H$4503,_imp!$C$4489))</f>
        <v/>
      </c>
      <c r="F4487" s="54">
        <f>IF(_imp!$C$4489="","",INDEX(_imp!$I$4:$I$4503,_imp!$C$4489))</f>
        <v/>
      </c>
      <c r="G4487" s="54">
        <f>IF(_imp!$C$4489="","",INDEX(_imp!$J$4:$J$4503,_imp!$C$4489))</f>
        <v/>
      </c>
      <c r="K4487" s="54">
        <f>IF(_imp!$C$4489="","",INDEX(_imp!$K$4:$K$4503,_imp!$C$4489))</f>
        <v/>
      </c>
    </row>
    <row r="4488">
      <c r="A4488" s="54">
        <f>IF(_imp!$C$4490="","",INDEX(_imp!$D$4:$D$4503,_imp!$C$4490))</f>
        <v/>
      </c>
      <c r="B4488" s="54">
        <f>IF(_imp!$C$4490="","",INDEX(_imp!$E$4:$E$4503,_imp!$C$4490))</f>
        <v/>
      </c>
      <c r="C4488" s="54">
        <f>IF(_imp!$C$4490="","",INDEX(_imp!$F$4:$F$4503,_imp!$C$4490))</f>
        <v/>
      </c>
      <c r="D4488" s="54">
        <f>IF(_imp!$C$4490="","",INDEX(_imp!$G$4:$G$4503,_imp!$C$4490))</f>
        <v/>
      </c>
      <c r="E4488" s="54">
        <f>IF(_imp!$C$4490="","",INDEX(_imp!$H$4:$H$4503,_imp!$C$4490))</f>
        <v/>
      </c>
      <c r="F4488" s="54">
        <f>IF(_imp!$C$4490="","",INDEX(_imp!$I$4:$I$4503,_imp!$C$4490))</f>
        <v/>
      </c>
      <c r="G4488" s="54">
        <f>IF(_imp!$C$4490="","",INDEX(_imp!$J$4:$J$4503,_imp!$C$4490))</f>
        <v/>
      </c>
      <c r="K4488" s="54">
        <f>IF(_imp!$C$4490="","",INDEX(_imp!$K$4:$K$4503,_imp!$C$4490))</f>
        <v/>
      </c>
    </row>
    <row r="4489">
      <c r="A4489" s="54">
        <f>IF(_imp!$C$4491="","",INDEX(_imp!$D$4:$D$4503,_imp!$C$4491))</f>
        <v/>
      </c>
      <c r="B4489" s="54">
        <f>IF(_imp!$C$4491="","",INDEX(_imp!$E$4:$E$4503,_imp!$C$4491))</f>
        <v/>
      </c>
      <c r="C4489" s="54">
        <f>IF(_imp!$C$4491="","",INDEX(_imp!$F$4:$F$4503,_imp!$C$4491))</f>
        <v/>
      </c>
      <c r="D4489" s="54">
        <f>IF(_imp!$C$4491="","",INDEX(_imp!$G$4:$G$4503,_imp!$C$4491))</f>
        <v/>
      </c>
      <c r="E4489" s="54">
        <f>IF(_imp!$C$4491="","",INDEX(_imp!$H$4:$H$4503,_imp!$C$4491))</f>
        <v/>
      </c>
      <c r="F4489" s="54">
        <f>IF(_imp!$C$4491="","",INDEX(_imp!$I$4:$I$4503,_imp!$C$4491))</f>
        <v/>
      </c>
      <c r="G4489" s="54">
        <f>IF(_imp!$C$4491="","",INDEX(_imp!$J$4:$J$4503,_imp!$C$4491))</f>
        <v/>
      </c>
      <c r="K4489" s="54">
        <f>IF(_imp!$C$4491="","",INDEX(_imp!$K$4:$K$4503,_imp!$C$4491))</f>
        <v/>
      </c>
    </row>
    <row r="4490">
      <c r="A4490" s="54">
        <f>IF(_imp!$C$4492="","",INDEX(_imp!$D$4:$D$4503,_imp!$C$4492))</f>
        <v/>
      </c>
      <c r="B4490" s="54">
        <f>IF(_imp!$C$4492="","",INDEX(_imp!$E$4:$E$4503,_imp!$C$4492))</f>
        <v/>
      </c>
      <c r="C4490" s="54">
        <f>IF(_imp!$C$4492="","",INDEX(_imp!$F$4:$F$4503,_imp!$C$4492))</f>
        <v/>
      </c>
      <c r="D4490" s="54">
        <f>IF(_imp!$C$4492="","",INDEX(_imp!$G$4:$G$4503,_imp!$C$4492))</f>
        <v/>
      </c>
      <c r="E4490" s="54">
        <f>IF(_imp!$C$4492="","",INDEX(_imp!$H$4:$H$4503,_imp!$C$4492))</f>
        <v/>
      </c>
      <c r="F4490" s="54">
        <f>IF(_imp!$C$4492="","",INDEX(_imp!$I$4:$I$4503,_imp!$C$4492))</f>
        <v/>
      </c>
      <c r="G4490" s="54">
        <f>IF(_imp!$C$4492="","",INDEX(_imp!$J$4:$J$4503,_imp!$C$4492))</f>
        <v/>
      </c>
      <c r="K4490" s="54">
        <f>IF(_imp!$C$4492="","",INDEX(_imp!$K$4:$K$4503,_imp!$C$4492))</f>
        <v/>
      </c>
    </row>
    <row r="4491">
      <c r="A4491" s="54">
        <f>IF(_imp!$C$4493="","",INDEX(_imp!$D$4:$D$4503,_imp!$C$4493))</f>
        <v/>
      </c>
      <c r="B4491" s="54">
        <f>IF(_imp!$C$4493="","",INDEX(_imp!$E$4:$E$4503,_imp!$C$4493))</f>
        <v/>
      </c>
      <c r="C4491" s="54">
        <f>IF(_imp!$C$4493="","",INDEX(_imp!$F$4:$F$4503,_imp!$C$4493))</f>
        <v/>
      </c>
      <c r="D4491" s="54">
        <f>IF(_imp!$C$4493="","",INDEX(_imp!$G$4:$G$4503,_imp!$C$4493))</f>
        <v/>
      </c>
      <c r="E4491" s="54">
        <f>IF(_imp!$C$4493="","",INDEX(_imp!$H$4:$H$4503,_imp!$C$4493))</f>
        <v/>
      </c>
      <c r="F4491" s="54">
        <f>IF(_imp!$C$4493="","",INDEX(_imp!$I$4:$I$4503,_imp!$C$4493))</f>
        <v/>
      </c>
      <c r="G4491" s="54">
        <f>IF(_imp!$C$4493="","",INDEX(_imp!$J$4:$J$4503,_imp!$C$4493))</f>
        <v/>
      </c>
      <c r="K4491" s="54">
        <f>IF(_imp!$C$4493="","",INDEX(_imp!$K$4:$K$4503,_imp!$C$4493))</f>
        <v/>
      </c>
    </row>
    <row r="4492">
      <c r="A4492" s="54">
        <f>IF(_imp!$C$4494="","",INDEX(_imp!$D$4:$D$4503,_imp!$C$4494))</f>
        <v/>
      </c>
      <c r="B4492" s="54">
        <f>IF(_imp!$C$4494="","",INDEX(_imp!$E$4:$E$4503,_imp!$C$4494))</f>
        <v/>
      </c>
      <c r="C4492" s="54">
        <f>IF(_imp!$C$4494="","",INDEX(_imp!$F$4:$F$4503,_imp!$C$4494))</f>
        <v/>
      </c>
      <c r="D4492" s="54">
        <f>IF(_imp!$C$4494="","",INDEX(_imp!$G$4:$G$4503,_imp!$C$4494))</f>
        <v/>
      </c>
      <c r="E4492" s="54">
        <f>IF(_imp!$C$4494="","",INDEX(_imp!$H$4:$H$4503,_imp!$C$4494))</f>
        <v/>
      </c>
      <c r="F4492" s="54">
        <f>IF(_imp!$C$4494="","",INDEX(_imp!$I$4:$I$4503,_imp!$C$4494))</f>
        <v/>
      </c>
      <c r="G4492" s="54">
        <f>IF(_imp!$C$4494="","",INDEX(_imp!$J$4:$J$4503,_imp!$C$4494))</f>
        <v/>
      </c>
      <c r="K4492" s="54">
        <f>IF(_imp!$C$4494="","",INDEX(_imp!$K$4:$K$4503,_imp!$C$4494))</f>
        <v/>
      </c>
    </row>
    <row r="4493">
      <c r="A4493" s="54">
        <f>IF(_imp!$C$4495="","",INDEX(_imp!$D$4:$D$4503,_imp!$C$4495))</f>
        <v/>
      </c>
      <c r="B4493" s="54">
        <f>IF(_imp!$C$4495="","",INDEX(_imp!$E$4:$E$4503,_imp!$C$4495))</f>
        <v/>
      </c>
      <c r="C4493" s="54">
        <f>IF(_imp!$C$4495="","",INDEX(_imp!$F$4:$F$4503,_imp!$C$4495))</f>
        <v/>
      </c>
      <c r="D4493" s="54">
        <f>IF(_imp!$C$4495="","",INDEX(_imp!$G$4:$G$4503,_imp!$C$4495))</f>
        <v/>
      </c>
      <c r="E4493" s="54">
        <f>IF(_imp!$C$4495="","",INDEX(_imp!$H$4:$H$4503,_imp!$C$4495))</f>
        <v/>
      </c>
      <c r="F4493" s="54">
        <f>IF(_imp!$C$4495="","",INDEX(_imp!$I$4:$I$4503,_imp!$C$4495))</f>
        <v/>
      </c>
      <c r="G4493" s="54">
        <f>IF(_imp!$C$4495="","",INDEX(_imp!$J$4:$J$4503,_imp!$C$4495))</f>
        <v/>
      </c>
      <c r="K4493" s="54">
        <f>IF(_imp!$C$4495="","",INDEX(_imp!$K$4:$K$4503,_imp!$C$4495))</f>
        <v/>
      </c>
    </row>
    <row r="4494">
      <c r="A4494" s="54">
        <f>IF(_imp!$C$4496="","",INDEX(_imp!$D$4:$D$4503,_imp!$C$4496))</f>
        <v/>
      </c>
      <c r="B4494" s="54">
        <f>IF(_imp!$C$4496="","",INDEX(_imp!$E$4:$E$4503,_imp!$C$4496))</f>
        <v/>
      </c>
      <c r="C4494" s="54">
        <f>IF(_imp!$C$4496="","",INDEX(_imp!$F$4:$F$4503,_imp!$C$4496))</f>
        <v/>
      </c>
      <c r="D4494" s="54">
        <f>IF(_imp!$C$4496="","",INDEX(_imp!$G$4:$G$4503,_imp!$C$4496))</f>
        <v/>
      </c>
      <c r="E4494" s="54">
        <f>IF(_imp!$C$4496="","",INDEX(_imp!$H$4:$H$4503,_imp!$C$4496))</f>
        <v/>
      </c>
      <c r="F4494" s="54">
        <f>IF(_imp!$C$4496="","",INDEX(_imp!$I$4:$I$4503,_imp!$C$4496))</f>
        <v/>
      </c>
      <c r="G4494" s="54">
        <f>IF(_imp!$C$4496="","",INDEX(_imp!$J$4:$J$4503,_imp!$C$4496))</f>
        <v/>
      </c>
      <c r="K4494" s="54">
        <f>IF(_imp!$C$4496="","",INDEX(_imp!$K$4:$K$4503,_imp!$C$4496))</f>
        <v/>
      </c>
    </row>
    <row r="4495">
      <c r="A4495" s="54">
        <f>IF(_imp!$C$4497="","",INDEX(_imp!$D$4:$D$4503,_imp!$C$4497))</f>
        <v/>
      </c>
      <c r="B4495" s="54">
        <f>IF(_imp!$C$4497="","",INDEX(_imp!$E$4:$E$4503,_imp!$C$4497))</f>
        <v/>
      </c>
      <c r="C4495" s="54">
        <f>IF(_imp!$C$4497="","",INDEX(_imp!$F$4:$F$4503,_imp!$C$4497))</f>
        <v/>
      </c>
      <c r="D4495" s="54">
        <f>IF(_imp!$C$4497="","",INDEX(_imp!$G$4:$G$4503,_imp!$C$4497))</f>
        <v/>
      </c>
      <c r="E4495" s="54">
        <f>IF(_imp!$C$4497="","",INDEX(_imp!$H$4:$H$4503,_imp!$C$4497))</f>
        <v/>
      </c>
      <c r="F4495" s="54">
        <f>IF(_imp!$C$4497="","",INDEX(_imp!$I$4:$I$4503,_imp!$C$4497))</f>
        <v/>
      </c>
      <c r="G4495" s="54">
        <f>IF(_imp!$C$4497="","",INDEX(_imp!$J$4:$J$4503,_imp!$C$4497))</f>
        <v/>
      </c>
      <c r="K4495" s="54">
        <f>IF(_imp!$C$4497="","",INDEX(_imp!$K$4:$K$4503,_imp!$C$4497))</f>
        <v/>
      </c>
    </row>
    <row r="4496">
      <c r="A4496" s="54">
        <f>IF(_imp!$C$4498="","",INDEX(_imp!$D$4:$D$4503,_imp!$C$4498))</f>
        <v/>
      </c>
      <c r="B4496" s="54">
        <f>IF(_imp!$C$4498="","",INDEX(_imp!$E$4:$E$4503,_imp!$C$4498))</f>
        <v/>
      </c>
      <c r="C4496" s="54">
        <f>IF(_imp!$C$4498="","",INDEX(_imp!$F$4:$F$4503,_imp!$C$4498))</f>
        <v/>
      </c>
      <c r="D4496" s="54">
        <f>IF(_imp!$C$4498="","",INDEX(_imp!$G$4:$G$4503,_imp!$C$4498))</f>
        <v/>
      </c>
      <c r="E4496" s="54">
        <f>IF(_imp!$C$4498="","",INDEX(_imp!$H$4:$H$4503,_imp!$C$4498))</f>
        <v/>
      </c>
      <c r="F4496" s="54">
        <f>IF(_imp!$C$4498="","",INDEX(_imp!$I$4:$I$4503,_imp!$C$4498))</f>
        <v/>
      </c>
      <c r="G4496" s="54">
        <f>IF(_imp!$C$4498="","",INDEX(_imp!$J$4:$J$4503,_imp!$C$4498))</f>
        <v/>
      </c>
      <c r="K4496" s="54">
        <f>IF(_imp!$C$4498="","",INDEX(_imp!$K$4:$K$4503,_imp!$C$4498))</f>
        <v/>
      </c>
    </row>
    <row r="4497">
      <c r="A4497" s="54">
        <f>IF(_imp!$C$4499="","",INDEX(_imp!$D$4:$D$4503,_imp!$C$4499))</f>
        <v/>
      </c>
      <c r="B4497" s="54">
        <f>IF(_imp!$C$4499="","",INDEX(_imp!$E$4:$E$4503,_imp!$C$4499))</f>
        <v/>
      </c>
      <c r="C4497" s="54">
        <f>IF(_imp!$C$4499="","",INDEX(_imp!$F$4:$F$4503,_imp!$C$4499))</f>
        <v/>
      </c>
      <c r="D4497" s="54">
        <f>IF(_imp!$C$4499="","",INDEX(_imp!$G$4:$G$4503,_imp!$C$4499))</f>
        <v/>
      </c>
      <c r="E4497" s="54">
        <f>IF(_imp!$C$4499="","",INDEX(_imp!$H$4:$H$4503,_imp!$C$4499))</f>
        <v/>
      </c>
      <c r="F4497" s="54">
        <f>IF(_imp!$C$4499="","",INDEX(_imp!$I$4:$I$4503,_imp!$C$4499))</f>
        <v/>
      </c>
      <c r="G4497" s="54">
        <f>IF(_imp!$C$4499="","",INDEX(_imp!$J$4:$J$4503,_imp!$C$4499))</f>
        <v/>
      </c>
      <c r="K4497" s="54">
        <f>IF(_imp!$C$4499="","",INDEX(_imp!$K$4:$K$4503,_imp!$C$4499))</f>
        <v/>
      </c>
    </row>
    <row r="4498">
      <c r="A4498" s="54">
        <f>IF(_imp!$C$4500="","",INDEX(_imp!$D$4:$D$4503,_imp!$C$4500))</f>
        <v/>
      </c>
      <c r="B4498" s="54">
        <f>IF(_imp!$C$4500="","",INDEX(_imp!$E$4:$E$4503,_imp!$C$4500))</f>
        <v/>
      </c>
      <c r="C4498" s="54">
        <f>IF(_imp!$C$4500="","",INDEX(_imp!$F$4:$F$4503,_imp!$C$4500))</f>
        <v/>
      </c>
      <c r="D4498" s="54">
        <f>IF(_imp!$C$4500="","",INDEX(_imp!$G$4:$G$4503,_imp!$C$4500))</f>
        <v/>
      </c>
      <c r="E4498" s="54">
        <f>IF(_imp!$C$4500="","",INDEX(_imp!$H$4:$H$4503,_imp!$C$4500))</f>
        <v/>
      </c>
      <c r="F4498" s="54">
        <f>IF(_imp!$C$4500="","",INDEX(_imp!$I$4:$I$4503,_imp!$C$4500))</f>
        <v/>
      </c>
      <c r="G4498" s="54">
        <f>IF(_imp!$C$4500="","",INDEX(_imp!$J$4:$J$4503,_imp!$C$4500))</f>
        <v/>
      </c>
      <c r="K4498" s="54">
        <f>IF(_imp!$C$4500="","",INDEX(_imp!$K$4:$K$4503,_imp!$C$4500))</f>
        <v/>
      </c>
    </row>
    <row r="4499">
      <c r="A4499" s="54">
        <f>IF(_imp!$C$4501="","",INDEX(_imp!$D$4:$D$4503,_imp!$C$4501))</f>
        <v/>
      </c>
      <c r="B4499" s="54">
        <f>IF(_imp!$C$4501="","",INDEX(_imp!$E$4:$E$4503,_imp!$C$4501))</f>
        <v/>
      </c>
      <c r="C4499" s="54">
        <f>IF(_imp!$C$4501="","",INDEX(_imp!$F$4:$F$4503,_imp!$C$4501))</f>
        <v/>
      </c>
      <c r="D4499" s="54">
        <f>IF(_imp!$C$4501="","",INDEX(_imp!$G$4:$G$4503,_imp!$C$4501))</f>
        <v/>
      </c>
      <c r="E4499" s="54">
        <f>IF(_imp!$C$4501="","",INDEX(_imp!$H$4:$H$4503,_imp!$C$4501))</f>
        <v/>
      </c>
      <c r="F4499" s="54">
        <f>IF(_imp!$C$4501="","",INDEX(_imp!$I$4:$I$4503,_imp!$C$4501))</f>
        <v/>
      </c>
      <c r="G4499" s="54">
        <f>IF(_imp!$C$4501="","",INDEX(_imp!$J$4:$J$4503,_imp!$C$4501))</f>
        <v/>
      </c>
      <c r="K4499" s="54">
        <f>IF(_imp!$C$4501="","",INDEX(_imp!$K$4:$K$4503,_imp!$C$4501))</f>
        <v/>
      </c>
    </row>
    <row r="4500">
      <c r="A4500" s="54">
        <f>IF(_imp!$C$4502="","",INDEX(_imp!$D$4:$D$4503,_imp!$C$4502))</f>
        <v/>
      </c>
      <c r="B4500" s="54">
        <f>IF(_imp!$C$4502="","",INDEX(_imp!$E$4:$E$4503,_imp!$C$4502))</f>
        <v/>
      </c>
      <c r="C4500" s="54">
        <f>IF(_imp!$C$4502="","",INDEX(_imp!$F$4:$F$4503,_imp!$C$4502))</f>
        <v/>
      </c>
      <c r="D4500" s="54">
        <f>IF(_imp!$C$4502="","",INDEX(_imp!$G$4:$G$4503,_imp!$C$4502))</f>
        <v/>
      </c>
      <c r="E4500" s="54">
        <f>IF(_imp!$C$4502="","",INDEX(_imp!$H$4:$H$4503,_imp!$C$4502))</f>
        <v/>
      </c>
      <c r="F4500" s="54">
        <f>IF(_imp!$C$4502="","",INDEX(_imp!$I$4:$I$4503,_imp!$C$4502))</f>
        <v/>
      </c>
      <c r="G4500" s="54">
        <f>IF(_imp!$C$4502="","",INDEX(_imp!$J$4:$J$4503,_imp!$C$4502))</f>
        <v/>
      </c>
      <c r="K4500" s="54">
        <f>IF(_imp!$C$4502="","",INDEX(_imp!$K$4:$K$4503,_imp!$C$4502))</f>
        <v/>
      </c>
    </row>
    <row r="4501">
      <c r="A4501" s="54">
        <f>IF(_imp!$C$4503="","",INDEX(_imp!$D$4:$D$4503,_imp!$C$4503))</f>
        <v/>
      </c>
      <c r="B4501" s="54">
        <f>IF(_imp!$C$4503="","",INDEX(_imp!$E$4:$E$4503,_imp!$C$4503))</f>
        <v/>
      </c>
      <c r="C4501" s="54">
        <f>IF(_imp!$C$4503="","",INDEX(_imp!$F$4:$F$4503,_imp!$C$4503))</f>
        <v/>
      </c>
      <c r="D4501" s="54">
        <f>IF(_imp!$C$4503="","",INDEX(_imp!$G$4:$G$4503,_imp!$C$4503))</f>
        <v/>
      </c>
      <c r="E4501" s="54">
        <f>IF(_imp!$C$4503="","",INDEX(_imp!$H$4:$H$4503,_imp!$C$4503))</f>
        <v/>
      </c>
      <c r="F4501" s="54">
        <f>IF(_imp!$C$4503="","",INDEX(_imp!$I$4:$I$4503,_imp!$C$4503))</f>
        <v/>
      </c>
      <c r="G4501" s="54">
        <f>IF(_imp!$C$4503="","",INDEX(_imp!$J$4:$J$4503,_imp!$C$4503))</f>
        <v/>
      </c>
      <c r="K4501" s="54">
        <f>IF(_imp!$C$4503="","",INDEX(_imp!$K$4:$K$4503,_imp!$C$4503))</f>
        <v/>
      </c>
    </row>
  </sheetData>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I52"/>
  <sheetViews>
    <sheetView showGridLines="0" tabSelected="0" workbookViewId="0">
      <pane ySplit="1" topLeftCell="A2" activePane="bottomLeft" state="frozen"/>
      <selection pane="bottomLeft" activeCell="A1" sqref="A1"/>
    </sheetView>
  </sheetViews>
  <sheetFormatPr baseColWidth="8" defaultRowHeight="15"/>
  <cols>
    <col width="16" customWidth="1" min="1" max="1"/>
    <col width="16" customWidth="1" min="3" max="3"/>
    <col width="16" customWidth="1" min="5" max="5"/>
    <col width="16" customWidth="1" min="7" max="7"/>
    <col width="50" customWidth="1" min="9" max="9"/>
  </cols>
  <sheetData>
    <row r="1">
      <c r="A1" s="13" t="inlineStr">
        <is>
          <t>Provider type</t>
        </is>
      </c>
      <c r="C1" s="13" t="inlineStr">
        <is>
          <t>State</t>
        </is>
      </c>
      <c r="E1" s="13" t="inlineStr">
        <is>
          <t>Life support</t>
        </is>
      </c>
      <c r="G1" s="13" t="inlineStr">
        <is>
          <t>Priority</t>
        </is>
      </c>
      <c r="I1" s="55" t="inlineStr">
        <is>
          <t>About these lists</t>
        </is>
      </c>
    </row>
    <row r="2">
      <c r="A2" s="54" t="inlineStr">
        <is>
          <t>MD</t>
        </is>
      </c>
      <c r="C2" s="54" t="inlineStr">
        <is>
          <t>AL</t>
        </is>
      </c>
      <c r="E2" s="54" t="inlineStr">
        <is>
          <t>BLS</t>
        </is>
      </c>
      <c r="G2" s="54" t="inlineStr">
        <is>
          <t>Low</t>
        </is>
      </c>
      <c r="I2" s="56" t="inlineStr">
        <is>
          <t>These feed the dropdowns. To add an option, insert a row inside a list (above its last item) so the dropdown range grows with it. Priority must stay Low, Medium or High: ExpiryEdge imports those three values.</t>
        </is>
      </c>
    </row>
    <row r="3">
      <c r="A3" s="54" t="inlineStr">
        <is>
          <t>DO</t>
        </is>
      </c>
      <c r="C3" s="54" t="inlineStr">
        <is>
          <t>AK</t>
        </is>
      </c>
      <c r="E3" s="54" t="inlineStr">
        <is>
          <t>ACLS</t>
        </is>
      </c>
      <c r="G3" s="54" t="inlineStr">
        <is>
          <t>Medium</t>
        </is>
      </c>
    </row>
    <row r="4">
      <c r="A4" s="54" t="inlineStr">
        <is>
          <t>NP</t>
        </is>
      </c>
      <c r="C4" s="54" t="inlineStr">
        <is>
          <t>AZ</t>
        </is>
      </c>
      <c r="E4" s="54" t="inlineStr">
        <is>
          <t>PALS</t>
        </is>
      </c>
      <c r="G4" s="54" t="inlineStr">
        <is>
          <t>High</t>
        </is>
      </c>
    </row>
    <row r="5">
      <c r="A5" s="54" t="inlineStr">
        <is>
          <t>PA</t>
        </is>
      </c>
      <c r="C5" s="54" t="inlineStr">
        <is>
          <t>AR</t>
        </is>
      </c>
      <c r="E5" s="54" t="inlineStr">
        <is>
          <t>NRP</t>
        </is>
      </c>
    </row>
    <row r="6">
      <c r="A6" s="54" t="inlineStr">
        <is>
          <t>CRNA</t>
        </is>
      </c>
      <c r="C6" s="54" t="inlineStr">
        <is>
          <t>CA</t>
        </is>
      </c>
      <c r="E6" s="54" t="inlineStr">
        <is>
          <t>BLS + ACLS</t>
        </is>
      </c>
    </row>
    <row r="7">
      <c r="A7" s="54" t="inlineStr">
        <is>
          <t>CNM</t>
        </is>
      </c>
      <c r="C7" s="54" t="inlineStr">
        <is>
          <t>CO</t>
        </is>
      </c>
      <c r="E7" s="54" t="inlineStr">
        <is>
          <t>Other</t>
        </is>
      </c>
    </row>
    <row r="8">
      <c r="A8" s="54" t="inlineStr">
        <is>
          <t>DDS / DMD</t>
        </is>
      </c>
      <c r="C8" s="54" t="inlineStr">
        <is>
          <t>CT</t>
        </is>
      </c>
    </row>
    <row r="9">
      <c r="A9" s="54" t="inlineStr">
        <is>
          <t>DPM</t>
        </is>
      </c>
      <c r="C9" s="54" t="inlineStr">
        <is>
          <t>DE</t>
        </is>
      </c>
    </row>
    <row r="10">
      <c r="A10" s="54" t="inlineStr">
        <is>
          <t>Psychologist</t>
        </is>
      </c>
      <c r="C10" s="54" t="inlineStr">
        <is>
          <t>DC</t>
        </is>
      </c>
    </row>
    <row r="11">
      <c r="A11" s="54" t="inlineStr">
        <is>
          <t>LCSW</t>
        </is>
      </c>
      <c r="C11" s="54" t="inlineStr">
        <is>
          <t>FL</t>
        </is>
      </c>
    </row>
    <row r="12">
      <c r="A12" s="54" t="inlineStr">
        <is>
          <t>LPC</t>
        </is>
      </c>
      <c r="C12" s="54" t="inlineStr">
        <is>
          <t>GA</t>
        </is>
      </c>
    </row>
    <row r="13">
      <c r="A13" s="54" t="inlineStr">
        <is>
          <t>Other</t>
        </is>
      </c>
      <c r="C13" s="54" t="inlineStr">
        <is>
          <t>HI</t>
        </is>
      </c>
    </row>
    <row r="14">
      <c r="C14" s="54" t="inlineStr">
        <is>
          <t>ID</t>
        </is>
      </c>
    </row>
    <row r="15">
      <c r="C15" s="54" t="inlineStr">
        <is>
          <t>IL</t>
        </is>
      </c>
    </row>
    <row r="16">
      <c r="C16" s="54" t="inlineStr">
        <is>
          <t>IN</t>
        </is>
      </c>
    </row>
    <row r="17">
      <c r="C17" s="54" t="inlineStr">
        <is>
          <t>IA</t>
        </is>
      </c>
    </row>
    <row r="18">
      <c r="C18" s="54" t="inlineStr">
        <is>
          <t>KS</t>
        </is>
      </c>
    </row>
    <row r="19">
      <c r="C19" s="54" t="inlineStr">
        <is>
          <t>KY</t>
        </is>
      </c>
    </row>
    <row r="20">
      <c r="C20" s="54" t="inlineStr">
        <is>
          <t>LA</t>
        </is>
      </c>
    </row>
    <row r="21">
      <c r="C21" s="54" t="inlineStr">
        <is>
          <t>ME</t>
        </is>
      </c>
    </row>
    <row r="22">
      <c r="C22" s="54" t="inlineStr">
        <is>
          <t>MD</t>
        </is>
      </c>
    </row>
    <row r="23">
      <c r="C23" s="54" t="inlineStr">
        <is>
          <t>MA</t>
        </is>
      </c>
    </row>
    <row r="24">
      <c r="C24" s="54" t="inlineStr">
        <is>
          <t>MI</t>
        </is>
      </c>
    </row>
    <row r="25">
      <c r="C25" s="54" t="inlineStr">
        <is>
          <t>MN</t>
        </is>
      </c>
    </row>
    <row r="26">
      <c r="C26" s="54" t="inlineStr">
        <is>
          <t>MS</t>
        </is>
      </c>
    </row>
    <row r="27">
      <c r="C27" s="54" t="inlineStr">
        <is>
          <t>MO</t>
        </is>
      </c>
    </row>
    <row r="28">
      <c r="C28" s="54" t="inlineStr">
        <is>
          <t>MT</t>
        </is>
      </c>
    </row>
    <row r="29">
      <c r="C29" s="54" t="inlineStr">
        <is>
          <t>NE</t>
        </is>
      </c>
    </row>
    <row r="30">
      <c r="C30" s="54" t="inlineStr">
        <is>
          <t>NV</t>
        </is>
      </c>
    </row>
    <row r="31">
      <c r="C31" s="54" t="inlineStr">
        <is>
          <t>NH</t>
        </is>
      </c>
    </row>
    <row r="32">
      <c r="C32" s="54" t="inlineStr">
        <is>
          <t>NJ</t>
        </is>
      </c>
    </row>
    <row r="33">
      <c r="C33" s="54" t="inlineStr">
        <is>
          <t>NM</t>
        </is>
      </c>
    </row>
    <row r="34">
      <c r="C34" s="54" t="inlineStr">
        <is>
          <t>NY</t>
        </is>
      </c>
    </row>
    <row r="35">
      <c r="C35" s="54" t="inlineStr">
        <is>
          <t>NC</t>
        </is>
      </c>
    </row>
    <row r="36">
      <c r="C36" s="54" t="inlineStr">
        <is>
          <t>ND</t>
        </is>
      </c>
    </row>
    <row r="37">
      <c r="C37" s="54" t="inlineStr">
        <is>
          <t>OH</t>
        </is>
      </c>
    </row>
    <row r="38">
      <c r="C38" s="54" t="inlineStr">
        <is>
          <t>OK</t>
        </is>
      </c>
    </row>
    <row r="39">
      <c r="C39" s="54" t="inlineStr">
        <is>
          <t>OR</t>
        </is>
      </c>
    </row>
    <row r="40">
      <c r="C40" s="54" t="inlineStr">
        <is>
          <t>PA</t>
        </is>
      </c>
    </row>
    <row r="41">
      <c r="C41" s="54" t="inlineStr">
        <is>
          <t>RI</t>
        </is>
      </c>
    </row>
    <row r="42">
      <c r="C42" s="54" t="inlineStr">
        <is>
          <t>SC</t>
        </is>
      </c>
    </row>
    <row r="43">
      <c r="C43" s="54" t="inlineStr">
        <is>
          <t>SD</t>
        </is>
      </c>
    </row>
    <row r="44">
      <c r="C44" s="54" t="inlineStr">
        <is>
          <t>TN</t>
        </is>
      </c>
    </row>
    <row r="45">
      <c r="C45" s="54" t="inlineStr">
        <is>
          <t>TX</t>
        </is>
      </c>
    </row>
    <row r="46">
      <c r="C46" s="54" t="inlineStr">
        <is>
          <t>UT</t>
        </is>
      </c>
    </row>
    <row r="47">
      <c r="C47" s="54" t="inlineStr">
        <is>
          <t>VT</t>
        </is>
      </c>
    </row>
    <row r="48">
      <c r="C48" s="54" t="inlineStr">
        <is>
          <t>VA</t>
        </is>
      </c>
    </row>
    <row r="49">
      <c r="C49" s="54" t="inlineStr">
        <is>
          <t>WA</t>
        </is>
      </c>
    </row>
    <row r="50">
      <c r="C50" s="54" t="inlineStr">
        <is>
          <t>WV</t>
        </is>
      </c>
    </row>
    <row r="51">
      <c r="C51" s="54" t="inlineStr">
        <is>
          <t>WI</t>
        </is>
      </c>
    </row>
    <row r="52">
      <c r="C52" s="54" t="inlineStr">
        <is>
          <t>WY</t>
        </is>
      </c>
    </row>
  </sheetData>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3:E503"/>
  <sheetViews>
    <sheetView tabSelected="0" workbookViewId="0">
      <selection activeCell="A1" sqref="A1"/>
    </sheetView>
  </sheetViews>
  <sheetFormatPr baseColWidth="8" defaultRowHeight="15"/>
  <sheetData>
    <row r="3">
      <c r="A3" t="inlineStr">
        <is>
          <t>next_key</t>
        </is>
      </c>
      <c r="B3" t="inlineStr">
        <is>
          <t>import_seq</t>
        </is>
      </c>
      <c r="C3" t="inlineStr">
        <is>
          <t>kth_key</t>
        </is>
      </c>
      <c r="D3" t="inlineStr">
        <is>
          <t>kth_pos</t>
        </is>
      </c>
      <c r="E3" t="inlineStr">
        <is>
          <t>import_pos</t>
        </is>
      </c>
    </row>
    <row r="4">
      <c r="A4">
        <f>IF(AND(LEN('Providers'!A4)&gt;0,ISNUMBER('Providers'!AD4)),'Providers'!AD4+1/100000,"")</f>
        <v/>
      </c>
      <c r="B4">
        <f>IF(AND(LEN('Providers'!A4)&gt;0,ISNUMBER('Providers'!AD4)),MAX($B$3:B3)+1,"")</f>
        <v/>
      </c>
      <c r="C4">
        <f>IFERROR(SMALL($A$4:$A$503,1),"")</f>
        <v/>
      </c>
      <c r="D4">
        <f>IF(C4="","",MATCH(C4,$A$4:$A$503,0))</f>
        <v/>
      </c>
      <c r="E4">
        <f>IFERROR(MATCH(1,$B$4:$B$503,0),"")</f>
        <v/>
      </c>
    </row>
    <row r="5">
      <c r="A5">
        <f>IF(AND(LEN('Providers'!A5)&gt;0,ISNUMBER('Providers'!AD5)),'Providers'!AD5+2/100000,"")</f>
        <v/>
      </c>
      <c r="B5">
        <f>IF(AND(LEN('Providers'!A5)&gt;0,ISNUMBER('Providers'!AD5)),MAX($B$3:B4)+1,"")</f>
        <v/>
      </c>
      <c r="C5">
        <f>IFERROR(SMALL($A$4:$A$503,2),"")</f>
        <v/>
      </c>
      <c r="D5">
        <f>IF(C5="","",MATCH(C5,$A$4:$A$503,0))</f>
        <v/>
      </c>
      <c r="E5">
        <f>IFERROR(MATCH(2,$B$4:$B$503,0),"")</f>
        <v/>
      </c>
    </row>
    <row r="6">
      <c r="A6">
        <f>IF(AND(LEN('Providers'!A6)&gt;0,ISNUMBER('Providers'!AD6)),'Providers'!AD6+3/100000,"")</f>
        <v/>
      </c>
      <c r="B6">
        <f>IF(AND(LEN('Providers'!A6)&gt;0,ISNUMBER('Providers'!AD6)),MAX($B$3:B5)+1,"")</f>
        <v/>
      </c>
      <c r="C6">
        <f>IFERROR(SMALL($A$4:$A$503,3),"")</f>
        <v/>
      </c>
      <c r="D6">
        <f>IF(C6="","",MATCH(C6,$A$4:$A$503,0))</f>
        <v/>
      </c>
      <c r="E6">
        <f>IFERROR(MATCH(3,$B$4:$B$503,0),"")</f>
        <v/>
      </c>
    </row>
    <row r="7">
      <c r="A7">
        <f>IF(AND(LEN('Providers'!A7)&gt;0,ISNUMBER('Providers'!AD7)),'Providers'!AD7+4/100000,"")</f>
        <v/>
      </c>
      <c r="B7">
        <f>IF(AND(LEN('Providers'!A7)&gt;0,ISNUMBER('Providers'!AD7)),MAX($B$3:B6)+1,"")</f>
        <v/>
      </c>
      <c r="C7">
        <f>IFERROR(SMALL($A$4:$A$503,4),"")</f>
        <v/>
      </c>
      <c r="D7">
        <f>IF(C7="","",MATCH(C7,$A$4:$A$503,0))</f>
        <v/>
      </c>
      <c r="E7">
        <f>IFERROR(MATCH(4,$B$4:$B$503,0),"")</f>
        <v/>
      </c>
    </row>
    <row r="8">
      <c r="A8">
        <f>IF(AND(LEN('Providers'!A8)&gt;0,ISNUMBER('Providers'!AD8)),'Providers'!AD8+5/100000,"")</f>
        <v/>
      </c>
      <c r="B8">
        <f>IF(AND(LEN('Providers'!A8)&gt;0,ISNUMBER('Providers'!AD8)),MAX($B$3:B7)+1,"")</f>
        <v/>
      </c>
      <c r="C8">
        <f>IFERROR(SMALL($A$4:$A$503,5),"")</f>
        <v/>
      </c>
      <c r="D8">
        <f>IF(C8="","",MATCH(C8,$A$4:$A$503,0))</f>
        <v/>
      </c>
      <c r="E8">
        <f>IFERROR(MATCH(5,$B$4:$B$503,0),"")</f>
        <v/>
      </c>
    </row>
    <row r="9">
      <c r="A9">
        <f>IF(AND(LEN('Providers'!A9)&gt;0,ISNUMBER('Providers'!AD9)),'Providers'!AD9+6/100000,"")</f>
        <v/>
      </c>
      <c r="B9">
        <f>IF(AND(LEN('Providers'!A9)&gt;0,ISNUMBER('Providers'!AD9)),MAX($B$3:B8)+1,"")</f>
        <v/>
      </c>
      <c r="C9">
        <f>IFERROR(SMALL($A$4:$A$503,6),"")</f>
        <v/>
      </c>
      <c r="D9">
        <f>IF(C9="","",MATCH(C9,$A$4:$A$503,0))</f>
        <v/>
      </c>
      <c r="E9">
        <f>IFERROR(MATCH(6,$B$4:$B$503,0),"")</f>
        <v/>
      </c>
    </row>
    <row r="10">
      <c r="A10">
        <f>IF(AND(LEN('Providers'!A10)&gt;0,ISNUMBER('Providers'!AD10)),'Providers'!AD10+7/100000,"")</f>
        <v/>
      </c>
      <c r="B10">
        <f>IF(AND(LEN('Providers'!A10)&gt;0,ISNUMBER('Providers'!AD10)),MAX($B$3:B9)+1,"")</f>
        <v/>
      </c>
      <c r="C10">
        <f>IFERROR(SMALL($A$4:$A$503,7),"")</f>
        <v/>
      </c>
      <c r="D10">
        <f>IF(C10="","",MATCH(C10,$A$4:$A$503,0))</f>
        <v/>
      </c>
      <c r="E10">
        <f>IFERROR(MATCH(7,$B$4:$B$503,0),"")</f>
        <v/>
      </c>
    </row>
    <row r="11">
      <c r="A11">
        <f>IF(AND(LEN('Providers'!A11)&gt;0,ISNUMBER('Providers'!AD11)),'Providers'!AD11+8/100000,"")</f>
        <v/>
      </c>
      <c r="B11">
        <f>IF(AND(LEN('Providers'!A11)&gt;0,ISNUMBER('Providers'!AD11)),MAX($B$3:B10)+1,"")</f>
        <v/>
      </c>
      <c r="C11">
        <f>IFERROR(SMALL($A$4:$A$503,8),"")</f>
        <v/>
      </c>
      <c r="D11">
        <f>IF(C11="","",MATCH(C11,$A$4:$A$503,0))</f>
        <v/>
      </c>
      <c r="E11">
        <f>IFERROR(MATCH(8,$B$4:$B$503,0),"")</f>
        <v/>
      </c>
    </row>
    <row r="12">
      <c r="A12">
        <f>IF(AND(LEN('Providers'!A12)&gt;0,ISNUMBER('Providers'!AD12)),'Providers'!AD12+9/100000,"")</f>
        <v/>
      </c>
      <c r="B12">
        <f>IF(AND(LEN('Providers'!A12)&gt;0,ISNUMBER('Providers'!AD12)),MAX($B$3:B11)+1,"")</f>
        <v/>
      </c>
      <c r="C12">
        <f>IFERROR(SMALL($A$4:$A$503,9),"")</f>
        <v/>
      </c>
      <c r="D12">
        <f>IF(C12="","",MATCH(C12,$A$4:$A$503,0))</f>
        <v/>
      </c>
      <c r="E12">
        <f>IFERROR(MATCH(9,$B$4:$B$503,0),"")</f>
        <v/>
      </c>
    </row>
    <row r="13">
      <c r="A13">
        <f>IF(AND(LEN('Providers'!A13)&gt;0,ISNUMBER('Providers'!AD13)),'Providers'!AD13+10/100000,"")</f>
        <v/>
      </c>
      <c r="B13">
        <f>IF(AND(LEN('Providers'!A13)&gt;0,ISNUMBER('Providers'!AD13)),MAX($B$3:B12)+1,"")</f>
        <v/>
      </c>
      <c r="C13">
        <f>IFERROR(SMALL($A$4:$A$503,10),"")</f>
        <v/>
      </c>
      <c r="D13">
        <f>IF(C13="","",MATCH(C13,$A$4:$A$503,0))</f>
        <v/>
      </c>
      <c r="E13">
        <f>IFERROR(MATCH(10,$B$4:$B$503,0),"")</f>
        <v/>
      </c>
    </row>
    <row r="14">
      <c r="A14">
        <f>IF(AND(LEN('Providers'!A14)&gt;0,ISNUMBER('Providers'!AD14)),'Providers'!AD14+11/100000,"")</f>
        <v/>
      </c>
      <c r="B14">
        <f>IF(AND(LEN('Providers'!A14)&gt;0,ISNUMBER('Providers'!AD14)),MAX($B$3:B13)+1,"")</f>
        <v/>
      </c>
      <c r="E14">
        <f>IFERROR(MATCH(11,$B$4:$B$503,0),"")</f>
        <v/>
      </c>
    </row>
    <row r="15">
      <c r="A15">
        <f>IF(AND(LEN('Providers'!A15)&gt;0,ISNUMBER('Providers'!AD15)),'Providers'!AD15+12/100000,"")</f>
        <v/>
      </c>
      <c r="B15">
        <f>IF(AND(LEN('Providers'!A15)&gt;0,ISNUMBER('Providers'!AD15)),MAX($B$3:B14)+1,"")</f>
        <v/>
      </c>
      <c r="E15">
        <f>IFERROR(MATCH(12,$B$4:$B$503,0),"")</f>
        <v/>
      </c>
    </row>
    <row r="16">
      <c r="A16">
        <f>IF(AND(LEN('Providers'!A16)&gt;0,ISNUMBER('Providers'!AD16)),'Providers'!AD16+13/100000,"")</f>
        <v/>
      </c>
      <c r="B16">
        <f>IF(AND(LEN('Providers'!A16)&gt;0,ISNUMBER('Providers'!AD16)),MAX($B$3:B15)+1,"")</f>
        <v/>
      </c>
      <c r="E16">
        <f>IFERROR(MATCH(13,$B$4:$B$503,0),"")</f>
        <v/>
      </c>
    </row>
    <row r="17">
      <c r="A17">
        <f>IF(AND(LEN('Providers'!A17)&gt;0,ISNUMBER('Providers'!AD17)),'Providers'!AD17+14/100000,"")</f>
        <v/>
      </c>
      <c r="B17">
        <f>IF(AND(LEN('Providers'!A17)&gt;0,ISNUMBER('Providers'!AD17)),MAX($B$3:B16)+1,"")</f>
        <v/>
      </c>
      <c r="E17">
        <f>IFERROR(MATCH(14,$B$4:$B$503,0),"")</f>
        <v/>
      </c>
    </row>
    <row r="18">
      <c r="A18">
        <f>IF(AND(LEN('Providers'!A18)&gt;0,ISNUMBER('Providers'!AD18)),'Providers'!AD18+15/100000,"")</f>
        <v/>
      </c>
      <c r="B18">
        <f>IF(AND(LEN('Providers'!A18)&gt;0,ISNUMBER('Providers'!AD18)),MAX($B$3:B17)+1,"")</f>
        <v/>
      </c>
      <c r="E18">
        <f>IFERROR(MATCH(15,$B$4:$B$503,0),"")</f>
        <v/>
      </c>
    </row>
    <row r="19">
      <c r="A19">
        <f>IF(AND(LEN('Providers'!A19)&gt;0,ISNUMBER('Providers'!AD19)),'Providers'!AD19+16/100000,"")</f>
        <v/>
      </c>
      <c r="B19">
        <f>IF(AND(LEN('Providers'!A19)&gt;0,ISNUMBER('Providers'!AD19)),MAX($B$3:B18)+1,"")</f>
        <v/>
      </c>
      <c r="E19">
        <f>IFERROR(MATCH(16,$B$4:$B$503,0),"")</f>
        <v/>
      </c>
    </row>
    <row r="20">
      <c r="A20">
        <f>IF(AND(LEN('Providers'!A20)&gt;0,ISNUMBER('Providers'!AD20)),'Providers'!AD20+17/100000,"")</f>
        <v/>
      </c>
      <c r="B20">
        <f>IF(AND(LEN('Providers'!A20)&gt;0,ISNUMBER('Providers'!AD20)),MAX($B$3:B19)+1,"")</f>
        <v/>
      </c>
      <c r="E20">
        <f>IFERROR(MATCH(17,$B$4:$B$503,0),"")</f>
        <v/>
      </c>
    </row>
    <row r="21">
      <c r="A21">
        <f>IF(AND(LEN('Providers'!A21)&gt;0,ISNUMBER('Providers'!AD21)),'Providers'!AD21+18/100000,"")</f>
        <v/>
      </c>
      <c r="B21">
        <f>IF(AND(LEN('Providers'!A21)&gt;0,ISNUMBER('Providers'!AD21)),MAX($B$3:B20)+1,"")</f>
        <v/>
      </c>
      <c r="E21">
        <f>IFERROR(MATCH(18,$B$4:$B$503,0),"")</f>
        <v/>
      </c>
    </row>
    <row r="22">
      <c r="A22">
        <f>IF(AND(LEN('Providers'!A22)&gt;0,ISNUMBER('Providers'!AD22)),'Providers'!AD22+19/100000,"")</f>
        <v/>
      </c>
      <c r="B22">
        <f>IF(AND(LEN('Providers'!A22)&gt;0,ISNUMBER('Providers'!AD22)),MAX($B$3:B21)+1,"")</f>
        <v/>
      </c>
      <c r="E22">
        <f>IFERROR(MATCH(19,$B$4:$B$503,0),"")</f>
        <v/>
      </c>
    </row>
    <row r="23">
      <c r="A23">
        <f>IF(AND(LEN('Providers'!A23)&gt;0,ISNUMBER('Providers'!AD23)),'Providers'!AD23+20/100000,"")</f>
        <v/>
      </c>
      <c r="B23">
        <f>IF(AND(LEN('Providers'!A23)&gt;0,ISNUMBER('Providers'!AD23)),MAX($B$3:B22)+1,"")</f>
        <v/>
      </c>
      <c r="E23">
        <f>IFERROR(MATCH(20,$B$4:$B$503,0),"")</f>
        <v/>
      </c>
    </row>
    <row r="24">
      <c r="A24">
        <f>IF(AND(LEN('Providers'!A24)&gt;0,ISNUMBER('Providers'!AD24)),'Providers'!AD24+21/100000,"")</f>
        <v/>
      </c>
      <c r="B24">
        <f>IF(AND(LEN('Providers'!A24)&gt;0,ISNUMBER('Providers'!AD24)),MAX($B$3:B23)+1,"")</f>
        <v/>
      </c>
      <c r="E24">
        <f>IFERROR(MATCH(21,$B$4:$B$503,0),"")</f>
        <v/>
      </c>
    </row>
    <row r="25">
      <c r="A25">
        <f>IF(AND(LEN('Providers'!A25)&gt;0,ISNUMBER('Providers'!AD25)),'Providers'!AD25+22/100000,"")</f>
        <v/>
      </c>
      <c r="B25">
        <f>IF(AND(LEN('Providers'!A25)&gt;0,ISNUMBER('Providers'!AD25)),MAX($B$3:B24)+1,"")</f>
        <v/>
      </c>
      <c r="E25">
        <f>IFERROR(MATCH(22,$B$4:$B$503,0),"")</f>
        <v/>
      </c>
    </row>
    <row r="26">
      <c r="A26">
        <f>IF(AND(LEN('Providers'!A26)&gt;0,ISNUMBER('Providers'!AD26)),'Providers'!AD26+23/100000,"")</f>
        <v/>
      </c>
      <c r="B26">
        <f>IF(AND(LEN('Providers'!A26)&gt;0,ISNUMBER('Providers'!AD26)),MAX($B$3:B25)+1,"")</f>
        <v/>
      </c>
      <c r="E26">
        <f>IFERROR(MATCH(23,$B$4:$B$503,0),"")</f>
        <v/>
      </c>
    </row>
    <row r="27">
      <c r="A27">
        <f>IF(AND(LEN('Providers'!A27)&gt;0,ISNUMBER('Providers'!AD27)),'Providers'!AD27+24/100000,"")</f>
        <v/>
      </c>
      <c r="B27">
        <f>IF(AND(LEN('Providers'!A27)&gt;0,ISNUMBER('Providers'!AD27)),MAX($B$3:B26)+1,"")</f>
        <v/>
      </c>
      <c r="E27">
        <f>IFERROR(MATCH(24,$B$4:$B$503,0),"")</f>
        <v/>
      </c>
    </row>
    <row r="28">
      <c r="A28">
        <f>IF(AND(LEN('Providers'!A28)&gt;0,ISNUMBER('Providers'!AD28)),'Providers'!AD28+25/100000,"")</f>
        <v/>
      </c>
      <c r="B28">
        <f>IF(AND(LEN('Providers'!A28)&gt;0,ISNUMBER('Providers'!AD28)),MAX($B$3:B27)+1,"")</f>
        <v/>
      </c>
      <c r="E28">
        <f>IFERROR(MATCH(25,$B$4:$B$503,0),"")</f>
        <v/>
      </c>
    </row>
    <row r="29">
      <c r="A29">
        <f>IF(AND(LEN('Providers'!A29)&gt;0,ISNUMBER('Providers'!AD29)),'Providers'!AD29+26/100000,"")</f>
        <v/>
      </c>
      <c r="B29">
        <f>IF(AND(LEN('Providers'!A29)&gt;0,ISNUMBER('Providers'!AD29)),MAX($B$3:B28)+1,"")</f>
        <v/>
      </c>
      <c r="E29">
        <f>IFERROR(MATCH(26,$B$4:$B$503,0),"")</f>
        <v/>
      </c>
    </row>
    <row r="30">
      <c r="A30">
        <f>IF(AND(LEN('Providers'!A30)&gt;0,ISNUMBER('Providers'!AD30)),'Providers'!AD30+27/100000,"")</f>
        <v/>
      </c>
      <c r="B30">
        <f>IF(AND(LEN('Providers'!A30)&gt;0,ISNUMBER('Providers'!AD30)),MAX($B$3:B29)+1,"")</f>
        <v/>
      </c>
      <c r="E30">
        <f>IFERROR(MATCH(27,$B$4:$B$503,0),"")</f>
        <v/>
      </c>
    </row>
    <row r="31">
      <c r="A31">
        <f>IF(AND(LEN('Providers'!A31)&gt;0,ISNUMBER('Providers'!AD31)),'Providers'!AD31+28/100000,"")</f>
        <v/>
      </c>
      <c r="B31">
        <f>IF(AND(LEN('Providers'!A31)&gt;0,ISNUMBER('Providers'!AD31)),MAX($B$3:B30)+1,"")</f>
        <v/>
      </c>
      <c r="E31">
        <f>IFERROR(MATCH(28,$B$4:$B$503,0),"")</f>
        <v/>
      </c>
    </row>
    <row r="32">
      <c r="A32">
        <f>IF(AND(LEN('Providers'!A32)&gt;0,ISNUMBER('Providers'!AD32)),'Providers'!AD32+29/100000,"")</f>
        <v/>
      </c>
      <c r="B32">
        <f>IF(AND(LEN('Providers'!A32)&gt;0,ISNUMBER('Providers'!AD32)),MAX($B$3:B31)+1,"")</f>
        <v/>
      </c>
      <c r="E32">
        <f>IFERROR(MATCH(29,$B$4:$B$503,0),"")</f>
        <v/>
      </c>
    </row>
    <row r="33">
      <c r="A33">
        <f>IF(AND(LEN('Providers'!A33)&gt;0,ISNUMBER('Providers'!AD33)),'Providers'!AD33+30/100000,"")</f>
        <v/>
      </c>
      <c r="B33">
        <f>IF(AND(LEN('Providers'!A33)&gt;0,ISNUMBER('Providers'!AD33)),MAX($B$3:B32)+1,"")</f>
        <v/>
      </c>
      <c r="E33">
        <f>IFERROR(MATCH(30,$B$4:$B$503,0),"")</f>
        <v/>
      </c>
    </row>
    <row r="34">
      <c r="A34">
        <f>IF(AND(LEN('Providers'!A34)&gt;0,ISNUMBER('Providers'!AD34)),'Providers'!AD34+31/100000,"")</f>
        <v/>
      </c>
      <c r="B34">
        <f>IF(AND(LEN('Providers'!A34)&gt;0,ISNUMBER('Providers'!AD34)),MAX($B$3:B33)+1,"")</f>
        <v/>
      </c>
      <c r="E34">
        <f>IFERROR(MATCH(31,$B$4:$B$503,0),"")</f>
        <v/>
      </c>
    </row>
    <row r="35">
      <c r="A35">
        <f>IF(AND(LEN('Providers'!A35)&gt;0,ISNUMBER('Providers'!AD35)),'Providers'!AD35+32/100000,"")</f>
        <v/>
      </c>
      <c r="B35">
        <f>IF(AND(LEN('Providers'!A35)&gt;0,ISNUMBER('Providers'!AD35)),MAX($B$3:B34)+1,"")</f>
        <v/>
      </c>
      <c r="E35">
        <f>IFERROR(MATCH(32,$B$4:$B$503,0),"")</f>
        <v/>
      </c>
    </row>
    <row r="36">
      <c r="A36">
        <f>IF(AND(LEN('Providers'!A36)&gt;0,ISNUMBER('Providers'!AD36)),'Providers'!AD36+33/100000,"")</f>
        <v/>
      </c>
      <c r="B36">
        <f>IF(AND(LEN('Providers'!A36)&gt;0,ISNUMBER('Providers'!AD36)),MAX($B$3:B35)+1,"")</f>
        <v/>
      </c>
      <c r="E36">
        <f>IFERROR(MATCH(33,$B$4:$B$503,0),"")</f>
        <v/>
      </c>
    </row>
    <row r="37">
      <c r="A37">
        <f>IF(AND(LEN('Providers'!A37)&gt;0,ISNUMBER('Providers'!AD37)),'Providers'!AD37+34/100000,"")</f>
        <v/>
      </c>
      <c r="B37">
        <f>IF(AND(LEN('Providers'!A37)&gt;0,ISNUMBER('Providers'!AD37)),MAX($B$3:B36)+1,"")</f>
        <v/>
      </c>
      <c r="E37">
        <f>IFERROR(MATCH(34,$B$4:$B$503,0),"")</f>
        <v/>
      </c>
    </row>
    <row r="38">
      <c r="A38">
        <f>IF(AND(LEN('Providers'!A38)&gt;0,ISNUMBER('Providers'!AD38)),'Providers'!AD38+35/100000,"")</f>
        <v/>
      </c>
      <c r="B38">
        <f>IF(AND(LEN('Providers'!A38)&gt;0,ISNUMBER('Providers'!AD38)),MAX($B$3:B37)+1,"")</f>
        <v/>
      </c>
      <c r="E38">
        <f>IFERROR(MATCH(35,$B$4:$B$503,0),"")</f>
        <v/>
      </c>
    </row>
    <row r="39">
      <c r="A39">
        <f>IF(AND(LEN('Providers'!A39)&gt;0,ISNUMBER('Providers'!AD39)),'Providers'!AD39+36/100000,"")</f>
        <v/>
      </c>
      <c r="B39">
        <f>IF(AND(LEN('Providers'!A39)&gt;0,ISNUMBER('Providers'!AD39)),MAX($B$3:B38)+1,"")</f>
        <v/>
      </c>
      <c r="E39">
        <f>IFERROR(MATCH(36,$B$4:$B$503,0),"")</f>
        <v/>
      </c>
    </row>
    <row r="40">
      <c r="A40">
        <f>IF(AND(LEN('Providers'!A40)&gt;0,ISNUMBER('Providers'!AD40)),'Providers'!AD40+37/100000,"")</f>
        <v/>
      </c>
      <c r="B40">
        <f>IF(AND(LEN('Providers'!A40)&gt;0,ISNUMBER('Providers'!AD40)),MAX($B$3:B39)+1,"")</f>
        <v/>
      </c>
      <c r="E40">
        <f>IFERROR(MATCH(37,$B$4:$B$503,0),"")</f>
        <v/>
      </c>
    </row>
    <row r="41">
      <c r="A41">
        <f>IF(AND(LEN('Providers'!A41)&gt;0,ISNUMBER('Providers'!AD41)),'Providers'!AD41+38/100000,"")</f>
        <v/>
      </c>
      <c r="B41">
        <f>IF(AND(LEN('Providers'!A41)&gt;0,ISNUMBER('Providers'!AD41)),MAX($B$3:B40)+1,"")</f>
        <v/>
      </c>
      <c r="E41">
        <f>IFERROR(MATCH(38,$B$4:$B$503,0),"")</f>
        <v/>
      </c>
    </row>
    <row r="42">
      <c r="A42">
        <f>IF(AND(LEN('Providers'!A42)&gt;0,ISNUMBER('Providers'!AD42)),'Providers'!AD42+39/100000,"")</f>
        <v/>
      </c>
      <c r="B42">
        <f>IF(AND(LEN('Providers'!A42)&gt;0,ISNUMBER('Providers'!AD42)),MAX($B$3:B41)+1,"")</f>
        <v/>
      </c>
      <c r="E42">
        <f>IFERROR(MATCH(39,$B$4:$B$503,0),"")</f>
        <v/>
      </c>
    </row>
    <row r="43">
      <c r="A43">
        <f>IF(AND(LEN('Providers'!A43)&gt;0,ISNUMBER('Providers'!AD43)),'Providers'!AD43+40/100000,"")</f>
        <v/>
      </c>
      <c r="B43">
        <f>IF(AND(LEN('Providers'!A43)&gt;0,ISNUMBER('Providers'!AD43)),MAX($B$3:B42)+1,"")</f>
        <v/>
      </c>
      <c r="E43">
        <f>IFERROR(MATCH(40,$B$4:$B$503,0),"")</f>
        <v/>
      </c>
    </row>
    <row r="44">
      <c r="A44">
        <f>IF(AND(LEN('Providers'!A44)&gt;0,ISNUMBER('Providers'!AD44)),'Providers'!AD44+41/100000,"")</f>
        <v/>
      </c>
      <c r="B44">
        <f>IF(AND(LEN('Providers'!A44)&gt;0,ISNUMBER('Providers'!AD44)),MAX($B$3:B43)+1,"")</f>
        <v/>
      </c>
      <c r="E44">
        <f>IFERROR(MATCH(41,$B$4:$B$503,0),"")</f>
        <v/>
      </c>
    </row>
    <row r="45">
      <c r="A45">
        <f>IF(AND(LEN('Providers'!A45)&gt;0,ISNUMBER('Providers'!AD45)),'Providers'!AD45+42/100000,"")</f>
        <v/>
      </c>
      <c r="B45">
        <f>IF(AND(LEN('Providers'!A45)&gt;0,ISNUMBER('Providers'!AD45)),MAX($B$3:B44)+1,"")</f>
        <v/>
      </c>
      <c r="E45">
        <f>IFERROR(MATCH(42,$B$4:$B$503,0),"")</f>
        <v/>
      </c>
    </row>
    <row r="46">
      <c r="A46">
        <f>IF(AND(LEN('Providers'!A46)&gt;0,ISNUMBER('Providers'!AD46)),'Providers'!AD46+43/100000,"")</f>
        <v/>
      </c>
      <c r="B46">
        <f>IF(AND(LEN('Providers'!A46)&gt;0,ISNUMBER('Providers'!AD46)),MAX($B$3:B45)+1,"")</f>
        <v/>
      </c>
      <c r="E46">
        <f>IFERROR(MATCH(43,$B$4:$B$503,0),"")</f>
        <v/>
      </c>
    </row>
    <row r="47">
      <c r="A47">
        <f>IF(AND(LEN('Providers'!A47)&gt;0,ISNUMBER('Providers'!AD47)),'Providers'!AD47+44/100000,"")</f>
        <v/>
      </c>
      <c r="B47">
        <f>IF(AND(LEN('Providers'!A47)&gt;0,ISNUMBER('Providers'!AD47)),MAX($B$3:B46)+1,"")</f>
        <v/>
      </c>
      <c r="E47">
        <f>IFERROR(MATCH(44,$B$4:$B$503,0),"")</f>
        <v/>
      </c>
    </row>
    <row r="48">
      <c r="A48">
        <f>IF(AND(LEN('Providers'!A48)&gt;0,ISNUMBER('Providers'!AD48)),'Providers'!AD48+45/100000,"")</f>
        <v/>
      </c>
      <c r="B48">
        <f>IF(AND(LEN('Providers'!A48)&gt;0,ISNUMBER('Providers'!AD48)),MAX($B$3:B47)+1,"")</f>
        <v/>
      </c>
      <c r="E48">
        <f>IFERROR(MATCH(45,$B$4:$B$503,0),"")</f>
        <v/>
      </c>
    </row>
    <row r="49">
      <c r="A49">
        <f>IF(AND(LEN('Providers'!A49)&gt;0,ISNUMBER('Providers'!AD49)),'Providers'!AD49+46/100000,"")</f>
        <v/>
      </c>
      <c r="B49">
        <f>IF(AND(LEN('Providers'!A49)&gt;0,ISNUMBER('Providers'!AD49)),MAX($B$3:B48)+1,"")</f>
        <v/>
      </c>
      <c r="E49">
        <f>IFERROR(MATCH(46,$B$4:$B$503,0),"")</f>
        <v/>
      </c>
    </row>
    <row r="50">
      <c r="A50">
        <f>IF(AND(LEN('Providers'!A50)&gt;0,ISNUMBER('Providers'!AD50)),'Providers'!AD50+47/100000,"")</f>
        <v/>
      </c>
      <c r="B50">
        <f>IF(AND(LEN('Providers'!A50)&gt;0,ISNUMBER('Providers'!AD50)),MAX($B$3:B49)+1,"")</f>
        <v/>
      </c>
      <c r="E50">
        <f>IFERROR(MATCH(47,$B$4:$B$503,0),"")</f>
        <v/>
      </c>
    </row>
    <row r="51">
      <c r="A51">
        <f>IF(AND(LEN('Providers'!A51)&gt;0,ISNUMBER('Providers'!AD51)),'Providers'!AD51+48/100000,"")</f>
        <v/>
      </c>
      <c r="B51">
        <f>IF(AND(LEN('Providers'!A51)&gt;0,ISNUMBER('Providers'!AD51)),MAX($B$3:B50)+1,"")</f>
        <v/>
      </c>
      <c r="E51">
        <f>IFERROR(MATCH(48,$B$4:$B$503,0),"")</f>
        <v/>
      </c>
    </row>
    <row r="52">
      <c r="A52">
        <f>IF(AND(LEN('Providers'!A52)&gt;0,ISNUMBER('Providers'!AD52)),'Providers'!AD52+49/100000,"")</f>
        <v/>
      </c>
      <c r="B52">
        <f>IF(AND(LEN('Providers'!A52)&gt;0,ISNUMBER('Providers'!AD52)),MAX($B$3:B51)+1,"")</f>
        <v/>
      </c>
      <c r="E52">
        <f>IFERROR(MATCH(49,$B$4:$B$503,0),"")</f>
        <v/>
      </c>
    </row>
    <row r="53">
      <c r="A53">
        <f>IF(AND(LEN('Providers'!A53)&gt;0,ISNUMBER('Providers'!AD53)),'Providers'!AD53+50/100000,"")</f>
        <v/>
      </c>
      <c r="B53">
        <f>IF(AND(LEN('Providers'!A53)&gt;0,ISNUMBER('Providers'!AD53)),MAX($B$3:B52)+1,"")</f>
        <v/>
      </c>
      <c r="E53">
        <f>IFERROR(MATCH(50,$B$4:$B$503,0),"")</f>
        <v/>
      </c>
    </row>
    <row r="54">
      <c r="A54">
        <f>IF(AND(LEN('Providers'!A54)&gt;0,ISNUMBER('Providers'!AD54)),'Providers'!AD54+51/100000,"")</f>
        <v/>
      </c>
      <c r="B54">
        <f>IF(AND(LEN('Providers'!A54)&gt;0,ISNUMBER('Providers'!AD54)),MAX($B$3:B53)+1,"")</f>
        <v/>
      </c>
      <c r="E54">
        <f>IFERROR(MATCH(51,$B$4:$B$503,0),"")</f>
        <v/>
      </c>
    </row>
    <row r="55">
      <c r="A55">
        <f>IF(AND(LEN('Providers'!A55)&gt;0,ISNUMBER('Providers'!AD55)),'Providers'!AD55+52/100000,"")</f>
        <v/>
      </c>
      <c r="B55">
        <f>IF(AND(LEN('Providers'!A55)&gt;0,ISNUMBER('Providers'!AD55)),MAX($B$3:B54)+1,"")</f>
        <v/>
      </c>
      <c r="E55">
        <f>IFERROR(MATCH(52,$B$4:$B$503,0),"")</f>
        <v/>
      </c>
    </row>
    <row r="56">
      <c r="A56">
        <f>IF(AND(LEN('Providers'!A56)&gt;0,ISNUMBER('Providers'!AD56)),'Providers'!AD56+53/100000,"")</f>
        <v/>
      </c>
      <c r="B56">
        <f>IF(AND(LEN('Providers'!A56)&gt;0,ISNUMBER('Providers'!AD56)),MAX($B$3:B55)+1,"")</f>
        <v/>
      </c>
      <c r="E56">
        <f>IFERROR(MATCH(53,$B$4:$B$503,0),"")</f>
        <v/>
      </c>
    </row>
    <row r="57">
      <c r="A57">
        <f>IF(AND(LEN('Providers'!A57)&gt;0,ISNUMBER('Providers'!AD57)),'Providers'!AD57+54/100000,"")</f>
        <v/>
      </c>
      <c r="B57">
        <f>IF(AND(LEN('Providers'!A57)&gt;0,ISNUMBER('Providers'!AD57)),MAX($B$3:B56)+1,"")</f>
        <v/>
      </c>
      <c r="E57">
        <f>IFERROR(MATCH(54,$B$4:$B$503,0),"")</f>
        <v/>
      </c>
    </row>
    <row r="58">
      <c r="A58">
        <f>IF(AND(LEN('Providers'!A58)&gt;0,ISNUMBER('Providers'!AD58)),'Providers'!AD58+55/100000,"")</f>
        <v/>
      </c>
      <c r="B58">
        <f>IF(AND(LEN('Providers'!A58)&gt;0,ISNUMBER('Providers'!AD58)),MAX($B$3:B57)+1,"")</f>
        <v/>
      </c>
      <c r="E58">
        <f>IFERROR(MATCH(55,$B$4:$B$503,0),"")</f>
        <v/>
      </c>
    </row>
    <row r="59">
      <c r="A59">
        <f>IF(AND(LEN('Providers'!A59)&gt;0,ISNUMBER('Providers'!AD59)),'Providers'!AD59+56/100000,"")</f>
        <v/>
      </c>
      <c r="B59">
        <f>IF(AND(LEN('Providers'!A59)&gt;0,ISNUMBER('Providers'!AD59)),MAX($B$3:B58)+1,"")</f>
        <v/>
      </c>
      <c r="E59">
        <f>IFERROR(MATCH(56,$B$4:$B$503,0),"")</f>
        <v/>
      </c>
    </row>
    <row r="60">
      <c r="A60">
        <f>IF(AND(LEN('Providers'!A60)&gt;0,ISNUMBER('Providers'!AD60)),'Providers'!AD60+57/100000,"")</f>
        <v/>
      </c>
      <c r="B60">
        <f>IF(AND(LEN('Providers'!A60)&gt;0,ISNUMBER('Providers'!AD60)),MAX($B$3:B59)+1,"")</f>
        <v/>
      </c>
      <c r="E60">
        <f>IFERROR(MATCH(57,$B$4:$B$503,0),"")</f>
        <v/>
      </c>
    </row>
    <row r="61">
      <c r="A61">
        <f>IF(AND(LEN('Providers'!A61)&gt;0,ISNUMBER('Providers'!AD61)),'Providers'!AD61+58/100000,"")</f>
        <v/>
      </c>
      <c r="B61">
        <f>IF(AND(LEN('Providers'!A61)&gt;0,ISNUMBER('Providers'!AD61)),MAX($B$3:B60)+1,"")</f>
        <v/>
      </c>
      <c r="E61">
        <f>IFERROR(MATCH(58,$B$4:$B$503,0),"")</f>
        <v/>
      </c>
    </row>
    <row r="62">
      <c r="A62">
        <f>IF(AND(LEN('Providers'!A62)&gt;0,ISNUMBER('Providers'!AD62)),'Providers'!AD62+59/100000,"")</f>
        <v/>
      </c>
      <c r="B62">
        <f>IF(AND(LEN('Providers'!A62)&gt;0,ISNUMBER('Providers'!AD62)),MAX($B$3:B61)+1,"")</f>
        <v/>
      </c>
      <c r="E62">
        <f>IFERROR(MATCH(59,$B$4:$B$503,0),"")</f>
        <v/>
      </c>
    </row>
    <row r="63">
      <c r="A63">
        <f>IF(AND(LEN('Providers'!A63)&gt;0,ISNUMBER('Providers'!AD63)),'Providers'!AD63+60/100000,"")</f>
        <v/>
      </c>
      <c r="B63">
        <f>IF(AND(LEN('Providers'!A63)&gt;0,ISNUMBER('Providers'!AD63)),MAX($B$3:B62)+1,"")</f>
        <v/>
      </c>
      <c r="E63">
        <f>IFERROR(MATCH(60,$B$4:$B$503,0),"")</f>
        <v/>
      </c>
    </row>
    <row r="64">
      <c r="A64">
        <f>IF(AND(LEN('Providers'!A64)&gt;0,ISNUMBER('Providers'!AD64)),'Providers'!AD64+61/100000,"")</f>
        <v/>
      </c>
      <c r="B64">
        <f>IF(AND(LEN('Providers'!A64)&gt;0,ISNUMBER('Providers'!AD64)),MAX($B$3:B63)+1,"")</f>
        <v/>
      </c>
      <c r="E64">
        <f>IFERROR(MATCH(61,$B$4:$B$503,0),"")</f>
        <v/>
      </c>
    </row>
    <row r="65">
      <c r="A65">
        <f>IF(AND(LEN('Providers'!A65)&gt;0,ISNUMBER('Providers'!AD65)),'Providers'!AD65+62/100000,"")</f>
        <v/>
      </c>
      <c r="B65">
        <f>IF(AND(LEN('Providers'!A65)&gt;0,ISNUMBER('Providers'!AD65)),MAX($B$3:B64)+1,"")</f>
        <v/>
      </c>
      <c r="E65">
        <f>IFERROR(MATCH(62,$B$4:$B$503,0),"")</f>
        <v/>
      </c>
    </row>
    <row r="66">
      <c r="A66">
        <f>IF(AND(LEN('Providers'!A66)&gt;0,ISNUMBER('Providers'!AD66)),'Providers'!AD66+63/100000,"")</f>
        <v/>
      </c>
      <c r="B66">
        <f>IF(AND(LEN('Providers'!A66)&gt;0,ISNUMBER('Providers'!AD66)),MAX($B$3:B65)+1,"")</f>
        <v/>
      </c>
      <c r="E66">
        <f>IFERROR(MATCH(63,$B$4:$B$503,0),"")</f>
        <v/>
      </c>
    </row>
    <row r="67">
      <c r="A67">
        <f>IF(AND(LEN('Providers'!A67)&gt;0,ISNUMBER('Providers'!AD67)),'Providers'!AD67+64/100000,"")</f>
        <v/>
      </c>
      <c r="B67">
        <f>IF(AND(LEN('Providers'!A67)&gt;0,ISNUMBER('Providers'!AD67)),MAX($B$3:B66)+1,"")</f>
        <v/>
      </c>
      <c r="E67">
        <f>IFERROR(MATCH(64,$B$4:$B$503,0),"")</f>
        <v/>
      </c>
    </row>
    <row r="68">
      <c r="A68">
        <f>IF(AND(LEN('Providers'!A68)&gt;0,ISNUMBER('Providers'!AD68)),'Providers'!AD68+65/100000,"")</f>
        <v/>
      </c>
      <c r="B68">
        <f>IF(AND(LEN('Providers'!A68)&gt;0,ISNUMBER('Providers'!AD68)),MAX($B$3:B67)+1,"")</f>
        <v/>
      </c>
      <c r="E68">
        <f>IFERROR(MATCH(65,$B$4:$B$503,0),"")</f>
        <v/>
      </c>
    </row>
    <row r="69">
      <c r="A69">
        <f>IF(AND(LEN('Providers'!A69)&gt;0,ISNUMBER('Providers'!AD69)),'Providers'!AD69+66/100000,"")</f>
        <v/>
      </c>
      <c r="B69">
        <f>IF(AND(LEN('Providers'!A69)&gt;0,ISNUMBER('Providers'!AD69)),MAX($B$3:B68)+1,"")</f>
        <v/>
      </c>
      <c r="E69">
        <f>IFERROR(MATCH(66,$B$4:$B$503,0),"")</f>
        <v/>
      </c>
    </row>
    <row r="70">
      <c r="A70">
        <f>IF(AND(LEN('Providers'!A70)&gt;0,ISNUMBER('Providers'!AD70)),'Providers'!AD70+67/100000,"")</f>
        <v/>
      </c>
      <c r="B70">
        <f>IF(AND(LEN('Providers'!A70)&gt;0,ISNUMBER('Providers'!AD70)),MAX($B$3:B69)+1,"")</f>
        <v/>
      </c>
      <c r="E70">
        <f>IFERROR(MATCH(67,$B$4:$B$503,0),"")</f>
        <v/>
      </c>
    </row>
    <row r="71">
      <c r="A71">
        <f>IF(AND(LEN('Providers'!A71)&gt;0,ISNUMBER('Providers'!AD71)),'Providers'!AD71+68/100000,"")</f>
        <v/>
      </c>
      <c r="B71">
        <f>IF(AND(LEN('Providers'!A71)&gt;0,ISNUMBER('Providers'!AD71)),MAX($B$3:B70)+1,"")</f>
        <v/>
      </c>
      <c r="E71">
        <f>IFERROR(MATCH(68,$B$4:$B$503,0),"")</f>
        <v/>
      </c>
    </row>
    <row r="72">
      <c r="A72">
        <f>IF(AND(LEN('Providers'!A72)&gt;0,ISNUMBER('Providers'!AD72)),'Providers'!AD72+69/100000,"")</f>
        <v/>
      </c>
      <c r="B72">
        <f>IF(AND(LEN('Providers'!A72)&gt;0,ISNUMBER('Providers'!AD72)),MAX($B$3:B71)+1,"")</f>
        <v/>
      </c>
      <c r="E72">
        <f>IFERROR(MATCH(69,$B$4:$B$503,0),"")</f>
        <v/>
      </c>
    </row>
    <row r="73">
      <c r="A73">
        <f>IF(AND(LEN('Providers'!A73)&gt;0,ISNUMBER('Providers'!AD73)),'Providers'!AD73+70/100000,"")</f>
        <v/>
      </c>
      <c r="B73">
        <f>IF(AND(LEN('Providers'!A73)&gt;0,ISNUMBER('Providers'!AD73)),MAX($B$3:B72)+1,"")</f>
        <v/>
      </c>
      <c r="E73">
        <f>IFERROR(MATCH(70,$B$4:$B$503,0),"")</f>
        <v/>
      </c>
    </row>
    <row r="74">
      <c r="A74">
        <f>IF(AND(LEN('Providers'!A74)&gt;0,ISNUMBER('Providers'!AD74)),'Providers'!AD74+71/100000,"")</f>
        <v/>
      </c>
      <c r="B74">
        <f>IF(AND(LEN('Providers'!A74)&gt;0,ISNUMBER('Providers'!AD74)),MAX($B$3:B73)+1,"")</f>
        <v/>
      </c>
      <c r="E74">
        <f>IFERROR(MATCH(71,$B$4:$B$503,0),"")</f>
        <v/>
      </c>
    </row>
    <row r="75">
      <c r="A75">
        <f>IF(AND(LEN('Providers'!A75)&gt;0,ISNUMBER('Providers'!AD75)),'Providers'!AD75+72/100000,"")</f>
        <v/>
      </c>
      <c r="B75">
        <f>IF(AND(LEN('Providers'!A75)&gt;0,ISNUMBER('Providers'!AD75)),MAX($B$3:B74)+1,"")</f>
        <v/>
      </c>
      <c r="E75">
        <f>IFERROR(MATCH(72,$B$4:$B$503,0),"")</f>
        <v/>
      </c>
    </row>
    <row r="76">
      <c r="A76">
        <f>IF(AND(LEN('Providers'!A76)&gt;0,ISNUMBER('Providers'!AD76)),'Providers'!AD76+73/100000,"")</f>
        <v/>
      </c>
      <c r="B76">
        <f>IF(AND(LEN('Providers'!A76)&gt;0,ISNUMBER('Providers'!AD76)),MAX($B$3:B75)+1,"")</f>
        <v/>
      </c>
      <c r="E76">
        <f>IFERROR(MATCH(73,$B$4:$B$503,0),"")</f>
        <v/>
      </c>
    </row>
    <row r="77">
      <c r="A77">
        <f>IF(AND(LEN('Providers'!A77)&gt;0,ISNUMBER('Providers'!AD77)),'Providers'!AD77+74/100000,"")</f>
        <v/>
      </c>
      <c r="B77">
        <f>IF(AND(LEN('Providers'!A77)&gt;0,ISNUMBER('Providers'!AD77)),MAX($B$3:B76)+1,"")</f>
        <v/>
      </c>
      <c r="E77">
        <f>IFERROR(MATCH(74,$B$4:$B$503,0),"")</f>
        <v/>
      </c>
    </row>
    <row r="78">
      <c r="A78">
        <f>IF(AND(LEN('Providers'!A78)&gt;0,ISNUMBER('Providers'!AD78)),'Providers'!AD78+75/100000,"")</f>
        <v/>
      </c>
      <c r="B78">
        <f>IF(AND(LEN('Providers'!A78)&gt;0,ISNUMBER('Providers'!AD78)),MAX($B$3:B77)+1,"")</f>
        <v/>
      </c>
      <c r="E78">
        <f>IFERROR(MATCH(75,$B$4:$B$503,0),"")</f>
        <v/>
      </c>
    </row>
    <row r="79">
      <c r="A79">
        <f>IF(AND(LEN('Providers'!A79)&gt;0,ISNUMBER('Providers'!AD79)),'Providers'!AD79+76/100000,"")</f>
        <v/>
      </c>
      <c r="B79">
        <f>IF(AND(LEN('Providers'!A79)&gt;0,ISNUMBER('Providers'!AD79)),MAX($B$3:B78)+1,"")</f>
        <v/>
      </c>
      <c r="E79">
        <f>IFERROR(MATCH(76,$B$4:$B$503,0),"")</f>
        <v/>
      </c>
    </row>
    <row r="80">
      <c r="A80">
        <f>IF(AND(LEN('Providers'!A80)&gt;0,ISNUMBER('Providers'!AD80)),'Providers'!AD80+77/100000,"")</f>
        <v/>
      </c>
      <c r="B80">
        <f>IF(AND(LEN('Providers'!A80)&gt;0,ISNUMBER('Providers'!AD80)),MAX($B$3:B79)+1,"")</f>
        <v/>
      </c>
      <c r="E80">
        <f>IFERROR(MATCH(77,$B$4:$B$503,0),"")</f>
        <v/>
      </c>
    </row>
    <row r="81">
      <c r="A81">
        <f>IF(AND(LEN('Providers'!A81)&gt;0,ISNUMBER('Providers'!AD81)),'Providers'!AD81+78/100000,"")</f>
        <v/>
      </c>
      <c r="B81">
        <f>IF(AND(LEN('Providers'!A81)&gt;0,ISNUMBER('Providers'!AD81)),MAX($B$3:B80)+1,"")</f>
        <v/>
      </c>
      <c r="E81">
        <f>IFERROR(MATCH(78,$B$4:$B$503,0),"")</f>
        <v/>
      </c>
    </row>
    <row r="82">
      <c r="A82">
        <f>IF(AND(LEN('Providers'!A82)&gt;0,ISNUMBER('Providers'!AD82)),'Providers'!AD82+79/100000,"")</f>
        <v/>
      </c>
      <c r="B82">
        <f>IF(AND(LEN('Providers'!A82)&gt;0,ISNUMBER('Providers'!AD82)),MAX($B$3:B81)+1,"")</f>
        <v/>
      </c>
      <c r="E82">
        <f>IFERROR(MATCH(79,$B$4:$B$503,0),"")</f>
        <v/>
      </c>
    </row>
    <row r="83">
      <c r="A83">
        <f>IF(AND(LEN('Providers'!A83)&gt;0,ISNUMBER('Providers'!AD83)),'Providers'!AD83+80/100000,"")</f>
        <v/>
      </c>
      <c r="B83">
        <f>IF(AND(LEN('Providers'!A83)&gt;0,ISNUMBER('Providers'!AD83)),MAX($B$3:B82)+1,"")</f>
        <v/>
      </c>
      <c r="E83">
        <f>IFERROR(MATCH(80,$B$4:$B$503,0),"")</f>
        <v/>
      </c>
    </row>
    <row r="84">
      <c r="A84">
        <f>IF(AND(LEN('Providers'!A84)&gt;0,ISNUMBER('Providers'!AD84)),'Providers'!AD84+81/100000,"")</f>
        <v/>
      </c>
      <c r="B84">
        <f>IF(AND(LEN('Providers'!A84)&gt;0,ISNUMBER('Providers'!AD84)),MAX($B$3:B83)+1,"")</f>
        <v/>
      </c>
      <c r="E84">
        <f>IFERROR(MATCH(81,$B$4:$B$503,0),"")</f>
        <v/>
      </c>
    </row>
    <row r="85">
      <c r="A85">
        <f>IF(AND(LEN('Providers'!A85)&gt;0,ISNUMBER('Providers'!AD85)),'Providers'!AD85+82/100000,"")</f>
        <v/>
      </c>
      <c r="B85">
        <f>IF(AND(LEN('Providers'!A85)&gt;0,ISNUMBER('Providers'!AD85)),MAX($B$3:B84)+1,"")</f>
        <v/>
      </c>
      <c r="E85">
        <f>IFERROR(MATCH(82,$B$4:$B$503,0),"")</f>
        <v/>
      </c>
    </row>
    <row r="86">
      <c r="A86">
        <f>IF(AND(LEN('Providers'!A86)&gt;0,ISNUMBER('Providers'!AD86)),'Providers'!AD86+83/100000,"")</f>
        <v/>
      </c>
      <c r="B86">
        <f>IF(AND(LEN('Providers'!A86)&gt;0,ISNUMBER('Providers'!AD86)),MAX($B$3:B85)+1,"")</f>
        <v/>
      </c>
      <c r="E86">
        <f>IFERROR(MATCH(83,$B$4:$B$503,0),"")</f>
        <v/>
      </c>
    </row>
    <row r="87">
      <c r="A87">
        <f>IF(AND(LEN('Providers'!A87)&gt;0,ISNUMBER('Providers'!AD87)),'Providers'!AD87+84/100000,"")</f>
        <v/>
      </c>
      <c r="B87">
        <f>IF(AND(LEN('Providers'!A87)&gt;0,ISNUMBER('Providers'!AD87)),MAX($B$3:B86)+1,"")</f>
        <v/>
      </c>
      <c r="E87">
        <f>IFERROR(MATCH(84,$B$4:$B$503,0),"")</f>
        <v/>
      </c>
    </row>
    <row r="88">
      <c r="A88">
        <f>IF(AND(LEN('Providers'!A88)&gt;0,ISNUMBER('Providers'!AD88)),'Providers'!AD88+85/100000,"")</f>
        <v/>
      </c>
      <c r="B88">
        <f>IF(AND(LEN('Providers'!A88)&gt;0,ISNUMBER('Providers'!AD88)),MAX($B$3:B87)+1,"")</f>
        <v/>
      </c>
      <c r="E88">
        <f>IFERROR(MATCH(85,$B$4:$B$503,0),"")</f>
        <v/>
      </c>
    </row>
    <row r="89">
      <c r="A89">
        <f>IF(AND(LEN('Providers'!A89)&gt;0,ISNUMBER('Providers'!AD89)),'Providers'!AD89+86/100000,"")</f>
        <v/>
      </c>
      <c r="B89">
        <f>IF(AND(LEN('Providers'!A89)&gt;0,ISNUMBER('Providers'!AD89)),MAX($B$3:B88)+1,"")</f>
        <v/>
      </c>
      <c r="E89">
        <f>IFERROR(MATCH(86,$B$4:$B$503,0),"")</f>
        <v/>
      </c>
    </row>
    <row r="90">
      <c r="A90">
        <f>IF(AND(LEN('Providers'!A90)&gt;0,ISNUMBER('Providers'!AD90)),'Providers'!AD90+87/100000,"")</f>
        <v/>
      </c>
      <c r="B90">
        <f>IF(AND(LEN('Providers'!A90)&gt;0,ISNUMBER('Providers'!AD90)),MAX($B$3:B89)+1,"")</f>
        <v/>
      </c>
      <c r="E90">
        <f>IFERROR(MATCH(87,$B$4:$B$503,0),"")</f>
        <v/>
      </c>
    </row>
    <row r="91">
      <c r="A91">
        <f>IF(AND(LEN('Providers'!A91)&gt;0,ISNUMBER('Providers'!AD91)),'Providers'!AD91+88/100000,"")</f>
        <v/>
      </c>
      <c r="B91">
        <f>IF(AND(LEN('Providers'!A91)&gt;0,ISNUMBER('Providers'!AD91)),MAX($B$3:B90)+1,"")</f>
        <v/>
      </c>
      <c r="E91">
        <f>IFERROR(MATCH(88,$B$4:$B$503,0),"")</f>
        <v/>
      </c>
    </row>
    <row r="92">
      <c r="A92">
        <f>IF(AND(LEN('Providers'!A92)&gt;0,ISNUMBER('Providers'!AD92)),'Providers'!AD92+89/100000,"")</f>
        <v/>
      </c>
      <c r="B92">
        <f>IF(AND(LEN('Providers'!A92)&gt;0,ISNUMBER('Providers'!AD92)),MAX($B$3:B91)+1,"")</f>
        <v/>
      </c>
      <c r="E92">
        <f>IFERROR(MATCH(89,$B$4:$B$503,0),"")</f>
        <v/>
      </c>
    </row>
    <row r="93">
      <c r="A93">
        <f>IF(AND(LEN('Providers'!A93)&gt;0,ISNUMBER('Providers'!AD93)),'Providers'!AD93+90/100000,"")</f>
        <v/>
      </c>
      <c r="B93">
        <f>IF(AND(LEN('Providers'!A93)&gt;0,ISNUMBER('Providers'!AD93)),MAX($B$3:B92)+1,"")</f>
        <v/>
      </c>
      <c r="E93">
        <f>IFERROR(MATCH(90,$B$4:$B$503,0),"")</f>
        <v/>
      </c>
    </row>
    <row r="94">
      <c r="A94">
        <f>IF(AND(LEN('Providers'!A94)&gt;0,ISNUMBER('Providers'!AD94)),'Providers'!AD94+91/100000,"")</f>
        <v/>
      </c>
      <c r="B94">
        <f>IF(AND(LEN('Providers'!A94)&gt;0,ISNUMBER('Providers'!AD94)),MAX($B$3:B93)+1,"")</f>
        <v/>
      </c>
      <c r="E94">
        <f>IFERROR(MATCH(91,$B$4:$B$503,0),"")</f>
        <v/>
      </c>
    </row>
    <row r="95">
      <c r="A95">
        <f>IF(AND(LEN('Providers'!A95)&gt;0,ISNUMBER('Providers'!AD95)),'Providers'!AD95+92/100000,"")</f>
        <v/>
      </c>
      <c r="B95">
        <f>IF(AND(LEN('Providers'!A95)&gt;0,ISNUMBER('Providers'!AD95)),MAX($B$3:B94)+1,"")</f>
        <v/>
      </c>
      <c r="E95">
        <f>IFERROR(MATCH(92,$B$4:$B$503,0),"")</f>
        <v/>
      </c>
    </row>
    <row r="96">
      <c r="A96">
        <f>IF(AND(LEN('Providers'!A96)&gt;0,ISNUMBER('Providers'!AD96)),'Providers'!AD96+93/100000,"")</f>
        <v/>
      </c>
      <c r="B96">
        <f>IF(AND(LEN('Providers'!A96)&gt;0,ISNUMBER('Providers'!AD96)),MAX($B$3:B95)+1,"")</f>
        <v/>
      </c>
      <c r="E96">
        <f>IFERROR(MATCH(93,$B$4:$B$503,0),"")</f>
        <v/>
      </c>
    </row>
    <row r="97">
      <c r="A97">
        <f>IF(AND(LEN('Providers'!A97)&gt;0,ISNUMBER('Providers'!AD97)),'Providers'!AD97+94/100000,"")</f>
        <v/>
      </c>
      <c r="B97">
        <f>IF(AND(LEN('Providers'!A97)&gt;0,ISNUMBER('Providers'!AD97)),MAX($B$3:B96)+1,"")</f>
        <v/>
      </c>
      <c r="E97">
        <f>IFERROR(MATCH(94,$B$4:$B$503,0),"")</f>
        <v/>
      </c>
    </row>
    <row r="98">
      <c r="A98">
        <f>IF(AND(LEN('Providers'!A98)&gt;0,ISNUMBER('Providers'!AD98)),'Providers'!AD98+95/100000,"")</f>
        <v/>
      </c>
      <c r="B98">
        <f>IF(AND(LEN('Providers'!A98)&gt;0,ISNUMBER('Providers'!AD98)),MAX($B$3:B97)+1,"")</f>
        <v/>
      </c>
      <c r="E98">
        <f>IFERROR(MATCH(95,$B$4:$B$503,0),"")</f>
        <v/>
      </c>
    </row>
    <row r="99">
      <c r="A99">
        <f>IF(AND(LEN('Providers'!A99)&gt;0,ISNUMBER('Providers'!AD99)),'Providers'!AD99+96/100000,"")</f>
        <v/>
      </c>
      <c r="B99">
        <f>IF(AND(LEN('Providers'!A99)&gt;0,ISNUMBER('Providers'!AD99)),MAX($B$3:B98)+1,"")</f>
        <v/>
      </c>
      <c r="E99">
        <f>IFERROR(MATCH(96,$B$4:$B$503,0),"")</f>
        <v/>
      </c>
    </row>
    <row r="100">
      <c r="A100">
        <f>IF(AND(LEN('Providers'!A100)&gt;0,ISNUMBER('Providers'!AD100)),'Providers'!AD100+97/100000,"")</f>
        <v/>
      </c>
      <c r="B100">
        <f>IF(AND(LEN('Providers'!A100)&gt;0,ISNUMBER('Providers'!AD100)),MAX($B$3:B99)+1,"")</f>
        <v/>
      </c>
      <c r="E100">
        <f>IFERROR(MATCH(97,$B$4:$B$503,0),"")</f>
        <v/>
      </c>
    </row>
    <row r="101">
      <c r="A101">
        <f>IF(AND(LEN('Providers'!A101)&gt;0,ISNUMBER('Providers'!AD101)),'Providers'!AD101+98/100000,"")</f>
        <v/>
      </c>
      <c r="B101">
        <f>IF(AND(LEN('Providers'!A101)&gt;0,ISNUMBER('Providers'!AD101)),MAX($B$3:B100)+1,"")</f>
        <v/>
      </c>
      <c r="E101">
        <f>IFERROR(MATCH(98,$B$4:$B$503,0),"")</f>
        <v/>
      </c>
    </row>
    <row r="102">
      <c r="A102">
        <f>IF(AND(LEN('Providers'!A102)&gt;0,ISNUMBER('Providers'!AD102)),'Providers'!AD102+99/100000,"")</f>
        <v/>
      </c>
      <c r="B102">
        <f>IF(AND(LEN('Providers'!A102)&gt;0,ISNUMBER('Providers'!AD102)),MAX($B$3:B101)+1,"")</f>
        <v/>
      </c>
      <c r="E102">
        <f>IFERROR(MATCH(99,$B$4:$B$503,0),"")</f>
        <v/>
      </c>
    </row>
    <row r="103">
      <c r="A103">
        <f>IF(AND(LEN('Providers'!A103)&gt;0,ISNUMBER('Providers'!AD103)),'Providers'!AD103+100/100000,"")</f>
        <v/>
      </c>
      <c r="B103">
        <f>IF(AND(LEN('Providers'!A103)&gt;0,ISNUMBER('Providers'!AD103)),MAX($B$3:B102)+1,"")</f>
        <v/>
      </c>
      <c r="E103">
        <f>IFERROR(MATCH(100,$B$4:$B$503,0),"")</f>
        <v/>
      </c>
    </row>
    <row r="104">
      <c r="A104">
        <f>IF(AND(LEN('Providers'!A104)&gt;0,ISNUMBER('Providers'!AD104)),'Providers'!AD104+101/100000,"")</f>
        <v/>
      </c>
      <c r="B104">
        <f>IF(AND(LEN('Providers'!A104)&gt;0,ISNUMBER('Providers'!AD104)),MAX($B$3:B103)+1,"")</f>
        <v/>
      </c>
      <c r="E104">
        <f>IFERROR(MATCH(101,$B$4:$B$503,0),"")</f>
        <v/>
      </c>
    </row>
    <row r="105">
      <c r="A105">
        <f>IF(AND(LEN('Providers'!A105)&gt;0,ISNUMBER('Providers'!AD105)),'Providers'!AD105+102/100000,"")</f>
        <v/>
      </c>
      <c r="B105">
        <f>IF(AND(LEN('Providers'!A105)&gt;0,ISNUMBER('Providers'!AD105)),MAX($B$3:B104)+1,"")</f>
        <v/>
      </c>
      <c r="E105">
        <f>IFERROR(MATCH(102,$B$4:$B$503,0),"")</f>
        <v/>
      </c>
    </row>
    <row r="106">
      <c r="A106">
        <f>IF(AND(LEN('Providers'!A106)&gt;0,ISNUMBER('Providers'!AD106)),'Providers'!AD106+103/100000,"")</f>
        <v/>
      </c>
      <c r="B106">
        <f>IF(AND(LEN('Providers'!A106)&gt;0,ISNUMBER('Providers'!AD106)),MAX($B$3:B105)+1,"")</f>
        <v/>
      </c>
      <c r="E106">
        <f>IFERROR(MATCH(103,$B$4:$B$503,0),"")</f>
        <v/>
      </c>
    </row>
    <row r="107">
      <c r="A107">
        <f>IF(AND(LEN('Providers'!A107)&gt;0,ISNUMBER('Providers'!AD107)),'Providers'!AD107+104/100000,"")</f>
        <v/>
      </c>
      <c r="B107">
        <f>IF(AND(LEN('Providers'!A107)&gt;0,ISNUMBER('Providers'!AD107)),MAX($B$3:B106)+1,"")</f>
        <v/>
      </c>
      <c r="E107">
        <f>IFERROR(MATCH(104,$B$4:$B$503,0),"")</f>
        <v/>
      </c>
    </row>
    <row r="108">
      <c r="A108">
        <f>IF(AND(LEN('Providers'!A108)&gt;0,ISNUMBER('Providers'!AD108)),'Providers'!AD108+105/100000,"")</f>
        <v/>
      </c>
      <c r="B108">
        <f>IF(AND(LEN('Providers'!A108)&gt;0,ISNUMBER('Providers'!AD108)),MAX($B$3:B107)+1,"")</f>
        <v/>
      </c>
      <c r="E108">
        <f>IFERROR(MATCH(105,$B$4:$B$503,0),"")</f>
        <v/>
      </c>
    </row>
    <row r="109">
      <c r="A109">
        <f>IF(AND(LEN('Providers'!A109)&gt;0,ISNUMBER('Providers'!AD109)),'Providers'!AD109+106/100000,"")</f>
        <v/>
      </c>
      <c r="B109">
        <f>IF(AND(LEN('Providers'!A109)&gt;0,ISNUMBER('Providers'!AD109)),MAX($B$3:B108)+1,"")</f>
        <v/>
      </c>
      <c r="E109">
        <f>IFERROR(MATCH(106,$B$4:$B$503,0),"")</f>
        <v/>
      </c>
    </row>
    <row r="110">
      <c r="A110">
        <f>IF(AND(LEN('Providers'!A110)&gt;0,ISNUMBER('Providers'!AD110)),'Providers'!AD110+107/100000,"")</f>
        <v/>
      </c>
      <c r="B110">
        <f>IF(AND(LEN('Providers'!A110)&gt;0,ISNUMBER('Providers'!AD110)),MAX($B$3:B109)+1,"")</f>
        <v/>
      </c>
      <c r="E110">
        <f>IFERROR(MATCH(107,$B$4:$B$503,0),"")</f>
        <v/>
      </c>
    </row>
    <row r="111">
      <c r="A111">
        <f>IF(AND(LEN('Providers'!A111)&gt;0,ISNUMBER('Providers'!AD111)),'Providers'!AD111+108/100000,"")</f>
        <v/>
      </c>
      <c r="B111">
        <f>IF(AND(LEN('Providers'!A111)&gt;0,ISNUMBER('Providers'!AD111)),MAX($B$3:B110)+1,"")</f>
        <v/>
      </c>
      <c r="E111">
        <f>IFERROR(MATCH(108,$B$4:$B$503,0),"")</f>
        <v/>
      </c>
    </row>
    <row r="112">
      <c r="A112">
        <f>IF(AND(LEN('Providers'!A112)&gt;0,ISNUMBER('Providers'!AD112)),'Providers'!AD112+109/100000,"")</f>
        <v/>
      </c>
      <c r="B112">
        <f>IF(AND(LEN('Providers'!A112)&gt;0,ISNUMBER('Providers'!AD112)),MAX($B$3:B111)+1,"")</f>
        <v/>
      </c>
      <c r="E112">
        <f>IFERROR(MATCH(109,$B$4:$B$503,0),"")</f>
        <v/>
      </c>
    </row>
    <row r="113">
      <c r="A113">
        <f>IF(AND(LEN('Providers'!A113)&gt;0,ISNUMBER('Providers'!AD113)),'Providers'!AD113+110/100000,"")</f>
        <v/>
      </c>
      <c r="B113">
        <f>IF(AND(LEN('Providers'!A113)&gt;0,ISNUMBER('Providers'!AD113)),MAX($B$3:B112)+1,"")</f>
        <v/>
      </c>
      <c r="E113">
        <f>IFERROR(MATCH(110,$B$4:$B$503,0),"")</f>
        <v/>
      </c>
    </row>
    <row r="114">
      <c r="A114">
        <f>IF(AND(LEN('Providers'!A114)&gt;0,ISNUMBER('Providers'!AD114)),'Providers'!AD114+111/100000,"")</f>
        <v/>
      </c>
      <c r="B114">
        <f>IF(AND(LEN('Providers'!A114)&gt;0,ISNUMBER('Providers'!AD114)),MAX($B$3:B113)+1,"")</f>
        <v/>
      </c>
      <c r="E114">
        <f>IFERROR(MATCH(111,$B$4:$B$503,0),"")</f>
        <v/>
      </c>
    </row>
    <row r="115">
      <c r="A115">
        <f>IF(AND(LEN('Providers'!A115)&gt;0,ISNUMBER('Providers'!AD115)),'Providers'!AD115+112/100000,"")</f>
        <v/>
      </c>
      <c r="B115">
        <f>IF(AND(LEN('Providers'!A115)&gt;0,ISNUMBER('Providers'!AD115)),MAX($B$3:B114)+1,"")</f>
        <v/>
      </c>
      <c r="E115">
        <f>IFERROR(MATCH(112,$B$4:$B$503,0),"")</f>
        <v/>
      </c>
    </row>
    <row r="116">
      <c r="A116">
        <f>IF(AND(LEN('Providers'!A116)&gt;0,ISNUMBER('Providers'!AD116)),'Providers'!AD116+113/100000,"")</f>
        <v/>
      </c>
      <c r="B116">
        <f>IF(AND(LEN('Providers'!A116)&gt;0,ISNUMBER('Providers'!AD116)),MAX($B$3:B115)+1,"")</f>
        <v/>
      </c>
      <c r="E116">
        <f>IFERROR(MATCH(113,$B$4:$B$503,0),"")</f>
        <v/>
      </c>
    </row>
    <row r="117">
      <c r="A117">
        <f>IF(AND(LEN('Providers'!A117)&gt;0,ISNUMBER('Providers'!AD117)),'Providers'!AD117+114/100000,"")</f>
        <v/>
      </c>
      <c r="B117">
        <f>IF(AND(LEN('Providers'!A117)&gt;0,ISNUMBER('Providers'!AD117)),MAX($B$3:B116)+1,"")</f>
        <v/>
      </c>
      <c r="E117">
        <f>IFERROR(MATCH(114,$B$4:$B$503,0),"")</f>
        <v/>
      </c>
    </row>
    <row r="118">
      <c r="A118">
        <f>IF(AND(LEN('Providers'!A118)&gt;0,ISNUMBER('Providers'!AD118)),'Providers'!AD118+115/100000,"")</f>
        <v/>
      </c>
      <c r="B118">
        <f>IF(AND(LEN('Providers'!A118)&gt;0,ISNUMBER('Providers'!AD118)),MAX($B$3:B117)+1,"")</f>
        <v/>
      </c>
      <c r="E118">
        <f>IFERROR(MATCH(115,$B$4:$B$503,0),"")</f>
        <v/>
      </c>
    </row>
    <row r="119">
      <c r="A119">
        <f>IF(AND(LEN('Providers'!A119)&gt;0,ISNUMBER('Providers'!AD119)),'Providers'!AD119+116/100000,"")</f>
        <v/>
      </c>
      <c r="B119">
        <f>IF(AND(LEN('Providers'!A119)&gt;0,ISNUMBER('Providers'!AD119)),MAX($B$3:B118)+1,"")</f>
        <v/>
      </c>
      <c r="E119">
        <f>IFERROR(MATCH(116,$B$4:$B$503,0),"")</f>
        <v/>
      </c>
    </row>
    <row r="120">
      <c r="A120">
        <f>IF(AND(LEN('Providers'!A120)&gt;0,ISNUMBER('Providers'!AD120)),'Providers'!AD120+117/100000,"")</f>
        <v/>
      </c>
      <c r="B120">
        <f>IF(AND(LEN('Providers'!A120)&gt;0,ISNUMBER('Providers'!AD120)),MAX($B$3:B119)+1,"")</f>
        <v/>
      </c>
      <c r="E120">
        <f>IFERROR(MATCH(117,$B$4:$B$503,0),"")</f>
        <v/>
      </c>
    </row>
    <row r="121">
      <c r="A121">
        <f>IF(AND(LEN('Providers'!A121)&gt;0,ISNUMBER('Providers'!AD121)),'Providers'!AD121+118/100000,"")</f>
        <v/>
      </c>
      <c r="B121">
        <f>IF(AND(LEN('Providers'!A121)&gt;0,ISNUMBER('Providers'!AD121)),MAX($B$3:B120)+1,"")</f>
        <v/>
      </c>
      <c r="E121">
        <f>IFERROR(MATCH(118,$B$4:$B$503,0),"")</f>
        <v/>
      </c>
    </row>
    <row r="122">
      <c r="A122">
        <f>IF(AND(LEN('Providers'!A122)&gt;0,ISNUMBER('Providers'!AD122)),'Providers'!AD122+119/100000,"")</f>
        <v/>
      </c>
      <c r="B122">
        <f>IF(AND(LEN('Providers'!A122)&gt;0,ISNUMBER('Providers'!AD122)),MAX($B$3:B121)+1,"")</f>
        <v/>
      </c>
      <c r="E122">
        <f>IFERROR(MATCH(119,$B$4:$B$503,0),"")</f>
        <v/>
      </c>
    </row>
    <row r="123">
      <c r="A123">
        <f>IF(AND(LEN('Providers'!A123)&gt;0,ISNUMBER('Providers'!AD123)),'Providers'!AD123+120/100000,"")</f>
        <v/>
      </c>
      <c r="B123">
        <f>IF(AND(LEN('Providers'!A123)&gt;0,ISNUMBER('Providers'!AD123)),MAX($B$3:B122)+1,"")</f>
        <v/>
      </c>
      <c r="E123">
        <f>IFERROR(MATCH(120,$B$4:$B$503,0),"")</f>
        <v/>
      </c>
    </row>
    <row r="124">
      <c r="A124">
        <f>IF(AND(LEN('Providers'!A124)&gt;0,ISNUMBER('Providers'!AD124)),'Providers'!AD124+121/100000,"")</f>
        <v/>
      </c>
      <c r="B124">
        <f>IF(AND(LEN('Providers'!A124)&gt;0,ISNUMBER('Providers'!AD124)),MAX($B$3:B123)+1,"")</f>
        <v/>
      </c>
      <c r="E124">
        <f>IFERROR(MATCH(121,$B$4:$B$503,0),"")</f>
        <v/>
      </c>
    </row>
    <row r="125">
      <c r="A125">
        <f>IF(AND(LEN('Providers'!A125)&gt;0,ISNUMBER('Providers'!AD125)),'Providers'!AD125+122/100000,"")</f>
        <v/>
      </c>
      <c r="B125">
        <f>IF(AND(LEN('Providers'!A125)&gt;0,ISNUMBER('Providers'!AD125)),MAX($B$3:B124)+1,"")</f>
        <v/>
      </c>
      <c r="E125">
        <f>IFERROR(MATCH(122,$B$4:$B$503,0),"")</f>
        <v/>
      </c>
    </row>
    <row r="126">
      <c r="A126">
        <f>IF(AND(LEN('Providers'!A126)&gt;0,ISNUMBER('Providers'!AD126)),'Providers'!AD126+123/100000,"")</f>
        <v/>
      </c>
      <c r="B126">
        <f>IF(AND(LEN('Providers'!A126)&gt;0,ISNUMBER('Providers'!AD126)),MAX($B$3:B125)+1,"")</f>
        <v/>
      </c>
      <c r="E126">
        <f>IFERROR(MATCH(123,$B$4:$B$503,0),"")</f>
        <v/>
      </c>
    </row>
    <row r="127">
      <c r="A127">
        <f>IF(AND(LEN('Providers'!A127)&gt;0,ISNUMBER('Providers'!AD127)),'Providers'!AD127+124/100000,"")</f>
        <v/>
      </c>
      <c r="B127">
        <f>IF(AND(LEN('Providers'!A127)&gt;0,ISNUMBER('Providers'!AD127)),MAX($B$3:B126)+1,"")</f>
        <v/>
      </c>
      <c r="E127">
        <f>IFERROR(MATCH(124,$B$4:$B$503,0),"")</f>
        <v/>
      </c>
    </row>
    <row r="128">
      <c r="A128">
        <f>IF(AND(LEN('Providers'!A128)&gt;0,ISNUMBER('Providers'!AD128)),'Providers'!AD128+125/100000,"")</f>
        <v/>
      </c>
      <c r="B128">
        <f>IF(AND(LEN('Providers'!A128)&gt;0,ISNUMBER('Providers'!AD128)),MAX($B$3:B127)+1,"")</f>
        <v/>
      </c>
      <c r="E128">
        <f>IFERROR(MATCH(125,$B$4:$B$503,0),"")</f>
        <v/>
      </c>
    </row>
    <row r="129">
      <c r="A129">
        <f>IF(AND(LEN('Providers'!A129)&gt;0,ISNUMBER('Providers'!AD129)),'Providers'!AD129+126/100000,"")</f>
        <v/>
      </c>
      <c r="B129">
        <f>IF(AND(LEN('Providers'!A129)&gt;0,ISNUMBER('Providers'!AD129)),MAX($B$3:B128)+1,"")</f>
        <v/>
      </c>
      <c r="E129">
        <f>IFERROR(MATCH(126,$B$4:$B$503,0),"")</f>
        <v/>
      </c>
    </row>
    <row r="130">
      <c r="A130">
        <f>IF(AND(LEN('Providers'!A130)&gt;0,ISNUMBER('Providers'!AD130)),'Providers'!AD130+127/100000,"")</f>
        <v/>
      </c>
      <c r="B130">
        <f>IF(AND(LEN('Providers'!A130)&gt;0,ISNUMBER('Providers'!AD130)),MAX($B$3:B129)+1,"")</f>
        <v/>
      </c>
      <c r="E130">
        <f>IFERROR(MATCH(127,$B$4:$B$503,0),"")</f>
        <v/>
      </c>
    </row>
    <row r="131">
      <c r="A131">
        <f>IF(AND(LEN('Providers'!A131)&gt;0,ISNUMBER('Providers'!AD131)),'Providers'!AD131+128/100000,"")</f>
        <v/>
      </c>
      <c r="B131">
        <f>IF(AND(LEN('Providers'!A131)&gt;0,ISNUMBER('Providers'!AD131)),MAX($B$3:B130)+1,"")</f>
        <v/>
      </c>
      <c r="E131">
        <f>IFERROR(MATCH(128,$B$4:$B$503,0),"")</f>
        <v/>
      </c>
    </row>
    <row r="132">
      <c r="A132">
        <f>IF(AND(LEN('Providers'!A132)&gt;0,ISNUMBER('Providers'!AD132)),'Providers'!AD132+129/100000,"")</f>
        <v/>
      </c>
      <c r="B132">
        <f>IF(AND(LEN('Providers'!A132)&gt;0,ISNUMBER('Providers'!AD132)),MAX($B$3:B131)+1,"")</f>
        <v/>
      </c>
      <c r="E132">
        <f>IFERROR(MATCH(129,$B$4:$B$503,0),"")</f>
        <v/>
      </c>
    </row>
    <row r="133">
      <c r="A133">
        <f>IF(AND(LEN('Providers'!A133)&gt;0,ISNUMBER('Providers'!AD133)),'Providers'!AD133+130/100000,"")</f>
        <v/>
      </c>
      <c r="B133">
        <f>IF(AND(LEN('Providers'!A133)&gt;0,ISNUMBER('Providers'!AD133)),MAX($B$3:B132)+1,"")</f>
        <v/>
      </c>
      <c r="E133">
        <f>IFERROR(MATCH(130,$B$4:$B$503,0),"")</f>
        <v/>
      </c>
    </row>
    <row r="134">
      <c r="A134">
        <f>IF(AND(LEN('Providers'!A134)&gt;0,ISNUMBER('Providers'!AD134)),'Providers'!AD134+131/100000,"")</f>
        <v/>
      </c>
      <c r="B134">
        <f>IF(AND(LEN('Providers'!A134)&gt;0,ISNUMBER('Providers'!AD134)),MAX($B$3:B133)+1,"")</f>
        <v/>
      </c>
      <c r="E134">
        <f>IFERROR(MATCH(131,$B$4:$B$503,0),"")</f>
        <v/>
      </c>
    </row>
    <row r="135">
      <c r="A135">
        <f>IF(AND(LEN('Providers'!A135)&gt;0,ISNUMBER('Providers'!AD135)),'Providers'!AD135+132/100000,"")</f>
        <v/>
      </c>
      <c r="B135">
        <f>IF(AND(LEN('Providers'!A135)&gt;0,ISNUMBER('Providers'!AD135)),MAX($B$3:B134)+1,"")</f>
        <v/>
      </c>
      <c r="E135">
        <f>IFERROR(MATCH(132,$B$4:$B$503,0),"")</f>
        <v/>
      </c>
    </row>
    <row r="136">
      <c r="A136">
        <f>IF(AND(LEN('Providers'!A136)&gt;0,ISNUMBER('Providers'!AD136)),'Providers'!AD136+133/100000,"")</f>
        <v/>
      </c>
      <c r="B136">
        <f>IF(AND(LEN('Providers'!A136)&gt;0,ISNUMBER('Providers'!AD136)),MAX($B$3:B135)+1,"")</f>
        <v/>
      </c>
      <c r="E136">
        <f>IFERROR(MATCH(133,$B$4:$B$503,0),"")</f>
        <v/>
      </c>
    </row>
    <row r="137">
      <c r="A137">
        <f>IF(AND(LEN('Providers'!A137)&gt;0,ISNUMBER('Providers'!AD137)),'Providers'!AD137+134/100000,"")</f>
        <v/>
      </c>
      <c r="B137">
        <f>IF(AND(LEN('Providers'!A137)&gt;0,ISNUMBER('Providers'!AD137)),MAX($B$3:B136)+1,"")</f>
        <v/>
      </c>
      <c r="E137">
        <f>IFERROR(MATCH(134,$B$4:$B$503,0),"")</f>
        <v/>
      </c>
    </row>
    <row r="138">
      <c r="A138">
        <f>IF(AND(LEN('Providers'!A138)&gt;0,ISNUMBER('Providers'!AD138)),'Providers'!AD138+135/100000,"")</f>
        <v/>
      </c>
      <c r="B138">
        <f>IF(AND(LEN('Providers'!A138)&gt;0,ISNUMBER('Providers'!AD138)),MAX($B$3:B137)+1,"")</f>
        <v/>
      </c>
      <c r="E138">
        <f>IFERROR(MATCH(135,$B$4:$B$503,0),"")</f>
        <v/>
      </c>
    </row>
    <row r="139">
      <c r="A139">
        <f>IF(AND(LEN('Providers'!A139)&gt;0,ISNUMBER('Providers'!AD139)),'Providers'!AD139+136/100000,"")</f>
        <v/>
      </c>
      <c r="B139">
        <f>IF(AND(LEN('Providers'!A139)&gt;0,ISNUMBER('Providers'!AD139)),MAX($B$3:B138)+1,"")</f>
        <v/>
      </c>
      <c r="E139">
        <f>IFERROR(MATCH(136,$B$4:$B$503,0),"")</f>
        <v/>
      </c>
    </row>
    <row r="140">
      <c r="A140">
        <f>IF(AND(LEN('Providers'!A140)&gt;0,ISNUMBER('Providers'!AD140)),'Providers'!AD140+137/100000,"")</f>
        <v/>
      </c>
      <c r="B140">
        <f>IF(AND(LEN('Providers'!A140)&gt;0,ISNUMBER('Providers'!AD140)),MAX($B$3:B139)+1,"")</f>
        <v/>
      </c>
      <c r="E140">
        <f>IFERROR(MATCH(137,$B$4:$B$503,0),"")</f>
        <v/>
      </c>
    </row>
    <row r="141">
      <c r="A141">
        <f>IF(AND(LEN('Providers'!A141)&gt;0,ISNUMBER('Providers'!AD141)),'Providers'!AD141+138/100000,"")</f>
        <v/>
      </c>
      <c r="B141">
        <f>IF(AND(LEN('Providers'!A141)&gt;0,ISNUMBER('Providers'!AD141)),MAX($B$3:B140)+1,"")</f>
        <v/>
      </c>
      <c r="E141">
        <f>IFERROR(MATCH(138,$B$4:$B$503,0),"")</f>
        <v/>
      </c>
    </row>
    <row r="142">
      <c r="A142">
        <f>IF(AND(LEN('Providers'!A142)&gt;0,ISNUMBER('Providers'!AD142)),'Providers'!AD142+139/100000,"")</f>
        <v/>
      </c>
      <c r="B142">
        <f>IF(AND(LEN('Providers'!A142)&gt;0,ISNUMBER('Providers'!AD142)),MAX($B$3:B141)+1,"")</f>
        <v/>
      </c>
      <c r="E142">
        <f>IFERROR(MATCH(139,$B$4:$B$503,0),"")</f>
        <v/>
      </c>
    </row>
    <row r="143">
      <c r="A143">
        <f>IF(AND(LEN('Providers'!A143)&gt;0,ISNUMBER('Providers'!AD143)),'Providers'!AD143+140/100000,"")</f>
        <v/>
      </c>
      <c r="B143">
        <f>IF(AND(LEN('Providers'!A143)&gt;0,ISNUMBER('Providers'!AD143)),MAX($B$3:B142)+1,"")</f>
        <v/>
      </c>
      <c r="E143">
        <f>IFERROR(MATCH(140,$B$4:$B$503,0),"")</f>
        <v/>
      </c>
    </row>
    <row r="144">
      <c r="A144">
        <f>IF(AND(LEN('Providers'!A144)&gt;0,ISNUMBER('Providers'!AD144)),'Providers'!AD144+141/100000,"")</f>
        <v/>
      </c>
      <c r="B144">
        <f>IF(AND(LEN('Providers'!A144)&gt;0,ISNUMBER('Providers'!AD144)),MAX($B$3:B143)+1,"")</f>
        <v/>
      </c>
      <c r="E144">
        <f>IFERROR(MATCH(141,$B$4:$B$503,0),"")</f>
        <v/>
      </c>
    </row>
    <row r="145">
      <c r="A145">
        <f>IF(AND(LEN('Providers'!A145)&gt;0,ISNUMBER('Providers'!AD145)),'Providers'!AD145+142/100000,"")</f>
        <v/>
      </c>
      <c r="B145">
        <f>IF(AND(LEN('Providers'!A145)&gt;0,ISNUMBER('Providers'!AD145)),MAX($B$3:B144)+1,"")</f>
        <v/>
      </c>
      <c r="E145">
        <f>IFERROR(MATCH(142,$B$4:$B$503,0),"")</f>
        <v/>
      </c>
    </row>
    <row r="146">
      <c r="A146">
        <f>IF(AND(LEN('Providers'!A146)&gt;0,ISNUMBER('Providers'!AD146)),'Providers'!AD146+143/100000,"")</f>
        <v/>
      </c>
      <c r="B146">
        <f>IF(AND(LEN('Providers'!A146)&gt;0,ISNUMBER('Providers'!AD146)),MAX($B$3:B145)+1,"")</f>
        <v/>
      </c>
      <c r="E146">
        <f>IFERROR(MATCH(143,$B$4:$B$503,0),"")</f>
        <v/>
      </c>
    </row>
    <row r="147">
      <c r="A147">
        <f>IF(AND(LEN('Providers'!A147)&gt;0,ISNUMBER('Providers'!AD147)),'Providers'!AD147+144/100000,"")</f>
        <v/>
      </c>
      <c r="B147">
        <f>IF(AND(LEN('Providers'!A147)&gt;0,ISNUMBER('Providers'!AD147)),MAX($B$3:B146)+1,"")</f>
        <v/>
      </c>
      <c r="E147">
        <f>IFERROR(MATCH(144,$B$4:$B$503,0),"")</f>
        <v/>
      </c>
    </row>
    <row r="148">
      <c r="A148">
        <f>IF(AND(LEN('Providers'!A148)&gt;0,ISNUMBER('Providers'!AD148)),'Providers'!AD148+145/100000,"")</f>
        <v/>
      </c>
      <c r="B148">
        <f>IF(AND(LEN('Providers'!A148)&gt;0,ISNUMBER('Providers'!AD148)),MAX($B$3:B147)+1,"")</f>
        <v/>
      </c>
      <c r="E148">
        <f>IFERROR(MATCH(145,$B$4:$B$503,0),"")</f>
        <v/>
      </c>
    </row>
    <row r="149">
      <c r="A149">
        <f>IF(AND(LEN('Providers'!A149)&gt;0,ISNUMBER('Providers'!AD149)),'Providers'!AD149+146/100000,"")</f>
        <v/>
      </c>
      <c r="B149">
        <f>IF(AND(LEN('Providers'!A149)&gt;0,ISNUMBER('Providers'!AD149)),MAX($B$3:B148)+1,"")</f>
        <v/>
      </c>
      <c r="E149">
        <f>IFERROR(MATCH(146,$B$4:$B$503,0),"")</f>
        <v/>
      </c>
    </row>
    <row r="150">
      <c r="A150">
        <f>IF(AND(LEN('Providers'!A150)&gt;0,ISNUMBER('Providers'!AD150)),'Providers'!AD150+147/100000,"")</f>
        <v/>
      </c>
      <c r="B150">
        <f>IF(AND(LEN('Providers'!A150)&gt;0,ISNUMBER('Providers'!AD150)),MAX($B$3:B149)+1,"")</f>
        <v/>
      </c>
      <c r="E150">
        <f>IFERROR(MATCH(147,$B$4:$B$503,0),"")</f>
        <v/>
      </c>
    </row>
    <row r="151">
      <c r="A151">
        <f>IF(AND(LEN('Providers'!A151)&gt;0,ISNUMBER('Providers'!AD151)),'Providers'!AD151+148/100000,"")</f>
        <v/>
      </c>
      <c r="B151">
        <f>IF(AND(LEN('Providers'!A151)&gt;0,ISNUMBER('Providers'!AD151)),MAX($B$3:B150)+1,"")</f>
        <v/>
      </c>
      <c r="E151">
        <f>IFERROR(MATCH(148,$B$4:$B$503,0),"")</f>
        <v/>
      </c>
    </row>
    <row r="152">
      <c r="A152">
        <f>IF(AND(LEN('Providers'!A152)&gt;0,ISNUMBER('Providers'!AD152)),'Providers'!AD152+149/100000,"")</f>
        <v/>
      </c>
      <c r="B152">
        <f>IF(AND(LEN('Providers'!A152)&gt;0,ISNUMBER('Providers'!AD152)),MAX($B$3:B151)+1,"")</f>
        <v/>
      </c>
      <c r="E152">
        <f>IFERROR(MATCH(149,$B$4:$B$503,0),"")</f>
        <v/>
      </c>
    </row>
    <row r="153">
      <c r="A153">
        <f>IF(AND(LEN('Providers'!A153)&gt;0,ISNUMBER('Providers'!AD153)),'Providers'!AD153+150/100000,"")</f>
        <v/>
      </c>
      <c r="B153">
        <f>IF(AND(LEN('Providers'!A153)&gt;0,ISNUMBER('Providers'!AD153)),MAX($B$3:B152)+1,"")</f>
        <v/>
      </c>
      <c r="E153">
        <f>IFERROR(MATCH(150,$B$4:$B$503,0),"")</f>
        <v/>
      </c>
    </row>
    <row r="154">
      <c r="A154">
        <f>IF(AND(LEN('Providers'!A154)&gt;0,ISNUMBER('Providers'!AD154)),'Providers'!AD154+151/100000,"")</f>
        <v/>
      </c>
      <c r="B154">
        <f>IF(AND(LEN('Providers'!A154)&gt;0,ISNUMBER('Providers'!AD154)),MAX($B$3:B153)+1,"")</f>
        <v/>
      </c>
      <c r="E154">
        <f>IFERROR(MATCH(151,$B$4:$B$503,0),"")</f>
        <v/>
      </c>
    </row>
    <row r="155">
      <c r="A155">
        <f>IF(AND(LEN('Providers'!A155)&gt;0,ISNUMBER('Providers'!AD155)),'Providers'!AD155+152/100000,"")</f>
        <v/>
      </c>
      <c r="B155">
        <f>IF(AND(LEN('Providers'!A155)&gt;0,ISNUMBER('Providers'!AD155)),MAX($B$3:B154)+1,"")</f>
        <v/>
      </c>
      <c r="E155">
        <f>IFERROR(MATCH(152,$B$4:$B$503,0),"")</f>
        <v/>
      </c>
    </row>
    <row r="156">
      <c r="A156">
        <f>IF(AND(LEN('Providers'!A156)&gt;0,ISNUMBER('Providers'!AD156)),'Providers'!AD156+153/100000,"")</f>
        <v/>
      </c>
      <c r="B156">
        <f>IF(AND(LEN('Providers'!A156)&gt;0,ISNUMBER('Providers'!AD156)),MAX($B$3:B155)+1,"")</f>
        <v/>
      </c>
      <c r="E156">
        <f>IFERROR(MATCH(153,$B$4:$B$503,0),"")</f>
        <v/>
      </c>
    </row>
    <row r="157">
      <c r="A157">
        <f>IF(AND(LEN('Providers'!A157)&gt;0,ISNUMBER('Providers'!AD157)),'Providers'!AD157+154/100000,"")</f>
        <v/>
      </c>
      <c r="B157">
        <f>IF(AND(LEN('Providers'!A157)&gt;0,ISNUMBER('Providers'!AD157)),MAX($B$3:B156)+1,"")</f>
        <v/>
      </c>
      <c r="E157">
        <f>IFERROR(MATCH(154,$B$4:$B$503,0),"")</f>
        <v/>
      </c>
    </row>
    <row r="158">
      <c r="A158">
        <f>IF(AND(LEN('Providers'!A158)&gt;0,ISNUMBER('Providers'!AD158)),'Providers'!AD158+155/100000,"")</f>
        <v/>
      </c>
      <c r="B158">
        <f>IF(AND(LEN('Providers'!A158)&gt;0,ISNUMBER('Providers'!AD158)),MAX($B$3:B157)+1,"")</f>
        <v/>
      </c>
      <c r="E158">
        <f>IFERROR(MATCH(155,$B$4:$B$503,0),"")</f>
        <v/>
      </c>
    </row>
    <row r="159">
      <c r="A159">
        <f>IF(AND(LEN('Providers'!A159)&gt;0,ISNUMBER('Providers'!AD159)),'Providers'!AD159+156/100000,"")</f>
        <v/>
      </c>
      <c r="B159">
        <f>IF(AND(LEN('Providers'!A159)&gt;0,ISNUMBER('Providers'!AD159)),MAX($B$3:B158)+1,"")</f>
        <v/>
      </c>
      <c r="E159">
        <f>IFERROR(MATCH(156,$B$4:$B$503,0),"")</f>
        <v/>
      </c>
    </row>
    <row r="160">
      <c r="A160">
        <f>IF(AND(LEN('Providers'!A160)&gt;0,ISNUMBER('Providers'!AD160)),'Providers'!AD160+157/100000,"")</f>
        <v/>
      </c>
      <c r="B160">
        <f>IF(AND(LEN('Providers'!A160)&gt;0,ISNUMBER('Providers'!AD160)),MAX($B$3:B159)+1,"")</f>
        <v/>
      </c>
      <c r="E160">
        <f>IFERROR(MATCH(157,$B$4:$B$503,0),"")</f>
        <v/>
      </c>
    </row>
    <row r="161">
      <c r="A161">
        <f>IF(AND(LEN('Providers'!A161)&gt;0,ISNUMBER('Providers'!AD161)),'Providers'!AD161+158/100000,"")</f>
        <v/>
      </c>
      <c r="B161">
        <f>IF(AND(LEN('Providers'!A161)&gt;0,ISNUMBER('Providers'!AD161)),MAX($B$3:B160)+1,"")</f>
        <v/>
      </c>
      <c r="E161">
        <f>IFERROR(MATCH(158,$B$4:$B$503,0),"")</f>
        <v/>
      </c>
    </row>
    <row r="162">
      <c r="A162">
        <f>IF(AND(LEN('Providers'!A162)&gt;0,ISNUMBER('Providers'!AD162)),'Providers'!AD162+159/100000,"")</f>
        <v/>
      </c>
      <c r="B162">
        <f>IF(AND(LEN('Providers'!A162)&gt;0,ISNUMBER('Providers'!AD162)),MAX($B$3:B161)+1,"")</f>
        <v/>
      </c>
      <c r="E162">
        <f>IFERROR(MATCH(159,$B$4:$B$503,0),"")</f>
        <v/>
      </c>
    </row>
    <row r="163">
      <c r="A163">
        <f>IF(AND(LEN('Providers'!A163)&gt;0,ISNUMBER('Providers'!AD163)),'Providers'!AD163+160/100000,"")</f>
        <v/>
      </c>
      <c r="B163">
        <f>IF(AND(LEN('Providers'!A163)&gt;0,ISNUMBER('Providers'!AD163)),MAX($B$3:B162)+1,"")</f>
        <v/>
      </c>
      <c r="E163">
        <f>IFERROR(MATCH(160,$B$4:$B$503,0),"")</f>
        <v/>
      </c>
    </row>
    <row r="164">
      <c r="A164">
        <f>IF(AND(LEN('Providers'!A164)&gt;0,ISNUMBER('Providers'!AD164)),'Providers'!AD164+161/100000,"")</f>
        <v/>
      </c>
      <c r="B164">
        <f>IF(AND(LEN('Providers'!A164)&gt;0,ISNUMBER('Providers'!AD164)),MAX($B$3:B163)+1,"")</f>
        <v/>
      </c>
      <c r="E164">
        <f>IFERROR(MATCH(161,$B$4:$B$503,0),"")</f>
        <v/>
      </c>
    </row>
    <row r="165">
      <c r="A165">
        <f>IF(AND(LEN('Providers'!A165)&gt;0,ISNUMBER('Providers'!AD165)),'Providers'!AD165+162/100000,"")</f>
        <v/>
      </c>
      <c r="B165">
        <f>IF(AND(LEN('Providers'!A165)&gt;0,ISNUMBER('Providers'!AD165)),MAX($B$3:B164)+1,"")</f>
        <v/>
      </c>
      <c r="E165">
        <f>IFERROR(MATCH(162,$B$4:$B$503,0),"")</f>
        <v/>
      </c>
    </row>
    <row r="166">
      <c r="A166">
        <f>IF(AND(LEN('Providers'!A166)&gt;0,ISNUMBER('Providers'!AD166)),'Providers'!AD166+163/100000,"")</f>
        <v/>
      </c>
      <c r="B166">
        <f>IF(AND(LEN('Providers'!A166)&gt;0,ISNUMBER('Providers'!AD166)),MAX($B$3:B165)+1,"")</f>
        <v/>
      </c>
      <c r="E166">
        <f>IFERROR(MATCH(163,$B$4:$B$503,0),"")</f>
        <v/>
      </c>
    </row>
    <row r="167">
      <c r="A167">
        <f>IF(AND(LEN('Providers'!A167)&gt;0,ISNUMBER('Providers'!AD167)),'Providers'!AD167+164/100000,"")</f>
        <v/>
      </c>
      <c r="B167">
        <f>IF(AND(LEN('Providers'!A167)&gt;0,ISNUMBER('Providers'!AD167)),MAX($B$3:B166)+1,"")</f>
        <v/>
      </c>
      <c r="E167">
        <f>IFERROR(MATCH(164,$B$4:$B$503,0),"")</f>
        <v/>
      </c>
    </row>
    <row r="168">
      <c r="A168">
        <f>IF(AND(LEN('Providers'!A168)&gt;0,ISNUMBER('Providers'!AD168)),'Providers'!AD168+165/100000,"")</f>
        <v/>
      </c>
      <c r="B168">
        <f>IF(AND(LEN('Providers'!A168)&gt;0,ISNUMBER('Providers'!AD168)),MAX($B$3:B167)+1,"")</f>
        <v/>
      </c>
      <c r="E168">
        <f>IFERROR(MATCH(165,$B$4:$B$503,0),"")</f>
        <v/>
      </c>
    </row>
    <row r="169">
      <c r="A169">
        <f>IF(AND(LEN('Providers'!A169)&gt;0,ISNUMBER('Providers'!AD169)),'Providers'!AD169+166/100000,"")</f>
        <v/>
      </c>
      <c r="B169">
        <f>IF(AND(LEN('Providers'!A169)&gt;0,ISNUMBER('Providers'!AD169)),MAX($B$3:B168)+1,"")</f>
        <v/>
      </c>
      <c r="E169">
        <f>IFERROR(MATCH(166,$B$4:$B$503,0),"")</f>
        <v/>
      </c>
    </row>
    <row r="170">
      <c r="A170">
        <f>IF(AND(LEN('Providers'!A170)&gt;0,ISNUMBER('Providers'!AD170)),'Providers'!AD170+167/100000,"")</f>
        <v/>
      </c>
      <c r="B170">
        <f>IF(AND(LEN('Providers'!A170)&gt;0,ISNUMBER('Providers'!AD170)),MAX($B$3:B169)+1,"")</f>
        <v/>
      </c>
      <c r="E170">
        <f>IFERROR(MATCH(167,$B$4:$B$503,0),"")</f>
        <v/>
      </c>
    </row>
    <row r="171">
      <c r="A171">
        <f>IF(AND(LEN('Providers'!A171)&gt;0,ISNUMBER('Providers'!AD171)),'Providers'!AD171+168/100000,"")</f>
        <v/>
      </c>
      <c r="B171">
        <f>IF(AND(LEN('Providers'!A171)&gt;0,ISNUMBER('Providers'!AD171)),MAX($B$3:B170)+1,"")</f>
        <v/>
      </c>
      <c r="E171">
        <f>IFERROR(MATCH(168,$B$4:$B$503,0),"")</f>
        <v/>
      </c>
    </row>
    <row r="172">
      <c r="A172">
        <f>IF(AND(LEN('Providers'!A172)&gt;0,ISNUMBER('Providers'!AD172)),'Providers'!AD172+169/100000,"")</f>
        <v/>
      </c>
      <c r="B172">
        <f>IF(AND(LEN('Providers'!A172)&gt;0,ISNUMBER('Providers'!AD172)),MAX($B$3:B171)+1,"")</f>
        <v/>
      </c>
      <c r="E172">
        <f>IFERROR(MATCH(169,$B$4:$B$503,0),"")</f>
        <v/>
      </c>
    </row>
    <row r="173">
      <c r="A173">
        <f>IF(AND(LEN('Providers'!A173)&gt;0,ISNUMBER('Providers'!AD173)),'Providers'!AD173+170/100000,"")</f>
        <v/>
      </c>
      <c r="B173">
        <f>IF(AND(LEN('Providers'!A173)&gt;0,ISNUMBER('Providers'!AD173)),MAX($B$3:B172)+1,"")</f>
        <v/>
      </c>
      <c r="E173">
        <f>IFERROR(MATCH(170,$B$4:$B$503,0),"")</f>
        <v/>
      </c>
    </row>
    <row r="174">
      <c r="A174">
        <f>IF(AND(LEN('Providers'!A174)&gt;0,ISNUMBER('Providers'!AD174)),'Providers'!AD174+171/100000,"")</f>
        <v/>
      </c>
      <c r="B174">
        <f>IF(AND(LEN('Providers'!A174)&gt;0,ISNUMBER('Providers'!AD174)),MAX($B$3:B173)+1,"")</f>
        <v/>
      </c>
      <c r="E174">
        <f>IFERROR(MATCH(171,$B$4:$B$503,0),"")</f>
        <v/>
      </c>
    </row>
    <row r="175">
      <c r="A175">
        <f>IF(AND(LEN('Providers'!A175)&gt;0,ISNUMBER('Providers'!AD175)),'Providers'!AD175+172/100000,"")</f>
        <v/>
      </c>
      <c r="B175">
        <f>IF(AND(LEN('Providers'!A175)&gt;0,ISNUMBER('Providers'!AD175)),MAX($B$3:B174)+1,"")</f>
        <v/>
      </c>
      <c r="E175">
        <f>IFERROR(MATCH(172,$B$4:$B$503,0),"")</f>
        <v/>
      </c>
    </row>
    <row r="176">
      <c r="A176">
        <f>IF(AND(LEN('Providers'!A176)&gt;0,ISNUMBER('Providers'!AD176)),'Providers'!AD176+173/100000,"")</f>
        <v/>
      </c>
      <c r="B176">
        <f>IF(AND(LEN('Providers'!A176)&gt;0,ISNUMBER('Providers'!AD176)),MAX($B$3:B175)+1,"")</f>
        <v/>
      </c>
      <c r="E176">
        <f>IFERROR(MATCH(173,$B$4:$B$503,0),"")</f>
        <v/>
      </c>
    </row>
    <row r="177">
      <c r="A177">
        <f>IF(AND(LEN('Providers'!A177)&gt;0,ISNUMBER('Providers'!AD177)),'Providers'!AD177+174/100000,"")</f>
        <v/>
      </c>
      <c r="B177">
        <f>IF(AND(LEN('Providers'!A177)&gt;0,ISNUMBER('Providers'!AD177)),MAX($B$3:B176)+1,"")</f>
        <v/>
      </c>
      <c r="E177">
        <f>IFERROR(MATCH(174,$B$4:$B$503,0),"")</f>
        <v/>
      </c>
    </row>
    <row r="178">
      <c r="A178">
        <f>IF(AND(LEN('Providers'!A178)&gt;0,ISNUMBER('Providers'!AD178)),'Providers'!AD178+175/100000,"")</f>
        <v/>
      </c>
      <c r="B178">
        <f>IF(AND(LEN('Providers'!A178)&gt;0,ISNUMBER('Providers'!AD178)),MAX($B$3:B177)+1,"")</f>
        <v/>
      </c>
      <c r="E178">
        <f>IFERROR(MATCH(175,$B$4:$B$503,0),"")</f>
        <v/>
      </c>
    </row>
    <row r="179">
      <c r="A179">
        <f>IF(AND(LEN('Providers'!A179)&gt;0,ISNUMBER('Providers'!AD179)),'Providers'!AD179+176/100000,"")</f>
        <v/>
      </c>
      <c r="B179">
        <f>IF(AND(LEN('Providers'!A179)&gt;0,ISNUMBER('Providers'!AD179)),MAX($B$3:B178)+1,"")</f>
        <v/>
      </c>
      <c r="E179">
        <f>IFERROR(MATCH(176,$B$4:$B$503,0),"")</f>
        <v/>
      </c>
    </row>
    <row r="180">
      <c r="A180">
        <f>IF(AND(LEN('Providers'!A180)&gt;0,ISNUMBER('Providers'!AD180)),'Providers'!AD180+177/100000,"")</f>
        <v/>
      </c>
      <c r="B180">
        <f>IF(AND(LEN('Providers'!A180)&gt;0,ISNUMBER('Providers'!AD180)),MAX($B$3:B179)+1,"")</f>
        <v/>
      </c>
      <c r="E180">
        <f>IFERROR(MATCH(177,$B$4:$B$503,0),"")</f>
        <v/>
      </c>
    </row>
    <row r="181">
      <c r="A181">
        <f>IF(AND(LEN('Providers'!A181)&gt;0,ISNUMBER('Providers'!AD181)),'Providers'!AD181+178/100000,"")</f>
        <v/>
      </c>
      <c r="B181">
        <f>IF(AND(LEN('Providers'!A181)&gt;0,ISNUMBER('Providers'!AD181)),MAX($B$3:B180)+1,"")</f>
        <v/>
      </c>
      <c r="E181">
        <f>IFERROR(MATCH(178,$B$4:$B$503,0),"")</f>
        <v/>
      </c>
    </row>
    <row r="182">
      <c r="A182">
        <f>IF(AND(LEN('Providers'!A182)&gt;0,ISNUMBER('Providers'!AD182)),'Providers'!AD182+179/100000,"")</f>
        <v/>
      </c>
      <c r="B182">
        <f>IF(AND(LEN('Providers'!A182)&gt;0,ISNUMBER('Providers'!AD182)),MAX($B$3:B181)+1,"")</f>
        <v/>
      </c>
      <c r="E182">
        <f>IFERROR(MATCH(179,$B$4:$B$503,0),"")</f>
        <v/>
      </c>
    </row>
    <row r="183">
      <c r="A183">
        <f>IF(AND(LEN('Providers'!A183)&gt;0,ISNUMBER('Providers'!AD183)),'Providers'!AD183+180/100000,"")</f>
        <v/>
      </c>
      <c r="B183">
        <f>IF(AND(LEN('Providers'!A183)&gt;0,ISNUMBER('Providers'!AD183)),MAX($B$3:B182)+1,"")</f>
        <v/>
      </c>
      <c r="E183">
        <f>IFERROR(MATCH(180,$B$4:$B$503,0),"")</f>
        <v/>
      </c>
    </row>
    <row r="184">
      <c r="A184">
        <f>IF(AND(LEN('Providers'!A184)&gt;0,ISNUMBER('Providers'!AD184)),'Providers'!AD184+181/100000,"")</f>
        <v/>
      </c>
      <c r="B184">
        <f>IF(AND(LEN('Providers'!A184)&gt;0,ISNUMBER('Providers'!AD184)),MAX($B$3:B183)+1,"")</f>
        <v/>
      </c>
      <c r="E184">
        <f>IFERROR(MATCH(181,$B$4:$B$503,0),"")</f>
        <v/>
      </c>
    </row>
    <row r="185">
      <c r="A185">
        <f>IF(AND(LEN('Providers'!A185)&gt;0,ISNUMBER('Providers'!AD185)),'Providers'!AD185+182/100000,"")</f>
        <v/>
      </c>
      <c r="B185">
        <f>IF(AND(LEN('Providers'!A185)&gt;0,ISNUMBER('Providers'!AD185)),MAX($B$3:B184)+1,"")</f>
        <v/>
      </c>
      <c r="E185">
        <f>IFERROR(MATCH(182,$B$4:$B$503,0),"")</f>
        <v/>
      </c>
    </row>
    <row r="186">
      <c r="A186">
        <f>IF(AND(LEN('Providers'!A186)&gt;0,ISNUMBER('Providers'!AD186)),'Providers'!AD186+183/100000,"")</f>
        <v/>
      </c>
      <c r="B186">
        <f>IF(AND(LEN('Providers'!A186)&gt;0,ISNUMBER('Providers'!AD186)),MAX($B$3:B185)+1,"")</f>
        <v/>
      </c>
      <c r="E186">
        <f>IFERROR(MATCH(183,$B$4:$B$503,0),"")</f>
        <v/>
      </c>
    </row>
    <row r="187">
      <c r="A187">
        <f>IF(AND(LEN('Providers'!A187)&gt;0,ISNUMBER('Providers'!AD187)),'Providers'!AD187+184/100000,"")</f>
        <v/>
      </c>
      <c r="B187">
        <f>IF(AND(LEN('Providers'!A187)&gt;0,ISNUMBER('Providers'!AD187)),MAX($B$3:B186)+1,"")</f>
        <v/>
      </c>
      <c r="E187">
        <f>IFERROR(MATCH(184,$B$4:$B$503,0),"")</f>
        <v/>
      </c>
    </row>
    <row r="188">
      <c r="A188">
        <f>IF(AND(LEN('Providers'!A188)&gt;0,ISNUMBER('Providers'!AD188)),'Providers'!AD188+185/100000,"")</f>
        <v/>
      </c>
      <c r="B188">
        <f>IF(AND(LEN('Providers'!A188)&gt;0,ISNUMBER('Providers'!AD188)),MAX($B$3:B187)+1,"")</f>
        <v/>
      </c>
      <c r="E188">
        <f>IFERROR(MATCH(185,$B$4:$B$503,0),"")</f>
        <v/>
      </c>
    </row>
    <row r="189">
      <c r="A189">
        <f>IF(AND(LEN('Providers'!A189)&gt;0,ISNUMBER('Providers'!AD189)),'Providers'!AD189+186/100000,"")</f>
        <v/>
      </c>
      <c r="B189">
        <f>IF(AND(LEN('Providers'!A189)&gt;0,ISNUMBER('Providers'!AD189)),MAX($B$3:B188)+1,"")</f>
        <v/>
      </c>
      <c r="E189">
        <f>IFERROR(MATCH(186,$B$4:$B$503,0),"")</f>
        <v/>
      </c>
    </row>
    <row r="190">
      <c r="A190">
        <f>IF(AND(LEN('Providers'!A190)&gt;0,ISNUMBER('Providers'!AD190)),'Providers'!AD190+187/100000,"")</f>
        <v/>
      </c>
      <c r="B190">
        <f>IF(AND(LEN('Providers'!A190)&gt;0,ISNUMBER('Providers'!AD190)),MAX($B$3:B189)+1,"")</f>
        <v/>
      </c>
      <c r="E190">
        <f>IFERROR(MATCH(187,$B$4:$B$503,0),"")</f>
        <v/>
      </c>
    </row>
    <row r="191">
      <c r="A191">
        <f>IF(AND(LEN('Providers'!A191)&gt;0,ISNUMBER('Providers'!AD191)),'Providers'!AD191+188/100000,"")</f>
        <v/>
      </c>
      <c r="B191">
        <f>IF(AND(LEN('Providers'!A191)&gt;0,ISNUMBER('Providers'!AD191)),MAX($B$3:B190)+1,"")</f>
        <v/>
      </c>
      <c r="E191">
        <f>IFERROR(MATCH(188,$B$4:$B$503,0),"")</f>
        <v/>
      </c>
    </row>
    <row r="192">
      <c r="A192">
        <f>IF(AND(LEN('Providers'!A192)&gt;0,ISNUMBER('Providers'!AD192)),'Providers'!AD192+189/100000,"")</f>
        <v/>
      </c>
      <c r="B192">
        <f>IF(AND(LEN('Providers'!A192)&gt;0,ISNUMBER('Providers'!AD192)),MAX($B$3:B191)+1,"")</f>
        <v/>
      </c>
      <c r="E192">
        <f>IFERROR(MATCH(189,$B$4:$B$503,0),"")</f>
        <v/>
      </c>
    </row>
    <row r="193">
      <c r="A193">
        <f>IF(AND(LEN('Providers'!A193)&gt;0,ISNUMBER('Providers'!AD193)),'Providers'!AD193+190/100000,"")</f>
        <v/>
      </c>
      <c r="B193">
        <f>IF(AND(LEN('Providers'!A193)&gt;0,ISNUMBER('Providers'!AD193)),MAX($B$3:B192)+1,"")</f>
        <v/>
      </c>
      <c r="E193">
        <f>IFERROR(MATCH(190,$B$4:$B$503,0),"")</f>
        <v/>
      </c>
    </row>
    <row r="194">
      <c r="A194">
        <f>IF(AND(LEN('Providers'!A194)&gt;0,ISNUMBER('Providers'!AD194)),'Providers'!AD194+191/100000,"")</f>
        <v/>
      </c>
      <c r="B194">
        <f>IF(AND(LEN('Providers'!A194)&gt;0,ISNUMBER('Providers'!AD194)),MAX($B$3:B193)+1,"")</f>
        <v/>
      </c>
      <c r="E194">
        <f>IFERROR(MATCH(191,$B$4:$B$503,0),"")</f>
        <v/>
      </c>
    </row>
    <row r="195">
      <c r="A195">
        <f>IF(AND(LEN('Providers'!A195)&gt;0,ISNUMBER('Providers'!AD195)),'Providers'!AD195+192/100000,"")</f>
        <v/>
      </c>
      <c r="B195">
        <f>IF(AND(LEN('Providers'!A195)&gt;0,ISNUMBER('Providers'!AD195)),MAX($B$3:B194)+1,"")</f>
        <v/>
      </c>
      <c r="E195">
        <f>IFERROR(MATCH(192,$B$4:$B$503,0),"")</f>
        <v/>
      </c>
    </row>
    <row r="196">
      <c r="A196">
        <f>IF(AND(LEN('Providers'!A196)&gt;0,ISNUMBER('Providers'!AD196)),'Providers'!AD196+193/100000,"")</f>
        <v/>
      </c>
      <c r="B196">
        <f>IF(AND(LEN('Providers'!A196)&gt;0,ISNUMBER('Providers'!AD196)),MAX($B$3:B195)+1,"")</f>
        <v/>
      </c>
      <c r="E196">
        <f>IFERROR(MATCH(193,$B$4:$B$503,0),"")</f>
        <v/>
      </c>
    </row>
    <row r="197">
      <c r="A197">
        <f>IF(AND(LEN('Providers'!A197)&gt;0,ISNUMBER('Providers'!AD197)),'Providers'!AD197+194/100000,"")</f>
        <v/>
      </c>
      <c r="B197">
        <f>IF(AND(LEN('Providers'!A197)&gt;0,ISNUMBER('Providers'!AD197)),MAX($B$3:B196)+1,"")</f>
        <v/>
      </c>
      <c r="E197">
        <f>IFERROR(MATCH(194,$B$4:$B$503,0),"")</f>
        <v/>
      </c>
    </row>
    <row r="198">
      <c r="A198">
        <f>IF(AND(LEN('Providers'!A198)&gt;0,ISNUMBER('Providers'!AD198)),'Providers'!AD198+195/100000,"")</f>
        <v/>
      </c>
      <c r="B198">
        <f>IF(AND(LEN('Providers'!A198)&gt;0,ISNUMBER('Providers'!AD198)),MAX($B$3:B197)+1,"")</f>
        <v/>
      </c>
      <c r="E198">
        <f>IFERROR(MATCH(195,$B$4:$B$503,0),"")</f>
        <v/>
      </c>
    </row>
    <row r="199">
      <c r="A199">
        <f>IF(AND(LEN('Providers'!A199)&gt;0,ISNUMBER('Providers'!AD199)),'Providers'!AD199+196/100000,"")</f>
        <v/>
      </c>
      <c r="B199">
        <f>IF(AND(LEN('Providers'!A199)&gt;0,ISNUMBER('Providers'!AD199)),MAX($B$3:B198)+1,"")</f>
        <v/>
      </c>
      <c r="E199">
        <f>IFERROR(MATCH(196,$B$4:$B$503,0),"")</f>
        <v/>
      </c>
    </row>
    <row r="200">
      <c r="A200">
        <f>IF(AND(LEN('Providers'!A200)&gt;0,ISNUMBER('Providers'!AD200)),'Providers'!AD200+197/100000,"")</f>
        <v/>
      </c>
      <c r="B200">
        <f>IF(AND(LEN('Providers'!A200)&gt;0,ISNUMBER('Providers'!AD200)),MAX($B$3:B199)+1,"")</f>
        <v/>
      </c>
      <c r="E200">
        <f>IFERROR(MATCH(197,$B$4:$B$503,0),"")</f>
        <v/>
      </c>
    </row>
    <row r="201">
      <c r="A201">
        <f>IF(AND(LEN('Providers'!A201)&gt;0,ISNUMBER('Providers'!AD201)),'Providers'!AD201+198/100000,"")</f>
        <v/>
      </c>
      <c r="B201">
        <f>IF(AND(LEN('Providers'!A201)&gt;0,ISNUMBER('Providers'!AD201)),MAX($B$3:B200)+1,"")</f>
        <v/>
      </c>
      <c r="E201">
        <f>IFERROR(MATCH(198,$B$4:$B$503,0),"")</f>
        <v/>
      </c>
    </row>
    <row r="202">
      <c r="A202">
        <f>IF(AND(LEN('Providers'!A202)&gt;0,ISNUMBER('Providers'!AD202)),'Providers'!AD202+199/100000,"")</f>
        <v/>
      </c>
      <c r="B202">
        <f>IF(AND(LEN('Providers'!A202)&gt;0,ISNUMBER('Providers'!AD202)),MAX($B$3:B201)+1,"")</f>
        <v/>
      </c>
      <c r="E202">
        <f>IFERROR(MATCH(199,$B$4:$B$503,0),"")</f>
        <v/>
      </c>
    </row>
    <row r="203">
      <c r="A203">
        <f>IF(AND(LEN('Providers'!A203)&gt;0,ISNUMBER('Providers'!AD203)),'Providers'!AD203+200/100000,"")</f>
        <v/>
      </c>
      <c r="B203">
        <f>IF(AND(LEN('Providers'!A203)&gt;0,ISNUMBER('Providers'!AD203)),MAX($B$3:B202)+1,"")</f>
        <v/>
      </c>
      <c r="E203">
        <f>IFERROR(MATCH(200,$B$4:$B$503,0),"")</f>
        <v/>
      </c>
    </row>
    <row r="204">
      <c r="A204">
        <f>IF(AND(LEN('Providers'!A204)&gt;0,ISNUMBER('Providers'!AD204)),'Providers'!AD204+201/100000,"")</f>
        <v/>
      </c>
      <c r="B204">
        <f>IF(AND(LEN('Providers'!A204)&gt;0,ISNUMBER('Providers'!AD204)),MAX($B$3:B203)+1,"")</f>
        <v/>
      </c>
      <c r="E204">
        <f>IFERROR(MATCH(201,$B$4:$B$503,0),"")</f>
        <v/>
      </c>
    </row>
    <row r="205">
      <c r="A205">
        <f>IF(AND(LEN('Providers'!A205)&gt;0,ISNUMBER('Providers'!AD205)),'Providers'!AD205+202/100000,"")</f>
        <v/>
      </c>
      <c r="B205">
        <f>IF(AND(LEN('Providers'!A205)&gt;0,ISNUMBER('Providers'!AD205)),MAX($B$3:B204)+1,"")</f>
        <v/>
      </c>
      <c r="E205">
        <f>IFERROR(MATCH(202,$B$4:$B$503,0),"")</f>
        <v/>
      </c>
    </row>
    <row r="206">
      <c r="A206">
        <f>IF(AND(LEN('Providers'!A206)&gt;0,ISNUMBER('Providers'!AD206)),'Providers'!AD206+203/100000,"")</f>
        <v/>
      </c>
      <c r="B206">
        <f>IF(AND(LEN('Providers'!A206)&gt;0,ISNUMBER('Providers'!AD206)),MAX($B$3:B205)+1,"")</f>
        <v/>
      </c>
      <c r="E206">
        <f>IFERROR(MATCH(203,$B$4:$B$503,0),"")</f>
        <v/>
      </c>
    </row>
    <row r="207">
      <c r="A207">
        <f>IF(AND(LEN('Providers'!A207)&gt;0,ISNUMBER('Providers'!AD207)),'Providers'!AD207+204/100000,"")</f>
        <v/>
      </c>
      <c r="B207">
        <f>IF(AND(LEN('Providers'!A207)&gt;0,ISNUMBER('Providers'!AD207)),MAX($B$3:B206)+1,"")</f>
        <v/>
      </c>
      <c r="E207">
        <f>IFERROR(MATCH(204,$B$4:$B$503,0),"")</f>
        <v/>
      </c>
    </row>
    <row r="208">
      <c r="A208">
        <f>IF(AND(LEN('Providers'!A208)&gt;0,ISNUMBER('Providers'!AD208)),'Providers'!AD208+205/100000,"")</f>
        <v/>
      </c>
      <c r="B208">
        <f>IF(AND(LEN('Providers'!A208)&gt;0,ISNUMBER('Providers'!AD208)),MAX($B$3:B207)+1,"")</f>
        <v/>
      </c>
      <c r="E208">
        <f>IFERROR(MATCH(205,$B$4:$B$503,0),"")</f>
        <v/>
      </c>
    </row>
    <row r="209">
      <c r="A209">
        <f>IF(AND(LEN('Providers'!A209)&gt;0,ISNUMBER('Providers'!AD209)),'Providers'!AD209+206/100000,"")</f>
        <v/>
      </c>
      <c r="B209">
        <f>IF(AND(LEN('Providers'!A209)&gt;0,ISNUMBER('Providers'!AD209)),MAX($B$3:B208)+1,"")</f>
        <v/>
      </c>
      <c r="E209">
        <f>IFERROR(MATCH(206,$B$4:$B$503,0),"")</f>
        <v/>
      </c>
    </row>
    <row r="210">
      <c r="A210">
        <f>IF(AND(LEN('Providers'!A210)&gt;0,ISNUMBER('Providers'!AD210)),'Providers'!AD210+207/100000,"")</f>
        <v/>
      </c>
      <c r="B210">
        <f>IF(AND(LEN('Providers'!A210)&gt;0,ISNUMBER('Providers'!AD210)),MAX($B$3:B209)+1,"")</f>
        <v/>
      </c>
      <c r="E210">
        <f>IFERROR(MATCH(207,$B$4:$B$503,0),"")</f>
        <v/>
      </c>
    </row>
    <row r="211">
      <c r="A211">
        <f>IF(AND(LEN('Providers'!A211)&gt;0,ISNUMBER('Providers'!AD211)),'Providers'!AD211+208/100000,"")</f>
        <v/>
      </c>
      <c r="B211">
        <f>IF(AND(LEN('Providers'!A211)&gt;0,ISNUMBER('Providers'!AD211)),MAX($B$3:B210)+1,"")</f>
        <v/>
      </c>
      <c r="E211">
        <f>IFERROR(MATCH(208,$B$4:$B$503,0),"")</f>
        <v/>
      </c>
    </row>
    <row r="212">
      <c r="A212">
        <f>IF(AND(LEN('Providers'!A212)&gt;0,ISNUMBER('Providers'!AD212)),'Providers'!AD212+209/100000,"")</f>
        <v/>
      </c>
      <c r="B212">
        <f>IF(AND(LEN('Providers'!A212)&gt;0,ISNUMBER('Providers'!AD212)),MAX($B$3:B211)+1,"")</f>
        <v/>
      </c>
      <c r="E212">
        <f>IFERROR(MATCH(209,$B$4:$B$503,0),"")</f>
        <v/>
      </c>
    </row>
    <row r="213">
      <c r="A213">
        <f>IF(AND(LEN('Providers'!A213)&gt;0,ISNUMBER('Providers'!AD213)),'Providers'!AD213+210/100000,"")</f>
        <v/>
      </c>
      <c r="B213">
        <f>IF(AND(LEN('Providers'!A213)&gt;0,ISNUMBER('Providers'!AD213)),MAX($B$3:B212)+1,"")</f>
        <v/>
      </c>
      <c r="E213">
        <f>IFERROR(MATCH(210,$B$4:$B$503,0),"")</f>
        <v/>
      </c>
    </row>
    <row r="214">
      <c r="A214">
        <f>IF(AND(LEN('Providers'!A214)&gt;0,ISNUMBER('Providers'!AD214)),'Providers'!AD214+211/100000,"")</f>
        <v/>
      </c>
      <c r="B214">
        <f>IF(AND(LEN('Providers'!A214)&gt;0,ISNUMBER('Providers'!AD214)),MAX($B$3:B213)+1,"")</f>
        <v/>
      </c>
      <c r="E214">
        <f>IFERROR(MATCH(211,$B$4:$B$503,0),"")</f>
        <v/>
      </c>
    </row>
    <row r="215">
      <c r="A215">
        <f>IF(AND(LEN('Providers'!A215)&gt;0,ISNUMBER('Providers'!AD215)),'Providers'!AD215+212/100000,"")</f>
        <v/>
      </c>
      <c r="B215">
        <f>IF(AND(LEN('Providers'!A215)&gt;0,ISNUMBER('Providers'!AD215)),MAX($B$3:B214)+1,"")</f>
        <v/>
      </c>
      <c r="E215">
        <f>IFERROR(MATCH(212,$B$4:$B$503,0),"")</f>
        <v/>
      </c>
    </row>
    <row r="216">
      <c r="A216">
        <f>IF(AND(LEN('Providers'!A216)&gt;0,ISNUMBER('Providers'!AD216)),'Providers'!AD216+213/100000,"")</f>
        <v/>
      </c>
      <c r="B216">
        <f>IF(AND(LEN('Providers'!A216)&gt;0,ISNUMBER('Providers'!AD216)),MAX($B$3:B215)+1,"")</f>
        <v/>
      </c>
      <c r="E216">
        <f>IFERROR(MATCH(213,$B$4:$B$503,0),"")</f>
        <v/>
      </c>
    </row>
    <row r="217">
      <c r="A217">
        <f>IF(AND(LEN('Providers'!A217)&gt;0,ISNUMBER('Providers'!AD217)),'Providers'!AD217+214/100000,"")</f>
        <v/>
      </c>
      <c r="B217">
        <f>IF(AND(LEN('Providers'!A217)&gt;0,ISNUMBER('Providers'!AD217)),MAX($B$3:B216)+1,"")</f>
        <v/>
      </c>
      <c r="E217">
        <f>IFERROR(MATCH(214,$B$4:$B$503,0),"")</f>
        <v/>
      </c>
    </row>
    <row r="218">
      <c r="A218">
        <f>IF(AND(LEN('Providers'!A218)&gt;0,ISNUMBER('Providers'!AD218)),'Providers'!AD218+215/100000,"")</f>
        <v/>
      </c>
      <c r="B218">
        <f>IF(AND(LEN('Providers'!A218)&gt;0,ISNUMBER('Providers'!AD218)),MAX($B$3:B217)+1,"")</f>
        <v/>
      </c>
      <c r="E218">
        <f>IFERROR(MATCH(215,$B$4:$B$503,0),"")</f>
        <v/>
      </c>
    </row>
    <row r="219">
      <c r="A219">
        <f>IF(AND(LEN('Providers'!A219)&gt;0,ISNUMBER('Providers'!AD219)),'Providers'!AD219+216/100000,"")</f>
        <v/>
      </c>
      <c r="B219">
        <f>IF(AND(LEN('Providers'!A219)&gt;0,ISNUMBER('Providers'!AD219)),MAX($B$3:B218)+1,"")</f>
        <v/>
      </c>
      <c r="E219">
        <f>IFERROR(MATCH(216,$B$4:$B$503,0),"")</f>
        <v/>
      </c>
    </row>
    <row r="220">
      <c r="A220">
        <f>IF(AND(LEN('Providers'!A220)&gt;0,ISNUMBER('Providers'!AD220)),'Providers'!AD220+217/100000,"")</f>
        <v/>
      </c>
      <c r="B220">
        <f>IF(AND(LEN('Providers'!A220)&gt;0,ISNUMBER('Providers'!AD220)),MAX($B$3:B219)+1,"")</f>
        <v/>
      </c>
      <c r="E220">
        <f>IFERROR(MATCH(217,$B$4:$B$503,0),"")</f>
        <v/>
      </c>
    </row>
    <row r="221">
      <c r="A221">
        <f>IF(AND(LEN('Providers'!A221)&gt;0,ISNUMBER('Providers'!AD221)),'Providers'!AD221+218/100000,"")</f>
        <v/>
      </c>
      <c r="B221">
        <f>IF(AND(LEN('Providers'!A221)&gt;0,ISNUMBER('Providers'!AD221)),MAX($B$3:B220)+1,"")</f>
        <v/>
      </c>
      <c r="E221">
        <f>IFERROR(MATCH(218,$B$4:$B$503,0),"")</f>
        <v/>
      </c>
    </row>
    <row r="222">
      <c r="A222">
        <f>IF(AND(LEN('Providers'!A222)&gt;0,ISNUMBER('Providers'!AD222)),'Providers'!AD222+219/100000,"")</f>
        <v/>
      </c>
      <c r="B222">
        <f>IF(AND(LEN('Providers'!A222)&gt;0,ISNUMBER('Providers'!AD222)),MAX($B$3:B221)+1,"")</f>
        <v/>
      </c>
      <c r="E222">
        <f>IFERROR(MATCH(219,$B$4:$B$503,0),"")</f>
        <v/>
      </c>
    </row>
    <row r="223">
      <c r="A223">
        <f>IF(AND(LEN('Providers'!A223)&gt;0,ISNUMBER('Providers'!AD223)),'Providers'!AD223+220/100000,"")</f>
        <v/>
      </c>
      <c r="B223">
        <f>IF(AND(LEN('Providers'!A223)&gt;0,ISNUMBER('Providers'!AD223)),MAX($B$3:B222)+1,"")</f>
        <v/>
      </c>
      <c r="E223">
        <f>IFERROR(MATCH(220,$B$4:$B$503,0),"")</f>
        <v/>
      </c>
    </row>
    <row r="224">
      <c r="A224">
        <f>IF(AND(LEN('Providers'!A224)&gt;0,ISNUMBER('Providers'!AD224)),'Providers'!AD224+221/100000,"")</f>
        <v/>
      </c>
      <c r="B224">
        <f>IF(AND(LEN('Providers'!A224)&gt;0,ISNUMBER('Providers'!AD224)),MAX($B$3:B223)+1,"")</f>
        <v/>
      </c>
      <c r="E224">
        <f>IFERROR(MATCH(221,$B$4:$B$503,0),"")</f>
        <v/>
      </c>
    </row>
    <row r="225">
      <c r="A225">
        <f>IF(AND(LEN('Providers'!A225)&gt;0,ISNUMBER('Providers'!AD225)),'Providers'!AD225+222/100000,"")</f>
        <v/>
      </c>
      <c r="B225">
        <f>IF(AND(LEN('Providers'!A225)&gt;0,ISNUMBER('Providers'!AD225)),MAX($B$3:B224)+1,"")</f>
        <v/>
      </c>
      <c r="E225">
        <f>IFERROR(MATCH(222,$B$4:$B$503,0),"")</f>
        <v/>
      </c>
    </row>
    <row r="226">
      <c r="A226">
        <f>IF(AND(LEN('Providers'!A226)&gt;0,ISNUMBER('Providers'!AD226)),'Providers'!AD226+223/100000,"")</f>
        <v/>
      </c>
      <c r="B226">
        <f>IF(AND(LEN('Providers'!A226)&gt;0,ISNUMBER('Providers'!AD226)),MAX($B$3:B225)+1,"")</f>
        <v/>
      </c>
      <c r="E226">
        <f>IFERROR(MATCH(223,$B$4:$B$503,0),"")</f>
        <v/>
      </c>
    </row>
    <row r="227">
      <c r="A227">
        <f>IF(AND(LEN('Providers'!A227)&gt;0,ISNUMBER('Providers'!AD227)),'Providers'!AD227+224/100000,"")</f>
        <v/>
      </c>
      <c r="B227">
        <f>IF(AND(LEN('Providers'!A227)&gt;0,ISNUMBER('Providers'!AD227)),MAX($B$3:B226)+1,"")</f>
        <v/>
      </c>
      <c r="E227">
        <f>IFERROR(MATCH(224,$B$4:$B$503,0),"")</f>
        <v/>
      </c>
    </row>
    <row r="228">
      <c r="A228">
        <f>IF(AND(LEN('Providers'!A228)&gt;0,ISNUMBER('Providers'!AD228)),'Providers'!AD228+225/100000,"")</f>
        <v/>
      </c>
      <c r="B228">
        <f>IF(AND(LEN('Providers'!A228)&gt;0,ISNUMBER('Providers'!AD228)),MAX($B$3:B227)+1,"")</f>
        <v/>
      </c>
      <c r="E228">
        <f>IFERROR(MATCH(225,$B$4:$B$503,0),"")</f>
        <v/>
      </c>
    </row>
    <row r="229">
      <c r="A229">
        <f>IF(AND(LEN('Providers'!A229)&gt;0,ISNUMBER('Providers'!AD229)),'Providers'!AD229+226/100000,"")</f>
        <v/>
      </c>
      <c r="B229">
        <f>IF(AND(LEN('Providers'!A229)&gt;0,ISNUMBER('Providers'!AD229)),MAX($B$3:B228)+1,"")</f>
        <v/>
      </c>
      <c r="E229">
        <f>IFERROR(MATCH(226,$B$4:$B$503,0),"")</f>
        <v/>
      </c>
    </row>
    <row r="230">
      <c r="A230">
        <f>IF(AND(LEN('Providers'!A230)&gt;0,ISNUMBER('Providers'!AD230)),'Providers'!AD230+227/100000,"")</f>
        <v/>
      </c>
      <c r="B230">
        <f>IF(AND(LEN('Providers'!A230)&gt;0,ISNUMBER('Providers'!AD230)),MAX($B$3:B229)+1,"")</f>
        <v/>
      </c>
      <c r="E230">
        <f>IFERROR(MATCH(227,$B$4:$B$503,0),"")</f>
        <v/>
      </c>
    </row>
    <row r="231">
      <c r="A231">
        <f>IF(AND(LEN('Providers'!A231)&gt;0,ISNUMBER('Providers'!AD231)),'Providers'!AD231+228/100000,"")</f>
        <v/>
      </c>
      <c r="B231">
        <f>IF(AND(LEN('Providers'!A231)&gt;0,ISNUMBER('Providers'!AD231)),MAX($B$3:B230)+1,"")</f>
        <v/>
      </c>
      <c r="E231">
        <f>IFERROR(MATCH(228,$B$4:$B$503,0),"")</f>
        <v/>
      </c>
    </row>
    <row r="232">
      <c r="A232">
        <f>IF(AND(LEN('Providers'!A232)&gt;0,ISNUMBER('Providers'!AD232)),'Providers'!AD232+229/100000,"")</f>
        <v/>
      </c>
      <c r="B232">
        <f>IF(AND(LEN('Providers'!A232)&gt;0,ISNUMBER('Providers'!AD232)),MAX($B$3:B231)+1,"")</f>
        <v/>
      </c>
      <c r="E232">
        <f>IFERROR(MATCH(229,$B$4:$B$503,0),"")</f>
        <v/>
      </c>
    </row>
    <row r="233">
      <c r="A233">
        <f>IF(AND(LEN('Providers'!A233)&gt;0,ISNUMBER('Providers'!AD233)),'Providers'!AD233+230/100000,"")</f>
        <v/>
      </c>
      <c r="B233">
        <f>IF(AND(LEN('Providers'!A233)&gt;0,ISNUMBER('Providers'!AD233)),MAX($B$3:B232)+1,"")</f>
        <v/>
      </c>
      <c r="E233">
        <f>IFERROR(MATCH(230,$B$4:$B$503,0),"")</f>
        <v/>
      </c>
    </row>
    <row r="234">
      <c r="A234">
        <f>IF(AND(LEN('Providers'!A234)&gt;0,ISNUMBER('Providers'!AD234)),'Providers'!AD234+231/100000,"")</f>
        <v/>
      </c>
      <c r="B234">
        <f>IF(AND(LEN('Providers'!A234)&gt;0,ISNUMBER('Providers'!AD234)),MAX($B$3:B233)+1,"")</f>
        <v/>
      </c>
      <c r="E234">
        <f>IFERROR(MATCH(231,$B$4:$B$503,0),"")</f>
        <v/>
      </c>
    </row>
    <row r="235">
      <c r="A235">
        <f>IF(AND(LEN('Providers'!A235)&gt;0,ISNUMBER('Providers'!AD235)),'Providers'!AD235+232/100000,"")</f>
        <v/>
      </c>
      <c r="B235">
        <f>IF(AND(LEN('Providers'!A235)&gt;0,ISNUMBER('Providers'!AD235)),MAX($B$3:B234)+1,"")</f>
        <v/>
      </c>
      <c r="E235">
        <f>IFERROR(MATCH(232,$B$4:$B$503,0),"")</f>
        <v/>
      </c>
    </row>
    <row r="236">
      <c r="A236">
        <f>IF(AND(LEN('Providers'!A236)&gt;0,ISNUMBER('Providers'!AD236)),'Providers'!AD236+233/100000,"")</f>
        <v/>
      </c>
      <c r="B236">
        <f>IF(AND(LEN('Providers'!A236)&gt;0,ISNUMBER('Providers'!AD236)),MAX($B$3:B235)+1,"")</f>
        <v/>
      </c>
      <c r="E236">
        <f>IFERROR(MATCH(233,$B$4:$B$503,0),"")</f>
        <v/>
      </c>
    </row>
    <row r="237">
      <c r="A237">
        <f>IF(AND(LEN('Providers'!A237)&gt;0,ISNUMBER('Providers'!AD237)),'Providers'!AD237+234/100000,"")</f>
        <v/>
      </c>
      <c r="B237">
        <f>IF(AND(LEN('Providers'!A237)&gt;0,ISNUMBER('Providers'!AD237)),MAX($B$3:B236)+1,"")</f>
        <v/>
      </c>
      <c r="E237">
        <f>IFERROR(MATCH(234,$B$4:$B$503,0),"")</f>
        <v/>
      </c>
    </row>
    <row r="238">
      <c r="A238">
        <f>IF(AND(LEN('Providers'!A238)&gt;0,ISNUMBER('Providers'!AD238)),'Providers'!AD238+235/100000,"")</f>
        <v/>
      </c>
      <c r="B238">
        <f>IF(AND(LEN('Providers'!A238)&gt;0,ISNUMBER('Providers'!AD238)),MAX($B$3:B237)+1,"")</f>
        <v/>
      </c>
      <c r="E238">
        <f>IFERROR(MATCH(235,$B$4:$B$503,0),"")</f>
        <v/>
      </c>
    </row>
    <row r="239">
      <c r="A239">
        <f>IF(AND(LEN('Providers'!A239)&gt;0,ISNUMBER('Providers'!AD239)),'Providers'!AD239+236/100000,"")</f>
        <v/>
      </c>
      <c r="B239">
        <f>IF(AND(LEN('Providers'!A239)&gt;0,ISNUMBER('Providers'!AD239)),MAX($B$3:B238)+1,"")</f>
        <v/>
      </c>
      <c r="E239">
        <f>IFERROR(MATCH(236,$B$4:$B$503,0),"")</f>
        <v/>
      </c>
    </row>
    <row r="240">
      <c r="A240">
        <f>IF(AND(LEN('Providers'!A240)&gt;0,ISNUMBER('Providers'!AD240)),'Providers'!AD240+237/100000,"")</f>
        <v/>
      </c>
      <c r="B240">
        <f>IF(AND(LEN('Providers'!A240)&gt;0,ISNUMBER('Providers'!AD240)),MAX($B$3:B239)+1,"")</f>
        <v/>
      </c>
      <c r="E240">
        <f>IFERROR(MATCH(237,$B$4:$B$503,0),"")</f>
        <v/>
      </c>
    </row>
    <row r="241">
      <c r="A241">
        <f>IF(AND(LEN('Providers'!A241)&gt;0,ISNUMBER('Providers'!AD241)),'Providers'!AD241+238/100000,"")</f>
        <v/>
      </c>
      <c r="B241">
        <f>IF(AND(LEN('Providers'!A241)&gt;0,ISNUMBER('Providers'!AD241)),MAX($B$3:B240)+1,"")</f>
        <v/>
      </c>
      <c r="E241">
        <f>IFERROR(MATCH(238,$B$4:$B$503,0),"")</f>
        <v/>
      </c>
    </row>
    <row r="242">
      <c r="A242">
        <f>IF(AND(LEN('Providers'!A242)&gt;0,ISNUMBER('Providers'!AD242)),'Providers'!AD242+239/100000,"")</f>
        <v/>
      </c>
      <c r="B242">
        <f>IF(AND(LEN('Providers'!A242)&gt;0,ISNUMBER('Providers'!AD242)),MAX($B$3:B241)+1,"")</f>
        <v/>
      </c>
      <c r="E242">
        <f>IFERROR(MATCH(239,$B$4:$B$503,0),"")</f>
        <v/>
      </c>
    </row>
    <row r="243">
      <c r="A243">
        <f>IF(AND(LEN('Providers'!A243)&gt;0,ISNUMBER('Providers'!AD243)),'Providers'!AD243+240/100000,"")</f>
        <v/>
      </c>
      <c r="B243">
        <f>IF(AND(LEN('Providers'!A243)&gt;0,ISNUMBER('Providers'!AD243)),MAX($B$3:B242)+1,"")</f>
        <v/>
      </c>
      <c r="E243">
        <f>IFERROR(MATCH(240,$B$4:$B$503,0),"")</f>
        <v/>
      </c>
    </row>
    <row r="244">
      <c r="A244">
        <f>IF(AND(LEN('Providers'!A244)&gt;0,ISNUMBER('Providers'!AD244)),'Providers'!AD244+241/100000,"")</f>
        <v/>
      </c>
      <c r="B244">
        <f>IF(AND(LEN('Providers'!A244)&gt;0,ISNUMBER('Providers'!AD244)),MAX($B$3:B243)+1,"")</f>
        <v/>
      </c>
      <c r="E244">
        <f>IFERROR(MATCH(241,$B$4:$B$503,0),"")</f>
        <v/>
      </c>
    </row>
    <row r="245">
      <c r="A245">
        <f>IF(AND(LEN('Providers'!A245)&gt;0,ISNUMBER('Providers'!AD245)),'Providers'!AD245+242/100000,"")</f>
        <v/>
      </c>
      <c r="B245">
        <f>IF(AND(LEN('Providers'!A245)&gt;0,ISNUMBER('Providers'!AD245)),MAX($B$3:B244)+1,"")</f>
        <v/>
      </c>
      <c r="E245">
        <f>IFERROR(MATCH(242,$B$4:$B$503,0),"")</f>
        <v/>
      </c>
    </row>
    <row r="246">
      <c r="A246">
        <f>IF(AND(LEN('Providers'!A246)&gt;0,ISNUMBER('Providers'!AD246)),'Providers'!AD246+243/100000,"")</f>
        <v/>
      </c>
      <c r="B246">
        <f>IF(AND(LEN('Providers'!A246)&gt;0,ISNUMBER('Providers'!AD246)),MAX($B$3:B245)+1,"")</f>
        <v/>
      </c>
      <c r="E246">
        <f>IFERROR(MATCH(243,$B$4:$B$503,0),"")</f>
        <v/>
      </c>
    </row>
    <row r="247">
      <c r="A247">
        <f>IF(AND(LEN('Providers'!A247)&gt;0,ISNUMBER('Providers'!AD247)),'Providers'!AD247+244/100000,"")</f>
        <v/>
      </c>
      <c r="B247">
        <f>IF(AND(LEN('Providers'!A247)&gt;0,ISNUMBER('Providers'!AD247)),MAX($B$3:B246)+1,"")</f>
        <v/>
      </c>
      <c r="E247">
        <f>IFERROR(MATCH(244,$B$4:$B$503,0),"")</f>
        <v/>
      </c>
    </row>
    <row r="248">
      <c r="A248">
        <f>IF(AND(LEN('Providers'!A248)&gt;0,ISNUMBER('Providers'!AD248)),'Providers'!AD248+245/100000,"")</f>
        <v/>
      </c>
      <c r="B248">
        <f>IF(AND(LEN('Providers'!A248)&gt;0,ISNUMBER('Providers'!AD248)),MAX($B$3:B247)+1,"")</f>
        <v/>
      </c>
      <c r="E248">
        <f>IFERROR(MATCH(245,$B$4:$B$503,0),"")</f>
        <v/>
      </c>
    </row>
    <row r="249">
      <c r="A249">
        <f>IF(AND(LEN('Providers'!A249)&gt;0,ISNUMBER('Providers'!AD249)),'Providers'!AD249+246/100000,"")</f>
        <v/>
      </c>
      <c r="B249">
        <f>IF(AND(LEN('Providers'!A249)&gt;0,ISNUMBER('Providers'!AD249)),MAX($B$3:B248)+1,"")</f>
        <v/>
      </c>
      <c r="E249">
        <f>IFERROR(MATCH(246,$B$4:$B$503,0),"")</f>
        <v/>
      </c>
    </row>
    <row r="250">
      <c r="A250">
        <f>IF(AND(LEN('Providers'!A250)&gt;0,ISNUMBER('Providers'!AD250)),'Providers'!AD250+247/100000,"")</f>
        <v/>
      </c>
      <c r="B250">
        <f>IF(AND(LEN('Providers'!A250)&gt;0,ISNUMBER('Providers'!AD250)),MAX($B$3:B249)+1,"")</f>
        <v/>
      </c>
      <c r="E250">
        <f>IFERROR(MATCH(247,$B$4:$B$503,0),"")</f>
        <v/>
      </c>
    </row>
    <row r="251">
      <c r="A251">
        <f>IF(AND(LEN('Providers'!A251)&gt;0,ISNUMBER('Providers'!AD251)),'Providers'!AD251+248/100000,"")</f>
        <v/>
      </c>
      <c r="B251">
        <f>IF(AND(LEN('Providers'!A251)&gt;0,ISNUMBER('Providers'!AD251)),MAX($B$3:B250)+1,"")</f>
        <v/>
      </c>
      <c r="E251">
        <f>IFERROR(MATCH(248,$B$4:$B$503,0),"")</f>
        <v/>
      </c>
    </row>
    <row r="252">
      <c r="A252">
        <f>IF(AND(LEN('Providers'!A252)&gt;0,ISNUMBER('Providers'!AD252)),'Providers'!AD252+249/100000,"")</f>
        <v/>
      </c>
      <c r="B252">
        <f>IF(AND(LEN('Providers'!A252)&gt;0,ISNUMBER('Providers'!AD252)),MAX($B$3:B251)+1,"")</f>
        <v/>
      </c>
      <c r="E252">
        <f>IFERROR(MATCH(249,$B$4:$B$503,0),"")</f>
        <v/>
      </c>
    </row>
    <row r="253">
      <c r="A253">
        <f>IF(AND(LEN('Providers'!A253)&gt;0,ISNUMBER('Providers'!AD253)),'Providers'!AD253+250/100000,"")</f>
        <v/>
      </c>
      <c r="B253">
        <f>IF(AND(LEN('Providers'!A253)&gt;0,ISNUMBER('Providers'!AD253)),MAX($B$3:B252)+1,"")</f>
        <v/>
      </c>
      <c r="E253">
        <f>IFERROR(MATCH(250,$B$4:$B$503,0),"")</f>
        <v/>
      </c>
    </row>
    <row r="254">
      <c r="A254">
        <f>IF(AND(LEN('Providers'!A254)&gt;0,ISNUMBER('Providers'!AD254)),'Providers'!AD254+251/100000,"")</f>
        <v/>
      </c>
      <c r="B254">
        <f>IF(AND(LEN('Providers'!A254)&gt;0,ISNUMBER('Providers'!AD254)),MAX($B$3:B253)+1,"")</f>
        <v/>
      </c>
      <c r="E254">
        <f>IFERROR(MATCH(251,$B$4:$B$503,0),"")</f>
        <v/>
      </c>
    </row>
    <row r="255">
      <c r="A255">
        <f>IF(AND(LEN('Providers'!A255)&gt;0,ISNUMBER('Providers'!AD255)),'Providers'!AD255+252/100000,"")</f>
        <v/>
      </c>
      <c r="B255">
        <f>IF(AND(LEN('Providers'!A255)&gt;0,ISNUMBER('Providers'!AD255)),MAX($B$3:B254)+1,"")</f>
        <v/>
      </c>
      <c r="E255">
        <f>IFERROR(MATCH(252,$B$4:$B$503,0),"")</f>
        <v/>
      </c>
    </row>
    <row r="256">
      <c r="A256">
        <f>IF(AND(LEN('Providers'!A256)&gt;0,ISNUMBER('Providers'!AD256)),'Providers'!AD256+253/100000,"")</f>
        <v/>
      </c>
      <c r="B256">
        <f>IF(AND(LEN('Providers'!A256)&gt;0,ISNUMBER('Providers'!AD256)),MAX($B$3:B255)+1,"")</f>
        <v/>
      </c>
      <c r="E256">
        <f>IFERROR(MATCH(253,$B$4:$B$503,0),"")</f>
        <v/>
      </c>
    </row>
    <row r="257">
      <c r="A257">
        <f>IF(AND(LEN('Providers'!A257)&gt;0,ISNUMBER('Providers'!AD257)),'Providers'!AD257+254/100000,"")</f>
        <v/>
      </c>
      <c r="B257">
        <f>IF(AND(LEN('Providers'!A257)&gt;0,ISNUMBER('Providers'!AD257)),MAX($B$3:B256)+1,"")</f>
        <v/>
      </c>
      <c r="E257">
        <f>IFERROR(MATCH(254,$B$4:$B$503,0),"")</f>
        <v/>
      </c>
    </row>
    <row r="258">
      <c r="A258">
        <f>IF(AND(LEN('Providers'!A258)&gt;0,ISNUMBER('Providers'!AD258)),'Providers'!AD258+255/100000,"")</f>
        <v/>
      </c>
      <c r="B258">
        <f>IF(AND(LEN('Providers'!A258)&gt;0,ISNUMBER('Providers'!AD258)),MAX($B$3:B257)+1,"")</f>
        <v/>
      </c>
      <c r="E258">
        <f>IFERROR(MATCH(255,$B$4:$B$503,0),"")</f>
        <v/>
      </c>
    </row>
    <row r="259">
      <c r="A259">
        <f>IF(AND(LEN('Providers'!A259)&gt;0,ISNUMBER('Providers'!AD259)),'Providers'!AD259+256/100000,"")</f>
        <v/>
      </c>
      <c r="B259">
        <f>IF(AND(LEN('Providers'!A259)&gt;0,ISNUMBER('Providers'!AD259)),MAX($B$3:B258)+1,"")</f>
        <v/>
      </c>
      <c r="E259">
        <f>IFERROR(MATCH(256,$B$4:$B$503,0),"")</f>
        <v/>
      </c>
    </row>
    <row r="260">
      <c r="A260">
        <f>IF(AND(LEN('Providers'!A260)&gt;0,ISNUMBER('Providers'!AD260)),'Providers'!AD260+257/100000,"")</f>
        <v/>
      </c>
      <c r="B260">
        <f>IF(AND(LEN('Providers'!A260)&gt;0,ISNUMBER('Providers'!AD260)),MAX($B$3:B259)+1,"")</f>
        <v/>
      </c>
      <c r="E260">
        <f>IFERROR(MATCH(257,$B$4:$B$503,0),"")</f>
        <v/>
      </c>
    </row>
    <row r="261">
      <c r="A261">
        <f>IF(AND(LEN('Providers'!A261)&gt;0,ISNUMBER('Providers'!AD261)),'Providers'!AD261+258/100000,"")</f>
        <v/>
      </c>
      <c r="B261">
        <f>IF(AND(LEN('Providers'!A261)&gt;0,ISNUMBER('Providers'!AD261)),MAX($B$3:B260)+1,"")</f>
        <v/>
      </c>
      <c r="E261">
        <f>IFERROR(MATCH(258,$B$4:$B$503,0),"")</f>
        <v/>
      </c>
    </row>
    <row r="262">
      <c r="A262">
        <f>IF(AND(LEN('Providers'!A262)&gt;0,ISNUMBER('Providers'!AD262)),'Providers'!AD262+259/100000,"")</f>
        <v/>
      </c>
      <c r="B262">
        <f>IF(AND(LEN('Providers'!A262)&gt;0,ISNUMBER('Providers'!AD262)),MAX($B$3:B261)+1,"")</f>
        <v/>
      </c>
      <c r="E262">
        <f>IFERROR(MATCH(259,$B$4:$B$503,0),"")</f>
        <v/>
      </c>
    </row>
    <row r="263">
      <c r="A263">
        <f>IF(AND(LEN('Providers'!A263)&gt;0,ISNUMBER('Providers'!AD263)),'Providers'!AD263+260/100000,"")</f>
        <v/>
      </c>
      <c r="B263">
        <f>IF(AND(LEN('Providers'!A263)&gt;0,ISNUMBER('Providers'!AD263)),MAX($B$3:B262)+1,"")</f>
        <v/>
      </c>
      <c r="E263">
        <f>IFERROR(MATCH(260,$B$4:$B$503,0),"")</f>
        <v/>
      </c>
    </row>
    <row r="264">
      <c r="A264">
        <f>IF(AND(LEN('Providers'!A264)&gt;0,ISNUMBER('Providers'!AD264)),'Providers'!AD264+261/100000,"")</f>
        <v/>
      </c>
      <c r="B264">
        <f>IF(AND(LEN('Providers'!A264)&gt;0,ISNUMBER('Providers'!AD264)),MAX($B$3:B263)+1,"")</f>
        <v/>
      </c>
      <c r="E264">
        <f>IFERROR(MATCH(261,$B$4:$B$503,0),"")</f>
        <v/>
      </c>
    </row>
    <row r="265">
      <c r="A265">
        <f>IF(AND(LEN('Providers'!A265)&gt;0,ISNUMBER('Providers'!AD265)),'Providers'!AD265+262/100000,"")</f>
        <v/>
      </c>
      <c r="B265">
        <f>IF(AND(LEN('Providers'!A265)&gt;0,ISNUMBER('Providers'!AD265)),MAX($B$3:B264)+1,"")</f>
        <v/>
      </c>
      <c r="E265">
        <f>IFERROR(MATCH(262,$B$4:$B$503,0),"")</f>
        <v/>
      </c>
    </row>
    <row r="266">
      <c r="A266">
        <f>IF(AND(LEN('Providers'!A266)&gt;0,ISNUMBER('Providers'!AD266)),'Providers'!AD266+263/100000,"")</f>
        <v/>
      </c>
      <c r="B266">
        <f>IF(AND(LEN('Providers'!A266)&gt;0,ISNUMBER('Providers'!AD266)),MAX($B$3:B265)+1,"")</f>
        <v/>
      </c>
      <c r="E266">
        <f>IFERROR(MATCH(263,$B$4:$B$503,0),"")</f>
        <v/>
      </c>
    </row>
    <row r="267">
      <c r="A267">
        <f>IF(AND(LEN('Providers'!A267)&gt;0,ISNUMBER('Providers'!AD267)),'Providers'!AD267+264/100000,"")</f>
        <v/>
      </c>
      <c r="B267">
        <f>IF(AND(LEN('Providers'!A267)&gt;0,ISNUMBER('Providers'!AD267)),MAX($B$3:B266)+1,"")</f>
        <v/>
      </c>
      <c r="E267">
        <f>IFERROR(MATCH(264,$B$4:$B$503,0),"")</f>
        <v/>
      </c>
    </row>
    <row r="268">
      <c r="A268">
        <f>IF(AND(LEN('Providers'!A268)&gt;0,ISNUMBER('Providers'!AD268)),'Providers'!AD268+265/100000,"")</f>
        <v/>
      </c>
      <c r="B268">
        <f>IF(AND(LEN('Providers'!A268)&gt;0,ISNUMBER('Providers'!AD268)),MAX($B$3:B267)+1,"")</f>
        <v/>
      </c>
      <c r="E268">
        <f>IFERROR(MATCH(265,$B$4:$B$503,0),"")</f>
        <v/>
      </c>
    </row>
    <row r="269">
      <c r="A269">
        <f>IF(AND(LEN('Providers'!A269)&gt;0,ISNUMBER('Providers'!AD269)),'Providers'!AD269+266/100000,"")</f>
        <v/>
      </c>
      <c r="B269">
        <f>IF(AND(LEN('Providers'!A269)&gt;0,ISNUMBER('Providers'!AD269)),MAX($B$3:B268)+1,"")</f>
        <v/>
      </c>
      <c r="E269">
        <f>IFERROR(MATCH(266,$B$4:$B$503,0),"")</f>
        <v/>
      </c>
    </row>
    <row r="270">
      <c r="A270">
        <f>IF(AND(LEN('Providers'!A270)&gt;0,ISNUMBER('Providers'!AD270)),'Providers'!AD270+267/100000,"")</f>
        <v/>
      </c>
      <c r="B270">
        <f>IF(AND(LEN('Providers'!A270)&gt;0,ISNUMBER('Providers'!AD270)),MAX($B$3:B269)+1,"")</f>
        <v/>
      </c>
      <c r="E270">
        <f>IFERROR(MATCH(267,$B$4:$B$503,0),"")</f>
        <v/>
      </c>
    </row>
    <row r="271">
      <c r="A271">
        <f>IF(AND(LEN('Providers'!A271)&gt;0,ISNUMBER('Providers'!AD271)),'Providers'!AD271+268/100000,"")</f>
        <v/>
      </c>
      <c r="B271">
        <f>IF(AND(LEN('Providers'!A271)&gt;0,ISNUMBER('Providers'!AD271)),MAX($B$3:B270)+1,"")</f>
        <v/>
      </c>
      <c r="E271">
        <f>IFERROR(MATCH(268,$B$4:$B$503,0),"")</f>
        <v/>
      </c>
    </row>
    <row r="272">
      <c r="A272">
        <f>IF(AND(LEN('Providers'!A272)&gt;0,ISNUMBER('Providers'!AD272)),'Providers'!AD272+269/100000,"")</f>
        <v/>
      </c>
      <c r="B272">
        <f>IF(AND(LEN('Providers'!A272)&gt;0,ISNUMBER('Providers'!AD272)),MAX($B$3:B271)+1,"")</f>
        <v/>
      </c>
      <c r="E272">
        <f>IFERROR(MATCH(269,$B$4:$B$503,0),"")</f>
        <v/>
      </c>
    </row>
    <row r="273">
      <c r="A273">
        <f>IF(AND(LEN('Providers'!A273)&gt;0,ISNUMBER('Providers'!AD273)),'Providers'!AD273+270/100000,"")</f>
        <v/>
      </c>
      <c r="B273">
        <f>IF(AND(LEN('Providers'!A273)&gt;0,ISNUMBER('Providers'!AD273)),MAX($B$3:B272)+1,"")</f>
        <v/>
      </c>
      <c r="E273">
        <f>IFERROR(MATCH(270,$B$4:$B$503,0),"")</f>
        <v/>
      </c>
    </row>
    <row r="274">
      <c r="A274">
        <f>IF(AND(LEN('Providers'!A274)&gt;0,ISNUMBER('Providers'!AD274)),'Providers'!AD274+271/100000,"")</f>
        <v/>
      </c>
      <c r="B274">
        <f>IF(AND(LEN('Providers'!A274)&gt;0,ISNUMBER('Providers'!AD274)),MAX($B$3:B273)+1,"")</f>
        <v/>
      </c>
      <c r="E274">
        <f>IFERROR(MATCH(271,$B$4:$B$503,0),"")</f>
        <v/>
      </c>
    </row>
    <row r="275">
      <c r="A275">
        <f>IF(AND(LEN('Providers'!A275)&gt;0,ISNUMBER('Providers'!AD275)),'Providers'!AD275+272/100000,"")</f>
        <v/>
      </c>
      <c r="B275">
        <f>IF(AND(LEN('Providers'!A275)&gt;0,ISNUMBER('Providers'!AD275)),MAX($B$3:B274)+1,"")</f>
        <v/>
      </c>
      <c r="E275">
        <f>IFERROR(MATCH(272,$B$4:$B$503,0),"")</f>
        <v/>
      </c>
    </row>
    <row r="276">
      <c r="A276">
        <f>IF(AND(LEN('Providers'!A276)&gt;0,ISNUMBER('Providers'!AD276)),'Providers'!AD276+273/100000,"")</f>
        <v/>
      </c>
      <c r="B276">
        <f>IF(AND(LEN('Providers'!A276)&gt;0,ISNUMBER('Providers'!AD276)),MAX($B$3:B275)+1,"")</f>
        <v/>
      </c>
      <c r="E276">
        <f>IFERROR(MATCH(273,$B$4:$B$503,0),"")</f>
        <v/>
      </c>
    </row>
    <row r="277">
      <c r="A277">
        <f>IF(AND(LEN('Providers'!A277)&gt;0,ISNUMBER('Providers'!AD277)),'Providers'!AD277+274/100000,"")</f>
        <v/>
      </c>
      <c r="B277">
        <f>IF(AND(LEN('Providers'!A277)&gt;0,ISNUMBER('Providers'!AD277)),MAX($B$3:B276)+1,"")</f>
        <v/>
      </c>
      <c r="E277">
        <f>IFERROR(MATCH(274,$B$4:$B$503,0),"")</f>
        <v/>
      </c>
    </row>
    <row r="278">
      <c r="A278">
        <f>IF(AND(LEN('Providers'!A278)&gt;0,ISNUMBER('Providers'!AD278)),'Providers'!AD278+275/100000,"")</f>
        <v/>
      </c>
      <c r="B278">
        <f>IF(AND(LEN('Providers'!A278)&gt;0,ISNUMBER('Providers'!AD278)),MAX($B$3:B277)+1,"")</f>
        <v/>
      </c>
      <c r="E278">
        <f>IFERROR(MATCH(275,$B$4:$B$503,0),"")</f>
        <v/>
      </c>
    </row>
    <row r="279">
      <c r="A279">
        <f>IF(AND(LEN('Providers'!A279)&gt;0,ISNUMBER('Providers'!AD279)),'Providers'!AD279+276/100000,"")</f>
        <v/>
      </c>
      <c r="B279">
        <f>IF(AND(LEN('Providers'!A279)&gt;0,ISNUMBER('Providers'!AD279)),MAX($B$3:B278)+1,"")</f>
        <v/>
      </c>
      <c r="E279">
        <f>IFERROR(MATCH(276,$B$4:$B$503,0),"")</f>
        <v/>
      </c>
    </row>
    <row r="280">
      <c r="A280">
        <f>IF(AND(LEN('Providers'!A280)&gt;0,ISNUMBER('Providers'!AD280)),'Providers'!AD280+277/100000,"")</f>
        <v/>
      </c>
      <c r="B280">
        <f>IF(AND(LEN('Providers'!A280)&gt;0,ISNUMBER('Providers'!AD280)),MAX($B$3:B279)+1,"")</f>
        <v/>
      </c>
      <c r="E280">
        <f>IFERROR(MATCH(277,$B$4:$B$503,0),"")</f>
        <v/>
      </c>
    </row>
    <row r="281">
      <c r="A281">
        <f>IF(AND(LEN('Providers'!A281)&gt;0,ISNUMBER('Providers'!AD281)),'Providers'!AD281+278/100000,"")</f>
        <v/>
      </c>
      <c r="B281">
        <f>IF(AND(LEN('Providers'!A281)&gt;0,ISNUMBER('Providers'!AD281)),MAX($B$3:B280)+1,"")</f>
        <v/>
      </c>
      <c r="E281">
        <f>IFERROR(MATCH(278,$B$4:$B$503,0),"")</f>
        <v/>
      </c>
    </row>
    <row r="282">
      <c r="A282">
        <f>IF(AND(LEN('Providers'!A282)&gt;0,ISNUMBER('Providers'!AD282)),'Providers'!AD282+279/100000,"")</f>
        <v/>
      </c>
      <c r="B282">
        <f>IF(AND(LEN('Providers'!A282)&gt;0,ISNUMBER('Providers'!AD282)),MAX($B$3:B281)+1,"")</f>
        <v/>
      </c>
      <c r="E282">
        <f>IFERROR(MATCH(279,$B$4:$B$503,0),"")</f>
        <v/>
      </c>
    </row>
    <row r="283">
      <c r="A283">
        <f>IF(AND(LEN('Providers'!A283)&gt;0,ISNUMBER('Providers'!AD283)),'Providers'!AD283+280/100000,"")</f>
        <v/>
      </c>
      <c r="B283">
        <f>IF(AND(LEN('Providers'!A283)&gt;0,ISNUMBER('Providers'!AD283)),MAX($B$3:B282)+1,"")</f>
        <v/>
      </c>
      <c r="E283">
        <f>IFERROR(MATCH(280,$B$4:$B$503,0),"")</f>
        <v/>
      </c>
    </row>
    <row r="284">
      <c r="A284">
        <f>IF(AND(LEN('Providers'!A284)&gt;0,ISNUMBER('Providers'!AD284)),'Providers'!AD284+281/100000,"")</f>
        <v/>
      </c>
      <c r="B284">
        <f>IF(AND(LEN('Providers'!A284)&gt;0,ISNUMBER('Providers'!AD284)),MAX($B$3:B283)+1,"")</f>
        <v/>
      </c>
      <c r="E284">
        <f>IFERROR(MATCH(281,$B$4:$B$503,0),"")</f>
        <v/>
      </c>
    </row>
    <row r="285">
      <c r="A285">
        <f>IF(AND(LEN('Providers'!A285)&gt;0,ISNUMBER('Providers'!AD285)),'Providers'!AD285+282/100000,"")</f>
        <v/>
      </c>
      <c r="B285">
        <f>IF(AND(LEN('Providers'!A285)&gt;0,ISNUMBER('Providers'!AD285)),MAX($B$3:B284)+1,"")</f>
        <v/>
      </c>
      <c r="E285">
        <f>IFERROR(MATCH(282,$B$4:$B$503,0),"")</f>
        <v/>
      </c>
    </row>
    <row r="286">
      <c r="A286">
        <f>IF(AND(LEN('Providers'!A286)&gt;0,ISNUMBER('Providers'!AD286)),'Providers'!AD286+283/100000,"")</f>
        <v/>
      </c>
      <c r="B286">
        <f>IF(AND(LEN('Providers'!A286)&gt;0,ISNUMBER('Providers'!AD286)),MAX($B$3:B285)+1,"")</f>
        <v/>
      </c>
      <c r="E286">
        <f>IFERROR(MATCH(283,$B$4:$B$503,0),"")</f>
        <v/>
      </c>
    </row>
    <row r="287">
      <c r="A287">
        <f>IF(AND(LEN('Providers'!A287)&gt;0,ISNUMBER('Providers'!AD287)),'Providers'!AD287+284/100000,"")</f>
        <v/>
      </c>
      <c r="B287">
        <f>IF(AND(LEN('Providers'!A287)&gt;0,ISNUMBER('Providers'!AD287)),MAX($B$3:B286)+1,"")</f>
        <v/>
      </c>
      <c r="E287">
        <f>IFERROR(MATCH(284,$B$4:$B$503,0),"")</f>
        <v/>
      </c>
    </row>
    <row r="288">
      <c r="A288">
        <f>IF(AND(LEN('Providers'!A288)&gt;0,ISNUMBER('Providers'!AD288)),'Providers'!AD288+285/100000,"")</f>
        <v/>
      </c>
      <c r="B288">
        <f>IF(AND(LEN('Providers'!A288)&gt;0,ISNUMBER('Providers'!AD288)),MAX($B$3:B287)+1,"")</f>
        <v/>
      </c>
      <c r="E288">
        <f>IFERROR(MATCH(285,$B$4:$B$503,0),"")</f>
        <v/>
      </c>
    </row>
    <row r="289">
      <c r="A289">
        <f>IF(AND(LEN('Providers'!A289)&gt;0,ISNUMBER('Providers'!AD289)),'Providers'!AD289+286/100000,"")</f>
        <v/>
      </c>
      <c r="B289">
        <f>IF(AND(LEN('Providers'!A289)&gt;0,ISNUMBER('Providers'!AD289)),MAX($B$3:B288)+1,"")</f>
        <v/>
      </c>
      <c r="E289">
        <f>IFERROR(MATCH(286,$B$4:$B$503,0),"")</f>
        <v/>
      </c>
    </row>
    <row r="290">
      <c r="A290">
        <f>IF(AND(LEN('Providers'!A290)&gt;0,ISNUMBER('Providers'!AD290)),'Providers'!AD290+287/100000,"")</f>
        <v/>
      </c>
      <c r="B290">
        <f>IF(AND(LEN('Providers'!A290)&gt;0,ISNUMBER('Providers'!AD290)),MAX($B$3:B289)+1,"")</f>
        <v/>
      </c>
      <c r="E290">
        <f>IFERROR(MATCH(287,$B$4:$B$503,0),"")</f>
        <v/>
      </c>
    </row>
    <row r="291">
      <c r="A291">
        <f>IF(AND(LEN('Providers'!A291)&gt;0,ISNUMBER('Providers'!AD291)),'Providers'!AD291+288/100000,"")</f>
        <v/>
      </c>
      <c r="B291">
        <f>IF(AND(LEN('Providers'!A291)&gt;0,ISNUMBER('Providers'!AD291)),MAX($B$3:B290)+1,"")</f>
        <v/>
      </c>
      <c r="E291">
        <f>IFERROR(MATCH(288,$B$4:$B$503,0),"")</f>
        <v/>
      </c>
    </row>
    <row r="292">
      <c r="A292">
        <f>IF(AND(LEN('Providers'!A292)&gt;0,ISNUMBER('Providers'!AD292)),'Providers'!AD292+289/100000,"")</f>
        <v/>
      </c>
      <c r="B292">
        <f>IF(AND(LEN('Providers'!A292)&gt;0,ISNUMBER('Providers'!AD292)),MAX($B$3:B291)+1,"")</f>
        <v/>
      </c>
      <c r="E292">
        <f>IFERROR(MATCH(289,$B$4:$B$503,0),"")</f>
        <v/>
      </c>
    </row>
    <row r="293">
      <c r="A293">
        <f>IF(AND(LEN('Providers'!A293)&gt;0,ISNUMBER('Providers'!AD293)),'Providers'!AD293+290/100000,"")</f>
        <v/>
      </c>
      <c r="B293">
        <f>IF(AND(LEN('Providers'!A293)&gt;0,ISNUMBER('Providers'!AD293)),MAX($B$3:B292)+1,"")</f>
        <v/>
      </c>
      <c r="E293">
        <f>IFERROR(MATCH(290,$B$4:$B$503,0),"")</f>
        <v/>
      </c>
    </row>
    <row r="294">
      <c r="A294">
        <f>IF(AND(LEN('Providers'!A294)&gt;0,ISNUMBER('Providers'!AD294)),'Providers'!AD294+291/100000,"")</f>
        <v/>
      </c>
      <c r="B294">
        <f>IF(AND(LEN('Providers'!A294)&gt;0,ISNUMBER('Providers'!AD294)),MAX($B$3:B293)+1,"")</f>
        <v/>
      </c>
      <c r="E294">
        <f>IFERROR(MATCH(291,$B$4:$B$503,0),"")</f>
        <v/>
      </c>
    </row>
    <row r="295">
      <c r="A295">
        <f>IF(AND(LEN('Providers'!A295)&gt;0,ISNUMBER('Providers'!AD295)),'Providers'!AD295+292/100000,"")</f>
        <v/>
      </c>
      <c r="B295">
        <f>IF(AND(LEN('Providers'!A295)&gt;0,ISNUMBER('Providers'!AD295)),MAX($B$3:B294)+1,"")</f>
        <v/>
      </c>
      <c r="E295">
        <f>IFERROR(MATCH(292,$B$4:$B$503,0),"")</f>
        <v/>
      </c>
    </row>
    <row r="296">
      <c r="A296">
        <f>IF(AND(LEN('Providers'!A296)&gt;0,ISNUMBER('Providers'!AD296)),'Providers'!AD296+293/100000,"")</f>
        <v/>
      </c>
      <c r="B296">
        <f>IF(AND(LEN('Providers'!A296)&gt;0,ISNUMBER('Providers'!AD296)),MAX($B$3:B295)+1,"")</f>
        <v/>
      </c>
      <c r="E296">
        <f>IFERROR(MATCH(293,$B$4:$B$503,0),"")</f>
        <v/>
      </c>
    </row>
    <row r="297">
      <c r="A297">
        <f>IF(AND(LEN('Providers'!A297)&gt;0,ISNUMBER('Providers'!AD297)),'Providers'!AD297+294/100000,"")</f>
        <v/>
      </c>
      <c r="B297">
        <f>IF(AND(LEN('Providers'!A297)&gt;0,ISNUMBER('Providers'!AD297)),MAX($B$3:B296)+1,"")</f>
        <v/>
      </c>
      <c r="E297">
        <f>IFERROR(MATCH(294,$B$4:$B$503,0),"")</f>
        <v/>
      </c>
    </row>
    <row r="298">
      <c r="A298">
        <f>IF(AND(LEN('Providers'!A298)&gt;0,ISNUMBER('Providers'!AD298)),'Providers'!AD298+295/100000,"")</f>
        <v/>
      </c>
      <c r="B298">
        <f>IF(AND(LEN('Providers'!A298)&gt;0,ISNUMBER('Providers'!AD298)),MAX($B$3:B297)+1,"")</f>
        <v/>
      </c>
      <c r="E298">
        <f>IFERROR(MATCH(295,$B$4:$B$503,0),"")</f>
        <v/>
      </c>
    </row>
    <row r="299">
      <c r="A299">
        <f>IF(AND(LEN('Providers'!A299)&gt;0,ISNUMBER('Providers'!AD299)),'Providers'!AD299+296/100000,"")</f>
        <v/>
      </c>
      <c r="B299">
        <f>IF(AND(LEN('Providers'!A299)&gt;0,ISNUMBER('Providers'!AD299)),MAX($B$3:B298)+1,"")</f>
        <v/>
      </c>
      <c r="E299">
        <f>IFERROR(MATCH(296,$B$4:$B$503,0),"")</f>
        <v/>
      </c>
    </row>
    <row r="300">
      <c r="A300">
        <f>IF(AND(LEN('Providers'!A300)&gt;0,ISNUMBER('Providers'!AD300)),'Providers'!AD300+297/100000,"")</f>
        <v/>
      </c>
      <c r="B300">
        <f>IF(AND(LEN('Providers'!A300)&gt;0,ISNUMBER('Providers'!AD300)),MAX($B$3:B299)+1,"")</f>
        <v/>
      </c>
      <c r="E300">
        <f>IFERROR(MATCH(297,$B$4:$B$503,0),"")</f>
        <v/>
      </c>
    </row>
    <row r="301">
      <c r="A301">
        <f>IF(AND(LEN('Providers'!A301)&gt;0,ISNUMBER('Providers'!AD301)),'Providers'!AD301+298/100000,"")</f>
        <v/>
      </c>
      <c r="B301">
        <f>IF(AND(LEN('Providers'!A301)&gt;0,ISNUMBER('Providers'!AD301)),MAX($B$3:B300)+1,"")</f>
        <v/>
      </c>
      <c r="E301">
        <f>IFERROR(MATCH(298,$B$4:$B$503,0),"")</f>
        <v/>
      </c>
    </row>
    <row r="302">
      <c r="A302">
        <f>IF(AND(LEN('Providers'!A302)&gt;0,ISNUMBER('Providers'!AD302)),'Providers'!AD302+299/100000,"")</f>
        <v/>
      </c>
      <c r="B302">
        <f>IF(AND(LEN('Providers'!A302)&gt;0,ISNUMBER('Providers'!AD302)),MAX($B$3:B301)+1,"")</f>
        <v/>
      </c>
      <c r="E302">
        <f>IFERROR(MATCH(299,$B$4:$B$503,0),"")</f>
        <v/>
      </c>
    </row>
    <row r="303">
      <c r="A303">
        <f>IF(AND(LEN('Providers'!A303)&gt;0,ISNUMBER('Providers'!AD303)),'Providers'!AD303+300/100000,"")</f>
        <v/>
      </c>
      <c r="B303">
        <f>IF(AND(LEN('Providers'!A303)&gt;0,ISNUMBER('Providers'!AD303)),MAX($B$3:B302)+1,"")</f>
        <v/>
      </c>
      <c r="E303">
        <f>IFERROR(MATCH(300,$B$4:$B$503,0),"")</f>
        <v/>
      </c>
    </row>
    <row r="304">
      <c r="A304">
        <f>IF(AND(LEN('Providers'!A304)&gt;0,ISNUMBER('Providers'!AD304)),'Providers'!AD304+301/100000,"")</f>
        <v/>
      </c>
      <c r="B304">
        <f>IF(AND(LEN('Providers'!A304)&gt;0,ISNUMBER('Providers'!AD304)),MAX($B$3:B303)+1,"")</f>
        <v/>
      </c>
      <c r="E304">
        <f>IFERROR(MATCH(301,$B$4:$B$503,0),"")</f>
        <v/>
      </c>
    </row>
    <row r="305">
      <c r="A305">
        <f>IF(AND(LEN('Providers'!A305)&gt;0,ISNUMBER('Providers'!AD305)),'Providers'!AD305+302/100000,"")</f>
        <v/>
      </c>
      <c r="B305">
        <f>IF(AND(LEN('Providers'!A305)&gt;0,ISNUMBER('Providers'!AD305)),MAX($B$3:B304)+1,"")</f>
        <v/>
      </c>
      <c r="E305">
        <f>IFERROR(MATCH(302,$B$4:$B$503,0),"")</f>
        <v/>
      </c>
    </row>
    <row r="306">
      <c r="A306">
        <f>IF(AND(LEN('Providers'!A306)&gt;0,ISNUMBER('Providers'!AD306)),'Providers'!AD306+303/100000,"")</f>
        <v/>
      </c>
      <c r="B306">
        <f>IF(AND(LEN('Providers'!A306)&gt;0,ISNUMBER('Providers'!AD306)),MAX($B$3:B305)+1,"")</f>
        <v/>
      </c>
      <c r="E306">
        <f>IFERROR(MATCH(303,$B$4:$B$503,0),"")</f>
        <v/>
      </c>
    </row>
    <row r="307">
      <c r="A307">
        <f>IF(AND(LEN('Providers'!A307)&gt;0,ISNUMBER('Providers'!AD307)),'Providers'!AD307+304/100000,"")</f>
        <v/>
      </c>
      <c r="B307">
        <f>IF(AND(LEN('Providers'!A307)&gt;0,ISNUMBER('Providers'!AD307)),MAX($B$3:B306)+1,"")</f>
        <v/>
      </c>
      <c r="E307">
        <f>IFERROR(MATCH(304,$B$4:$B$503,0),"")</f>
        <v/>
      </c>
    </row>
    <row r="308">
      <c r="A308">
        <f>IF(AND(LEN('Providers'!A308)&gt;0,ISNUMBER('Providers'!AD308)),'Providers'!AD308+305/100000,"")</f>
        <v/>
      </c>
      <c r="B308">
        <f>IF(AND(LEN('Providers'!A308)&gt;0,ISNUMBER('Providers'!AD308)),MAX($B$3:B307)+1,"")</f>
        <v/>
      </c>
      <c r="E308">
        <f>IFERROR(MATCH(305,$B$4:$B$503,0),"")</f>
        <v/>
      </c>
    </row>
    <row r="309">
      <c r="A309">
        <f>IF(AND(LEN('Providers'!A309)&gt;0,ISNUMBER('Providers'!AD309)),'Providers'!AD309+306/100000,"")</f>
        <v/>
      </c>
      <c r="B309">
        <f>IF(AND(LEN('Providers'!A309)&gt;0,ISNUMBER('Providers'!AD309)),MAX($B$3:B308)+1,"")</f>
        <v/>
      </c>
      <c r="E309">
        <f>IFERROR(MATCH(306,$B$4:$B$503,0),"")</f>
        <v/>
      </c>
    </row>
    <row r="310">
      <c r="A310">
        <f>IF(AND(LEN('Providers'!A310)&gt;0,ISNUMBER('Providers'!AD310)),'Providers'!AD310+307/100000,"")</f>
        <v/>
      </c>
      <c r="B310">
        <f>IF(AND(LEN('Providers'!A310)&gt;0,ISNUMBER('Providers'!AD310)),MAX($B$3:B309)+1,"")</f>
        <v/>
      </c>
      <c r="E310">
        <f>IFERROR(MATCH(307,$B$4:$B$503,0),"")</f>
        <v/>
      </c>
    </row>
    <row r="311">
      <c r="A311">
        <f>IF(AND(LEN('Providers'!A311)&gt;0,ISNUMBER('Providers'!AD311)),'Providers'!AD311+308/100000,"")</f>
        <v/>
      </c>
      <c r="B311">
        <f>IF(AND(LEN('Providers'!A311)&gt;0,ISNUMBER('Providers'!AD311)),MAX($B$3:B310)+1,"")</f>
        <v/>
      </c>
      <c r="E311">
        <f>IFERROR(MATCH(308,$B$4:$B$503,0),"")</f>
        <v/>
      </c>
    </row>
    <row r="312">
      <c r="A312">
        <f>IF(AND(LEN('Providers'!A312)&gt;0,ISNUMBER('Providers'!AD312)),'Providers'!AD312+309/100000,"")</f>
        <v/>
      </c>
      <c r="B312">
        <f>IF(AND(LEN('Providers'!A312)&gt;0,ISNUMBER('Providers'!AD312)),MAX($B$3:B311)+1,"")</f>
        <v/>
      </c>
      <c r="E312">
        <f>IFERROR(MATCH(309,$B$4:$B$503,0),"")</f>
        <v/>
      </c>
    </row>
    <row r="313">
      <c r="A313">
        <f>IF(AND(LEN('Providers'!A313)&gt;0,ISNUMBER('Providers'!AD313)),'Providers'!AD313+310/100000,"")</f>
        <v/>
      </c>
      <c r="B313">
        <f>IF(AND(LEN('Providers'!A313)&gt;0,ISNUMBER('Providers'!AD313)),MAX($B$3:B312)+1,"")</f>
        <v/>
      </c>
      <c r="E313">
        <f>IFERROR(MATCH(310,$B$4:$B$503,0),"")</f>
        <v/>
      </c>
    </row>
    <row r="314">
      <c r="A314">
        <f>IF(AND(LEN('Providers'!A314)&gt;0,ISNUMBER('Providers'!AD314)),'Providers'!AD314+311/100000,"")</f>
        <v/>
      </c>
      <c r="B314">
        <f>IF(AND(LEN('Providers'!A314)&gt;0,ISNUMBER('Providers'!AD314)),MAX($B$3:B313)+1,"")</f>
        <v/>
      </c>
      <c r="E314">
        <f>IFERROR(MATCH(311,$B$4:$B$503,0),"")</f>
        <v/>
      </c>
    </row>
    <row r="315">
      <c r="A315">
        <f>IF(AND(LEN('Providers'!A315)&gt;0,ISNUMBER('Providers'!AD315)),'Providers'!AD315+312/100000,"")</f>
        <v/>
      </c>
      <c r="B315">
        <f>IF(AND(LEN('Providers'!A315)&gt;0,ISNUMBER('Providers'!AD315)),MAX($B$3:B314)+1,"")</f>
        <v/>
      </c>
      <c r="E315">
        <f>IFERROR(MATCH(312,$B$4:$B$503,0),"")</f>
        <v/>
      </c>
    </row>
    <row r="316">
      <c r="A316">
        <f>IF(AND(LEN('Providers'!A316)&gt;0,ISNUMBER('Providers'!AD316)),'Providers'!AD316+313/100000,"")</f>
        <v/>
      </c>
      <c r="B316">
        <f>IF(AND(LEN('Providers'!A316)&gt;0,ISNUMBER('Providers'!AD316)),MAX($B$3:B315)+1,"")</f>
        <v/>
      </c>
      <c r="E316">
        <f>IFERROR(MATCH(313,$B$4:$B$503,0),"")</f>
        <v/>
      </c>
    </row>
    <row r="317">
      <c r="A317">
        <f>IF(AND(LEN('Providers'!A317)&gt;0,ISNUMBER('Providers'!AD317)),'Providers'!AD317+314/100000,"")</f>
        <v/>
      </c>
      <c r="B317">
        <f>IF(AND(LEN('Providers'!A317)&gt;0,ISNUMBER('Providers'!AD317)),MAX($B$3:B316)+1,"")</f>
        <v/>
      </c>
      <c r="E317">
        <f>IFERROR(MATCH(314,$B$4:$B$503,0),"")</f>
        <v/>
      </c>
    </row>
    <row r="318">
      <c r="A318">
        <f>IF(AND(LEN('Providers'!A318)&gt;0,ISNUMBER('Providers'!AD318)),'Providers'!AD318+315/100000,"")</f>
        <v/>
      </c>
      <c r="B318">
        <f>IF(AND(LEN('Providers'!A318)&gt;0,ISNUMBER('Providers'!AD318)),MAX($B$3:B317)+1,"")</f>
        <v/>
      </c>
      <c r="E318">
        <f>IFERROR(MATCH(315,$B$4:$B$503,0),"")</f>
        <v/>
      </c>
    </row>
    <row r="319">
      <c r="A319">
        <f>IF(AND(LEN('Providers'!A319)&gt;0,ISNUMBER('Providers'!AD319)),'Providers'!AD319+316/100000,"")</f>
        <v/>
      </c>
      <c r="B319">
        <f>IF(AND(LEN('Providers'!A319)&gt;0,ISNUMBER('Providers'!AD319)),MAX($B$3:B318)+1,"")</f>
        <v/>
      </c>
      <c r="E319">
        <f>IFERROR(MATCH(316,$B$4:$B$503,0),"")</f>
        <v/>
      </c>
    </row>
    <row r="320">
      <c r="A320">
        <f>IF(AND(LEN('Providers'!A320)&gt;0,ISNUMBER('Providers'!AD320)),'Providers'!AD320+317/100000,"")</f>
        <v/>
      </c>
      <c r="B320">
        <f>IF(AND(LEN('Providers'!A320)&gt;0,ISNUMBER('Providers'!AD320)),MAX($B$3:B319)+1,"")</f>
        <v/>
      </c>
      <c r="E320">
        <f>IFERROR(MATCH(317,$B$4:$B$503,0),"")</f>
        <v/>
      </c>
    </row>
    <row r="321">
      <c r="A321">
        <f>IF(AND(LEN('Providers'!A321)&gt;0,ISNUMBER('Providers'!AD321)),'Providers'!AD321+318/100000,"")</f>
        <v/>
      </c>
      <c r="B321">
        <f>IF(AND(LEN('Providers'!A321)&gt;0,ISNUMBER('Providers'!AD321)),MAX($B$3:B320)+1,"")</f>
        <v/>
      </c>
      <c r="E321">
        <f>IFERROR(MATCH(318,$B$4:$B$503,0),"")</f>
        <v/>
      </c>
    </row>
    <row r="322">
      <c r="A322">
        <f>IF(AND(LEN('Providers'!A322)&gt;0,ISNUMBER('Providers'!AD322)),'Providers'!AD322+319/100000,"")</f>
        <v/>
      </c>
      <c r="B322">
        <f>IF(AND(LEN('Providers'!A322)&gt;0,ISNUMBER('Providers'!AD322)),MAX($B$3:B321)+1,"")</f>
        <v/>
      </c>
      <c r="E322">
        <f>IFERROR(MATCH(319,$B$4:$B$503,0),"")</f>
        <v/>
      </c>
    </row>
    <row r="323">
      <c r="A323">
        <f>IF(AND(LEN('Providers'!A323)&gt;0,ISNUMBER('Providers'!AD323)),'Providers'!AD323+320/100000,"")</f>
        <v/>
      </c>
      <c r="B323">
        <f>IF(AND(LEN('Providers'!A323)&gt;0,ISNUMBER('Providers'!AD323)),MAX($B$3:B322)+1,"")</f>
        <v/>
      </c>
      <c r="E323">
        <f>IFERROR(MATCH(320,$B$4:$B$503,0),"")</f>
        <v/>
      </c>
    </row>
    <row r="324">
      <c r="A324">
        <f>IF(AND(LEN('Providers'!A324)&gt;0,ISNUMBER('Providers'!AD324)),'Providers'!AD324+321/100000,"")</f>
        <v/>
      </c>
      <c r="B324">
        <f>IF(AND(LEN('Providers'!A324)&gt;0,ISNUMBER('Providers'!AD324)),MAX($B$3:B323)+1,"")</f>
        <v/>
      </c>
      <c r="E324">
        <f>IFERROR(MATCH(321,$B$4:$B$503,0),"")</f>
        <v/>
      </c>
    </row>
    <row r="325">
      <c r="A325">
        <f>IF(AND(LEN('Providers'!A325)&gt;0,ISNUMBER('Providers'!AD325)),'Providers'!AD325+322/100000,"")</f>
        <v/>
      </c>
      <c r="B325">
        <f>IF(AND(LEN('Providers'!A325)&gt;0,ISNUMBER('Providers'!AD325)),MAX($B$3:B324)+1,"")</f>
        <v/>
      </c>
      <c r="E325">
        <f>IFERROR(MATCH(322,$B$4:$B$503,0),"")</f>
        <v/>
      </c>
    </row>
    <row r="326">
      <c r="A326">
        <f>IF(AND(LEN('Providers'!A326)&gt;0,ISNUMBER('Providers'!AD326)),'Providers'!AD326+323/100000,"")</f>
        <v/>
      </c>
      <c r="B326">
        <f>IF(AND(LEN('Providers'!A326)&gt;0,ISNUMBER('Providers'!AD326)),MAX($B$3:B325)+1,"")</f>
        <v/>
      </c>
      <c r="E326">
        <f>IFERROR(MATCH(323,$B$4:$B$503,0),"")</f>
        <v/>
      </c>
    </row>
    <row r="327">
      <c r="A327">
        <f>IF(AND(LEN('Providers'!A327)&gt;0,ISNUMBER('Providers'!AD327)),'Providers'!AD327+324/100000,"")</f>
        <v/>
      </c>
      <c r="B327">
        <f>IF(AND(LEN('Providers'!A327)&gt;0,ISNUMBER('Providers'!AD327)),MAX($B$3:B326)+1,"")</f>
        <v/>
      </c>
      <c r="E327">
        <f>IFERROR(MATCH(324,$B$4:$B$503,0),"")</f>
        <v/>
      </c>
    </row>
    <row r="328">
      <c r="A328">
        <f>IF(AND(LEN('Providers'!A328)&gt;0,ISNUMBER('Providers'!AD328)),'Providers'!AD328+325/100000,"")</f>
        <v/>
      </c>
      <c r="B328">
        <f>IF(AND(LEN('Providers'!A328)&gt;0,ISNUMBER('Providers'!AD328)),MAX($B$3:B327)+1,"")</f>
        <v/>
      </c>
      <c r="E328">
        <f>IFERROR(MATCH(325,$B$4:$B$503,0),"")</f>
        <v/>
      </c>
    </row>
    <row r="329">
      <c r="A329">
        <f>IF(AND(LEN('Providers'!A329)&gt;0,ISNUMBER('Providers'!AD329)),'Providers'!AD329+326/100000,"")</f>
        <v/>
      </c>
      <c r="B329">
        <f>IF(AND(LEN('Providers'!A329)&gt;0,ISNUMBER('Providers'!AD329)),MAX($B$3:B328)+1,"")</f>
        <v/>
      </c>
      <c r="E329">
        <f>IFERROR(MATCH(326,$B$4:$B$503,0),"")</f>
        <v/>
      </c>
    </row>
    <row r="330">
      <c r="A330">
        <f>IF(AND(LEN('Providers'!A330)&gt;0,ISNUMBER('Providers'!AD330)),'Providers'!AD330+327/100000,"")</f>
        <v/>
      </c>
      <c r="B330">
        <f>IF(AND(LEN('Providers'!A330)&gt;0,ISNUMBER('Providers'!AD330)),MAX($B$3:B329)+1,"")</f>
        <v/>
      </c>
      <c r="E330">
        <f>IFERROR(MATCH(327,$B$4:$B$503,0),"")</f>
        <v/>
      </c>
    </row>
    <row r="331">
      <c r="A331">
        <f>IF(AND(LEN('Providers'!A331)&gt;0,ISNUMBER('Providers'!AD331)),'Providers'!AD331+328/100000,"")</f>
        <v/>
      </c>
      <c r="B331">
        <f>IF(AND(LEN('Providers'!A331)&gt;0,ISNUMBER('Providers'!AD331)),MAX($B$3:B330)+1,"")</f>
        <v/>
      </c>
      <c r="E331">
        <f>IFERROR(MATCH(328,$B$4:$B$503,0),"")</f>
        <v/>
      </c>
    </row>
    <row r="332">
      <c r="A332">
        <f>IF(AND(LEN('Providers'!A332)&gt;0,ISNUMBER('Providers'!AD332)),'Providers'!AD332+329/100000,"")</f>
        <v/>
      </c>
      <c r="B332">
        <f>IF(AND(LEN('Providers'!A332)&gt;0,ISNUMBER('Providers'!AD332)),MAX($B$3:B331)+1,"")</f>
        <v/>
      </c>
      <c r="E332">
        <f>IFERROR(MATCH(329,$B$4:$B$503,0),"")</f>
        <v/>
      </c>
    </row>
    <row r="333">
      <c r="A333">
        <f>IF(AND(LEN('Providers'!A333)&gt;0,ISNUMBER('Providers'!AD333)),'Providers'!AD333+330/100000,"")</f>
        <v/>
      </c>
      <c r="B333">
        <f>IF(AND(LEN('Providers'!A333)&gt;0,ISNUMBER('Providers'!AD333)),MAX($B$3:B332)+1,"")</f>
        <v/>
      </c>
      <c r="E333">
        <f>IFERROR(MATCH(330,$B$4:$B$503,0),"")</f>
        <v/>
      </c>
    </row>
    <row r="334">
      <c r="A334">
        <f>IF(AND(LEN('Providers'!A334)&gt;0,ISNUMBER('Providers'!AD334)),'Providers'!AD334+331/100000,"")</f>
        <v/>
      </c>
      <c r="B334">
        <f>IF(AND(LEN('Providers'!A334)&gt;0,ISNUMBER('Providers'!AD334)),MAX($B$3:B333)+1,"")</f>
        <v/>
      </c>
      <c r="E334">
        <f>IFERROR(MATCH(331,$B$4:$B$503,0),"")</f>
        <v/>
      </c>
    </row>
    <row r="335">
      <c r="A335">
        <f>IF(AND(LEN('Providers'!A335)&gt;0,ISNUMBER('Providers'!AD335)),'Providers'!AD335+332/100000,"")</f>
        <v/>
      </c>
      <c r="B335">
        <f>IF(AND(LEN('Providers'!A335)&gt;0,ISNUMBER('Providers'!AD335)),MAX($B$3:B334)+1,"")</f>
        <v/>
      </c>
      <c r="E335">
        <f>IFERROR(MATCH(332,$B$4:$B$503,0),"")</f>
        <v/>
      </c>
    </row>
    <row r="336">
      <c r="A336">
        <f>IF(AND(LEN('Providers'!A336)&gt;0,ISNUMBER('Providers'!AD336)),'Providers'!AD336+333/100000,"")</f>
        <v/>
      </c>
      <c r="B336">
        <f>IF(AND(LEN('Providers'!A336)&gt;0,ISNUMBER('Providers'!AD336)),MAX($B$3:B335)+1,"")</f>
        <v/>
      </c>
      <c r="E336">
        <f>IFERROR(MATCH(333,$B$4:$B$503,0),"")</f>
        <v/>
      </c>
    </row>
    <row r="337">
      <c r="A337">
        <f>IF(AND(LEN('Providers'!A337)&gt;0,ISNUMBER('Providers'!AD337)),'Providers'!AD337+334/100000,"")</f>
        <v/>
      </c>
      <c r="B337">
        <f>IF(AND(LEN('Providers'!A337)&gt;0,ISNUMBER('Providers'!AD337)),MAX($B$3:B336)+1,"")</f>
        <v/>
      </c>
      <c r="E337">
        <f>IFERROR(MATCH(334,$B$4:$B$503,0),"")</f>
        <v/>
      </c>
    </row>
    <row r="338">
      <c r="A338">
        <f>IF(AND(LEN('Providers'!A338)&gt;0,ISNUMBER('Providers'!AD338)),'Providers'!AD338+335/100000,"")</f>
        <v/>
      </c>
      <c r="B338">
        <f>IF(AND(LEN('Providers'!A338)&gt;0,ISNUMBER('Providers'!AD338)),MAX($B$3:B337)+1,"")</f>
        <v/>
      </c>
      <c r="E338">
        <f>IFERROR(MATCH(335,$B$4:$B$503,0),"")</f>
        <v/>
      </c>
    </row>
    <row r="339">
      <c r="A339">
        <f>IF(AND(LEN('Providers'!A339)&gt;0,ISNUMBER('Providers'!AD339)),'Providers'!AD339+336/100000,"")</f>
        <v/>
      </c>
      <c r="B339">
        <f>IF(AND(LEN('Providers'!A339)&gt;0,ISNUMBER('Providers'!AD339)),MAX($B$3:B338)+1,"")</f>
        <v/>
      </c>
      <c r="E339">
        <f>IFERROR(MATCH(336,$B$4:$B$503,0),"")</f>
        <v/>
      </c>
    </row>
    <row r="340">
      <c r="A340">
        <f>IF(AND(LEN('Providers'!A340)&gt;0,ISNUMBER('Providers'!AD340)),'Providers'!AD340+337/100000,"")</f>
        <v/>
      </c>
      <c r="B340">
        <f>IF(AND(LEN('Providers'!A340)&gt;0,ISNUMBER('Providers'!AD340)),MAX($B$3:B339)+1,"")</f>
        <v/>
      </c>
      <c r="E340">
        <f>IFERROR(MATCH(337,$B$4:$B$503,0),"")</f>
        <v/>
      </c>
    </row>
    <row r="341">
      <c r="A341">
        <f>IF(AND(LEN('Providers'!A341)&gt;0,ISNUMBER('Providers'!AD341)),'Providers'!AD341+338/100000,"")</f>
        <v/>
      </c>
      <c r="B341">
        <f>IF(AND(LEN('Providers'!A341)&gt;0,ISNUMBER('Providers'!AD341)),MAX($B$3:B340)+1,"")</f>
        <v/>
      </c>
      <c r="E341">
        <f>IFERROR(MATCH(338,$B$4:$B$503,0),"")</f>
        <v/>
      </c>
    </row>
    <row r="342">
      <c r="A342">
        <f>IF(AND(LEN('Providers'!A342)&gt;0,ISNUMBER('Providers'!AD342)),'Providers'!AD342+339/100000,"")</f>
        <v/>
      </c>
      <c r="B342">
        <f>IF(AND(LEN('Providers'!A342)&gt;0,ISNUMBER('Providers'!AD342)),MAX($B$3:B341)+1,"")</f>
        <v/>
      </c>
      <c r="E342">
        <f>IFERROR(MATCH(339,$B$4:$B$503,0),"")</f>
        <v/>
      </c>
    </row>
    <row r="343">
      <c r="A343">
        <f>IF(AND(LEN('Providers'!A343)&gt;0,ISNUMBER('Providers'!AD343)),'Providers'!AD343+340/100000,"")</f>
        <v/>
      </c>
      <c r="B343">
        <f>IF(AND(LEN('Providers'!A343)&gt;0,ISNUMBER('Providers'!AD343)),MAX($B$3:B342)+1,"")</f>
        <v/>
      </c>
      <c r="E343">
        <f>IFERROR(MATCH(340,$B$4:$B$503,0),"")</f>
        <v/>
      </c>
    </row>
    <row r="344">
      <c r="A344">
        <f>IF(AND(LEN('Providers'!A344)&gt;0,ISNUMBER('Providers'!AD344)),'Providers'!AD344+341/100000,"")</f>
        <v/>
      </c>
      <c r="B344">
        <f>IF(AND(LEN('Providers'!A344)&gt;0,ISNUMBER('Providers'!AD344)),MAX($B$3:B343)+1,"")</f>
        <v/>
      </c>
      <c r="E344">
        <f>IFERROR(MATCH(341,$B$4:$B$503,0),"")</f>
        <v/>
      </c>
    </row>
    <row r="345">
      <c r="A345">
        <f>IF(AND(LEN('Providers'!A345)&gt;0,ISNUMBER('Providers'!AD345)),'Providers'!AD345+342/100000,"")</f>
        <v/>
      </c>
      <c r="B345">
        <f>IF(AND(LEN('Providers'!A345)&gt;0,ISNUMBER('Providers'!AD345)),MAX($B$3:B344)+1,"")</f>
        <v/>
      </c>
      <c r="E345">
        <f>IFERROR(MATCH(342,$B$4:$B$503,0),"")</f>
        <v/>
      </c>
    </row>
    <row r="346">
      <c r="A346">
        <f>IF(AND(LEN('Providers'!A346)&gt;0,ISNUMBER('Providers'!AD346)),'Providers'!AD346+343/100000,"")</f>
        <v/>
      </c>
      <c r="B346">
        <f>IF(AND(LEN('Providers'!A346)&gt;0,ISNUMBER('Providers'!AD346)),MAX($B$3:B345)+1,"")</f>
        <v/>
      </c>
      <c r="E346">
        <f>IFERROR(MATCH(343,$B$4:$B$503,0),"")</f>
        <v/>
      </c>
    </row>
    <row r="347">
      <c r="A347">
        <f>IF(AND(LEN('Providers'!A347)&gt;0,ISNUMBER('Providers'!AD347)),'Providers'!AD347+344/100000,"")</f>
        <v/>
      </c>
      <c r="B347">
        <f>IF(AND(LEN('Providers'!A347)&gt;0,ISNUMBER('Providers'!AD347)),MAX($B$3:B346)+1,"")</f>
        <v/>
      </c>
      <c r="E347">
        <f>IFERROR(MATCH(344,$B$4:$B$503,0),"")</f>
        <v/>
      </c>
    </row>
    <row r="348">
      <c r="A348">
        <f>IF(AND(LEN('Providers'!A348)&gt;0,ISNUMBER('Providers'!AD348)),'Providers'!AD348+345/100000,"")</f>
        <v/>
      </c>
      <c r="B348">
        <f>IF(AND(LEN('Providers'!A348)&gt;0,ISNUMBER('Providers'!AD348)),MAX($B$3:B347)+1,"")</f>
        <v/>
      </c>
      <c r="E348">
        <f>IFERROR(MATCH(345,$B$4:$B$503,0),"")</f>
        <v/>
      </c>
    </row>
    <row r="349">
      <c r="A349">
        <f>IF(AND(LEN('Providers'!A349)&gt;0,ISNUMBER('Providers'!AD349)),'Providers'!AD349+346/100000,"")</f>
        <v/>
      </c>
      <c r="B349">
        <f>IF(AND(LEN('Providers'!A349)&gt;0,ISNUMBER('Providers'!AD349)),MAX($B$3:B348)+1,"")</f>
        <v/>
      </c>
      <c r="E349">
        <f>IFERROR(MATCH(346,$B$4:$B$503,0),"")</f>
        <v/>
      </c>
    </row>
    <row r="350">
      <c r="A350">
        <f>IF(AND(LEN('Providers'!A350)&gt;0,ISNUMBER('Providers'!AD350)),'Providers'!AD350+347/100000,"")</f>
        <v/>
      </c>
      <c r="B350">
        <f>IF(AND(LEN('Providers'!A350)&gt;0,ISNUMBER('Providers'!AD350)),MAX($B$3:B349)+1,"")</f>
        <v/>
      </c>
      <c r="E350">
        <f>IFERROR(MATCH(347,$B$4:$B$503,0),"")</f>
        <v/>
      </c>
    </row>
    <row r="351">
      <c r="A351">
        <f>IF(AND(LEN('Providers'!A351)&gt;0,ISNUMBER('Providers'!AD351)),'Providers'!AD351+348/100000,"")</f>
        <v/>
      </c>
      <c r="B351">
        <f>IF(AND(LEN('Providers'!A351)&gt;0,ISNUMBER('Providers'!AD351)),MAX($B$3:B350)+1,"")</f>
        <v/>
      </c>
      <c r="E351">
        <f>IFERROR(MATCH(348,$B$4:$B$503,0),"")</f>
        <v/>
      </c>
    </row>
    <row r="352">
      <c r="A352">
        <f>IF(AND(LEN('Providers'!A352)&gt;0,ISNUMBER('Providers'!AD352)),'Providers'!AD352+349/100000,"")</f>
        <v/>
      </c>
      <c r="B352">
        <f>IF(AND(LEN('Providers'!A352)&gt;0,ISNUMBER('Providers'!AD352)),MAX($B$3:B351)+1,"")</f>
        <v/>
      </c>
      <c r="E352">
        <f>IFERROR(MATCH(349,$B$4:$B$503,0),"")</f>
        <v/>
      </c>
    </row>
    <row r="353">
      <c r="A353">
        <f>IF(AND(LEN('Providers'!A353)&gt;0,ISNUMBER('Providers'!AD353)),'Providers'!AD353+350/100000,"")</f>
        <v/>
      </c>
      <c r="B353">
        <f>IF(AND(LEN('Providers'!A353)&gt;0,ISNUMBER('Providers'!AD353)),MAX($B$3:B352)+1,"")</f>
        <v/>
      </c>
      <c r="E353">
        <f>IFERROR(MATCH(350,$B$4:$B$503,0),"")</f>
        <v/>
      </c>
    </row>
    <row r="354">
      <c r="A354">
        <f>IF(AND(LEN('Providers'!A354)&gt;0,ISNUMBER('Providers'!AD354)),'Providers'!AD354+351/100000,"")</f>
        <v/>
      </c>
      <c r="B354">
        <f>IF(AND(LEN('Providers'!A354)&gt;0,ISNUMBER('Providers'!AD354)),MAX($B$3:B353)+1,"")</f>
        <v/>
      </c>
      <c r="E354">
        <f>IFERROR(MATCH(351,$B$4:$B$503,0),"")</f>
        <v/>
      </c>
    </row>
    <row r="355">
      <c r="A355">
        <f>IF(AND(LEN('Providers'!A355)&gt;0,ISNUMBER('Providers'!AD355)),'Providers'!AD355+352/100000,"")</f>
        <v/>
      </c>
      <c r="B355">
        <f>IF(AND(LEN('Providers'!A355)&gt;0,ISNUMBER('Providers'!AD355)),MAX($B$3:B354)+1,"")</f>
        <v/>
      </c>
      <c r="E355">
        <f>IFERROR(MATCH(352,$B$4:$B$503,0),"")</f>
        <v/>
      </c>
    </row>
    <row r="356">
      <c r="A356">
        <f>IF(AND(LEN('Providers'!A356)&gt;0,ISNUMBER('Providers'!AD356)),'Providers'!AD356+353/100000,"")</f>
        <v/>
      </c>
      <c r="B356">
        <f>IF(AND(LEN('Providers'!A356)&gt;0,ISNUMBER('Providers'!AD356)),MAX($B$3:B355)+1,"")</f>
        <v/>
      </c>
      <c r="E356">
        <f>IFERROR(MATCH(353,$B$4:$B$503,0),"")</f>
        <v/>
      </c>
    </row>
    <row r="357">
      <c r="A357">
        <f>IF(AND(LEN('Providers'!A357)&gt;0,ISNUMBER('Providers'!AD357)),'Providers'!AD357+354/100000,"")</f>
        <v/>
      </c>
      <c r="B357">
        <f>IF(AND(LEN('Providers'!A357)&gt;0,ISNUMBER('Providers'!AD357)),MAX($B$3:B356)+1,"")</f>
        <v/>
      </c>
      <c r="E357">
        <f>IFERROR(MATCH(354,$B$4:$B$503,0),"")</f>
        <v/>
      </c>
    </row>
    <row r="358">
      <c r="A358">
        <f>IF(AND(LEN('Providers'!A358)&gt;0,ISNUMBER('Providers'!AD358)),'Providers'!AD358+355/100000,"")</f>
        <v/>
      </c>
      <c r="B358">
        <f>IF(AND(LEN('Providers'!A358)&gt;0,ISNUMBER('Providers'!AD358)),MAX($B$3:B357)+1,"")</f>
        <v/>
      </c>
      <c r="E358">
        <f>IFERROR(MATCH(355,$B$4:$B$503,0),"")</f>
        <v/>
      </c>
    </row>
    <row r="359">
      <c r="A359">
        <f>IF(AND(LEN('Providers'!A359)&gt;0,ISNUMBER('Providers'!AD359)),'Providers'!AD359+356/100000,"")</f>
        <v/>
      </c>
      <c r="B359">
        <f>IF(AND(LEN('Providers'!A359)&gt;0,ISNUMBER('Providers'!AD359)),MAX($B$3:B358)+1,"")</f>
        <v/>
      </c>
      <c r="E359">
        <f>IFERROR(MATCH(356,$B$4:$B$503,0),"")</f>
        <v/>
      </c>
    </row>
    <row r="360">
      <c r="A360">
        <f>IF(AND(LEN('Providers'!A360)&gt;0,ISNUMBER('Providers'!AD360)),'Providers'!AD360+357/100000,"")</f>
        <v/>
      </c>
      <c r="B360">
        <f>IF(AND(LEN('Providers'!A360)&gt;0,ISNUMBER('Providers'!AD360)),MAX($B$3:B359)+1,"")</f>
        <v/>
      </c>
      <c r="E360">
        <f>IFERROR(MATCH(357,$B$4:$B$503,0),"")</f>
        <v/>
      </c>
    </row>
    <row r="361">
      <c r="A361">
        <f>IF(AND(LEN('Providers'!A361)&gt;0,ISNUMBER('Providers'!AD361)),'Providers'!AD361+358/100000,"")</f>
        <v/>
      </c>
      <c r="B361">
        <f>IF(AND(LEN('Providers'!A361)&gt;0,ISNUMBER('Providers'!AD361)),MAX($B$3:B360)+1,"")</f>
        <v/>
      </c>
      <c r="E361">
        <f>IFERROR(MATCH(358,$B$4:$B$503,0),"")</f>
        <v/>
      </c>
    </row>
    <row r="362">
      <c r="A362">
        <f>IF(AND(LEN('Providers'!A362)&gt;0,ISNUMBER('Providers'!AD362)),'Providers'!AD362+359/100000,"")</f>
        <v/>
      </c>
      <c r="B362">
        <f>IF(AND(LEN('Providers'!A362)&gt;0,ISNUMBER('Providers'!AD362)),MAX($B$3:B361)+1,"")</f>
        <v/>
      </c>
      <c r="E362">
        <f>IFERROR(MATCH(359,$B$4:$B$503,0),"")</f>
        <v/>
      </c>
    </row>
    <row r="363">
      <c r="A363">
        <f>IF(AND(LEN('Providers'!A363)&gt;0,ISNUMBER('Providers'!AD363)),'Providers'!AD363+360/100000,"")</f>
        <v/>
      </c>
      <c r="B363">
        <f>IF(AND(LEN('Providers'!A363)&gt;0,ISNUMBER('Providers'!AD363)),MAX($B$3:B362)+1,"")</f>
        <v/>
      </c>
      <c r="E363">
        <f>IFERROR(MATCH(360,$B$4:$B$503,0),"")</f>
        <v/>
      </c>
    </row>
    <row r="364">
      <c r="A364">
        <f>IF(AND(LEN('Providers'!A364)&gt;0,ISNUMBER('Providers'!AD364)),'Providers'!AD364+361/100000,"")</f>
        <v/>
      </c>
      <c r="B364">
        <f>IF(AND(LEN('Providers'!A364)&gt;0,ISNUMBER('Providers'!AD364)),MAX($B$3:B363)+1,"")</f>
        <v/>
      </c>
      <c r="E364">
        <f>IFERROR(MATCH(361,$B$4:$B$503,0),"")</f>
        <v/>
      </c>
    </row>
    <row r="365">
      <c r="A365">
        <f>IF(AND(LEN('Providers'!A365)&gt;0,ISNUMBER('Providers'!AD365)),'Providers'!AD365+362/100000,"")</f>
        <v/>
      </c>
      <c r="B365">
        <f>IF(AND(LEN('Providers'!A365)&gt;0,ISNUMBER('Providers'!AD365)),MAX($B$3:B364)+1,"")</f>
        <v/>
      </c>
      <c r="E365">
        <f>IFERROR(MATCH(362,$B$4:$B$503,0),"")</f>
        <v/>
      </c>
    </row>
    <row r="366">
      <c r="A366">
        <f>IF(AND(LEN('Providers'!A366)&gt;0,ISNUMBER('Providers'!AD366)),'Providers'!AD366+363/100000,"")</f>
        <v/>
      </c>
      <c r="B366">
        <f>IF(AND(LEN('Providers'!A366)&gt;0,ISNUMBER('Providers'!AD366)),MAX($B$3:B365)+1,"")</f>
        <v/>
      </c>
      <c r="E366">
        <f>IFERROR(MATCH(363,$B$4:$B$503,0),"")</f>
        <v/>
      </c>
    </row>
    <row r="367">
      <c r="A367">
        <f>IF(AND(LEN('Providers'!A367)&gt;0,ISNUMBER('Providers'!AD367)),'Providers'!AD367+364/100000,"")</f>
        <v/>
      </c>
      <c r="B367">
        <f>IF(AND(LEN('Providers'!A367)&gt;0,ISNUMBER('Providers'!AD367)),MAX($B$3:B366)+1,"")</f>
        <v/>
      </c>
      <c r="E367">
        <f>IFERROR(MATCH(364,$B$4:$B$503,0),"")</f>
        <v/>
      </c>
    </row>
    <row r="368">
      <c r="A368">
        <f>IF(AND(LEN('Providers'!A368)&gt;0,ISNUMBER('Providers'!AD368)),'Providers'!AD368+365/100000,"")</f>
        <v/>
      </c>
      <c r="B368">
        <f>IF(AND(LEN('Providers'!A368)&gt;0,ISNUMBER('Providers'!AD368)),MAX($B$3:B367)+1,"")</f>
        <v/>
      </c>
      <c r="E368">
        <f>IFERROR(MATCH(365,$B$4:$B$503,0),"")</f>
        <v/>
      </c>
    </row>
    <row r="369">
      <c r="A369">
        <f>IF(AND(LEN('Providers'!A369)&gt;0,ISNUMBER('Providers'!AD369)),'Providers'!AD369+366/100000,"")</f>
        <v/>
      </c>
      <c r="B369">
        <f>IF(AND(LEN('Providers'!A369)&gt;0,ISNUMBER('Providers'!AD369)),MAX($B$3:B368)+1,"")</f>
        <v/>
      </c>
      <c r="E369">
        <f>IFERROR(MATCH(366,$B$4:$B$503,0),"")</f>
        <v/>
      </c>
    </row>
    <row r="370">
      <c r="A370">
        <f>IF(AND(LEN('Providers'!A370)&gt;0,ISNUMBER('Providers'!AD370)),'Providers'!AD370+367/100000,"")</f>
        <v/>
      </c>
      <c r="B370">
        <f>IF(AND(LEN('Providers'!A370)&gt;0,ISNUMBER('Providers'!AD370)),MAX($B$3:B369)+1,"")</f>
        <v/>
      </c>
      <c r="E370">
        <f>IFERROR(MATCH(367,$B$4:$B$503,0),"")</f>
        <v/>
      </c>
    </row>
    <row r="371">
      <c r="A371">
        <f>IF(AND(LEN('Providers'!A371)&gt;0,ISNUMBER('Providers'!AD371)),'Providers'!AD371+368/100000,"")</f>
        <v/>
      </c>
      <c r="B371">
        <f>IF(AND(LEN('Providers'!A371)&gt;0,ISNUMBER('Providers'!AD371)),MAX($B$3:B370)+1,"")</f>
        <v/>
      </c>
      <c r="E371">
        <f>IFERROR(MATCH(368,$B$4:$B$503,0),"")</f>
        <v/>
      </c>
    </row>
    <row r="372">
      <c r="A372">
        <f>IF(AND(LEN('Providers'!A372)&gt;0,ISNUMBER('Providers'!AD372)),'Providers'!AD372+369/100000,"")</f>
        <v/>
      </c>
      <c r="B372">
        <f>IF(AND(LEN('Providers'!A372)&gt;0,ISNUMBER('Providers'!AD372)),MAX($B$3:B371)+1,"")</f>
        <v/>
      </c>
      <c r="E372">
        <f>IFERROR(MATCH(369,$B$4:$B$503,0),"")</f>
        <v/>
      </c>
    </row>
    <row r="373">
      <c r="A373">
        <f>IF(AND(LEN('Providers'!A373)&gt;0,ISNUMBER('Providers'!AD373)),'Providers'!AD373+370/100000,"")</f>
        <v/>
      </c>
      <c r="B373">
        <f>IF(AND(LEN('Providers'!A373)&gt;0,ISNUMBER('Providers'!AD373)),MAX($B$3:B372)+1,"")</f>
        <v/>
      </c>
      <c r="E373">
        <f>IFERROR(MATCH(370,$B$4:$B$503,0),"")</f>
        <v/>
      </c>
    </row>
    <row r="374">
      <c r="A374">
        <f>IF(AND(LEN('Providers'!A374)&gt;0,ISNUMBER('Providers'!AD374)),'Providers'!AD374+371/100000,"")</f>
        <v/>
      </c>
      <c r="B374">
        <f>IF(AND(LEN('Providers'!A374)&gt;0,ISNUMBER('Providers'!AD374)),MAX($B$3:B373)+1,"")</f>
        <v/>
      </c>
      <c r="E374">
        <f>IFERROR(MATCH(371,$B$4:$B$503,0),"")</f>
        <v/>
      </c>
    </row>
    <row r="375">
      <c r="A375">
        <f>IF(AND(LEN('Providers'!A375)&gt;0,ISNUMBER('Providers'!AD375)),'Providers'!AD375+372/100000,"")</f>
        <v/>
      </c>
      <c r="B375">
        <f>IF(AND(LEN('Providers'!A375)&gt;0,ISNUMBER('Providers'!AD375)),MAX($B$3:B374)+1,"")</f>
        <v/>
      </c>
      <c r="E375">
        <f>IFERROR(MATCH(372,$B$4:$B$503,0),"")</f>
        <v/>
      </c>
    </row>
    <row r="376">
      <c r="A376">
        <f>IF(AND(LEN('Providers'!A376)&gt;0,ISNUMBER('Providers'!AD376)),'Providers'!AD376+373/100000,"")</f>
        <v/>
      </c>
      <c r="B376">
        <f>IF(AND(LEN('Providers'!A376)&gt;0,ISNUMBER('Providers'!AD376)),MAX($B$3:B375)+1,"")</f>
        <v/>
      </c>
      <c r="E376">
        <f>IFERROR(MATCH(373,$B$4:$B$503,0),"")</f>
        <v/>
      </c>
    </row>
    <row r="377">
      <c r="A377">
        <f>IF(AND(LEN('Providers'!A377)&gt;0,ISNUMBER('Providers'!AD377)),'Providers'!AD377+374/100000,"")</f>
        <v/>
      </c>
      <c r="B377">
        <f>IF(AND(LEN('Providers'!A377)&gt;0,ISNUMBER('Providers'!AD377)),MAX($B$3:B376)+1,"")</f>
        <v/>
      </c>
      <c r="E377">
        <f>IFERROR(MATCH(374,$B$4:$B$503,0),"")</f>
        <v/>
      </c>
    </row>
    <row r="378">
      <c r="A378">
        <f>IF(AND(LEN('Providers'!A378)&gt;0,ISNUMBER('Providers'!AD378)),'Providers'!AD378+375/100000,"")</f>
        <v/>
      </c>
      <c r="B378">
        <f>IF(AND(LEN('Providers'!A378)&gt;0,ISNUMBER('Providers'!AD378)),MAX($B$3:B377)+1,"")</f>
        <v/>
      </c>
      <c r="E378">
        <f>IFERROR(MATCH(375,$B$4:$B$503,0),"")</f>
        <v/>
      </c>
    </row>
    <row r="379">
      <c r="A379">
        <f>IF(AND(LEN('Providers'!A379)&gt;0,ISNUMBER('Providers'!AD379)),'Providers'!AD379+376/100000,"")</f>
        <v/>
      </c>
      <c r="B379">
        <f>IF(AND(LEN('Providers'!A379)&gt;0,ISNUMBER('Providers'!AD379)),MAX($B$3:B378)+1,"")</f>
        <v/>
      </c>
      <c r="E379">
        <f>IFERROR(MATCH(376,$B$4:$B$503,0),"")</f>
        <v/>
      </c>
    </row>
    <row r="380">
      <c r="A380">
        <f>IF(AND(LEN('Providers'!A380)&gt;0,ISNUMBER('Providers'!AD380)),'Providers'!AD380+377/100000,"")</f>
        <v/>
      </c>
      <c r="B380">
        <f>IF(AND(LEN('Providers'!A380)&gt;0,ISNUMBER('Providers'!AD380)),MAX($B$3:B379)+1,"")</f>
        <v/>
      </c>
      <c r="E380">
        <f>IFERROR(MATCH(377,$B$4:$B$503,0),"")</f>
        <v/>
      </c>
    </row>
    <row r="381">
      <c r="A381">
        <f>IF(AND(LEN('Providers'!A381)&gt;0,ISNUMBER('Providers'!AD381)),'Providers'!AD381+378/100000,"")</f>
        <v/>
      </c>
      <c r="B381">
        <f>IF(AND(LEN('Providers'!A381)&gt;0,ISNUMBER('Providers'!AD381)),MAX($B$3:B380)+1,"")</f>
        <v/>
      </c>
      <c r="E381">
        <f>IFERROR(MATCH(378,$B$4:$B$503,0),"")</f>
        <v/>
      </c>
    </row>
    <row r="382">
      <c r="A382">
        <f>IF(AND(LEN('Providers'!A382)&gt;0,ISNUMBER('Providers'!AD382)),'Providers'!AD382+379/100000,"")</f>
        <v/>
      </c>
      <c r="B382">
        <f>IF(AND(LEN('Providers'!A382)&gt;0,ISNUMBER('Providers'!AD382)),MAX($B$3:B381)+1,"")</f>
        <v/>
      </c>
      <c r="E382">
        <f>IFERROR(MATCH(379,$B$4:$B$503,0),"")</f>
        <v/>
      </c>
    </row>
    <row r="383">
      <c r="A383">
        <f>IF(AND(LEN('Providers'!A383)&gt;0,ISNUMBER('Providers'!AD383)),'Providers'!AD383+380/100000,"")</f>
        <v/>
      </c>
      <c r="B383">
        <f>IF(AND(LEN('Providers'!A383)&gt;0,ISNUMBER('Providers'!AD383)),MAX($B$3:B382)+1,"")</f>
        <v/>
      </c>
      <c r="E383">
        <f>IFERROR(MATCH(380,$B$4:$B$503,0),"")</f>
        <v/>
      </c>
    </row>
    <row r="384">
      <c r="A384">
        <f>IF(AND(LEN('Providers'!A384)&gt;0,ISNUMBER('Providers'!AD384)),'Providers'!AD384+381/100000,"")</f>
        <v/>
      </c>
      <c r="B384">
        <f>IF(AND(LEN('Providers'!A384)&gt;0,ISNUMBER('Providers'!AD384)),MAX($B$3:B383)+1,"")</f>
        <v/>
      </c>
      <c r="E384">
        <f>IFERROR(MATCH(381,$B$4:$B$503,0),"")</f>
        <v/>
      </c>
    </row>
    <row r="385">
      <c r="A385">
        <f>IF(AND(LEN('Providers'!A385)&gt;0,ISNUMBER('Providers'!AD385)),'Providers'!AD385+382/100000,"")</f>
        <v/>
      </c>
      <c r="B385">
        <f>IF(AND(LEN('Providers'!A385)&gt;0,ISNUMBER('Providers'!AD385)),MAX($B$3:B384)+1,"")</f>
        <v/>
      </c>
      <c r="E385">
        <f>IFERROR(MATCH(382,$B$4:$B$503,0),"")</f>
        <v/>
      </c>
    </row>
    <row r="386">
      <c r="A386">
        <f>IF(AND(LEN('Providers'!A386)&gt;0,ISNUMBER('Providers'!AD386)),'Providers'!AD386+383/100000,"")</f>
        <v/>
      </c>
      <c r="B386">
        <f>IF(AND(LEN('Providers'!A386)&gt;0,ISNUMBER('Providers'!AD386)),MAX($B$3:B385)+1,"")</f>
        <v/>
      </c>
      <c r="E386">
        <f>IFERROR(MATCH(383,$B$4:$B$503,0),"")</f>
        <v/>
      </c>
    </row>
    <row r="387">
      <c r="A387">
        <f>IF(AND(LEN('Providers'!A387)&gt;0,ISNUMBER('Providers'!AD387)),'Providers'!AD387+384/100000,"")</f>
        <v/>
      </c>
      <c r="B387">
        <f>IF(AND(LEN('Providers'!A387)&gt;0,ISNUMBER('Providers'!AD387)),MAX($B$3:B386)+1,"")</f>
        <v/>
      </c>
      <c r="E387">
        <f>IFERROR(MATCH(384,$B$4:$B$503,0),"")</f>
        <v/>
      </c>
    </row>
    <row r="388">
      <c r="A388">
        <f>IF(AND(LEN('Providers'!A388)&gt;0,ISNUMBER('Providers'!AD388)),'Providers'!AD388+385/100000,"")</f>
        <v/>
      </c>
      <c r="B388">
        <f>IF(AND(LEN('Providers'!A388)&gt;0,ISNUMBER('Providers'!AD388)),MAX($B$3:B387)+1,"")</f>
        <v/>
      </c>
      <c r="E388">
        <f>IFERROR(MATCH(385,$B$4:$B$503,0),"")</f>
        <v/>
      </c>
    </row>
    <row r="389">
      <c r="A389">
        <f>IF(AND(LEN('Providers'!A389)&gt;0,ISNUMBER('Providers'!AD389)),'Providers'!AD389+386/100000,"")</f>
        <v/>
      </c>
      <c r="B389">
        <f>IF(AND(LEN('Providers'!A389)&gt;0,ISNUMBER('Providers'!AD389)),MAX($B$3:B388)+1,"")</f>
        <v/>
      </c>
      <c r="E389">
        <f>IFERROR(MATCH(386,$B$4:$B$503,0),"")</f>
        <v/>
      </c>
    </row>
    <row r="390">
      <c r="A390">
        <f>IF(AND(LEN('Providers'!A390)&gt;0,ISNUMBER('Providers'!AD390)),'Providers'!AD390+387/100000,"")</f>
        <v/>
      </c>
      <c r="B390">
        <f>IF(AND(LEN('Providers'!A390)&gt;0,ISNUMBER('Providers'!AD390)),MAX($B$3:B389)+1,"")</f>
        <v/>
      </c>
      <c r="E390">
        <f>IFERROR(MATCH(387,$B$4:$B$503,0),"")</f>
        <v/>
      </c>
    </row>
    <row r="391">
      <c r="A391">
        <f>IF(AND(LEN('Providers'!A391)&gt;0,ISNUMBER('Providers'!AD391)),'Providers'!AD391+388/100000,"")</f>
        <v/>
      </c>
      <c r="B391">
        <f>IF(AND(LEN('Providers'!A391)&gt;0,ISNUMBER('Providers'!AD391)),MAX($B$3:B390)+1,"")</f>
        <v/>
      </c>
      <c r="E391">
        <f>IFERROR(MATCH(388,$B$4:$B$503,0),"")</f>
        <v/>
      </c>
    </row>
    <row r="392">
      <c r="A392">
        <f>IF(AND(LEN('Providers'!A392)&gt;0,ISNUMBER('Providers'!AD392)),'Providers'!AD392+389/100000,"")</f>
        <v/>
      </c>
      <c r="B392">
        <f>IF(AND(LEN('Providers'!A392)&gt;0,ISNUMBER('Providers'!AD392)),MAX($B$3:B391)+1,"")</f>
        <v/>
      </c>
      <c r="E392">
        <f>IFERROR(MATCH(389,$B$4:$B$503,0),"")</f>
        <v/>
      </c>
    </row>
    <row r="393">
      <c r="A393">
        <f>IF(AND(LEN('Providers'!A393)&gt;0,ISNUMBER('Providers'!AD393)),'Providers'!AD393+390/100000,"")</f>
        <v/>
      </c>
      <c r="B393">
        <f>IF(AND(LEN('Providers'!A393)&gt;0,ISNUMBER('Providers'!AD393)),MAX($B$3:B392)+1,"")</f>
        <v/>
      </c>
      <c r="E393">
        <f>IFERROR(MATCH(390,$B$4:$B$503,0),"")</f>
        <v/>
      </c>
    </row>
    <row r="394">
      <c r="A394">
        <f>IF(AND(LEN('Providers'!A394)&gt;0,ISNUMBER('Providers'!AD394)),'Providers'!AD394+391/100000,"")</f>
        <v/>
      </c>
      <c r="B394">
        <f>IF(AND(LEN('Providers'!A394)&gt;0,ISNUMBER('Providers'!AD394)),MAX($B$3:B393)+1,"")</f>
        <v/>
      </c>
      <c r="E394">
        <f>IFERROR(MATCH(391,$B$4:$B$503,0),"")</f>
        <v/>
      </c>
    </row>
    <row r="395">
      <c r="A395">
        <f>IF(AND(LEN('Providers'!A395)&gt;0,ISNUMBER('Providers'!AD395)),'Providers'!AD395+392/100000,"")</f>
        <v/>
      </c>
      <c r="B395">
        <f>IF(AND(LEN('Providers'!A395)&gt;0,ISNUMBER('Providers'!AD395)),MAX($B$3:B394)+1,"")</f>
        <v/>
      </c>
      <c r="E395">
        <f>IFERROR(MATCH(392,$B$4:$B$503,0),"")</f>
        <v/>
      </c>
    </row>
    <row r="396">
      <c r="A396">
        <f>IF(AND(LEN('Providers'!A396)&gt;0,ISNUMBER('Providers'!AD396)),'Providers'!AD396+393/100000,"")</f>
        <v/>
      </c>
      <c r="B396">
        <f>IF(AND(LEN('Providers'!A396)&gt;0,ISNUMBER('Providers'!AD396)),MAX($B$3:B395)+1,"")</f>
        <v/>
      </c>
      <c r="E396">
        <f>IFERROR(MATCH(393,$B$4:$B$503,0),"")</f>
        <v/>
      </c>
    </row>
    <row r="397">
      <c r="A397">
        <f>IF(AND(LEN('Providers'!A397)&gt;0,ISNUMBER('Providers'!AD397)),'Providers'!AD397+394/100000,"")</f>
        <v/>
      </c>
      <c r="B397">
        <f>IF(AND(LEN('Providers'!A397)&gt;0,ISNUMBER('Providers'!AD397)),MAX($B$3:B396)+1,"")</f>
        <v/>
      </c>
      <c r="E397">
        <f>IFERROR(MATCH(394,$B$4:$B$503,0),"")</f>
        <v/>
      </c>
    </row>
    <row r="398">
      <c r="A398">
        <f>IF(AND(LEN('Providers'!A398)&gt;0,ISNUMBER('Providers'!AD398)),'Providers'!AD398+395/100000,"")</f>
        <v/>
      </c>
      <c r="B398">
        <f>IF(AND(LEN('Providers'!A398)&gt;0,ISNUMBER('Providers'!AD398)),MAX($B$3:B397)+1,"")</f>
        <v/>
      </c>
      <c r="E398">
        <f>IFERROR(MATCH(395,$B$4:$B$503,0),"")</f>
        <v/>
      </c>
    </row>
    <row r="399">
      <c r="A399">
        <f>IF(AND(LEN('Providers'!A399)&gt;0,ISNUMBER('Providers'!AD399)),'Providers'!AD399+396/100000,"")</f>
        <v/>
      </c>
      <c r="B399">
        <f>IF(AND(LEN('Providers'!A399)&gt;0,ISNUMBER('Providers'!AD399)),MAX($B$3:B398)+1,"")</f>
        <v/>
      </c>
      <c r="E399">
        <f>IFERROR(MATCH(396,$B$4:$B$503,0),"")</f>
        <v/>
      </c>
    </row>
    <row r="400">
      <c r="A400">
        <f>IF(AND(LEN('Providers'!A400)&gt;0,ISNUMBER('Providers'!AD400)),'Providers'!AD400+397/100000,"")</f>
        <v/>
      </c>
      <c r="B400">
        <f>IF(AND(LEN('Providers'!A400)&gt;0,ISNUMBER('Providers'!AD400)),MAX($B$3:B399)+1,"")</f>
        <v/>
      </c>
      <c r="E400">
        <f>IFERROR(MATCH(397,$B$4:$B$503,0),"")</f>
        <v/>
      </c>
    </row>
    <row r="401">
      <c r="A401">
        <f>IF(AND(LEN('Providers'!A401)&gt;0,ISNUMBER('Providers'!AD401)),'Providers'!AD401+398/100000,"")</f>
        <v/>
      </c>
      <c r="B401">
        <f>IF(AND(LEN('Providers'!A401)&gt;0,ISNUMBER('Providers'!AD401)),MAX($B$3:B400)+1,"")</f>
        <v/>
      </c>
      <c r="E401">
        <f>IFERROR(MATCH(398,$B$4:$B$503,0),"")</f>
        <v/>
      </c>
    </row>
    <row r="402">
      <c r="A402">
        <f>IF(AND(LEN('Providers'!A402)&gt;0,ISNUMBER('Providers'!AD402)),'Providers'!AD402+399/100000,"")</f>
        <v/>
      </c>
      <c r="B402">
        <f>IF(AND(LEN('Providers'!A402)&gt;0,ISNUMBER('Providers'!AD402)),MAX($B$3:B401)+1,"")</f>
        <v/>
      </c>
      <c r="E402">
        <f>IFERROR(MATCH(399,$B$4:$B$503,0),"")</f>
        <v/>
      </c>
    </row>
    <row r="403">
      <c r="A403">
        <f>IF(AND(LEN('Providers'!A403)&gt;0,ISNUMBER('Providers'!AD403)),'Providers'!AD403+400/100000,"")</f>
        <v/>
      </c>
      <c r="B403">
        <f>IF(AND(LEN('Providers'!A403)&gt;0,ISNUMBER('Providers'!AD403)),MAX($B$3:B402)+1,"")</f>
        <v/>
      </c>
      <c r="E403">
        <f>IFERROR(MATCH(400,$B$4:$B$503,0),"")</f>
        <v/>
      </c>
    </row>
    <row r="404">
      <c r="A404">
        <f>IF(AND(LEN('Providers'!A404)&gt;0,ISNUMBER('Providers'!AD404)),'Providers'!AD404+401/100000,"")</f>
        <v/>
      </c>
      <c r="B404">
        <f>IF(AND(LEN('Providers'!A404)&gt;0,ISNUMBER('Providers'!AD404)),MAX($B$3:B403)+1,"")</f>
        <v/>
      </c>
      <c r="E404">
        <f>IFERROR(MATCH(401,$B$4:$B$503,0),"")</f>
        <v/>
      </c>
    </row>
    <row r="405">
      <c r="A405">
        <f>IF(AND(LEN('Providers'!A405)&gt;0,ISNUMBER('Providers'!AD405)),'Providers'!AD405+402/100000,"")</f>
        <v/>
      </c>
      <c r="B405">
        <f>IF(AND(LEN('Providers'!A405)&gt;0,ISNUMBER('Providers'!AD405)),MAX($B$3:B404)+1,"")</f>
        <v/>
      </c>
      <c r="E405">
        <f>IFERROR(MATCH(402,$B$4:$B$503,0),"")</f>
        <v/>
      </c>
    </row>
    <row r="406">
      <c r="A406">
        <f>IF(AND(LEN('Providers'!A406)&gt;0,ISNUMBER('Providers'!AD406)),'Providers'!AD406+403/100000,"")</f>
        <v/>
      </c>
      <c r="B406">
        <f>IF(AND(LEN('Providers'!A406)&gt;0,ISNUMBER('Providers'!AD406)),MAX($B$3:B405)+1,"")</f>
        <v/>
      </c>
      <c r="E406">
        <f>IFERROR(MATCH(403,$B$4:$B$503,0),"")</f>
        <v/>
      </c>
    </row>
    <row r="407">
      <c r="A407">
        <f>IF(AND(LEN('Providers'!A407)&gt;0,ISNUMBER('Providers'!AD407)),'Providers'!AD407+404/100000,"")</f>
        <v/>
      </c>
      <c r="B407">
        <f>IF(AND(LEN('Providers'!A407)&gt;0,ISNUMBER('Providers'!AD407)),MAX($B$3:B406)+1,"")</f>
        <v/>
      </c>
      <c r="E407">
        <f>IFERROR(MATCH(404,$B$4:$B$503,0),"")</f>
        <v/>
      </c>
    </row>
    <row r="408">
      <c r="A408">
        <f>IF(AND(LEN('Providers'!A408)&gt;0,ISNUMBER('Providers'!AD408)),'Providers'!AD408+405/100000,"")</f>
        <v/>
      </c>
      <c r="B408">
        <f>IF(AND(LEN('Providers'!A408)&gt;0,ISNUMBER('Providers'!AD408)),MAX($B$3:B407)+1,"")</f>
        <v/>
      </c>
      <c r="E408">
        <f>IFERROR(MATCH(405,$B$4:$B$503,0),"")</f>
        <v/>
      </c>
    </row>
    <row r="409">
      <c r="A409">
        <f>IF(AND(LEN('Providers'!A409)&gt;0,ISNUMBER('Providers'!AD409)),'Providers'!AD409+406/100000,"")</f>
        <v/>
      </c>
      <c r="B409">
        <f>IF(AND(LEN('Providers'!A409)&gt;0,ISNUMBER('Providers'!AD409)),MAX($B$3:B408)+1,"")</f>
        <v/>
      </c>
      <c r="E409">
        <f>IFERROR(MATCH(406,$B$4:$B$503,0),"")</f>
        <v/>
      </c>
    </row>
    <row r="410">
      <c r="A410">
        <f>IF(AND(LEN('Providers'!A410)&gt;0,ISNUMBER('Providers'!AD410)),'Providers'!AD410+407/100000,"")</f>
        <v/>
      </c>
      <c r="B410">
        <f>IF(AND(LEN('Providers'!A410)&gt;0,ISNUMBER('Providers'!AD410)),MAX($B$3:B409)+1,"")</f>
        <v/>
      </c>
      <c r="E410">
        <f>IFERROR(MATCH(407,$B$4:$B$503,0),"")</f>
        <v/>
      </c>
    </row>
    <row r="411">
      <c r="A411">
        <f>IF(AND(LEN('Providers'!A411)&gt;0,ISNUMBER('Providers'!AD411)),'Providers'!AD411+408/100000,"")</f>
        <v/>
      </c>
      <c r="B411">
        <f>IF(AND(LEN('Providers'!A411)&gt;0,ISNUMBER('Providers'!AD411)),MAX($B$3:B410)+1,"")</f>
        <v/>
      </c>
      <c r="E411">
        <f>IFERROR(MATCH(408,$B$4:$B$503,0),"")</f>
        <v/>
      </c>
    </row>
    <row r="412">
      <c r="A412">
        <f>IF(AND(LEN('Providers'!A412)&gt;0,ISNUMBER('Providers'!AD412)),'Providers'!AD412+409/100000,"")</f>
        <v/>
      </c>
      <c r="B412">
        <f>IF(AND(LEN('Providers'!A412)&gt;0,ISNUMBER('Providers'!AD412)),MAX($B$3:B411)+1,"")</f>
        <v/>
      </c>
      <c r="E412">
        <f>IFERROR(MATCH(409,$B$4:$B$503,0),"")</f>
        <v/>
      </c>
    </row>
    <row r="413">
      <c r="A413">
        <f>IF(AND(LEN('Providers'!A413)&gt;0,ISNUMBER('Providers'!AD413)),'Providers'!AD413+410/100000,"")</f>
        <v/>
      </c>
      <c r="B413">
        <f>IF(AND(LEN('Providers'!A413)&gt;0,ISNUMBER('Providers'!AD413)),MAX($B$3:B412)+1,"")</f>
        <v/>
      </c>
      <c r="E413">
        <f>IFERROR(MATCH(410,$B$4:$B$503,0),"")</f>
        <v/>
      </c>
    </row>
    <row r="414">
      <c r="A414">
        <f>IF(AND(LEN('Providers'!A414)&gt;0,ISNUMBER('Providers'!AD414)),'Providers'!AD414+411/100000,"")</f>
        <v/>
      </c>
      <c r="B414">
        <f>IF(AND(LEN('Providers'!A414)&gt;0,ISNUMBER('Providers'!AD414)),MAX($B$3:B413)+1,"")</f>
        <v/>
      </c>
      <c r="E414">
        <f>IFERROR(MATCH(411,$B$4:$B$503,0),"")</f>
        <v/>
      </c>
    </row>
    <row r="415">
      <c r="A415">
        <f>IF(AND(LEN('Providers'!A415)&gt;0,ISNUMBER('Providers'!AD415)),'Providers'!AD415+412/100000,"")</f>
        <v/>
      </c>
      <c r="B415">
        <f>IF(AND(LEN('Providers'!A415)&gt;0,ISNUMBER('Providers'!AD415)),MAX($B$3:B414)+1,"")</f>
        <v/>
      </c>
      <c r="E415">
        <f>IFERROR(MATCH(412,$B$4:$B$503,0),"")</f>
        <v/>
      </c>
    </row>
    <row r="416">
      <c r="A416">
        <f>IF(AND(LEN('Providers'!A416)&gt;0,ISNUMBER('Providers'!AD416)),'Providers'!AD416+413/100000,"")</f>
        <v/>
      </c>
      <c r="B416">
        <f>IF(AND(LEN('Providers'!A416)&gt;0,ISNUMBER('Providers'!AD416)),MAX($B$3:B415)+1,"")</f>
        <v/>
      </c>
      <c r="E416">
        <f>IFERROR(MATCH(413,$B$4:$B$503,0),"")</f>
        <v/>
      </c>
    </row>
    <row r="417">
      <c r="A417">
        <f>IF(AND(LEN('Providers'!A417)&gt;0,ISNUMBER('Providers'!AD417)),'Providers'!AD417+414/100000,"")</f>
        <v/>
      </c>
      <c r="B417">
        <f>IF(AND(LEN('Providers'!A417)&gt;0,ISNUMBER('Providers'!AD417)),MAX($B$3:B416)+1,"")</f>
        <v/>
      </c>
      <c r="E417">
        <f>IFERROR(MATCH(414,$B$4:$B$503,0),"")</f>
        <v/>
      </c>
    </row>
    <row r="418">
      <c r="A418">
        <f>IF(AND(LEN('Providers'!A418)&gt;0,ISNUMBER('Providers'!AD418)),'Providers'!AD418+415/100000,"")</f>
        <v/>
      </c>
      <c r="B418">
        <f>IF(AND(LEN('Providers'!A418)&gt;0,ISNUMBER('Providers'!AD418)),MAX($B$3:B417)+1,"")</f>
        <v/>
      </c>
      <c r="E418">
        <f>IFERROR(MATCH(415,$B$4:$B$503,0),"")</f>
        <v/>
      </c>
    </row>
    <row r="419">
      <c r="A419">
        <f>IF(AND(LEN('Providers'!A419)&gt;0,ISNUMBER('Providers'!AD419)),'Providers'!AD419+416/100000,"")</f>
        <v/>
      </c>
      <c r="B419">
        <f>IF(AND(LEN('Providers'!A419)&gt;0,ISNUMBER('Providers'!AD419)),MAX($B$3:B418)+1,"")</f>
        <v/>
      </c>
      <c r="E419">
        <f>IFERROR(MATCH(416,$B$4:$B$503,0),"")</f>
        <v/>
      </c>
    </row>
    <row r="420">
      <c r="A420">
        <f>IF(AND(LEN('Providers'!A420)&gt;0,ISNUMBER('Providers'!AD420)),'Providers'!AD420+417/100000,"")</f>
        <v/>
      </c>
      <c r="B420">
        <f>IF(AND(LEN('Providers'!A420)&gt;0,ISNUMBER('Providers'!AD420)),MAX($B$3:B419)+1,"")</f>
        <v/>
      </c>
      <c r="E420">
        <f>IFERROR(MATCH(417,$B$4:$B$503,0),"")</f>
        <v/>
      </c>
    </row>
    <row r="421">
      <c r="A421">
        <f>IF(AND(LEN('Providers'!A421)&gt;0,ISNUMBER('Providers'!AD421)),'Providers'!AD421+418/100000,"")</f>
        <v/>
      </c>
      <c r="B421">
        <f>IF(AND(LEN('Providers'!A421)&gt;0,ISNUMBER('Providers'!AD421)),MAX($B$3:B420)+1,"")</f>
        <v/>
      </c>
      <c r="E421">
        <f>IFERROR(MATCH(418,$B$4:$B$503,0),"")</f>
        <v/>
      </c>
    </row>
    <row r="422">
      <c r="A422">
        <f>IF(AND(LEN('Providers'!A422)&gt;0,ISNUMBER('Providers'!AD422)),'Providers'!AD422+419/100000,"")</f>
        <v/>
      </c>
      <c r="B422">
        <f>IF(AND(LEN('Providers'!A422)&gt;0,ISNUMBER('Providers'!AD422)),MAX($B$3:B421)+1,"")</f>
        <v/>
      </c>
      <c r="E422">
        <f>IFERROR(MATCH(419,$B$4:$B$503,0),"")</f>
        <v/>
      </c>
    </row>
    <row r="423">
      <c r="A423">
        <f>IF(AND(LEN('Providers'!A423)&gt;0,ISNUMBER('Providers'!AD423)),'Providers'!AD423+420/100000,"")</f>
        <v/>
      </c>
      <c r="B423">
        <f>IF(AND(LEN('Providers'!A423)&gt;0,ISNUMBER('Providers'!AD423)),MAX($B$3:B422)+1,"")</f>
        <v/>
      </c>
      <c r="E423">
        <f>IFERROR(MATCH(420,$B$4:$B$503,0),"")</f>
        <v/>
      </c>
    </row>
    <row r="424">
      <c r="A424">
        <f>IF(AND(LEN('Providers'!A424)&gt;0,ISNUMBER('Providers'!AD424)),'Providers'!AD424+421/100000,"")</f>
        <v/>
      </c>
      <c r="B424">
        <f>IF(AND(LEN('Providers'!A424)&gt;0,ISNUMBER('Providers'!AD424)),MAX($B$3:B423)+1,"")</f>
        <v/>
      </c>
      <c r="E424">
        <f>IFERROR(MATCH(421,$B$4:$B$503,0),"")</f>
        <v/>
      </c>
    </row>
    <row r="425">
      <c r="A425">
        <f>IF(AND(LEN('Providers'!A425)&gt;0,ISNUMBER('Providers'!AD425)),'Providers'!AD425+422/100000,"")</f>
        <v/>
      </c>
      <c r="B425">
        <f>IF(AND(LEN('Providers'!A425)&gt;0,ISNUMBER('Providers'!AD425)),MAX($B$3:B424)+1,"")</f>
        <v/>
      </c>
      <c r="E425">
        <f>IFERROR(MATCH(422,$B$4:$B$503,0),"")</f>
        <v/>
      </c>
    </row>
    <row r="426">
      <c r="A426">
        <f>IF(AND(LEN('Providers'!A426)&gt;0,ISNUMBER('Providers'!AD426)),'Providers'!AD426+423/100000,"")</f>
        <v/>
      </c>
      <c r="B426">
        <f>IF(AND(LEN('Providers'!A426)&gt;0,ISNUMBER('Providers'!AD426)),MAX($B$3:B425)+1,"")</f>
        <v/>
      </c>
      <c r="E426">
        <f>IFERROR(MATCH(423,$B$4:$B$503,0),"")</f>
        <v/>
      </c>
    </row>
    <row r="427">
      <c r="A427">
        <f>IF(AND(LEN('Providers'!A427)&gt;0,ISNUMBER('Providers'!AD427)),'Providers'!AD427+424/100000,"")</f>
        <v/>
      </c>
      <c r="B427">
        <f>IF(AND(LEN('Providers'!A427)&gt;0,ISNUMBER('Providers'!AD427)),MAX($B$3:B426)+1,"")</f>
        <v/>
      </c>
      <c r="E427">
        <f>IFERROR(MATCH(424,$B$4:$B$503,0),"")</f>
        <v/>
      </c>
    </row>
    <row r="428">
      <c r="A428">
        <f>IF(AND(LEN('Providers'!A428)&gt;0,ISNUMBER('Providers'!AD428)),'Providers'!AD428+425/100000,"")</f>
        <v/>
      </c>
      <c r="B428">
        <f>IF(AND(LEN('Providers'!A428)&gt;0,ISNUMBER('Providers'!AD428)),MAX($B$3:B427)+1,"")</f>
        <v/>
      </c>
      <c r="E428">
        <f>IFERROR(MATCH(425,$B$4:$B$503,0),"")</f>
        <v/>
      </c>
    </row>
    <row r="429">
      <c r="A429">
        <f>IF(AND(LEN('Providers'!A429)&gt;0,ISNUMBER('Providers'!AD429)),'Providers'!AD429+426/100000,"")</f>
        <v/>
      </c>
      <c r="B429">
        <f>IF(AND(LEN('Providers'!A429)&gt;0,ISNUMBER('Providers'!AD429)),MAX($B$3:B428)+1,"")</f>
        <v/>
      </c>
      <c r="E429">
        <f>IFERROR(MATCH(426,$B$4:$B$503,0),"")</f>
        <v/>
      </c>
    </row>
    <row r="430">
      <c r="A430">
        <f>IF(AND(LEN('Providers'!A430)&gt;0,ISNUMBER('Providers'!AD430)),'Providers'!AD430+427/100000,"")</f>
        <v/>
      </c>
      <c r="B430">
        <f>IF(AND(LEN('Providers'!A430)&gt;0,ISNUMBER('Providers'!AD430)),MAX($B$3:B429)+1,"")</f>
        <v/>
      </c>
      <c r="E430">
        <f>IFERROR(MATCH(427,$B$4:$B$503,0),"")</f>
        <v/>
      </c>
    </row>
    <row r="431">
      <c r="A431">
        <f>IF(AND(LEN('Providers'!A431)&gt;0,ISNUMBER('Providers'!AD431)),'Providers'!AD431+428/100000,"")</f>
        <v/>
      </c>
      <c r="B431">
        <f>IF(AND(LEN('Providers'!A431)&gt;0,ISNUMBER('Providers'!AD431)),MAX($B$3:B430)+1,"")</f>
        <v/>
      </c>
      <c r="E431">
        <f>IFERROR(MATCH(428,$B$4:$B$503,0),"")</f>
        <v/>
      </c>
    </row>
    <row r="432">
      <c r="A432">
        <f>IF(AND(LEN('Providers'!A432)&gt;0,ISNUMBER('Providers'!AD432)),'Providers'!AD432+429/100000,"")</f>
        <v/>
      </c>
      <c r="B432">
        <f>IF(AND(LEN('Providers'!A432)&gt;0,ISNUMBER('Providers'!AD432)),MAX($B$3:B431)+1,"")</f>
        <v/>
      </c>
      <c r="E432">
        <f>IFERROR(MATCH(429,$B$4:$B$503,0),"")</f>
        <v/>
      </c>
    </row>
    <row r="433">
      <c r="A433">
        <f>IF(AND(LEN('Providers'!A433)&gt;0,ISNUMBER('Providers'!AD433)),'Providers'!AD433+430/100000,"")</f>
        <v/>
      </c>
      <c r="B433">
        <f>IF(AND(LEN('Providers'!A433)&gt;0,ISNUMBER('Providers'!AD433)),MAX($B$3:B432)+1,"")</f>
        <v/>
      </c>
      <c r="E433">
        <f>IFERROR(MATCH(430,$B$4:$B$503,0),"")</f>
        <v/>
      </c>
    </row>
    <row r="434">
      <c r="A434">
        <f>IF(AND(LEN('Providers'!A434)&gt;0,ISNUMBER('Providers'!AD434)),'Providers'!AD434+431/100000,"")</f>
        <v/>
      </c>
      <c r="B434">
        <f>IF(AND(LEN('Providers'!A434)&gt;0,ISNUMBER('Providers'!AD434)),MAX($B$3:B433)+1,"")</f>
        <v/>
      </c>
      <c r="E434">
        <f>IFERROR(MATCH(431,$B$4:$B$503,0),"")</f>
        <v/>
      </c>
    </row>
    <row r="435">
      <c r="A435">
        <f>IF(AND(LEN('Providers'!A435)&gt;0,ISNUMBER('Providers'!AD435)),'Providers'!AD435+432/100000,"")</f>
        <v/>
      </c>
      <c r="B435">
        <f>IF(AND(LEN('Providers'!A435)&gt;0,ISNUMBER('Providers'!AD435)),MAX($B$3:B434)+1,"")</f>
        <v/>
      </c>
      <c r="E435">
        <f>IFERROR(MATCH(432,$B$4:$B$503,0),"")</f>
        <v/>
      </c>
    </row>
    <row r="436">
      <c r="A436">
        <f>IF(AND(LEN('Providers'!A436)&gt;0,ISNUMBER('Providers'!AD436)),'Providers'!AD436+433/100000,"")</f>
        <v/>
      </c>
      <c r="B436">
        <f>IF(AND(LEN('Providers'!A436)&gt;0,ISNUMBER('Providers'!AD436)),MAX($B$3:B435)+1,"")</f>
        <v/>
      </c>
      <c r="E436">
        <f>IFERROR(MATCH(433,$B$4:$B$503,0),"")</f>
        <v/>
      </c>
    </row>
    <row r="437">
      <c r="A437">
        <f>IF(AND(LEN('Providers'!A437)&gt;0,ISNUMBER('Providers'!AD437)),'Providers'!AD437+434/100000,"")</f>
        <v/>
      </c>
      <c r="B437">
        <f>IF(AND(LEN('Providers'!A437)&gt;0,ISNUMBER('Providers'!AD437)),MAX($B$3:B436)+1,"")</f>
        <v/>
      </c>
      <c r="E437">
        <f>IFERROR(MATCH(434,$B$4:$B$503,0),"")</f>
        <v/>
      </c>
    </row>
    <row r="438">
      <c r="A438">
        <f>IF(AND(LEN('Providers'!A438)&gt;0,ISNUMBER('Providers'!AD438)),'Providers'!AD438+435/100000,"")</f>
        <v/>
      </c>
      <c r="B438">
        <f>IF(AND(LEN('Providers'!A438)&gt;0,ISNUMBER('Providers'!AD438)),MAX($B$3:B437)+1,"")</f>
        <v/>
      </c>
      <c r="E438">
        <f>IFERROR(MATCH(435,$B$4:$B$503,0),"")</f>
        <v/>
      </c>
    </row>
    <row r="439">
      <c r="A439">
        <f>IF(AND(LEN('Providers'!A439)&gt;0,ISNUMBER('Providers'!AD439)),'Providers'!AD439+436/100000,"")</f>
        <v/>
      </c>
      <c r="B439">
        <f>IF(AND(LEN('Providers'!A439)&gt;0,ISNUMBER('Providers'!AD439)),MAX($B$3:B438)+1,"")</f>
        <v/>
      </c>
      <c r="E439">
        <f>IFERROR(MATCH(436,$B$4:$B$503,0),"")</f>
        <v/>
      </c>
    </row>
    <row r="440">
      <c r="A440">
        <f>IF(AND(LEN('Providers'!A440)&gt;0,ISNUMBER('Providers'!AD440)),'Providers'!AD440+437/100000,"")</f>
        <v/>
      </c>
      <c r="B440">
        <f>IF(AND(LEN('Providers'!A440)&gt;0,ISNUMBER('Providers'!AD440)),MAX($B$3:B439)+1,"")</f>
        <v/>
      </c>
      <c r="E440">
        <f>IFERROR(MATCH(437,$B$4:$B$503,0),"")</f>
        <v/>
      </c>
    </row>
    <row r="441">
      <c r="A441">
        <f>IF(AND(LEN('Providers'!A441)&gt;0,ISNUMBER('Providers'!AD441)),'Providers'!AD441+438/100000,"")</f>
        <v/>
      </c>
      <c r="B441">
        <f>IF(AND(LEN('Providers'!A441)&gt;0,ISNUMBER('Providers'!AD441)),MAX($B$3:B440)+1,"")</f>
        <v/>
      </c>
      <c r="E441">
        <f>IFERROR(MATCH(438,$B$4:$B$503,0),"")</f>
        <v/>
      </c>
    </row>
    <row r="442">
      <c r="A442">
        <f>IF(AND(LEN('Providers'!A442)&gt;0,ISNUMBER('Providers'!AD442)),'Providers'!AD442+439/100000,"")</f>
        <v/>
      </c>
      <c r="B442">
        <f>IF(AND(LEN('Providers'!A442)&gt;0,ISNUMBER('Providers'!AD442)),MAX($B$3:B441)+1,"")</f>
        <v/>
      </c>
      <c r="E442">
        <f>IFERROR(MATCH(439,$B$4:$B$503,0),"")</f>
        <v/>
      </c>
    </row>
    <row r="443">
      <c r="A443">
        <f>IF(AND(LEN('Providers'!A443)&gt;0,ISNUMBER('Providers'!AD443)),'Providers'!AD443+440/100000,"")</f>
        <v/>
      </c>
      <c r="B443">
        <f>IF(AND(LEN('Providers'!A443)&gt;0,ISNUMBER('Providers'!AD443)),MAX($B$3:B442)+1,"")</f>
        <v/>
      </c>
      <c r="E443">
        <f>IFERROR(MATCH(440,$B$4:$B$503,0),"")</f>
        <v/>
      </c>
    </row>
    <row r="444">
      <c r="A444">
        <f>IF(AND(LEN('Providers'!A444)&gt;0,ISNUMBER('Providers'!AD444)),'Providers'!AD444+441/100000,"")</f>
        <v/>
      </c>
      <c r="B444">
        <f>IF(AND(LEN('Providers'!A444)&gt;0,ISNUMBER('Providers'!AD444)),MAX($B$3:B443)+1,"")</f>
        <v/>
      </c>
      <c r="E444">
        <f>IFERROR(MATCH(441,$B$4:$B$503,0),"")</f>
        <v/>
      </c>
    </row>
    <row r="445">
      <c r="A445">
        <f>IF(AND(LEN('Providers'!A445)&gt;0,ISNUMBER('Providers'!AD445)),'Providers'!AD445+442/100000,"")</f>
        <v/>
      </c>
      <c r="B445">
        <f>IF(AND(LEN('Providers'!A445)&gt;0,ISNUMBER('Providers'!AD445)),MAX($B$3:B444)+1,"")</f>
        <v/>
      </c>
      <c r="E445">
        <f>IFERROR(MATCH(442,$B$4:$B$503,0),"")</f>
        <v/>
      </c>
    </row>
    <row r="446">
      <c r="A446">
        <f>IF(AND(LEN('Providers'!A446)&gt;0,ISNUMBER('Providers'!AD446)),'Providers'!AD446+443/100000,"")</f>
        <v/>
      </c>
      <c r="B446">
        <f>IF(AND(LEN('Providers'!A446)&gt;0,ISNUMBER('Providers'!AD446)),MAX($B$3:B445)+1,"")</f>
        <v/>
      </c>
      <c r="E446">
        <f>IFERROR(MATCH(443,$B$4:$B$503,0),"")</f>
        <v/>
      </c>
    </row>
    <row r="447">
      <c r="A447">
        <f>IF(AND(LEN('Providers'!A447)&gt;0,ISNUMBER('Providers'!AD447)),'Providers'!AD447+444/100000,"")</f>
        <v/>
      </c>
      <c r="B447">
        <f>IF(AND(LEN('Providers'!A447)&gt;0,ISNUMBER('Providers'!AD447)),MAX($B$3:B446)+1,"")</f>
        <v/>
      </c>
      <c r="E447">
        <f>IFERROR(MATCH(444,$B$4:$B$503,0),"")</f>
        <v/>
      </c>
    </row>
    <row r="448">
      <c r="A448">
        <f>IF(AND(LEN('Providers'!A448)&gt;0,ISNUMBER('Providers'!AD448)),'Providers'!AD448+445/100000,"")</f>
        <v/>
      </c>
      <c r="B448">
        <f>IF(AND(LEN('Providers'!A448)&gt;0,ISNUMBER('Providers'!AD448)),MAX($B$3:B447)+1,"")</f>
        <v/>
      </c>
      <c r="E448">
        <f>IFERROR(MATCH(445,$B$4:$B$503,0),"")</f>
        <v/>
      </c>
    </row>
    <row r="449">
      <c r="A449">
        <f>IF(AND(LEN('Providers'!A449)&gt;0,ISNUMBER('Providers'!AD449)),'Providers'!AD449+446/100000,"")</f>
        <v/>
      </c>
      <c r="B449">
        <f>IF(AND(LEN('Providers'!A449)&gt;0,ISNUMBER('Providers'!AD449)),MAX($B$3:B448)+1,"")</f>
        <v/>
      </c>
      <c r="E449">
        <f>IFERROR(MATCH(446,$B$4:$B$503,0),"")</f>
        <v/>
      </c>
    </row>
    <row r="450">
      <c r="A450">
        <f>IF(AND(LEN('Providers'!A450)&gt;0,ISNUMBER('Providers'!AD450)),'Providers'!AD450+447/100000,"")</f>
        <v/>
      </c>
      <c r="B450">
        <f>IF(AND(LEN('Providers'!A450)&gt;0,ISNUMBER('Providers'!AD450)),MAX($B$3:B449)+1,"")</f>
        <v/>
      </c>
      <c r="E450">
        <f>IFERROR(MATCH(447,$B$4:$B$503,0),"")</f>
        <v/>
      </c>
    </row>
    <row r="451">
      <c r="A451">
        <f>IF(AND(LEN('Providers'!A451)&gt;0,ISNUMBER('Providers'!AD451)),'Providers'!AD451+448/100000,"")</f>
        <v/>
      </c>
      <c r="B451">
        <f>IF(AND(LEN('Providers'!A451)&gt;0,ISNUMBER('Providers'!AD451)),MAX($B$3:B450)+1,"")</f>
        <v/>
      </c>
      <c r="E451">
        <f>IFERROR(MATCH(448,$B$4:$B$503,0),"")</f>
        <v/>
      </c>
    </row>
    <row r="452">
      <c r="A452">
        <f>IF(AND(LEN('Providers'!A452)&gt;0,ISNUMBER('Providers'!AD452)),'Providers'!AD452+449/100000,"")</f>
        <v/>
      </c>
      <c r="B452">
        <f>IF(AND(LEN('Providers'!A452)&gt;0,ISNUMBER('Providers'!AD452)),MAX($B$3:B451)+1,"")</f>
        <v/>
      </c>
      <c r="E452">
        <f>IFERROR(MATCH(449,$B$4:$B$503,0),"")</f>
        <v/>
      </c>
    </row>
    <row r="453">
      <c r="A453">
        <f>IF(AND(LEN('Providers'!A453)&gt;0,ISNUMBER('Providers'!AD453)),'Providers'!AD453+450/100000,"")</f>
        <v/>
      </c>
      <c r="B453">
        <f>IF(AND(LEN('Providers'!A453)&gt;0,ISNUMBER('Providers'!AD453)),MAX($B$3:B452)+1,"")</f>
        <v/>
      </c>
      <c r="E453">
        <f>IFERROR(MATCH(450,$B$4:$B$503,0),"")</f>
        <v/>
      </c>
    </row>
    <row r="454">
      <c r="A454">
        <f>IF(AND(LEN('Providers'!A454)&gt;0,ISNUMBER('Providers'!AD454)),'Providers'!AD454+451/100000,"")</f>
        <v/>
      </c>
      <c r="B454">
        <f>IF(AND(LEN('Providers'!A454)&gt;0,ISNUMBER('Providers'!AD454)),MAX($B$3:B453)+1,"")</f>
        <v/>
      </c>
      <c r="E454">
        <f>IFERROR(MATCH(451,$B$4:$B$503,0),"")</f>
        <v/>
      </c>
    </row>
    <row r="455">
      <c r="A455">
        <f>IF(AND(LEN('Providers'!A455)&gt;0,ISNUMBER('Providers'!AD455)),'Providers'!AD455+452/100000,"")</f>
        <v/>
      </c>
      <c r="B455">
        <f>IF(AND(LEN('Providers'!A455)&gt;0,ISNUMBER('Providers'!AD455)),MAX($B$3:B454)+1,"")</f>
        <v/>
      </c>
      <c r="E455">
        <f>IFERROR(MATCH(452,$B$4:$B$503,0),"")</f>
        <v/>
      </c>
    </row>
    <row r="456">
      <c r="A456">
        <f>IF(AND(LEN('Providers'!A456)&gt;0,ISNUMBER('Providers'!AD456)),'Providers'!AD456+453/100000,"")</f>
        <v/>
      </c>
      <c r="B456">
        <f>IF(AND(LEN('Providers'!A456)&gt;0,ISNUMBER('Providers'!AD456)),MAX($B$3:B455)+1,"")</f>
        <v/>
      </c>
      <c r="E456">
        <f>IFERROR(MATCH(453,$B$4:$B$503,0),"")</f>
        <v/>
      </c>
    </row>
    <row r="457">
      <c r="A457">
        <f>IF(AND(LEN('Providers'!A457)&gt;0,ISNUMBER('Providers'!AD457)),'Providers'!AD457+454/100000,"")</f>
        <v/>
      </c>
      <c r="B457">
        <f>IF(AND(LEN('Providers'!A457)&gt;0,ISNUMBER('Providers'!AD457)),MAX($B$3:B456)+1,"")</f>
        <v/>
      </c>
      <c r="E457">
        <f>IFERROR(MATCH(454,$B$4:$B$503,0),"")</f>
        <v/>
      </c>
    </row>
    <row r="458">
      <c r="A458">
        <f>IF(AND(LEN('Providers'!A458)&gt;0,ISNUMBER('Providers'!AD458)),'Providers'!AD458+455/100000,"")</f>
        <v/>
      </c>
      <c r="B458">
        <f>IF(AND(LEN('Providers'!A458)&gt;0,ISNUMBER('Providers'!AD458)),MAX($B$3:B457)+1,"")</f>
        <v/>
      </c>
      <c r="E458">
        <f>IFERROR(MATCH(455,$B$4:$B$503,0),"")</f>
        <v/>
      </c>
    </row>
    <row r="459">
      <c r="A459">
        <f>IF(AND(LEN('Providers'!A459)&gt;0,ISNUMBER('Providers'!AD459)),'Providers'!AD459+456/100000,"")</f>
        <v/>
      </c>
      <c r="B459">
        <f>IF(AND(LEN('Providers'!A459)&gt;0,ISNUMBER('Providers'!AD459)),MAX($B$3:B458)+1,"")</f>
        <v/>
      </c>
      <c r="E459">
        <f>IFERROR(MATCH(456,$B$4:$B$503,0),"")</f>
        <v/>
      </c>
    </row>
    <row r="460">
      <c r="A460">
        <f>IF(AND(LEN('Providers'!A460)&gt;0,ISNUMBER('Providers'!AD460)),'Providers'!AD460+457/100000,"")</f>
        <v/>
      </c>
      <c r="B460">
        <f>IF(AND(LEN('Providers'!A460)&gt;0,ISNUMBER('Providers'!AD460)),MAX($B$3:B459)+1,"")</f>
        <v/>
      </c>
      <c r="E460">
        <f>IFERROR(MATCH(457,$B$4:$B$503,0),"")</f>
        <v/>
      </c>
    </row>
    <row r="461">
      <c r="A461">
        <f>IF(AND(LEN('Providers'!A461)&gt;0,ISNUMBER('Providers'!AD461)),'Providers'!AD461+458/100000,"")</f>
        <v/>
      </c>
      <c r="B461">
        <f>IF(AND(LEN('Providers'!A461)&gt;0,ISNUMBER('Providers'!AD461)),MAX($B$3:B460)+1,"")</f>
        <v/>
      </c>
      <c r="E461">
        <f>IFERROR(MATCH(458,$B$4:$B$503,0),"")</f>
        <v/>
      </c>
    </row>
    <row r="462">
      <c r="A462">
        <f>IF(AND(LEN('Providers'!A462)&gt;0,ISNUMBER('Providers'!AD462)),'Providers'!AD462+459/100000,"")</f>
        <v/>
      </c>
      <c r="B462">
        <f>IF(AND(LEN('Providers'!A462)&gt;0,ISNUMBER('Providers'!AD462)),MAX($B$3:B461)+1,"")</f>
        <v/>
      </c>
      <c r="E462">
        <f>IFERROR(MATCH(459,$B$4:$B$503,0),"")</f>
        <v/>
      </c>
    </row>
    <row r="463">
      <c r="A463">
        <f>IF(AND(LEN('Providers'!A463)&gt;0,ISNUMBER('Providers'!AD463)),'Providers'!AD463+460/100000,"")</f>
        <v/>
      </c>
      <c r="B463">
        <f>IF(AND(LEN('Providers'!A463)&gt;0,ISNUMBER('Providers'!AD463)),MAX($B$3:B462)+1,"")</f>
        <v/>
      </c>
      <c r="E463">
        <f>IFERROR(MATCH(460,$B$4:$B$503,0),"")</f>
        <v/>
      </c>
    </row>
    <row r="464">
      <c r="A464">
        <f>IF(AND(LEN('Providers'!A464)&gt;0,ISNUMBER('Providers'!AD464)),'Providers'!AD464+461/100000,"")</f>
        <v/>
      </c>
      <c r="B464">
        <f>IF(AND(LEN('Providers'!A464)&gt;0,ISNUMBER('Providers'!AD464)),MAX($B$3:B463)+1,"")</f>
        <v/>
      </c>
      <c r="E464">
        <f>IFERROR(MATCH(461,$B$4:$B$503,0),"")</f>
        <v/>
      </c>
    </row>
    <row r="465">
      <c r="A465">
        <f>IF(AND(LEN('Providers'!A465)&gt;0,ISNUMBER('Providers'!AD465)),'Providers'!AD465+462/100000,"")</f>
        <v/>
      </c>
      <c r="B465">
        <f>IF(AND(LEN('Providers'!A465)&gt;0,ISNUMBER('Providers'!AD465)),MAX($B$3:B464)+1,"")</f>
        <v/>
      </c>
      <c r="E465">
        <f>IFERROR(MATCH(462,$B$4:$B$503,0),"")</f>
        <v/>
      </c>
    </row>
    <row r="466">
      <c r="A466">
        <f>IF(AND(LEN('Providers'!A466)&gt;0,ISNUMBER('Providers'!AD466)),'Providers'!AD466+463/100000,"")</f>
        <v/>
      </c>
      <c r="B466">
        <f>IF(AND(LEN('Providers'!A466)&gt;0,ISNUMBER('Providers'!AD466)),MAX($B$3:B465)+1,"")</f>
        <v/>
      </c>
      <c r="E466">
        <f>IFERROR(MATCH(463,$B$4:$B$503,0),"")</f>
        <v/>
      </c>
    </row>
    <row r="467">
      <c r="A467">
        <f>IF(AND(LEN('Providers'!A467)&gt;0,ISNUMBER('Providers'!AD467)),'Providers'!AD467+464/100000,"")</f>
        <v/>
      </c>
      <c r="B467">
        <f>IF(AND(LEN('Providers'!A467)&gt;0,ISNUMBER('Providers'!AD467)),MAX($B$3:B466)+1,"")</f>
        <v/>
      </c>
      <c r="E467">
        <f>IFERROR(MATCH(464,$B$4:$B$503,0),"")</f>
        <v/>
      </c>
    </row>
    <row r="468">
      <c r="A468">
        <f>IF(AND(LEN('Providers'!A468)&gt;0,ISNUMBER('Providers'!AD468)),'Providers'!AD468+465/100000,"")</f>
        <v/>
      </c>
      <c r="B468">
        <f>IF(AND(LEN('Providers'!A468)&gt;0,ISNUMBER('Providers'!AD468)),MAX($B$3:B467)+1,"")</f>
        <v/>
      </c>
      <c r="E468">
        <f>IFERROR(MATCH(465,$B$4:$B$503,0),"")</f>
        <v/>
      </c>
    </row>
    <row r="469">
      <c r="A469">
        <f>IF(AND(LEN('Providers'!A469)&gt;0,ISNUMBER('Providers'!AD469)),'Providers'!AD469+466/100000,"")</f>
        <v/>
      </c>
      <c r="B469">
        <f>IF(AND(LEN('Providers'!A469)&gt;0,ISNUMBER('Providers'!AD469)),MAX($B$3:B468)+1,"")</f>
        <v/>
      </c>
      <c r="E469">
        <f>IFERROR(MATCH(466,$B$4:$B$503,0),"")</f>
        <v/>
      </c>
    </row>
    <row r="470">
      <c r="A470">
        <f>IF(AND(LEN('Providers'!A470)&gt;0,ISNUMBER('Providers'!AD470)),'Providers'!AD470+467/100000,"")</f>
        <v/>
      </c>
      <c r="B470">
        <f>IF(AND(LEN('Providers'!A470)&gt;0,ISNUMBER('Providers'!AD470)),MAX($B$3:B469)+1,"")</f>
        <v/>
      </c>
      <c r="E470">
        <f>IFERROR(MATCH(467,$B$4:$B$503,0),"")</f>
        <v/>
      </c>
    </row>
    <row r="471">
      <c r="A471">
        <f>IF(AND(LEN('Providers'!A471)&gt;0,ISNUMBER('Providers'!AD471)),'Providers'!AD471+468/100000,"")</f>
        <v/>
      </c>
      <c r="B471">
        <f>IF(AND(LEN('Providers'!A471)&gt;0,ISNUMBER('Providers'!AD471)),MAX($B$3:B470)+1,"")</f>
        <v/>
      </c>
      <c r="E471">
        <f>IFERROR(MATCH(468,$B$4:$B$503,0),"")</f>
        <v/>
      </c>
    </row>
    <row r="472">
      <c r="A472">
        <f>IF(AND(LEN('Providers'!A472)&gt;0,ISNUMBER('Providers'!AD472)),'Providers'!AD472+469/100000,"")</f>
        <v/>
      </c>
      <c r="B472">
        <f>IF(AND(LEN('Providers'!A472)&gt;0,ISNUMBER('Providers'!AD472)),MAX($B$3:B471)+1,"")</f>
        <v/>
      </c>
      <c r="E472">
        <f>IFERROR(MATCH(469,$B$4:$B$503,0),"")</f>
        <v/>
      </c>
    </row>
    <row r="473">
      <c r="A473">
        <f>IF(AND(LEN('Providers'!A473)&gt;0,ISNUMBER('Providers'!AD473)),'Providers'!AD473+470/100000,"")</f>
        <v/>
      </c>
      <c r="B473">
        <f>IF(AND(LEN('Providers'!A473)&gt;0,ISNUMBER('Providers'!AD473)),MAX($B$3:B472)+1,"")</f>
        <v/>
      </c>
      <c r="E473">
        <f>IFERROR(MATCH(470,$B$4:$B$503,0),"")</f>
        <v/>
      </c>
    </row>
    <row r="474">
      <c r="A474">
        <f>IF(AND(LEN('Providers'!A474)&gt;0,ISNUMBER('Providers'!AD474)),'Providers'!AD474+471/100000,"")</f>
        <v/>
      </c>
      <c r="B474">
        <f>IF(AND(LEN('Providers'!A474)&gt;0,ISNUMBER('Providers'!AD474)),MAX($B$3:B473)+1,"")</f>
        <v/>
      </c>
      <c r="E474">
        <f>IFERROR(MATCH(471,$B$4:$B$503,0),"")</f>
        <v/>
      </c>
    </row>
    <row r="475">
      <c r="A475">
        <f>IF(AND(LEN('Providers'!A475)&gt;0,ISNUMBER('Providers'!AD475)),'Providers'!AD475+472/100000,"")</f>
        <v/>
      </c>
      <c r="B475">
        <f>IF(AND(LEN('Providers'!A475)&gt;0,ISNUMBER('Providers'!AD475)),MAX($B$3:B474)+1,"")</f>
        <v/>
      </c>
      <c r="E475">
        <f>IFERROR(MATCH(472,$B$4:$B$503,0),"")</f>
        <v/>
      </c>
    </row>
    <row r="476">
      <c r="A476">
        <f>IF(AND(LEN('Providers'!A476)&gt;0,ISNUMBER('Providers'!AD476)),'Providers'!AD476+473/100000,"")</f>
        <v/>
      </c>
      <c r="B476">
        <f>IF(AND(LEN('Providers'!A476)&gt;0,ISNUMBER('Providers'!AD476)),MAX($B$3:B475)+1,"")</f>
        <v/>
      </c>
      <c r="E476">
        <f>IFERROR(MATCH(473,$B$4:$B$503,0),"")</f>
        <v/>
      </c>
    </row>
    <row r="477">
      <c r="A477">
        <f>IF(AND(LEN('Providers'!A477)&gt;0,ISNUMBER('Providers'!AD477)),'Providers'!AD477+474/100000,"")</f>
        <v/>
      </c>
      <c r="B477">
        <f>IF(AND(LEN('Providers'!A477)&gt;0,ISNUMBER('Providers'!AD477)),MAX($B$3:B476)+1,"")</f>
        <v/>
      </c>
      <c r="E477">
        <f>IFERROR(MATCH(474,$B$4:$B$503,0),"")</f>
        <v/>
      </c>
    </row>
    <row r="478">
      <c r="A478">
        <f>IF(AND(LEN('Providers'!A478)&gt;0,ISNUMBER('Providers'!AD478)),'Providers'!AD478+475/100000,"")</f>
        <v/>
      </c>
      <c r="B478">
        <f>IF(AND(LEN('Providers'!A478)&gt;0,ISNUMBER('Providers'!AD478)),MAX($B$3:B477)+1,"")</f>
        <v/>
      </c>
      <c r="E478">
        <f>IFERROR(MATCH(475,$B$4:$B$503,0),"")</f>
        <v/>
      </c>
    </row>
    <row r="479">
      <c r="A479">
        <f>IF(AND(LEN('Providers'!A479)&gt;0,ISNUMBER('Providers'!AD479)),'Providers'!AD479+476/100000,"")</f>
        <v/>
      </c>
      <c r="B479">
        <f>IF(AND(LEN('Providers'!A479)&gt;0,ISNUMBER('Providers'!AD479)),MAX($B$3:B478)+1,"")</f>
        <v/>
      </c>
      <c r="E479">
        <f>IFERROR(MATCH(476,$B$4:$B$503,0),"")</f>
        <v/>
      </c>
    </row>
    <row r="480">
      <c r="A480">
        <f>IF(AND(LEN('Providers'!A480)&gt;0,ISNUMBER('Providers'!AD480)),'Providers'!AD480+477/100000,"")</f>
        <v/>
      </c>
      <c r="B480">
        <f>IF(AND(LEN('Providers'!A480)&gt;0,ISNUMBER('Providers'!AD480)),MAX($B$3:B479)+1,"")</f>
        <v/>
      </c>
      <c r="E480">
        <f>IFERROR(MATCH(477,$B$4:$B$503,0),"")</f>
        <v/>
      </c>
    </row>
    <row r="481">
      <c r="A481">
        <f>IF(AND(LEN('Providers'!A481)&gt;0,ISNUMBER('Providers'!AD481)),'Providers'!AD481+478/100000,"")</f>
        <v/>
      </c>
      <c r="B481">
        <f>IF(AND(LEN('Providers'!A481)&gt;0,ISNUMBER('Providers'!AD481)),MAX($B$3:B480)+1,"")</f>
        <v/>
      </c>
      <c r="E481">
        <f>IFERROR(MATCH(478,$B$4:$B$503,0),"")</f>
        <v/>
      </c>
    </row>
    <row r="482">
      <c r="A482">
        <f>IF(AND(LEN('Providers'!A482)&gt;0,ISNUMBER('Providers'!AD482)),'Providers'!AD482+479/100000,"")</f>
        <v/>
      </c>
      <c r="B482">
        <f>IF(AND(LEN('Providers'!A482)&gt;0,ISNUMBER('Providers'!AD482)),MAX($B$3:B481)+1,"")</f>
        <v/>
      </c>
      <c r="E482">
        <f>IFERROR(MATCH(479,$B$4:$B$503,0),"")</f>
        <v/>
      </c>
    </row>
    <row r="483">
      <c r="A483">
        <f>IF(AND(LEN('Providers'!A483)&gt;0,ISNUMBER('Providers'!AD483)),'Providers'!AD483+480/100000,"")</f>
        <v/>
      </c>
      <c r="B483">
        <f>IF(AND(LEN('Providers'!A483)&gt;0,ISNUMBER('Providers'!AD483)),MAX($B$3:B482)+1,"")</f>
        <v/>
      </c>
      <c r="E483">
        <f>IFERROR(MATCH(480,$B$4:$B$503,0),"")</f>
        <v/>
      </c>
    </row>
    <row r="484">
      <c r="A484">
        <f>IF(AND(LEN('Providers'!A484)&gt;0,ISNUMBER('Providers'!AD484)),'Providers'!AD484+481/100000,"")</f>
        <v/>
      </c>
      <c r="B484">
        <f>IF(AND(LEN('Providers'!A484)&gt;0,ISNUMBER('Providers'!AD484)),MAX($B$3:B483)+1,"")</f>
        <v/>
      </c>
      <c r="E484">
        <f>IFERROR(MATCH(481,$B$4:$B$503,0),"")</f>
        <v/>
      </c>
    </row>
    <row r="485">
      <c r="A485">
        <f>IF(AND(LEN('Providers'!A485)&gt;0,ISNUMBER('Providers'!AD485)),'Providers'!AD485+482/100000,"")</f>
        <v/>
      </c>
      <c r="B485">
        <f>IF(AND(LEN('Providers'!A485)&gt;0,ISNUMBER('Providers'!AD485)),MAX($B$3:B484)+1,"")</f>
        <v/>
      </c>
      <c r="E485">
        <f>IFERROR(MATCH(482,$B$4:$B$503,0),"")</f>
        <v/>
      </c>
    </row>
    <row r="486">
      <c r="A486">
        <f>IF(AND(LEN('Providers'!A486)&gt;0,ISNUMBER('Providers'!AD486)),'Providers'!AD486+483/100000,"")</f>
        <v/>
      </c>
      <c r="B486">
        <f>IF(AND(LEN('Providers'!A486)&gt;0,ISNUMBER('Providers'!AD486)),MAX($B$3:B485)+1,"")</f>
        <v/>
      </c>
      <c r="E486">
        <f>IFERROR(MATCH(483,$B$4:$B$503,0),"")</f>
        <v/>
      </c>
    </row>
    <row r="487">
      <c r="A487">
        <f>IF(AND(LEN('Providers'!A487)&gt;0,ISNUMBER('Providers'!AD487)),'Providers'!AD487+484/100000,"")</f>
        <v/>
      </c>
      <c r="B487">
        <f>IF(AND(LEN('Providers'!A487)&gt;0,ISNUMBER('Providers'!AD487)),MAX($B$3:B486)+1,"")</f>
        <v/>
      </c>
      <c r="E487">
        <f>IFERROR(MATCH(484,$B$4:$B$503,0),"")</f>
        <v/>
      </c>
    </row>
    <row r="488">
      <c r="A488">
        <f>IF(AND(LEN('Providers'!A488)&gt;0,ISNUMBER('Providers'!AD488)),'Providers'!AD488+485/100000,"")</f>
        <v/>
      </c>
      <c r="B488">
        <f>IF(AND(LEN('Providers'!A488)&gt;0,ISNUMBER('Providers'!AD488)),MAX($B$3:B487)+1,"")</f>
        <v/>
      </c>
      <c r="E488">
        <f>IFERROR(MATCH(485,$B$4:$B$503,0),"")</f>
        <v/>
      </c>
    </row>
    <row r="489">
      <c r="A489">
        <f>IF(AND(LEN('Providers'!A489)&gt;0,ISNUMBER('Providers'!AD489)),'Providers'!AD489+486/100000,"")</f>
        <v/>
      </c>
      <c r="B489">
        <f>IF(AND(LEN('Providers'!A489)&gt;0,ISNUMBER('Providers'!AD489)),MAX($B$3:B488)+1,"")</f>
        <v/>
      </c>
      <c r="E489">
        <f>IFERROR(MATCH(486,$B$4:$B$503,0),"")</f>
        <v/>
      </c>
    </row>
    <row r="490">
      <c r="A490">
        <f>IF(AND(LEN('Providers'!A490)&gt;0,ISNUMBER('Providers'!AD490)),'Providers'!AD490+487/100000,"")</f>
        <v/>
      </c>
      <c r="B490">
        <f>IF(AND(LEN('Providers'!A490)&gt;0,ISNUMBER('Providers'!AD490)),MAX($B$3:B489)+1,"")</f>
        <v/>
      </c>
      <c r="E490">
        <f>IFERROR(MATCH(487,$B$4:$B$503,0),"")</f>
        <v/>
      </c>
    </row>
    <row r="491">
      <c r="A491">
        <f>IF(AND(LEN('Providers'!A491)&gt;0,ISNUMBER('Providers'!AD491)),'Providers'!AD491+488/100000,"")</f>
        <v/>
      </c>
      <c r="B491">
        <f>IF(AND(LEN('Providers'!A491)&gt;0,ISNUMBER('Providers'!AD491)),MAX($B$3:B490)+1,"")</f>
        <v/>
      </c>
      <c r="E491">
        <f>IFERROR(MATCH(488,$B$4:$B$503,0),"")</f>
        <v/>
      </c>
    </row>
    <row r="492">
      <c r="A492">
        <f>IF(AND(LEN('Providers'!A492)&gt;0,ISNUMBER('Providers'!AD492)),'Providers'!AD492+489/100000,"")</f>
        <v/>
      </c>
      <c r="B492">
        <f>IF(AND(LEN('Providers'!A492)&gt;0,ISNUMBER('Providers'!AD492)),MAX($B$3:B491)+1,"")</f>
        <v/>
      </c>
      <c r="E492">
        <f>IFERROR(MATCH(489,$B$4:$B$503,0),"")</f>
        <v/>
      </c>
    </row>
    <row r="493">
      <c r="A493">
        <f>IF(AND(LEN('Providers'!A493)&gt;0,ISNUMBER('Providers'!AD493)),'Providers'!AD493+490/100000,"")</f>
        <v/>
      </c>
      <c r="B493">
        <f>IF(AND(LEN('Providers'!A493)&gt;0,ISNUMBER('Providers'!AD493)),MAX($B$3:B492)+1,"")</f>
        <v/>
      </c>
      <c r="E493">
        <f>IFERROR(MATCH(490,$B$4:$B$503,0),"")</f>
        <v/>
      </c>
    </row>
    <row r="494">
      <c r="A494">
        <f>IF(AND(LEN('Providers'!A494)&gt;0,ISNUMBER('Providers'!AD494)),'Providers'!AD494+491/100000,"")</f>
        <v/>
      </c>
      <c r="B494">
        <f>IF(AND(LEN('Providers'!A494)&gt;0,ISNUMBER('Providers'!AD494)),MAX($B$3:B493)+1,"")</f>
        <v/>
      </c>
      <c r="E494">
        <f>IFERROR(MATCH(491,$B$4:$B$503,0),"")</f>
        <v/>
      </c>
    </row>
    <row r="495">
      <c r="A495">
        <f>IF(AND(LEN('Providers'!A495)&gt;0,ISNUMBER('Providers'!AD495)),'Providers'!AD495+492/100000,"")</f>
        <v/>
      </c>
      <c r="B495">
        <f>IF(AND(LEN('Providers'!A495)&gt;0,ISNUMBER('Providers'!AD495)),MAX($B$3:B494)+1,"")</f>
        <v/>
      </c>
      <c r="E495">
        <f>IFERROR(MATCH(492,$B$4:$B$503,0),"")</f>
        <v/>
      </c>
    </row>
    <row r="496">
      <c r="A496">
        <f>IF(AND(LEN('Providers'!A496)&gt;0,ISNUMBER('Providers'!AD496)),'Providers'!AD496+493/100000,"")</f>
        <v/>
      </c>
      <c r="B496">
        <f>IF(AND(LEN('Providers'!A496)&gt;0,ISNUMBER('Providers'!AD496)),MAX($B$3:B495)+1,"")</f>
        <v/>
      </c>
      <c r="E496">
        <f>IFERROR(MATCH(493,$B$4:$B$503,0),"")</f>
        <v/>
      </c>
    </row>
    <row r="497">
      <c r="A497">
        <f>IF(AND(LEN('Providers'!A497)&gt;0,ISNUMBER('Providers'!AD497)),'Providers'!AD497+494/100000,"")</f>
        <v/>
      </c>
      <c r="B497">
        <f>IF(AND(LEN('Providers'!A497)&gt;0,ISNUMBER('Providers'!AD497)),MAX($B$3:B496)+1,"")</f>
        <v/>
      </c>
      <c r="E497">
        <f>IFERROR(MATCH(494,$B$4:$B$503,0),"")</f>
        <v/>
      </c>
    </row>
    <row r="498">
      <c r="A498">
        <f>IF(AND(LEN('Providers'!A498)&gt;0,ISNUMBER('Providers'!AD498)),'Providers'!AD498+495/100000,"")</f>
        <v/>
      </c>
      <c r="B498">
        <f>IF(AND(LEN('Providers'!A498)&gt;0,ISNUMBER('Providers'!AD498)),MAX($B$3:B497)+1,"")</f>
        <v/>
      </c>
      <c r="E498">
        <f>IFERROR(MATCH(495,$B$4:$B$503,0),"")</f>
        <v/>
      </c>
    </row>
    <row r="499">
      <c r="A499">
        <f>IF(AND(LEN('Providers'!A499)&gt;0,ISNUMBER('Providers'!AD499)),'Providers'!AD499+496/100000,"")</f>
        <v/>
      </c>
      <c r="B499">
        <f>IF(AND(LEN('Providers'!A499)&gt;0,ISNUMBER('Providers'!AD499)),MAX($B$3:B498)+1,"")</f>
        <v/>
      </c>
      <c r="E499">
        <f>IFERROR(MATCH(496,$B$4:$B$503,0),"")</f>
        <v/>
      </c>
    </row>
    <row r="500">
      <c r="A500">
        <f>IF(AND(LEN('Providers'!A500)&gt;0,ISNUMBER('Providers'!AD500)),'Providers'!AD500+497/100000,"")</f>
        <v/>
      </c>
      <c r="B500">
        <f>IF(AND(LEN('Providers'!A500)&gt;0,ISNUMBER('Providers'!AD500)),MAX($B$3:B499)+1,"")</f>
        <v/>
      </c>
      <c r="E500">
        <f>IFERROR(MATCH(497,$B$4:$B$503,0),"")</f>
        <v/>
      </c>
    </row>
    <row r="501">
      <c r="A501">
        <f>IF(AND(LEN('Providers'!A501)&gt;0,ISNUMBER('Providers'!AD501)),'Providers'!AD501+498/100000,"")</f>
        <v/>
      </c>
      <c r="B501">
        <f>IF(AND(LEN('Providers'!A501)&gt;0,ISNUMBER('Providers'!AD501)),MAX($B$3:B500)+1,"")</f>
        <v/>
      </c>
      <c r="E501">
        <f>IFERROR(MATCH(498,$B$4:$B$503,0),"")</f>
        <v/>
      </c>
    </row>
    <row r="502">
      <c r="A502">
        <f>IF(AND(LEN('Providers'!A502)&gt;0,ISNUMBER('Providers'!AD502)),'Providers'!AD502+499/100000,"")</f>
        <v/>
      </c>
      <c r="B502">
        <f>IF(AND(LEN('Providers'!A502)&gt;0,ISNUMBER('Providers'!AD502)),MAX($B$3:B501)+1,"")</f>
        <v/>
      </c>
      <c r="E502">
        <f>IFERROR(MATCH(499,$B$4:$B$503,0),"")</f>
        <v/>
      </c>
    </row>
    <row r="503">
      <c r="A503">
        <f>IF(AND(LEN('Providers'!A503)&gt;0,ISNUMBER('Providers'!AD503)),'Providers'!AD503+500/100000,"")</f>
        <v/>
      </c>
      <c r="B503">
        <f>IF(AND(LEN('Providers'!A503)&gt;0,ISNUMBER('Providers'!AD503)),MAX($B$3:B502)+1,"")</f>
        <v/>
      </c>
      <c r="E503">
        <f>IFERROR(MATCH(500,$B$4:$B$503,0),"")</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4503"/>
  <sheetViews>
    <sheetView tabSelected="0" workbookViewId="0">
      <selection activeCell="A1" sqref="A1"/>
    </sheetView>
  </sheetViews>
  <sheetFormatPr baseColWidth="8" defaultRowHeight="15"/>
  <sheetData>
    <row r="1">
      <c r="A1" t="inlineStr">
        <is>
          <t>Helper for "Import to ExpiryEdge": one row per tracker row per dated item. Do not edit.</t>
        </is>
      </c>
    </row>
    <row r="3">
      <c r="A3" t="inlineStr">
        <is>
          <t>has_date</t>
        </is>
      </c>
      <c r="B3" t="n">
        <v>0</v>
      </c>
      <c r="C3" t="inlineStr">
        <is>
          <t>pos_of_k</t>
        </is>
      </c>
      <c r="D3" t="inlineStr">
        <is>
          <t>name</t>
        </is>
      </c>
      <c r="E3" t="inlineStr">
        <is>
          <t>expiry_date</t>
        </is>
      </c>
      <c r="F3" t="inlineStr">
        <is>
          <t>type</t>
        </is>
      </c>
      <c r="G3" t="inlineStr">
        <is>
          <t>start_date</t>
        </is>
      </c>
      <c r="H3" t="inlineStr">
        <is>
          <t>priority</t>
        </is>
      </c>
      <c r="I3" t="inlineStr">
        <is>
          <t>notes</t>
        </is>
      </c>
      <c r="J3" t="inlineStr">
        <is>
          <t>url</t>
        </is>
      </c>
      <c r="K3" t="inlineStr">
        <is>
          <t>notification_email</t>
        </is>
      </c>
    </row>
    <row r="4">
      <c r="A4">
        <f>IF(AND(LEN('Providers'!A4)&gt;0,ISNUMBER('Providers'!G4)),1,0)</f>
        <v/>
      </c>
      <c r="B4">
        <f>B3+A4</f>
        <v/>
      </c>
      <c r="C4">
        <f>IF(1&gt;$B$4503,"",MATCH(1-0.5,$B$3:$B$4503,1))</f>
        <v/>
      </c>
      <c r="D4">
        <f>"State license ("&amp;IF(LEN(INDEX('Providers'!$E$4:$E$503,1))=0,"",INDEX('Providers'!$E$4:$E$503,1))&amp;") – "&amp;IF(LEN(INDEX('Providers'!$A$4:$A$503,1))=0,"",INDEX('Providers'!$A$4:$A$503,1))</f>
        <v/>
      </c>
      <c r="E4">
        <f>IF(ISNUMBER(INDEX('Providers'!$G$4:$G$503,1)),TEXT(INDEX('Providers'!$G$4:$G$503,1),"yyyy-mm-dd"),"")</f>
        <v/>
      </c>
      <c r="F4">
        <f>"License"</f>
        <v/>
      </c>
      <c r="G4">
        <f>""</f>
        <v/>
      </c>
      <c r="H4">
        <f>"High"</f>
        <v/>
      </c>
      <c r="I4">
        <f>TRIM(IF(LEN(IF(LEN(INDEX('Providers'!$F$4:$F$503,1))=0,"",INDEX('Providers'!$F$4:$F$503,1)))=0,"","License no.: "&amp;IF(LEN(INDEX('Providers'!$F$4:$F$503,1))=0,"",INDEX('Providers'!$F$4:$F$503,1))&amp;". ")&amp;IF(LEN(IF(LEN(INDEX('Providers'!$C$4:$C$503,1))=0,"",INDEX('Providers'!$C$4:$C$503,1)))=0,"","NPI: "&amp;IF(LEN(INDEX('Providers'!$C$4:$C$503,1))=0,"",INDEX('Providers'!$C$4:$C$503,1))&amp;". ")&amp;IF(LEN(IF(LEN(INDEX('Providers'!$D$4:$D$503,1))=0,"",INDEX('Providers'!$D$4:$D$503,1)))=0,"","Specialty: "&amp;IF(LEN(INDEX('Providers'!$D$4:$D$503,1))=0,"",INDEX('Providers'!$D$4:$D$503,1))&amp;". ")&amp;IF(LEN(IF(LEN(INDEX('Providers'!$AK$4:$AK$503,1))=0,"",INDEX('Providers'!$AK$4:$AK$503,1)))=0,"",IF(LEN(INDEX('Providers'!$AK$4:$AK$503,1))=0,"",INDEX('Providers'!$AK$4:$AK$503,1))))</f>
        <v/>
      </c>
      <c r="J4">
        <f>IF(LEN(INDEX('Providers'!$AJ$4:$AJ$503,1))=0,"",INDEX('Providers'!$AJ$4:$AJ$503,1))</f>
        <v/>
      </c>
      <c r="K4">
        <f>IF(LEN(INDEX('Providers'!$AI$4:$AI$503,1))=0,"",INDEX('Providers'!$AI$4:$AI$503,1))</f>
        <v/>
      </c>
    </row>
    <row r="5">
      <c r="A5">
        <f>IF(AND(LEN('Providers'!A5)&gt;0,ISNUMBER('Providers'!G5)),1,0)</f>
        <v/>
      </c>
      <c r="B5">
        <f>B4+A5</f>
        <v/>
      </c>
      <c r="C5">
        <f>IF(2&gt;$B$4503,"",MATCH(2-0.5,$B$3:$B$4503,1))</f>
        <v/>
      </c>
      <c r="D5">
        <f>"State license ("&amp;IF(LEN(INDEX('Providers'!$E$4:$E$503,2))=0,"",INDEX('Providers'!$E$4:$E$503,2))&amp;") – "&amp;IF(LEN(INDEX('Providers'!$A$4:$A$503,2))=0,"",INDEX('Providers'!$A$4:$A$503,2))</f>
        <v/>
      </c>
      <c r="E5">
        <f>IF(ISNUMBER(INDEX('Providers'!$G$4:$G$503,2)),TEXT(INDEX('Providers'!$G$4:$G$503,2),"yyyy-mm-dd"),"")</f>
        <v/>
      </c>
      <c r="F5">
        <f>"License"</f>
        <v/>
      </c>
      <c r="G5">
        <f>""</f>
        <v/>
      </c>
      <c r="H5">
        <f>"High"</f>
        <v/>
      </c>
      <c r="I5">
        <f>TRIM(IF(LEN(IF(LEN(INDEX('Providers'!$F$4:$F$503,2))=0,"",INDEX('Providers'!$F$4:$F$503,2)))=0,"","License no.: "&amp;IF(LEN(INDEX('Providers'!$F$4:$F$503,2))=0,"",INDEX('Providers'!$F$4:$F$503,2))&amp;". ")&amp;IF(LEN(IF(LEN(INDEX('Providers'!$C$4:$C$503,2))=0,"",INDEX('Providers'!$C$4:$C$503,2)))=0,"","NPI: "&amp;IF(LEN(INDEX('Providers'!$C$4:$C$503,2))=0,"",INDEX('Providers'!$C$4:$C$503,2))&amp;". ")&amp;IF(LEN(IF(LEN(INDEX('Providers'!$D$4:$D$503,2))=0,"",INDEX('Providers'!$D$4:$D$503,2)))=0,"","Specialty: "&amp;IF(LEN(INDEX('Providers'!$D$4:$D$503,2))=0,"",INDEX('Providers'!$D$4:$D$503,2))&amp;". ")&amp;IF(LEN(IF(LEN(INDEX('Providers'!$AK$4:$AK$503,2))=0,"",INDEX('Providers'!$AK$4:$AK$503,2)))=0,"",IF(LEN(INDEX('Providers'!$AK$4:$AK$503,2))=0,"",INDEX('Providers'!$AK$4:$AK$503,2))))</f>
        <v/>
      </c>
      <c r="J5">
        <f>IF(LEN(INDEX('Providers'!$AJ$4:$AJ$503,2))=0,"",INDEX('Providers'!$AJ$4:$AJ$503,2))</f>
        <v/>
      </c>
      <c r="K5">
        <f>IF(LEN(INDEX('Providers'!$AI$4:$AI$503,2))=0,"",INDEX('Providers'!$AI$4:$AI$503,2))</f>
        <v/>
      </c>
    </row>
    <row r="6">
      <c r="A6">
        <f>IF(AND(LEN('Providers'!A6)&gt;0,ISNUMBER('Providers'!G6)),1,0)</f>
        <v/>
      </c>
      <c r="B6">
        <f>B5+A6</f>
        <v/>
      </c>
      <c r="C6">
        <f>IF(3&gt;$B$4503,"",MATCH(3-0.5,$B$3:$B$4503,1))</f>
        <v/>
      </c>
      <c r="D6">
        <f>"State license ("&amp;IF(LEN(INDEX('Providers'!$E$4:$E$503,3))=0,"",INDEX('Providers'!$E$4:$E$503,3))&amp;") – "&amp;IF(LEN(INDEX('Providers'!$A$4:$A$503,3))=0,"",INDEX('Providers'!$A$4:$A$503,3))</f>
        <v/>
      </c>
      <c r="E6">
        <f>IF(ISNUMBER(INDEX('Providers'!$G$4:$G$503,3)),TEXT(INDEX('Providers'!$G$4:$G$503,3),"yyyy-mm-dd"),"")</f>
        <v/>
      </c>
      <c r="F6">
        <f>"License"</f>
        <v/>
      </c>
      <c r="G6">
        <f>""</f>
        <v/>
      </c>
      <c r="H6">
        <f>"High"</f>
        <v/>
      </c>
      <c r="I6">
        <f>TRIM(IF(LEN(IF(LEN(INDEX('Providers'!$F$4:$F$503,3))=0,"",INDEX('Providers'!$F$4:$F$503,3)))=0,"","License no.: "&amp;IF(LEN(INDEX('Providers'!$F$4:$F$503,3))=0,"",INDEX('Providers'!$F$4:$F$503,3))&amp;". ")&amp;IF(LEN(IF(LEN(INDEX('Providers'!$C$4:$C$503,3))=0,"",INDEX('Providers'!$C$4:$C$503,3)))=0,"","NPI: "&amp;IF(LEN(INDEX('Providers'!$C$4:$C$503,3))=0,"",INDEX('Providers'!$C$4:$C$503,3))&amp;". ")&amp;IF(LEN(IF(LEN(INDEX('Providers'!$D$4:$D$503,3))=0,"",INDEX('Providers'!$D$4:$D$503,3)))=0,"","Specialty: "&amp;IF(LEN(INDEX('Providers'!$D$4:$D$503,3))=0,"",INDEX('Providers'!$D$4:$D$503,3))&amp;". ")&amp;IF(LEN(IF(LEN(INDEX('Providers'!$AK$4:$AK$503,3))=0,"",INDEX('Providers'!$AK$4:$AK$503,3)))=0,"",IF(LEN(INDEX('Providers'!$AK$4:$AK$503,3))=0,"",INDEX('Providers'!$AK$4:$AK$503,3))))</f>
        <v/>
      </c>
      <c r="J6">
        <f>IF(LEN(INDEX('Providers'!$AJ$4:$AJ$503,3))=0,"",INDEX('Providers'!$AJ$4:$AJ$503,3))</f>
        <v/>
      </c>
      <c r="K6">
        <f>IF(LEN(INDEX('Providers'!$AI$4:$AI$503,3))=0,"",INDEX('Providers'!$AI$4:$AI$503,3))</f>
        <v/>
      </c>
    </row>
    <row r="7">
      <c r="A7">
        <f>IF(AND(LEN('Providers'!A7)&gt;0,ISNUMBER('Providers'!G7)),1,0)</f>
        <v/>
      </c>
      <c r="B7">
        <f>B6+A7</f>
        <v/>
      </c>
      <c r="C7">
        <f>IF(4&gt;$B$4503,"",MATCH(4-0.5,$B$3:$B$4503,1))</f>
        <v/>
      </c>
      <c r="D7">
        <f>"State license ("&amp;IF(LEN(INDEX('Providers'!$E$4:$E$503,4))=0,"",INDEX('Providers'!$E$4:$E$503,4))&amp;") – "&amp;IF(LEN(INDEX('Providers'!$A$4:$A$503,4))=0,"",INDEX('Providers'!$A$4:$A$503,4))</f>
        <v/>
      </c>
      <c r="E7">
        <f>IF(ISNUMBER(INDEX('Providers'!$G$4:$G$503,4)),TEXT(INDEX('Providers'!$G$4:$G$503,4),"yyyy-mm-dd"),"")</f>
        <v/>
      </c>
      <c r="F7">
        <f>"License"</f>
        <v/>
      </c>
      <c r="G7">
        <f>""</f>
        <v/>
      </c>
      <c r="H7">
        <f>"High"</f>
        <v/>
      </c>
      <c r="I7">
        <f>TRIM(IF(LEN(IF(LEN(INDEX('Providers'!$F$4:$F$503,4))=0,"",INDEX('Providers'!$F$4:$F$503,4)))=0,"","License no.: "&amp;IF(LEN(INDEX('Providers'!$F$4:$F$503,4))=0,"",INDEX('Providers'!$F$4:$F$503,4))&amp;". ")&amp;IF(LEN(IF(LEN(INDEX('Providers'!$C$4:$C$503,4))=0,"",INDEX('Providers'!$C$4:$C$503,4)))=0,"","NPI: "&amp;IF(LEN(INDEX('Providers'!$C$4:$C$503,4))=0,"",INDEX('Providers'!$C$4:$C$503,4))&amp;". ")&amp;IF(LEN(IF(LEN(INDEX('Providers'!$D$4:$D$503,4))=0,"",INDEX('Providers'!$D$4:$D$503,4)))=0,"","Specialty: "&amp;IF(LEN(INDEX('Providers'!$D$4:$D$503,4))=0,"",INDEX('Providers'!$D$4:$D$503,4))&amp;". ")&amp;IF(LEN(IF(LEN(INDEX('Providers'!$AK$4:$AK$503,4))=0,"",INDEX('Providers'!$AK$4:$AK$503,4)))=0,"",IF(LEN(INDEX('Providers'!$AK$4:$AK$503,4))=0,"",INDEX('Providers'!$AK$4:$AK$503,4))))</f>
        <v/>
      </c>
      <c r="J7">
        <f>IF(LEN(INDEX('Providers'!$AJ$4:$AJ$503,4))=0,"",INDEX('Providers'!$AJ$4:$AJ$503,4))</f>
        <v/>
      </c>
      <c r="K7">
        <f>IF(LEN(INDEX('Providers'!$AI$4:$AI$503,4))=0,"",INDEX('Providers'!$AI$4:$AI$503,4))</f>
        <v/>
      </c>
    </row>
    <row r="8">
      <c r="A8">
        <f>IF(AND(LEN('Providers'!A8)&gt;0,ISNUMBER('Providers'!G8)),1,0)</f>
        <v/>
      </c>
      <c r="B8">
        <f>B7+A8</f>
        <v/>
      </c>
      <c r="C8">
        <f>IF(5&gt;$B$4503,"",MATCH(5-0.5,$B$3:$B$4503,1))</f>
        <v/>
      </c>
      <c r="D8">
        <f>"State license ("&amp;IF(LEN(INDEX('Providers'!$E$4:$E$503,5))=0,"",INDEX('Providers'!$E$4:$E$503,5))&amp;") – "&amp;IF(LEN(INDEX('Providers'!$A$4:$A$503,5))=0,"",INDEX('Providers'!$A$4:$A$503,5))</f>
        <v/>
      </c>
      <c r="E8">
        <f>IF(ISNUMBER(INDEX('Providers'!$G$4:$G$503,5)),TEXT(INDEX('Providers'!$G$4:$G$503,5),"yyyy-mm-dd"),"")</f>
        <v/>
      </c>
      <c r="F8">
        <f>"License"</f>
        <v/>
      </c>
      <c r="G8">
        <f>""</f>
        <v/>
      </c>
      <c r="H8">
        <f>"High"</f>
        <v/>
      </c>
      <c r="I8">
        <f>TRIM(IF(LEN(IF(LEN(INDEX('Providers'!$F$4:$F$503,5))=0,"",INDEX('Providers'!$F$4:$F$503,5)))=0,"","License no.: "&amp;IF(LEN(INDEX('Providers'!$F$4:$F$503,5))=0,"",INDEX('Providers'!$F$4:$F$503,5))&amp;". ")&amp;IF(LEN(IF(LEN(INDEX('Providers'!$C$4:$C$503,5))=0,"",INDEX('Providers'!$C$4:$C$503,5)))=0,"","NPI: "&amp;IF(LEN(INDEX('Providers'!$C$4:$C$503,5))=0,"",INDEX('Providers'!$C$4:$C$503,5))&amp;". ")&amp;IF(LEN(IF(LEN(INDEX('Providers'!$D$4:$D$503,5))=0,"",INDEX('Providers'!$D$4:$D$503,5)))=0,"","Specialty: "&amp;IF(LEN(INDEX('Providers'!$D$4:$D$503,5))=0,"",INDEX('Providers'!$D$4:$D$503,5))&amp;". ")&amp;IF(LEN(IF(LEN(INDEX('Providers'!$AK$4:$AK$503,5))=0,"",INDEX('Providers'!$AK$4:$AK$503,5)))=0,"",IF(LEN(INDEX('Providers'!$AK$4:$AK$503,5))=0,"",INDEX('Providers'!$AK$4:$AK$503,5))))</f>
        <v/>
      </c>
      <c r="J8">
        <f>IF(LEN(INDEX('Providers'!$AJ$4:$AJ$503,5))=0,"",INDEX('Providers'!$AJ$4:$AJ$503,5))</f>
        <v/>
      </c>
      <c r="K8">
        <f>IF(LEN(INDEX('Providers'!$AI$4:$AI$503,5))=0,"",INDEX('Providers'!$AI$4:$AI$503,5))</f>
        <v/>
      </c>
    </row>
    <row r="9">
      <c r="A9">
        <f>IF(AND(LEN('Providers'!A9)&gt;0,ISNUMBER('Providers'!G9)),1,0)</f>
        <v/>
      </c>
      <c r="B9">
        <f>B8+A9</f>
        <v/>
      </c>
      <c r="C9">
        <f>IF(6&gt;$B$4503,"",MATCH(6-0.5,$B$3:$B$4503,1))</f>
        <v/>
      </c>
      <c r="D9">
        <f>"State license ("&amp;IF(LEN(INDEX('Providers'!$E$4:$E$503,6))=0,"",INDEX('Providers'!$E$4:$E$503,6))&amp;") – "&amp;IF(LEN(INDEX('Providers'!$A$4:$A$503,6))=0,"",INDEX('Providers'!$A$4:$A$503,6))</f>
        <v/>
      </c>
      <c r="E9">
        <f>IF(ISNUMBER(INDEX('Providers'!$G$4:$G$503,6)),TEXT(INDEX('Providers'!$G$4:$G$503,6),"yyyy-mm-dd"),"")</f>
        <v/>
      </c>
      <c r="F9">
        <f>"License"</f>
        <v/>
      </c>
      <c r="G9">
        <f>""</f>
        <v/>
      </c>
      <c r="H9">
        <f>"High"</f>
        <v/>
      </c>
      <c r="I9">
        <f>TRIM(IF(LEN(IF(LEN(INDEX('Providers'!$F$4:$F$503,6))=0,"",INDEX('Providers'!$F$4:$F$503,6)))=0,"","License no.: "&amp;IF(LEN(INDEX('Providers'!$F$4:$F$503,6))=0,"",INDEX('Providers'!$F$4:$F$503,6))&amp;". ")&amp;IF(LEN(IF(LEN(INDEX('Providers'!$C$4:$C$503,6))=0,"",INDEX('Providers'!$C$4:$C$503,6)))=0,"","NPI: "&amp;IF(LEN(INDEX('Providers'!$C$4:$C$503,6))=0,"",INDEX('Providers'!$C$4:$C$503,6))&amp;". ")&amp;IF(LEN(IF(LEN(INDEX('Providers'!$D$4:$D$503,6))=0,"",INDEX('Providers'!$D$4:$D$503,6)))=0,"","Specialty: "&amp;IF(LEN(INDEX('Providers'!$D$4:$D$503,6))=0,"",INDEX('Providers'!$D$4:$D$503,6))&amp;". ")&amp;IF(LEN(IF(LEN(INDEX('Providers'!$AK$4:$AK$503,6))=0,"",INDEX('Providers'!$AK$4:$AK$503,6)))=0,"",IF(LEN(INDEX('Providers'!$AK$4:$AK$503,6))=0,"",INDEX('Providers'!$AK$4:$AK$503,6))))</f>
        <v/>
      </c>
      <c r="J9">
        <f>IF(LEN(INDEX('Providers'!$AJ$4:$AJ$503,6))=0,"",INDEX('Providers'!$AJ$4:$AJ$503,6))</f>
        <v/>
      </c>
      <c r="K9">
        <f>IF(LEN(INDEX('Providers'!$AI$4:$AI$503,6))=0,"",INDEX('Providers'!$AI$4:$AI$503,6))</f>
        <v/>
      </c>
    </row>
    <row r="10">
      <c r="A10">
        <f>IF(AND(LEN('Providers'!A10)&gt;0,ISNUMBER('Providers'!G10)),1,0)</f>
        <v/>
      </c>
      <c r="B10">
        <f>B9+A10</f>
        <v/>
      </c>
      <c r="C10">
        <f>IF(7&gt;$B$4503,"",MATCH(7-0.5,$B$3:$B$4503,1))</f>
        <v/>
      </c>
      <c r="D10">
        <f>"State license ("&amp;IF(LEN(INDEX('Providers'!$E$4:$E$503,7))=0,"",INDEX('Providers'!$E$4:$E$503,7))&amp;") – "&amp;IF(LEN(INDEX('Providers'!$A$4:$A$503,7))=0,"",INDEX('Providers'!$A$4:$A$503,7))</f>
        <v/>
      </c>
      <c r="E10">
        <f>IF(ISNUMBER(INDEX('Providers'!$G$4:$G$503,7)),TEXT(INDEX('Providers'!$G$4:$G$503,7),"yyyy-mm-dd"),"")</f>
        <v/>
      </c>
      <c r="F10">
        <f>"License"</f>
        <v/>
      </c>
      <c r="G10">
        <f>""</f>
        <v/>
      </c>
      <c r="H10">
        <f>"High"</f>
        <v/>
      </c>
      <c r="I10">
        <f>TRIM(IF(LEN(IF(LEN(INDEX('Providers'!$F$4:$F$503,7))=0,"",INDEX('Providers'!$F$4:$F$503,7)))=0,"","License no.: "&amp;IF(LEN(INDEX('Providers'!$F$4:$F$503,7))=0,"",INDEX('Providers'!$F$4:$F$503,7))&amp;". ")&amp;IF(LEN(IF(LEN(INDEX('Providers'!$C$4:$C$503,7))=0,"",INDEX('Providers'!$C$4:$C$503,7)))=0,"","NPI: "&amp;IF(LEN(INDEX('Providers'!$C$4:$C$503,7))=0,"",INDEX('Providers'!$C$4:$C$503,7))&amp;". ")&amp;IF(LEN(IF(LEN(INDEX('Providers'!$D$4:$D$503,7))=0,"",INDEX('Providers'!$D$4:$D$503,7)))=0,"","Specialty: "&amp;IF(LEN(INDEX('Providers'!$D$4:$D$503,7))=0,"",INDEX('Providers'!$D$4:$D$503,7))&amp;". ")&amp;IF(LEN(IF(LEN(INDEX('Providers'!$AK$4:$AK$503,7))=0,"",INDEX('Providers'!$AK$4:$AK$503,7)))=0,"",IF(LEN(INDEX('Providers'!$AK$4:$AK$503,7))=0,"",INDEX('Providers'!$AK$4:$AK$503,7))))</f>
        <v/>
      </c>
      <c r="J10">
        <f>IF(LEN(INDEX('Providers'!$AJ$4:$AJ$503,7))=0,"",INDEX('Providers'!$AJ$4:$AJ$503,7))</f>
        <v/>
      </c>
      <c r="K10">
        <f>IF(LEN(INDEX('Providers'!$AI$4:$AI$503,7))=0,"",INDEX('Providers'!$AI$4:$AI$503,7))</f>
        <v/>
      </c>
    </row>
    <row r="11">
      <c r="A11">
        <f>IF(AND(LEN('Providers'!A11)&gt;0,ISNUMBER('Providers'!G11)),1,0)</f>
        <v/>
      </c>
      <c r="B11">
        <f>B10+A11</f>
        <v/>
      </c>
      <c r="C11">
        <f>IF(8&gt;$B$4503,"",MATCH(8-0.5,$B$3:$B$4503,1))</f>
        <v/>
      </c>
      <c r="D11">
        <f>"State license ("&amp;IF(LEN(INDEX('Providers'!$E$4:$E$503,8))=0,"",INDEX('Providers'!$E$4:$E$503,8))&amp;") – "&amp;IF(LEN(INDEX('Providers'!$A$4:$A$503,8))=0,"",INDEX('Providers'!$A$4:$A$503,8))</f>
        <v/>
      </c>
      <c r="E11">
        <f>IF(ISNUMBER(INDEX('Providers'!$G$4:$G$503,8)),TEXT(INDEX('Providers'!$G$4:$G$503,8),"yyyy-mm-dd"),"")</f>
        <v/>
      </c>
      <c r="F11">
        <f>"License"</f>
        <v/>
      </c>
      <c r="G11">
        <f>""</f>
        <v/>
      </c>
      <c r="H11">
        <f>"High"</f>
        <v/>
      </c>
      <c r="I11">
        <f>TRIM(IF(LEN(IF(LEN(INDEX('Providers'!$F$4:$F$503,8))=0,"",INDEX('Providers'!$F$4:$F$503,8)))=0,"","License no.: "&amp;IF(LEN(INDEX('Providers'!$F$4:$F$503,8))=0,"",INDEX('Providers'!$F$4:$F$503,8))&amp;". ")&amp;IF(LEN(IF(LEN(INDEX('Providers'!$C$4:$C$503,8))=0,"",INDEX('Providers'!$C$4:$C$503,8)))=0,"","NPI: "&amp;IF(LEN(INDEX('Providers'!$C$4:$C$503,8))=0,"",INDEX('Providers'!$C$4:$C$503,8))&amp;". ")&amp;IF(LEN(IF(LEN(INDEX('Providers'!$D$4:$D$503,8))=0,"",INDEX('Providers'!$D$4:$D$503,8)))=0,"","Specialty: "&amp;IF(LEN(INDEX('Providers'!$D$4:$D$503,8))=0,"",INDEX('Providers'!$D$4:$D$503,8))&amp;". ")&amp;IF(LEN(IF(LEN(INDEX('Providers'!$AK$4:$AK$503,8))=0,"",INDEX('Providers'!$AK$4:$AK$503,8)))=0,"",IF(LEN(INDEX('Providers'!$AK$4:$AK$503,8))=0,"",INDEX('Providers'!$AK$4:$AK$503,8))))</f>
        <v/>
      </c>
      <c r="J11">
        <f>IF(LEN(INDEX('Providers'!$AJ$4:$AJ$503,8))=0,"",INDEX('Providers'!$AJ$4:$AJ$503,8))</f>
        <v/>
      </c>
      <c r="K11">
        <f>IF(LEN(INDEX('Providers'!$AI$4:$AI$503,8))=0,"",INDEX('Providers'!$AI$4:$AI$503,8))</f>
        <v/>
      </c>
    </row>
    <row r="12">
      <c r="A12">
        <f>IF(AND(LEN('Providers'!A12)&gt;0,ISNUMBER('Providers'!G12)),1,0)</f>
        <v/>
      </c>
      <c r="B12">
        <f>B11+A12</f>
        <v/>
      </c>
      <c r="C12">
        <f>IF(9&gt;$B$4503,"",MATCH(9-0.5,$B$3:$B$4503,1))</f>
        <v/>
      </c>
      <c r="D12">
        <f>"State license ("&amp;IF(LEN(INDEX('Providers'!$E$4:$E$503,9))=0,"",INDEX('Providers'!$E$4:$E$503,9))&amp;") – "&amp;IF(LEN(INDEX('Providers'!$A$4:$A$503,9))=0,"",INDEX('Providers'!$A$4:$A$503,9))</f>
        <v/>
      </c>
      <c r="E12">
        <f>IF(ISNUMBER(INDEX('Providers'!$G$4:$G$503,9)),TEXT(INDEX('Providers'!$G$4:$G$503,9),"yyyy-mm-dd"),"")</f>
        <v/>
      </c>
      <c r="F12">
        <f>"License"</f>
        <v/>
      </c>
      <c r="G12">
        <f>""</f>
        <v/>
      </c>
      <c r="H12">
        <f>"High"</f>
        <v/>
      </c>
      <c r="I12">
        <f>TRIM(IF(LEN(IF(LEN(INDEX('Providers'!$F$4:$F$503,9))=0,"",INDEX('Providers'!$F$4:$F$503,9)))=0,"","License no.: "&amp;IF(LEN(INDEX('Providers'!$F$4:$F$503,9))=0,"",INDEX('Providers'!$F$4:$F$503,9))&amp;". ")&amp;IF(LEN(IF(LEN(INDEX('Providers'!$C$4:$C$503,9))=0,"",INDEX('Providers'!$C$4:$C$503,9)))=0,"","NPI: "&amp;IF(LEN(INDEX('Providers'!$C$4:$C$503,9))=0,"",INDEX('Providers'!$C$4:$C$503,9))&amp;". ")&amp;IF(LEN(IF(LEN(INDEX('Providers'!$D$4:$D$503,9))=0,"",INDEX('Providers'!$D$4:$D$503,9)))=0,"","Specialty: "&amp;IF(LEN(INDEX('Providers'!$D$4:$D$503,9))=0,"",INDEX('Providers'!$D$4:$D$503,9))&amp;". ")&amp;IF(LEN(IF(LEN(INDEX('Providers'!$AK$4:$AK$503,9))=0,"",INDEX('Providers'!$AK$4:$AK$503,9)))=0,"",IF(LEN(INDEX('Providers'!$AK$4:$AK$503,9))=0,"",INDEX('Providers'!$AK$4:$AK$503,9))))</f>
        <v/>
      </c>
      <c r="J12">
        <f>IF(LEN(INDEX('Providers'!$AJ$4:$AJ$503,9))=0,"",INDEX('Providers'!$AJ$4:$AJ$503,9))</f>
        <v/>
      </c>
      <c r="K12">
        <f>IF(LEN(INDEX('Providers'!$AI$4:$AI$503,9))=0,"",INDEX('Providers'!$AI$4:$AI$503,9))</f>
        <v/>
      </c>
    </row>
    <row r="13">
      <c r="A13">
        <f>IF(AND(LEN('Providers'!A13)&gt;0,ISNUMBER('Providers'!G13)),1,0)</f>
        <v/>
      </c>
      <c r="B13">
        <f>B12+A13</f>
        <v/>
      </c>
      <c r="C13">
        <f>IF(10&gt;$B$4503,"",MATCH(10-0.5,$B$3:$B$4503,1))</f>
        <v/>
      </c>
      <c r="D13">
        <f>"State license ("&amp;IF(LEN(INDEX('Providers'!$E$4:$E$503,10))=0,"",INDEX('Providers'!$E$4:$E$503,10))&amp;") – "&amp;IF(LEN(INDEX('Providers'!$A$4:$A$503,10))=0,"",INDEX('Providers'!$A$4:$A$503,10))</f>
        <v/>
      </c>
      <c r="E13">
        <f>IF(ISNUMBER(INDEX('Providers'!$G$4:$G$503,10)),TEXT(INDEX('Providers'!$G$4:$G$503,10),"yyyy-mm-dd"),"")</f>
        <v/>
      </c>
      <c r="F13">
        <f>"License"</f>
        <v/>
      </c>
      <c r="G13">
        <f>""</f>
        <v/>
      </c>
      <c r="H13">
        <f>"High"</f>
        <v/>
      </c>
      <c r="I13">
        <f>TRIM(IF(LEN(IF(LEN(INDEX('Providers'!$F$4:$F$503,10))=0,"",INDEX('Providers'!$F$4:$F$503,10)))=0,"","License no.: "&amp;IF(LEN(INDEX('Providers'!$F$4:$F$503,10))=0,"",INDEX('Providers'!$F$4:$F$503,10))&amp;". ")&amp;IF(LEN(IF(LEN(INDEX('Providers'!$C$4:$C$503,10))=0,"",INDEX('Providers'!$C$4:$C$503,10)))=0,"","NPI: "&amp;IF(LEN(INDEX('Providers'!$C$4:$C$503,10))=0,"",INDEX('Providers'!$C$4:$C$503,10))&amp;". ")&amp;IF(LEN(IF(LEN(INDEX('Providers'!$D$4:$D$503,10))=0,"",INDEX('Providers'!$D$4:$D$503,10)))=0,"","Specialty: "&amp;IF(LEN(INDEX('Providers'!$D$4:$D$503,10))=0,"",INDEX('Providers'!$D$4:$D$503,10))&amp;". ")&amp;IF(LEN(IF(LEN(INDEX('Providers'!$AK$4:$AK$503,10))=0,"",INDEX('Providers'!$AK$4:$AK$503,10)))=0,"",IF(LEN(INDEX('Providers'!$AK$4:$AK$503,10))=0,"",INDEX('Providers'!$AK$4:$AK$503,10))))</f>
        <v/>
      </c>
      <c r="J13">
        <f>IF(LEN(INDEX('Providers'!$AJ$4:$AJ$503,10))=0,"",INDEX('Providers'!$AJ$4:$AJ$503,10))</f>
        <v/>
      </c>
      <c r="K13">
        <f>IF(LEN(INDEX('Providers'!$AI$4:$AI$503,10))=0,"",INDEX('Providers'!$AI$4:$AI$503,10))</f>
        <v/>
      </c>
    </row>
    <row r="14">
      <c r="A14">
        <f>IF(AND(LEN('Providers'!A14)&gt;0,ISNUMBER('Providers'!G14)),1,0)</f>
        <v/>
      </c>
      <c r="B14">
        <f>B13+A14</f>
        <v/>
      </c>
      <c r="C14">
        <f>IF(11&gt;$B$4503,"",MATCH(11-0.5,$B$3:$B$4503,1))</f>
        <v/>
      </c>
      <c r="D14">
        <f>"State license ("&amp;IF(LEN(INDEX('Providers'!$E$4:$E$503,11))=0,"",INDEX('Providers'!$E$4:$E$503,11))&amp;") – "&amp;IF(LEN(INDEX('Providers'!$A$4:$A$503,11))=0,"",INDEX('Providers'!$A$4:$A$503,11))</f>
        <v/>
      </c>
      <c r="E14">
        <f>IF(ISNUMBER(INDEX('Providers'!$G$4:$G$503,11)),TEXT(INDEX('Providers'!$G$4:$G$503,11),"yyyy-mm-dd"),"")</f>
        <v/>
      </c>
      <c r="F14">
        <f>"License"</f>
        <v/>
      </c>
      <c r="G14">
        <f>""</f>
        <v/>
      </c>
      <c r="H14">
        <f>"High"</f>
        <v/>
      </c>
      <c r="I14">
        <f>TRIM(IF(LEN(IF(LEN(INDEX('Providers'!$F$4:$F$503,11))=0,"",INDEX('Providers'!$F$4:$F$503,11)))=0,"","License no.: "&amp;IF(LEN(INDEX('Providers'!$F$4:$F$503,11))=0,"",INDEX('Providers'!$F$4:$F$503,11))&amp;". ")&amp;IF(LEN(IF(LEN(INDEX('Providers'!$C$4:$C$503,11))=0,"",INDEX('Providers'!$C$4:$C$503,11)))=0,"","NPI: "&amp;IF(LEN(INDEX('Providers'!$C$4:$C$503,11))=0,"",INDEX('Providers'!$C$4:$C$503,11))&amp;". ")&amp;IF(LEN(IF(LEN(INDEX('Providers'!$D$4:$D$503,11))=0,"",INDEX('Providers'!$D$4:$D$503,11)))=0,"","Specialty: "&amp;IF(LEN(INDEX('Providers'!$D$4:$D$503,11))=0,"",INDEX('Providers'!$D$4:$D$503,11))&amp;". ")&amp;IF(LEN(IF(LEN(INDEX('Providers'!$AK$4:$AK$503,11))=0,"",INDEX('Providers'!$AK$4:$AK$503,11)))=0,"",IF(LEN(INDEX('Providers'!$AK$4:$AK$503,11))=0,"",INDEX('Providers'!$AK$4:$AK$503,11))))</f>
        <v/>
      </c>
      <c r="J14">
        <f>IF(LEN(INDEX('Providers'!$AJ$4:$AJ$503,11))=0,"",INDEX('Providers'!$AJ$4:$AJ$503,11))</f>
        <v/>
      </c>
      <c r="K14">
        <f>IF(LEN(INDEX('Providers'!$AI$4:$AI$503,11))=0,"",INDEX('Providers'!$AI$4:$AI$503,11))</f>
        <v/>
      </c>
    </row>
    <row r="15">
      <c r="A15">
        <f>IF(AND(LEN('Providers'!A15)&gt;0,ISNUMBER('Providers'!G15)),1,0)</f>
        <v/>
      </c>
      <c r="B15">
        <f>B14+A15</f>
        <v/>
      </c>
      <c r="C15">
        <f>IF(12&gt;$B$4503,"",MATCH(12-0.5,$B$3:$B$4503,1))</f>
        <v/>
      </c>
      <c r="D15">
        <f>"State license ("&amp;IF(LEN(INDEX('Providers'!$E$4:$E$503,12))=0,"",INDEX('Providers'!$E$4:$E$503,12))&amp;") – "&amp;IF(LEN(INDEX('Providers'!$A$4:$A$503,12))=0,"",INDEX('Providers'!$A$4:$A$503,12))</f>
        <v/>
      </c>
      <c r="E15">
        <f>IF(ISNUMBER(INDEX('Providers'!$G$4:$G$503,12)),TEXT(INDEX('Providers'!$G$4:$G$503,12),"yyyy-mm-dd"),"")</f>
        <v/>
      </c>
      <c r="F15">
        <f>"License"</f>
        <v/>
      </c>
      <c r="G15">
        <f>""</f>
        <v/>
      </c>
      <c r="H15">
        <f>"High"</f>
        <v/>
      </c>
      <c r="I15">
        <f>TRIM(IF(LEN(IF(LEN(INDEX('Providers'!$F$4:$F$503,12))=0,"",INDEX('Providers'!$F$4:$F$503,12)))=0,"","License no.: "&amp;IF(LEN(INDEX('Providers'!$F$4:$F$503,12))=0,"",INDEX('Providers'!$F$4:$F$503,12))&amp;". ")&amp;IF(LEN(IF(LEN(INDEX('Providers'!$C$4:$C$503,12))=0,"",INDEX('Providers'!$C$4:$C$503,12)))=0,"","NPI: "&amp;IF(LEN(INDEX('Providers'!$C$4:$C$503,12))=0,"",INDEX('Providers'!$C$4:$C$503,12))&amp;". ")&amp;IF(LEN(IF(LEN(INDEX('Providers'!$D$4:$D$503,12))=0,"",INDEX('Providers'!$D$4:$D$503,12)))=0,"","Specialty: "&amp;IF(LEN(INDEX('Providers'!$D$4:$D$503,12))=0,"",INDEX('Providers'!$D$4:$D$503,12))&amp;". ")&amp;IF(LEN(IF(LEN(INDEX('Providers'!$AK$4:$AK$503,12))=0,"",INDEX('Providers'!$AK$4:$AK$503,12)))=0,"",IF(LEN(INDEX('Providers'!$AK$4:$AK$503,12))=0,"",INDEX('Providers'!$AK$4:$AK$503,12))))</f>
        <v/>
      </c>
      <c r="J15">
        <f>IF(LEN(INDEX('Providers'!$AJ$4:$AJ$503,12))=0,"",INDEX('Providers'!$AJ$4:$AJ$503,12))</f>
        <v/>
      </c>
      <c r="K15">
        <f>IF(LEN(INDEX('Providers'!$AI$4:$AI$503,12))=0,"",INDEX('Providers'!$AI$4:$AI$503,12))</f>
        <v/>
      </c>
    </row>
    <row r="16">
      <c r="A16">
        <f>IF(AND(LEN('Providers'!A16)&gt;0,ISNUMBER('Providers'!G16)),1,0)</f>
        <v/>
      </c>
      <c r="B16">
        <f>B15+A16</f>
        <v/>
      </c>
      <c r="C16">
        <f>IF(13&gt;$B$4503,"",MATCH(13-0.5,$B$3:$B$4503,1))</f>
        <v/>
      </c>
      <c r="D16">
        <f>"State license ("&amp;IF(LEN(INDEX('Providers'!$E$4:$E$503,13))=0,"",INDEX('Providers'!$E$4:$E$503,13))&amp;") – "&amp;IF(LEN(INDEX('Providers'!$A$4:$A$503,13))=0,"",INDEX('Providers'!$A$4:$A$503,13))</f>
        <v/>
      </c>
      <c r="E16">
        <f>IF(ISNUMBER(INDEX('Providers'!$G$4:$G$503,13)),TEXT(INDEX('Providers'!$G$4:$G$503,13),"yyyy-mm-dd"),"")</f>
        <v/>
      </c>
      <c r="F16">
        <f>"License"</f>
        <v/>
      </c>
      <c r="G16">
        <f>""</f>
        <v/>
      </c>
      <c r="H16">
        <f>"High"</f>
        <v/>
      </c>
      <c r="I16">
        <f>TRIM(IF(LEN(IF(LEN(INDEX('Providers'!$F$4:$F$503,13))=0,"",INDEX('Providers'!$F$4:$F$503,13)))=0,"","License no.: "&amp;IF(LEN(INDEX('Providers'!$F$4:$F$503,13))=0,"",INDEX('Providers'!$F$4:$F$503,13))&amp;". ")&amp;IF(LEN(IF(LEN(INDEX('Providers'!$C$4:$C$503,13))=0,"",INDEX('Providers'!$C$4:$C$503,13)))=0,"","NPI: "&amp;IF(LEN(INDEX('Providers'!$C$4:$C$503,13))=0,"",INDEX('Providers'!$C$4:$C$503,13))&amp;". ")&amp;IF(LEN(IF(LEN(INDEX('Providers'!$D$4:$D$503,13))=0,"",INDEX('Providers'!$D$4:$D$503,13)))=0,"","Specialty: "&amp;IF(LEN(INDEX('Providers'!$D$4:$D$503,13))=0,"",INDEX('Providers'!$D$4:$D$503,13))&amp;". ")&amp;IF(LEN(IF(LEN(INDEX('Providers'!$AK$4:$AK$503,13))=0,"",INDEX('Providers'!$AK$4:$AK$503,13)))=0,"",IF(LEN(INDEX('Providers'!$AK$4:$AK$503,13))=0,"",INDEX('Providers'!$AK$4:$AK$503,13))))</f>
        <v/>
      </c>
      <c r="J16">
        <f>IF(LEN(INDEX('Providers'!$AJ$4:$AJ$503,13))=0,"",INDEX('Providers'!$AJ$4:$AJ$503,13))</f>
        <v/>
      </c>
      <c r="K16">
        <f>IF(LEN(INDEX('Providers'!$AI$4:$AI$503,13))=0,"",INDEX('Providers'!$AI$4:$AI$503,13))</f>
        <v/>
      </c>
    </row>
    <row r="17">
      <c r="A17">
        <f>IF(AND(LEN('Providers'!A17)&gt;0,ISNUMBER('Providers'!G17)),1,0)</f>
        <v/>
      </c>
      <c r="B17">
        <f>B16+A17</f>
        <v/>
      </c>
      <c r="C17">
        <f>IF(14&gt;$B$4503,"",MATCH(14-0.5,$B$3:$B$4503,1))</f>
        <v/>
      </c>
      <c r="D17">
        <f>"State license ("&amp;IF(LEN(INDEX('Providers'!$E$4:$E$503,14))=0,"",INDEX('Providers'!$E$4:$E$503,14))&amp;") – "&amp;IF(LEN(INDEX('Providers'!$A$4:$A$503,14))=0,"",INDEX('Providers'!$A$4:$A$503,14))</f>
        <v/>
      </c>
      <c r="E17">
        <f>IF(ISNUMBER(INDEX('Providers'!$G$4:$G$503,14)),TEXT(INDEX('Providers'!$G$4:$G$503,14),"yyyy-mm-dd"),"")</f>
        <v/>
      </c>
      <c r="F17">
        <f>"License"</f>
        <v/>
      </c>
      <c r="G17">
        <f>""</f>
        <v/>
      </c>
      <c r="H17">
        <f>"High"</f>
        <v/>
      </c>
      <c r="I17">
        <f>TRIM(IF(LEN(IF(LEN(INDEX('Providers'!$F$4:$F$503,14))=0,"",INDEX('Providers'!$F$4:$F$503,14)))=0,"","License no.: "&amp;IF(LEN(INDEX('Providers'!$F$4:$F$503,14))=0,"",INDEX('Providers'!$F$4:$F$503,14))&amp;". ")&amp;IF(LEN(IF(LEN(INDEX('Providers'!$C$4:$C$503,14))=0,"",INDEX('Providers'!$C$4:$C$503,14)))=0,"","NPI: "&amp;IF(LEN(INDEX('Providers'!$C$4:$C$503,14))=0,"",INDEX('Providers'!$C$4:$C$503,14))&amp;". ")&amp;IF(LEN(IF(LEN(INDEX('Providers'!$D$4:$D$503,14))=0,"",INDEX('Providers'!$D$4:$D$503,14)))=0,"","Specialty: "&amp;IF(LEN(INDEX('Providers'!$D$4:$D$503,14))=0,"",INDEX('Providers'!$D$4:$D$503,14))&amp;". ")&amp;IF(LEN(IF(LEN(INDEX('Providers'!$AK$4:$AK$503,14))=0,"",INDEX('Providers'!$AK$4:$AK$503,14)))=0,"",IF(LEN(INDEX('Providers'!$AK$4:$AK$503,14))=0,"",INDEX('Providers'!$AK$4:$AK$503,14))))</f>
        <v/>
      </c>
      <c r="J17">
        <f>IF(LEN(INDEX('Providers'!$AJ$4:$AJ$503,14))=0,"",INDEX('Providers'!$AJ$4:$AJ$503,14))</f>
        <v/>
      </c>
      <c r="K17">
        <f>IF(LEN(INDEX('Providers'!$AI$4:$AI$503,14))=0,"",INDEX('Providers'!$AI$4:$AI$503,14))</f>
        <v/>
      </c>
    </row>
    <row r="18">
      <c r="A18">
        <f>IF(AND(LEN('Providers'!A18)&gt;0,ISNUMBER('Providers'!G18)),1,0)</f>
        <v/>
      </c>
      <c r="B18">
        <f>B17+A18</f>
        <v/>
      </c>
      <c r="C18">
        <f>IF(15&gt;$B$4503,"",MATCH(15-0.5,$B$3:$B$4503,1))</f>
        <v/>
      </c>
      <c r="D18">
        <f>"State license ("&amp;IF(LEN(INDEX('Providers'!$E$4:$E$503,15))=0,"",INDEX('Providers'!$E$4:$E$503,15))&amp;") – "&amp;IF(LEN(INDEX('Providers'!$A$4:$A$503,15))=0,"",INDEX('Providers'!$A$4:$A$503,15))</f>
        <v/>
      </c>
      <c r="E18">
        <f>IF(ISNUMBER(INDEX('Providers'!$G$4:$G$503,15)),TEXT(INDEX('Providers'!$G$4:$G$503,15),"yyyy-mm-dd"),"")</f>
        <v/>
      </c>
      <c r="F18">
        <f>"License"</f>
        <v/>
      </c>
      <c r="G18">
        <f>""</f>
        <v/>
      </c>
      <c r="H18">
        <f>"High"</f>
        <v/>
      </c>
      <c r="I18">
        <f>TRIM(IF(LEN(IF(LEN(INDEX('Providers'!$F$4:$F$503,15))=0,"",INDEX('Providers'!$F$4:$F$503,15)))=0,"","License no.: "&amp;IF(LEN(INDEX('Providers'!$F$4:$F$503,15))=0,"",INDEX('Providers'!$F$4:$F$503,15))&amp;". ")&amp;IF(LEN(IF(LEN(INDEX('Providers'!$C$4:$C$503,15))=0,"",INDEX('Providers'!$C$4:$C$503,15)))=0,"","NPI: "&amp;IF(LEN(INDEX('Providers'!$C$4:$C$503,15))=0,"",INDEX('Providers'!$C$4:$C$503,15))&amp;". ")&amp;IF(LEN(IF(LEN(INDEX('Providers'!$D$4:$D$503,15))=0,"",INDEX('Providers'!$D$4:$D$503,15)))=0,"","Specialty: "&amp;IF(LEN(INDEX('Providers'!$D$4:$D$503,15))=0,"",INDEX('Providers'!$D$4:$D$503,15))&amp;". ")&amp;IF(LEN(IF(LEN(INDEX('Providers'!$AK$4:$AK$503,15))=0,"",INDEX('Providers'!$AK$4:$AK$503,15)))=0,"",IF(LEN(INDEX('Providers'!$AK$4:$AK$503,15))=0,"",INDEX('Providers'!$AK$4:$AK$503,15))))</f>
        <v/>
      </c>
      <c r="J18">
        <f>IF(LEN(INDEX('Providers'!$AJ$4:$AJ$503,15))=0,"",INDEX('Providers'!$AJ$4:$AJ$503,15))</f>
        <v/>
      </c>
      <c r="K18">
        <f>IF(LEN(INDEX('Providers'!$AI$4:$AI$503,15))=0,"",INDEX('Providers'!$AI$4:$AI$503,15))</f>
        <v/>
      </c>
    </row>
    <row r="19">
      <c r="A19">
        <f>IF(AND(LEN('Providers'!A19)&gt;0,ISNUMBER('Providers'!G19)),1,0)</f>
        <v/>
      </c>
      <c r="B19">
        <f>B18+A19</f>
        <v/>
      </c>
      <c r="C19">
        <f>IF(16&gt;$B$4503,"",MATCH(16-0.5,$B$3:$B$4503,1))</f>
        <v/>
      </c>
      <c r="D19">
        <f>"State license ("&amp;IF(LEN(INDEX('Providers'!$E$4:$E$503,16))=0,"",INDEX('Providers'!$E$4:$E$503,16))&amp;") – "&amp;IF(LEN(INDEX('Providers'!$A$4:$A$503,16))=0,"",INDEX('Providers'!$A$4:$A$503,16))</f>
        <v/>
      </c>
      <c r="E19">
        <f>IF(ISNUMBER(INDEX('Providers'!$G$4:$G$503,16)),TEXT(INDEX('Providers'!$G$4:$G$503,16),"yyyy-mm-dd"),"")</f>
        <v/>
      </c>
      <c r="F19">
        <f>"License"</f>
        <v/>
      </c>
      <c r="G19">
        <f>""</f>
        <v/>
      </c>
      <c r="H19">
        <f>"High"</f>
        <v/>
      </c>
      <c r="I19">
        <f>TRIM(IF(LEN(IF(LEN(INDEX('Providers'!$F$4:$F$503,16))=0,"",INDEX('Providers'!$F$4:$F$503,16)))=0,"","License no.: "&amp;IF(LEN(INDEX('Providers'!$F$4:$F$503,16))=0,"",INDEX('Providers'!$F$4:$F$503,16))&amp;". ")&amp;IF(LEN(IF(LEN(INDEX('Providers'!$C$4:$C$503,16))=0,"",INDEX('Providers'!$C$4:$C$503,16)))=0,"","NPI: "&amp;IF(LEN(INDEX('Providers'!$C$4:$C$503,16))=0,"",INDEX('Providers'!$C$4:$C$503,16))&amp;". ")&amp;IF(LEN(IF(LEN(INDEX('Providers'!$D$4:$D$503,16))=0,"",INDEX('Providers'!$D$4:$D$503,16)))=0,"","Specialty: "&amp;IF(LEN(INDEX('Providers'!$D$4:$D$503,16))=0,"",INDEX('Providers'!$D$4:$D$503,16))&amp;". ")&amp;IF(LEN(IF(LEN(INDEX('Providers'!$AK$4:$AK$503,16))=0,"",INDEX('Providers'!$AK$4:$AK$503,16)))=0,"",IF(LEN(INDEX('Providers'!$AK$4:$AK$503,16))=0,"",INDEX('Providers'!$AK$4:$AK$503,16))))</f>
        <v/>
      </c>
      <c r="J19">
        <f>IF(LEN(INDEX('Providers'!$AJ$4:$AJ$503,16))=0,"",INDEX('Providers'!$AJ$4:$AJ$503,16))</f>
        <v/>
      </c>
      <c r="K19">
        <f>IF(LEN(INDEX('Providers'!$AI$4:$AI$503,16))=0,"",INDEX('Providers'!$AI$4:$AI$503,16))</f>
        <v/>
      </c>
    </row>
    <row r="20">
      <c r="A20">
        <f>IF(AND(LEN('Providers'!A20)&gt;0,ISNUMBER('Providers'!G20)),1,0)</f>
        <v/>
      </c>
      <c r="B20">
        <f>B19+A20</f>
        <v/>
      </c>
      <c r="C20">
        <f>IF(17&gt;$B$4503,"",MATCH(17-0.5,$B$3:$B$4503,1))</f>
        <v/>
      </c>
      <c r="D20">
        <f>"State license ("&amp;IF(LEN(INDEX('Providers'!$E$4:$E$503,17))=0,"",INDEX('Providers'!$E$4:$E$503,17))&amp;") – "&amp;IF(LEN(INDEX('Providers'!$A$4:$A$503,17))=0,"",INDEX('Providers'!$A$4:$A$503,17))</f>
        <v/>
      </c>
      <c r="E20">
        <f>IF(ISNUMBER(INDEX('Providers'!$G$4:$G$503,17)),TEXT(INDEX('Providers'!$G$4:$G$503,17),"yyyy-mm-dd"),"")</f>
        <v/>
      </c>
      <c r="F20">
        <f>"License"</f>
        <v/>
      </c>
      <c r="G20">
        <f>""</f>
        <v/>
      </c>
      <c r="H20">
        <f>"High"</f>
        <v/>
      </c>
      <c r="I20">
        <f>TRIM(IF(LEN(IF(LEN(INDEX('Providers'!$F$4:$F$503,17))=0,"",INDEX('Providers'!$F$4:$F$503,17)))=0,"","License no.: "&amp;IF(LEN(INDEX('Providers'!$F$4:$F$503,17))=0,"",INDEX('Providers'!$F$4:$F$503,17))&amp;". ")&amp;IF(LEN(IF(LEN(INDEX('Providers'!$C$4:$C$503,17))=0,"",INDEX('Providers'!$C$4:$C$503,17)))=0,"","NPI: "&amp;IF(LEN(INDEX('Providers'!$C$4:$C$503,17))=0,"",INDEX('Providers'!$C$4:$C$503,17))&amp;". ")&amp;IF(LEN(IF(LEN(INDEX('Providers'!$D$4:$D$503,17))=0,"",INDEX('Providers'!$D$4:$D$503,17)))=0,"","Specialty: "&amp;IF(LEN(INDEX('Providers'!$D$4:$D$503,17))=0,"",INDEX('Providers'!$D$4:$D$503,17))&amp;". ")&amp;IF(LEN(IF(LEN(INDEX('Providers'!$AK$4:$AK$503,17))=0,"",INDEX('Providers'!$AK$4:$AK$503,17)))=0,"",IF(LEN(INDEX('Providers'!$AK$4:$AK$503,17))=0,"",INDEX('Providers'!$AK$4:$AK$503,17))))</f>
        <v/>
      </c>
      <c r="J20">
        <f>IF(LEN(INDEX('Providers'!$AJ$4:$AJ$503,17))=0,"",INDEX('Providers'!$AJ$4:$AJ$503,17))</f>
        <v/>
      </c>
      <c r="K20">
        <f>IF(LEN(INDEX('Providers'!$AI$4:$AI$503,17))=0,"",INDEX('Providers'!$AI$4:$AI$503,17))</f>
        <v/>
      </c>
    </row>
    <row r="21">
      <c r="A21">
        <f>IF(AND(LEN('Providers'!A21)&gt;0,ISNUMBER('Providers'!G21)),1,0)</f>
        <v/>
      </c>
      <c r="B21">
        <f>B20+A21</f>
        <v/>
      </c>
      <c r="C21">
        <f>IF(18&gt;$B$4503,"",MATCH(18-0.5,$B$3:$B$4503,1))</f>
        <v/>
      </c>
      <c r="D21">
        <f>"State license ("&amp;IF(LEN(INDEX('Providers'!$E$4:$E$503,18))=0,"",INDEX('Providers'!$E$4:$E$503,18))&amp;") – "&amp;IF(LEN(INDEX('Providers'!$A$4:$A$503,18))=0,"",INDEX('Providers'!$A$4:$A$503,18))</f>
        <v/>
      </c>
      <c r="E21">
        <f>IF(ISNUMBER(INDEX('Providers'!$G$4:$G$503,18)),TEXT(INDEX('Providers'!$G$4:$G$503,18),"yyyy-mm-dd"),"")</f>
        <v/>
      </c>
      <c r="F21">
        <f>"License"</f>
        <v/>
      </c>
      <c r="G21">
        <f>""</f>
        <v/>
      </c>
      <c r="H21">
        <f>"High"</f>
        <v/>
      </c>
      <c r="I21">
        <f>TRIM(IF(LEN(IF(LEN(INDEX('Providers'!$F$4:$F$503,18))=0,"",INDEX('Providers'!$F$4:$F$503,18)))=0,"","License no.: "&amp;IF(LEN(INDEX('Providers'!$F$4:$F$503,18))=0,"",INDEX('Providers'!$F$4:$F$503,18))&amp;". ")&amp;IF(LEN(IF(LEN(INDEX('Providers'!$C$4:$C$503,18))=0,"",INDEX('Providers'!$C$4:$C$503,18)))=0,"","NPI: "&amp;IF(LEN(INDEX('Providers'!$C$4:$C$503,18))=0,"",INDEX('Providers'!$C$4:$C$503,18))&amp;". ")&amp;IF(LEN(IF(LEN(INDEX('Providers'!$D$4:$D$503,18))=0,"",INDEX('Providers'!$D$4:$D$503,18)))=0,"","Specialty: "&amp;IF(LEN(INDEX('Providers'!$D$4:$D$503,18))=0,"",INDEX('Providers'!$D$4:$D$503,18))&amp;". ")&amp;IF(LEN(IF(LEN(INDEX('Providers'!$AK$4:$AK$503,18))=0,"",INDEX('Providers'!$AK$4:$AK$503,18)))=0,"",IF(LEN(INDEX('Providers'!$AK$4:$AK$503,18))=0,"",INDEX('Providers'!$AK$4:$AK$503,18))))</f>
        <v/>
      </c>
      <c r="J21">
        <f>IF(LEN(INDEX('Providers'!$AJ$4:$AJ$503,18))=0,"",INDEX('Providers'!$AJ$4:$AJ$503,18))</f>
        <v/>
      </c>
      <c r="K21">
        <f>IF(LEN(INDEX('Providers'!$AI$4:$AI$503,18))=0,"",INDEX('Providers'!$AI$4:$AI$503,18))</f>
        <v/>
      </c>
    </row>
    <row r="22">
      <c r="A22">
        <f>IF(AND(LEN('Providers'!A22)&gt;0,ISNUMBER('Providers'!G22)),1,0)</f>
        <v/>
      </c>
      <c r="B22">
        <f>B21+A22</f>
        <v/>
      </c>
      <c r="C22">
        <f>IF(19&gt;$B$4503,"",MATCH(19-0.5,$B$3:$B$4503,1))</f>
        <v/>
      </c>
      <c r="D22">
        <f>"State license ("&amp;IF(LEN(INDEX('Providers'!$E$4:$E$503,19))=0,"",INDEX('Providers'!$E$4:$E$503,19))&amp;") – "&amp;IF(LEN(INDEX('Providers'!$A$4:$A$503,19))=0,"",INDEX('Providers'!$A$4:$A$503,19))</f>
        <v/>
      </c>
      <c r="E22">
        <f>IF(ISNUMBER(INDEX('Providers'!$G$4:$G$503,19)),TEXT(INDEX('Providers'!$G$4:$G$503,19),"yyyy-mm-dd"),"")</f>
        <v/>
      </c>
      <c r="F22">
        <f>"License"</f>
        <v/>
      </c>
      <c r="G22">
        <f>""</f>
        <v/>
      </c>
      <c r="H22">
        <f>"High"</f>
        <v/>
      </c>
      <c r="I22">
        <f>TRIM(IF(LEN(IF(LEN(INDEX('Providers'!$F$4:$F$503,19))=0,"",INDEX('Providers'!$F$4:$F$503,19)))=0,"","License no.: "&amp;IF(LEN(INDEX('Providers'!$F$4:$F$503,19))=0,"",INDEX('Providers'!$F$4:$F$503,19))&amp;". ")&amp;IF(LEN(IF(LEN(INDEX('Providers'!$C$4:$C$503,19))=0,"",INDEX('Providers'!$C$4:$C$503,19)))=0,"","NPI: "&amp;IF(LEN(INDEX('Providers'!$C$4:$C$503,19))=0,"",INDEX('Providers'!$C$4:$C$503,19))&amp;". ")&amp;IF(LEN(IF(LEN(INDEX('Providers'!$D$4:$D$503,19))=0,"",INDEX('Providers'!$D$4:$D$503,19)))=0,"","Specialty: "&amp;IF(LEN(INDEX('Providers'!$D$4:$D$503,19))=0,"",INDEX('Providers'!$D$4:$D$503,19))&amp;". ")&amp;IF(LEN(IF(LEN(INDEX('Providers'!$AK$4:$AK$503,19))=0,"",INDEX('Providers'!$AK$4:$AK$503,19)))=0,"",IF(LEN(INDEX('Providers'!$AK$4:$AK$503,19))=0,"",INDEX('Providers'!$AK$4:$AK$503,19))))</f>
        <v/>
      </c>
      <c r="J22">
        <f>IF(LEN(INDEX('Providers'!$AJ$4:$AJ$503,19))=0,"",INDEX('Providers'!$AJ$4:$AJ$503,19))</f>
        <v/>
      </c>
      <c r="K22">
        <f>IF(LEN(INDEX('Providers'!$AI$4:$AI$503,19))=0,"",INDEX('Providers'!$AI$4:$AI$503,19))</f>
        <v/>
      </c>
    </row>
    <row r="23">
      <c r="A23">
        <f>IF(AND(LEN('Providers'!A23)&gt;0,ISNUMBER('Providers'!G23)),1,0)</f>
        <v/>
      </c>
      <c r="B23">
        <f>B22+A23</f>
        <v/>
      </c>
      <c r="C23">
        <f>IF(20&gt;$B$4503,"",MATCH(20-0.5,$B$3:$B$4503,1))</f>
        <v/>
      </c>
      <c r="D23">
        <f>"State license ("&amp;IF(LEN(INDEX('Providers'!$E$4:$E$503,20))=0,"",INDEX('Providers'!$E$4:$E$503,20))&amp;") – "&amp;IF(LEN(INDEX('Providers'!$A$4:$A$503,20))=0,"",INDEX('Providers'!$A$4:$A$503,20))</f>
        <v/>
      </c>
      <c r="E23">
        <f>IF(ISNUMBER(INDEX('Providers'!$G$4:$G$503,20)),TEXT(INDEX('Providers'!$G$4:$G$503,20),"yyyy-mm-dd"),"")</f>
        <v/>
      </c>
      <c r="F23">
        <f>"License"</f>
        <v/>
      </c>
      <c r="G23">
        <f>""</f>
        <v/>
      </c>
      <c r="H23">
        <f>"High"</f>
        <v/>
      </c>
      <c r="I23">
        <f>TRIM(IF(LEN(IF(LEN(INDEX('Providers'!$F$4:$F$503,20))=0,"",INDEX('Providers'!$F$4:$F$503,20)))=0,"","License no.: "&amp;IF(LEN(INDEX('Providers'!$F$4:$F$503,20))=0,"",INDEX('Providers'!$F$4:$F$503,20))&amp;". ")&amp;IF(LEN(IF(LEN(INDEX('Providers'!$C$4:$C$503,20))=0,"",INDEX('Providers'!$C$4:$C$503,20)))=0,"","NPI: "&amp;IF(LEN(INDEX('Providers'!$C$4:$C$503,20))=0,"",INDEX('Providers'!$C$4:$C$503,20))&amp;". ")&amp;IF(LEN(IF(LEN(INDEX('Providers'!$D$4:$D$503,20))=0,"",INDEX('Providers'!$D$4:$D$503,20)))=0,"","Specialty: "&amp;IF(LEN(INDEX('Providers'!$D$4:$D$503,20))=0,"",INDEX('Providers'!$D$4:$D$503,20))&amp;". ")&amp;IF(LEN(IF(LEN(INDEX('Providers'!$AK$4:$AK$503,20))=0,"",INDEX('Providers'!$AK$4:$AK$503,20)))=0,"",IF(LEN(INDEX('Providers'!$AK$4:$AK$503,20))=0,"",INDEX('Providers'!$AK$4:$AK$503,20))))</f>
        <v/>
      </c>
      <c r="J23">
        <f>IF(LEN(INDEX('Providers'!$AJ$4:$AJ$503,20))=0,"",INDEX('Providers'!$AJ$4:$AJ$503,20))</f>
        <v/>
      </c>
      <c r="K23">
        <f>IF(LEN(INDEX('Providers'!$AI$4:$AI$503,20))=0,"",INDEX('Providers'!$AI$4:$AI$503,20))</f>
        <v/>
      </c>
    </row>
    <row r="24">
      <c r="A24">
        <f>IF(AND(LEN('Providers'!A24)&gt;0,ISNUMBER('Providers'!G24)),1,0)</f>
        <v/>
      </c>
      <c r="B24">
        <f>B23+A24</f>
        <v/>
      </c>
      <c r="C24">
        <f>IF(21&gt;$B$4503,"",MATCH(21-0.5,$B$3:$B$4503,1))</f>
        <v/>
      </c>
      <c r="D24">
        <f>"State license ("&amp;IF(LEN(INDEX('Providers'!$E$4:$E$503,21))=0,"",INDEX('Providers'!$E$4:$E$503,21))&amp;") – "&amp;IF(LEN(INDEX('Providers'!$A$4:$A$503,21))=0,"",INDEX('Providers'!$A$4:$A$503,21))</f>
        <v/>
      </c>
      <c r="E24">
        <f>IF(ISNUMBER(INDEX('Providers'!$G$4:$G$503,21)),TEXT(INDEX('Providers'!$G$4:$G$503,21),"yyyy-mm-dd"),"")</f>
        <v/>
      </c>
      <c r="F24">
        <f>"License"</f>
        <v/>
      </c>
      <c r="G24">
        <f>""</f>
        <v/>
      </c>
      <c r="H24">
        <f>"High"</f>
        <v/>
      </c>
      <c r="I24">
        <f>TRIM(IF(LEN(IF(LEN(INDEX('Providers'!$F$4:$F$503,21))=0,"",INDEX('Providers'!$F$4:$F$503,21)))=0,"","License no.: "&amp;IF(LEN(INDEX('Providers'!$F$4:$F$503,21))=0,"",INDEX('Providers'!$F$4:$F$503,21))&amp;". ")&amp;IF(LEN(IF(LEN(INDEX('Providers'!$C$4:$C$503,21))=0,"",INDEX('Providers'!$C$4:$C$503,21)))=0,"","NPI: "&amp;IF(LEN(INDEX('Providers'!$C$4:$C$503,21))=0,"",INDEX('Providers'!$C$4:$C$503,21))&amp;". ")&amp;IF(LEN(IF(LEN(INDEX('Providers'!$D$4:$D$503,21))=0,"",INDEX('Providers'!$D$4:$D$503,21)))=0,"","Specialty: "&amp;IF(LEN(INDEX('Providers'!$D$4:$D$503,21))=0,"",INDEX('Providers'!$D$4:$D$503,21))&amp;". ")&amp;IF(LEN(IF(LEN(INDEX('Providers'!$AK$4:$AK$503,21))=0,"",INDEX('Providers'!$AK$4:$AK$503,21)))=0,"",IF(LEN(INDEX('Providers'!$AK$4:$AK$503,21))=0,"",INDEX('Providers'!$AK$4:$AK$503,21))))</f>
        <v/>
      </c>
      <c r="J24">
        <f>IF(LEN(INDEX('Providers'!$AJ$4:$AJ$503,21))=0,"",INDEX('Providers'!$AJ$4:$AJ$503,21))</f>
        <v/>
      </c>
      <c r="K24">
        <f>IF(LEN(INDEX('Providers'!$AI$4:$AI$503,21))=0,"",INDEX('Providers'!$AI$4:$AI$503,21))</f>
        <v/>
      </c>
    </row>
    <row r="25">
      <c r="A25">
        <f>IF(AND(LEN('Providers'!A25)&gt;0,ISNUMBER('Providers'!G25)),1,0)</f>
        <v/>
      </c>
      <c r="B25">
        <f>B24+A25</f>
        <v/>
      </c>
      <c r="C25">
        <f>IF(22&gt;$B$4503,"",MATCH(22-0.5,$B$3:$B$4503,1))</f>
        <v/>
      </c>
      <c r="D25">
        <f>"State license ("&amp;IF(LEN(INDEX('Providers'!$E$4:$E$503,22))=0,"",INDEX('Providers'!$E$4:$E$503,22))&amp;") – "&amp;IF(LEN(INDEX('Providers'!$A$4:$A$503,22))=0,"",INDEX('Providers'!$A$4:$A$503,22))</f>
        <v/>
      </c>
      <c r="E25">
        <f>IF(ISNUMBER(INDEX('Providers'!$G$4:$G$503,22)),TEXT(INDEX('Providers'!$G$4:$G$503,22),"yyyy-mm-dd"),"")</f>
        <v/>
      </c>
      <c r="F25">
        <f>"License"</f>
        <v/>
      </c>
      <c r="G25">
        <f>""</f>
        <v/>
      </c>
      <c r="H25">
        <f>"High"</f>
        <v/>
      </c>
      <c r="I25">
        <f>TRIM(IF(LEN(IF(LEN(INDEX('Providers'!$F$4:$F$503,22))=0,"",INDEX('Providers'!$F$4:$F$503,22)))=0,"","License no.: "&amp;IF(LEN(INDEX('Providers'!$F$4:$F$503,22))=0,"",INDEX('Providers'!$F$4:$F$503,22))&amp;". ")&amp;IF(LEN(IF(LEN(INDEX('Providers'!$C$4:$C$503,22))=0,"",INDEX('Providers'!$C$4:$C$503,22)))=0,"","NPI: "&amp;IF(LEN(INDEX('Providers'!$C$4:$C$503,22))=0,"",INDEX('Providers'!$C$4:$C$503,22))&amp;". ")&amp;IF(LEN(IF(LEN(INDEX('Providers'!$D$4:$D$503,22))=0,"",INDEX('Providers'!$D$4:$D$503,22)))=0,"","Specialty: "&amp;IF(LEN(INDEX('Providers'!$D$4:$D$503,22))=0,"",INDEX('Providers'!$D$4:$D$503,22))&amp;". ")&amp;IF(LEN(IF(LEN(INDEX('Providers'!$AK$4:$AK$503,22))=0,"",INDEX('Providers'!$AK$4:$AK$503,22)))=0,"",IF(LEN(INDEX('Providers'!$AK$4:$AK$503,22))=0,"",INDEX('Providers'!$AK$4:$AK$503,22))))</f>
        <v/>
      </c>
      <c r="J25">
        <f>IF(LEN(INDEX('Providers'!$AJ$4:$AJ$503,22))=0,"",INDEX('Providers'!$AJ$4:$AJ$503,22))</f>
        <v/>
      </c>
      <c r="K25">
        <f>IF(LEN(INDEX('Providers'!$AI$4:$AI$503,22))=0,"",INDEX('Providers'!$AI$4:$AI$503,22))</f>
        <v/>
      </c>
    </row>
    <row r="26">
      <c r="A26">
        <f>IF(AND(LEN('Providers'!A26)&gt;0,ISNUMBER('Providers'!G26)),1,0)</f>
        <v/>
      </c>
      <c r="B26">
        <f>B25+A26</f>
        <v/>
      </c>
      <c r="C26">
        <f>IF(23&gt;$B$4503,"",MATCH(23-0.5,$B$3:$B$4503,1))</f>
        <v/>
      </c>
      <c r="D26">
        <f>"State license ("&amp;IF(LEN(INDEX('Providers'!$E$4:$E$503,23))=0,"",INDEX('Providers'!$E$4:$E$503,23))&amp;") – "&amp;IF(LEN(INDEX('Providers'!$A$4:$A$503,23))=0,"",INDEX('Providers'!$A$4:$A$503,23))</f>
        <v/>
      </c>
      <c r="E26">
        <f>IF(ISNUMBER(INDEX('Providers'!$G$4:$G$503,23)),TEXT(INDEX('Providers'!$G$4:$G$503,23),"yyyy-mm-dd"),"")</f>
        <v/>
      </c>
      <c r="F26">
        <f>"License"</f>
        <v/>
      </c>
      <c r="G26">
        <f>""</f>
        <v/>
      </c>
      <c r="H26">
        <f>"High"</f>
        <v/>
      </c>
      <c r="I26">
        <f>TRIM(IF(LEN(IF(LEN(INDEX('Providers'!$F$4:$F$503,23))=0,"",INDEX('Providers'!$F$4:$F$503,23)))=0,"","License no.: "&amp;IF(LEN(INDEX('Providers'!$F$4:$F$503,23))=0,"",INDEX('Providers'!$F$4:$F$503,23))&amp;". ")&amp;IF(LEN(IF(LEN(INDEX('Providers'!$C$4:$C$503,23))=0,"",INDEX('Providers'!$C$4:$C$503,23)))=0,"","NPI: "&amp;IF(LEN(INDEX('Providers'!$C$4:$C$503,23))=0,"",INDEX('Providers'!$C$4:$C$503,23))&amp;". ")&amp;IF(LEN(IF(LEN(INDEX('Providers'!$D$4:$D$503,23))=0,"",INDEX('Providers'!$D$4:$D$503,23)))=0,"","Specialty: "&amp;IF(LEN(INDEX('Providers'!$D$4:$D$503,23))=0,"",INDEX('Providers'!$D$4:$D$503,23))&amp;". ")&amp;IF(LEN(IF(LEN(INDEX('Providers'!$AK$4:$AK$503,23))=0,"",INDEX('Providers'!$AK$4:$AK$503,23)))=0,"",IF(LEN(INDEX('Providers'!$AK$4:$AK$503,23))=0,"",INDEX('Providers'!$AK$4:$AK$503,23))))</f>
        <v/>
      </c>
      <c r="J26">
        <f>IF(LEN(INDEX('Providers'!$AJ$4:$AJ$503,23))=0,"",INDEX('Providers'!$AJ$4:$AJ$503,23))</f>
        <v/>
      </c>
      <c r="K26">
        <f>IF(LEN(INDEX('Providers'!$AI$4:$AI$503,23))=0,"",INDEX('Providers'!$AI$4:$AI$503,23))</f>
        <v/>
      </c>
    </row>
    <row r="27">
      <c r="A27">
        <f>IF(AND(LEN('Providers'!A27)&gt;0,ISNUMBER('Providers'!G27)),1,0)</f>
        <v/>
      </c>
      <c r="B27">
        <f>B26+A27</f>
        <v/>
      </c>
      <c r="C27">
        <f>IF(24&gt;$B$4503,"",MATCH(24-0.5,$B$3:$B$4503,1))</f>
        <v/>
      </c>
      <c r="D27">
        <f>"State license ("&amp;IF(LEN(INDEX('Providers'!$E$4:$E$503,24))=0,"",INDEX('Providers'!$E$4:$E$503,24))&amp;") – "&amp;IF(LEN(INDEX('Providers'!$A$4:$A$503,24))=0,"",INDEX('Providers'!$A$4:$A$503,24))</f>
        <v/>
      </c>
      <c r="E27">
        <f>IF(ISNUMBER(INDEX('Providers'!$G$4:$G$503,24)),TEXT(INDEX('Providers'!$G$4:$G$503,24),"yyyy-mm-dd"),"")</f>
        <v/>
      </c>
      <c r="F27">
        <f>"License"</f>
        <v/>
      </c>
      <c r="G27">
        <f>""</f>
        <v/>
      </c>
      <c r="H27">
        <f>"High"</f>
        <v/>
      </c>
      <c r="I27">
        <f>TRIM(IF(LEN(IF(LEN(INDEX('Providers'!$F$4:$F$503,24))=0,"",INDEX('Providers'!$F$4:$F$503,24)))=0,"","License no.: "&amp;IF(LEN(INDEX('Providers'!$F$4:$F$503,24))=0,"",INDEX('Providers'!$F$4:$F$503,24))&amp;". ")&amp;IF(LEN(IF(LEN(INDEX('Providers'!$C$4:$C$503,24))=0,"",INDEX('Providers'!$C$4:$C$503,24)))=0,"","NPI: "&amp;IF(LEN(INDEX('Providers'!$C$4:$C$503,24))=0,"",INDEX('Providers'!$C$4:$C$503,24))&amp;". ")&amp;IF(LEN(IF(LEN(INDEX('Providers'!$D$4:$D$503,24))=0,"",INDEX('Providers'!$D$4:$D$503,24)))=0,"","Specialty: "&amp;IF(LEN(INDEX('Providers'!$D$4:$D$503,24))=0,"",INDEX('Providers'!$D$4:$D$503,24))&amp;". ")&amp;IF(LEN(IF(LEN(INDEX('Providers'!$AK$4:$AK$503,24))=0,"",INDEX('Providers'!$AK$4:$AK$503,24)))=0,"",IF(LEN(INDEX('Providers'!$AK$4:$AK$503,24))=0,"",INDEX('Providers'!$AK$4:$AK$503,24))))</f>
        <v/>
      </c>
      <c r="J27">
        <f>IF(LEN(INDEX('Providers'!$AJ$4:$AJ$503,24))=0,"",INDEX('Providers'!$AJ$4:$AJ$503,24))</f>
        <v/>
      </c>
      <c r="K27">
        <f>IF(LEN(INDEX('Providers'!$AI$4:$AI$503,24))=0,"",INDEX('Providers'!$AI$4:$AI$503,24))</f>
        <v/>
      </c>
    </row>
    <row r="28">
      <c r="A28">
        <f>IF(AND(LEN('Providers'!A28)&gt;0,ISNUMBER('Providers'!G28)),1,0)</f>
        <v/>
      </c>
      <c r="B28">
        <f>B27+A28</f>
        <v/>
      </c>
      <c r="C28">
        <f>IF(25&gt;$B$4503,"",MATCH(25-0.5,$B$3:$B$4503,1))</f>
        <v/>
      </c>
      <c r="D28">
        <f>"State license ("&amp;IF(LEN(INDEX('Providers'!$E$4:$E$503,25))=0,"",INDEX('Providers'!$E$4:$E$503,25))&amp;") – "&amp;IF(LEN(INDEX('Providers'!$A$4:$A$503,25))=0,"",INDEX('Providers'!$A$4:$A$503,25))</f>
        <v/>
      </c>
      <c r="E28">
        <f>IF(ISNUMBER(INDEX('Providers'!$G$4:$G$503,25)),TEXT(INDEX('Providers'!$G$4:$G$503,25),"yyyy-mm-dd"),"")</f>
        <v/>
      </c>
      <c r="F28">
        <f>"License"</f>
        <v/>
      </c>
      <c r="G28">
        <f>""</f>
        <v/>
      </c>
      <c r="H28">
        <f>"High"</f>
        <v/>
      </c>
      <c r="I28">
        <f>TRIM(IF(LEN(IF(LEN(INDEX('Providers'!$F$4:$F$503,25))=0,"",INDEX('Providers'!$F$4:$F$503,25)))=0,"","License no.: "&amp;IF(LEN(INDEX('Providers'!$F$4:$F$503,25))=0,"",INDEX('Providers'!$F$4:$F$503,25))&amp;". ")&amp;IF(LEN(IF(LEN(INDEX('Providers'!$C$4:$C$503,25))=0,"",INDEX('Providers'!$C$4:$C$503,25)))=0,"","NPI: "&amp;IF(LEN(INDEX('Providers'!$C$4:$C$503,25))=0,"",INDEX('Providers'!$C$4:$C$503,25))&amp;". ")&amp;IF(LEN(IF(LEN(INDEX('Providers'!$D$4:$D$503,25))=0,"",INDEX('Providers'!$D$4:$D$503,25)))=0,"","Specialty: "&amp;IF(LEN(INDEX('Providers'!$D$4:$D$503,25))=0,"",INDEX('Providers'!$D$4:$D$503,25))&amp;". ")&amp;IF(LEN(IF(LEN(INDEX('Providers'!$AK$4:$AK$503,25))=0,"",INDEX('Providers'!$AK$4:$AK$503,25)))=0,"",IF(LEN(INDEX('Providers'!$AK$4:$AK$503,25))=0,"",INDEX('Providers'!$AK$4:$AK$503,25))))</f>
        <v/>
      </c>
      <c r="J28">
        <f>IF(LEN(INDEX('Providers'!$AJ$4:$AJ$503,25))=0,"",INDEX('Providers'!$AJ$4:$AJ$503,25))</f>
        <v/>
      </c>
      <c r="K28">
        <f>IF(LEN(INDEX('Providers'!$AI$4:$AI$503,25))=0,"",INDEX('Providers'!$AI$4:$AI$503,25))</f>
        <v/>
      </c>
    </row>
    <row r="29">
      <c r="A29">
        <f>IF(AND(LEN('Providers'!A29)&gt;0,ISNUMBER('Providers'!G29)),1,0)</f>
        <v/>
      </c>
      <c r="B29">
        <f>B28+A29</f>
        <v/>
      </c>
      <c r="C29">
        <f>IF(26&gt;$B$4503,"",MATCH(26-0.5,$B$3:$B$4503,1))</f>
        <v/>
      </c>
      <c r="D29">
        <f>"State license ("&amp;IF(LEN(INDEX('Providers'!$E$4:$E$503,26))=0,"",INDEX('Providers'!$E$4:$E$503,26))&amp;") – "&amp;IF(LEN(INDEX('Providers'!$A$4:$A$503,26))=0,"",INDEX('Providers'!$A$4:$A$503,26))</f>
        <v/>
      </c>
      <c r="E29">
        <f>IF(ISNUMBER(INDEX('Providers'!$G$4:$G$503,26)),TEXT(INDEX('Providers'!$G$4:$G$503,26),"yyyy-mm-dd"),"")</f>
        <v/>
      </c>
      <c r="F29">
        <f>"License"</f>
        <v/>
      </c>
      <c r="G29">
        <f>""</f>
        <v/>
      </c>
      <c r="H29">
        <f>"High"</f>
        <v/>
      </c>
      <c r="I29">
        <f>TRIM(IF(LEN(IF(LEN(INDEX('Providers'!$F$4:$F$503,26))=0,"",INDEX('Providers'!$F$4:$F$503,26)))=0,"","License no.: "&amp;IF(LEN(INDEX('Providers'!$F$4:$F$503,26))=0,"",INDEX('Providers'!$F$4:$F$503,26))&amp;". ")&amp;IF(LEN(IF(LEN(INDEX('Providers'!$C$4:$C$503,26))=0,"",INDEX('Providers'!$C$4:$C$503,26)))=0,"","NPI: "&amp;IF(LEN(INDEX('Providers'!$C$4:$C$503,26))=0,"",INDEX('Providers'!$C$4:$C$503,26))&amp;". ")&amp;IF(LEN(IF(LEN(INDEX('Providers'!$D$4:$D$503,26))=0,"",INDEX('Providers'!$D$4:$D$503,26)))=0,"","Specialty: "&amp;IF(LEN(INDEX('Providers'!$D$4:$D$503,26))=0,"",INDEX('Providers'!$D$4:$D$503,26))&amp;". ")&amp;IF(LEN(IF(LEN(INDEX('Providers'!$AK$4:$AK$503,26))=0,"",INDEX('Providers'!$AK$4:$AK$503,26)))=0,"",IF(LEN(INDEX('Providers'!$AK$4:$AK$503,26))=0,"",INDEX('Providers'!$AK$4:$AK$503,26))))</f>
        <v/>
      </c>
      <c r="J29">
        <f>IF(LEN(INDEX('Providers'!$AJ$4:$AJ$503,26))=0,"",INDEX('Providers'!$AJ$4:$AJ$503,26))</f>
        <v/>
      </c>
      <c r="K29">
        <f>IF(LEN(INDEX('Providers'!$AI$4:$AI$503,26))=0,"",INDEX('Providers'!$AI$4:$AI$503,26))</f>
        <v/>
      </c>
    </row>
    <row r="30">
      <c r="A30">
        <f>IF(AND(LEN('Providers'!A30)&gt;0,ISNUMBER('Providers'!G30)),1,0)</f>
        <v/>
      </c>
      <c r="B30">
        <f>B29+A30</f>
        <v/>
      </c>
      <c r="C30">
        <f>IF(27&gt;$B$4503,"",MATCH(27-0.5,$B$3:$B$4503,1))</f>
        <v/>
      </c>
      <c r="D30">
        <f>"State license ("&amp;IF(LEN(INDEX('Providers'!$E$4:$E$503,27))=0,"",INDEX('Providers'!$E$4:$E$503,27))&amp;") – "&amp;IF(LEN(INDEX('Providers'!$A$4:$A$503,27))=0,"",INDEX('Providers'!$A$4:$A$503,27))</f>
        <v/>
      </c>
      <c r="E30">
        <f>IF(ISNUMBER(INDEX('Providers'!$G$4:$G$503,27)),TEXT(INDEX('Providers'!$G$4:$G$503,27),"yyyy-mm-dd"),"")</f>
        <v/>
      </c>
      <c r="F30">
        <f>"License"</f>
        <v/>
      </c>
      <c r="G30">
        <f>""</f>
        <v/>
      </c>
      <c r="H30">
        <f>"High"</f>
        <v/>
      </c>
      <c r="I30">
        <f>TRIM(IF(LEN(IF(LEN(INDEX('Providers'!$F$4:$F$503,27))=0,"",INDEX('Providers'!$F$4:$F$503,27)))=0,"","License no.: "&amp;IF(LEN(INDEX('Providers'!$F$4:$F$503,27))=0,"",INDEX('Providers'!$F$4:$F$503,27))&amp;". ")&amp;IF(LEN(IF(LEN(INDEX('Providers'!$C$4:$C$503,27))=0,"",INDEX('Providers'!$C$4:$C$503,27)))=0,"","NPI: "&amp;IF(LEN(INDEX('Providers'!$C$4:$C$503,27))=0,"",INDEX('Providers'!$C$4:$C$503,27))&amp;". ")&amp;IF(LEN(IF(LEN(INDEX('Providers'!$D$4:$D$503,27))=0,"",INDEX('Providers'!$D$4:$D$503,27)))=0,"","Specialty: "&amp;IF(LEN(INDEX('Providers'!$D$4:$D$503,27))=0,"",INDEX('Providers'!$D$4:$D$503,27))&amp;". ")&amp;IF(LEN(IF(LEN(INDEX('Providers'!$AK$4:$AK$503,27))=0,"",INDEX('Providers'!$AK$4:$AK$503,27)))=0,"",IF(LEN(INDEX('Providers'!$AK$4:$AK$503,27))=0,"",INDEX('Providers'!$AK$4:$AK$503,27))))</f>
        <v/>
      </c>
      <c r="J30">
        <f>IF(LEN(INDEX('Providers'!$AJ$4:$AJ$503,27))=0,"",INDEX('Providers'!$AJ$4:$AJ$503,27))</f>
        <v/>
      </c>
      <c r="K30">
        <f>IF(LEN(INDEX('Providers'!$AI$4:$AI$503,27))=0,"",INDEX('Providers'!$AI$4:$AI$503,27))</f>
        <v/>
      </c>
    </row>
    <row r="31">
      <c r="A31">
        <f>IF(AND(LEN('Providers'!A31)&gt;0,ISNUMBER('Providers'!G31)),1,0)</f>
        <v/>
      </c>
      <c r="B31">
        <f>B30+A31</f>
        <v/>
      </c>
      <c r="C31">
        <f>IF(28&gt;$B$4503,"",MATCH(28-0.5,$B$3:$B$4503,1))</f>
        <v/>
      </c>
      <c r="D31">
        <f>"State license ("&amp;IF(LEN(INDEX('Providers'!$E$4:$E$503,28))=0,"",INDEX('Providers'!$E$4:$E$503,28))&amp;") – "&amp;IF(LEN(INDEX('Providers'!$A$4:$A$503,28))=0,"",INDEX('Providers'!$A$4:$A$503,28))</f>
        <v/>
      </c>
      <c r="E31">
        <f>IF(ISNUMBER(INDEX('Providers'!$G$4:$G$503,28)),TEXT(INDEX('Providers'!$G$4:$G$503,28),"yyyy-mm-dd"),"")</f>
        <v/>
      </c>
      <c r="F31">
        <f>"License"</f>
        <v/>
      </c>
      <c r="G31">
        <f>""</f>
        <v/>
      </c>
      <c r="H31">
        <f>"High"</f>
        <v/>
      </c>
      <c r="I31">
        <f>TRIM(IF(LEN(IF(LEN(INDEX('Providers'!$F$4:$F$503,28))=0,"",INDEX('Providers'!$F$4:$F$503,28)))=0,"","License no.: "&amp;IF(LEN(INDEX('Providers'!$F$4:$F$503,28))=0,"",INDEX('Providers'!$F$4:$F$503,28))&amp;". ")&amp;IF(LEN(IF(LEN(INDEX('Providers'!$C$4:$C$503,28))=0,"",INDEX('Providers'!$C$4:$C$503,28)))=0,"","NPI: "&amp;IF(LEN(INDEX('Providers'!$C$4:$C$503,28))=0,"",INDEX('Providers'!$C$4:$C$503,28))&amp;". ")&amp;IF(LEN(IF(LEN(INDEX('Providers'!$D$4:$D$503,28))=0,"",INDEX('Providers'!$D$4:$D$503,28)))=0,"","Specialty: "&amp;IF(LEN(INDEX('Providers'!$D$4:$D$503,28))=0,"",INDEX('Providers'!$D$4:$D$503,28))&amp;". ")&amp;IF(LEN(IF(LEN(INDEX('Providers'!$AK$4:$AK$503,28))=0,"",INDEX('Providers'!$AK$4:$AK$503,28)))=0,"",IF(LEN(INDEX('Providers'!$AK$4:$AK$503,28))=0,"",INDEX('Providers'!$AK$4:$AK$503,28))))</f>
        <v/>
      </c>
      <c r="J31">
        <f>IF(LEN(INDEX('Providers'!$AJ$4:$AJ$503,28))=0,"",INDEX('Providers'!$AJ$4:$AJ$503,28))</f>
        <v/>
      </c>
      <c r="K31">
        <f>IF(LEN(INDEX('Providers'!$AI$4:$AI$503,28))=0,"",INDEX('Providers'!$AI$4:$AI$503,28))</f>
        <v/>
      </c>
    </row>
    <row r="32">
      <c r="A32">
        <f>IF(AND(LEN('Providers'!A32)&gt;0,ISNUMBER('Providers'!G32)),1,0)</f>
        <v/>
      </c>
      <c r="B32">
        <f>B31+A32</f>
        <v/>
      </c>
      <c r="C32">
        <f>IF(29&gt;$B$4503,"",MATCH(29-0.5,$B$3:$B$4503,1))</f>
        <v/>
      </c>
      <c r="D32">
        <f>"State license ("&amp;IF(LEN(INDEX('Providers'!$E$4:$E$503,29))=0,"",INDEX('Providers'!$E$4:$E$503,29))&amp;") – "&amp;IF(LEN(INDEX('Providers'!$A$4:$A$503,29))=0,"",INDEX('Providers'!$A$4:$A$503,29))</f>
        <v/>
      </c>
      <c r="E32">
        <f>IF(ISNUMBER(INDEX('Providers'!$G$4:$G$503,29)),TEXT(INDEX('Providers'!$G$4:$G$503,29),"yyyy-mm-dd"),"")</f>
        <v/>
      </c>
      <c r="F32">
        <f>"License"</f>
        <v/>
      </c>
      <c r="G32">
        <f>""</f>
        <v/>
      </c>
      <c r="H32">
        <f>"High"</f>
        <v/>
      </c>
      <c r="I32">
        <f>TRIM(IF(LEN(IF(LEN(INDEX('Providers'!$F$4:$F$503,29))=0,"",INDEX('Providers'!$F$4:$F$503,29)))=0,"","License no.: "&amp;IF(LEN(INDEX('Providers'!$F$4:$F$503,29))=0,"",INDEX('Providers'!$F$4:$F$503,29))&amp;". ")&amp;IF(LEN(IF(LEN(INDEX('Providers'!$C$4:$C$503,29))=0,"",INDEX('Providers'!$C$4:$C$503,29)))=0,"","NPI: "&amp;IF(LEN(INDEX('Providers'!$C$4:$C$503,29))=0,"",INDEX('Providers'!$C$4:$C$503,29))&amp;". ")&amp;IF(LEN(IF(LEN(INDEX('Providers'!$D$4:$D$503,29))=0,"",INDEX('Providers'!$D$4:$D$503,29)))=0,"","Specialty: "&amp;IF(LEN(INDEX('Providers'!$D$4:$D$503,29))=0,"",INDEX('Providers'!$D$4:$D$503,29))&amp;". ")&amp;IF(LEN(IF(LEN(INDEX('Providers'!$AK$4:$AK$503,29))=0,"",INDEX('Providers'!$AK$4:$AK$503,29)))=0,"",IF(LEN(INDEX('Providers'!$AK$4:$AK$503,29))=0,"",INDEX('Providers'!$AK$4:$AK$503,29))))</f>
        <v/>
      </c>
      <c r="J32">
        <f>IF(LEN(INDEX('Providers'!$AJ$4:$AJ$503,29))=0,"",INDEX('Providers'!$AJ$4:$AJ$503,29))</f>
        <v/>
      </c>
      <c r="K32">
        <f>IF(LEN(INDEX('Providers'!$AI$4:$AI$503,29))=0,"",INDEX('Providers'!$AI$4:$AI$503,29))</f>
        <v/>
      </c>
    </row>
    <row r="33">
      <c r="A33">
        <f>IF(AND(LEN('Providers'!A33)&gt;0,ISNUMBER('Providers'!G33)),1,0)</f>
        <v/>
      </c>
      <c r="B33">
        <f>B32+A33</f>
        <v/>
      </c>
      <c r="C33">
        <f>IF(30&gt;$B$4503,"",MATCH(30-0.5,$B$3:$B$4503,1))</f>
        <v/>
      </c>
      <c r="D33">
        <f>"State license ("&amp;IF(LEN(INDEX('Providers'!$E$4:$E$503,30))=0,"",INDEX('Providers'!$E$4:$E$503,30))&amp;") – "&amp;IF(LEN(INDEX('Providers'!$A$4:$A$503,30))=0,"",INDEX('Providers'!$A$4:$A$503,30))</f>
        <v/>
      </c>
      <c r="E33">
        <f>IF(ISNUMBER(INDEX('Providers'!$G$4:$G$503,30)),TEXT(INDEX('Providers'!$G$4:$G$503,30),"yyyy-mm-dd"),"")</f>
        <v/>
      </c>
      <c r="F33">
        <f>"License"</f>
        <v/>
      </c>
      <c r="G33">
        <f>""</f>
        <v/>
      </c>
      <c r="H33">
        <f>"High"</f>
        <v/>
      </c>
      <c r="I33">
        <f>TRIM(IF(LEN(IF(LEN(INDEX('Providers'!$F$4:$F$503,30))=0,"",INDEX('Providers'!$F$4:$F$503,30)))=0,"","License no.: "&amp;IF(LEN(INDEX('Providers'!$F$4:$F$503,30))=0,"",INDEX('Providers'!$F$4:$F$503,30))&amp;". ")&amp;IF(LEN(IF(LEN(INDEX('Providers'!$C$4:$C$503,30))=0,"",INDEX('Providers'!$C$4:$C$503,30)))=0,"","NPI: "&amp;IF(LEN(INDEX('Providers'!$C$4:$C$503,30))=0,"",INDEX('Providers'!$C$4:$C$503,30))&amp;". ")&amp;IF(LEN(IF(LEN(INDEX('Providers'!$D$4:$D$503,30))=0,"",INDEX('Providers'!$D$4:$D$503,30)))=0,"","Specialty: "&amp;IF(LEN(INDEX('Providers'!$D$4:$D$503,30))=0,"",INDEX('Providers'!$D$4:$D$503,30))&amp;". ")&amp;IF(LEN(IF(LEN(INDEX('Providers'!$AK$4:$AK$503,30))=0,"",INDEX('Providers'!$AK$4:$AK$503,30)))=0,"",IF(LEN(INDEX('Providers'!$AK$4:$AK$503,30))=0,"",INDEX('Providers'!$AK$4:$AK$503,30))))</f>
        <v/>
      </c>
      <c r="J33">
        <f>IF(LEN(INDEX('Providers'!$AJ$4:$AJ$503,30))=0,"",INDEX('Providers'!$AJ$4:$AJ$503,30))</f>
        <v/>
      </c>
      <c r="K33">
        <f>IF(LEN(INDEX('Providers'!$AI$4:$AI$503,30))=0,"",INDEX('Providers'!$AI$4:$AI$503,30))</f>
        <v/>
      </c>
    </row>
    <row r="34">
      <c r="A34">
        <f>IF(AND(LEN('Providers'!A34)&gt;0,ISNUMBER('Providers'!G34)),1,0)</f>
        <v/>
      </c>
      <c r="B34">
        <f>B33+A34</f>
        <v/>
      </c>
      <c r="C34">
        <f>IF(31&gt;$B$4503,"",MATCH(31-0.5,$B$3:$B$4503,1))</f>
        <v/>
      </c>
      <c r="D34">
        <f>"State license ("&amp;IF(LEN(INDEX('Providers'!$E$4:$E$503,31))=0,"",INDEX('Providers'!$E$4:$E$503,31))&amp;") – "&amp;IF(LEN(INDEX('Providers'!$A$4:$A$503,31))=0,"",INDEX('Providers'!$A$4:$A$503,31))</f>
        <v/>
      </c>
      <c r="E34">
        <f>IF(ISNUMBER(INDEX('Providers'!$G$4:$G$503,31)),TEXT(INDEX('Providers'!$G$4:$G$503,31),"yyyy-mm-dd"),"")</f>
        <v/>
      </c>
      <c r="F34">
        <f>"License"</f>
        <v/>
      </c>
      <c r="G34">
        <f>""</f>
        <v/>
      </c>
      <c r="H34">
        <f>"High"</f>
        <v/>
      </c>
      <c r="I34">
        <f>TRIM(IF(LEN(IF(LEN(INDEX('Providers'!$F$4:$F$503,31))=0,"",INDEX('Providers'!$F$4:$F$503,31)))=0,"","License no.: "&amp;IF(LEN(INDEX('Providers'!$F$4:$F$503,31))=0,"",INDEX('Providers'!$F$4:$F$503,31))&amp;". ")&amp;IF(LEN(IF(LEN(INDEX('Providers'!$C$4:$C$503,31))=0,"",INDEX('Providers'!$C$4:$C$503,31)))=0,"","NPI: "&amp;IF(LEN(INDEX('Providers'!$C$4:$C$503,31))=0,"",INDEX('Providers'!$C$4:$C$503,31))&amp;". ")&amp;IF(LEN(IF(LEN(INDEX('Providers'!$D$4:$D$503,31))=0,"",INDEX('Providers'!$D$4:$D$503,31)))=0,"","Specialty: "&amp;IF(LEN(INDEX('Providers'!$D$4:$D$503,31))=0,"",INDEX('Providers'!$D$4:$D$503,31))&amp;". ")&amp;IF(LEN(IF(LEN(INDEX('Providers'!$AK$4:$AK$503,31))=0,"",INDEX('Providers'!$AK$4:$AK$503,31)))=0,"",IF(LEN(INDEX('Providers'!$AK$4:$AK$503,31))=0,"",INDEX('Providers'!$AK$4:$AK$503,31))))</f>
        <v/>
      </c>
      <c r="J34">
        <f>IF(LEN(INDEX('Providers'!$AJ$4:$AJ$503,31))=0,"",INDEX('Providers'!$AJ$4:$AJ$503,31))</f>
        <v/>
      </c>
      <c r="K34">
        <f>IF(LEN(INDEX('Providers'!$AI$4:$AI$503,31))=0,"",INDEX('Providers'!$AI$4:$AI$503,31))</f>
        <v/>
      </c>
    </row>
    <row r="35">
      <c r="A35">
        <f>IF(AND(LEN('Providers'!A35)&gt;0,ISNUMBER('Providers'!G35)),1,0)</f>
        <v/>
      </c>
      <c r="B35">
        <f>B34+A35</f>
        <v/>
      </c>
      <c r="C35">
        <f>IF(32&gt;$B$4503,"",MATCH(32-0.5,$B$3:$B$4503,1))</f>
        <v/>
      </c>
      <c r="D35">
        <f>"State license ("&amp;IF(LEN(INDEX('Providers'!$E$4:$E$503,32))=0,"",INDEX('Providers'!$E$4:$E$503,32))&amp;") – "&amp;IF(LEN(INDEX('Providers'!$A$4:$A$503,32))=0,"",INDEX('Providers'!$A$4:$A$503,32))</f>
        <v/>
      </c>
      <c r="E35">
        <f>IF(ISNUMBER(INDEX('Providers'!$G$4:$G$503,32)),TEXT(INDEX('Providers'!$G$4:$G$503,32),"yyyy-mm-dd"),"")</f>
        <v/>
      </c>
      <c r="F35">
        <f>"License"</f>
        <v/>
      </c>
      <c r="G35">
        <f>""</f>
        <v/>
      </c>
      <c r="H35">
        <f>"High"</f>
        <v/>
      </c>
      <c r="I35">
        <f>TRIM(IF(LEN(IF(LEN(INDEX('Providers'!$F$4:$F$503,32))=0,"",INDEX('Providers'!$F$4:$F$503,32)))=0,"","License no.: "&amp;IF(LEN(INDEX('Providers'!$F$4:$F$503,32))=0,"",INDEX('Providers'!$F$4:$F$503,32))&amp;". ")&amp;IF(LEN(IF(LEN(INDEX('Providers'!$C$4:$C$503,32))=0,"",INDEX('Providers'!$C$4:$C$503,32)))=0,"","NPI: "&amp;IF(LEN(INDEX('Providers'!$C$4:$C$503,32))=0,"",INDEX('Providers'!$C$4:$C$503,32))&amp;". ")&amp;IF(LEN(IF(LEN(INDEX('Providers'!$D$4:$D$503,32))=0,"",INDEX('Providers'!$D$4:$D$503,32)))=0,"","Specialty: "&amp;IF(LEN(INDEX('Providers'!$D$4:$D$503,32))=0,"",INDEX('Providers'!$D$4:$D$503,32))&amp;". ")&amp;IF(LEN(IF(LEN(INDEX('Providers'!$AK$4:$AK$503,32))=0,"",INDEX('Providers'!$AK$4:$AK$503,32)))=0,"",IF(LEN(INDEX('Providers'!$AK$4:$AK$503,32))=0,"",INDEX('Providers'!$AK$4:$AK$503,32))))</f>
        <v/>
      </c>
      <c r="J35">
        <f>IF(LEN(INDEX('Providers'!$AJ$4:$AJ$503,32))=0,"",INDEX('Providers'!$AJ$4:$AJ$503,32))</f>
        <v/>
      </c>
      <c r="K35">
        <f>IF(LEN(INDEX('Providers'!$AI$4:$AI$503,32))=0,"",INDEX('Providers'!$AI$4:$AI$503,32))</f>
        <v/>
      </c>
    </row>
    <row r="36">
      <c r="A36">
        <f>IF(AND(LEN('Providers'!A36)&gt;0,ISNUMBER('Providers'!G36)),1,0)</f>
        <v/>
      </c>
      <c r="B36">
        <f>B35+A36</f>
        <v/>
      </c>
      <c r="C36">
        <f>IF(33&gt;$B$4503,"",MATCH(33-0.5,$B$3:$B$4503,1))</f>
        <v/>
      </c>
      <c r="D36">
        <f>"State license ("&amp;IF(LEN(INDEX('Providers'!$E$4:$E$503,33))=0,"",INDEX('Providers'!$E$4:$E$503,33))&amp;") – "&amp;IF(LEN(INDEX('Providers'!$A$4:$A$503,33))=0,"",INDEX('Providers'!$A$4:$A$503,33))</f>
        <v/>
      </c>
      <c r="E36">
        <f>IF(ISNUMBER(INDEX('Providers'!$G$4:$G$503,33)),TEXT(INDEX('Providers'!$G$4:$G$503,33),"yyyy-mm-dd"),"")</f>
        <v/>
      </c>
      <c r="F36">
        <f>"License"</f>
        <v/>
      </c>
      <c r="G36">
        <f>""</f>
        <v/>
      </c>
      <c r="H36">
        <f>"High"</f>
        <v/>
      </c>
      <c r="I36">
        <f>TRIM(IF(LEN(IF(LEN(INDEX('Providers'!$F$4:$F$503,33))=0,"",INDEX('Providers'!$F$4:$F$503,33)))=0,"","License no.: "&amp;IF(LEN(INDEX('Providers'!$F$4:$F$503,33))=0,"",INDEX('Providers'!$F$4:$F$503,33))&amp;". ")&amp;IF(LEN(IF(LEN(INDEX('Providers'!$C$4:$C$503,33))=0,"",INDEX('Providers'!$C$4:$C$503,33)))=0,"","NPI: "&amp;IF(LEN(INDEX('Providers'!$C$4:$C$503,33))=0,"",INDEX('Providers'!$C$4:$C$503,33))&amp;". ")&amp;IF(LEN(IF(LEN(INDEX('Providers'!$D$4:$D$503,33))=0,"",INDEX('Providers'!$D$4:$D$503,33)))=0,"","Specialty: "&amp;IF(LEN(INDEX('Providers'!$D$4:$D$503,33))=0,"",INDEX('Providers'!$D$4:$D$503,33))&amp;". ")&amp;IF(LEN(IF(LEN(INDEX('Providers'!$AK$4:$AK$503,33))=0,"",INDEX('Providers'!$AK$4:$AK$503,33)))=0,"",IF(LEN(INDEX('Providers'!$AK$4:$AK$503,33))=0,"",INDEX('Providers'!$AK$4:$AK$503,33))))</f>
        <v/>
      </c>
      <c r="J36">
        <f>IF(LEN(INDEX('Providers'!$AJ$4:$AJ$503,33))=0,"",INDEX('Providers'!$AJ$4:$AJ$503,33))</f>
        <v/>
      </c>
      <c r="K36">
        <f>IF(LEN(INDEX('Providers'!$AI$4:$AI$503,33))=0,"",INDEX('Providers'!$AI$4:$AI$503,33))</f>
        <v/>
      </c>
    </row>
    <row r="37">
      <c r="A37">
        <f>IF(AND(LEN('Providers'!A37)&gt;0,ISNUMBER('Providers'!G37)),1,0)</f>
        <v/>
      </c>
      <c r="B37">
        <f>B36+A37</f>
        <v/>
      </c>
      <c r="C37">
        <f>IF(34&gt;$B$4503,"",MATCH(34-0.5,$B$3:$B$4503,1))</f>
        <v/>
      </c>
      <c r="D37">
        <f>"State license ("&amp;IF(LEN(INDEX('Providers'!$E$4:$E$503,34))=0,"",INDEX('Providers'!$E$4:$E$503,34))&amp;") – "&amp;IF(LEN(INDEX('Providers'!$A$4:$A$503,34))=0,"",INDEX('Providers'!$A$4:$A$503,34))</f>
        <v/>
      </c>
      <c r="E37">
        <f>IF(ISNUMBER(INDEX('Providers'!$G$4:$G$503,34)),TEXT(INDEX('Providers'!$G$4:$G$503,34),"yyyy-mm-dd"),"")</f>
        <v/>
      </c>
      <c r="F37">
        <f>"License"</f>
        <v/>
      </c>
      <c r="G37">
        <f>""</f>
        <v/>
      </c>
      <c r="H37">
        <f>"High"</f>
        <v/>
      </c>
      <c r="I37">
        <f>TRIM(IF(LEN(IF(LEN(INDEX('Providers'!$F$4:$F$503,34))=0,"",INDEX('Providers'!$F$4:$F$503,34)))=0,"","License no.: "&amp;IF(LEN(INDEX('Providers'!$F$4:$F$503,34))=0,"",INDEX('Providers'!$F$4:$F$503,34))&amp;". ")&amp;IF(LEN(IF(LEN(INDEX('Providers'!$C$4:$C$503,34))=0,"",INDEX('Providers'!$C$4:$C$503,34)))=0,"","NPI: "&amp;IF(LEN(INDEX('Providers'!$C$4:$C$503,34))=0,"",INDEX('Providers'!$C$4:$C$503,34))&amp;". ")&amp;IF(LEN(IF(LEN(INDEX('Providers'!$D$4:$D$503,34))=0,"",INDEX('Providers'!$D$4:$D$503,34)))=0,"","Specialty: "&amp;IF(LEN(INDEX('Providers'!$D$4:$D$503,34))=0,"",INDEX('Providers'!$D$4:$D$503,34))&amp;". ")&amp;IF(LEN(IF(LEN(INDEX('Providers'!$AK$4:$AK$503,34))=0,"",INDEX('Providers'!$AK$4:$AK$503,34)))=0,"",IF(LEN(INDEX('Providers'!$AK$4:$AK$503,34))=0,"",INDEX('Providers'!$AK$4:$AK$503,34))))</f>
        <v/>
      </c>
      <c r="J37">
        <f>IF(LEN(INDEX('Providers'!$AJ$4:$AJ$503,34))=0,"",INDEX('Providers'!$AJ$4:$AJ$503,34))</f>
        <v/>
      </c>
      <c r="K37">
        <f>IF(LEN(INDEX('Providers'!$AI$4:$AI$503,34))=0,"",INDEX('Providers'!$AI$4:$AI$503,34))</f>
        <v/>
      </c>
    </row>
    <row r="38">
      <c r="A38">
        <f>IF(AND(LEN('Providers'!A38)&gt;0,ISNUMBER('Providers'!G38)),1,0)</f>
        <v/>
      </c>
      <c r="B38">
        <f>B37+A38</f>
        <v/>
      </c>
      <c r="C38">
        <f>IF(35&gt;$B$4503,"",MATCH(35-0.5,$B$3:$B$4503,1))</f>
        <v/>
      </c>
      <c r="D38">
        <f>"State license ("&amp;IF(LEN(INDEX('Providers'!$E$4:$E$503,35))=0,"",INDEX('Providers'!$E$4:$E$503,35))&amp;") – "&amp;IF(LEN(INDEX('Providers'!$A$4:$A$503,35))=0,"",INDEX('Providers'!$A$4:$A$503,35))</f>
        <v/>
      </c>
      <c r="E38">
        <f>IF(ISNUMBER(INDEX('Providers'!$G$4:$G$503,35)),TEXT(INDEX('Providers'!$G$4:$G$503,35),"yyyy-mm-dd"),"")</f>
        <v/>
      </c>
      <c r="F38">
        <f>"License"</f>
        <v/>
      </c>
      <c r="G38">
        <f>""</f>
        <v/>
      </c>
      <c r="H38">
        <f>"High"</f>
        <v/>
      </c>
      <c r="I38">
        <f>TRIM(IF(LEN(IF(LEN(INDEX('Providers'!$F$4:$F$503,35))=0,"",INDEX('Providers'!$F$4:$F$503,35)))=0,"","License no.: "&amp;IF(LEN(INDEX('Providers'!$F$4:$F$503,35))=0,"",INDEX('Providers'!$F$4:$F$503,35))&amp;". ")&amp;IF(LEN(IF(LEN(INDEX('Providers'!$C$4:$C$503,35))=0,"",INDEX('Providers'!$C$4:$C$503,35)))=0,"","NPI: "&amp;IF(LEN(INDEX('Providers'!$C$4:$C$503,35))=0,"",INDEX('Providers'!$C$4:$C$503,35))&amp;". ")&amp;IF(LEN(IF(LEN(INDEX('Providers'!$D$4:$D$503,35))=0,"",INDEX('Providers'!$D$4:$D$503,35)))=0,"","Specialty: "&amp;IF(LEN(INDEX('Providers'!$D$4:$D$503,35))=0,"",INDEX('Providers'!$D$4:$D$503,35))&amp;". ")&amp;IF(LEN(IF(LEN(INDEX('Providers'!$AK$4:$AK$503,35))=0,"",INDEX('Providers'!$AK$4:$AK$503,35)))=0,"",IF(LEN(INDEX('Providers'!$AK$4:$AK$503,35))=0,"",INDEX('Providers'!$AK$4:$AK$503,35))))</f>
        <v/>
      </c>
      <c r="J38">
        <f>IF(LEN(INDEX('Providers'!$AJ$4:$AJ$503,35))=0,"",INDEX('Providers'!$AJ$4:$AJ$503,35))</f>
        <v/>
      </c>
      <c r="K38">
        <f>IF(LEN(INDEX('Providers'!$AI$4:$AI$503,35))=0,"",INDEX('Providers'!$AI$4:$AI$503,35))</f>
        <v/>
      </c>
    </row>
    <row r="39">
      <c r="A39">
        <f>IF(AND(LEN('Providers'!A39)&gt;0,ISNUMBER('Providers'!G39)),1,0)</f>
        <v/>
      </c>
      <c r="B39">
        <f>B38+A39</f>
        <v/>
      </c>
      <c r="C39">
        <f>IF(36&gt;$B$4503,"",MATCH(36-0.5,$B$3:$B$4503,1))</f>
        <v/>
      </c>
      <c r="D39">
        <f>"State license ("&amp;IF(LEN(INDEX('Providers'!$E$4:$E$503,36))=0,"",INDEX('Providers'!$E$4:$E$503,36))&amp;") – "&amp;IF(LEN(INDEX('Providers'!$A$4:$A$503,36))=0,"",INDEX('Providers'!$A$4:$A$503,36))</f>
        <v/>
      </c>
      <c r="E39">
        <f>IF(ISNUMBER(INDEX('Providers'!$G$4:$G$503,36)),TEXT(INDEX('Providers'!$G$4:$G$503,36),"yyyy-mm-dd"),"")</f>
        <v/>
      </c>
      <c r="F39">
        <f>"License"</f>
        <v/>
      </c>
      <c r="G39">
        <f>""</f>
        <v/>
      </c>
      <c r="H39">
        <f>"High"</f>
        <v/>
      </c>
      <c r="I39">
        <f>TRIM(IF(LEN(IF(LEN(INDEX('Providers'!$F$4:$F$503,36))=0,"",INDEX('Providers'!$F$4:$F$503,36)))=0,"","License no.: "&amp;IF(LEN(INDEX('Providers'!$F$4:$F$503,36))=0,"",INDEX('Providers'!$F$4:$F$503,36))&amp;". ")&amp;IF(LEN(IF(LEN(INDEX('Providers'!$C$4:$C$503,36))=0,"",INDEX('Providers'!$C$4:$C$503,36)))=0,"","NPI: "&amp;IF(LEN(INDEX('Providers'!$C$4:$C$503,36))=0,"",INDEX('Providers'!$C$4:$C$503,36))&amp;". ")&amp;IF(LEN(IF(LEN(INDEX('Providers'!$D$4:$D$503,36))=0,"",INDEX('Providers'!$D$4:$D$503,36)))=0,"","Specialty: "&amp;IF(LEN(INDEX('Providers'!$D$4:$D$503,36))=0,"",INDEX('Providers'!$D$4:$D$503,36))&amp;". ")&amp;IF(LEN(IF(LEN(INDEX('Providers'!$AK$4:$AK$503,36))=0,"",INDEX('Providers'!$AK$4:$AK$503,36)))=0,"",IF(LEN(INDEX('Providers'!$AK$4:$AK$503,36))=0,"",INDEX('Providers'!$AK$4:$AK$503,36))))</f>
        <v/>
      </c>
      <c r="J39">
        <f>IF(LEN(INDEX('Providers'!$AJ$4:$AJ$503,36))=0,"",INDEX('Providers'!$AJ$4:$AJ$503,36))</f>
        <v/>
      </c>
      <c r="K39">
        <f>IF(LEN(INDEX('Providers'!$AI$4:$AI$503,36))=0,"",INDEX('Providers'!$AI$4:$AI$503,36))</f>
        <v/>
      </c>
    </row>
    <row r="40">
      <c r="A40">
        <f>IF(AND(LEN('Providers'!A40)&gt;0,ISNUMBER('Providers'!G40)),1,0)</f>
        <v/>
      </c>
      <c r="B40">
        <f>B39+A40</f>
        <v/>
      </c>
      <c r="C40">
        <f>IF(37&gt;$B$4503,"",MATCH(37-0.5,$B$3:$B$4503,1))</f>
        <v/>
      </c>
      <c r="D40">
        <f>"State license ("&amp;IF(LEN(INDEX('Providers'!$E$4:$E$503,37))=0,"",INDEX('Providers'!$E$4:$E$503,37))&amp;") – "&amp;IF(LEN(INDEX('Providers'!$A$4:$A$503,37))=0,"",INDEX('Providers'!$A$4:$A$503,37))</f>
        <v/>
      </c>
      <c r="E40">
        <f>IF(ISNUMBER(INDEX('Providers'!$G$4:$G$503,37)),TEXT(INDEX('Providers'!$G$4:$G$503,37),"yyyy-mm-dd"),"")</f>
        <v/>
      </c>
      <c r="F40">
        <f>"License"</f>
        <v/>
      </c>
      <c r="G40">
        <f>""</f>
        <v/>
      </c>
      <c r="H40">
        <f>"High"</f>
        <v/>
      </c>
      <c r="I40">
        <f>TRIM(IF(LEN(IF(LEN(INDEX('Providers'!$F$4:$F$503,37))=0,"",INDEX('Providers'!$F$4:$F$503,37)))=0,"","License no.: "&amp;IF(LEN(INDEX('Providers'!$F$4:$F$503,37))=0,"",INDEX('Providers'!$F$4:$F$503,37))&amp;". ")&amp;IF(LEN(IF(LEN(INDEX('Providers'!$C$4:$C$503,37))=0,"",INDEX('Providers'!$C$4:$C$503,37)))=0,"","NPI: "&amp;IF(LEN(INDEX('Providers'!$C$4:$C$503,37))=0,"",INDEX('Providers'!$C$4:$C$503,37))&amp;". ")&amp;IF(LEN(IF(LEN(INDEX('Providers'!$D$4:$D$503,37))=0,"",INDEX('Providers'!$D$4:$D$503,37)))=0,"","Specialty: "&amp;IF(LEN(INDEX('Providers'!$D$4:$D$503,37))=0,"",INDEX('Providers'!$D$4:$D$503,37))&amp;". ")&amp;IF(LEN(IF(LEN(INDEX('Providers'!$AK$4:$AK$503,37))=0,"",INDEX('Providers'!$AK$4:$AK$503,37)))=0,"",IF(LEN(INDEX('Providers'!$AK$4:$AK$503,37))=0,"",INDEX('Providers'!$AK$4:$AK$503,37))))</f>
        <v/>
      </c>
      <c r="J40">
        <f>IF(LEN(INDEX('Providers'!$AJ$4:$AJ$503,37))=0,"",INDEX('Providers'!$AJ$4:$AJ$503,37))</f>
        <v/>
      </c>
      <c r="K40">
        <f>IF(LEN(INDEX('Providers'!$AI$4:$AI$503,37))=0,"",INDEX('Providers'!$AI$4:$AI$503,37))</f>
        <v/>
      </c>
    </row>
    <row r="41">
      <c r="A41">
        <f>IF(AND(LEN('Providers'!A41)&gt;0,ISNUMBER('Providers'!G41)),1,0)</f>
        <v/>
      </c>
      <c r="B41">
        <f>B40+A41</f>
        <v/>
      </c>
      <c r="C41">
        <f>IF(38&gt;$B$4503,"",MATCH(38-0.5,$B$3:$B$4503,1))</f>
        <v/>
      </c>
      <c r="D41">
        <f>"State license ("&amp;IF(LEN(INDEX('Providers'!$E$4:$E$503,38))=0,"",INDEX('Providers'!$E$4:$E$503,38))&amp;") – "&amp;IF(LEN(INDEX('Providers'!$A$4:$A$503,38))=0,"",INDEX('Providers'!$A$4:$A$503,38))</f>
        <v/>
      </c>
      <c r="E41">
        <f>IF(ISNUMBER(INDEX('Providers'!$G$4:$G$503,38)),TEXT(INDEX('Providers'!$G$4:$G$503,38),"yyyy-mm-dd"),"")</f>
        <v/>
      </c>
      <c r="F41">
        <f>"License"</f>
        <v/>
      </c>
      <c r="G41">
        <f>""</f>
        <v/>
      </c>
      <c r="H41">
        <f>"High"</f>
        <v/>
      </c>
      <c r="I41">
        <f>TRIM(IF(LEN(IF(LEN(INDEX('Providers'!$F$4:$F$503,38))=0,"",INDEX('Providers'!$F$4:$F$503,38)))=0,"","License no.: "&amp;IF(LEN(INDEX('Providers'!$F$4:$F$503,38))=0,"",INDEX('Providers'!$F$4:$F$503,38))&amp;". ")&amp;IF(LEN(IF(LEN(INDEX('Providers'!$C$4:$C$503,38))=0,"",INDEX('Providers'!$C$4:$C$503,38)))=0,"","NPI: "&amp;IF(LEN(INDEX('Providers'!$C$4:$C$503,38))=0,"",INDEX('Providers'!$C$4:$C$503,38))&amp;". ")&amp;IF(LEN(IF(LEN(INDEX('Providers'!$D$4:$D$503,38))=0,"",INDEX('Providers'!$D$4:$D$503,38)))=0,"","Specialty: "&amp;IF(LEN(INDEX('Providers'!$D$4:$D$503,38))=0,"",INDEX('Providers'!$D$4:$D$503,38))&amp;". ")&amp;IF(LEN(IF(LEN(INDEX('Providers'!$AK$4:$AK$503,38))=0,"",INDEX('Providers'!$AK$4:$AK$503,38)))=0,"",IF(LEN(INDEX('Providers'!$AK$4:$AK$503,38))=0,"",INDEX('Providers'!$AK$4:$AK$503,38))))</f>
        <v/>
      </c>
      <c r="J41">
        <f>IF(LEN(INDEX('Providers'!$AJ$4:$AJ$503,38))=0,"",INDEX('Providers'!$AJ$4:$AJ$503,38))</f>
        <v/>
      </c>
      <c r="K41">
        <f>IF(LEN(INDEX('Providers'!$AI$4:$AI$503,38))=0,"",INDEX('Providers'!$AI$4:$AI$503,38))</f>
        <v/>
      </c>
    </row>
    <row r="42">
      <c r="A42">
        <f>IF(AND(LEN('Providers'!A42)&gt;0,ISNUMBER('Providers'!G42)),1,0)</f>
        <v/>
      </c>
      <c r="B42">
        <f>B41+A42</f>
        <v/>
      </c>
      <c r="C42">
        <f>IF(39&gt;$B$4503,"",MATCH(39-0.5,$B$3:$B$4503,1))</f>
        <v/>
      </c>
      <c r="D42">
        <f>"State license ("&amp;IF(LEN(INDEX('Providers'!$E$4:$E$503,39))=0,"",INDEX('Providers'!$E$4:$E$503,39))&amp;") – "&amp;IF(LEN(INDEX('Providers'!$A$4:$A$503,39))=0,"",INDEX('Providers'!$A$4:$A$503,39))</f>
        <v/>
      </c>
      <c r="E42">
        <f>IF(ISNUMBER(INDEX('Providers'!$G$4:$G$503,39)),TEXT(INDEX('Providers'!$G$4:$G$503,39),"yyyy-mm-dd"),"")</f>
        <v/>
      </c>
      <c r="F42">
        <f>"License"</f>
        <v/>
      </c>
      <c r="G42">
        <f>""</f>
        <v/>
      </c>
      <c r="H42">
        <f>"High"</f>
        <v/>
      </c>
      <c r="I42">
        <f>TRIM(IF(LEN(IF(LEN(INDEX('Providers'!$F$4:$F$503,39))=0,"",INDEX('Providers'!$F$4:$F$503,39)))=0,"","License no.: "&amp;IF(LEN(INDEX('Providers'!$F$4:$F$503,39))=0,"",INDEX('Providers'!$F$4:$F$503,39))&amp;". ")&amp;IF(LEN(IF(LEN(INDEX('Providers'!$C$4:$C$503,39))=0,"",INDEX('Providers'!$C$4:$C$503,39)))=0,"","NPI: "&amp;IF(LEN(INDEX('Providers'!$C$4:$C$503,39))=0,"",INDEX('Providers'!$C$4:$C$503,39))&amp;". ")&amp;IF(LEN(IF(LEN(INDEX('Providers'!$D$4:$D$503,39))=0,"",INDEX('Providers'!$D$4:$D$503,39)))=0,"","Specialty: "&amp;IF(LEN(INDEX('Providers'!$D$4:$D$503,39))=0,"",INDEX('Providers'!$D$4:$D$503,39))&amp;". ")&amp;IF(LEN(IF(LEN(INDEX('Providers'!$AK$4:$AK$503,39))=0,"",INDEX('Providers'!$AK$4:$AK$503,39)))=0,"",IF(LEN(INDEX('Providers'!$AK$4:$AK$503,39))=0,"",INDEX('Providers'!$AK$4:$AK$503,39))))</f>
        <v/>
      </c>
      <c r="J42">
        <f>IF(LEN(INDEX('Providers'!$AJ$4:$AJ$503,39))=0,"",INDEX('Providers'!$AJ$4:$AJ$503,39))</f>
        <v/>
      </c>
      <c r="K42">
        <f>IF(LEN(INDEX('Providers'!$AI$4:$AI$503,39))=0,"",INDEX('Providers'!$AI$4:$AI$503,39))</f>
        <v/>
      </c>
    </row>
    <row r="43">
      <c r="A43">
        <f>IF(AND(LEN('Providers'!A43)&gt;0,ISNUMBER('Providers'!G43)),1,0)</f>
        <v/>
      </c>
      <c r="B43">
        <f>B42+A43</f>
        <v/>
      </c>
      <c r="C43">
        <f>IF(40&gt;$B$4503,"",MATCH(40-0.5,$B$3:$B$4503,1))</f>
        <v/>
      </c>
      <c r="D43">
        <f>"State license ("&amp;IF(LEN(INDEX('Providers'!$E$4:$E$503,40))=0,"",INDEX('Providers'!$E$4:$E$503,40))&amp;") – "&amp;IF(LEN(INDEX('Providers'!$A$4:$A$503,40))=0,"",INDEX('Providers'!$A$4:$A$503,40))</f>
        <v/>
      </c>
      <c r="E43">
        <f>IF(ISNUMBER(INDEX('Providers'!$G$4:$G$503,40)),TEXT(INDEX('Providers'!$G$4:$G$503,40),"yyyy-mm-dd"),"")</f>
        <v/>
      </c>
      <c r="F43">
        <f>"License"</f>
        <v/>
      </c>
      <c r="G43">
        <f>""</f>
        <v/>
      </c>
      <c r="H43">
        <f>"High"</f>
        <v/>
      </c>
      <c r="I43">
        <f>TRIM(IF(LEN(IF(LEN(INDEX('Providers'!$F$4:$F$503,40))=0,"",INDEX('Providers'!$F$4:$F$503,40)))=0,"","License no.: "&amp;IF(LEN(INDEX('Providers'!$F$4:$F$503,40))=0,"",INDEX('Providers'!$F$4:$F$503,40))&amp;". ")&amp;IF(LEN(IF(LEN(INDEX('Providers'!$C$4:$C$503,40))=0,"",INDEX('Providers'!$C$4:$C$503,40)))=0,"","NPI: "&amp;IF(LEN(INDEX('Providers'!$C$4:$C$503,40))=0,"",INDEX('Providers'!$C$4:$C$503,40))&amp;". ")&amp;IF(LEN(IF(LEN(INDEX('Providers'!$D$4:$D$503,40))=0,"",INDEX('Providers'!$D$4:$D$503,40)))=0,"","Specialty: "&amp;IF(LEN(INDEX('Providers'!$D$4:$D$503,40))=0,"",INDEX('Providers'!$D$4:$D$503,40))&amp;". ")&amp;IF(LEN(IF(LEN(INDEX('Providers'!$AK$4:$AK$503,40))=0,"",INDEX('Providers'!$AK$4:$AK$503,40)))=0,"",IF(LEN(INDEX('Providers'!$AK$4:$AK$503,40))=0,"",INDEX('Providers'!$AK$4:$AK$503,40))))</f>
        <v/>
      </c>
      <c r="J43">
        <f>IF(LEN(INDEX('Providers'!$AJ$4:$AJ$503,40))=0,"",INDEX('Providers'!$AJ$4:$AJ$503,40))</f>
        <v/>
      </c>
      <c r="K43">
        <f>IF(LEN(INDEX('Providers'!$AI$4:$AI$503,40))=0,"",INDEX('Providers'!$AI$4:$AI$503,40))</f>
        <v/>
      </c>
    </row>
    <row r="44">
      <c r="A44">
        <f>IF(AND(LEN('Providers'!A44)&gt;0,ISNUMBER('Providers'!G44)),1,0)</f>
        <v/>
      </c>
      <c r="B44">
        <f>B43+A44</f>
        <v/>
      </c>
      <c r="C44">
        <f>IF(41&gt;$B$4503,"",MATCH(41-0.5,$B$3:$B$4503,1))</f>
        <v/>
      </c>
      <c r="D44">
        <f>"State license ("&amp;IF(LEN(INDEX('Providers'!$E$4:$E$503,41))=0,"",INDEX('Providers'!$E$4:$E$503,41))&amp;") – "&amp;IF(LEN(INDEX('Providers'!$A$4:$A$503,41))=0,"",INDEX('Providers'!$A$4:$A$503,41))</f>
        <v/>
      </c>
      <c r="E44">
        <f>IF(ISNUMBER(INDEX('Providers'!$G$4:$G$503,41)),TEXT(INDEX('Providers'!$G$4:$G$503,41),"yyyy-mm-dd"),"")</f>
        <v/>
      </c>
      <c r="F44">
        <f>"License"</f>
        <v/>
      </c>
      <c r="G44">
        <f>""</f>
        <v/>
      </c>
      <c r="H44">
        <f>"High"</f>
        <v/>
      </c>
      <c r="I44">
        <f>TRIM(IF(LEN(IF(LEN(INDEX('Providers'!$F$4:$F$503,41))=0,"",INDEX('Providers'!$F$4:$F$503,41)))=0,"","License no.: "&amp;IF(LEN(INDEX('Providers'!$F$4:$F$503,41))=0,"",INDEX('Providers'!$F$4:$F$503,41))&amp;". ")&amp;IF(LEN(IF(LEN(INDEX('Providers'!$C$4:$C$503,41))=0,"",INDEX('Providers'!$C$4:$C$503,41)))=0,"","NPI: "&amp;IF(LEN(INDEX('Providers'!$C$4:$C$503,41))=0,"",INDEX('Providers'!$C$4:$C$503,41))&amp;". ")&amp;IF(LEN(IF(LEN(INDEX('Providers'!$D$4:$D$503,41))=0,"",INDEX('Providers'!$D$4:$D$503,41)))=0,"","Specialty: "&amp;IF(LEN(INDEX('Providers'!$D$4:$D$503,41))=0,"",INDEX('Providers'!$D$4:$D$503,41))&amp;". ")&amp;IF(LEN(IF(LEN(INDEX('Providers'!$AK$4:$AK$503,41))=0,"",INDEX('Providers'!$AK$4:$AK$503,41)))=0,"",IF(LEN(INDEX('Providers'!$AK$4:$AK$503,41))=0,"",INDEX('Providers'!$AK$4:$AK$503,41))))</f>
        <v/>
      </c>
      <c r="J44">
        <f>IF(LEN(INDEX('Providers'!$AJ$4:$AJ$503,41))=0,"",INDEX('Providers'!$AJ$4:$AJ$503,41))</f>
        <v/>
      </c>
      <c r="K44">
        <f>IF(LEN(INDEX('Providers'!$AI$4:$AI$503,41))=0,"",INDEX('Providers'!$AI$4:$AI$503,41))</f>
        <v/>
      </c>
    </row>
    <row r="45">
      <c r="A45">
        <f>IF(AND(LEN('Providers'!A45)&gt;0,ISNUMBER('Providers'!G45)),1,0)</f>
        <v/>
      </c>
      <c r="B45">
        <f>B44+A45</f>
        <v/>
      </c>
      <c r="C45">
        <f>IF(42&gt;$B$4503,"",MATCH(42-0.5,$B$3:$B$4503,1))</f>
        <v/>
      </c>
      <c r="D45">
        <f>"State license ("&amp;IF(LEN(INDEX('Providers'!$E$4:$E$503,42))=0,"",INDEX('Providers'!$E$4:$E$503,42))&amp;") – "&amp;IF(LEN(INDEX('Providers'!$A$4:$A$503,42))=0,"",INDEX('Providers'!$A$4:$A$503,42))</f>
        <v/>
      </c>
      <c r="E45">
        <f>IF(ISNUMBER(INDEX('Providers'!$G$4:$G$503,42)),TEXT(INDEX('Providers'!$G$4:$G$503,42),"yyyy-mm-dd"),"")</f>
        <v/>
      </c>
      <c r="F45">
        <f>"License"</f>
        <v/>
      </c>
      <c r="G45">
        <f>""</f>
        <v/>
      </c>
      <c r="H45">
        <f>"High"</f>
        <v/>
      </c>
      <c r="I45">
        <f>TRIM(IF(LEN(IF(LEN(INDEX('Providers'!$F$4:$F$503,42))=0,"",INDEX('Providers'!$F$4:$F$503,42)))=0,"","License no.: "&amp;IF(LEN(INDEX('Providers'!$F$4:$F$503,42))=0,"",INDEX('Providers'!$F$4:$F$503,42))&amp;". ")&amp;IF(LEN(IF(LEN(INDEX('Providers'!$C$4:$C$503,42))=0,"",INDEX('Providers'!$C$4:$C$503,42)))=0,"","NPI: "&amp;IF(LEN(INDEX('Providers'!$C$4:$C$503,42))=0,"",INDEX('Providers'!$C$4:$C$503,42))&amp;". ")&amp;IF(LEN(IF(LEN(INDEX('Providers'!$D$4:$D$503,42))=0,"",INDEX('Providers'!$D$4:$D$503,42)))=0,"","Specialty: "&amp;IF(LEN(INDEX('Providers'!$D$4:$D$503,42))=0,"",INDEX('Providers'!$D$4:$D$503,42))&amp;". ")&amp;IF(LEN(IF(LEN(INDEX('Providers'!$AK$4:$AK$503,42))=0,"",INDEX('Providers'!$AK$4:$AK$503,42)))=0,"",IF(LEN(INDEX('Providers'!$AK$4:$AK$503,42))=0,"",INDEX('Providers'!$AK$4:$AK$503,42))))</f>
        <v/>
      </c>
      <c r="J45">
        <f>IF(LEN(INDEX('Providers'!$AJ$4:$AJ$503,42))=0,"",INDEX('Providers'!$AJ$4:$AJ$503,42))</f>
        <v/>
      </c>
      <c r="K45">
        <f>IF(LEN(INDEX('Providers'!$AI$4:$AI$503,42))=0,"",INDEX('Providers'!$AI$4:$AI$503,42))</f>
        <v/>
      </c>
    </row>
    <row r="46">
      <c r="A46">
        <f>IF(AND(LEN('Providers'!A46)&gt;0,ISNUMBER('Providers'!G46)),1,0)</f>
        <v/>
      </c>
      <c r="B46">
        <f>B45+A46</f>
        <v/>
      </c>
      <c r="C46">
        <f>IF(43&gt;$B$4503,"",MATCH(43-0.5,$B$3:$B$4503,1))</f>
        <v/>
      </c>
      <c r="D46">
        <f>"State license ("&amp;IF(LEN(INDEX('Providers'!$E$4:$E$503,43))=0,"",INDEX('Providers'!$E$4:$E$503,43))&amp;") – "&amp;IF(LEN(INDEX('Providers'!$A$4:$A$503,43))=0,"",INDEX('Providers'!$A$4:$A$503,43))</f>
        <v/>
      </c>
      <c r="E46">
        <f>IF(ISNUMBER(INDEX('Providers'!$G$4:$G$503,43)),TEXT(INDEX('Providers'!$G$4:$G$503,43),"yyyy-mm-dd"),"")</f>
        <v/>
      </c>
      <c r="F46">
        <f>"License"</f>
        <v/>
      </c>
      <c r="G46">
        <f>""</f>
        <v/>
      </c>
      <c r="H46">
        <f>"High"</f>
        <v/>
      </c>
      <c r="I46">
        <f>TRIM(IF(LEN(IF(LEN(INDEX('Providers'!$F$4:$F$503,43))=0,"",INDEX('Providers'!$F$4:$F$503,43)))=0,"","License no.: "&amp;IF(LEN(INDEX('Providers'!$F$4:$F$503,43))=0,"",INDEX('Providers'!$F$4:$F$503,43))&amp;". ")&amp;IF(LEN(IF(LEN(INDEX('Providers'!$C$4:$C$503,43))=0,"",INDEX('Providers'!$C$4:$C$503,43)))=0,"","NPI: "&amp;IF(LEN(INDEX('Providers'!$C$4:$C$503,43))=0,"",INDEX('Providers'!$C$4:$C$503,43))&amp;". ")&amp;IF(LEN(IF(LEN(INDEX('Providers'!$D$4:$D$503,43))=0,"",INDEX('Providers'!$D$4:$D$503,43)))=0,"","Specialty: "&amp;IF(LEN(INDEX('Providers'!$D$4:$D$503,43))=0,"",INDEX('Providers'!$D$4:$D$503,43))&amp;". ")&amp;IF(LEN(IF(LEN(INDEX('Providers'!$AK$4:$AK$503,43))=0,"",INDEX('Providers'!$AK$4:$AK$503,43)))=0,"",IF(LEN(INDEX('Providers'!$AK$4:$AK$503,43))=0,"",INDEX('Providers'!$AK$4:$AK$503,43))))</f>
        <v/>
      </c>
      <c r="J46">
        <f>IF(LEN(INDEX('Providers'!$AJ$4:$AJ$503,43))=0,"",INDEX('Providers'!$AJ$4:$AJ$503,43))</f>
        <v/>
      </c>
      <c r="K46">
        <f>IF(LEN(INDEX('Providers'!$AI$4:$AI$503,43))=0,"",INDEX('Providers'!$AI$4:$AI$503,43))</f>
        <v/>
      </c>
    </row>
    <row r="47">
      <c r="A47">
        <f>IF(AND(LEN('Providers'!A47)&gt;0,ISNUMBER('Providers'!G47)),1,0)</f>
        <v/>
      </c>
      <c r="B47">
        <f>B46+A47</f>
        <v/>
      </c>
      <c r="C47">
        <f>IF(44&gt;$B$4503,"",MATCH(44-0.5,$B$3:$B$4503,1))</f>
        <v/>
      </c>
      <c r="D47">
        <f>"State license ("&amp;IF(LEN(INDEX('Providers'!$E$4:$E$503,44))=0,"",INDEX('Providers'!$E$4:$E$503,44))&amp;") – "&amp;IF(LEN(INDEX('Providers'!$A$4:$A$503,44))=0,"",INDEX('Providers'!$A$4:$A$503,44))</f>
        <v/>
      </c>
      <c r="E47">
        <f>IF(ISNUMBER(INDEX('Providers'!$G$4:$G$503,44)),TEXT(INDEX('Providers'!$G$4:$G$503,44),"yyyy-mm-dd"),"")</f>
        <v/>
      </c>
      <c r="F47">
        <f>"License"</f>
        <v/>
      </c>
      <c r="G47">
        <f>""</f>
        <v/>
      </c>
      <c r="H47">
        <f>"High"</f>
        <v/>
      </c>
      <c r="I47">
        <f>TRIM(IF(LEN(IF(LEN(INDEX('Providers'!$F$4:$F$503,44))=0,"",INDEX('Providers'!$F$4:$F$503,44)))=0,"","License no.: "&amp;IF(LEN(INDEX('Providers'!$F$4:$F$503,44))=0,"",INDEX('Providers'!$F$4:$F$503,44))&amp;". ")&amp;IF(LEN(IF(LEN(INDEX('Providers'!$C$4:$C$503,44))=0,"",INDEX('Providers'!$C$4:$C$503,44)))=0,"","NPI: "&amp;IF(LEN(INDEX('Providers'!$C$4:$C$503,44))=0,"",INDEX('Providers'!$C$4:$C$503,44))&amp;". ")&amp;IF(LEN(IF(LEN(INDEX('Providers'!$D$4:$D$503,44))=0,"",INDEX('Providers'!$D$4:$D$503,44)))=0,"","Specialty: "&amp;IF(LEN(INDEX('Providers'!$D$4:$D$503,44))=0,"",INDEX('Providers'!$D$4:$D$503,44))&amp;". ")&amp;IF(LEN(IF(LEN(INDEX('Providers'!$AK$4:$AK$503,44))=0,"",INDEX('Providers'!$AK$4:$AK$503,44)))=0,"",IF(LEN(INDEX('Providers'!$AK$4:$AK$503,44))=0,"",INDEX('Providers'!$AK$4:$AK$503,44))))</f>
        <v/>
      </c>
      <c r="J47">
        <f>IF(LEN(INDEX('Providers'!$AJ$4:$AJ$503,44))=0,"",INDEX('Providers'!$AJ$4:$AJ$503,44))</f>
        <v/>
      </c>
      <c r="K47">
        <f>IF(LEN(INDEX('Providers'!$AI$4:$AI$503,44))=0,"",INDEX('Providers'!$AI$4:$AI$503,44))</f>
        <v/>
      </c>
    </row>
    <row r="48">
      <c r="A48">
        <f>IF(AND(LEN('Providers'!A48)&gt;0,ISNUMBER('Providers'!G48)),1,0)</f>
        <v/>
      </c>
      <c r="B48">
        <f>B47+A48</f>
        <v/>
      </c>
      <c r="C48">
        <f>IF(45&gt;$B$4503,"",MATCH(45-0.5,$B$3:$B$4503,1))</f>
        <v/>
      </c>
      <c r="D48">
        <f>"State license ("&amp;IF(LEN(INDEX('Providers'!$E$4:$E$503,45))=0,"",INDEX('Providers'!$E$4:$E$503,45))&amp;") – "&amp;IF(LEN(INDEX('Providers'!$A$4:$A$503,45))=0,"",INDEX('Providers'!$A$4:$A$503,45))</f>
        <v/>
      </c>
      <c r="E48">
        <f>IF(ISNUMBER(INDEX('Providers'!$G$4:$G$503,45)),TEXT(INDEX('Providers'!$G$4:$G$503,45),"yyyy-mm-dd"),"")</f>
        <v/>
      </c>
      <c r="F48">
        <f>"License"</f>
        <v/>
      </c>
      <c r="G48">
        <f>""</f>
        <v/>
      </c>
      <c r="H48">
        <f>"High"</f>
        <v/>
      </c>
      <c r="I48">
        <f>TRIM(IF(LEN(IF(LEN(INDEX('Providers'!$F$4:$F$503,45))=0,"",INDEX('Providers'!$F$4:$F$503,45)))=0,"","License no.: "&amp;IF(LEN(INDEX('Providers'!$F$4:$F$503,45))=0,"",INDEX('Providers'!$F$4:$F$503,45))&amp;". ")&amp;IF(LEN(IF(LEN(INDEX('Providers'!$C$4:$C$503,45))=0,"",INDEX('Providers'!$C$4:$C$503,45)))=0,"","NPI: "&amp;IF(LEN(INDEX('Providers'!$C$4:$C$503,45))=0,"",INDEX('Providers'!$C$4:$C$503,45))&amp;". ")&amp;IF(LEN(IF(LEN(INDEX('Providers'!$D$4:$D$503,45))=0,"",INDEX('Providers'!$D$4:$D$503,45)))=0,"","Specialty: "&amp;IF(LEN(INDEX('Providers'!$D$4:$D$503,45))=0,"",INDEX('Providers'!$D$4:$D$503,45))&amp;". ")&amp;IF(LEN(IF(LEN(INDEX('Providers'!$AK$4:$AK$503,45))=0,"",INDEX('Providers'!$AK$4:$AK$503,45)))=0,"",IF(LEN(INDEX('Providers'!$AK$4:$AK$503,45))=0,"",INDEX('Providers'!$AK$4:$AK$503,45))))</f>
        <v/>
      </c>
      <c r="J48">
        <f>IF(LEN(INDEX('Providers'!$AJ$4:$AJ$503,45))=0,"",INDEX('Providers'!$AJ$4:$AJ$503,45))</f>
        <v/>
      </c>
      <c r="K48">
        <f>IF(LEN(INDEX('Providers'!$AI$4:$AI$503,45))=0,"",INDEX('Providers'!$AI$4:$AI$503,45))</f>
        <v/>
      </c>
    </row>
    <row r="49">
      <c r="A49">
        <f>IF(AND(LEN('Providers'!A49)&gt;0,ISNUMBER('Providers'!G49)),1,0)</f>
        <v/>
      </c>
      <c r="B49">
        <f>B48+A49</f>
        <v/>
      </c>
      <c r="C49">
        <f>IF(46&gt;$B$4503,"",MATCH(46-0.5,$B$3:$B$4503,1))</f>
        <v/>
      </c>
      <c r="D49">
        <f>"State license ("&amp;IF(LEN(INDEX('Providers'!$E$4:$E$503,46))=0,"",INDEX('Providers'!$E$4:$E$503,46))&amp;") – "&amp;IF(LEN(INDEX('Providers'!$A$4:$A$503,46))=0,"",INDEX('Providers'!$A$4:$A$503,46))</f>
        <v/>
      </c>
      <c r="E49">
        <f>IF(ISNUMBER(INDEX('Providers'!$G$4:$G$503,46)),TEXT(INDEX('Providers'!$G$4:$G$503,46),"yyyy-mm-dd"),"")</f>
        <v/>
      </c>
      <c r="F49">
        <f>"License"</f>
        <v/>
      </c>
      <c r="G49">
        <f>""</f>
        <v/>
      </c>
      <c r="H49">
        <f>"High"</f>
        <v/>
      </c>
      <c r="I49">
        <f>TRIM(IF(LEN(IF(LEN(INDEX('Providers'!$F$4:$F$503,46))=0,"",INDEX('Providers'!$F$4:$F$503,46)))=0,"","License no.: "&amp;IF(LEN(INDEX('Providers'!$F$4:$F$503,46))=0,"",INDEX('Providers'!$F$4:$F$503,46))&amp;". ")&amp;IF(LEN(IF(LEN(INDEX('Providers'!$C$4:$C$503,46))=0,"",INDEX('Providers'!$C$4:$C$503,46)))=0,"","NPI: "&amp;IF(LEN(INDEX('Providers'!$C$4:$C$503,46))=0,"",INDEX('Providers'!$C$4:$C$503,46))&amp;". ")&amp;IF(LEN(IF(LEN(INDEX('Providers'!$D$4:$D$503,46))=0,"",INDEX('Providers'!$D$4:$D$503,46)))=0,"","Specialty: "&amp;IF(LEN(INDEX('Providers'!$D$4:$D$503,46))=0,"",INDEX('Providers'!$D$4:$D$503,46))&amp;". ")&amp;IF(LEN(IF(LEN(INDEX('Providers'!$AK$4:$AK$503,46))=0,"",INDEX('Providers'!$AK$4:$AK$503,46)))=0,"",IF(LEN(INDEX('Providers'!$AK$4:$AK$503,46))=0,"",INDEX('Providers'!$AK$4:$AK$503,46))))</f>
        <v/>
      </c>
      <c r="J49">
        <f>IF(LEN(INDEX('Providers'!$AJ$4:$AJ$503,46))=0,"",INDEX('Providers'!$AJ$4:$AJ$503,46))</f>
        <v/>
      </c>
      <c r="K49">
        <f>IF(LEN(INDEX('Providers'!$AI$4:$AI$503,46))=0,"",INDEX('Providers'!$AI$4:$AI$503,46))</f>
        <v/>
      </c>
    </row>
    <row r="50">
      <c r="A50">
        <f>IF(AND(LEN('Providers'!A50)&gt;0,ISNUMBER('Providers'!G50)),1,0)</f>
        <v/>
      </c>
      <c r="B50">
        <f>B49+A50</f>
        <v/>
      </c>
      <c r="C50">
        <f>IF(47&gt;$B$4503,"",MATCH(47-0.5,$B$3:$B$4503,1))</f>
        <v/>
      </c>
      <c r="D50">
        <f>"State license ("&amp;IF(LEN(INDEX('Providers'!$E$4:$E$503,47))=0,"",INDEX('Providers'!$E$4:$E$503,47))&amp;") – "&amp;IF(LEN(INDEX('Providers'!$A$4:$A$503,47))=0,"",INDEX('Providers'!$A$4:$A$503,47))</f>
        <v/>
      </c>
      <c r="E50">
        <f>IF(ISNUMBER(INDEX('Providers'!$G$4:$G$503,47)),TEXT(INDEX('Providers'!$G$4:$G$503,47),"yyyy-mm-dd"),"")</f>
        <v/>
      </c>
      <c r="F50">
        <f>"License"</f>
        <v/>
      </c>
      <c r="G50">
        <f>""</f>
        <v/>
      </c>
      <c r="H50">
        <f>"High"</f>
        <v/>
      </c>
      <c r="I50">
        <f>TRIM(IF(LEN(IF(LEN(INDEX('Providers'!$F$4:$F$503,47))=0,"",INDEX('Providers'!$F$4:$F$503,47)))=0,"","License no.: "&amp;IF(LEN(INDEX('Providers'!$F$4:$F$503,47))=0,"",INDEX('Providers'!$F$4:$F$503,47))&amp;". ")&amp;IF(LEN(IF(LEN(INDEX('Providers'!$C$4:$C$503,47))=0,"",INDEX('Providers'!$C$4:$C$503,47)))=0,"","NPI: "&amp;IF(LEN(INDEX('Providers'!$C$4:$C$503,47))=0,"",INDEX('Providers'!$C$4:$C$503,47))&amp;". ")&amp;IF(LEN(IF(LEN(INDEX('Providers'!$D$4:$D$503,47))=0,"",INDEX('Providers'!$D$4:$D$503,47)))=0,"","Specialty: "&amp;IF(LEN(INDEX('Providers'!$D$4:$D$503,47))=0,"",INDEX('Providers'!$D$4:$D$503,47))&amp;". ")&amp;IF(LEN(IF(LEN(INDEX('Providers'!$AK$4:$AK$503,47))=0,"",INDEX('Providers'!$AK$4:$AK$503,47)))=0,"",IF(LEN(INDEX('Providers'!$AK$4:$AK$503,47))=0,"",INDEX('Providers'!$AK$4:$AK$503,47))))</f>
        <v/>
      </c>
      <c r="J50">
        <f>IF(LEN(INDEX('Providers'!$AJ$4:$AJ$503,47))=0,"",INDEX('Providers'!$AJ$4:$AJ$503,47))</f>
        <v/>
      </c>
      <c r="K50">
        <f>IF(LEN(INDEX('Providers'!$AI$4:$AI$503,47))=0,"",INDEX('Providers'!$AI$4:$AI$503,47))</f>
        <v/>
      </c>
    </row>
    <row r="51">
      <c r="A51">
        <f>IF(AND(LEN('Providers'!A51)&gt;0,ISNUMBER('Providers'!G51)),1,0)</f>
        <v/>
      </c>
      <c r="B51">
        <f>B50+A51</f>
        <v/>
      </c>
      <c r="C51">
        <f>IF(48&gt;$B$4503,"",MATCH(48-0.5,$B$3:$B$4503,1))</f>
        <v/>
      </c>
      <c r="D51">
        <f>"State license ("&amp;IF(LEN(INDEX('Providers'!$E$4:$E$503,48))=0,"",INDEX('Providers'!$E$4:$E$503,48))&amp;") – "&amp;IF(LEN(INDEX('Providers'!$A$4:$A$503,48))=0,"",INDEX('Providers'!$A$4:$A$503,48))</f>
        <v/>
      </c>
      <c r="E51">
        <f>IF(ISNUMBER(INDEX('Providers'!$G$4:$G$503,48)),TEXT(INDEX('Providers'!$G$4:$G$503,48),"yyyy-mm-dd"),"")</f>
        <v/>
      </c>
      <c r="F51">
        <f>"License"</f>
        <v/>
      </c>
      <c r="G51">
        <f>""</f>
        <v/>
      </c>
      <c r="H51">
        <f>"High"</f>
        <v/>
      </c>
      <c r="I51">
        <f>TRIM(IF(LEN(IF(LEN(INDEX('Providers'!$F$4:$F$503,48))=0,"",INDEX('Providers'!$F$4:$F$503,48)))=0,"","License no.: "&amp;IF(LEN(INDEX('Providers'!$F$4:$F$503,48))=0,"",INDEX('Providers'!$F$4:$F$503,48))&amp;". ")&amp;IF(LEN(IF(LEN(INDEX('Providers'!$C$4:$C$503,48))=0,"",INDEX('Providers'!$C$4:$C$503,48)))=0,"","NPI: "&amp;IF(LEN(INDEX('Providers'!$C$4:$C$503,48))=0,"",INDEX('Providers'!$C$4:$C$503,48))&amp;". ")&amp;IF(LEN(IF(LEN(INDEX('Providers'!$D$4:$D$503,48))=0,"",INDEX('Providers'!$D$4:$D$503,48)))=0,"","Specialty: "&amp;IF(LEN(INDEX('Providers'!$D$4:$D$503,48))=0,"",INDEX('Providers'!$D$4:$D$503,48))&amp;". ")&amp;IF(LEN(IF(LEN(INDEX('Providers'!$AK$4:$AK$503,48))=0,"",INDEX('Providers'!$AK$4:$AK$503,48)))=0,"",IF(LEN(INDEX('Providers'!$AK$4:$AK$503,48))=0,"",INDEX('Providers'!$AK$4:$AK$503,48))))</f>
        <v/>
      </c>
      <c r="J51">
        <f>IF(LEN(INDEX('Providers'!$AJ$4:$AJ$503,48))=0,"",INDEX('Providers'!$AJ$4:$AJ$503,48))</f>
        <v/>
      </c>
      <c r="K51">
        <f>IF(LEN(INDEX('Providers'!$AI$4:$AI$503,48))=0,"",INDEX('Providers'!$AI$4:$AI$503,48))</f>
        <v/>
      </c>
    </row>
    <row r="52">
      <c r="A52">
        <f>IF(AND(LEN('Providers'!A52)&gt;0,ISNUMBER('Providers'!G52)),1,0)</f>
        <v/>
      </c>
      <c r="B52">
        <f>B51+A52</f>
        <v/>
      </c>
      <c r="C52">
        <f>IF(49&gt;$B$4503,"",MATCH(49-0.5,$B$3:$B$4503,1))</f>
        <v/>
      </c>
      <c r="D52">
        <f>"State license ("&amp;IF(LEN(INDEX('Providers'!$E$4:$E$503,49))=0,"",INDEX('Providers'!$E$4:$E$503,49))&amp;") – "&amp;IF(LEN(INDEX('Providers'!$A$4:$A$503,49))=0,"",INDEX('Providers'!$A$4:$A$503,49))</f>
        <v/>
      </c>
      <c r="E52">
        <f>IF(ISNUMBER(INDEX('Providers'!$G$4:$G$503,49)),TEXT(INDEX('Providers'!$G$4:$G$503,49),"yyyy-mm-dd"),"")</f>
        <v/>
      </c>
      <c r="F52">
        <f>"License"</f>
        <v/>
      </c>
      <c r="G52">
        <f>""</f>
        <v/>
      </c>
      <c r="H52">
        <f>"High"</f>
        <v/>
      </c>
      <c r="I52">
        <f>TRIM(IF(LEN(IF(LEN(INDEX('Providers'!$F$4:$F$503,49))=0,"",INDEX('Providers'!$F$4:$F$503,49)))=0,"","License no.: "&amp;IF(LEN(INDEX('Providers'!$F$4:$F$503,49))=0,"",INDEX('Providers'!$F$4:$F$503,49))&amp;". ")&amp;IF(LEN(IF(LEN(INDEX('Providers'!$C$4:$C$503,49))=0,"",INDEX('Providers'!$C$4:$C$503,49)))=0,"","NPI: "&amp;IF(LEN(INDEX('Providers'!$C$4:$C$503,49))=0,"",INDEX('Providers'!$C$4:$C$503,49))&amp;". ")&amp;IF(LEN(IF(LEN(INDEX('Providers'!$D$4:$D$503,49))=0,"",INDEX('Providers'!$D$4:$D$503,49)))=0,"","Specialty: "&amp;IF(LEN(INDEX('Providers'!$D$4:$D$503,49))=0,"",INDEX('Providers'!$D$4:$D$503,49))&amp;". ")&amp;IF(LEN(IF(LEN(INDEX('Providers'!$AK$4:$AK$503,49))=0,"",INDEX('Providers'!$AK$4:$AK$503,49)))=0,"",IF(LEN(INDEX('Providers'!$AK$4:$AK$503,49))=0,"",INDEX('Providers'!$AK$4:$AK$503,49))))</f>
        <v/>
      </c>
      <c r="J52">
        <f>IF(LEN(INDEX('Providers'!$AJ$4:$AJ$503,49))=0,"",INDEX('Providers'!$AJ$4:$AJ$503,49))</f>
        <v/>
      </c>
      <c r="K52">
        <f>IF(LEN(INDEX('Providers'!$AI$4:$AI$503,49))=0,"",INDEX('Providers'!$AI$4:$AI$503,49))</f>
        <v/>
      </c>
    </row>
    <row r="53">
      <c r="A53">
        <f>IF(AND(LEN('Providers'!A53)&gt;0,ISNUMBER('Providers'!G53)),1,0)</f>
        <v/>
      </c>
      <c r="B53">
        <f>B52+A53</f>
        <v/>
      </c>
      <c r="C53">
        <f>IF(50&gt;$B$4503,"",MATCH(50-0.5,$B$3:$B$4503,1))</f>
        <v/>
      </c>
      <c r="D53">
        <f>"State license ("&amp;IF(LEN(INDEX('Providers'!$E$4:$E$503,50))=0,"",INDEX('Providers'!$E$4:$E$503,50))&amp;") – "&amp;IF(LEN(INDEX('Providers'!$A$4:$A$503,50))=0,"",INDEX('Providers'!$A$4:$A$503,50))</f>
        <v/>
      </c>
      <c r="E53">
        <f>IF(ISNUMBER(INDEX('Providers'!$G$4:$G$503,50)),TEXT(INDEX('Providers'!$G$4:$G$503,50),"yyyy-mm-dd"),"")</f>
        <v/>
      </c>
      <c r="F53">
        <f>"License"</f>
        <v/>
      </c>
      <c r="G53">
        <f>""</f>
        <v/>
      </c>
      <c r="H53">
        <f>"High"</f>
        <v/>
      </c>
      <c r="I53">
        <f>TRIM(IF(LEN(IF(LEN(INDEX('Providers'!$F$4:$F$503,50))=0,"",INDEX('Providers'!$F$4:$F$503,50)))=0,"","License no.: "&amp;IF(LEN(INDEX('Providers'!$F$4:$F$503,50))=0,"",INDEX('Providers'!$F$4:$F$503,50))&amp;". ")&amp;IF(LEN(IF(LEN(INDEX('Providers'!$C$4:$C$503,50))=0,"",INDEX('Providers'!$C$4:$C$503,50)))=0,"","NPI: "&amp;IF(LEN(INDEX('Providers'!$C$4:$C$503,50))=0,"",INDEX('Providers'!$C$4:$C$503,50))&amp;". ")&amp;IF(LEN(IF(LEN(INDEX('Providers'!$D$4:$D$503,50))=0,"",INDEX('Providers'!$D$4:$D$503,50)))=0,"","Specialty: "&amp;IF(LEN(INDEX('Providers'!$D$4:$D$503,50))=0,"",INDEX('Providers'!$D$4:$D$503,50))&amp;". ")&amp;IF(LEN(IF(LEN(INDEX('Providers'!$AK$4:$AK$503,50))=0,"",INDEX('Providers'!$AK$4:$AK$503,50)))=0,"",IF(LEN(INDEX('Providers'!$AK$4:$AK$503,50))=0,"",INDEX('Providers'!$AK$4:$AK$503,50))))</f>
        <v/>
      </c>
      <c r="J53">
        <f>IF(LEN(INDEX('Providers'!$AJ$4:$AJ$503,50))=0,"",INDEX('Providers'!$AJ$4:$AJ$503,50))</f>
        <v/>
      </c>
      <c r="K53">
        <f>IF(LEN(INDEX('Providers'!$AI$4:$AI$503,50))=0,"",INDEX('Providers'!$AI$4:$AI$503,50))</f>
        <v/>
      </c>
    </row>
    <row r="54">
      <c r="A54">
        <f>IF(AND(LEN('Providers'!A54)&gt;0,ISNUMBER('Providers'!G54)),1,0)</f>
        <v/>
      </c>
      <c r="B54">
        <f>B53+A54</f>
        <v/>
      </c>
      <c r="C54">
        <f>IF(51&gt;$B$4503,"",MATCH(51-0.5,$B$3:$B$4503,1))</f>
        <v/>
      </c>
      <c r="D54">
        <f>"State license ("&amp;IF(LEN(INDEX('Providers'!$E$4:$E$503,51))=0,"",INDEX('Providers'!$E$4:$E$503,51))&amp;") – "&amp;IF(LEN(INDEX('Providers'!$A$4:$A$503,51))=0,"",INDEX('Providers'!$A$4:$A$503,51))</f>
        <v/>
      </c>
      <c r="E54">
        <f>IF(ISNUMBER(INDEX('Providers'!$G$4:$G$503,51)),TEXT(INDEX('Providers'!$G$4:$G$503,51),"yyyy-mm-dd"),"")</f>
        <v/>
      </c>
      <c r="F54">
        <f>"License"</f>
        <v/>
      </c>
      <c r="G54">
        <f>""</f>
        <v/>
      </c>
      <c r="H54">
        <f>"High"</f>
        <v/>
      </c>
      <c r="I54">
        <f>TRIM(IF(LEN(IF(LEN(INDEX('Providers'!$F$4:$F$503,51))=0,"",INDEX('Providers'!$F$4:$F$503,51)))=0,"","License no.: "&amp;IF(LEN(INDEX('Providers'!$F$4:$F$503,51))=0,"",INDEX('Providers'!$F$4:$F$503,51))&amp;". ")&amp;IF(LEN(IF(LEN(INDEX('Providers'!$C$4:$C$503,51))=0,"",INDEX('Providers'!$C$4:$C$503,51)))=0,"","NPI: "&amp;IF(LEN(INDEX('Providers'!$C$4:$C$503,51))=0,"",INDEX('Providers'!$C$4:$C$503,51))&amp;". ")&amp;IF(LEN(IF(LEN(INDEX('Providers'!$D$4:$D$503,51))=0,"",INDEX('Providers'!$D$4:$D$503,51)))=0,"","Specialty: "&amp;IF(LEN(INDEX('Providers'!$D$4:$D$503,51))=0,"",INDEX('Providers'!$D$4:$D$503,51))&amp;". ")&amp;IF(LEN(IF(LEN(INDEX('Providers'!$AK$4:$AK$503,51))=0,"",INDEX('Providers'!$AK$4:$AK$503,51)))=0,"",IF(LEN(INDEX('Providers'!$AK$4:$AK$503,51))=0,"",INDEX('Providers'!$AK$4:$AK$503,51))))</f>
        <v/>
      </c>
      <c r="J54">
        <f>IF(LEN(INDEX('Providers'!$AJ$4:$AJ$503,51))=0,"",INDEX('Providers'!$AJ$4:$AJ$503,51))</f>
        <v/>
      </c>
      <c r="K54">
        <f>IF(LEN(INDEX('Providers'!$AI$4:$AI$503,51))=0,"",INDEX('Providers'!$AI$4:$AI$503,51))</f>
        <v/>
      </c>
    </row>
    <row r="55">
      <c r="A55">
        <f>IF(AND(LEN('Providers'!A55)&gt;0,ISNUMBER('Providers'!G55)),1,0)</f>
        <v/>
      </c>
      <c r="B55">
        <f>B54+A55</f>
        <v/>
      </c>
      <c r="C55">
        <f>IF(52&gt;$B$4503,"",MATCH(52-0.5,$B$3:$B$4503,1))</f>
        <v/>
      </c>
      <c r="D55">
        <f>"State license ("&amp;IF(LEN(INDEX('Providers'!$E$4:$E$503,52))=0,"",INDEX('Providers'!$E$4:$E$503,52))&amp;") – "&amp;IF(LEN(INDEX('Providers'!$A$4:$A$503,52))=0,"",INDEX('Providers'!$A$4:$A$503,52))</f>
        <v/>
      </c>
      <c r="E55">
        <f>IF(ISNUMBER(INDEX('Providers'!$G$4:$G$503,52)),TEXT(INDEX('Providers'!$G$4:$G$503,52),"yyyy-mm-dd"),"")</f>
        <v/>
      </c>
      <c r="F55">
        <f>"License"</f>
        <v/>
      </c>
      <c r="G55">
        <f>""</f>
        <v/>
      </c>
      <c r="H55">
        <f>"High"</f>
        <v/>
      </c>
      <c r="I55">
        <f>TRIM(IF(LEN(IF(LEN(INDEX('Providers'!$F$4:$F$503,52))=0,"",INDEX('Providers'!$F$4:$F$503,52)))=0,"","License no.: "&amp;IF(LEN(INDEX('Providers'!$F$4:$F$503,52))=0,"",INDEX('Providers'!$F$4:$F$503,52))&amp;". ")&amp;IF(LEN(IF(LEN(INDEX('Providers'!$C$4:$C$503,52))=0,"",INDEX('Providers'!$C$4:$C$503,52)))=0,"","NPI: "&amp;IF(LEN(INDEX('Providers'!$C$4:$C$503,52))=0,"",INDEX('Providers'!$C$4:$C$503,52))&amp;". ")&amp;IF(LEN(IF(LEN(INDEX('Providers'!$D$4:$D$503,52))=0,"",INDEX('Providers'!$D$4:$D$503,52)))=0,"","Specialty: "&amp;IF(LEN(INDEX('Providers'!$D$4:$D$503,52))=0,"",INDEX('Providers'!$D$4:$D$503,52))&amp;". ")&amp;IF(LEN(IF(LEN(INDEX('Providers'!$AK$4:$AK$503,52))=0,"",INDEX('Providers'!$AK$4:$AK$503,52)))=0,"",IF(LEN(INDEX('Providers'!$AK$4:$AK$503,52))=0,"",INDEX('Providers'!$AK$4:$AK$503,52))))</f>
        <v/>
      </c>
      <c r="J55">
        <f>IF(LEN(INDEX('Providers'!$AJ$4:$AJ$503,52))=0,"",INDEX('Providers'!$AJ$4:$AJ$503,52))</f>
        <v/>
      </c>
      <c r="K55">
        <f>IF(LEN(INDEX('Providers'!$AI$4:$AI$503,52))=0,"",INDEX('Providers'!$AI$4:$AI$503,52))</f>
        <v/>
      </c>
    </row>
    <row r="56">
      <c r="A56">
        <f>IF(AND(LEN('Providers'!A56)&gt;0,ISNUMBER('Providers'!G56)),1,0)</f>
        <v/>
      </c>
      <c r="B56">
        <f>B55+A56</f>
        <v/>
      </c>
      <c r="C56">
        <f>IF(53&gt;$B$4503,"",MATCH(53-0.5,$B$3:$B$4503,1))</f>
        <v/>
      </c>
      <c r="D56">
        <f>"State license ("&amp;IF(LEN(INDEX('Providers'!$E$4:$E$503,53))=0,"",INDEX('Providers'!$E$4:$E$503,53))&amp;") – "&amp;IF(LEN(INDEX('Providers'!$A$4:$A$503,53))=0,"",INDEX('Providers'!$A$4:$A$503,53))</f>
        <v/>
      </c>
      <c r="E56">
        <f>IF(ISNUMBER(INDEX('Providers'!$G$4:$G$503,53)),TEXT(INDEX('Providers'!$G$4:$G$503,53),"yyyy-mm-dd"),"")</f>
        <v/>
      </c>
      <c r="F56">
        <f>"License"</f>
        <v/>
      </c>
      <c r="G56">
        <f>""</f>
        <v/>
      </c>
      <c r="H56">
        <f>"High"</f>
        <v/>
      </c>
      <c r="I56">
        <f>TRIM(IF(LEN(IF(LEN(INDEX('Providers'!$F$4:$F$503,53))=0,"",INDEX('Providers'!$F$4:$F$503,53)))=0,"","License no.: "&amp;IF(LEN(INDEX('Providers'!$F$4:$F$503,53))=0,"",INDEX('Providers'!$F$4:$F$503,53))&amp;". ")&amp;IF(LEN(IF(LEN(INDEX('Providers'!$C$4:$C$503,53))=0,"",INDEX('Providers'!$C$4:$C$503,53)))=0,"","NPI: "&amp;IF(LEN(INDEX('Providers'!$C$4:$C$503,53))=0,"",INDEX('Providers'!$C$4:$C$503,53))&amp;". ")&amp;IF(LEN(IF(LEN(INDEX('Providers'!$D$4:$D$503,53))=0,"",INDEX('Providers'!$D$4:$D$503,53)))=0,"","Specialty: "&amp;IF(LEN(INDEX('Providers'!$D$4:$D$503,53))=0,"",INDEX('Providers'!$D$4:$D$503,53))&amp;". ")&amp;IF(LEN(IF(LEN(INDEX('Providers'!$AK$4:$AK$503,53))=0,"",INDEX('Providers'!$AK$4:$AK$503,53)))=0,"",IF(LEN(INDEX('Providers'!$AK$4:$AK$503,53))=0,"",INDEX('Providers'!$AK$4:$AK$503,53))))</f>
        <v/>
      </c>
      <c r="J56">
        <f>IF(LEN(INDEX('Providers'!$AJ$4:$AJ$503,53))=0,"",INDEX('Providers'!$AJ$4:$AJ$503,53))</f>
        <v/>
      </c>
      <c r="K56">
        <f>IF(LEN(INDEX('Providers'!$AI$4:$AI$503,53))=0,"",INDEX('Providers'!$AI$4:$AI$503,53))</f>
        <v/>
      </c>
    </row>
    <row r="57">
      <c r="A57">
        <f>IF(AND(LEN('Providers'!A57)&gt;0,ISNUMBER('Providers'!G57)),1,0)</f>
        <v/>
      </c>
      <c r="B57">
        <f>B56+A57</f>
        <v/>
      </c>
      <c r="C57">
        <f>IF(54&gt;$B$4503,"",MATCH(54-0.5,$B$3:$B$4503,1))</f>
        <v/>
      </c>
      <c r="D57">
        <f>"State license ("&amp;IF(LEN(INDEX('Providers'!$E$4:$E$503,54))=0,"",INDEX('Providers'!$E$4:$E$503,54))&amp;") – "&amp;IF(LEN(INDEX('Providers'!$A$4:$A$503,54))=0,"",INDEX('Providers'!$A$4:$A$503,54))</f>
        <v/>
      </c>
      <c r="E57">
        <f>IF(ISNUMBER(INDEX('Providers'!$G$4:$G$503,54)),TEXT(INDEX('Providers'!$G$4:$G$503,54),"yyyy-mm-dd"),"")</f>
        <v/>
      </c>
      <c r="F57">
        <f>"License"</f>
        <v/>
      </c>
      <c r="G57">
        <f>""</f>
        <v/>
      </c>
      <c r="H57">
        <f>"High"</f>
        <v/>
      </c>
      <c r="I57">
        <f>TRIM(IF(LEN(IF(LEN(INDEX('Providers'!$F$4:$F$503,54))=0,"",INDEX('Providers'!$F$4:$F$503,54)))=0,"","License no.: "&amp;IF(LEN(INDEX('Providers'!$F$4:$F$503,54))=0,"",INDEX('Providers'!$F$4:$F$503,54))&amp;". ")&amp;IF(LEN(IF(LEN(INDEX('Providers'!$C$4:$C$503,54))=0,"",INDEX('Providers'!$C$4:$C$503,54)))=0,"","NPI: "&amp;IF(LEN(INDEX('Providers'!$C$4:$C$503,54))=0,"",INDEX('Providers'!$C$4:$C$503,54))&amp;". ")&amp;IF(LEN(IF(LEN(INDEX('Providers'!$D$4:$D$503,54))=0,"",INDEX('Providers'!$D$4:$D$503,54)))=0,"","Specialty: "&amp;IF(LEN(INDEX('Providers'!$D$4:$D$503,54))=0,"",INDEX('Providers'!$D$4:$D$503,54))&amp;". ")&amp;IF(LEN(IF(LEN(INDEX('Providers'!$AK$4:$AK$503,54))=0,"",INDEX('Providers'!$AK$4:$AK$503,54)))=0,"",IF(LEN(INDEX('Providers'!$AK$4:$AK$503,54))=0,"",INDEX('Providers'!$AK$4:$AK$503,54))))</f>
        <v/>
      </c>
      <c r="J57">
        <f>IF(LEN(INDEX('Providers'!$AJ$4:$AJ$503,54))=0,"",INDEX('Providers'!$AJ$4:$AJ$503,54))</f>
        <v/>
      </c>
      <c r="K57">
        <f>IF(LEN(INDEX('Providers'!$AI$4:$AI$503,54))=0,"",INDEX('Providers'!$AI$4:$AI$503,54))</f>
        <v/>
      </c>
    </row>
    <row r="58">
      <c r="A58">
        <f>IF(AND(LEN('Providers'!A58)&gt;0,ISNUMBER('Providers'!G58)),1,0)</f>
        <v/>
      </c>
      <c r="B58">
        <f>B57+A58</f>
        <v/>
      </c>
      <c r="C58">
        <f>IF(55&gt;$B$4503,"",MATCH(55-0.5,$B$3:$B$4503,1))</f>
        <v/>
      </c>
      <c r="D58">
        <f>"State license ("&amp;IF(LEN(INDEX('Providers'!$E$4:$E$503,55))=0,"",INDEX('Providers'!$E$4:$E$503,55))&amp;") – "&amp;IF(LEN(INDEX('Providers'!$A$4:$A$503,55))=0,"",INDEX('Providers'!$A$4:$A$503,55))</f>
        <v/>
      </c>
      <c r="E58">
        <f>IF(ISNUMBER(INDEX('Providers'!$G$4:$G$503,55)),TEXT(INDEX('Providers'!$G$4:$G$503,55),"yyyy-mm-dd"),"")</f>
        <v/>
      </c>
      <c r="F58">
        <f>"License"</f>
        <v/>
      </c>
      <c r="G58">
        <f>""</f>
        <v/>
      </c>
      <c r="H58">
        <f>"High"</f>
        <v/>
      </c>
      <c r="I58">
        <f>TRIM(IF(LEN(IF(LEN(INDEX('Providers'!$F$4:$F$503,55))=0,"",INDEX('Providers'!$F$4:$F$503,55)))=0,"","License no.: "&amp;IF(LEN(INDEX('Providers'!$F$4:$F$503,55))=0,"",INDEX('Providers'!$F$4:$F$503,55))&amp;". ")&amp;IF(LEN(IF(LEN(INDEX('Providers'!$C$4:$C$503,55))=0,"",INDEX('Providers'!$C$4:$C$503,55)))=0,"","NPI: "&amp;IF(LEN(INDEX('Providers'!$C$4:$C$503,55))=0,"",INDEX('Providers'!$C$4:$C$503,55))&amp;". ")&amp;IF(LEN(IF(LEN(INDEX('Providers'!$D$4:$D$503,55))=0,"",INDEX('Providers'!$D$4:$D$503,55)))=0,"","Specialty: "&amp;IF(LEN(INDEX('Providers'!$D$4:$D$503,55))=0,"",INDEX('Providers'!$D$4:$D$503,55))&amp;". ")&amp;IF(LEN(IF(LEN(INDEX('Providers'!$AK$4:$AK$503,55))=0,"",INDEX('Providers'!$AK$4:$AK$503,55)))=0,"",IF(LEN(INDEX('Providers'!$AK$4:$AK$503,55))=0,"",INDEX('Providers'!$AK$4:$AK$503,55))))</f>
        <v/>
      </c>
      <c r="J58">
        <f>IF(LEN(INDEX('Providers'!$AJ$4:$AJ$503,55))=0,"",INDEX('Providers'!$AJ$4:$AJ$503,55))</f>
        <v/>
      </c>
      <c r="K58">
        <f>IF(LEN(INDEX('Providers'!$AI$4:$AI$503,55))=0,"",INDEX('Providers'!$AI$4:$AI$503,55))</f>
        <v/>
      </c>
    </row>
    <row r="59">
      <c r="A59">
        <f>IF(AND(LEN('Providers'!A59)&gt;0,ISNUMBER('Providers'!G59)),1,0)</f>
        <v/>
      </c>
      <c r="B59">
        <f>B58+A59</f>
        <v/>
      </c>
      <c r="C59">
        <f>IF(56&gt;$B$4503,"",MATCH(56-0.5,$B$3:$B$4503,1))</f>
        <v/>
      </c>
      <c r="D59">
        <f>"State license ("&amp;IF(LEN(INDEX('Providers'!$E$4:$E$503,56))=0,"",INDEX('Providers'!$E$4:$E$503,56))&amp;") – "&amp;IF(LEN(INDEX('Providers'!$A$4:$A$503,56))=0,"",INDEX('Providers'!$A$4:$A$503,56))</f>
        <v/>
      </c>
      <c r="E59">
        <f>IF(ISNUMBER(INDEX('Providers'!$G$4:$G$503,56)),TEXT(INDEX('Providers'!$G$4:$G$503,56),"yyyy-mm-dd"),"")</f>
        <v/>
      </c>
      <c r="F59">
        <f>"License"</f>
        <v/>
      </c>
      <c r="G59">
        <f>""</f>
        <v/>
      </c>
      <c r="H59">
        <f>"High"</f>
        <v/>
      </c>
      <c r="I59">
        <f>TRIM(IF(LEN(IF(LEN(INDEX('Providers'!$F$4:$F$503,56))=0,"",INDEX('Providers'!$F$4:$F$503,56)))=0,"","License no.: "&amp;IF(LEN(INDEX('Providers'!$F$4:$F$503,56))=0,"",INDEX('Providers'!$F$4:$F$503,56))&amp;". ")&amp;IF(LEN(IF(LEN(INDEX('Providers'!$C$4:$C$503,56))=0,"",INDEX('Providers'!$C$4:$C$503,56)))=0,"","NPI: "&amp;IF(LEN(INDEX('Providers'!$C$4:$C$503,56))=0,"",INDEX('Providers'!$C$4:$C$503,56))&amp;". ")&amp;IF(LEN(IF(LEN(INDEX('Providers'!$D$4:$D$503,56))=0,"",INDEX('Providers'!$D$4:$D$503,56)))=0,"","Specialty: "&amp;IF(LEN(INDEX('Providers'!$D$4:$D$503,56))=0,"",INDEX('Providers'!$D$4:$D$503,56))&amp;". ")&amp;IF(LEN(IF(LEN(INDEX('Providers'!$AK$4:$AK$503,56))=0,"",INDEX('Providers'!$AK$4:$AK$503,56)))=0,"",IF(LEN(INDEX('Providers'!$AK$4:$AK$503,56))=0,"",INDEX('Providers'!$AK$4:$AK$503,56))))</f>
        <v/>
      </c>
      <c r="J59">
        <f>IF(LEN(INDEX('Providers'!$AJ$4:$AJ$503,56))=0,"",INDEX('Providers'!$AJ$4:$AJ$503,56))</f>
        <v/>
      </c>
      <c r="K59">
        <f>IF(LEN(INDEX('Providers'!$AI$4:$AI$503,56))=0,"",INDEX('Providers'!$AI$4:$AI$503,56))</f>
        <v/>
      </c>
    </row>
    <row r="60">
      <c r="A60">
        <f>IF(AND(LEN('Providers'!A60)&gt;0,ISNUMBER('Providers'!G60)),1,0)</f>
        <v/>
      </c>
      <c r="B60">
        <f>B59+A60</f>
        <v/>
      </c>
      <c r="C60">
        <f>IF(57&gt;$B$4503,"",MATCH(57-0.5,$B$3:$B$4503,1))</f>
        <v/>
      </c>
      <c r="D60">
        <f>"State license ("&amp;IF(LEN(INDEX('Providers'!$E$4:$E$503,57))=0,"",INDEX('Providers'!$E$4:$E$503,57))&amp;") – "&amp;IF(LEN(INDEX('Providers'!$A$4:$A$503,57))=0,"",INDEX('Providers'!$A$4:$A$503,57))</f>
        <v/>
      </c>
      <c r="E60">
        <f>IF(ISNUMBER(INDEX('Providers'!$G$4:$G$503,57)),TEXT(INDEX('Providers'!$G$4:$G$503,57),"yyyy-mm-dd"),"")</f>
        <v/>
      </c>
      <c r="F60">
        <f>"License"</f>
        <v/>
      </c>
      <c r="G60">
        <f>""</f>
        <v/>
      </c>
      <c r="H60">
        <f>"High"</f>
        <v/>
      </c>
      <c r="I60">
        <f>TRIM(IF(LEN(IF(LEN(INDEX('Providers'!$F$4:$F$503,57))=0,"",INDEX('Providers'!$F$4:$F$503,57)))=0,"","License no.: "&amp;IF(LEN(INDEX('Providers'!$F$4:$F$503,57))=0,"",INDEX('Providers'!$F$4:$F$503,57))&amp;". ")&amp;IF(LEN(IF(LEN(INDEX('Providers'!$C$4:$C$503,57))=0,"",INDEX('Providers'!$C$4:$C$503,57)))=0,"","NPI: "&amp;IF(LEN(INDEX('Providers'!$C$4:$C$503,57))=0,"",INDEX('Providers'!$C$4:$C$503,57))&amp;". ")&amp;IF(LEN(IF(LEN(INDEX('Providers'!$D$4:$D$503,57))=0,"",INDEX('Providers'!$D$4:$D$503,57)))=0,"","Specialty: "&amp;IF(LEN(INDEX('Providers'!$D$4:$D$503,57))=0,"",INDEX('Providers'!$D$4:$D$503,57))&amp;". ")&amp;IF(LEN(IF(LEN(INDEX('Providers'!$AK$4:$AK$503,57))=0,"",INDEX('Providers'!$AK$4:$AK$503,57)))=0,"",IF(LEN(INDEX('Providers'!$AK$4:$AK$503,57))=0,"",INDEX('Providers'!$AK$4:$AK$503,57))))</f>
        <v/>
      </c>
      <c r="J60">
        <f>IF(LEN(INDEX('Providers'!$AJ$4:$AJ$503,57))=0,"",INDEX('Providers'!$AJ$4:$AJ$503,57))</f>
        <v/>
      </c>
      <c r="K60">
        <f>IF(LEN(INDEX('Providers'!$AI$4:$AI$503,57))=0,"",INDEX('Providers'!$AI$4:$AI$503,57))</f>
        <v/>
      </c>
    </row>
    <row r="61">
      <c r="A61">
        <f>IF(AND(LEN('Providers'!A61)&gt;0,ISNUMBER('Providers'!G61)),1,0)</f>
        <v/>
      </c>
      <c r="B61">
        <f>B60+A61</f>
        <v/>
      </c>
      <c r="C61">
        <f>IF(58&gt;$B$4503,"",MATCH(58-0.5,$B$3:$B$4503,1))</f>
        <v/>
      </c>
      <c r="D61">
        <f>"State license ("&amp;IF(LEN(INDEX('Providers'!$E$4:$E$503,58))=0,"",INDEX('Providers'!$E$4:$E$503,58))&amp;") – "&amp;IF(LEN(INDEX('Providers'!$A$4:$A$503,58))=0,"",INDEX('Providers'!$A$4:$A$503,58))</f>
        <v/>
      </c>
      <c r="E61">
        <f>IF(ISNUMBER(INDEX('Providers'!$G$4:$G$503,58)),TEXT(INDEX('Providers'!$G$4:$G$503,58),"yyyy-mm-dd"),"")</f>
        <v/>
      </c>
      <c r="F61">
        <f>"License"</f>
        <v/>
      </c>
      <c r="G61">
        <f>""</f>
        <v/>
      </c>
      <c r="H61">
        <f>"High"</f>
        <v/>
      </c>
      <c r="I61">
        <f>TRIM(IF(LEN(IF(LEN(INDEX('Providers'!$F$4:$F$503,58))=0,"",INDEX('Providers'!$F$4:$F$503,58)))=0,"","License no.: "&amp;IF(LEN(INDEX('Providers'!$F$4:$F$503,58))=0,"",INDEX('Providers'!$F$4:$F$503,58))&amp;". ")&amp;IF(LEN(IF(LEN(INDEX('Providers'!$C$4:$C$503,58))=0,"",INDEX('Providers'!$C$4:$C$503,58)))=0,"","NPI: "&amp;IF(LEN(INDEX('Providers'!$C$4:$C$503,58))=0,"",INDEX('Providers'!$C$4:$C$503,58))&amp;". ")&amp;IF(LEN(IF(LEN(INDEX('Providers'!$D$4:$D$503,58))=0,"",INDEX('Providers'!$D$4:$D$503,58)))=0,"","Specialty: "&amp;IF(LEN(INDEX('Providers'!$D$4:$D$503,58))=0,"",INDEX('Providers'!$D$4:$D$503,58))&amp;". ")&amp;IF(LEN(IF(LEN(INDEX('Providers'!$AK$4:$AK$503,58))=0,"",INDEX('Providers'!$AK$4:$AK$503,58)))=0,"",IF(LEN(INDEX('Providers'!$AK$4:$AK$503,58))=0,"",INDEX('Providers'!$AK$4:$AK$503,58))))</f>
        <v/>
      </c>
      <c r="J61">
        <f>IF(LEN(INDEX('Providers'!$AJ$4:$AJ$503,58))=0,"",INDEX('Providers'!$AJ$4:$AJ$503,58))</f>
        <v/>
      </c>
      <c r="K61">
        <f>IF(LEN(INDEX('Providers'!$AI$4:$AI$503,58))=0,"",INDEX('Providers'!$AI$4:$AI$503,58))</f>
        <v/>
      </c>
    </row>
    <row r="62">
      <c r="A62">
        <f>IF(AND(LEN('Providers'!A62)&gt;0,ISNUMBER('Providers'!G62)),1,0)</f>
        <v/>
      </c>
      <c r="B62">
        <f>B61+A62</f>
        <v/>
      </c>
      <c r="C62">
        <f>IF(59&gt;$B$4503,"",MATCH(59-0.5,$B$3:$B$4503,1))</f>
        <v/>
      </c>
      <c r="D62">
        <f>"State license ("&amp;IF(LEN(INDEX('Providers'!$E$4:$E$503,59))=0,"",INDEX('Providers'!$E$4:$E$503,59))&amp;") – "&amp;IF(LEN(INDEX('Providers'!$A$4:$A$503,59))=0,"",INDEX('Providers'!$A$4:$A$503,59))</f>
        <v/>
      </c>
      <c r="E62">
        <f>IF(ISNUMBER(INDEX('Providers'!$G$4:$G$503,59)),TEXT(INDEX('Providers'!$G$4:$G$503,59),"yyyy-mm-dd"),"")</f>
        <v/>
      </c>
      <c r="F62">
        <f>"License"</f>
        <v/>
      </c>
      <c r="G62">
        <f>""</f>
        <v/>
      </c>
      <c r="H62">
        <f>"High"</f>
        <v/>
      </c>
      <c r="I62">
        <f>TRIM(IF(LEN(IF(LEN(INDEX('Providers'!$F$4:$F$503,59))=0,"",INDEX('Providers'!$F$4:$F$503,59)))=0,"","License no.: "&amp;IF(LEN(INDEX('Providers'!$F$4:$F$503,59))=0,"",INDEX('Providers'!$F$4:$F$503,59))&amp;". ")&amp;IF(LEN(IF(LEN(INDEX('Providers'!$C$4:$C$503,59))=0,"",INDEX('Providers'!$C$4:$C$503,59)))=0,"","NPI: "&amp;IF(LEN(INDEX('Providers'!$C$4:$C$503,59))=0,"",INDEX('Providers'!$C$4:$C$503,59))&amp;". ")&amp;IF(LEN(IF(LEN(INDEX('Providers'!$D$4:$D$503,59))=0,"",INDEX('Providers'!$D$4:$D$503,59)))=0,"","Specialty: "&amp;IF(LEN(INDEX('Providers'!$D$4:$D$503,59))=0,"",INDEX('Providers'!$D$4:$D$503,59))&amp;". ")&amp;IF(LEN(IF(LEN(INDEX('Providers'!$AK$4:$AK$503,59))=0,"",INDEX('Providers'!$AK$4:$AK$503,59)))=0,"",IF(LEN(INDEX('Providers'!$AK$4:$AK$503,59))=0,"",INDEX('Providers'!$AK$4:$AK$503,59))))</f>
        <v/>
      </c>
      <c r="J62">
        <f>IF(LEN(INDEX('Providers'!$AJ$4:$AJ$503,59))=0,"",INDEX('Providers'!$AJ$4:$AJ$503,59))</f>
        <v/>
      </c>
      <c r="K62">
        <f>IF(LEN(INDEX('Providers'!$AI$4:$AI$503,59))=0,"",INDEX('Providers'!$AI$4:$AI$503,59))</f>
        <v/>
      </c>
    </row>
    <row r="63">
      <c r="A63">
        <f>IF(AND(LEN('Providers'!A63)&gt;0,ISNUMBER('Providers'!G63)),1,0)</f>
        <v/>
      </c>
      <c r="B63">
        <f>B62+A63</f>
        <v/>
      </c>
      <c r="C63">
        <f>IF(60&gt;$B$4503,"",MATCH(60-0.5,$B$3:$B$4503,1))</f>
        <v/>
      </c>
      <c r="D63">
        <f>"State license ("&amp;IF(LEN(INDEX('Providers'!$E$4:$E$503,60))=0,"",INDEX('Providers'!$E$4:$E$503,60))&amp;") – "&amp;IF(LEN(INDEX('Providers'!$A$4:$A$503,60))=0,"",INDEX('Providers'!$A$4:$A$503,60))</f>
        <v/>
      </c>
      <c r="E63">
        <f>IF(ISNUMBER(INDEX('Providers'!$G$4:$G$503,60)),TEXT(INDEX('Providers'!$G$4:$G$503,60),"yyyy-mm-dd"),"")</f>
        <v/>
      </c>
      <c r="F63">
        <f>"License"</f>
        <v/>
      </c>
      <c r="G63">
        <f>""</f>
        <v/>
      </c>
      <c r="H63">
        <f>"High"</f>
        <v/>
      </c>
      <c r="I63">
        <f>TRIM(IF(LEN(IF(LEN(INDEX('Providers'!$F$4:$F$503,60))=0,"",INDEX('Providers'!$F$4:$F$503,60)))=0,"","License no.: "&amp;IF(LEN(INDEX('Providers'!$F$4:$F$503,60))=0,"",INDEX('Providers'!$F$4:$F$503,60))&amp;". ")&amp;IF(LEN(IF(LEN(INDEX('Providers'!$C$4:$C$503,60))=0,"",INDEX('Providers'!$C$4:$C$503,60)))=0,"","NPI: "&amp;IF(LEN(INDEX('Providers'!$C$4:$C$503,60))=0,"",INDEX('Providers'!$C$4:$C$503,60))&amp;". ")&amp;IF(LEN(IF(LEN(INDEX('Providers'!$D$4:$D$503,60))=0,"",INDEX('Providers'!$D$4:$D$503,60)))=0,"","Specialty: "&amp;IF(LEN(INDEX('Providers'!$D$4:$D$503,60))=0,"",INDEX('Providers'!$D$4:$D$503,60))&amp;". ")&amp;IF(LEN(IF(LEN(INDEX('Providers'!$AK$4:$AK$503,60))=0,"",INDEX('Providers'!$AK$4:$AK$503,60)))=0,"",IF(LEN(INDEX('Providers'!$AK$4:$AK$503,60))=0,"",INDEX('Providers'!$AK$4:$AK$503,60))))</f>
        <v/>
      </c>
      <c r="J63">
        <f>IF(LEN(INDEX('Providers'!$AJ$4:$AJ$503,60))=0,"",INDEX('Providers'!$AJ$4:$AJ$503,60))</f>
        <v/>
      </c>
      <c r="K63">
        <f>IF(LEN(INDEX('Providers'!$AI$4:$AI$503,60))=0,"",INDEX('Providers'!$AI$4:$AI$503,60))</f>
        <v/>
      </c>
    </row>
    <row r="64">
      <c r="A64">
        <f>IF(AND(LEN('Providers'!A64)&gt;0,ISNUMBER('Providers'!G64)),1,0)</f>
        <v/>
      </c>
      <c r="B64">
        <f>B63+A64</f>
        <v/>
      </c>
      <c r="C64">
        <f>IF(61&gt;$B$4503,"",MATCH(61-0.5,$B$3:$B$4503,1))</f>
        <v/>
      </c>
      <c r="D64">
        <f>"State license ("&amp;IF(LEN(INDEX('Providers'!$E$4:$E$503,61))=0,"",INDEX('Providers'!$E$4:$E$503,61))&amp;") – "&amp;IF(LEN(INDEX('Providers'!$A$4:$A$503,61))=0,"",INDEX('Providers'!$A$4:$A$503,61))</f>
        <v/>
      </c>
      <c r="E64">
        <f>IF(ISNUMBER(INDEX('Providers'!$G$4:$G$503,61)),TEXT(INDEX('Providers'!$G$4:$G$503,61),"yyyy-mm-dd"),"")</f>
        <v/>
      </c>
      <c r="F64">
        <f>"License"</f>
        <v/>
      </c>
      <c r="G64">
        <f>""</f>
        <v/>
      </c>
      <c r="H64">
        <f>"High"</f>
        <v/>
      </c>
      <c r="I64">
        <f>TRIM(IF(LEN(IF(LEN(INDEX('Providers'!$F$4:$F$503,61))=0,"",INDEX('Providers'!$F$4:$F$503,61)))=0,"","License no.: "&amp;IF(LEN(INDEX('Providers'!$F$4:$F$503,61))=0,"",INDEX('Providers'!$F$4:$F$503,61))&amp;". ")&amp;IF(LEN(IF(LEN(INDEX('Providers'!$C$4:$C$503,61))=0,"",INDEX('Providers'!$C$4:$C$503,61)))=0,"","NPI: "&amp;IF(LEN(INDEX('Providers'!$C$4:$C$503,61))=0,"",INDEX('Providers'!$C$4:$C$503,61))&amp;". ")&amp;IF(LEN(IF(LEN(INDEX('Providers'!$D$4:$D$503,61))=0,"",INDEX('Providers'!$D$4:$D$503,61)))=0,"","Specialty: "&amp;IF(LEN(INDEX('Providers'!$D$4:$D$503,61))=0,"",INDEX('Providers'!$D$4:$D$503,61))&amp;". ")&amp;IF(LEN(IF(LEN(INDEX('Providers'!$AK$4:$AK$503,61))=0,"",INDEX('Providers'!$AK$4:$AK$503,61)))=0,"",IF(LEN(INDEX('Providers'!$AK$4:$AK$503,61))=0,"",INDEX('Providers'!$AK$4:$AK$503,61))))</f>
        <v/>
      </c>
      <c r="J64">
        <f>IF(LEN(INDEX('Providers'!$AJ$4:$AJ$503,61))=0,"",INDEX('Providers'!$AJ$4:$AJ$503,61))</f>
        <v/>
      </c>
      <c r="K64">
        <f>IF(LEN(INDEX('Providers'!$AI$4:$AI$503,61))=0,"",INDEX('Providers'!$AI$4:$AI$503,61))</f>
        <v/>
      </c>
    </row>
    <row r="65">
      <c r="A65">
        <f>IF(AND(LEN('Providers'!A65)&gt;0,ISNUMBER('Providers'!G65)),1,0)</f>
        <v/>
      </c>
      <c r="B65">
        <f>B64+A65</f>
        <v/>
      </c>
      <c r="C65">
        <f>IF(62&gt;$B$4503,"",MATCH(62-0.5,$B$3:$B$4503,1))</f>
        <v/>
      </c>
      <c r="D65">
        <f>"State license ("&amp;IF(LEN(INDEX('Providers'!$E$4:$E$503,62))=0,"",INDEX('Providers'!$E$4:$E$503,62))&amp;") – "&amp;IF(LEN(INDEX('Providers'!$A$4:$A$503,62))=0,"",INDEX('Providers'!$A$4:$A$503,62))</f>
        <v/>
      </c>
      <c r="E65">
        <f>IF(ISNUMBER(INDEX('Providers'!$G$4:$G$503,62)),TEXT(INDEX('Providers'!$G$4:$G$503,62),"yyyy-mm-dd"),"")</f>
        <v/>
      </c>
      <c r="F65">
        <f>"License"</f>
        <v/>
      </c>
      <c r="G65">
        <f>""</f>
        <v/>
      </c>
      <c r="H65">
        <f>"High"</f>
        <v/>
      </c>
      <c r="I65">
        <f>TRIM(IF(LEN(IF(LEN(INDEX('Providers'!$F$4:$F$503,62))=0,"",INDEX('Providers'!$F$4:$F$503,62)))=0,"","License no.: "&amp;IF(LEN(INDEX('Providers'!$F$4:$F$503,62))=0,"",INDEX('Providers'!$F$4:$F$503,62))&amp;". ")&amp;IF(LEN(IF(LEN(INDEX('Providers'!$C$4:$C$503,62))=0,"",INDEX('Providers'!$C$4:$C$503,62)))=0,"","NPI: "&amp;IF(LEN(INDEX('Providers'!$C$4:$C$503,62))=0,"",INDEX('Providers'!$C$4:$C$503,62))&amp;". ")&amp;IF(LEN(IF(LEN(INDEX('Providers'!$D$4:$D$503,62))=0,"",INDEX('Providers'!$D$4:$D$503,62)))=0,"","Specialty: "&amp;IF(LEN(INDEX('Providers'!$D$4:$D$503,62))=0,"",INDEX('Providers'!$D$4:$D$503,62))&amp;". ")&amp;IF(LEN(IF(LEN(INDEX('Providers'!$AK$4:$AK$503,62))=0,"",INDEX('Providers'!$AK$4:$AK$503,62)))=0,"",IF(LEN(INDEX('Providers'!$AK$4:$AK$503,62))=0,"",INDEX('Providers'!$AK$4:$AK$503,62))))</f>
        <v/>
      </c>
      <c r="J65">
        <f>IF(LEN(INDEX('Providers'!$AJ$4:$AJ$503,62))=0,"",INDEX('Providers'!$AJ$4:$AJ$503,62))</f>
        <v/>
      </c>
      <c r="K65">
        <f>IF(LEN(INDEX('Providers'!$AI$4:$AI$503,62))=0,"",INDEX('Providers'!$AI$4:$AI$503,62))</f>
        <v/>
      </c>
    </row>
    <row r="66">
      <c r="A66">
        <f>IF(AND(LEN('Providers'!A66)&gt;0,ISNUMBER('Providers'!G66)),1,0)</f>
        <v/>
      </c>
      <c r="B66">
        <f>B65+A66</f>
        <v/>
      </c>
      <c r="C66">
        <f>IF(63&gt;$B$4503,"",MATCH(63-0.5,$B$3:$B$4503,1))</f>
        <v/>
      </c>
      <c r="D66">
        <f>"State license ("&amp;IF(LEN(INDEX('Providers'!$E$4:$E$503,63))=0,"",INDEX('Providers'!$E$4:$E$503,63))&amp;") – "&amp;IF(LEN(INDEX('Providers'!$A$4:$A$503,63))=0,"",INDEX('Providers'!$A$4:$A$503,63))</f>
        <v/>
      </c>
      <c r="E66">
        <f>IF(ISNUMBER(INDEX('Providers'!$G$4:$G$503,63)),TEXT(INDEX('Providers'!$G$4:$G$503,63),"yyyy-mm-dd"),"")</f>
        <v/>
      </c>
      <c r="F66">
        <f>"License"</f>
        <v/>
      </c>
      <c r="G66">
        <f>""</f>
        <v/>
      </c>
      <c r="H66">
        <f>"High"</f>
        <v/>
      </c>
      <c r="I66">
        <f>TRIM(IF(LEN(IF(LEN(INDEX('Providers'!$F$4:$F$503,63))=0,"",INDEX('Providers'!$F$4:$F$503,63)))=0,"","License no.: "&amp;IF(LEN(INDEX('Providers'!$F$4:$F$503,63))=0,"",INDEX('Providers'!$F$4:$F$503,63))&amp;". ")&amp;IF(LEN(IF(LEN(INDEX('Providers'!$C$4:$C$503,63))=0,"",INDEX('Providers'!$C$4:$C$503,63)))=0,"","NPI: "&amp;IF(LEN(INDEX('Providers'!$C$4:$C$503,63))=0,"",INDEX('Providers'!$C$4:$C$503,63))&amp;". ")&amp;IF(LEN(IF(LEN(INDEX('Providers'!$D$4:$D$503,63))=0,"",INDEX('Providers'!$D$4:$D$503,63)))=0,"","Specialty: "&amp;IF(LEN(INDEX('Providers'!$D$4:$D$503,63))=0,"",INDEX('Providers'!$D$4:$D$503,63))&amp;". ")&amp;IF(LEN(IF(LEN(INDEX('Providers'!$AK$4:$AK$503,63))=0,"",INDEX('Providers'!$AK$4:$AK$503,63)))=0,"",IF(LEN(INDEX('Providers'!$AK$4:$AK$503,63))=0,"",INDEX('Providers'!$AK$4:$AK$503,63))))</f>
        <v/>
      </c>
      <c r="J66">
        <f>IF(LEN(INDEX('Providers'!$AJ$4:$AJ$503,63))=0,"",INDEX('Providers'!$AJ$4:$AJ$503,63))</f>
        <v/>
      </c>
      <c r="K66">
        <f>IF(LEN(INDEX('Providers'!$AI$4:$AI$503,63))=0,"",INDEX('Providers'!$AI$4:$AI$503,63))</f>
        <v/>
      </c>
    </row>
    <row r="67">
      <c r="A67">
        <f>IF(AND(LEN('Providers'!A67)&gt;0,ISNUMBER('Providers'!G67)),1,0)</f>
        <v/>
      </c>
      <c r="B67">
        <f>B66+A67</f>
        <v/>
      </c>
      <c r="C67">
        <f>IF(64&gt;$B$4503,"",MATCH(64-0.5,$B$3:$B$4503,1))</f>
        <v/>
      </c>
      <c r="D67">
        <f>"State license ("&amp;IF(LEN(INDEX('Providers'!$E$4:$E$503,64))=0,"",INDEX('Providers'!$E$4:$E$503,64))&amp;") – "&amp;IF(LEN(INDEX('Providers'!$A$4:$A$503,64))=0,"",INDEX('Providers'!$A$4:$A$503,64))</f>
        <v/>
      </c>
      <c r="E67">
        <f>IF(ISNUMBER(INDEX('Providers'!$G$4:$G$503,64)),TEXT(INDEX('Providers'!$G$4:$G$503,64),"yyyy-mm-dd"),"")</f>
        <v/>
      </c>
      <c r="F67">
        <f>"License"</f>
        <v/>
      </c>
      <c r="G67">
        <f>""</f>
        <v/>
      </c>
      <c r="H67">
        <f>"High"</f>
        <v/>
      </c>
      <c r="I67">
        <f>TRIM(IF(LEN(IF(LEN(INDEX('Providers'!$F$4:$F$503,64))=0,"",INDEX('Providers'!$F$4:$F$503,64)))=0,"","License no.: "&amp;IF(LEN(INDEX('Providers'!$F$4:$F$503,64))=0,"",INDEX('Providers'!$F$4:$F$503,64))&amp;". ")&amp;IF(LEN(IF(LEN(INDEX('Providers'!$C$4:$C$503,64))=0,"",INDEX('Providers'!$C$4:$C$503,64)))=0,"","NPI: "&amp;IF(LEN(INDEX('Providers'!$C$4:$C$503,64))=0,"",INDEX('Providers'!$C$4:$C$503,64))&amp;". ")&amp;IF(LEN(IF(LEN(INDEX('Providers'!$D$4:$D$503,64))=0,"",INDEX('Providers'!$D$4:$D$503,64)))=0,"","Specialty: "&amp;IF(LEN(INDEX('Providers'!$D$4:$D$503,64))=0,"",INDEX('Providers'!$D$4:$D$503,64))&amp;". ")&amp;IF(LEN(IF(LEN(INDEX('Providers'!$AK$4:$AK$503,64))=0,"",INDEX('Providers'!$AK$4:$AK$503,64)))=0,"",IF(LEN(INDEX('Providers'!$AK$4:$AK$503,64))=0,"",INDEX('Providers'!$AK$4:$AK$503,64))))</f>
        <v/>
      </c>
      <c r="J67">
        <f>IF(LEN(INDEX('Providers'!$AJ$4:$AJ$503,64))=0,"",INDEX('Providers'!$AJ$4:$AJ$503,64))</f>
        <v/>
      </c>
      <c r="K67">
        <f>IF(LEN(INDEX('Providers'!$AI$4:$AI$503,64))=0,"",INDEX('Providers'!$AI$4:$AI$503,64))</f>
        <v/>
      </c>
    </row>
    <row r="68">
      <c r="A68">
        <f>IF(AND(LEN('Providers'!A68)&gt;0,ISNUMBER('Providers'!G68)),1,0)</f>
        <v/>
      </c>
      <c r="B68">
        <f>B67+A68</f>
        <v/>
      </c>
      <c r="C68">
        <f>IF(65&gt;$B$4503,"",MATCH(65-0.5,$B$3:$B$4503,1))</f>
        <v/>
      </c>
      <c r="D68">
        <f>"State license ("&amp;IF(LEN(INDEX('Providers'!$E$4:$E$503,65))=0,"",INDEX('Providers'!$E$4:$E$503,65))&amp;") – "&amp;IF(LEN(INDEX('Providers'!$A$4:$A$503,65))=0,"",INDEX('Providers'!$A$4:$A$503,65))</f>
        <v/>
      </c>
      <c r="E68">
        <f>IF(ISNUMBER(INDEX('Providers'!$G$4:$G$503,65)),TEXT(INDEX('Providers'!$G$4:$G$503,65),"yyyy-mm-dd"),"")</f>
        <v/>
      </c>
      <c r="F68">
        <f>"License"</f>
        <v/>
      </c>
      <c r="G68">
        <f>""</f>
        <v/>
      </c>
      <c r="H68">
        <f>"High"</f>
        <v/>
      </c>
      <c r="I68">
        <f>TRIM(IF(LEN(IF(LEN(INDEX('Providers'!$F$4:$F$503,65))=0,"",INDEX('Providers'!$F$4:$F$503,65)))=0,"","License no.: "&amp;IF(LEN(INDEX('Providers'!$F$4:$F$503,65))=0,"",INDEX('Providers'!$F$4:$F$503,65))&amp;". ")&amp;IF(LEN(IF(LEN(INDEX('Providers'!$C$4:$C$503,65))=0,"",INDEX('Providers'!$C$4:$C$503,65)))=0,"","NPI: "&amp;IF(LEN(INDEX('Providers'!$C$4:$C$503,65))=0,"",INDEX('Providers'!$C$4:$C$503,65))&amp;". ")&amp;IF(LEN(IF(LEN(INDEX('Providers'!$D$4:$D$503,65))=0,"",INDEX('Providers'!$D$4:$D$503,65)))=0,"","Specialty: "&amp;IF(LEN(INDEX('Providers'!$D$4:$D$503,65))=0,"",INDEX('Providers'!$D$4:$D$503,65))&amp;". ")&amp;IF(LEN(IF(LEN(INDEX('Providers'!$AK$4:$AK$503,65))=0,"",INDEX('Providers'!$AK$4:$AK$503,65)))=0,"",IF(LEN(INDEX('Providers'!$AK$4:$AK$503,65))=0,"",INDEX('Providers'!$AK$4:$AK$503,65))))</f>
        <v/>
      </c>
      <c r="J68">
        <f>IF(LEN(INDEX('Providers'!$AJ$4:$AJ$503,65))=0,"",INDEX('Providers'!$AJ$4:$AJ$503,65))</f>
        <v/>
      </c>
      <c r="K68">
        <f>IF(LEN(INDEX('Providers'!$AI$4:$AI$503,65))=0,"",INDEX('Providers'!$AI$4:$AI$503,65))</f>
        <v/>
      </c>
    </row>
    <row r="69">
      <c r="A69">
        <f>IF(AND(LEN('Providers'!A69)&gt;0,ISNUMBER('Providers'!G69)),1,0)</f>
        <v/>
      </c>
      <c r="B69">
        <f>B68+A69</f>
        <v/>
      </c>
      <c r="C69">
        <f>IF(66&gt;$B$4503,"",MATCH(66-0.5,$B$3:$B$4503,1))</f>
        <v/>
      </c>
      <c r="D69">
        <f>"State license ("&amp;IF(LEN(INDEX('Providers'!$E$4:$E$503,66))=0,"",INDEX('Providers'!$E$4:$E$503,66))&amp;") – "&amp;IF(LEN(INDEX('Providers'!$A$4:$A$503,66))=0,"",INDEX('Providers'!$A$4:$A$503,66))</f>
        <v/>
      </c>
      <c r="E69">
        <f>IF(ISNUMBER(INDEX('Providers'!$G$4:$G$503,66)),TEXT(INDEX('Providers'!$G$4:$G$503,66),"yyyy-mm-dd"),"")</f>
        <v/>
      </c>
      <c r="F69">
        <f>"License"</f>
        <v/>
      </c>
      <c r="G69">
        <f>""</f>
        <v/>
      </c>
      <c r="H69">
        <f>"High"</f>
        <v/>
      </c>
      <c r="I69">
        <f>TRIM(IF(LEN(IF(LEN(INDEX('Providers'!$F$4:$F$503,66))=0,"",INDEX('Providers'!$F$4:$F$503,66)))=0,"","License no.: "&amp;IF(LEN(INDEX('Providers'!$F$4:$F$503,66))=0,"",INDEX('Providers'!$F$4:$F$503,66))&amp;". ")&amp;IF(LEN(IF(LEN(INDEX('Providers'!$C$4:$C$503,66))=0,"",INDEX('Providers'!$C$4:$C$503,66)))=0,"","NPI: "&amp;IF(LEN(INDEX('Providers'!$C$4:$C$503,66))=0,"",INDEX('Providers'!$C$4:$C$503,66))&amp;". ")&amp;IF(LEN(IF(LEN(INDEX('Providers'!$D$4:$D$503,66))=0,"",INDEX('Providers'!$D$4:$D$503,66)))=0,"","Specialty: "&amp;IF(LEN(INDEX('Providers'!$D$4:$D$503,66))=0,"",INDEX('Providers'!$D$4:$D$503,66))&amp;". ")&amp;IF(LEN(IF(LEN(INDEX('Providers'!$AK$4:$AK$503,66))=0,"",INDEX('Providers'!$AK$4:$AK$503,66)))=0,"",IF(LEN(INDEX('Providers'!$AK$4:$AK$503,66))=0,"",INDEX('Providers'!$AK$4:$AK$503,66))))</f>
        <v/>
      </c>
      <c r="J69">
        <f>IF(LEN(INDEX('Providers'!$AJ$4:$AJ$503,66))=0,"",INDEX('Providers'!$AJ$4:$AJ$503,66))</f>
        <v/>
      </c>
      <c r="K69">
        <f>IF(LEN(INDEX('Providers'!$AI$4:$AI$503,66))=0,"",INDEX('Providers'!$AI$4:$AI$503,66))</f>
        <v/>
      </c>
    </row>
    <row r="70">
      <c r="A70">
        <f>IF(AND(LEN('Providers'!A70)&gt;0,ISNUMBER('Providers'!G70)),1,0)</f>
        <v/>
      </c>
      <c r="B70">
        <f>B69+A70</f>
        <v/>
      </c>
      <c r="C70">
        <f>IF(67&gt;$B$4503,"",MATCH(67-0.5,$B$3:$B$4503,1))</f>
        <v/>
      </c>
      <c r="D70">
        <f>"State license ("&amp;IF(LEN(INDEX('Providers'!$E$4:$E$503,67))=0,"",INDEX('Providers'!$E$4:$E$503,67))&amp;") – "&amp;IF(LEN(INDEX('Providers'!$A$4:$A$503,67))=0,"",INDEX('Providers'!$A$4:$A$503,67))</f>
        <v/>
      </c>
      <c r="E70">
        <f>IF(ISNUMBER(INDEX('Providers'!$G$4:$G$503,67)),TEXT(INDEX('Providers'!$G$4:$G$503,67),"yyyy-mm-dd"),"")</f>
        <v/>
      </c>
      <c r="F70">
        <f>"License"</f>
        <v/>
      </c>
      <c r="G70">
        <f>""</f>
        <v/>
      </c>
      <c r="H70">
        <f>"High"</f>
        <v/>
      </c>
      <c r="I70">
        <f>TRIM(IF(LEN(IF(LEN(INDEX('Providers'!$F$4:$F$503,67))=0,"",INDEX('Providers'!$F$4:$F$503,67)))=0,"","License no.: "&amp;IF(LEN(INDEX('Providers'!$F$4:$F$503,67))=0,"",INDEX('Providers'!$F$4:$F$503,67))&amp;". ")&amp;IF(LEN(IF(LEN(INDEX('Providers'!$C$4:$C$503,67))=0,"",INDEX('Providers'!$C$4:$C$503,67)))=0,"","NPI: "&amp;IF(LEN(INDEX('Providers'!$C$4:$C$503,67))=0,"",INDEX('Providers'!$C$4:$C$503,67))&amp;". ")&amp;IF(LEN(IF(LEN(INDEX('Providers'!$D$4:$D$503,67))=0,"",INDEX('Providers'!$D$4:$D$503,67)))=0,"","Specialty: "&amp;IF(LEN(INDEX('Providers'!$D$4:$D$503,67))=0,"",INDEX('Providers'!$D$4:$D$503,67))&amp;". ")&amp;IF(LEN(IF(LEN(INDEX('Providers'!$AK$4:$AK$503,67))=0,"",INDEX('Providers'!$AK$4:$AK$503,67)))=0,"",IF(LEN(INDEX('Providers'!$AK$4:$AK$503,67))=0,"",INDEX('Providers'!$AK$4:$AK$503,67))))</f>
        <v/>
      </c>
      <c r="J70">
        <f>IF(LEN(INDEX('Providers'!$AJ$4:$AJ$503,67))=0,"",INDEX('Providers'!$AJ$4:$AJ$503,67))</f>
        <v/>
      </c>
      <c r="K70">
        <f>IF(LEN(INDEX('Providers'!$AI$4:$AI$503,67))=0,"",INDEX('Providers'!$AI$4:$AI$503,67))</f>
        <v/>
      </c>
    </row>
    <row r="71">
      <c r="A71">
        <f>IF(AND(LEN('Providers'!A71)&gt;0,ISNUMBER('Providers'!G71)),1,0)</f>
        <v/>
      </c>
      <c r="B71">
        <f>B70+A71</f>
        <v/>
      </c>
      <c r="C71">
        <f>IF(68&gt;$B$4503,"",MATCH(68-0.5,$B$3:$B$4503,1))</f>
        <v/>
      </c>
      <c r="D71">
        <f>"State license ("&amp;IF(LEN(INDEX('Providers'!$E$4:$E$503,68))=0,"",INDEX('Providers'!$E$4:$E$503,68))&amp;") – "&amp;IF(LEN(INDEX('Providers'!$A$4:$A$503,68))=0,"",INDEX('Providers'!$A$4:$A$503,68))</f>
        <v/>
      </c>
      <c r="E71">
        <f>IF(ISNUMBER(INDEX('Providers'!$G$4:$G$503,68)),TEXT(INDEX('Providers'!$G$4:$G$503,68),"yyyy-mm-dd"),"")</f>
        <v/>
      </c>
      <c r="F71">
        <f>"License"</f>
        <v/>
      </c>
      <c r="G71">
        <f>""</f>
        <v/>
      </c>
      <c r="H71">
        <f>"High"</f>
        <v/>
      </c>
      <c r="I71">
        <f>TRIM(IF(LEN(IF(LEN(INDEX('Providers'!$F$4:$F$503,68))=0,"",INDEX('Providers'!$F$4:$F$503,68)))=0,"","License no.: "&amp;IF(LEN(INDEX('Providers'!$F$4:$F$503,68))=0,"",INDEX('Providers'!$F$4:$F$503,68))&amp;". ")&amp;IF(LEN(IF(LEN(INDEX('Providers'!$C$4:$C$503,68))=0,"",INDEX('Providers'!$C$4:$C$503,68)))=0,"","NPI: "&amp;IF(LEN(INDEX('Providers'!$C$4:$C$503,68))=0,"",INDEX('Providers'!$C$4:$C$503,68))&amp;". ")&amp;IF(LEN(IF(LEN(INDEX('Providers'!$D$4:$D$503,68))=0,"",INDEX('Providers'!$D$4:$D$503,68)))=0,"","Specialty: "&amp;IF(LEN(INDEX('Providers'!$D$4:$D$503,68))=0,"",INDEX('Providers'!$D$4:$D$503,68))&amp;". ")&amp;IF(LEN(IF(LEN(INDEX('Providers'!$AK$4:$AK$503,68))=0,"",INDEX('Providers'!$AK$4:$AK$503,68)))=0,"",IF(LEN(INDEX('Providers'!$AK$4:$AK$503,68))=0,"",INDEX('Providers'!$AK$4:$AK$503,68))))</f>
        <v/>
      </c>
      <c r="J71">
        <f>IF(LEN(INDEX('Providers'!$AJ$4:$AJ$503,68))=0,"",INDEX('Providers'!$AJ$4:$AJ$503,68))</f>
        <v/>
      </c>
      <c r="K71">
        <f>IF(LEN(INDEX('Providers'!$AI$4:$AI$503,68))=0,"",INDEX('Providers'!$AI$4:$AI$503,68))</f>
        <v/>
      </c>
    </row>
    <row r="72">
      <c r="A72">
        <f>IF(AND(LEN('Providers'!A72)&gt;0,ISNUMBER('Providers'!G72)),1,0)</f>
        <v/>
      </c>
      <c r="B72">
        <f>B71+A72</f>
        <v/>
      </c>
      <c r="C72">
        <f>IF(69&gt;$B$4503,"",MATCH(69-0.5,$B$3:$B$4503,1))</f>
        <v/>
      </c>
      <c r="D72">
        <f>"State license ("&amp;IF(LEN(INDEX('Providers'!$E$4:$E$503,69))=0,"",INDEX('Providers'!$E$4:$E$503,69))&amp;") – "&amp;IF(LEN(INDEX('Providers'!$A$4:$A$503,69))=0,"",INDEX('Providers'!$A$4:$A$503,69))</f>
        <v/>
      </c>
      <c r="E72">
        <f>IF(ISNUMBER(INDEX('Providers'!$G$4:$G$503,69)),TEXT(INDEX('Providers'!$G$4:$G$503,69),"yyyy-mm-dd"),"")</f>
        <v/>
      </c>
      <c r="F72">
        <f>"License"</f>
        <v/>
      </c>
      <c r="G72">
        <f>""</f>
        <v/>
      </c>
      <c r="H72">
        <f>"High"</f>
        <v/>
      </c>
      <c r="I72">
        <f>TRIM(IF(LEN(IF(LEN(INDEX('Providers'!$F$4:$F$503,69))=0,"",INDEX('Providers'!$F$4:$F$503,69)))=0,"","License no.: "&amp;IF(LEN(INDEX('Providers'!$F$4:$F$503,69))=0,"",INDEX('Providers'!$F$4:$F$503,69))&amp;". ")&amp;IF(LEN(IF(LEN(INDEX('Providers'!$C$4:$C$503,69))=0,"",INDEX('Providers'!$C$4:$C$503,69)))=0,"","NPI: "&amp;IF(LEN(INDEX('Providers'!$C$4:$C$503,69))=0,"",INDEX('Providers'!$C$4:$C$503,69))&amp;". ")&amp;IF(LEN(IF(LEN(INDEX('Providers'!$D$4:$D$503,69))=0,"",INDEX('Providers'!$D$4:$D$503,69)))=0,"","Specialty: "&amp;IF(LEN(INDEX('Providers'!$D$4:$D$503,69))=0,"",INDEX('Providers'!$D$4:$D$503,69))&amp;". ")&amp;IF(LEN(IF(LEN(INDEX('Providers'!$AK$4:$AK$503,69))=0,"",INDEX('Providers'!$AK$4:$AK$503,69)))=0,"",IF(LEN(INDEX('Providers'!$AK$4:$AK$503,69))=0,"",INDEX('Providers'!$AK$4:$AK$503,69))))</f>
        <v/>
      </c>
      <c r="J72">
        <f>IF(LEN(INDEX('Providers'!$AJ$4:$AJ$503,69))=0,"",INDEX('Providers'!$AJ$4:$AJ$503,69))</f>
        <v/>
      </c>
      <c r="K72">
        <f>IF(LEN(INDEX('Providers'!$AI$4:$AI$503,69))=0,"",INDEX('Providers'!$AI$4:$AI$503,69))</f>
        <v/>
      </c>
    </row>
    <row r="73">
      <c r="A73">
        <f>IF(AND(LEN('Providers'!A73)&gt;0,ISNUMBER('Providers'!G73)),1,0)</f>
        <v/>
      </c>
      <c r="B73">
        <f>B72+A73</f>
        <v/>
      </c>
      <c r="C73">
        <f>IF(70&gt;$B$4503,"",MATCH(70-0.5,$B$3:$B$4503,1))</f>
        <v/>
      </c>
      <c r="D73">
        <f>"State license ("&amp;IF(LEN(INDEX('Providers'!$E$4:$E$503,70))=0,"",INDEX('Providers'!$E$4:$E$503,70))&amp;") – "&amp;IF(LEN(INDEX('Providers'!$A$4:$A$503,70))=0,"",INDEX('Providers'!$A$4:$A$503,70))</f>
        <v/>
      </c>
      <c r="E73">
        <f>IF(ISNUMBER(INDEX('Providers'!$G$4:$G$503,70)),TEXT(INDEX('Providers'!$G$4:$G$503,70),"yyyy-mm-dd"),"")</f>
        <v/>
      </c>
      <c r="F73">
        <f>"License"</f>
        <v/>
      </c>
      <c r="G73">
        <f>""</f>
        <v/>
      </c>
      <c r="H73">
        <f>"High"</f>
        <v/>
      </c>
      <c r="I73">
        <f>TRIM(IF(LEN(IF(LEN(INDEX('Providers'!$F$4:$F$503,70))=0,"",INDEX('Providers'!$F$4:$F$503,70)))=0,"","License no.: "&amp;IF(LEN(INDEX('Providers'!$F$4:$F$503,70))=0,"",INDEX('Providers'!$F$4:$F$503,70))&amp;". ")&amp;IF(LEN(IF(LEN(INDEX('Providers'!$C$4:$C$503,70))=0,"",INDEX('Providers'!$C$4:$C$503,70)))=0,"","NPI: "&amp;IF(LEN(INDEX('Providers'!$C$4:$C$503,70))=0,"",INDEX('Providers'!$C$4:$C$503,70))&amp;". ")&amp;IF(LEN(IF(LEN(INDEX('Providers'!$D$4:$D$503,70))=0,"",INDEX('Providers'!$D$4:$D$503,70)))=0,"","Specialty: "&amp;IF(LEN(INDEX('Providers'!$D$4:$D$503,70))=0,"",INDEX('Providers'!$D$4:$D$503,70))&amp;". ")&amp;IF(LEN(IF(LEN(INDEX('Providers'!$AK$4:$AK$503,70))=0,"",INDEX('Providers'!$AK$4:$AK$503,70)))=0,"",IF(LEN(INDEX('Providers'!$AK$4:$AK$503,70))=0,"",INDEX('Providers'!$AK$4:$AK$503,70))))</f>
        <v/>
      </c>
      <c r="J73">
        <f>IF(LEN(INDEX('Providers'!$AJ$4:$AJ$503,70))=0,"",INDEX('Providers'!$AJ$4:$AJ$503,70))</f>
        <v/>
      </c>
      <c r="K73">
        <f>IF(LEN(INDEX('Providers'!$AI$4:$AI$503,70))=0,"",INDEX('Providers'!$AI$4:$AI$503,70))</f>
        <v/>
      </c>
    </row>
    <row r="74">
      <c r="A74">
        <f>IF(AND(LEN('Providers'!A74)&gt;0,ISNUMBER('Providers'!G74)),1,0)</f>
        <v/>
      </c>
      <c r="B74">
        <f>B73+A74</f>
        <v/>
      </c>
      <c r="C74">
        <f>IF(71&gt;$B$4503,"",MATCH(71-0.5,$B$3:$B$4503,1))</f>
        <v/>
      </c>
      <c r="D74">
        <f>"State license ("&amp;IF(LEN(INDEX('Providers'!$E$4:$E$503,71))=0,"",INDEX('Providers'!$E$4:$E$503,71))&amp;") – "&amp;IF(LEN(INDEX('Providers'!$A$4:$A$503,71))=0,"",INDEX('Providers'!$A$4:$A$503,71))</f>
        <v/>
      </c>
      <c r="E74">
        <f>IF(ISNUMBER(INDEX('Providers'!$G$4:$G$503,71)),TEXT(INDEX('Providers'!$G$4:$G$503,71),"yyyy-mm-dd"),"")</f>
        <v/>
      </c>
      <c r="F74">
        <f>"License"</f>
        <v/>
      </c>
      <c r="G74">
        <f>""</f>
        <v/>
      </c>
      <c r="H74">
        <f>"High"</f>
        <v/>
      </c>
      <c r="I74">
        <f>TRIM(IF(LEN(IF(LEN(INDEX('Providers'!$F$4:$F$503,71))=0,"",INDEX('Providers'!$F$4:$F$503,71)))=0,"","License no.: "&amp;IF(LEN(INDEX('Providers'!$F$4:$F$503,71))=0,"",INDEX('Providers'!$F$4:$F$503,71))&amp;". ")&amp;IF(LEN(IF(LEN(INDEX('Providers'!$C$4:$C$503,71))=0,"",INDEX('Providers'!$C$4:$C$503,71)))=0,"","NPI: "&amp;IF(LEN(INDEX('Providers'!$C$4:$C$503,71))=0,"",INDEX('Providers'!$C$4:$C$503,71))&amp;". ")&amp;IF(LEN(IF(LEN(INDEX('Providers'!$D$4:$D$503,71))=0,"",INDEX('Providers'!$D$4:$D$503,71)))=0,"","Specialty: "&amp;IF(LEN(INDEX('Providers'!$D$4:$D$503,71))=0,"",INDEX('Providers'!$D$4:$D$503,71))&amp;". ")&amp;IF(LEN(IF(LEN(INDEX('Providers'!$AK$4:$AK$503,71))=0,"",INDEX('Providers'!$AK$4:$AK$503,71)))=0,"",IF(LEN(INDEX('Providers'!$AK$4:$AK$503,71))=0,"",INDEX('Providers'!$AK$4:$AK$503,71))))</f>
        <v/>
      </c>
      <c r="J74">
        <f>IF(LEN(INDEX('Providers'!$AJ$4:$AJ$503,71))=0,"",INDEX('Providers'!$AJ$4:$AJ$503,71))</f>
        <v/>
      </c>
      <c r="K74">
        <f>IF(LEN(INDEX('Providers'!$AI$4:$AI$503,71))=0,"",INDEX('Providers'!$AI$4:$AI$503,71))</f>
        <v/>
      </c>
    </row>
    <row r="75">
      <c r="A75">
        <f>IF(AND(LEN('Providers'!A75)&gt;0,ISNUMBER('Providers'!G75)),1,0)</f>
        <v/>
      </c>
      <c r="B75">
        <f>B74+A75</f>
        <v/>
      </c>
      <c r="C75">
        <f>IF(72&gt;$B$4503,"",MATCH(72-0.5,$B$3:$B$4503,1))</f>
        <v/>
      </c>
      <c r="D75">
        <f>"State license ("&amp;IF(LEN(INDEX('Providers'!$E$4:$E$503,72))=0,"",INDEX('Providers'!$E$4:$E$503,72))&amp;") – "&amp;IF(LEN(INDEX('Providers'!$A$4:$A$503,72))=0,"",INDEX('Providers'!$A$4:$A$503,72))</f>
        <v/>
      </c>
      <c r="E75">
        <f>IF(ISNUMBER(INDEX('Providers'!$G$4:$G$503,72)),TEXT(INDEX('Providers'!$G$4:$G$503,72),"yyyy-mm-dd"),"")</f>
        <v/>
      </c>
      <c r="F75">
        <f>"License"</f>
        <v/>
      </c>
      <c r="G75">
        <f>""</f>
        <v/>
      </c>
      <c r="H75">
        <f>"High"</f>
        <v/>
      </c>
      <c r="I75">
        <f>TRIM(IF(LEN(IF(LEN(INDEX('Providers'!$F$4:$F$503,72))=0,"",INDEX('Providers'!$F$4:$F$503,72)))=0,"","License no.: "&amp;IF(LEN(INDEX('Providers'!$F$4:$F$503,72))=0,"",INDEX('Providers'!$F$4:$F$503,72))&amp;". ")&amp;IF(LEN(IF(LEN(INDEX('Providers'!$C$4:$C$503,72))=0,"",INDEX('Providers'!$C$4:$C$503,72)))=0,"","NPI: "&amp;IF(LEN(INDEX('Providers'!$C$4:$C$503,72))=0,"",INDEX('Providers'!$C$4:$C$503,72))&amp;". ")&amp;IF(LEN(IF(LEN(INDEX('Providers'!$D$4:$D$503,72))=0,"",INDEX('Providers'!$D$4:$D$503,72)))=0,"","Specialty: "&amp;IF(LEN(INDEX('Providers'!$D$4:$D$503,72))=0,"",INDEX('Providers'!$D$4:$D$503,72))&amp;". ")&amp;IF(LEN(IF(LEN(INDEX('Providers'!$AK$4:$AK$503,72))=0,"",INDEX('Providers'!$AK$4:$AK$503,72)))=0,"",IF(LEN(INDEX('Providers'!$AK$4:$AK$503,72))=0,"",INDEX('Providers'!$AK$4:$AK$503,72))))</f>
        <v/>
      </c>
      <c r="J75">
        <f>IF(LEN(INDEX('Providers'!$AJ$4:$AJ$503,72))=0,"",INDEX('Providers'!$AJ$4:$AJ$503,72))</f>
        <v/>
      </c>
      <c r="K75">
        <f>IF(LEN(INDEX('Providers'!$AI$4:$AI$503,72))=0,"",INDEX('Providers'!$AI$4:$AI$503,72))</f>
        <v/>
      </c>
    </row>
    <row r="76">
      <c r="A76">
        <f>IF(AND(LEN('Providers'!A76)&gt;0,ISNUMBER('Providers'!G76)),1,0)</f>
        <v/>
      </c>
      <c r="B76">
        <f>B75+A76</f>
        <v/>
      </c>
      <c r="C76">
        <f>IF(73&gt;$B$4503,"",MATCH(73-0.5,$B$3:$B$4503,1))</f>
        <v/>
      </c>
      <c r="D76">
        <f>"State license ("&amp;IF(LEN(INDEX('Providers'!$E$4:$E$503,73))=0,"",INDEX('Providers'!$E$4:$E$503,73))&amp;") – "&amp;IF(LEN(INDEX('Providers'!$A$4:$A$503,73))=0,"",INDEX('Providers'!$A$4:$A$503,73))</f>
        <v/>
      </c>
      <c r="E76">
        <f>IF(ISNUMBER(INDEX('Providers'!$G$4:$G$503,73)),TEXT(INDEX('Providers'!$G$4:$G$503,73),"yyyy-mm-dd"),"")</f>
        <v/>
      </c>
      <c r="F76">
        <f>"License"</f>
        <v/>
      </c>
      <c r="G76">
        <f>""</f>
        <v/>
      </c>
      <c r="H76">
        <f>"High"</f>
        <v/>
      </c>
      <c r="I76">
        <f>TRIM(IF(LEN(IF(LEN(INDEX('Providers'!$F$4:$F$503,73))=0,"",INDEX('Providers'!$F$4:$F$503,73)))=0,"","License no.: "&amp;IF(LEN(INDEX('Providers'!$F$4:$F$503,73))=0,"",INDEX('Providers'!$F$4:$F$503,73))&amp;". ")&amp;IF(LEN(IF(LEN(INDEX('Providers'!$C$4:$C$503,73))=0,"",INDEX('Providers'!$C$4:$C$503,73)))=0,"","NPI: "&amp;IF(LEN(INDEX('Providers'!$C$4:$C$503,73))=0,"",INDEX('Providers'!$C$4:$C$503,73))&amp;". ")&amp;IF(LEN(IF(LEN(INDEX('Providers'!$D$4:$D$503,73))=0,"",INDEX('Providers'!$D$4:$D$503,73)))=0,"","Specialty: "&amp;IF(LEN(INDEX('Providers'!$D$4:$D$503,73))=0,"",INDEX('Providers'!$D$4:$D$503,73))&amp;". ")&amp;IF(LEN(IF(LEN(INDEX('Providers'!$AK$4:$AK$503,73))=0,"",INDEX('Providers'!$AK$4:$AK$503,73)))=0,"",IF(LEN(INDEX('Providers'!$AK$4:$AK$503,73))=0,"",INDEX('Providers'!$AK$4:$AK$503,73))))</f>
        <v/>
      </c>
      <c r="J76">
        <f>IF(LEN(INDEX('Providers'!$AJ$4:$AJ$503,73))=0,"",INDEX('Providers'!$AJ$4:$AJ$503,73))</f>
        <v/>
      </c>
      <c r="K76">
        <f>IF(LEN(INDEX('Providers'!$AI$4:$AI$503,73))=0,"",INDEX('Providers'!$AI$4:$AI$503,73))</f>
        <v/>
      </c>
    </row>
    <row r="77">
      <c r="A77">
        <f>IF(AND(LEN('Providers'!A77)&gt;0,ISNUMBER('Providers'!G77)),1,0)</f>
        <v/>
      </c>
      <c r="B77">
        <f>B76+A77</f>
        <v/>
      </c>
      <c r="C77">
        <f>IF(74&gt;$B$4503,"",MATCH(74-0.5,$B$3:$B$4503,1))</f>
        <v/>
      </c>
      <c r="D77">
        <f>"State license ("&amp;IF(LEN(INDEX('Providers'!$E$4:$E$503,74))=0,"",INDEX('Providers'!$E$4:$E$503,74))&amp;") – "&amp;IF(LEN(INDEX('Providers'!$A$4:$A$503,74))=0,"",INDEX('Providers'!$A$4:$A$503,74))</f>
        <v/>
      </c>
      <c r="E77">
        <f>IF(ISNUMBER(INDEX('Providers'!$G$4:$G$503,74)),TEXT(INDEX('Providers'!$G$4:$G$503,74),"yyyy-mm-dd"),"")</f>
        <v/>
      </c>
      <c r="F77">
        <f>"License"</f>
        <v/>
      </c>
      <c r="G77">
        <f>""</f>
        <v/>
      </c>
      <c r="H77">
        <f>"High"</f>
        <v/>
      </c>
      <c r="I77">
        <f>TRIM(IF(LEN(IF(LEN(INDEX('Providers'!$F$4:$F$503,74))=0,"",INDEX('Providers'!$F$4:$F$503,74)))=0,"","License no.: "&amp;IF(LEN(INDEX('Providers'!$F$4:$F$503,74))=0,"",INDEX('Providers'!$F$4:$F$503,74))&amp;". ")&amp;IF(LEN(IF(LEN(INDEX('Providers'!$C$4:$C$503,74))=0,"",INDEX('Providers'!$C$4:$C$503,74)))=0,"","NPI: "&amp;IF(LEN(INDEX('Providers'!$C$4:$C$503,74))=0,"",INDEX('Providers'!$C$4:$C$503,74))&amp;". ")&amp;IF(LEN(IF(LEN(INDEX('Providers'!$D$4:$D$503,74))=0,"",INDEX('Providers'!$D$4:$D$503,74)))=0,"","Specialty: "&amp;IF(LEN(INDEX('Providers'!$D$4:$D$503,74))=0,"",INDEX('Providers'!$D$4:$D$503,74))&amp;". ")&amp;IF(LEN(IF(LEN(INDEX('Providers'!$AK$4:$AK$503,74))=0,"",INDEX('Providers'!$AK$4:$AK$503,74)))=0,"",IF(LEN(INDEX('Providers'!$AK$4:$AK$503,74))=0,"",INDEX('Providers'!$AK$4:$AK$503,74))))</f>
        <v/>
      </c>
      <c r="J77">
        <f>IF(LEN(INDEX('Providers'!$AJ$4:$AJ$503,74))=0,"",INDEX('Providers'!$AJ$4:$AJ$503,74))</f>
        <v/>
      </c>
      <c r="K77">
        <f>IF(LEN(INDEX('Providers'!$AI$4:$AI$503,74))=0,"",INDEX('Providers'!$AI$4:$AI$503,74))</f>
        <v/>
      </c>
    </row>
    <row r="78">
      <c r="A78">
        <f>IF(AND(LEN('Providers'!A78)&gt;0,ISNUMBER('Providers'!G78)),1,0)</f>
        <v/>
      </c>
      <c r="B78">
        <f>B77+A78</f>
        <v/>
      </c>
      <c r="C78">
        <f>IF(75&gt;$B$4503,"",MATCH(75-0.5,$B$3:$B$4503,1))</f>
        <v/>
      </c>
      <c r="D78">
        <f>"State license ("&amp;IF(LEN(INDEX('Providers'!$E$4:$E$503,75))=0,"",INDEX('Providers'!$E$4:$E$503,75))&amp;") – "&amp;IF(LEN(INDEX('Providers'!$A$4:$A$503,75))=0,"",INDEX('Providers'!$A$4:$A$503,75))</f>
        <v/>
      </c>
      <c r="E78">
        <f>IF(ISNUMBER(INDEX('Providers'!$G$4:$G$503,75)),TEXT(INDEX('Providers'!$G$4:$G$503,75),"yyyy-mm-dd"),"")</f>
        <v/>
      </c>
      <c r="F78">
        <f>"License"</f>
        <v/>
      </c>
      <c r="G78">
        <f>""</f>
        <v/>
      </c>
      <c r="H78">
        <f>"High"</f>
        <v/>
      </c>
      <c r="I78">
        <f>TRIM(IF(LEN(IF(LEN(INDEX('Providers'!$F$4:$F$503,75))=0,"",INDEX('Providers'!$F$4:$F$503,75)))=0,"","License no.: "&amp;IF(LEN(INDEX('Providers'!$F$4:$F$503,75))=0,"",INDEX('Providers'!$F$4:$F$503,75))&amp;". ")&amp;IF(LEN(IF(LEN(INDEX('Providers'!$C$4:$C$503,75))=0,"",INDEX('Providers'!$C$4:$C$503,75)))=0,"","NPI: "&amp;IF(LEN(INDEX('Providers'!$C$4:$C$503,75))=0,"",INDEX('Providers'!$C$4:$C$503,75))&amp;". ")&amp;IF(LEN(IF(LEN(INDEX('Providers'!$D$4:$D$503,75))=0,"",INDEX('Providers'!$D$4:$D$503,75)))=0,"","Specialty: "&amp;IF(LEN(INDEX('Providers'!$D$4:$D$503,75))=0,"",INDEX('Providers'!$D$4:$D$503,75))&amp;". ")&amp;IF(LEN(IF(LEN(INDEX('Providers'!$AK$4:$AK$503,75))=0,"",INDEX('Providers'!$AK$4:$AK$503,75)))=0,"",IF(LEN(INDEX('Providers'!$AK$4:$AK$503,75))=0,"",INDEX('Providers'!$AK$4:$AK$503,75))))</f>
        <v/>
      </c>
      <c r="J78">
        <f>IF(LEN(INDEX('Providers'!$AJ$4:$AJ$503,75))=0,"",INDEX('Providers'!$AJ$4:$AJ$503,75))</f>
        <v/>
      </c>
      <c r="K78">
        <f>IF(LEN(INDEX('Providers'!$AI$4:$AI$503,75))=0,"",INDEX('Providers'!$AI$4:$AI$503,75))</f>
        <v/>
      </c>
    </row>
    <row r="79">
      <c r="A79">
        <f>IF(AND(LEN('Providers'!A79)&gt;0,ISNUMBER('Providers'!G79)),1,0)</f>
        <v/>
      </c>
      <c r="B79">
        <f>B78+A79</f>
        <v/>
      </c>
      <c r="C79">
        <f>IF(76&gt;$B$4503,"",MATCH(76-0.5,$B$3:$B$4503,1))</f>
        <v/>
      </c>
      <c r="D79">
        <f>"State license ("&amp;IF(LEN(INDEX('Providers'!$E$4:$E$503,76))=0,"",INDEX('Providers'!$E$4:$E$503,76))&amp;") – "&amp;IF(LEN(INDEX('Providers'!$A$4:$A$503,76))=0,"",INDEX('Providers'!$A$4:$A$503,76))</f>
        <v/>
      </c>
      <c r="E79">
        <f>IF(ISNUMBER(INDEX('Providers'!$G$4:$G$503,76)),TEXT(INDEX('Providers'!$G$4:$G$503,76),"yyyy-mm-dd"),"")</f>
        <v/>
      </c>
      <c r="F79">
        <f>"License"</f>
        <v/>
      </c>
      <c r="G79">
        <f>""</f>
        <v/>
      </c>
      <c r="H79">
        <f>"High"</f>
        <v/>
      </c>
      <c r="I79">
        <f>TRIM(IF(LEN(IF(LEN(INDEX('Providers'!$F$4:$F$503,76))=0,"",INDEX('Providers'!$F$4:$F$503,76)))=0,"","License no.: "&amp;IF(LEN(INDEX('Providers'!$F$4:$F$503,76))=0,"",INDEX('Providers'!$F$4:$F$503,76))&amp;". ")&amp;IF(LEN(IF(LEN(INDEX('Providers'!$C$4:$C$503,76))=0,"",INDEX('Providers'!$C$4:$C$503,76)))=0,"","NPI: "&amp;IF(LEN(INDEX('Providers'!$C$4:$C$503,76))=0,"",INDEX('Providers'!$C$4:$C$503,76))&amp;". ")&amp;IF(LEN(IF(LEN(INDEX('Providers'!$D$4:$D$503,76))=0,"",INDEX('Providers'!$D$4:$D$503,76)))=0,"","Specialty: "&amp;IF(LEN(INDEX('Providers'!$D$4:$D$503,76))=0,"",INDEX('Providers'!$D$4:$D$503,76))&amp;". ")&amp;IF(LEN(IF(LEN(INDEX('Providers'!$AK$4:$AK$503,76))=0,"",INDEX('Providers'!$AK$4:$AK$503,76)))=0,"",IF(LEN(INDEX('Providers'!$AK$4:$AK$503,76))=0,"",INDEX('Providers'!$AK$4:$AK$503,76))))</f>
        <v/>
      </c>
      <c r="J79">
        <f>IF(LEN(INDEX('Providers'!$AJ$4:$AJ$503,76))=0,"",INDEX('Providers'!$AJ$4:$AJ$503,76))</f>
        <v/>
      </c>
      <c r="K79">
        <f>IF(LEN(INDEX('Providers'!$AI$4:$AI$503,76))=0,"",INDEX('Providers'!$AI$4:$AI$503,76))</f>
        <v/>
      </c>
    </row>
    <row r="80">
      <c r="A80">
        <f>IF(AND(LEN('Providers'!A80)&gt;0,ISNUMBER('Providers'!G80)),1,0)</f>
        <v/>
      </c>
      <c r="B80">
        <f>B79+A80</f>
        <v/>
      </c>
      <c r="C80">
        <f>IF(77&gt;$B$4503,"",MATCH(77-0.5,$B$3:$B$4503,1))</f>
        <v/>
      </c>
      <c r="D80">
        <f>"State license ("&amp;IF(LEN(INDEX('Providers'!$E$4:$E$503,77))=0,"",INDEX('Providers'!$E$4:$E$503,77))&amp;") – "&amp;IF(LEN(INDEX('Providers'!$A$4:$A$503,77))=0,"",INDEX('Providers'!$A$4:$A$503,77))</f>
        <v/>
      </c>
      <c r="E80">
        <f>IF(ISNUMBER(INDEX('Providers'!$G$4:$G$503,77)),TEXT(INDEX('Providers'!$G$4:$G$503,77),"yyyy-mm-dd"),"")</f>
        <v/>
      </c>
      <c r="F80">
        <f>"License"</f>
        <v/>
      </c>
      <c r="G80">
        <f>""</f>
        <v/>
      </c>
      <c r="H80">
        <f>"High"</f>
        <v/>
      </c>
      <c r="I80">
        <f>TRIM(IF(LEN(IF(LEN(INDEX('Providers'!$F$4:$F$503,77))=0,"",INDEX('Providers'!$F$4:$F$503,77)))=0,"","License no.: "&amp;IF(LEN(INDEX('Providers'!$F$4:$F$503,77))=0,"",INDEX('Providers'!$F$4:$F$503,77))&amp;". ")&amp;IF(LEN(IF(LEN(INDEX('Providers'!$C$4:$C$503,77))=0,"",INDEX('Providers'!$C$4:$C$503,77)))=0,"","NPI: "&amp;IF(LEN(INDEX('Providers'!$C$4:$C$503,77))=0,"",INDEX('Providers'!$C$4:$C$503,77))&amp;". ")&amp;IF(LEN(IF(LEN(INDEX('Providers'!$D$4:$D$503,77))=0,"",INDEX('Providers'!$D$4:$D$503,77)))=0,"","Specialty: "&amp;IF(LEN(INDEX('Providers'!$D$4:$D$503,77))=0,"",INDEX('Providers'!$D$4:$D$503,77))&amp;". ")&amp;IF(LEN(IF(LEN(INDEX('Providers'!$AK$4:$AK$503,77))=0,"",INDEX('Providers'!$AK$4:$AK$503,77)))=0,"",IF(LEN(INDEX('Providers'!$AK$4:$AK$503,77))=0,"",INDEX('Providers'!$AK$4:$AK$503,77))))</f>
        <v/>
      </c>
      <c r="J80">
        <f>IF(LEN(INDEX('Providers'!$AJ$4:$AJ$503,77))=0,"",INDEX('Providers'!$AJ$4:$AJ$503,77))</f>
        <v/>
      </c>
      <c r="K80">
        <f>IF(LEN(INDEX('Providers'!$AI$4:$AI$503,77))=0,"",INDEX('Providers'!$AI$4:$AI$503,77))</f>
        <v/>
      </c>
    </row>
    <row r="81">
      <c r="A81">
        <f>IF(AND(LEN('Providers'!A81)&gt;0,ISNUMBER('Providers'!G81)),1,0)</f>
        <v/>
      </c>
      <c r="B81">
        <f>B80+A81</f>
        <v/>
      </c>
      <c r="C81">
        <f>IF(78&gt;$B$4503,"",MATCH(78-0.5,$B$3:$B$4503,1))</f>
        <v/>
      </c>
      <c r="D81">
        <f>"State license ("&amp;IF(LEN(INDEX('Providers'!$E$4:$E$503,78))=0,"",INDEX('Providers'!$E$4:$E$503,78))&amp;") – "&amp;IF(LEN(INDEX('Providers'!$A$4:$A$503,78))=0,"",INDEX('Providers'!$A$4:$A$503,78))</f>
        <v/>
      </c>
      <c r="E81">
        <f>IF(ISNUMBER(INDEX('Providers'!$G$4:$G$503,78)),TEXT(INDEX('Providers'!$G$4:$G$503,78),"yyyy-mm-dd"),"")</f>
        <v/>
      </c>
      <c r="F81">
        <f>"License"</f>
        <v/>
      </c>
      <c r="G81">
        <f>""</f>
        <v/>
      </c>
      <c r="H81">
        <f>"High"</f>
        <v/>
      </c>
      <c r="I81">
        <f>TRIM(IF(LEN(IF(LEN(INDEX('Providers'!$F$4:$F$503,78))=0,"",INDEX('Providers'!$F$4:$F$503,78)))=0,"","License no.: "&amp;IF(LEN(INDEX('Providers'!$F$4:$F$503,78))=0,"",INDEX('Providers'!$F$4:$F$503,78))&amp;". ")&amp;IF(LEN(IF(LEN(INDEX('Providers'!$C$4:$C$503,78))=0,"",INDEX('Providers'!$C$4:$C$503,78)))=0,"","NPI: "&amp;IF(LEN(INDEX('Providers'!$C$4:$C$503,78))=0,"",INDEX('Providers'!$C$4:$C$503,78))&amp;". ")&amp;IF(LEN(IF(LEN(INDEX('Providers'!$D$4:$D$503,78))=0,"",INDEX('Providers'!$D$4:$D$503,78)))=0,"","Specialty: "&amp;IF(LEN(INDEX('Providers'!$D$4:$D$503,78))=0,"",INDEX('Providers'!$D$4:$D$503,78))&amp;". ")&amp;IF(LEN(IF(LEN(INDEX('Providers'!$AK$4:$AK$503,78))=0,"",INDEX('Providers'!$AK$4:$AK$503,78)))=0,"",IF(LEN(INDEX('Providers'!$AK$4:$AK$503,78))=0,"",INDEX('Providers'!$AK$4:$AK$503,78))))</f>
        <v/>
      </c>
      <c r="J81">
        <f>IF(LEN(INDEX('Providers'!$AJ$4:$AJ$503,78))=0,"",INDEX('Providers'!$AJ$4:$AJ$503,78))</f>
        <v/>
      </c>
      <c r="K81">
        <f>IF(LEN(INDEX('Providers'!$AI$4:$AI$503,78))=0,"",INDEX('Providers'!$AI$4:$AI$503,78))</f>
        <v/>
      </c>
    </row>
    <row r="82">
      <c r="A82">
        <f>IF(AND(LEN('Providers'!A82)&gt;0,ISNUMBER('Providers'!G82)),1,0)</f>
        <v/>
      </c>
      <c r="B82">
        <f>B81+A82</f>
        <v/>
      </c>
      <c r="C82">
        <f>IF(79&gt;$B$4503,"",MATCH(79-0.5,$B$3:$B$4503,1))</f>
        <v/>
      </c>
      <c r="D82">
        <f>"State license ("&amp;IF(LEN(INDEX('Providers'!$E$4:$E$503,79))=0,"",INDEX('Providers'!$E$4:$E$503,79))&amp;") – "&amp;IF(LEN(INDEX('Providers'!$A$4:$A$503,79))=0,"",INDEX('Providers'!$A$4:$A$503,79))</f>
        <v/>
      </c>
      <c r="E82">
        <f>IF(ISNUMBER(INDEX('Providers'!$G$4:$G$503,79)),TEXT(INDEX('Providers'!$G$4:$G$503,79),"yyyy-mm-dd"),"")</f>
        <v/>
      </c>
      <c r="F82">
        <f>"License"</f>
        <v/>
      </c>
      <c r="G82">
        <f>""</f>
        <v/>
      </c>
      <c r="H82">
        <f>"High"</f>
        <v/>
      </c>
      <c r="I82">
        <f>TRIM(IF(LEN(IF(LEN(INDEX('Providers'!$F$4:$F$503,79))=0,"",INDEX('Providers'!$F$4:$F$503,79)))=0,"","License no.: "&amp;IF(LEN(INDEX('Providers'!$F$4:$F$503,79))=0,"",INDEX('Providers'!$F$4:$F$503,79))&amp;". ")&amp;IF(LEN(IF(LEN(INDEX('Providers'!$C$4:$C$503,79))=0,"",INDEX('Providers'!$C$4:$C$503,79)))=0,"","NPI: "&amp;IF(LEN(INDEX('Providers'!$C$4:$C$503,79))=0,"",INDEX('Providers'!$C$4:$C$503,79))&amp;". ")&amp;IF(LEN(IF(LEN(INDEX('Providers'!$D$4:$D$503,79))=0,"",INDEX('Providers'!$D$4:$D$503,79)))=0,"","Specialty: "&amp;IF(LEN(INDEX('Providers'!$D$4:$D$503,79))=0,"",INDEX('Providers'!$D$4:$D$503,79))&amp;". ")&amp;IF(LEN(IF(LEN(INDEX('Providers'!$AK$4:$AK$503,79))=0,"",INDEX('Providers'!$AK$4:$AK$503,79)))=0,"",IF(LEN(INDEX('Providers'!$AK$4:$AK$503,79))=0,"",INDEX('Providers'!$AK$4:$AK$503,79))))</f>
        <v/>
      </c>
      <c r="J82">
        <f>IF(LEN(INDEX('Providers'!$AJ$4:$AJ$503,79))=0,"",INDEX('Providers'!$AJ$4:$AJ$503,79))</f>
        <v/>
      </c>
      <c r="K82">
        <f>IF(LEN(INDEX('Providers'!$AI$4:$AI$503,79))=0,"",INDEX('Providers'!$AI$4:$AI$503,79))</f>
        <v/>
      </c>
    </row>
    <row r="83">
      <c r="A83">
        <f>IF(AND(LEN('Providers'!A83)&gt;0,ISNUMBER('Providers'!G83)),1,0)</f>
        <v/>
      </c>
      <c r="B83">
        <f>B82+A83</f>
        <v/>
      </c>
      <c r="C83">
        <f>IF(80&gt;$B$4503,"",MATCH(80-0.5,$B$3:$B$4503,1))</f>
        <v/>
      </c>
      <c r="D83">
        <f>"State license ("&amp;IF(LEN(INDEX('Providers'!$E$4:$E$503,80))=0,"",INDEX('Providers'!$E$4:$E$503,80))&amp;") – "&amp;IF(LEN(INDEX('Providers'!$A$4:$A$503,80))=0,"",INDEX('Providers'!$A$4:$A$503,80))</f>
        <v/>
      </c>
      <c r="E83">
        <f>IF(ISNUMBER(INDEX('Providers'!$G$4:$G$503,80)),TEXT(INDEX('Providers'!$G$4:$G$503,80),"yyyy-mm-dd"),"")</f>
        <v/>
      </c>
      <c r="F83">
        <f>"License"</f>
        <v/>
      </c>
      <c r="G83">
        <f>""</f>
        <v/>
      </c>
      <c r="H83">
        <f>"High"</f>
        <v/>
      </c>
      <c r="I83">
        <f>TRIM(IF(LEN(IF(LEN(INDEX('Providers'!$F$4:$F$503,80))=0,"",INDEX('Providers'!$F$4:$F$503,80)))=0,"","License no.: "&amp;IF(LEN(INDEX('Providers'!$F$4:$F$503,80))=0,"",INDEX('Providers'!$F$4:$F$503,80))&amp;". ")&amp;IF(LEN(IF(LEN(INDEX('Providers'!$C$4:$C$503,80))=0,"",INDEX('Providers'!$C$4:$C$503,80)))=0,"","NPI: "&amp;IF(LEN(INDEX('Providers'!$C$4:$C$503,80))=0,"",INDEX('Providers'!$C$4:$C$503,80))&amp;". ")&amp;IF(LEN(IF(LEN(INDEX('Providers'!$D$4:$D$503,80))=0,"",INDEX('Providers'!$D$4:$D$503,80)))=0,"","Specialty: "&amp;IF(LEN(INDEX('Providers'!$D$4:$D$503,80))=0,"",INDEX('Providers'!$D$4:$D$503,80))&amp;". ")&amp;IF(LEN(IF(LEN(INDEX('Providers'!$AK$4:$AK$503,80))=0,"",INDEX('Providers'!$AK$4:$AK$503,80)))=0,"",IF(LEN(INDEX('Providers'!$AK$4:$AK$503,80))=0,"",INDEX('Providers'!$AK$4:$AK$503,80))))</f>
        <v/>
      </c>
      <c r="J83">
        <f>IF(LEN(INDEX('Providers'!$AJ$4:$AJ$503,80))=0,"",INDEX('Providers'!$AJ$4:$AJ$503,80))</f>
        <v/>
      </c>
      <c r="K83">
        <f>IF(LEN(INDEX('Providers'!$AI$4:$AI$503,80))=0,"",INDEX('Providers'!$AI$4:$AI$503,80))</f>
        <v/>
      </c>
    </row>
    <row r="84">
      <c r="A84">
        <f>IF(AND(LEN('Providers'!A84)&gt;0,ISNUMBER('Providers'!G84)),1,0)</f>
        <v/>
      </c>
      <c r="B84">
        <f>B83+A84</f>
        <v/>
      </c>
      <c r="C84">
        <f>IF(81&gt;$B$4503,"",MATCH(81-0.5,$B$3:$B$4503,1))</f>
        <v/>
      </c>
      <c r="D84">
        <f>"State license ("&amp;IF(LEN(INDEX('Providers'!$E$4:$E$503,81))=0,"",INDEX('Providers'!$E$4:$E$503,81))&amp;") – "&amp;IF(LEN(INDEX('Providers'!$A$4:$A$503,81))=0,"",INDEX('Providers'!$A$4:$A$503,81))</f>
        <v/>
      </c>
      <c r="E84">
        <f>IF(ISNUMBER(INDEX('Providers'!$G$4:$G$503,81)),TEXT(INDEX('Providers'!$G$4:$G$503,81),"yyyy-mm-dd"),"")</f>
        <v/>
      </c>
      <c r="F84">
        <f>"License"</f>
        <v/>
      </c>
      <c r="G84">
        <f>""</f>
        <v/>
      </c>
      <c r="H84">
        <f>"High"</f>
        <v/>
      </c>
      <c r="I84">
        <f>TRIM(IF(LEN(IF(LEN(INDEX('Providers'!$F$4:$F$503,81))=0,"",INDEX('Providers'!$F$4:$F$503,81)))=0,"","License no.: "&amp;IF(LEN(INDEX('Providers'!$F$4:$F$503,81))=0,"",INDEX('Providers'!$F$4:$F$503,81))&amp;". ")&amp;IF(LEN(IF(LEN(INDEX('Providers'!$C$4:$C$503,81))=0,"",INDEX('Providers'!$C$4:$C$503,81)))=0,"","NPI: "&amp;IF(LEN(INDEX('Providers'!$C$4:$C$503,81))=0,"",INDEX('Providers'!$C$4:$C$503,81))&amp;". ")&amp;IF(LEN(IF(LEN(INDEX('Providers'!$D$4:$D$503,81))=0,"",INDEX('Providers'!$D$4:$D$503,81)))=0,"","Specialty: "&amp;IF(LEN(INDEX('Providers'!$D$4:$D$503,81))=0,"",INDEX('Providers'!$D$4:$D$503,81))&amp;". ")&amp;IF(LEN(IF(LEN(INDEX('Providers'!$AK$4:$AK$503,81))=0,"",INDEX('Providers'!$AK$4:$AK$503,81)))=0,"",IF(LEN(INDEX('Providers'!$AK$4:$AK$503,81))=0,"",INDEX('Providers'!$AK$4:$AK$503,81))))</f>
        <v/>
      </c>
      <c r="J84">
        <f>IF(LEN(INDEX('Providers'!$AJ$4:$AJ$503,81))=0,"",INDEX('Providers'!$AJ$4:$AJ$503,81))</f>
        <v/>
      </c>
      <c r="K84">
        <f>IF(LEN(INDEX('Providers'!$AI$4:$AI$503,81))=0,"",INDEX('Providers'!$AI$4:$AI$503,81))</f>
        <v/>
      </c>
    </row>
    <row r="85">
      <c r="A85">
        <f>IF(AND(LEN('Providers'!A85)&gt;0,ISNUMBER('Providers'!G85)),1,0)</f>
        <v/>
      </c>
      <c r="B85">
        <f>B84+A85</f>
        <v/>
      </c>
      <c r="C85">
        <f>IF(82&gt;$B$4503,"",MATCH(82-0.5,$B$3:$B$4503,1))</f>
        <v/>
      </c>
      <c r="D85">
        <f>"State license ("&amp;IF(LEN(INDEX('Providers'!$E$4:$E$503,82))=0,"",INDEX('Providers'!$E$4:$E$503,82))&amp;") – "&amp;IF(LEN(INDEX('Providers'!$A$4:$A$503,82))=0,"",INDEX('Providers'!$A$4:$A$503,82))</f>
        <v/>
      </c>
      <c r="E85">
        <f>IF(ISNUMBER(INDEX('Providers'!$G$4:$G$503,82)),TEXT(INDEX('Providers'!$G$4:$G$503,82),"yyyy-mm-dd"),"")</f>
        <v/>
      </c>
      <c r="F85">
        <f>"License"</f>
        <v/>
      </c>
      <c r="G85">
        <f>""</f>
        <v/>
      </c>
      <c r="H85">
        <f>"High"</f>
        <v/>
      </c>
      <c r="I85">
        <f>TRIM(IF(LEN(IF(LEN(INDEX('Providers'!$F$4:$F$503,82))=0,"",INDEX('Providers'!$F$4:$F$503,82)))=0,"","License no.: "&amp;IF(LEN(INDEX('Providers'!$F$4:$F$503,82))=0,"",INDEX('Providers'!$F$4:$F$503,82))&amp;". ")&amp;IF(LEN(IF(LEN(INDEX('Providers'!$C$4:$C$503,82))=0,"",INDEX('Providers'!$C$4:$C$503,82)))=0,"","NPI: "&amp;IF(LEN(INDEX('Providers'!$C$4:$C$503,82))=0,"",INDEX('Providers'!$C$4:$C$503,82))&amp;". ")&amp;IF(LEN(IF(LEN(INDEX('Providers'!$D$4:$D$503,82))=0,"",INDEX('Providers'!$D$4:$D$503,82)))=0,"","Specialty: "&amp;IF(LEN(INDEX('Providers'!$D$4:$D$503,82))=0,"",INDEX('Providers'!$D$4:$D$503,82))&amp;". ")&amp;IF(LEN(IF(LEN(INDEX('Providers'!$AK$4:$AK$503,82))=0,"",INDEX('Providers'!$AK$4:$AK$503,82)))=0,"",IF(LEN(INDEX('Providers'!$AK$4:$AK$503,82))=0,"",INDEX('Providers'!$AK$4:$AK$503,82))))</f>
        <v/>
      </c>
      <c r="J85">
        <f>IF(LEN(INDEX('Providers'!$AJ$4:$AJ$503,82))=0,"",INDEX('Providers'!$AJ$4:$AJ$503,82))</f>
        <v/>
      </c>
      <c r="K85">
        <f>IF(LEN(INDEX('Providers'!$AI$4:$AI$503,82))=0,"",INDEX('Providers'!$AI$4:$AI$503,82))</f>
        <v/>
      </c>
    </row>
    <row r="86">
      <c r="A86">
        <f>IF(AND(LEN('Providers'!A86)&gt;0,ISNUMBER('Providers'!G86)),1,0)</f>
        <v/>
      </c>
      <c r="B86">
        <f>B85+A86</f>
        <v/>
      </c>
      <c r="C86">
        <f>IF(83&gt;$B$4503,"",MATCH(83-0.5,$B$3:$B$4503,1))</f>
        <v/>
      </c>
      <c r="D86">
        <f>"State license ("&amp;IF(LEN(INDEX('Providers'!$E$4:$E$503,83))=0,"",INDEX('Providers'!$E$4:$E$503,83))&amp;") – "&amp;IF(LEN(INDEX('Providers'!$A$4:$A$503,83))=0,"",INDEX('Providers'!$A$4:$A$503,83))</f>
        <v/>
      </c>
      <c r="E86">
        <f>IF(ISNUMBER(INDEX('Providers'!$G$4:$G$503,83)),TEXT(INDEX('Providers'!$G$4:$G$503,83),"yyyy-mm-dd"),"")</f>
        <v/>
      </c>
      <c r="F86">
        <f>"License"</f>
        <v/>
      </c>
      <c r="G86">
        <f>""</f>
        <v/>
      </c>
      <c r="H86">
        <f>"High"</f>
        <v/>
      </c>
      <c r="I86">
        <f>TRIM(IF(LEN(IF(LEN(INDEX('Providers'!$F$4:$F$503,83))=0,"",INDEX('Providers'!$F$4:$F$503,83)))=0,"","License no.: "&amp;IF(LEN(INDEX('Providers'!$F$4:$F$503,83))=0,"",INDEX('Providers'!$F$4:$F$503,83))&amp;". ")&amp;IF(LEN(IF(LEN(INDEX('Providers'!$C$4:$C$503,83))=0,"",INDEX('Providers'!$C$4:$C$503,83)))=0,"","NPI: "&amp;IF(LEN(INDEX('Providers'!$C$4:$C$503,83))=0,"",INDEX('Providers'!$C$4:$C$503,83))&amp;". ")&amp;IF(LEN(IF(LEN(INDEX('Providers'!$D$4:$D$503,83))=0,"",INDEX('Providers'!$D$4:$D$503,83)))=0,"","Specialty: "&amp;IF(LEN(INDEX('Providers'!$D$4:$D$503,83))=0,"",INDEX('Providers'!$D$4:$D$503,83))&amp;". ")&amp;IF(LEN(IF(LEN(INDEX('Providers'!$AK$4:$AK$503,83))=0,"",INDEX('Providers'!$AK$4:$AK$503,83)))=0,"",IF(LEN(INDEX('Providers'!$AK$4:$AK$503,83))=0,"",INDEX('Providers'!$AK$4:$AK$503,83))))</f>
        <v/>
      </c>
      <c r="J86">
        <f>IF(LEN(INDEX('Providers'!$AJ$4:$AJ$503,83))=0,"",INDEX('Providers'!$AJ$4:$AJ$503,83))</f>
        <v/>
      </c>
      <c r="K86">
        <f>IF(LEN(INDEX('Providers'!$AI$4:$AI$503,83))=0,"",INDEX('Providers'!$AI$4:$AI$503,83))</f>
        <v/>
      </c>
    </row>
    <row r="87">
      <c r="A87">
        <f>IF(AND(LEN('Providers'!A87)&gt;0,ISNUMBER('Providers'!G87)),1,0)</f>
        <v/>
      </c>
      <c r="B87">
        <f>B86+A87</f>
        <v/>
      </c>
      <c r="C87">
        <f>IF(84&gt;$B$4503,"",MATCH(84-0.5,$B$3:$B$4503,1))</f>
        <v/>
      </c>
      <c r="D87">
        <f>"State license ("&amp;IF(LEN(INDEX('Providers'!$E$4:$E$503,84))=0,"",INDEX('Providers'!$E$4:$E$503,84))&amp;") – "&amp;IF(LEN(INDEX('Providers'!$A$4:$A$503,84))=0,"",INDEX('Providers'!$A$4:$A$503,84))</f>
        <v/>
      </c>
      <c r="E87">
        <f>IF(ISNUMBER(INDEX('Providers'!$G$4:$G$503,84)),TEXT(INDEX('Providers'!$G$4:$G$503,84),"yyyy-mm-dd"),"")</f>
        <v/>
      </c>
      <c r="F87">
        <f>"License"</f>
        <v/>
      </c>
      <c r="G87">
        <f>""</f>
        <v/>
      </c>
      <c r="H87">
        <f>"High"</f>
        <v/>
      </c>
      <c r="I87">
        <f>TRIM(IF(LEN(IF(LEN(INDEX('Providers'!$F$4:$F$503,84))=0,"",INDEX('Providers'!$F$4:$F$503,84)))=0,"","License no.: "&amp;IF(LEN(INDEX('Providers'!$F$4:$F$503,84))=0,"",INDEX('Providers'!$F$4:$F$503,84))&amp;". ")&amp;IF(LEN(IF(LEN(INDEX('Providers'!$C$4:$C$503,84))=0,"",INDEX('Providers'!$C$4:$C$503,84)))=0,"","NPI: "&amp;IF(LEN(INDEX('Providers'!$C$4:$C$503,84))=0,"",INDEX('Providers'!$C$4:$C$503,84))&amp;". ")&amp;IF(LEN(IF(LEN(INDEX('Providers'!$D$4:$D$503,84))=0,"",INDEX('Providers'!$D$4:$D$503,84)))=0,"","Specialty: "&amp;IF(LEN(INDEX('Providers'!$D$4:$D$503,84))=0,"",INDEX('Providers'!$D$4:$D$503,84))&amp;". ")&amp;IF(LEN(IF(LEN(INDEX('Providers'!$AK$4:$AK$503,84))=0,"",INDEX('Providers'!$AK$4:$AK$503,84)))=0,"",IF(LEN(INDEX('Providers'!$AK$4:$AK$503,84))=0,"",INDEX('Providers'!$AK$4:$AK$503,84))))</f>
        <v/>
      </c>
      <c r="J87">
        <f>IF(LEN(INDEX('Providers'!$AJ$4:$AJ$503,84))=0,"",INDEX('Providers'!$AJ$4:$AJ$503,84))</f>
        <v/>
      </c>
      <c r="K87">
        <f>IF(LEN(INDEX('Providers'!$AI$4:$AI$503,84))=0,"",INDEX('Providers'!$AI$4:$AI$503,84))</f>
        <v/>
      </c>
    </row>
    <row r="88">
      <c r="A88">
        <f>IF(AND(LEN('Providers'!A88)&gt;0,ISNUMBER('Providers'!G88)),1,0)</f>
        <v/>
      </c>
      <c r="B88">
        <f>B87+A88</f>
        <v/>
      </c>
      <c r="C88">
        <f>IF(85&gt;$B$4503,"",MATCH(85-0.5,$B$3:$B$4503,1))</f>
        <v/>
      </c>
      <c r="D88">
        <f>"State license ("&amp;IF(LEN(INDEX('Providers'!$E$4:$E$503,85))=0,"",INDEX('Providers'!$E$4:$E$503,85))&amp;") – "&amp;IF(LEN(INDEX('Providers'!$A$4:$A$503,85))=0,"",INDEX('Providers'!$A$4:$A$503,85))</f>
        <v/>
      </c>
      <c r="E88">
        <f>IF(ISNUMBER(INDEX('Providers'!$G$4:$G$503,85)),TEXT(INDEX('Providers'!$G$4:$G$503,85),"yyyy-mm-dd"),"")</f>
        <v/>
      </c>
      <c r="F88">
        <f>"License"</f>
        <v/>
      </c>
      <c r="G88">
        <f>""</f>
        <v/>
      </c>
      <c r="H88">
        <f>"High"</f>
        <v/>
      </c>
      <c r="I88">
        <f>TRIM(IF(LEN(IF(LEN(INDEX('Providers'!$F$4:$F$503,85))=0,"",INDEX('Providers'!$F$4:$F$503,85)))=0,"","License no.: "&amp;IF(LEN(INDEX('Providers'!$F$4:$F$503,85))=0,"",INDEX('Providers'!$F$4:$F$503,85))&amp;". ")&amp;IF(LEN(IF(LEN(INDEX('Providers'!$C$4:$C$503,85))=0,"",INDEX('Providers'!$C$4:$C$503,85)))=0,"","NPI: "&amp;IF(LEN(INDEX('Providers'!$C$4:$C$503,85))=0,"",INDEX('Providers'!$C$4:$C$503,85))&amp;". ")&amp;IF(LEN(IF(LEN(INDEX('Providers'!$D$4:$D$503,85))=0,"",INDEX('Providers'!$D$4:$D$503,85)))=0,"","Specialty: "&amp;IF(LEN(INDEX('Providers'!$D$4:$D$503,85))=0,"",INDEX('Providers'!$D$4:$D$503,85))&amp;". ")&amp;IF(LEN(IF(LEN(INDEX('Providers'!$AK$4:$AK$503,85))=0,"",INDEX('Providers'!$AK$4:$AK$503,85)))=0,"",IF(LEN(INDEX('Providers'!$AK$4:$AK$503,85))=0,"",INDEX('Providers'!$AK$4:$AK$503,85))))</f>
        <v/>
      </c>
      <c r="J88">
        <f>IF(LEN(INDEX('Providers'!$AJ$4:$AJ$503,85))=0,"",INDEX('Providers'!$AJ$4:$AJ$503,85))</f>
        <v/>
      </c>
      <c r="K88">
        <f>IF(LEN(INDEX('Providers'!$AI$4:$AI$503,85))=0,"",INDEX('Providers'!$AI$4:$AI$503,85))</f>
        <v/>
      </c>
    </row>
    <row r="89">
      <c r="A89">
        <f>IF(AND(LEN('Providers'!A89)&gt;0,ISNUMBER('Providers'!G89)),1,0)</f>
        <v/>
      </c>
      <c r="B89">
        <f>B88+A89</f>
        <v/>
      </c>
      <c r="C89">
        <f>IF(86&gt;$B$4503,"",MATCH(86-0.5,$B$3:$B$4503,1))</f>
        <v/>
      </c>
      <c r="D89">
        <f>"State license ("&amp;IF(LEN(INDEX('Providers'!$E$4:$E$503,86))=0,"",INDEX('Providers'!$E$4:$E$503,86))&amp;") – "&amp;IF(LEN(INDEX('Providers'!$A$4:$A$503,86))=0,"",INDEX('Providers'!$A$4:$A$503,86))</f>
        <v/>
      </c>
      <c r="E89">
        <f>IF(ISNUMBER(INDEX('Providers'!$G$4:$G$503,86)),TEXT(INDEX('Providers'!$G$4:$G$503,86),"yyyy-mm-dd"),"")</f>
        <v/>
      </c>
      <c r="F89">
        <f>"License"</f>
        <v/>
      </c>
      <c r="G89">
        <f>""</f>
        <v/>
      </c>
      <c r="H89">
        <f>"High"</f>
        <v/>
      </c>
      <c r="I89">
        <f>TRIM(IF(LEN(IF(LEN(INDEX('Providers'!$F$4:$F$503,86))=0,"",INDEX('Providers'!$F$4:$F$503,86)))=0,"","License no.: "&amp;IF(LEN(INDEX('Providers'!$F$4:$F$503,86))=0,"",INDEX('Providers'!$F$4:$F$503,86))&amp;". ")&amp;IF(LEN(IF(LEN(INDEX('Providers'!$C$4:$C$503,86))=0,"",INDEX('Providers'!$C$4:$C$503,86)))=0,"","NPI: "&amp;IF(LEN(INDEX('Providers'!$C$4:$C$503,86))=0,"",INDEX('Providers'!$C$4:$C$503,86))&amp;". ")&amp;IF(LEN(IF(LEN(INDEX('Providers'!$D$4:$D$503,86))=0,"",INDEX('Providers'!$D$4:$D$503,86)))=0,"","Specialty: "&amp;IF(LEN(INDEX('Providers'!$D$4:$D$503,86))=0,"",INDEX('Providers'!$D$4:$D$503,86))&amp;". ")&amp;IF(LEN(IF(LEN(INDEX('Providers'!$AK$4:$AK$503,86))=0,"",INDEX('Providers'!$AK$4:$AK$503,86)))=0,"",IF(LEN(INDEX('Providers'!$AK$4:$AK$503,86))=0,"",INDEX('Providers'!$AK$4:$AK$503,86))))</f>
        <v/>
      </c>
      <c r="J89">
        <f>IF(LEN(INDEX('Providers'!$AJ$4:$AJ$503,86))=0,"",INDEX('Providers'!$AJ$4:$AJ$503,86))</f>
        <v/>
      </c>
      <c r="K89">
        <f>IF(LEN(INDEX('Providers'!$AI$4:$AI$503,86))=0,"",INDEX('Providers'!$AI$4:$AI$503,86))</f>
        <v/>
      </c>
    </row>
    <row r="90">
      <c r="A90">
        <f>IF(AND(LEN('Providers'!A90)&gt;0,ISNUMBER('Providers'!G90)),1,0)</f>
        <v/>
      </c>
      <c r="B90">
        <f>B89+A90</f>
        <v/>
      </c>
      <c r="C90">
        <f>IF(87&gt;$B$4503,"",MATCH(87-0.5,$B$3:$B$4503,1))</f>
        <v/>
      </c>
      <c r="D90">
        <f>"State license ("&amp;IF(LEN(INDEX('Providers'!$E$4:$E$503,87))=0,"",INDEX('Providers'!$E$4:$E$503,87))&amp;") – "&amp;IF(LEN(INDEX('Providers'!$A$4:$A$503,87))=0,"",INDEX('Providers'!$A$4:$A$503,87))</f>
        <v/>
      </c>
      <c r="E90">
        <f>IF(ISNUMBER(INDEX('Providers'!$G$4:$G$503,87)),TEXT(INDEX('Providers'!$G$4:$G$503,87),"yyyy-mm-dd"),"")</f>
        <v/>
      </c>
      <c r="F90">
        <f>"License"</f>
        <v/>
      </c>
      <c r="G90">
        <f>""</f>
        <v/>
      </c>
      <c r="H90">
        <f>"High"</f>
        <v/>
      </c>
      <c r="I90">
        <f>TRIM(IF(LEN(IF(LEN(INDEX('Providers'!$F$4:$F$503,87))=0,"",INDEX('Providers'!$F$4:$F$503,87)))=0,"","License no.: "&amp;IF(LEN(INDEX('Providers'!$F$4:$F$503,87))=0,"",INDEX('Providers'!$F$4:$F$503,87))&amp;". ")&amp;IF(LEN(IF(LEN(INDEX('Providers'!$C$4:$C$503,87))=0,"",INDEX('Providers'!$C$4:$C$503,87)))=0,"","NPI: "&amp;IF(LEN(INDEX('Providers'!$C$4:$C$503,87))=0,"",INDEX('Providers'!$C$4:$C$503,87))&amp;". ")&amp;IF(LEN(IF(LEN(INDEX('Providers'!$D$4:$D$503,87))=0,"",INDEX('Providers'!$D$4:$D$503,87)))=0,"","Specialty: "&amp;IF(LEN(INDEX('Providers'!$D$4:$D$503,87))=0,"",INDEX('Providers'!$D$4:$D$503,87))&amp;". ")&amp;IF(LEN(IF(LEN(INDEX('Providers'!$AK$4:$AK$503,87))=0,"",INDEX('Providers'!$AK$4:$AK$503,87)))=0,"",IF(LEN(INDEX('Providers'!$AK$4:$AK$503,87))=0,"",INDEX('Providers'!$AK$4:$AK$503,87))))</f>
        <v/>
      </c>
      <c r="J90">
        <f>IF(LEN(INDEX('Providers'!$AJ$4:$AJ$503,87))=0,"",INDEX('Providers'!$AJ$4:$AJ$503,87))</f>
        <v/>
      </c>
      <c r="K90">
        <f>IF(LEN(INDEX('Providers'!$AI$4:$AI$503,87))=0,"",INDEX('Providers'!$AI$4:$AI$503,87))</f>
        <v/>
      </c>
    </row>
    <row r="91">
      <c r="A91">
        <f>IF(AND(LEN('Providers'!A91)&gt;0,ISNUMBER('Providers'!G91)),1,0)</f>
        <v/>
      </c>
      <c r="B91">
        <f>B90+A91</f>
        <v/>
      </c>
      <c r="C91">
        <f>IF(88&gt;$B$4503,"",MATCH(88-0.5,$B$3:$B$4503,1))</f>
        <v/>
      </c>
      <c r="D91">
        <f>"State license ("&amp;IF(LEN(INDEX('Providers'!$E$4:$E$503,88))=0,"",INDEX('Providers'!$E$4:$E$503,88))&amp;") – "&amp;IF(LEN(INDEX('Providers'!$A$4:$A$503,88))=0,"",INDEX('Providers'!$A$4:$A$503,88))</f>
        <v/>
      </c>
      <c r="E91">
        <f>IF(ISNUMBER(INDEX('Providers'!$G$4:$G$503,88)),TEXT(INDEX('Providers'!$G$4:$G$503,88),"yyyy-mm-dd"),"")</f>
        <v/>
      </c>
      <c r="F91">
        <f>"License"</f>
        <v/>
      </c>
      <c r="G91">
        <f>""</f>
        <v/>
      </c>
      <c r="H91">
        <f>"High"</f>
        <v/>
      </c>
      <c r="I91">
        <f>TRIM(IF(LEN(IF(LEN(INDEX('Providers'!$F$4:$F$503,88))=0,"",INDEX('Providers'!$F$4:$F$503,88)))=0,"","License no.: "&amp;IF(LEN(INDEX('Providers'!$F$4:$F$503,88))=0,"",INDEX('Providers'!$F$4:$F$503,88))&amp;". ")&amp;IF(LEN(IF(LEN(INDEX('Providers'!$C$4:$C$503,88))=0,"",INDEX('Providers'!$C$4:$C$503,88)))=0,"","NPI: "&amp;IF(LEN(INDEX('Providers'!$C$4:$C$503,88))=0,"",INDEX('Providers'!$C$4:$C$503,88))&amp;". ")&amp;IF(LEN(IF(LEN(INDEX('Providers'!$D$4:$D$503,88))=0,"",INDEX('Providers'!$D$4:$D$503,88)))=0,"","Specialty: "&amp;IF(LEN(INDEX('Providers'!$D$4:$D$503,88))=0,"",INDEX('Providers'!$D$4:$D$503,88))&amp;". ")&amp;IF(LEN(IF(LEN(INDEX('Providers'!$AK$4:$AK$503,88))=0,"",INDEX('Providers'!$AK$4:$AK$503,88)))=0,"",IF(LEN(INDEX('Providers'!$AK$4:$AK$503,88))=0,"",INDEX('Providers'!$AK$4:$AK$503,88))))</f>
        <v/>
      </c>
      <c r="J91">
        <f>IF(LEN(INDEX('Providers'!$AJ$4:$AJ$503,88))=0,"",INDEX('Providers'!$AJ$4:$AJ$503,88))</f>
        <v/>
      </c>
      <c r="K91">
        <f>IF(LEN(INDEX('Providers'!$AI$4:$AI$503,88))=0,"",INDEX('Providers'!$AI$4:$AI$503,88))</f>
        <v/>
      </c>
    </row>
    <row r="92">
      <c r="A92">
        <f>IF(AND(LEN('Providers'!A92)&gt;0,ISNUMBER('Providers'!G92)),1,0)</f>
        <v/>
      </c>
      <c r="B92">
        <f>B91+A92</f>
        <v/>
      </c>
      <c r="C92">
        <f>IF(89&gt;$B$4503,"",MATCH(89-0.5,$B$3:$B$4503,1))</f>
        <v/>
      </c>
      <c r="D92">
        <f>"State license ("&amp;IF(LEN(INDEX('Providers'!$E$4:$E$503,89))=0,"",INDEX('Providers'!$E$4:$E$503,89))&amp;") – "&amp;IF(LEN(INDEX('Providers'!$A$4:$A$503,89))=0,"",INDEX('Providers'!$A$4:$A$503,89))</f>
        <v/>
      </c>
      <c r="E92">
        <f>IF(ISNUMBER(INDEX('Providers'!$G$4:$G$503,89)),TEXT(INDEX('Providers'!$G$4:$G$503,89),"yyyy-mm-dd"),"")</f>
        <v/>
      </c>
      <c r="F92">
        <f>"License"</f>
        <v/>
      </c>
      <c r="G92">
        <f>""</f>
        <v/>
      </c>
      <c r="H92">
        <f>"High"</f>
        <v/>
      </c>
      <c r="I92">
        <f>TRIM(IF(LEN(IF(LEN(INDEX('Providers'!$F$4:$F$503,89))=0,"",INDEX('Providers'!$F$4:$F$503,89)))=0,"","License no.: "&amp;IF(LEN(INDEX('Providers'!$F$4:$F$503,89))=0,"",INDEX('Providers'!$F$4:$F$503,89))&amp;". ")&amp;IF(LEN(IF(LEN(INDEX('Providers'!$C$4:$C$503,89))=0,"",INDEX('Providers'!$C$4:$C$503,89)))=0,"","NPI: "&amp;IF(LEN(INDEX('Providers'!$C$4:$C$503,89))=0,"",INDEX('Providers'!$C$4:$C$503,89))&amp;". ")&amp;IF(LEN(IF(LEN(INDEX('Providers'!$D$4:$D$503,89))=0,"",INDEX('Providers'!$D$4:$D$503,89)))=0,"","Specialty: "&amp;IF(LEN(INDEX('Providers'!$D$4:$D$503,89))=0,"",INDEX('Providers'!$D$4:$D$503,89))&amp;". ")&amp;IF(LEN(IF(LEN(INDEX('Providers'!$AK$4:$AK$503,89))=0,"",INDEX('Providers'!$AK$4:$AK$503,89)))=0,"",IF(LEN(INDEX('Providers'!$AK$4:$AK$503,89))=0,"",INDEX('Providers'!$AK$4:$AK$503,89))))</f>
        <v/>
      </c>
      <c r="J92">
        <f>IF(LEN(INDEX('Providers'!$AJ$4:$AJ$503,89))=0,"",INDEX('Providers'!$AJ$4:$AJ$503,89))</f>
        <v/>
      </c>
      <c r="K92">
        <f>IF(LEN(INDEX('Providers'!$AI$4:$AI$503,89))=0,"",INDEX('Providers'!$AI$4:$AI$503,89))</f>
        <v/>
      </c>
    </row>
    <row r="93">
      <c r="A93">
        <f>IF(AND(LEN('Providers'!A93)&gt;0,ISNUMBER('Providers'!G93)),1,0)</f>
        <v/>
      </c>
      <c r="B93">
        <f>B92+A93</f>
        <v/>
      </c>
      <c r="C93">
        <f>IF(90&gt;$B$4503,"",MATCH(90-0.5,$B$3:$B$4503,1))</f>
        <v/>
      </c>
      <c r="D93">
        <f>"State license ("&amp;IF(LEN(INDEX('Providers'!$E$4:$E$503,90))=0,"",INDEX('Providers'!$E$4:$E$503,90))&amp;") – "&amp;IF(LEN(INDEX('Providers'!$A$4:$A$503,90))=0,"",INDEX('Providers'!$A$4:$A$503,90))</f>
        <v/>
      </c>
      <c r="E93">
        <f>IF(ISNUMBER(INDEX('Providers'!$G$4:$G$503,90)),TEXT(INDEX('Providers'!$G$4:$G$503,90),"yyyy-mm-dd"),"")</f>
        <v/>
      </c>
      <c r="F93">
        <f>"License"</f>
        <v/>
      </c>
      <c r="G93">
        <f>""</f>
        <v/>
      </c>
      <c r="H93">
        <f>"High"</f>
        <v/>
      </c>
      <c r="I93">
        <f>TRIM(IF(LEN(IF(LEN(INDEX('Providers'!$F$4:$F$503,90))=0,"",INDEX('Providers'!$F$4:$F$503,90)))=0,"","License no.: "&amp;IF(LEN(INDEX('Providers'!$F$4:$F$503,90))=0,"",INDEX('Providers'!$F$4:$F$503,90))&amp;". ")&amp;IF(LEN(IF(LEN(INDEX('Providers'!$C$4:$C$503,90))=0,"",INDEX('Providers'!$C$4:$C$503,90)))=0,"","NPI: "&amp;IF(LEN(INDEX('Providers'!$C$4:$C$503,90))=0,"",INDEX('Providers'!$C$4:$C$503,90))&amp;". ")&amp;IF(LEN(IF(LEN(INDEX('Providers'!$D$4:$D$503,90))=0,"",INDEX('Providers'!$D$4:$D$503,90)))=0,"","Specialty: "&amp;IF(LEN(INDEX('Providers'!$D$4:$D$503,90))=0,"",INDEX('Providers'!$D$4:$D$503,90))&amp;". ")&amp;IF(LEN(IF(LEN(INDEX('Providers'!$AK$4:$AK$503,90))=0,"",INDEX('Providers'!$AK$4:$AK$503,90)))=0,"",IF(LEN(INDEX('Providers'!$AK$4:$AK$503,90))=0,"",INDEX('Providers'!$AK$4:$AK$503,90))))</f>
        <v/>
      </c>
      <c r="J93">
        <f>IF(LEN(INDEX('Providers'!$AJ$4:$AJ$503,90))=0,"",INDEX('Providers'!$AJ$4:$AJ$503,90))</f>
        <v/>
      </c>
      <c r="K93">
        <f>IF(LEN(INDEX('Providers'!$AI$4:$AI$503,90))=0,"",INDEX('Providers'!$AI$4:$AI$503,90))</f>
        <v/>
      </c>
    </row>
    <row r="94">
      <c r="A94">
        <f>IF(AND(LEN('Providers'!A94)&gt;0,ISNUMBER('Providers'!G94)),1,0)</f>
        <v/>
      </c>
      <c r="B94">
        <f>B93+A94</f>
        <v/>
      </c>
      <c r="C94">
        <f>IF(91&gt;$B$4503,"",MATCH(91-0.5,$B$3:$B$4503,1))</f>
        <v/>
      </c>
      <c r="D94">
        <f>"State license ("&amp;IF(LEN(INDEX('Providers'!$E$4:$E$503,91))=0,"",INDEX('Providers'!$E$4:$E$503,91))&amp;") – "&amp;IF(LEN(INDEX('Providers'!$A$4:$A$503,91))=0,"",INDEX('Providers'!$A$4:$A$503,91))</f>
        <v/>
      </c>
      <c r="E94">
        <f>IF(ISNUMBER(INDEX('Providers'!$G$4:$G$503,91)),TEXT(INDEX('Providers'!$G$4:$G$503,91),"yyyy-mm-dd"),"")</f>
        <v/>
      </c>
      <c r="F94">
        <f>"License"</f>
        <v/>
      </c>
      <c r="G94">
        <f>""</f>
        <v/>
      </c>
      <c r="H94">
        <f>"High"</f>
        <v/>
      </c>
      <c r="I94">
        <f>TRIM(IF(LEN(IF(LEN(INDEX('Providers'!$F$4:$F$503,91))=0,"",INDEX('Providers'!$F$4:$F$503,91)))=0,"","License no.: "&amp;IF(LEN(INDEX('Providers'!$F$4:$F$503,91))=0,"",INDEX('Providers'!$F$4:$F$503,91))&amp;". ")&amp;IF(LEN(IF(LEN(INDEX('Providers'!$C$4:$C$503,91))=0,"",INDEX('Providers'!$C$4:$C$503,91)))=0,"","NPI: "&amp;IF(LEN(INDEX('Providers'!$C$4:$C$503,91))=0,"",INDEX('Providers'!$C$4:$C$503,91))&amp;". ")&amp;IF(LEN(IF(LEN(INDEX('Providers'!$D$4:$D$503,91))=0,"",INDEX('Providers'!$D$4:$D$503,91)))=0,"","Specialty: "&amp;IF(LEN(INDEX('Providers'!$D$4:$D$503,91))=0,"",INDEX('Providers'!$D$4:$D$503,91))&amp;". ")&amp;IF(LEN(IF(LEN(INDEX('Providers'!$AK$4:$AK$503,91))=0,"",INDEX('Providers'!$AK$4:$AK$503,91)))=0,"",IF(LEN(INDEX('Providers'!$AK$4:$AK$503,91))=0,"",INDEX('Providers'!$AK$4:$AK$503,91))))</f>
        <v/>
      </c>
      <c r="J94">
        <f>IF(LEN(INDEX('Providers'!$AJ$4:$AJ$503,91))=0,"",INDEX('Providers'!$AJ$4:$AJ$503,91))</f>
        <v/>
      </c>
      <c r="K94">
        <f>IF(LEN(INDEX('Providers'!$AI$4:$AI$503,91))=0,"",INDEX('Providers'!$AI$4:$AI$503,91))</f>
        <v/>
      </c>
    </row>
    <row r="95">
      <c r="A95">
        <f>IF(AND(LEN('Providers'!A95)&gt;0,ISNUMBER('Providers'!G95)),1,0)</f>
        <v/>
      </c>
      <c r="B95">
        <f>B94+A95</f>
        <v/>
      </c>
      <c r="C95">
        <f>IF(92&gt;$B$4503,"",MATCH(92-0.5,$B$3:$B$4503,1))</f>
        <v/>
      </c>
      <c r="D95">
        <f>"State license ("&amp;IF(LEN(INDEX('Providers'!$E$4:$E$503,92))=0,"",INDEX('Providers'!$E$4:$E$503,92))&amp;") – "&amp;IF(LEN(INDEX('Providers'!$A$4:$A$503,92))=0,"",INDEX('Providers'!$A$4:$A$503,92))</f>
        <v/>
      </c>
      <c r="E95">
        <f>IF(ISNUMBER(INDEX('Providers'!$G$4:$G$503,92)),TEXT(INDEX('Providers'!$G$4:$G$503,92),"yyyy-mm-dd"),"")</f>
        <v/>
      </c>
      <c r="F95">
        <f>"License"</f>
        <v/>
      </c>
      <c r="G95">
        <f>""</f>
        <v/>
      </c>
      <c r="H95">
        <f>"High"</f>
        <v/>
      </c>
      <c r="I95">
        <f>TRIM(IF(LEN(IF(LEN(INDEX('Providers'!$F$4:$F$503,92))=0,"",INDEX('Providers'!$F$4:$F$503,92)))=0,"","License no.: "&amp;IF(LEN(INDEX('Providers'!$F$4:$F$503,92))=0,"",INDEX('Providers'!$F$4:$F$503,92))&amp;". ")&amp;IF(LEN(IF(LEN(INDEX('Providers'!$C$4:$C$503,92))=0,"",INDEX('Providers'!$C$4:$C$503,92)))=0,"","NPI: "&amp;IF(LEN(INDEX('Providers'!$C$4:$C$503,92))=0,"",INDEX('Providers'!$C$4:$C$503,92))&amp;". ")&amp;IF(LEN(IF(LEN(INDEX('Providers'!$D$4:$D$503,92))=0,"",INDEX('Providers'!$D$4:$D$503,92)))=0,"","Specialty: "&amp;IF(LEN(INDEX('Providers'!$D$4:$D$503,92))=0,"",INDEX('Providers'!$D$4:$D$503,92))&amp;". ")&amp;IF(LEN(IF(LEN(INDEX('Providers'!$AK$4:$AK$503,92))=0,"",INDEX('Providers'!$AK$4:$AK$503,92)))=0,"",IF(LEN(INDEX('Providers'!$AK$4:$AK$503,92))=0,"",INDEX('Providers'!$AK$4:$AK$503,92))))</f>
        <v/>
      </c>
      <c r="J95">
        <f>IF(LEN(INDEX('Providers'!$AJ$4:$AJ$503,92))=0,"",INDEX('Providers'!$AJ$4:$AJ$503,92))</f>
        <v/>
      </c>
      <c r="K95">
        <f>IF(LEN(INDEX('Providers'!$AI$4:$AI$503,92))=0,"",INDEX('Providers'!$AI$4:$AI$503,92))</f>
        <v/>
      </c>
    </row>
    <row r="96">
      <c r="A96">
        <f>IF(AND(LEN('Providers'!A96)&gt;0,ISNUMBER('Providers'!G96)),1,0)</f>
        <v/>
      </c>
      <c r="B96">
        <f>B95+A96</f>
        <v/>
      </c>
      <c r="C96">
        <f>IF(93&gt;$B$4503,"",MATCH(93-0.5,$B$3:$B$4503,1))</f>
        <v/>
      </c>
      <c r="D96">
        <f>"State license ("&amp;IF(LEN(INDEX('Providers'!$E$4:$E$503,93))=0,"",INDEX('Providers'!$E$4:$E$503,93))&amp;") – "&amp;IF(LEN(INDEX('Providers'!$A$4:$A$503,93))=0,"",INDEX('Providers'!$A$4:$A$503,93))</f>
        <v/>
      </c>
      <c r="E96">
        <f>IF(ISNUMBER(INDEX('Providers'!$G$4:$G$503,93)),TEXT(INDEX('Providers'!$G$4:$G$503,93),"yyyy-mm-dd"),"")</f>
        <v/>
      </c>
      <c r="F96">
        <f>"License"</f>
        <v/>
      </c>
      <c r="G96">
        <f>""</f>
        <v/>
      </c>
      <c r="H96">
        <f>"High"</f>
        <v/>
      </c>
      <c r="I96">
        <f>TRIM(IF(LEN(IF(LEN(INDEX('Providers'!$F$4:$F$503,93))=0,"",INDEX('Providers'!$F$4:$F$503,93)))=0,"","License no.: "&amp;IF(LEN(INDEX('Providers'!$F$4:$F$503,93))=0,"",INDEX('Providers'!$F$4:$F$503,93))&amp;". ")&amp;IF(LEN(IF(LEN(INDEX('Providers'!$C$4:$C$503,93))=0,"",INDEX('Providers'!$C$4:$C$503,93)))=0,"","NPI: "&amp;IF(LEN(INDEX('Providers'!$C$4:$C$503,93))=0,"",INDEX('Providers'!$C$4:$C$503,93))&amp;". ")&amp;IF(LEN(IF(LEN(INDEX('Providers'!$D$4:$D$503,93))=0,"",INDEX('Providers'!$D$4:$D$503,93)))=0,"","Specialty: "&amp;IF(LEN(INDEX('Providers'!$D$4:$D$503,93))=0,"",INDEX('Providers'!$D$4:$D$503,93))&amp;". ")&amp;IF(LEN(IF(LEN(INDEX('Providers'!$AK$4:$AK$503,93))=0,"",INDEX('Providers'!$AK$4:$AK$503,93)))=0,"",IF(LEN(INDEX('Providers'!$AK$4:$AK$503,93))=0,"",INDEX('Providers'!$AK$4:$AK$503,93))))</f>
        <v/>
      </c>
      <c r="J96">
        <f>IF(LEN(INDEX('Providers'!$AJ$4:$AJ$503,93))=0,"",INDEX('Providers'!$AJ$4:$AJ$503,93))</f>
        <v/>
      </c>
      <c r="K96">
        <f>IF(LEN(INDEX('Providers'!$AI$4:$AI$503,93))=0,"",INDEX('Providers'!$AI$4:$AI$503,93))</f>
        <v/>
      </c>
    </row>
    <row r="97">
      <c r="A97">
        <f>IF(AND(LEN('Providers'!A97)&gt;0,ISNUMBER('Providers'!G97)),1,0)</f>
        <v/>
      </c>
      <c r="B97">
        <f>B96+A97</f>
        <v/>
      </c>
      <c r="C97">
        <f>IF(94&gt;$B$4503,"",MATCH(94-0.5,$B$3:$B$4503,1))</f>
        <v/>
      </c>
      <c r="D97">
        <f>"State license ("&amp;IF(LEN(INDEX('Providers'!$E$4:$E$503,94))=0,"",INDEX('Providers'!$E$4:$E$503,94))&amp;") – "&amp;IF(LEN(INDEX('Providers'!$A$4:$A$503,94))=0,"",INDEX('Providers'!$A$4:$A$503,94))</f>
        <v/>
      </c>
      <c r="E97">
        <f>IF(ISNUMBER(INDEX('Providers'!$G$4:$G$503,94)),TEXT(INDEX('Providers'!$G$4:$G$503,94),"yyyy-mm-dd"),"")</f>
        <v/>
      </c>
      <c r="F97">
        <f>"License"</f>
        <v/>
      </c>
      <c r="G97">
        <f>""</f>
        <v/>
      </c>
      <c r="H97">
        <f>"High"</f>
        <v/>
      </c>
      <c r="I97">
        <f>TRIM(IF(LEN(IF(LEN(INDEX('Providers'!$F$4:$F$503,94))=0,"",INDEX('Providers'!$F$4:$F$503,94)))=0,"","License no.: "&amp;IF(LEN(INDEX('Providers'!$F$4:$F$503,94))=0,"",INDEX('Providers'!$F$4:$F$503,94))&amp;". ")&amp;IF(LEN(IF(LEN(INDEX('Providers'!$C$4:$C$503,94))=0,"",INDEX('Providers'!$C$4:$C$503,94)))=0,"","NPI: "&amp;IF(LEN(INDEX('Providers'!$C$4:$C$503,94))=0,"",INDEX('Providers'!$C$4:$C$503,94))&amp;". ")&amp;IF(LEN(IF(LEN(INDEX('Providers'!$D$4:$D$503,94))=0,"",INDEX('Providers'!$D$4:$D$503,94)))=0,"","Specialty: "&amp;IF(LEN(INDEX('Providers'!$D$4:$D$503,94))=0,"",INDEX('Providers'!$D$4:$D$503,94))&amp;". ")&amp;IF(LEN(IF(LEN(INDEX('Providers'!$AK$4:$AK$503,94))=0,"",INDEX('Providers'!$AK$4:$AK$503,94)))=0,"",IF(LEN(INDEX('Providers'!$AK$4:$AK$503,94))=0,"",INDEX('Providers'!$AK$4:$AK$503,94))))</f>
        <v/>
      </c>
      <c r="J97">
        <f>IF(LEN(INDEX('Providers'!$AJ$4:$AJ$503,94))=0,"",INDEX('Providers'!$AJ$4:$AJ$503,94))</f>
        <v/>
      </c>
      <c r="K97">
        <f>IF(LEN(INDEX('Providers'!$AI$4:$AI$503,94))=0,"",INDEX('Providers'!$AI$4:$AI$503,94))</f>
        <v/>
      </c>
    </row>
    <row r="98">
      <c r="A98">
        <f>IF(AND(LEN('Providers'!A98)&gt;0,ISNUMBER('Providers'!G98)),1,0)</f>
        <v/>
      </c>
      <c r="B98">
        <f>B97+A98</f>
        <v/>
      </c>
      <c r="C98">
        <f>IF(95&gt;$B$4503,"",MATCH(95-0.5,$B$3:$B$4503,1))</f>
        <v/>
      </c>
      <c r="D98">
        <f>"State license ("&amp;IF(LEN(INDEX('Providers'!$E$4:$E$503,95))=0,"",INDEX('Providers'!$E$4:$E$503,95))&amp;") – "&amp;IF(LEN(INDEX('Providers'!$A$4:$A$503,95))=0,"",INDEX('Providers'!$A$4:$A$503,95))</f>
        <v/>
      </c>
      <c r="E98">
        <f>IF(ISNUMBER(INDEX('Providers'!$G$4:$G$503,95)),TEXT(INDEX('Providers'!$G$4:$G$503,95),"yyyy-mm-dd"),"")</f>
        <v/>
      </c>
      <c r="F98">
        <f>"License"</f>
        <v/>
      </c>
      <c r="G98">
        <f>""</f>
        <v/>
      </c>
      <c r="H98">
        <f>"High"</f>
        <v/>
      </c>
      <c r="I98">
        <f>TRIM(IF(LEN(IF(LEN(INDEX('Providers'!$F$4:$F$503,95))=0,"",INDEX('Providers'!$F$4:$F$503,95)))=0,"","License no.: "&amp;IF(LEN(INDEX('Providers'!$F$4:$F$503,95))=0,"",INDEX('Providers'!$F$4:$F$503,95))&amp;". ")&amp;IF(LEN(IF(LEN(INDEX('Providers'!$C$4:$C$503,95))=0,"",INDEX('Providers'!$C$4:$C$503,95)))=0,"","NPI: "&amp;IF(LEN(INDEX('Providers'!$C$4:$C$503,95))=0,"",INDEX('Providers'!$C$4:$C$503,95))&amp;". ")&amp;IF(LEN(IF(LEN(INDEX('Providers'!$D$4:$D$503,95))=0,"",INDEX('Providers'!$D$4:$D$503,95)))=0,"","Specialty: "&amp;IF(LEN(INDEX('Providers'!$D$4:$D$503,95))=0,"",INDEX('Providers'!$D$4:$D$503,95))&amp;". ")&amp;IF(LEN(IF(LEN(INDEX('Providers'!$AK$4:$AK$503,95))=0,"",INDEX('Providers'!$AK$4:$AK$503,95)))=0,"",IF(LEN(INDEX('Providers'!$AK$4:$AK$503,95))=0,"",INDEX('Providers'!$AK$4:$AK$503,95))))</f>
        <v/>
      </c>
      <c r="J98">
        <f>IF(LEN(INDEX('Providers'!$AJ$4:$AJ$503,95))=0,"",INDEX('Providers'!$AJ$4:$AJ$503,95))</f>
        <v/>
      </c>
      <c r="K98">
        <f>IF(LEN(INDEX('Providers'!$AI$4:$AI$503,95))=0,"",INDEX('Providers'!$AI$4:$AI$503,95))</f>
        <v/>
      </c>
    </row>
    <row r="99">
      <c r="A99">
        <f>IF(AND(LEN('Providers'!A99)&gt;0,ISNUMBER('Providers'!G99)),1,0)</f>
        <v/>
      </c>
      <c r="B99">
        <f>B98+A99</f>
        <v/>
      </c>
      <c r="C99">
        <f>IF(96&gt;$B$4503,"",MATCH(96-0.5,$B$3:$B$4503,1))</f>
        <v/>
      </c>
      <c r="D99">
        <f>"State license ("&amp;IF(LEN(INDEX('Providers'!$E$4:$E$503,96))=0,"",INDEX('Providers'!$E$4:$E$503,96))&amp;") – "&amp;IF(LEN(INDEX('Providers'!$A$4:$A$503,96))=0,"",INDEX('Providers'!$A$4:$A$503,96))</f>
        <v/>
      </c>
      <c r="E99">
        <f>IF(ISNUMBER(INDEX('Providers'!$G$4:$G$503,96)),TEXT(INDEX('Providers'!$G$4:$G$503,96),"yyyy-mm-dd"),"")</f>
        <v/>
      </c>
      <c r="F99">
        <f>"License"</f>
        <v/>
      </c>
      <c r="G99">
        <f>""</f>
        <v/>
      </c>
      <c r="H99">
        <f>"High"</f>
        <v/>
      </c>
      <c r="I99">
        <f>TRIM(IF(LEN(IF(LEN(INDEX('Providers'!$F$4:$F$503,96))=0,"",INDEX('Providers'!$F$4:$F$503,96)))=0,"","License no.: "&amp;IF(LEN(INDEX('Providers'!$F$4:$F$503,96))=0,"",INDEX('Providers'!$F$4:$F$503,96))&amp;". ")&amp;IF(LEN(IF(LEN(INDEX('Providers'!$C$4:$C$503,96))=0,"",INDEX('Providers'!$C$4:$C$503,96)))=0,"","NPI: "&amp;IF(LEN(INDEX('Providers'!$C$4:$C$503,96))=0,"",INDEX('Providers'!$C$4:$C$503,96))&amp;". ")&amp;IF(LEN(IF(LEN(INDEX('Providers'!$D$4:$D$503,96))=0,"",INDEX('Providers'!$D$4:$D$503,96)))=0,"","Specialty: "&amp;IF(LEN(INDEX('Providers'!$D$4:$D$503,96))=0,"",INDEX('Providers'!$D$4:$D$503,96))&amp;". ")&amp;IF(LEN(IF(LEN(INDEX('Providers'!$AK$4:$AK$503,96))=0,"",INDEX('Providers'!$AK$4:$AK$503,96)))=0,"",IF(LEN(INDEX('Providers'!$AK$4:$AK$503,96))=0,"",INDEX('Providers'!$AK$4:$AK$503,96))))</f>
        <v/>
      </c>
      <c r="J99">
        <f>IF(LEN(INDEX('Providers'!$AJ$4:$AJ$503,96))=0,"",INDEX('Providers'!$AJ$4:$AJ$503,96))</f>
        <v/>
      </c>
      <c r="K99">
        <f>IF(LEN(INDEX('Providers'!$AI$4:$AI$503,96))=0,"",INDEX('Providers'!$AI$4:$AI$503,96))</f>
        <v/>
      </c>
    </row>
    <row r="100">
      <c r="A100">
        <f>IF(AND(LEN('Providers'!A100)&gt;0,ISNUMBER('Providers'!G100)),1,0)</f>
        <v/>
      </c>
      <c r="B100">
        <f>B99+A100</f>
        <v/>
      </c>
      <c r="C100">
        <f>IF(97&gt;$B$4503,"",MATCH(97-0.5,$B$3:$B$4503,1))</f>
        <v/>
      </c>
      <c r="D100">
        <f>"State license ("&amp;IF(LEN(INDEX('Providers'!$E$4:$E$503,97))=0,"",INDEX('Providers'!$E$4:$E$503,97))&amp;") – "&amp;IF(LEN(INDEX('Providers'!$A$4:$A$503,97))=0,"",INDEX('Providers'!$A$4:$A$503,97))</f>
        <v/>
      </c>
      <c r="E100">
        <f>IF(ISNUMBER(INDEX('Providers'!$G$4:$G$503,97)),TEXT(INDEX('Providers'!$G$4:$G$503,97),"yyyy-mm-dd"),"")</f>
        <v/>
      </c>
      <c r="F100">
        <f>"License"</f>
        <v/>
      </c>
      <c r="G100">
        <f>""</f>
        <v/>
      </c>
      <c r="H100">
        <f>"High"</f>
        <v/>
      </c>
      <c r="I100">
        <f>TRIM(IF(LEN(IF(LEN(INDEX('Providers'!$F$4:$F$503,97))=0,"",INDEX('Providers'!$F$4:$F$503,97)))=0,"","License no.: "&amp;IF(LEN(INDEX('Providers'!$F$4:$F$503,97))=0,"",INDEX('Providers'!$F$4:$F$503,97))&amp;". ")&amp;IF(LEN(IF(LEN(INDEX('Providers'!$C$4:$C$503,97))=0,"",INDEX('Providers'!$C$4:$C$503,97)))=0,"","NPI: "&amp;IF(LEN(INDEX('Providers'!$C$4:$C$503,97))=0,"",INDEX('Providers'!$C$4:$C$503,97))&amp;". ")&amp;IF(LEN(IF(LEN(INDEX('Providers'!$D$4:$D$503,97))=0,"",INDEX('Providers'!$D$4:$D$503,97)))=0,"","Specialty: "&amp;IF(LEN(INDEX('Providers'!$D$4:$D$503,97))=0,"",INDEX('Providers'!$D$4:$D$503,97))&amp;". ")&amp;IF(LEN(IF(LEN(INDEX('Providers'!$AK$4:$AK$503,97))=0,"",INDEX('Providers'!$AK$4:$AK$503,97)))=0,"",IF(LEN(INDEX('Providers'!$AK$4:$AK$503,97))=0,"",INDEX('Providers'!$AK$4:$AK$503,97))))</f>
        <v/>
      </c>
      <c r="J100">
        <f>IF(LEN(INDEX('Providers'!$AJ$4:$AJ$503,97))=0,"",INDEX('Providers'!$AJ$4:$AJ$503,97))</f>
        <v/>
      </c>
      <c r="K100">
        <f>IF(LEN(INDEX('Providers'!$AI$4:$AI$503,97))=0,"",INDEX('Providers'!$AI$4:$AI$503,97))</f>
        <v/>
      </c>
    </row>
    <row r="101">
      <c r="A101">
        <f>IF(AND(LEN('Providers'!A101)&gt;0,ISNUMBER('Providers'!G101)),1,0)</f>
        <v/>
      </c>
      <c r="B101">
        <f>B100+A101</f>
        <v/>
      </c>
      <c r="C101">
        <f>IF(98&gt;$B$4503,"",MATCH(98-0.5,$B$3:$B$4503,1))</f>
        <v/>
      </c>
      <c r="D101">
        <f>"State license ("&amp;IF(LEN(INDEX('Providers'!$E$4:$E$503,98))=0,"",INDEX('Providers'!$E$4:$E$503,98))&amp;") – "&amp;IF(LEN(INDEX('Providers'!$A$4:$A$503,98))=0,"",INDEX('Providers'!$A$4:$A$503,98))</f>
        <v/>
      </c>
      <c r="E101">
        <f>IF(ISNUMBER(INDEX('Providers'!$G$4:$G$503,98)),TEXT(INDEX('Providers'!$G$4:$G$503,98),"yyyy-mm-dd"),"")</f>
        <v/>
      </c>
      <c r="F101">
        <f>"License"</f>
        <v/>
      </c>
      <c r="G101">
        <f>""</f>
        <v/>
      </c>
      <c r="H101">
        <f>"High"</f>
        <v/>
      </c>
      <c r="I101">
        <f>TRIM(IF(LEN(IF(LEN(INDEX('Providers'!$F$4:$F$503,98))=0,"",INDEX('Providers'!$F$4:$F$503,98)))=0,"","License no.: "&amp;IF(LEN(INDEX('Providers'!$F$4:$F$503,98))=0,"",INDEX('Providers'!$F$4:$F$503,98))&amp;". ")&amp;IF(LEN(IF(LEN(INDEX('Providers'!$C$4:$C$503,98))=0,"",INDEX('Providers'!$C$4:$C$503,98)))=0,"","NPI: "&amp;IF(LEN(INDEX('Providers'!$C$4:$C$503,98))=0,"",INDEX('Providers'!$C$4:$C$503,98))&amp;". ")&amp;IF(LEN(IF(LEN(INDEX('Providers'!$D$4:$D$503,98))=0,"",INDEX('Providers'!$D$4:$D$503,98)))=0,"","Specialty: "&amp;IF(LEN(INDEX('Providers'!$D$4:$D$503,98))=0,"",INDEX('Providers'!$D$4:$D$503,98))&amp;". ")&amp;IF(LEN(IF(LEN(INDEX('Providers'!$AK$4:$AK$503,98))=0,"",INDEX('Providers'!$AK$4:$AK$503,98)))=0,"",IF(LEN(INDEX('Providers'!$AK$4:$AK$503,98))=0,"",INDEX('Providers'!$AK$4:$AK$503,98))))</f>
        <v/>
      </c>
      <c r="J101">
        <f>IF(LEN(INDEX('Providers'!$AJ$4:$AJ$503,98))=0,"",INDEX('Providers'!$AJ$4:$AJ$503,98))</f>
        <v/>
      </c>
      <c r="K101">
        <f>IF(LEN(INDEX('Providers'!$AI$4:$AI$503,98))=0,"",INDEX('Providers'!$AI$4:$AI$503,98))</f>
        <v/>
      </c>
    </row>
    <row r="102">
      <c r="A102">
        <f>IF(AND(LEN('Providers'!A102)&gt;0,ISNUMBER('Providers'!G102)),1,0)</f>
        <v/>
      </c>
      <c r="B102">
        <f>B101+A102</f>
        <v/>
      </c>
      <c r="C102">
        <f>IF(99&gt;$B$4503,"",MATCH(99-0.5,$B$3:$B$4503,1))</f>
        <v/>
      </c>
      <c r="D102">
        <f>"State license ("&amp;IF(LEN(INDEX('Providers'!$E$4:$E$503,99))=0,"",INDEX('Providers'!$E$4:$E$503,99))&amp;") – "&amp;IF(LEN(INDEX('Providers'!$A$4:$A$503,99))=0,"",INDEX('Providers'!$A$4:$A$503,99))</f>
        <v/>
      </c>
      <c r="E102">
        <f>IF(ISNUMBER(INDEX('Providers'!$G$4:$G$503,99)),TEXT(INDEX('Providers'!$G$4:$G$503,99),"yyyy-mm-dd"),"")</f>
        <v/>
      </c>
      <c r="F102">
        <f>"License"</f>
        <v/>
      </c>
      <c r="G102">
        <f>""</f>
        <v/>
      </c>
      <c r="H102">
        <f>"High"</f>
        <v/>
      </c>
      <c r="I102">
        <f>TRIM(IF(LEN(IF(LEN(INDEX('Providers'!$F$4:$F$503,99))=0,"",INDEX('Providers'!$F$4:$F$503,99)))=0,"","License no.: "&amp;IF(LEN(INDEX('Providers'!$F$4:$F$503,99))=0,"",INDEX('Providers'!$F$4:$F$503,99))&amp;". ")&amp;IF(LEN(IF(LEN(INDEX('Providers'!$C$4:$C$503,99))=0,"",INDEX('Providers'!$C$4:$C$503,99)))=0,"","NPI: "&amp;IF(LEN(INDEX('Providers'!$C$4:$C$503,99))=0,"",INDEX('Providers'!$C$4:$C$503,99))&amp;". ")&amp;IF(LEN(IF(LEN(INDEX('Providers'!$D$4:$D$503,99))=0,"",INDEX('Providers'!$D$4:$D$503,99)))=0,"","Specialty: "&amp;IF(LEN(INDEX('Providers'!$D$4:$D$503,99))=0,"",INDEX('Providers'!$D$4:$D$503,99))&amp;". ")&amp;IF(LEN(IF(LEN(INDEX('Providers'!$AK$4:$AK$503,99))=0,"",INDEX('Providers'!$AK$4:$AK$503,99)))=0,"",IF(LEN(INDEX('Providers'!$AK$4:$AK$503,99))=0,"",INDEX('Providers'!$AK$4:$AK$503,99))))</f>
        <v/>
      </c>
      <c r="J102">
        <f>IF(LEN(INDEX('Providers'!$AJ$4:$AJ$503,99))=0,"",INDEX('Providers'!$AJ$4:$AJ$503,99))</f>
        <v/>
      </c>
      <c r="K102">
        <f>IF(LEN(INDEX('Providers'!$AI$4:$AI$503,99))=0,"",INDEX('Providers'!$AI$4:$AI$503,99))</f>
        <v/>
      </c>
    </row>
    <row r="103">
      <c r="A103">
        <f>IF(AND(LEN('Providers'!A103)&gt;0,ISNUMBER('Providers'!G103)),1,0)</f>
        <v/>
      </c>
      <c r="B103">
        <f>B102+A103</f>
        <v/>
      </c>
      <c r="C103">
        <f>IF(100&gt;$B$4503,"",MATCH(100-0.5,$B$3:$B$4503,1))</f>
        <v/>
      </c>
      <c r="D103">
        <f>"State license ("&amp;IF(LEN(INDEX('Providers'!$E$4:$E$503,100))=0,"",INDEX('Providers'!$E$4:$E$503,100))&amp;") – "&amp;IF(LEN(INDEX('Providers'!$A$4:$A$503,100))=0,"",INDEX('Providers'!$A$4:$A$503,100))</f>
        <v/>
      </c>
      <c r="E103">
        <f>IF(ISNUMBER(INDEX('Providers'!$G$4:$G$503,100)),TEXT(INDEX('Providers'!$G$4:$G$503,100),"yyyy-mm-dd"),"")</f>
        <v/>
      </c>
      <c r="F103">
        <f>"License"</f>
        <v/>
      </c>
      <c r="G103">
        <f>""</f>
        <v/>
      </c>
      <c r="H103">
        <f>"High"</f>
        <v/>
      </c>
      <c r="I103">
        <f>TRIM(IF(LEN(IF(LEN(INDEX('Providers'!$F$4:$F$503,100))=0,"",INDEX('Providers'!$F$4:$F$503,100)))=0,"","License no.: "&amp;IF(LEN(INDEX('Providers'!$F$4:$F$503,100))=0,"",INDEX('Providers'!$F$4:$F$503,100))&amp;". ")&amp;IF(LEN(IF(LEN(INDEX('Providers'!$C$4:$C$503,100))=0,"",INDEX('Providers'!$C$4:$C$503,100)))=0,"","NPI: "&amp;IF(LEN(INDEX('Providers'!$C$4:$C$503,100))=0,"",INDEX('Providers'!$C$4:$C$503,100))&amp;". ")&amp;IF(LEN(IF(LEN(INDEX('Providers'!$D$4:$D$503,100))=0,"",INDEX('Providers'!$D$4:$D$503,100)))=0,"","Specialty: "&amp;IF(LEN(INDEX('Providers'!$D$4:$D$503,100))=0,"",INDEX('Providers'!$D$4:$D$503,100))&amp;". ")&amp;IF(LEN(IF(LEN(INDEX('Providers'!$AK$4:$AK$503,100))=0,"",INDEX('Providers'!$AK$4:$AK$503,100)))=0,"",IF(LEN(INDEX('Providers'!$AK$4:$AK$503,100))=0,"",INDEX('Providers'!$AK$4:$AK$503,100))))</f>
        <v/>
      </c>
      <c r="J103">
        <f>IF(LEN(INDEX('Providers'!$AJ$4:$AJ$503,100))=0,"",INDEX('Providers'!$AJ$4:$AJ$503,100))</f>
        <v/>
      </c>
      <c r="K103">
        <f>IF(LEN(INDEX('Providers'!$AI$4:$AI$503,100))=0,"",INDEX('Providers'!$AI$4:$AI$503,100))</f>
        <v/>
      </c>
    </row>
    <row r="104">
      <c r="A104">
        <f>IF(AND(LEN('Providers'!A104)&gt;0,ISNUMBER('Providers'!G104)),1,0)</f>
        <v/>
      </c>
      <c r="B104">
        <f>B103+A104</f>
        <v/>
      </c>
      <c r="C104">
        <f>IF(101&gt;$B$4503,"",MATCH(101-0.5,$B$3:$B$4503,1))</f>
        <v/>
      </c>
      <c r="D104">
        <f>"State license ("&amp;IF(LEN(INDEX('Providers'!$E$4:$E$503,101))=0,"",INDEX('Providers'!$E$4:$E$503,101))&amp;") – "&amp;IF(LEN(INDEX('Providers'!$A$4:$A$503,101))=0,"",INDEX('Providers'!$A$4:$A$503,101))</f>
        <v/>
      </c>
      <c r="E104">
        <f>IF(ISNUMBER(INDEX('Providers'!$G$4:$G$503,101)),TEXT(INDEX('Providers'!$G$4:$G$503,101),"yyyy-mm-dd"),"")</f>
        <v/>
      </c>
      <c r="F104">
        <f>"License"</f>
        <v/>
      </c>
      <c r="G104">
        <f>""</f>
        <v/>
      </c>
      <c r="H104">
        <f>"High"</f>
        <v/>
      </c>
      <c r="I104">
        <f>TRIM(IF(LEN(IF(LEN(INDEX('Providers'!$F$4:$F$503,101))=0,"",INDEX('Providers'!$F$4:$F$503,101)))=0,"","License no.: "&amp;IF(LEN(INDEX('Providers'!$F$4:$F$503,101))=0,"",INDEX('Providers'!$F$4:$F$503,101))&amp;". ")&amp;IF(LEN(IF(LEN(INDEX('Providers'!$C$4:$C$503,101))=0,"",INDEX('Providers'!$C$4:$C$503,101)))=0,"","NPI: "&amp;IF(LEN(INDEX('Providers'!$C$4:$C$503,101))=0,"",INDEX('Providers'!$C$4:$C$503,101))&amp;". ")&amp;IF(LEN(IF(LEN(INDEX('Providers'!$D$4:$D$503,101))=0,"",INDEX('Providers'!$D$4:$D$503,101)))=0,"","Specialty: "&amp;IF(LEN(INDEX('Providers'!$D$4:$D$503,101))=0,"",INDEX('Providers'!$D$4:$D$503,101))&amp;". ")&amp;IF(LEN(IF(LEN(INDEX('Providers'!$AK$4:$AK$503,101))=0,"",INDEX('Providers'!$AK$4:$AK$503,101)))=0,"",IF(LEN(INDEX('Providers'!$AK$4:$AK$503,101))=0,"",INDEX('Providers'!$AK$4:$AK$503,101))))</f>
        <v/>
      </c>
      <c r="J104">
        <f>IF(LEN(INDEX('Providers'!$AJ$4:$AJ$503,101))=0,"",INDEX('Providers'!$AJ$4:$AJ$503,101))</f>
        <v/>
      </c>
      <c r="K104">
        <f>IF(LEN(INDEX('Providers'!$AI$4:$AI$503,101))=0,"",INDEX('Providers'!$AI$4:$AI$503,101))</f>
        <v/>
      </c>
    </row>
    <row r="105">
      <c r="A105">
        <f>IF(AND(LEN('Providers'!A105)&gt;0,ISNUMBER('Providers'!G105)),1,0)</f>
        <v/>
      </c>
      <c r="B105">
        <f>B104+A105</f>
        <v/>
      </c>
      <c r="C105">
        <f>IF(102&gt;$B$4503,"",MATCH(102-0.5,$B$3:$B$4503,1))</f>
        <v/>
      </c>
      <c r="D105">
        <f>"State license ("&amp;IF(LEN(INDEX('Providers'!$E$4:$E$503,102))=0,"",INDEX('Providers'!$E$4:$E$503,102))&amp;") – "&amp;IF(LEN(INDEX('Providers'!$A$4:$A$503,102))=0,"",INDEX('Providers'!$A$4:$A$503,102))</f>
        <v/>
      </c>
      <c r="E105">
        <f>IF(ISNUMBER(INDEX('Providers'!$G$4:$G$503,102)),TEXT(INDEX('Providers'!$G$4:$G$503,102),"yyyy-mm-dd"),"")</f>
        <v/>
      </c>
      <c r="F105">
        <f>"License"</f>
        <v/>
      </c>
      <c r="G105">
        <f>""</f>
        <v/>
      </c>
      <c r="H105">
        <f>"High"</f>
        <v/>
      </c>
      <c r="I105">
        <f>TRIM(IF(LEN(IF(LEN(INDEX('Providers'!$F$4:$F$503,102))=0,"",INDEX('Providers'!$F$4:$F$503,102)))=0,"","License no.: "&amp;IF(LEN(INDEX('Providers'!$F$4:$F$503,102))=0,"",INDEX('Providers'!$F$4:$F$503,102))&amp;". ")&amp;IF(LEN(IF(LEN(INDEX('Providers'!$C$4:$C$503,102))=0,"",INDEX('Providers'!$C$4:$C$503,102)))=0,"","NPI: "&amp;IF(LEN(INDEX('Providers'!$C$4:$C$503,102))=0,"",INDEX('Providers'!$C$4:$C$503,102))&amp;". ")&amp;IF(LEN(IF(LEN(INDEX('Providers'!$D$4:$D$503,102))=0,"",INDEX('Providers'!$D$4:$D$503,102)))=0,"","Specialty: "&amp;IF(LEN(INDEX('Providers'!$D$4:$D$503,102))=0,"",INDEX('Providers'!$D$4:$D$503,102))&amp;". ")&amp;IF(LEN(IF(LEN(INDEX('Providers'!$AK$4:$AK$503,102))=0,"",INDEX('Providers'!$AK$4:$AK$503,102)))=0,"",IF(LEN(INDEX('Providers'!$AK$4:$AK$503,102))=0,"",INDEX('Providers'!$AK$4:$AK$503,102))))</f>
        <v/>
      </c>
      <c r="J105">
        <f>IF(LEN(INDEX('Providers'!$AJ$4:$AJ$503,102))=0,"",INDEX('Providers'!$AJ$4:$AJ$503,102))</f>
        <v/>
      </c>
      <c r="K105">
        <f>IF(LEN(INDEX('Providers'!$AI$4:$AI$503,102))=0,"",INDEX('Providers'!$AI$4:$AI$503,102))</f>
        <v/>
      </c>
    </row>
    <row r="106">
      <c r="A106">
        <f>IF(AND(LEN('Providers'!A106)&gt;0,ISNUMBER('Providers'!G106)),1,0)</f>
        <v/>
      </c>
      <c r="B106">
        <f>B105+A106</f>
        <v/>
      </c>
      <c r="C106">
        <f>IF(103&gt;$B$4503,"",MATCH(103-0.5,$B$3:$B$4503,1))</f>
        <v/>
      </c>
      <c r="D106">
        <f>"State license ("&amp;IF(LEN(INDEX('Providers'!$E$4:$E$503,103))=0,"",INDEX('Providers'!$E$4:$E$503,103))&amp;") – "&amp;IF(LEN(INDEX('Providers'!$A$4:$A$503,103))=0,"",INDEX('Providers'!$A$4:$A$503,103))</f>
        <v/>
      </c>
      <c r="E106">
        <f>IF(ISNUMBER(INDEX('Providers'!$G$4:$G$503,103)),TEXT(INDEX('Providers'!$G$4:$G$503,103),"yyyy-mm-dd"),"")</f>
        <v/>
      </c>
      <c r="F106">
        <f>"License"</f>
        <v/>
      </c>
      <c r="G106">
        <f>""</f>
        <v/>
      </c>
      <c r="H106">
        <f>"High"</f>
        <v/>
      </c>
      <c r="I106">
        <f>TRIM(IF(LEN(IF(LEN(INDEX('Providers'!$F$4:$F$503,103))=0,"",INDEX('Providers'!$F$4:$F$503,103)))=0,"","License no.: "&amp;IF(LEN(INDEX('Providers'!$F$4:$F$503,103))=0,"",INDEX('Providers'!$F$4:$F$503,103))&amp;". ")&amp;IF(LEN(IF(LEN(INDEX('Providers'!$C$4:$C$503,103))=0,"",INDEX('Providers'!$C$4:$C$503,103)))=0,"","NPI: "&amp;IF(LEN(INDEX('Providers'!$C$4:$C$503,103))=0,"",INDEX('Providers'!$C$4:$C$503,103))&amp;". ")&amp;IF(LEN(IF(LEN(INDEX('Providers'!$D$4:$D$503,103))=0,"",INDEX('Providers'!$D$4:$D$503,103)))=0,"","Specialty: "&amp;IF(LEN(INDEX('Providers'!$D$4:$D$503,103))=0,"",INDEX('Providers'!$D$4:$D$503,103))&amp;". ")&amp;IF(LEN(IF(LEN(INDEX('Providers'!$AK$4:$AK$503,103))=0,"",INDEX('Providers'!$AK$4:$AK$503,103)))=0,"",IF(LEN(INDEX('Providers'!$AK$4:$AK$503,103))=0,"",INDEX('Providers'!$AK$4:$AK$503,103))))</f>
        <v/>
      </c>
      <c r="J106">
        <f>IF(LEN(INDEX('Providers'!$AJ$4:$AJ$503,103))=0,"",INDEX('Providers'!$AJ$4:$AJ$503,103))</f>
        <v/>
      </c>
      <c r="K106">
        <f>IF(LEN(INDEX('Providers'!$AI$4:$AI$503,103))=0,"",INDEX('Providers'!$AI$4:$AI$503,103))</f>
        <v/>
      </c>
    </row>
    <row r="107">
      <c r="A107">
        <f>IF(AND(LEN('Providers'!A107)&gt;0,ISNUMBER('Providers'!G107)),1,0)</f>
        <v/>
      </c>
      <c r="B107">
        <f>B106+A107</f>
        <v/>
      </c>
      <c r="C107">
        <f>IF(104&gt;$B$4503,"",MATCH(104-0.5,$B$3:$B$4503,1))</f>
        <v/>
      </c>
      <c r="D107">
        <f>"State license ("&amp;IF(LEN(INDEX('Providers'!$E$4:$E$503,104))=0,"",INDEX('Providers'!$E$4:$E$503,104))&amp;") – "&amp;IF(LEN(INDEX('Providers'!$A$4:$A$503,104))=0,"",INDEX('Providers'!$A$4:$A$503,104))</f>
        <v/>
      </c>
      <c r="E107">
        <f>IF(ISNUMBER(INDEX('Providers'!$G$4:$G$503,104)),TEXT(INDEX('Providers'!$G$4:$G$503,104),"yyyy-mm-dd"),"")</f>
        <v/>
      </c>
      <c r="F107">
        <f>"License"</f>
        <v/>
      </c>
      <c r="G107">
        <f>""</f>
        <v/>
      </c>
      <c r="H107">
        <f>"High"</f>
        <v/>
      </c>
      <c r="I107">
        <f>TRIM(IF(LEN(IF(LEN(INDEX('Providers'!$F$4:$F$503,104))=0,"",INDEX('Providers'!$F$4:$F$503,104)))=0,"","License no.: "&amp;IF(LEN(INDEX('Providers'!$F$4:$F$503,104))=0,"",INDEX('Providers'!$F$4:$F$503,104))&amp;". ")&amp;IF(LEN(IF(LEN(INDEX('Providers'!$C$4:$C$503,104))=0,"",INDEX('Providers'!$C$4:$C$503,104)))=0,"","NPI: "&amp;IF(LEN(INDEX('Providers'!$C$4:$C$503,104))=0,"",INDEX('Providers'!$C$4:$C$503,104))&amp;". ")&amp;IF(LEN(IF(LEN(INDEX('Providers'!$D$4:$D$503,104))=0,"",INDEX('Providers'!$D$4:$D$503,104)))=0,"","Specialty: "&amp;IF(LEN(INDEX('Providers'!$D$4:$D$503,104))=0,"",INDEX('Providers'!$D$4:$D$503,104))&amp;". ")&amp;IF(LEN(IF(LEN(INDEX('Providers'!$AK$4:$AK$503,104))=0,"",INDEX('Providers'!$AK$4:$AK$503,104)))=0,"",IF(LEN(INDEX('Providers'!$AK$4:$AK$503,104))=0,"",INDEX('Providers'!$AK$4:$AK$503,104))))</f>
        <v/>
      </c>
      <c r="J107">
        <f>IF(LEN(INDEX('Providers'!$AJ$4:$AJ$503,104))=0,"",INDEX('Providers'!$AJ$4:$AJ$503,104))</f>
        <v/>
      </c>
      <c r="K107">
        <f>IF(LEN(INDEX('Providers'!$AI$4:$AI$503,104))=0,"",INDEX('Providers'!$AI$4:$AI$503,104))</f>
        <v/>
      </c>
    </row>
    <row r="108">
      <c r="A108">
        <f>IF(AND(LEN('Providers'!A108)&gt;0,ISNUMBER('Providers'!G108)),1,0)</f>
        <v/>
      </c>
      <c r="B108">
        <f>B107+A108</f>
        <v/>
      </c>
      <c r="C108">
        <f>IF(105&gt;$B$4503,"",MATCH(105-0.5,$B$3:$B$4503,1))</f>
        <v/>
      </c>
      <c r="D108">
        <f>"State license ("&amp;IF(LEN(INDEX('Providers'!$E$4:$E$503,105))=0,"",INDEX('Providers'!$E$4:$E$503,105))&amp;") – "&amp;IF(LEN(INDEX('Providers'!$A$4:$A$503,105))=0,"",INDEX('Providers'!$A$4:$A$503,105))</f>
        <v/>
      </c>
      <c r="E108">
        <f>IF(ISNUMBER(INDEX('Providers'!$G$4:$G$503,105)),TEXT(INDEX('Providers'!$G$4:$G$503,105),"yyyy-mm-dd"),"")</f>
        <v/>
      </c>
      <c r="F108">
        <f>"License"</f>
        <v/>
      </c>
      <c r="G108">
        <f>""</f>
        <v/>
      </c>
      <c r="H108">
        <f>"High"</f>
        <v/>
      </c>
      <c r="I108">
        <f>TRIM(IF(LEN(IF(LEN(INDEX('Providers'!$F$4:$F$503,105))=0,"",INDEX('Providers'!$F$4:$F$503,105)))=0,"","License no.: "&amp;IF(LEN(INDEX('Providers'!$F$4:$F$503,105))=0,"",INDEX('Providers'!$F$4:$F$503,105))&amp;". ")&amp;IF(LEN(IF(LEN(INDEX('Providers'!$C$4:$C$503,105))=0,"",INDEX('Providers'!$C$4:$C$503,105)))=0,"","NPI: "&amp;IF(LEN(INDEX('Providers'!$C$4:$C$503,105))=0,"",INDEX('Providers'!$C$4:$C$503,105))&amp;". ")&amp;IF(LEN(IF(LEN(INDEX('Providers'!$D$4:$D$503,105))=0,"",INDEX('Providers'!$D$4:$D$503,105)))=0,"","Specialty: "&amp;IF(LEN(INDEX('Providers'!$D$4:$D$503,105))=0,"",INDEX('Providers'!$D$4:$D$503,105))&amp;". ")&amp;IF(LEN(IF(LEN(INDEX('Providers'!$AK$4:$AK$503,105))=0,"",INDEX('Providers'!$AK$4:$AK$503,105)))=0,"",IF(LEN(INDEX('Providers'!$AK$4:$AK$503,105))=0,"",INDEX('Providers'!$AK$4:$AK$503,105))))</f>
        <v/>
      </c>
      <c r="J108">
        <f>IF(LEN(INDEX('Providers'!$AJ$4:$AJ$503,105))=0,"",INDEX('Providers'!$AJ$4:$AJ$503,105))</f>
        <v/>
      </c>
      <c r="K108">
        <f>IF(LEN(INDEX('Providers'!$AI$4:$AI$503,105))=0,"",INDEX('Providers'!$AI$4:$AI$503,105))</f>
        <v/>
      </c>
    </row>
    <row r="109">
      <c r="A109">
        <f>IF(AND(LEN('Providers'!A109)&gt;0,ISNUMBER('Providers'!G109)),1,0)</f>
        <v/>
      </c>
      <c r="B109">
        <f>B108+A109</f>
        <v/>
      </c>
      <c r="C109">
        <f>IF(106&gt;$B$4503,"",MATCH(106-0.5,$B$3:$B$4503,1))</f>
        <v/>
      </c>
      <c r="D109">
        <f>"State license ("&amp;IF(LEN(INDEX('Providers'!$E$4:$E$503,106))=0,"",INDEX('Providers'!$E$4:$E$503,106))&amp;") – "&amp;IF(LEN(INDEX('Providers'!$A$4:$A$503,106))=0,"",INDEX('Providers'!$A$4:$A$503,106))</f>
        <v/>
      </c>
      <c r="E109">
        <f>IF(ISNUMBER(INDEX('Providers'!$G$4:$G$503,106)),TEXT(INDEX('Providers'!$G$4:$G$503,106),"yyyy-mm-dd"),"")</f>
        <v/>
      </c>
      <c r="F109">
        <f>"License"</f>
        <v/>
      </c>
      <c r="G109">
        <f>""</f>
        <v/>
      </c>
      <c r="H109">
        <f>"High"</f>
        <v/>
      </c>
      <c r="I109">
        <f>TRIM(IF(LEN(IF(LEN(INDEX('Providers'!$F$4:$F$503,106))=0,"",INDEX('Providers'!$F$4:$F$503,106)))=0,"","License no.: "&amp;IF(LEN(INDEX('Providers'!$F$4:$F$503,106))=0,"",INDEX('Providers'!$F$4:$F$503,106))&amp;". ")&amp;IF(LEN(IF(LEN(INDEX('Providers'!$C$4:$C$503,106))=0,"",INDEX('Providers'!$C$4:$C$503,106)))=0,"","NPI: "&amp;IF(LEN(INDEX('Providers'!$C$4:$C$503,106))=0,"",INDEX('Providers'!$C$4:$C$503,106))&amp;". ")&amp;IF(LEN(IF(LEN(INDEX('Providers'!$D$4:$D$503,106))=0,"",INDEX('Providers'!$D$4:$D$503,106)))=0,"","Specialty: "&amp;IF(LEN(INDEX('Providers'!$D$4:$D$503,106))=0,"",INDEX('Providers'!$D$4:$D$503,106))&amp;". ")&amp;IF(LEN(IF(LEN(INDEX('Providers'!$AK$4:$AK$503,106))=0,"",INDEX('Providers'!$AK$4:$AK$503,106)))=0,"",IF(LEN(INDEX('Providers'!$AK$4:$AK$503,106))=0,"",INDEX('Providers'!$AK$4:$AK$503,106))))</f>
        <v/>
      </c>
      <c r="J109">
        <f>IF(LEN(INDEX('Providers'!$AJ$4:$AJ$503,106))=0,"",INDEX('Providers'!$AJ$4:$AJ$503,106))</f>
        <v/>
      </c>
      <c r="K109">
        <f>IF(LEN(INDEX('Providers'!$AI$4:$AI$503,106))=0,"",INDEX('Providers'!$AI$4:$AI$503,106))</f>
        <v/>
      </c>
    </row>
    <row r="110">
      <c r="A110">
        <f>IF(AND(LEN('Providers'!A110)&gt;0,ISNUMBER('Providers'!G110)),1,0)</f>
        <v/>
      </c>
      <c r="B110">
        <f>B109+A110</f>
        <v/>
      </c>
      <c r="C110">
        <f>IF(107&gt;$B$4503,"",MATCH(107-0.5,$B$3:$B$4503,1))</f>
        <v/>
      </c>
      <c r="D110">
        <f>"State license ("&amp;IF(LEN(INDEX('Providers'!$E$4:$E$503,107))=0,"",INDEX('Providers'!$E$4:$E$503,107))&amp;") – "&amp;IF(LEN(INDEX('Providers'!$A$4:$A$503,107))=0,"",INDEX('Providers'!$A$4:$A$503,107))</f>
        <v/>
      </c>
      <c r="E110">
        <f>IF(ISNUMBER(INDEX('Providers'!$G$4:$G$503,107)),TEXT(INDEX('Providers'!$G$4:$G$503,107),"yyyy-mm-dd"),"")</f>
        <v/>
      </c>
      <c r="F110">
        <f>"License"</f>
        <v/>
      </c>
      <c r="G110">
        <f>""</f>
        <v/>
      </c>
      <c r="H110">
        <f>"High"</f>
        <v/>
      </c>
      <c r="I110">
        <f>TRIM(IF(LEN(IF(LEN(INDEX('Providers'!$F$4:$F$503,107))=0,"",INDEX('Providers'!$F$4:$F$503,107)))=0,"","License no.: "&amp;IF(LEN(INDEX('Providers'!$F$4:$F$503,107))=0,"",INDEX('Providers'!$F$4:$F$503,107))&amp;". ")&amp;IF(LEN(IF(LEN(INDEX('Providers'!$C$4:$C$503,107))=0,"",INDEX('Providers'!$C$4:$C$503,107)))=0,"","NPI: "&amp;IF(LEN(INDEX('Providers'!$C$4:$C$503,107))=0,"",INDEX('Providers'!$C$4:$C$503,107))&amp;". ")&amp;IF(LEN(IF(LEN(INDEX('Providers'!$D$4:$D$503,107))=0,"",INDEX('Providers'!$D$4:$D$503,107)))=0,"","Specialty: "&amp;IF(LEN(INDEX('Providers'!$D$4:$D$503,107))=0,"",INDEX('Providers'!$D$4:$D$503,107))&amp;". ")&amp;IF(LEN(IF(LEN(INDEX('Providers'!$AK$4:$AK$503,107))=0,"",INDEX('Providers'!$AK$4:$AK$503,107)))=0,"",IF(LEN(INDEX('Providers'!$AK$4:$AK$503,107))=0,"",INDEX('Providers'!$AK$4:$AK$503,107))))</f>
        <v/>
      </c>
      <c r="J110">
        <f>IF(LEN(INDEX('Providers'!$AJ$4:$AJ$503,107))=0,"",INDEX('Providers'!$AJ$4:$AJ$503,107))</f>
        <v/>
      </c>
      <c r="K110">
        <f>IF(LEN(INDEX('Providers'!$AI$4:$AI$503,107))=0,"",INDEX('Providers'!$AI$4:$AI$503,107))</f>
        <v/>
      </c>
    </row>
    <row r="111">
      <c r="A111">
        <f>IF(AND(LEN('Providers'!A111)&gt;0,ISNUMBER('Providers'!G111)),1,0)</f>
        <v/>
      </c>
      <c r="B111">
        <f>B110+A111</f>
        <v/>
      </c>
      <c r="C111">
        <f>IF(108&gt;$B$4503,"",MATCH(108-0.5,$B$3:$B$4503,1))</f>
        <v/>
      </c>
      <c r="D111">
        <f>"State license ("&amp;IF(LEN(INDEX('Providers'!$E$4:$E$503,108))=0,"",INDEX('Providers'!$E$4:$E$503,108))&amp;") – "&amp;IF(LEN(INDEX('Providers'!$A$4:$A$503,108))=0,"",INDEX('Providers'!$A$4:$A$503,108))</f>
        <v/>
      </c>
      <c r="E111">
        <f>IF(ISNUMBER(INDEX('Providers'!$G$4:$G$503,108)),TEXT(INDEX('Providers'!$G$4:$G$503,108),"yyyy-mm-dd"),"")</f>
        <v/>
      </c>
      <c r="F111">
        <f>"License"</f>
        <v/>
      </c>
      <c r="G111">
        <f>""</f>
        <v/>
      </c>
      <c r="H111">
        <f>"High"</f>
        <v/>
      </c>
      <c r="I111">
        <f>TRIM(IF(LEN(IF(LEN(INDEX('Providers'!$F$4:$F$503,108))=0,"",INDEX('Providers'!$F$4:$F$503,108)))=0,"","License no.: "&amp;IF(LEN(INDEX('Providers'!$F$4:$F$503,108))=0,"",INDEX('Providers'!$F$4:$F$503,108))&amp;". ")&amp;IF(LEN(IF(LEN(INDEX('Providers'!$C$4:$C$503,108))=0,"",INDEX('Providers'!$C$4:$C$503,108)))=0,"","NPI: "&amp;IF(LEN(INDEX('Providers'!$C$4:$C$503,108))=0,"",INDEX('Providers'!$C$4:$C$503,108))&amp;". ")&amp;IF(LEN(IF(LEN(INDEX('Providers'!$D$4:$D$503,108))=0,"",INDEX('Providers'!$D$4:$D$503,108)))=0,"","Specialty: "&amp;IF(LEN(INDEX('Providers'!$D$4:$D$503,108))=0,"",INDEX('Providers'!$D$4:$D$503,108))&amp;". ")&amp;IF(LEN(IF(LEN(INDEX('Providers'!$AK$4:$AK$503,108))=0,"",INDEX('Providers'!$AK$4:$AK$503,108)))=0,"",IF(LEN(INDEX('Providers'!$AK$4:$AK$503,108))=0,"",INDEX('Providers'!$AK$4:$AK$503,108))))</f>
        <v/>
      </c>
      <c r="J111">
        <f>IF(LEN(INDEX('Providers'!$AJ$4:$AJ$503,108))=0,"",INDEX('Providers'!$AJ$4:$AJ$503,108))</f>
        <v/>
      </c>
      <c r="K111">
        <f>IF(LEN(INDEX('Providers'!$AI$4:$AI$503,108))=0,"",INDEX('Providers'!$AI$4:$AI$503,108))</f>
        <v/>
      </c>
    </row>
    <row r="112">
      <c r="A112">
        <f>IF(AND(LEN('Providers'!A112)&gt;0,ISNUMBER('Providers'!G112)),1,0)</f>
        <v/>
      </c>
      <c r="B112">
        <f>B111+A112</f>
        <v/>
      </c>
      <c r="C112">
        <f>IF(109&gt;$B$4503,"",MATCH(109-0.5,$B$3:$B$4503,1))</f>
        <v/>
      </c>
      <c r="D112">
        <f>"State license ("&amp;IF(LEN(INDEX('Providers'!$E$4:$E$503,109))=0,"",INDEX('Providers'!$E$4:$E$503,109))&amp;") – "&amp;IF(LEN(INDEX('Providers'!$A$4:$A$503,109))=0,"",INDEX('Providers'!$A$4:$A$503,109))</f>
        <v/>
      </c>
      <c r="E112">
        <f>IF(ISNUMBER(INDEX('Providers'!$G$4:$G$503,109)),TEXT(INDEX('Providers'!$G$4:$G$503,109),"yyyy-mm-dd"),"")</f>
        <v/>
      </c>
      <c r="F112">
        <f>"License"</f>
        <v/>
      </c>
      <c r="G112">
        <f>""</f>
        <v/>
      </c>
      <c r="H112">
        <f>"High"</f>
        <v/>
      </c>
      <c r="I112">
        <f>TRIM(IF(LEN(IF(LEN(INDEX('Providers'!$F$4:$F$503,109))=0,"",INDEX('Providers'!$F$4:$F$503,109)))=0,"","License no.: "&amp;IF(LEN(INDEX('Providers'!$F$4:$F$503,109))=0,"",INDEX('Providers'!$F$4:$F$503,109))&amp;". ")&amp;IF(LEN(IF(LEN(INDEX('Providers'!$C$4:$C$503,109))=0,"",INDEX('Providers'!$C$4:$C$503,109)))=0,"","NPI: "&amp;IF(LEN(INDEX('Providers'!$C$4:$C$503,109))=0,"",INDEX('Providers'!$C$4:$C$503,109))&amp;". ")&amp;IF(LEN(IF(LEN(INDEX('Providers'!$D$4:$D$503,109))=0,"",INDEX('Providers'!$D$4:$D$503,109)))=0,"","Specialty: "&amp;IF(LEN(INDEX('Providers'!$D$4:$D$503,109))=0,"",INDEX('Providers'!$D$4:$D$503,109))&amp;". ")&amp;IF(LEN(IF(LEN(INDEX('Providers'!$AK$4:$AK$503,109))=0,"",INDEX('Providers'!$AK$4:$AK$503,109)))=0,"",IF(LEN(INDEX('Providers'!$AK$4:$AK$503,109))=0,"",INDEX('Providers'!$AK$4:$AK$503,109))))</f>
        <v/>
      </c>
      <c r="J112">
        <f>IF(LEN(INDEX('Providers'!$AJ$4:$AJ$503,109))=0,"",INDEX('Providers'!$AJ$4:$AJ$503,109))</f>
        <v/>
      </c>
      <c r="K112">
        <f>IF(LEN(INDEX('Providers'!$AI$4:$AI$503,109))=0,"",INDEX('Providers'!$AI$4:$AI$503,109))</f>
        <v/>
      </c>
    </row>
    <row r="113">
      <c r="A113">
        <f>IF(AND(LEN('Providers'!A113)&gt;0,ISNUMBER('Providers'!G113)),1,0)</f>
        <v/>
      </c>
      <c r="B113">
        <f>B112+A113</f>
        <v/>
      </c>
      <c r="C113">
        <f>IF(110&gt;$B$4503,"",MATCH(110-0.5,$B$3:$B$4503,1))</f>
        <v/>
      </c>
      <c r="D113">
        <f>"State license ("&amp;IF(LEN(INDEX('Providers'!$E$4:$E$503,110))=0,"",INDEX('Providers'!$E$4:$E$503,110))&amp;") – "&amp;IF(LEN(INDEX('Providers'!$A$4:$A$503,110))=0,"",INDEX('Providers'!$A$4:$A$503,110))</f>
        <v/>
      </c>
      <c r="E113">
        <f>IF(ISNUMBER(INDEX('Providers'!$G$4:$G$503,110)),TEXT(INDEX('Providers'!$G$4:$G$503,110),"yyyy-mm-dd"),"")</f>
        <v/>
      </c>
      <c r="F113">
        <f>"License"</f>
        <v/>
      </c>
      <c r="G113">
        <f>""</f>
        <v/>
      </c>
      <c r="H113">
        <f>"High"</f>
        <v/>
      </c>
      <c r="I113">
        <f>TRIM(IF(LEN(IF(LEN(INDEX('Providers'!$F$4:$F$503,110))=0,"",INDEX('Providers'!$F$4:$F$503,110)))=0,"","License no.: "&amp;IF(LEN(INDEX('Providers'!$F$4:$F$503,110))=0,"",INDEX('Providers'!$F$4:$F$503,110))&amp;". ")&amp;IF(LEN(IF(LEN(INDEX('Providers'!$C$4:$C$503,110))=0,"",INDEX('Providers'!$C$4:$C$503,110)))=0,"","NPI: "&amp;IF(LEN(INDEX('Providers'!$C$4:$C$503,110))=0,"",INDEX('Providers'!$C$4:$C$503,110))&amp;". ")&amp;IF(LEN(IF(LEN(INDEX('Providers'!$D$4:$D$503,110))=0,"",INDEX('Providers'!$D$4:$D$503,110)))=0,"","Specialty: "&amp;IF(LEN(INDEX('Providers'!$D$4:$D$503,110))=0,"",INDEX('Providers'!$D$4:$D$503,110))&amp;". ")&amp;IF(LEN(IF(LEN(INDEX('Providers'!$AK$4:$AK$503,110))=0,"",INDEX('Providers'!$AK$4:$AK$503,110)))=0,"",IF(LEN(INDEX('Providers'!$AK$4:$AK$503,110))=0,"",INDEX('Providers'!$AK$4:$AK$503,110))))</f>
        <v/>
      </c>
      <c r="J113">
        <f>IF(LEN(INDEX('Providers'!$AJ$4:$AJ$503,110))=0,"",INDEX('Providers'!$AJ$4:$AJ$503,110))</f>
        <v/>
      </c>
      <c r="K113">
        <f>IF(LEN(INDEX('Providers'!$AI$4:$AI$503,110))=0,"",INDEX('Providers'!$AI$4:$AI$503,110))</f>
        <v/>
      </c>
    </row>
    <row r="114">
      <c r="A114">
        <f>IF(AND(LEN('Providers'!A114)&gt;0,ISNUMBER('Providers'!G114)),1,0)</f>
        <v/>
      </c>
      <c r="B114">
        <f>B113+A114</f>
        <v/>
      </c>
      <c r="C114">
        <f>IF(111&gt;$B$4503,"",MATCH(111-0.5,$B$3:$B$4503,1))</f>
        <v/>
      </c>
      <c r="D114">
        <f>"State license ("&amp;IF(LEN(INDEX('Providers'!$E$4:$E$503,111))=0,"",INDEX('Providers'!$E$4:$E$503,111))&amp;") – "&amp;IF(LEN(INDEX('Providers'!$A$4:$A$503,111))=0,"",INDEX('Providers'!$A$4:$A$503,111))</f>
        <v/>
      </c>
      <c r="E114">
        <f>IF(ISNUMBER(INDEX('Providers'!$G$4:$G$503,111)),TEXT(INDEX('Providers'!$G$4:$G$503,111),"yyyy-mm-dd"),"")</f>
        <v/>
      </c>
      <c r="F114">
        <f>"License"</f>
        <v/>
      </c>
      <c r="G114">
        <f>""</f>
        <v/>
      </c>
      <c r="H114">
        <f>"High"</f>
        <v/>
      </c>
      <c r="I114">
        <f>TRIM(IF(LEN(IF(LEN(INDEX('Providers'!$F$4:$F$503,111))=0,"",INDEX('Providers'!$F$4:$F$503,111)))=0,"","License no.: "&amp;IF(LEN(INDEX('Providers'!$F$4:$F$503,111))=0,"",INDEX('Providers'!$F$4:$F$503,111))&amp;". ")&amp;IF(LEN(IF(LEN(INDEX('Providers'!$C$4:$C$503,111))=0,"",INDEX('Providers'!$C$4:$C$503,111)))=0,"","NPI: "&amp;IF(LEN(INDEX('Providers'!$C$4:$C$503,111))=0,"",INDEX('Providers'!$C$4:$C$503,111))&amp;". ")&amp;IF(LEN(IF(LEN(INDEX('Providers'!$D$4:$D$503,111))=0,"",INDEX('Providers'!$D$4:$D$503,111)))=0,"","Specialty: "&amp;IF(LEN(INDEX('Providers'!$D$4:$D$503,111))=0,"",INDEX('Providers'!$D$4:$D$503,111))&amp;". ")&amp;IF(LEN(IF(LEN(INDEX('Providers'!$AK$4:$AK$503,111))=0,"",INDEX('Providers'!$AK$4:$AK$503,111)))=0,"",IF(LEN(INDEX('Providers'!$AK$4:$AK$503,111))=0,"",INDEX('Providers'!$AK$4:$AK$503,111))))</f>
        <v/>
      </c>
      <c r="J114">
        <f>IF(LEN(INDEX('Providers'!$AJ$4:$AJ$503,111))=0,"",INDEX('Providers'!$AJ$4:$AJ$503,111))</f>
        <v/>
      </c>
      <c r="K114">
        <f>IF(LEN(INDEX('Providers'!$AI$4:$AI$503,111))=0,"",INDEX('Providers'!$AI$4:$AI$503,111))</f>
        <v/>
      </c>
    </row>
    <row r="115">
      <c r="A115">
        <f>IF(AND(LEN('Providers'!A115)&gt;0,ISNUMBER('Providers'!G115)),1,0)</f>
        <v/>
      </c>
      <c r="B115">
        <f>B114+A115</f>
        <v/>
      </c>
      <c r="C115">
        <f>IF(112&gt;$B$4503,"",MATCH(112-0.5,$B$3:$B$4503,1))</f>
        <v/>
      </c>
      <c r="D115">
        <f>"State license ("&amp;IF(LEN(INDEX('Providers'!$E$4:$E$503,112))=0,"",INDEX('Providers'!$E$4:$E$503,112))&amp;") – "&amp;IF(LEN(INDEX('Providers'!$A$4:$A$503,112))=0,"",INDEX('Providers'!$A$4:$A$503,112))</f>
        <v/>
      </c>
      <c r="E115">
        <f>IF(ISNUMBER(INDEX('Providers'!$G$4:$G$503,112)),TEXT(INDEX('Providers'!$G$4:$G$503,112),"yyyy-mm-dd"),"")</f>
        <v/>
      </c>
      <c r="F115">
        <f>"License"</f>
        <v/>
      </c>
      <c r="G115">
        <f>""</f>
        <v/>
      </c>
      <c r="H115">
        <f>"High"</f>
        <v/>
      </c>
      <c r="I115">
        <f>TRIM(IF(LEN(IF(LEN(INDEX('Providers'!$F$4:$F$503,112))=0,"",INDEX('Providers'!$F$4:$F$503,112)))=0,"","License no.: "&amp;IF(LEN(INDEX('Providers'!$F$4:$F$503,112))=0,"",INDEX('Providers'!$F$4:$F$503,112))&amp;". ")&amp;IF(LEN(IF(LEN(INDEX('Providers'!$C$4:$C$503,112))=0,"",INDEX('Providers'!$C$4:$C$503,112)))=0,"","NPI: "&amp;IF(LEN(INDEX('Providers'!$C$4:$C$503,112))=0,"",INDEX('Providers'!$C$4:$C$503,112))&amp;". ")&amp;IF(LEN(IF(LEN(INDEX('Providers'!$D$4:$D$503,112))=0,"",INDEX('Providers'!$D$4:$D$503,112)))=0,"","Specialty: "&amp;IF(LEN(INDEX('Providers'!$D$4:$D$503,112))=0,"",INDEX('Providers'!$D$4:$D$503,112))&amp;". ")&amp;IF(LEN(IF(LEN(INDEX('Providers'!$AK$4:$AK$503,112))=0,"",INDEX('Providers'!$AK$4:$AK$503,112)))=0,"",IF(LEN(INDEX('Providers'!$AK$4:$AK$503,112))=0,"",INDEX('Providers'!$AK$4:$AK$503,112))))</f>
        <v/>
      </c>
      <c r="J115">
        <f>IF(LEN(INDEX('Providers'!$AJ$4:$AJ$503,112))=0,"",INDEX('Providers'!$AJ$4:$AJ$503,112))</f>
        <v/>
      </c>
      <c r="K115">
        <f>IF(LEN(INDEX('Providers'!$AI$4:$AI$503,112))=0,"",INDEX('Providers'!$AI$4:$AI$503,112))</f>
        <v/>
      </c>
    </row>
    <row r="116">
      <c r="A116">
        <f>IF(AND(LEN('Providers'!A116)&gt;0,ISNUMBER('Providers'!G116)),1,0)</f>
        <v/>
      </c>
      <c r="B116">
        <f>B115+A116</f>
        <v/>
      </c>
      <c r="C116">
        <f>IF(113&gt;$B$4503,"",MATCH(113-0.5,$B$3:$B$4503,1))</f>
        <v/>
      </c>
      <c r="D116">
        <f>"State license ("&amp;IF(LEN(INDEX('Providers'!$E$4:$E$503,113))=0,"",INDEX('Providers'!$E$4:$E$503,113))&amp;") – "&amp;IF(LEN(INDEX('Providers'!$A$4:$A$503,113))=0,"",INDEX('Providers'!$A$4:$A$503,113))</f>
        <v/>
      </c>
      <c r="E116">
        <f>IF(ISNUMBER(INDEX('Providers'!$G$4:$G$503,113)),TEXT(INDEX('Providers'!$G$4:$G$503,113),"yyyy-mm-dd"),"")</f>
        <v/>
      </c>
      <c r="F116">
        <f>"License"</f>
        <v/>
      </c>
      <c r="G116">
        <f>""</f>
        <v/>
      </c>
      <c r="H116">
        <f>"High"</f>
        <v/>
      </c>
      <c r="I116">
        <f>TRIM(IF(LEN(IF(LEN(INDEX('Providers'!$F$4:$F$503,113))=0,"",INDEX('Providers'!$F$4:$F$503,113)))=0,"","License no.: "&amp;IF(LEN(INDEX('Providers'!$F$4:$F$503,113))=0,"",INDEX('Providers'!$F$4:$F$503,113))&amp;". ")&amp;IF(LEN(IF(LEN(INDEX('Providers'!$C$4:$C$503,113))=0,"",INDEX('Providers'!$C$4:$C$503,113)))=0,"","NPI: "&amp;IF(LEN(INDEX('Providers'!$C$4:$C$503,113))=0,"",INDEX('Providers'!$C$4:$C$503,113))&amp;". ")&amp;IF(LEN(IF(LEN(INDEX('Providers'!$D$4:$D$503,113))=0,"",INDEX('Providers'!$D$4:$D$503,113)))=0,"","Specialty: "&amp;IF(LEN(INDEX('Providers'!$D$4:$D$503,113))=0,"",INDEX('Providers'!$D$4:$D$503,113))&amp;". ")&amp;IF(LEN(IF(LEN(INDEX('Providers'!$AK$4:$AK$503,113))=0,"",INDEX('Providers'!$AK$4:$AK$503,113)))=0,"",IF(LEN(INDEX('Providers'!$AK$4:$AK$503,113))=0,"",INDEX('Providers'!$AK$4:$AK$503,113))))</f>
        <v/>
      </c>
      <c r="J116">
        <f>IF(LEN(INDEX('Providers'!$AJ$4:$AJ$503,113))=0,"",INDEX('Providers'!$AJ$4:$AJ$503,113))</f>
        <v/>
      </c>
      <c r="K116">
        <f>IF(LEN(INDEX('Providers'!$AI$4:$AI$503,113))=0,"",INDEX('Providers'!$AI$4:$AI$503,113))</f>
        <v/>
      </c>
    </row>
    <row r="117">
      <c r="A117">
        <f>IF(AND(LEN('Providers'!A117)&gt;0,ISNUMBER('Providers'!G117)),1,0)</f>
        <v/>
      </c>
      <c r="B117">
        <f>B116+A117</f>
        <v/>
      </c>
      <c r="C117">
        <f>IF(114&gt;$B$4503,"",MATCH(114-0.5,$B$3:$B$4503,1))</f>
        <v/>
      </c>
      <c r="D117">
        <f>"State license ("&amp;IF(LEN(INDEX('Providers'!$E$4:$E$503,114))=0,"",INDEX('Providers'!$E$4:$E$503,114))&amp;") – "&amp;IF(LEN(INDEX('Providers'!$A$4:$A$503,114))=0,"",INDEX('Providers'!$A$4:$A$503,114))</f>
        <v/>
      </c>
      <c r="E117">
        <f>IF(ISNUMBER(INDEX('Providers'!$G$4:$G$503,114)),TEXT(INDEX('Providers'!$G$4:$G$503,114),"yyyy-mm-dd"),"")</f>
        <v/>
      </c>
      <c r="F117">
        <f>"License"</f>
        <v/>
      </c>
      <c r="G117">
        <f>""</f>
        <v/>
      </c>
      <c r="H117">
        <f>"High"</f>
        <v/>
      </c>
      <c r="I117">
        <f>TRIM(IF(LEN(IF(LEN(INDEX('Providers'!$F$4:$F$503,114))=0,"",INDEX('Providers'!$F$4:$F$503,114)))=0,"","License no.: "&amp;IF(LEN(INDEX('Providers'!$F$4:$F$503,114))=0,"",INDEX('Providers'!$F$4:$F$503,114))&amp;". ")&amp;IF(LEN(IF(LEN(INDEX('Providers'!$C$4:$C$503,114))=0,"",INDEX('Providers'!$C$4:$C$503,114)))=0,"","NPI: "&amp;IF(LEN(INDEX('Providers'!$C$4:$C$503,114))=0,"",INDEX('Providers'!$C$4:$C$503,114))&amp;". ")&amp;IF(LEN(IF(LEN(INDEX('Providers'!$D$4:$D$503,114))=0,"",INDEX('Providers'!$D$4:$D$503,114)))=0,"","Specialty: "&amp;IF(LEN(INDEX('Providers'!$D$4:$D$503,114))=0,"",INDEX('Providers'!$D$4:$D$503,114))&amp;". ")&amp;IF(LEN(IF(LEN(INDEX('Providers'!$AK$4:$AK$503,114))=0,"",INDEX('Providers'!$AK$4:$AK$503,114)))=0,"",IF(LEN(INDEX('Providers'!$AK$4:$AK$503,114))=0,"",INDEX('Providers'!$AK$4:$AK$503,114))))</f>
        <v/>
      </c>
      <c r="J117">
        <f>IF(LEN(INDEX('Providers'!$AJ$4:$AJ$503,114))=0,"",INDEX('Providers'!$AJ$4:$AJ$503,114))</f>
        <v/>
      </c>
      <c r="K117">
        <f>IF(LEN(INDEX('Providers'!$AI$4:$AI$503,114))=0,"",INDEX('Providers'!$AI$4:$AI$503,114))</f>
        <v/>
      </c>
    </row>
    <row r="118">
      <c r="A118">
        <f>IF(AND(LEN('Providers'!A118)&gt;0,ISNUMBER('Providers'!G118)),1,0)</f>
        <v/>
      </c>
      <c r="B118">
        <f>B117+A118</f>
        <v/>
      </c>
      <c r="C118">
        <f>IF(115&gt;$B$4503,"",MATCH(115-0.5,$B$3:$B$4503,1))</f>
        <v/>
      </c>
      <c r="D118">
        <f>"State license ("&amp;IF(LEN(INDEX('Providers'!$E$4:$E$503,115))=0,"",INDEX('Providers'!$E$4:$E$503,115))&amp;") – "&amp;IF(LEN(INDEX('Providers'!$A$4:$A$503,115))=0,"",INDEX('Providers'!$A$4:$A$503,115))</f>
        <v/>
      </c>
      <c r="E118">
        <f>IF(ISNUMBER(INDEX('Providers'!$G$4:$G$503,115)),TEXT(INDEX('Providers'!$G$4:$G$503,115),"yyyy-mm-dd"),"")</f>
        <v/>
      </c>
      <c r="F118">
        <f>"License"</f>
        <v/>
      </c>
      <c r="G118">
        <f>""</f>
        <v/>
      </c>
      <c r="H118">
        <f>"High"</f>
        <v/>
      </c>
      <c r="I118">
        <f>TRIM(IF(LEN(IF(LEN(INDEX('Providers'!$F$4:$F$503,115))=0,"",INDEX('Providers'!$F$4:$F$503,115)))=0,"","License no.: "&amp;IF(LEN(INDEX('Providers'!$F$4:$F$503,115))=0,"",INDEX('Providers'!$F$4:$F$503,115))&amp;". ")&amp;IF(LEN(IF(LEN(INDEX('Providers'!$C$4:$C$503,115))=0,"",INDEX('Providers'!$C$4:$C$503,115)))=0,"","NPI: "&amp;IF(LEN(INDEX('Providers'!$C$4:$C$503,115))=0,"",INDEX('Providers'!$C$4:$C$503,115))&amp;". ")&amp;IF(LEN(IF(LEN(INDEX('Providers'!$D$4:$D$503,115))=0,"",INDEX('Providers'!$D$4:$D$503,115)))=0,"","Specialty: "&amp;IF(LEN(INDEX('Providers'!$D$4:$D$503,115))=0,"",INDEX('Providers'!$D$4:$D$503,115))&amp;". ")&amp;IF(LEN(IF(LEN(INDEX('Providers'!$AK$4:$AK$503,115))=0,"",INDEX('Providers'!$AK$4:$AK$503,115)))=0,"",IF(LEN(INDEX('Providers'!$AK$4:$AK$503,115))=0,"",INDEX('Providers'!$AK$4:$AK$503,115))))</f>
        <v/>
      </c>
      <c r="J118">
        <f>IF(LEN(INDEX('Providers'!$AJ$4:$AJ$503,115))=0,"",INDEX('Providers'!$AJ$4:$AJ$503,115))</f>
        <v/>
      </c>
      <c r="K118">
        <f>IF(LEN(INDEX('Providers'!$AI$4:$AI$503,115))=0,"",INDEX('Providers'!$AI$4:$AI$503,115))</f>
        <v/>
      </c>
    </row>
    <row r="119">
      <c r="A119">
        <f>IF(AND(LEN('Providers'!A119)&gt;0,ISNUMBER('Providers'!G119)),1,0)</f>
        <v/>
      </c>
      <c r="B119">
        <f>B118+A119</f>
        <v/>
      </c>
      <c r="C119">
        <f>IF(116&gt;$B$4503,"",MATCH(116-0.5,$B$3:$B$4503,1))</f>
        <v/>
      </c>
      <c r="D119">
        <f>"State license ("&amp;IF(LEN(INDEX('Providers'!$E$4:$E$503,116))=0,"",INDEX('Providers'!$E$4:$E$503,116))&amp;") – "&amp;IF(LEN(INDEX('Providers'!$A$4:$A$503,116))=0,"",INDEX('Providers'!$A$4:$A$503,116))</f>
        <v/>
      </c>
      <c r="E119">
        <f>IF(ISNUMBER(INDEX('Providers'!$G$4:$G$503,116)),TEXT(INDEX('Providers'!$G$4:$G$503,116),"yyyy-mm-dd"),"")</f>
        <v/>
      </c>
      <c r="F119">
        <f>"License"</f>
        <v/>
      </c>
      <c r="G119">
        <f>""</f>
        <v/>
      </c>
      <c r="H119">
        <f>"High"</f>
        <v/>
      </c>
      <c r="I119">
        <f>TRIM(IF(LEN(IF(LEN(INDEX('Providers'!$F$4:$F$503,116))=0,"",INDEX('Providers'!$F$4:$F$503,116)))=0,"","License no.: "&amp;IF(LEN(INDEX('Providers'!$F$4:$F$503,116))=0,"",INDEX('Providers'!$F$4:$F$503,116))&amp;". ")&amp;IF(LEN(IF(LEN(INDEX('Providers'!$C$4:$C$503,116))=0,"",INDEX('Providers'!$C$4:$C$503,116)))=0,"","NPI: "&amp;IF(LEN(INDEX('Providers'!$C$4:$C$503,116))=0,"",INDEX('Providers'!$C$4:$C$503,116))&amp;". ")&amp;IF(LEN(IF(LEN(INDEX('Providers'!$D$4:$D$503,116))=0,"",INDEX('Providers'!$D$4:$D$503,116)))=0,"","Specialty: "&amp;IF(LEN(INDEX('Providers'!$D$4:$D$503,116))=0,"",INDEX('Providers'!$D$4:$D$503,116))&amp;". ")&amp;IF(LEN(IF(LEN(INDEX('Providers'!$AK$4:$AK$503,116))=0,"",INDEX('Providers'!$AK$4:$AK$503,116)))=0,"",IF(LEN(INDEX('Providers'!$AK$4:$AK$503,116))=0,"",INDEX('Providers'!$AK$4:$AK$503,116))))</f>
        <v/>
      </c>
      <c r="J119">
        <f>IF(LEN(INDEX('Providers'!$AJ$4:$AJ$503,116))=0,"",INDEX('Providers'!$AJ$4:$AJ$503,116))</f>
        <v/>
      </c>
      <c r="K119">
        <f>IF(LEN(INDEX('Providers'!$AI$4:$AI$503,116))=0,"",INDEX('Providers'!$AI$4:$AI$503,116))</f>
        <v/>
      </c>
    </row>
    <row r="120">
      <c r="A120">
        <f>IF(AND(LEN('Providers'!A120)&gt;0,ISNUMBER('Providers'!G120)),1,0)</f>
        <v/>
      </c>
      <c r="B120">
        <f>B119+A120</f>
        <v/>
      </c>
      <c r="C120">
        <f>IF(117&gt;$B$4503,"",MATCH(117-0.5,$B$3:$B$4503,1))</f>
        <v/>
      </c>
      <c r="D120">
        <f>"State license ("&amp;IF(LEN(INDEX('Providers'!$E$4:$E$503,117))=0,"",INDEX('Providers'!$E$4:$E$503,117))&amp;") – "&amp;IF(LEN(INDEX('Providers'!$A$4:$A$503,117))=0,"",INDEX('Providers'!$A$4:$A$503,117))</f>
        <v/>
      </c>
      <c r="E120">
        <f>IF(ISNUMBER(INDEX('Providers'!$G$4:$G$503,117)),TEXT(INDEX('Providers'!$G$4:$G$503,117),"yyyy-mm-dd"),"")</f>
        <v/>
      </c>
      <c r="F120">
        <f>"License"</f>
        <v/>
      </c>
      <c r="G120">
        <f>""</f>
        <v/>
      </c>
      <c r="H120">
        <f>"High"</f>
        <v/>
      </c>
      <c r="I120">
        <f>TRIM(IF(LEN(IF(LEN(INDEX('Providers'!$F$4:$F$503,117))=0,"",INDEX('Providers'!$F$4:$F$503,117)))=0,"","License no.: "&amp;IF(LEN(INDEX('Providers'!$F$4:$F$503,117))=0,"",INDEX('Providers'!$F$4:$F$503,117))&amp;". ")&amp;IF(LEN(IF(LEN(INDEX('Providers'!$C$4:$C$503,117))=0,"",INDEX('Providers'!$C$4:$C$503,117)))=0,"","NPI: "&amp;IF(LEN(INDEX('Providers'!$C$4:$C$503,117))=0,"",INDEX('Providers'!$C$4:$C$503,117))&amp;". ")&amp;IF(LEN(IF(LEN(INDEX('Providers'!$D$4:$D$503,117))=0,"",INDEX('Providers'!$D$4:$D$503,117)))=0,"","Specialty: "&amp;IF(LEN(INDEX('Providers'!$D$4:$D$503,117))=0,"",INDEX('Providers'!$D$4:$D$503,117))&amp;". ")&amp;IF(LEN(IF(LEN(INDEX('Providers'!$AK$4:$AK$503,117))=0,"",INDEX('Providers'!$AK$4:$AK$503,117)))=0,"",IF(LEN(INDEX('Providers'!$AK$4:$AK$503,117))=0,"",INDEX('Providers'!$AK$4:$AK$503,117))))</f>
        <v/>
      </c>
      <c r="J120">
        <f>IF(LEN(INDEX('Providers'!$AJ$4:$AJ$503,117))=0,"",INDEX('Providers'!$AJ$4:$AJ$503,117))</f>
        <v/>
      </c>
      <c r="K120">
        <f>IF(LEN(INDEX('Providers'!$AI$4:$AI$503,117))=0,"",INDEX('Providers'!$AI$4:$AI$503,117))</f>
        <v/>
      </c>
    </row>
    <row r="121">
      <c r="A121">
        <f>IF(AND(LEN('Providers'!A121)&gt;0,ISNUMBER('Providers'!G121)),1,0)</f>
        <v/>
      </c>
      <c r="B121">
        <f>B120+A121</f>
        <v/>
      </c>
      <c r="C121">
        <f>IF(118&gt;$B$4503,"",MATCH(118-0.5,$B$3:$B$4503,1))</f>
        <v/>
      </c>
      <c r="D121">
        <f>"State license ("&amp;IF(LEN(INDEX('Providers'!$E$4:$E$503,118))=0,"",INDEX('Providers'!$E$4:$E$503,118))&amp;") – "&amp;IF(LEN(INDEX('Providers'!$A$4:$A$503,118))=0,"",INDEX('Providers'!$A$4:$A$503,118))</f>
        <v/>
      </c>
      <c r="E121">
        <f>IF(ISNUMBER(INDEX('Providers'!$G$4:$G$503,118)),TEXT(INDEX('Providers'!$G$4:$G$503,118),"yyyy-mm-dd"),"")</f>
        <v/>
      </c>
      <c r="F121">
        <f>"License"</f>
        <v/>
      </c>
      <c r="G121">
        <f>""</f>
        <v/>
      </c>
      <c r="H121">
        <f>"High"</f>
        <v/>
      </c>
      <c r="I121">
        <f>TRIM(IF(LEN(IF(LEN(INDEX('Providers'!$F$4:$F$503,118))=0,"",INDEX('Providers'!$F$4:$F$503,118)))=0,"","License no.: "&amp;IF(LEN(INDEX('Providers'!$F$4:$F$503,118))=0,"",INDEX('Providers'!$F$4:$F$503,118))&amp;". ")&amp;IF(LEN(IF(LEN(INDEX('Providers'!$C$4:$C$503,118))=0,"",INDEX('Providers'!$C$4:$C$503,118)))=0,"","NPI: "&amp;IF(LEN(INDEX('Providers'!$C$4:$C$503,118))=0,"",INDEX('Providers'!$C$4:$C$503,118))&amp;". ")&amp;IF(LEN(IF(LEN(INDEX('Providers'!$D$4:$D$503,118))=0,"",INDEX('Providers'!$D$4:$D$503,118)))=0,"","Specialty: "&amp;IF(LEN(INDEX('Providers'!$D$4:$D$503,118))=0,"",INDEX('Providers'!$D$4:$D$503,118))&amp;". ")&amp;IF(LEN(IF(LEN(INDEX('Providers'!$AK$4:$AK$503,118))=0,"",INDEX('Providers'!$AK$4:$AK$503,118)))=0,"",IF(LEN(INDEX('Providers'!$AK$4:$AK$503,118))=0,"",INDEX('Providers'!$AK$4:$AK$503,118))))</f>
        <v/>
      </c>
      <c r="J121">
        <f>IF(LEN(INDEX('Providers'!$AJ$4:$AJ$503,118))=0,"",INDEX('Providers'!$AJ$4:$AJ$503,118))</f>
        <v/>
      </c>
      <c r="K121">
        <f>IF(LEN(INDEX('Providers'!$AI$4:$AI$503,118))=0,"",INDEX('Providers'!$AI$4:$AI$503,118))</f>
        <v/>
      </c>
    </row>
    <row r="122">
      <c r="A122">
        <f>IF(AND(LEN('Providers'!A122)&gt;0,ISNUMBER('Providers'!G122)),1,0)</f>
        <v/>
      </c>
      <c r="B122">
        <f>B121+A122</f>
        <v/>
      </c>
      <c r="C122">
        <f>IF(119&gt;$B$4503,"",MATCH(119-0.5,$B$3:$B$4503,1))</f>
        <v/>
      </c>
      <c r="D122">
        <f>"State license ("&amp;IF(LEN(INDEX('Providers'!$E$4:$E$503,119))=0,"",INDEX('Providers'!$E$4:$E$503,119))&amp;") – "&amp;IF(LEN(INDEX('Providers'!$A$4:$A$503,119))=0,"",INDEX('Providers'!$A$4:$A$503,119))</f>
        <v/>
      </c>
      <c r="E122">
        <f>IF(ISNUMBER(INDEX('Providers'!$G$4:$G$503,119)),TEXT(INDEX('Providers'!$G$4:$G$503,119),"yyyy-mm-dd"),"")</f>
        <v/>
      </c>
      <c r="F122">
        <f>"License"</f>
        <v/>
      </c>
      <c r="G122">
        <f>""</f>
        <v/>
      </c>
      <c r="H122">
        <f>"High"</f>
        <v/>
      </c>
      <c r="I122">
        <f>TRIM(IF(LEN(IF(LEN(INDEX('Providers'!$F$4:$F$503,119))=0,"",INDEX('Providers'!$F$4:$F$503,119)))=0,"","License no.: "&amp;IF(LEN(INDEX('Providers'!$F$4:$F$503,119))=0,"",INDEX('Providers'!$F$4:$F$503,119))&amp;". ")&amp;IF(LEN(IF(LEN(INDEX('Providers'!$C$4:$C$503,119))=0,"",INDEX('Providers'!$C$4:$C$503,119)))=0,"","NPI: "&amp;IF(LEN(INDEX('Providers'!$C$4:$C$503,119))=0,"",INDEX('Providers'!$C$4:$C$503,119))&amp;". ")&amp;IF(LEN(IF(LEN(INDEX('Providers'!$D$4:$D$503,119))=0,"",INDEX('Providers'!$D$4:$D$503,119)))=0,"","Specialty: "&amp;IF(LEN(INDEX('Providers'!$D$4:$D$503,119))=0,"",INDEX('Providers'!$D$4:$D$503,119))&amp;". ")&amp;IF(LEN(IF(LEN(INDEX('Providers'!$AK$4:$AK$503,119))=0,"",INDEX('Providers'!$AK$4:$AK$503,119)))=0,"",IF(LEN(INDEX('Providers'!$AK$4:$AK$503,119))=0,"",INDEX('Providers'!$AK$4:$AK$503,119))))</f>
        <v/>
      </c>
      <c r="J122">
        <f>IF(LEN(INDEX('Providers'!$AJ$4:$AJ$503,119))=0,"",INDEX('Providers'!$AJ$4:$AJ$503,119))</f>
        <v/>
      </c>
      <c r="K122">
        <f>IF(LEN(INDEX('Providers'!$AI$4:$AI$503,119))=0,"",INDEX('Providers'!$AI$4:$AI$503,119))</f>
        <v/>
      </c>
    </row>
    <row r="123">
      <c r="A123">
        <f>IF(AND(LEN('Providers'!A123)&gt;0,ISNUMBER('Providers'!G123)),1,0)</f>
        <v/>
      </c>
      <c r="B123">
        <f>B122+A123</f>
        <v/>
      </c>
      <c r="C123">
        <f>IF(120&gt;$B$4503,"",MATCH(120-0.5,$B$3:$B$4503,1))</f>
        <v/>
      </c>
      <c r="D123">
        <f>"State license ("&amp;IF(LEN(INDEX('Providers'!$E$4:$E$503,120))=0,"",INDEX('Providers'!$E$4:$E$503,120))&amp;") – "&amp;IF(LEN(INDEX('Providers'!$A$4:$A$503,120))=0,"",INDEX('Providers'!$A$4:$A$503,120))</f>
        <v/>
      </c>
      <c r="E123">
        <f>IF(ISNUMBER(INDEX('Providers'!$G$4:$G$503,120)),TEXT(INDEX('Providers'!$G$4:$G$503,120),"yyyy-mm-dd"),"")</f>
        <v/>
      </c>
      <c r="F123">
        <f>"License"</f>
        <v/>
      </c>
      <c r="G123">
        <f>""</f>
        <v/>
      </c>
      <c r="H123">
        <f>"High"</f>
        <v/>
      </c>
      <c r="I123">
        <f>TRIM(IF(LEN(IF(LEN(INDEX('Providers'!$F$4:$F$503,120))=0,"",INDEX('Providers'!$F$4:$F$503,120)))=0,"","License no.: "&amp;IF(LEN(INDEX('Providers'!$F$4:$F$503,120))=0,"",INDEX('Providers'!$F$4:$F$503,120))&amp;". ")&amp;IF(LEN(IF(LEN(INDEX('Providers'!$C$4:$C$503,120))=0,"",INDEX('Providers'!$C$4:$C$503,120)))=0,"","NPI: "&amp;IF(LEN(INDEX('Providers'!$C$4:$C$503,120))=0,"",INDEX('Providers'!$C$4:$C$503,120))&amp;". ")&amp;IF(LEN(IF(LEN(INDEX('Providers'!$D$4:$D$503,120))=0,"",INDEX('Providers'!$D$4:$D$503,120)))=0,"","Specialty: "&amp;IF(LEN(INDEX('Providers'!$D$4:$D$503,120))=0,"",INDEX('Providers'!$D$4:$D$503,120))&amp;". ")&amp;IF(LEN(IF(LEN(INDEX('Providers'!$AK$4:$AK$503,120))=0,"",INDEX('Providers'!$AK$4:$AK$503,120)))=0,"",IF(LEN(INDEX('Providers'!$AK$4:$AK$503,120))=0,"",INDEX('Providers'!$AK$4:$AK$503,120))))</f>
        <v/>
      </c>
      <c r="J123">
        <f>IF(LEN(INDEX('Providers'!$AJ$4:$AJ$503,120))=0,"",INDEX('Providers'!$AJ$4:$AJ$503,120))</f>
        <v/>
      </c>
      <c r="K123">
        <f>IF(LEN(INDEX('Providers'!$AI$4:$AI$503,120))=0,"",INDEX('Providers'!$AI$4:$AI$503,120))</f>
        <v/>
      </c>
    </row>
    <row r="124">
      <c r="A124">
        <f>IF(AND(LEN('Providers'!A124)&gt;0,ISNUMBER('Providers'!G124)),1,0)</f>
        <v/>
      </c>
      <c r="B124">
        <f>B123+A124</f>
        <v/>
      </c>
      <c r="C124">
        <f>IF(121&gt;$B$4503,"",MATCH(121-0.5,$B$3:$B$4503,1))</f>
        <v/>
      </c>
      <c r="D124">
        <f>"State license ("&amp;IF(LEN(INDEX('Providers'!$E$4:$E$503,121))=0,"",INDEX('Providers'!$E$4:$E$503,121))&amp;") – "&amp;IF(LEN(INDEX('Providers'!$A$4:$A$503,121))=0,"",INDEX('Providers'!$A$4:$A$503,121))</f>
        <v/>
      </c>
      <c r="E124">
        <f>IF(ISNUMBER(INDEX('Providers'!$G$4:$G$503,121)),TEXT(INDEX('Providers'!$G$4:$G$503,121),"yyyy-mm-dd"),"")</f>
        <v/>
      </c>
      <c r="F124">
        <f>"License"</f>
        <v/>
      </c>
      <c r="G124">
        <f>""</f>
        <v/>
      </c>
      <c r="H124">
        <f>"High"</f>
        <v/>
      </c>
      <c r="I124">
        <f>TRIM(IF(LEN(IF(LEN(INDEX('Providers'!$F$4:$F$503,121))=0,"",INDEX('Providers'!$F$4:$F$503,121)))=0,"","License no.: "&amp;IF(LEN(INDEX('Providers'!$F$4:$F$503,121))=0,"",INDEX('Providers'!$F$4:$F$503,121))&amp;". ")&amp;IF(LEN(IF(LEN(INDEX('Providers'!$C$4:$C$503,121))=0,"",INDEX('Providers'!$C$4:$C$503,121)))=0,"","NPI: "&amp;IF(LEN(INDEX('Providers'!$C$4:$C$503,121))=0,"",INDEX('Providers'!$C$4:$C$503,121))&amp;". ")&amp;IF(LEN(IF(LEN(INDEX('Providers'!$D$4:$D$503,121))=0,"",INDEX('Providers'!$D$4:$D$503,121)))=0,"","Specialty: "&amp;IF(LEN(INDEX('Providers'!$D$4:$D$503,121))=0,"",INDEX('Providers'!$D$4:$D$503,121))&amp;". ")&amp;IF(LEN(IF(LEN(INDEX('Providers'!$AK$4:$AK$503,121))=0,"",INDEX('Providers'!$AK$4:$AK$503,121)))=0,"",IF(LEN(INDEX('Providers'!$AK$4:$AK$503,121))=0,"",INDEX('Providers'!$AK$4:$AK$503,121))))</f>
        <v/>
      </c>
      <c r="J124">
        <f>IF(LEN(INDEX('Providers'!$AJ$4:$AJ$503,121))=0,"",INDEX('Providers'!$AJ$4:$AJ$503,121))</f>
        <v/>
      </c>
      <c r="K124">
        <f>IF(LEN(INDEX('Providers'!$AI$4:$AI$503,121))=0,"",INDEX('Providers'!$AI$4:$AI$503,121))</f>
        <v/>
      </c>
    </row>
    <row r="125">
      <c r="A125">
        <f>IF(AND(LEN('Providers'!A125)&gt;0,ISNUMBER('Providers'!G125)),1,0)</f>
        <v/>
      </c>
      <c r="B125">
        <f>B124+A125</f>
        <v/>
      </c>
      <c r="C125">
        <f>IF(122&gt;$B$4503,"",MATCH(122-0.5,$B$3:$B$4503,1))</f>
        <v/>
      </c>
      <c r="D125">
        <f>"State license ("&amp;IF(LEN(INDEX('Providers'!$E$4:$E$503,122))=0,"",INDEX('Providers'!$E$4:$E$503,122))&amp;") – "&amp;IF(LEN(INDEX('Providers'!$A$4:$A$503,122))=0,"",INDEX('Providers'!$A$4:$A$503,122))</f>
        <v/>
      </c>
      <c r="E125">
        <f>IF(ISNUMBER(INDEX('Providers'!$G$4:$G$503,122)),TEXT(INDEX('Providers'!$G$4:$G$503,122),"yyyy-mm-dd"),"")</f>
        <v/>
      </c>
      <c r="F125">
        <f>"License"</f>
        <v/>
      </c>
      <c r="G125">
        <f>""</f>
        <v/>
      </c>
      <c r="H125">
        <f>"High"</f>
        <v/>
      </c>
      <c r="I125">
        <f>TRIM(IF(LEN(IF(LEN(INDEX('Providers'!$F$4:$F$503,122))=0,"",INDEX('Providers'!$F$4:$F$503,122)))=0,"","License no.: "&amp;IF(LEN(INDEX('Providers'!$F$4:$F$503,122))=0,"",INDEX('Providers'!$F$4:$F$503,122))&amp;". ")&amp;IF(LEN(IF(LEN(INDEX('Providers'!$C$4:$C$503,122))=0,"",INDEX('Providers'!$C$4:$C$503,122)))=0,"","NPI: "&amp;IF(LEN(INDEX('Providers'!$C$4:$C$503,122))=0,"",INDEX('Providers'!$C$4:$C$503,122))&amp;". ")&amp;IF(LEN(IF(LEN(INDEX('Providers'!$D$4:$D$503,122))=0,"",INDEX('Providers'!$D$4:$D$503,122)))=0,"","Specialty: "&amp;IF(LEN(INDEX('Providers'!$D$4:$D$503,122))=0,"",INDEX('Providers'!$D$4:$D$503,122))&amp;". ")&amp;IF(LEN(IF(LEN(INDEX('Providers'!$AK$4:$AK$503,122))=0,"",INDEX('Providers'!$AK$4:$AK$503,122)))=0,"",IF(LEN(INDEX('Providers'!$AK$4:$AK$503,122))=0,"",INDEX('Providers'!$AK$4:$AK$503,122))))</f>
        <v/>
      </c>
      <c r="J125">
        <f>IF(LEN(INDEX('Providers'!$AJ$4:$AJ$503,122))=0,"",INDEX('Providers'!$AJ$4:$AJ$503,122))</f>
        <v/>
      </c>
      <c r="K125">
        <f>IF(LEN(INDEX('Providers'!$AI$4:$AI$503,122))=0,"",INDEX('Providers'!$AI$4:$AI$503,122))</f>
        <v/>
      </c>
    </row>
    <row r="126">
      <c r="A126">
        <f>IF(AND(LEN('Providers'!A126)&gt;0,ISNUMBER('Providers'!G126)),1,0)</f>
        <v/>
      </c>
      <c r="B126">
        <f>B125+A126</f>
        <v/>
      </c>
      <c r="C126">
        <f>IF(123&gt;$B$4503,"",MATCH(123-0.5,$B$3:$B$4503,1))</f>
        <v/>
      </c>
      <c r="D126">
        <f>"State license ("&amp;IF(LEN(INDEX('Providers'!$E$4:$E$503,123))=0,"",INDEX('Providers'!$E$4:$E$503,123))&amp;") – "&amp;IF(LEN(INDEX('Providers'!$A$4:$A$503,123))=0,"",INDEX('Providers'!$A$4:$A$503,123))</f>
        <v/>
      </c>
      <c r="E126">
        <f>IF(ISNUMBER(INDEX('Providers'!$G$4:$G$503,123)),TEXT(INDEX('Providers'!$G$4:$G$503,123),"yyyy-mm-dd"),"")</f>
        <v/>
      </c>
      <c r="F126">
        <f>"License"</f>
        <v/>
      </c>
      <c r="G126">
        <f>""</f>
        <v/>
      </c>
      <c r="H126">
        <f>"High"</f>
        <v/>
      </c>
      <c r="I126">
        <f>TRIM(IF(LEN(IF(LEN(INDEX('Providers'!$F$4:$F$503,123))=0,"",INDEX('Providers'!$F$4:$F$503,123)))=0,"","License no.: "&amp;IF(LEN(INDEX('Providers'!$F$4:$F$503,123))=0,"",INDEX('Providers'!$F$4:$F$503,123))&amp;". ")&amp;IF(LEN(IF(LEN(INDEX('Providers'!$C$4:$C$503,123))=0,"",INDEX('Providers'!$C$4:$C$503,123)))=0,"","NPI: "&amp;IF(LEN(INDEX('Providers'!$C$4:$C$503,123))=0,"",INDEX('Providers'!$C$4:$C$503,123))&amp;". ")&amp;IF(LEN(IF(LEN(INDEX('Providers'!$D$4:$D$503,123))=0,"",INDEX('Providers'!$D$4:$D$503,123)))=0,"","Specialty: "&amp;IF(LEN(INDEX('Providers'!$D$4:$D$503,123))=0,"",INDEX('Providers'!$D$4:$D$503,123))&amp;". ")&amp;IF(LEN(IF(LEN(INDEX('Providers'!$AK$4:$AK$503,123))=0,"",INDEX('Providers'!$AK$4:$AK$503,123)))=0,"",IF(LEN(INDEX('Providers'!$AK$4:$AK$503,123))=0,"",INDEX('Providers'!$AK$4:$AK$503,123))))</f>
        <v/>
      </c>
      <c r="J126">
        <f>IF(LEN(INDEX('Providers'!$AJ$4:$AJ$503,123))=0,"",INDEX('Providers'!$AJ$4:$AJ$503,123))</f>
        <v/>
      </c>
      <c r="K126">
        <f>IF(LEN(INDEX('Providers'!$AI$4:$AI$503,123))=0,"",INDEX('Providers'!$AI$4:$AI$503,123))</f>
        <v/>
      </c>
    </row>
    <row r="127">
      <c r="A127">
        <f>IF(AND(LEN('Providers'!A127)&gt;0,ISNUMBER('Providers'!G127)),1,0)</f>
        <v/>
      </c>
      <c r="B127">
        <f>B126+A127</f>
        <v/>
      </c>
      <c r="C127">
        <f>IF(124&gt;$B$4503,"",MATCH(124-0.5,$B$3:$B$4503,1))</f>
        <v/>
      </c>
      <c r="D127">
        <f>"State license ("&amp;IF(LEN(INDEX('Providers'!$E$4:$E$503,124))=0,"",INDEX('Providers'!$E$4:$E$503,124))&amp;") – "&amp;IF(LEN(INDEX('Providers'!$A$4:$A$503,124))=0,"",INDEX('Providers'!$A$4:$A$503,124))</f>
        <v/>
      </c>
      <c r="E127">
        <f>IF(ISNUMBER(INDEX('Providers'!$G$4:$G$503,124)),TEXT(INDEX('Providers'!$G$4:$G$503,124),"yyyy-mm-dd"),"")</f>
        <v/>
      </c>
      <c r="F127">
        <f>"License"</f>
        <v/>
      </c>
      <c r="G127">
        <f>""</f>
        <v/>
      </c>
      <c r="H127">
        <f>"High"</f>
        <v/>
      </c>
      <c r="I127">
        <f>TRIM(IF(LEN(IF(LEN(INDEX('Providers'!$F$4:$F$503,124))=0,"",INDEX('Providers'!$F$4:$F$503,124)))=0,"","License no.: "&amp;IF(LEN(INDEX('Providers'!$F$4:$F$503,124))=0,"",INDEX('Providers'!$F$4:$F$503,124))&amp;". ")&amp;IF(LEN(IF(LEN(INDEX('Providers'!$C$4:$C$503,124))=0,"",INDEX('Providers'!$C$4:$C$503,124)))=0,"","NPI: "&amp;IF(LEN(INDEX('Providers'!$C$4:$C$503,124))=0,"",INDEX('Providers'!$C$4:$C$503,124))&amp;". ")&amp;IF(LEN(IF(LEN(INDEX('Providers'!$D$4:$D$503,124))=0,"",INDEX('Providers'!$D$4:$D$503,124)))=0,"","Specialty: "&amp;IF(LEN(INDEX('Providers'!$D$4:$D$503,124))=0,"",INDEX('Providers'!$D$4:$D$503,124))&amp;". ")&amp;IF(LEN(IF(LEN(INDEX('Providers'!$AK$4:$AK$503,124))=0,"",INDEX('Providers'!$AK$4:$AK$503,124)))=0,"",IF(LEN(INDEX('Providers'!$AK$4:$AK$503,124))=0,"",INDEX('Providers'!$AK$4:$AK$503,124))))</f>
        <v/>
      </c>
      <c r="J127">
        <f>IF(LEN(INDEX('Providers'!$AJ$4:$AJ$503,124))=0,"",INDEX('Providers'!$AJ$4:$AJ$503,124))</f>
        <v/>
      </c>
      <c r="K127">
        <f>IF(LEN(INDEX('Providers'!$AI$4:$AI$503,124))=0,"",INDEX('Providers'!$AI$4:$AI$503,124))</f>
        <v/>
      </c>
    </row>
    <row r="128">
      <c r="A128">
        <f>IF(AND(LEN('Providers'!A128)&gt;0,ISNUMBER('Providers'!G128)),1,0)</f>
        <v/>
      </c>
      <c r="B128">
        <f>B127+A128</f>
        <v/>
      </c>
      <c r="C128">
        <f>IF(125&gt;$B$4503,"",MATCH(125-0.5,$B$3:$B$4503,1))</f>
        <v/>
      </c>
      <c r="D128">
        <f>"State license ("&amp;IF(LEN(INDEX('Providers'!$E$4:$E$503,125))=0,"",INDEX('Providers'!$E$4:$E$503,125))&amp;") – "&amp;IF(LEN(INDEX('Providers'!$A$4:$A$503,125))=0,"",INDEX('Providers'!$A$4:$A$503,125))</f>
        <v/>
      </c>
      <c r="E128">
        <f>IF(ISNUMBER(INDEX('Providers'!$G$4:$G$503,125)),TEXT(INDEX('Providers'!$G$4:$G$503,125),"yyyy-mm-dd"),"")</f>
        <v/>
      </c>
      <c r="F128">
        <f>"License"</f>
        <v/>
      </c>
      <c r="G128">
        <f>""</f>
        <v/>
      </c>
      <c r="H128">
        <f>"High"</f>
        <v/>
      </c>
      <c r="I128">
        <f>TRIM(IF(LEN(IF(LEN(INDEX('Providers'!$F$4:$F$503,125))=0,"",INDEX('Providers'!$F$4:$F$503,125)))=0,"","License no.: "&amp;IF(LEN(INDEX('Providers'!$F$4:$F$503,125))=0,"",INDEX('Providers'!$F$4:$F$503,125))&amp;". ")&amp;IF(LEN(IF(LEN(INDEX('Providers'!$C$4:$C$503,125))=0,"",INDEX('Providers'!$C$4:$C$503,125)))=0,"","NPI: "&amp;IF(LEN(INDEX('Providers'!$C$4:$C$503,125))=0,"",INDEX('Providers'!$C$4:$C$503,125))&amp;". ")&amp;IF(LEN(IF(LEN(INDEX('Providers'!$D$4:$D$503,125))=0,"",INDEX('Providers'!$D$4:$D$503,125)))=0,"","Specialty: "&amp;IF(LEN(INDEX('Providers'!$D$4:$D$503,125))=0,"",INDEX('Providers'!$D$4:$D$503,125))&amp;". ")&amp;IF(LEN(IF(LEN(INDEX('Providers'!$AK$4:$AK$503,125))=0,"",INDEX('Providers'!$AK$4:$AK$503,125)))=0,"",IF(LEN(INDEX('Providers'!$AK$4:$AK$503,125))=0,"",INDEX('Providers'!$AK$4:$AK$503,125))))</f>
        <v/>
      </c>
      <c r="J128">
        <f>IF(LEN(INDEX('Providers'!$AJ$4:$AJ$503,125))=0,"",INDEX('Providers'!$AJ$4:$AJ$503,125))</f>
        <v/>
      </c>
      <c r="K128">
        <f>IF(LEN(INDEX('Providers'!$AI$4:$AI$503,125))=0,"",INDEX('Providers'!$AI$4:$AI$503,125))</f>
        <v/>
      </c>
    </row>
    <row r="129">
      <c r="A129">
        <f>IF(AND(LEN('Providers'!A129)&gt;0,ISNUMBER('Providers'!G129)),1,0)</f>
        <v/>
      </c>
      <c r="B129">
        <f>B128+A129</f>
        <v/>
      </c>
      <c r="C129">
        <f>IF(126&gt;$B$4503,"",MATCH(126-0.5,$B$3:$B$4503,1))</f>
        <v/>
      </c>
      <c r="D129">
        <f>"State license ("&amp;IF(LEN(INDEX('Providers'!$E$4:$E$503,126))=0,"",INDEX('Providers'!$E$4:$E$503,126))&amp;") – "&amp;IF(LEN(INDEX('Providers'!$A$4:$A$503,126))=0,"",INDEX('Providers'!$A$4:$A$503,126))</f>
        <v/>
      </c>
      <c r="E129">
        <f>IF(ISNUMBER(INDEX('Providers'!$G$4:$G$503,126)),TEXT(INDEX('Providers'!$G$4:$G$503,126),"yyyy-mm-dd"),"")</f>
        <v/>
      </c>
      <c r="F129">
        <f>"License"</f>
        <v/>
      </c>
      <c r="G129">
        <f>""</f>
        <v/>
      </c>
      <c r="H129">
        <f>"High"</f>
        <v/>
      </c>
      <c r="I129">
        <f>TRIM(IF(LEN(IF(LEN(INDEX('Providers'!$F$4:$F$503,126))=0,"",INDEX('Providers'!$F$4:$F$503,126)))=0,"","License no.: "&amp;IF(LEN(INDEX('Providers'!$F$4:$F$503,126))=0,"",INDEX('Providers'!$F$4:$F$503,126))&amp;". ")&amp;IF(LEN(IF(LEN(INDEX('Providers'!$C$4:$C$503,126))=0,"",INDEX('Providers'!$C$4:$C$503,126)))=0,"","NPI: "&amp;IF(LEN(INDEX('Providers'!$C$4:$C$503,126))=0,"",INDEX('Providers'!$C$4:$C$503,126))&amp;". ")&amp;IF(LEN(IF(LEN(INDEX('Providers'!$D$4:$D$503,126))=0,"",INDEX('Providers'!$D$4:$D$503,126)))=0,"","Specialty: "&amp;IF(LEN(INDEX('Providers'!$D$4:$D$503,126))=0,"",INDEX('Providers'!$D$4:$D$503,126))&amp;". ")&amp;IF(LEN(IF(LEN(INDEX('Providers'!$AK$4:$AK$503,126))=0,"",INDEX('Providers'!$AK$4:$AK$503,126)))=0,"",IF(LEN(INDEX('Providers'!$AK$4:$AK$503,126))=0,"",INDEX('Providers'!$AK$4:$AK$503,126))))</f>
        <v/>
      </c>
      <c r="J129">
        <f>IF(LEN(INDEX('Providers'!$AJ$4:$AJ$503,126))=0,"",INDEX('Providers'!$AJ$4:$AJ$503,126))</f>
        <v/>
      </c>
      <c r="K129">
        <f>IF(LEN(INDEX('Providers'!$AI$4:$AI$503,126))=0,"",INDEX('Providers'!$AI$4:$AI$503,126))</f>
        <v/>
      </c>
    </row>
    <row r="130">
      <c r="A130">
        <f>IF(AND(LEN('Providers'!A130)&gt;0,ISNUMBER('Providers'!G130)),1,0)</f>
        <v/>
      </c>
      <c r="B130">
        <f>B129+A130</f>
        <v/>
      </c>
      <c r="C130">
        <f>IF(127&gt;$B$4503,"",MATCH(127-0.5,$B$3:$B$4503,1))</f>
        <v/>
      </c>
      <c r="D130">
        <f>"State license ("&amp;IF(LEN(INDEX('Providers'!$E$4:$E$503,127))=0,"",INDEX('Providers'!$E$4:$E$503,127))&amp;") – "&amp;IF(LEN(INDEX('Providers'!$A$4:$A$503,127))=0,"",INDEX('Providers'!$A$4:$A$503,127))</f>
        <v/>
      </c>
      <c r="E130">
        <f>IF(ISNUMBER(INDEX('Providers'!$G$4:$G$503,127)),TEXT(INDEX('Providers'!$G$4:$G$503,127),"yyyy-mm-dd"),"")</f>
        <v/>
      </c>
      <c r="F130">
        <f>"License"</f>
        <v/>
      </c>
      <c r="G130">
        <f>""</f>
        <v/>
      </c>
      <c r="H130">
        <f>"High"</f>
        <v/>
      </c>
      <c r="I130">
        <f>TRIM(IF(LEN(IF(LEN(INDEX('Providers'!$F$4:$F$503,127))=0,"",INDEX('Providers'!$F$4:$F$503,127)))=0,"","License no.: "&amp;IF(LEN(INDEX('Providers'!$F$4:$F$503,127))=0,"",INDEX('Providers'!$F$4:$F$503,127))&amp;". ")&amp;IF(LEN(IF(LEN(INDEX('Providers'!$C$4:$C$503,127))=0,"",INDEX('Providers'!$C$4:$C$503,127)))=0,"","NPI: "&amp;IF(LEN(INDEX('Providers'!$C$4:$C$503,127))=0,"",INDEX('Providers'!$C$4:$C$503,127))&amp;". ")&amp;IF(LEN(IF(LEN(INDEX('Providers'!$D$4:$D$503,127))=0,"",INDEX('Providers'!$D$4:$D$503,127)))=0,"","Specialty: "&amp;IF(LEN(INDEX('Providers'!$D$4:$D$503,127))=0,"",INDEX('Providers'!$D$4:$D$503,127))&amp;". ")&amp;IF(LEN(IF(LEN(INDEX('Providers'!$AK$4:$AK$503,127))=0,"",INDEX('Providers'!$AK$4:$AK$503,127)))=0,"",IF(LEN(INDEX('Providers'!$AK$4:$AK$503,127))=0,"",INDEX('Providers'!$AK$4:$AK$503,127))))</f>
        <v/>
      </c>
      <c r="J130">
        <f>IF(LEN(INDEX('Providers'!$AJ$4:$AJ$503,127))=0,"",INDEX('Providers'!$AJ$4:$AJ$503,127))</f>
        <v/>
      </c>
      <c r="K130">
        <f>IF(LEN(INDEX('Providers'!$AI$4:$AI$503,127))=0,"",INDEX('Providers'!$AI$4:$AI$503,127))</f>
        <v/>
      </c>
    </row>
    <row r="131">
      <c r="A131">
        <f>IF(AND(LEN('Providers'!A131)&gt;0,ISNUMBER('Providers'!G131)),1,0)</f>
        <v/>
      </c>
      <c r="B131">
        <f>B130+A131</f>
        <v/>
      </c>
      <c r="C131">
        <f>IF(128&gt;$B$4503,"",MATCH(128-0.5,$B$3:$B$4503,1))</f>
        <v/>
      </c>
      <c r="D131">
        <f>"State license ("&amp;IF(LEN(INDEX('Providers'!$E$4:$E$503,128))=0,"",INDEX('Providers'!$E$4:$E$503,128))&amp;") – "&amp;IF(LEN(INDEX('Providers'!$A$4:$A$503,128))=0,"",INDEX('Providers'!$A$4:$A$503,128))</f>
        <v/>
      </c>
      <c r="E131">
        <f>IF(ISNUMBER(INDEX('Providers'!$G$4:$G$503,128)),TEXT(INDEX('Providers'!$G$4:$G$503,128),"yyyy-mm-dd"),"")</f>
        <v/>
      </c>
      <c r="F131">
        <f>"License"</f>
        <v/>
      </c>
      <c r="G131">
        <f>""</f>
        <v/>
      </c>
      <c r="H131">
        <f>"High"</f>
        <v/>
      </c>
      <c r="I131">
        <f>TRIM(IF(LEN(IF(LEN(INDEX('Providers'!$F$4:$F$503,128))=0,"",INDEX('Providers'!$F$4:$F$503,128)))=0,"","License no.: "&amp;IF(LEN(INDEX('Providers'!$F$4:$F$503,128))=0,"",INDEX('Providers'!$F$4:$F$503,128))&amp;". ")&amp;IF(LEN(IF(LEN(INDEX('Providers'!$C$4:$C$503,128))=0,"",INDEX('Providers'!$C$4:$C$503,128)))=0,"","NPI: "&amp;IF(LEN(INDEX('Providers'!$C$4:$C$503,128))=0,"",INDEX('Providers'!$C$4:$C$503,128))&amp;". ")&amp;IF(LEN(IF(LEN(INDEX('Providers'!$D$4:$D$503,128))=0,"",INDEX('Providers'!$D$4:$D$503,128)))=0,"","Specialty: "&amp;IF(LEN(INDEX('Providers'!$D$4:$D$503,128))=0,"",INDEX('Providers'!$D$4:$D$503,128))&amp;". ")&amp;IF(LEN(IF(LEN(INDEX('Providers'!$AK$4:$AK$503,128))=0,"",INDEX('Providers'!$AK$4:$AK$503,128)))=0,"",IF(LEN(INDEX('Providers'!$AK$4:$AK$503,128))=0,"",INDEX('Providers'!$AK$4:$AK$503,128))))</f>
        <v/>
      </c>
      <c r="J131">
        <f>IF(LEN(INDEX('Providers'!$AJ$4:$AJ$503,128))=0,"",INDEX('Providers'!$AJ$4:$AJ$503,128))</f>
        <v/>
      </c>
      <c r="K131">
        <f>IF(LEN(INDEX('Providers'!$AI$4:$AI$503,128))=0,"",INDEX('Providers'!$AI$4:$AI$503,128))</f>
        <v/>
      </c>
    </row>
    <row r="132">
      <c r="A132">
        <f>IF(AND(LEN('Providers'!A132)&gt;0,ISNUMBER('Providers'!G132)),1,0)</f>
        <v/>
      </c>
      <c r="B132">
        <f>B131+A132</f>
        <v/>
      </c>
      <c r="C132">
        <f>IF(129&gt;$B$4503,"",MATCH(129-0.5,$B$3:$B$4503,1))</f>
        <v/>
      </c>
      <c r="D132">
        <f>"State license ("&amp;IF(LEN(INDEX('Providers'!$E$4:$E$503,129))=0,"",INDEX('Providers'!$E$4:$E$503,129))&amp;") – "&amp;IF(LEN(INDEX('Providers'!$A$4:$A$503,129))=0,"",INDEX('Providers'!$A$4:$A$503,129))</f>
        <v/>
      </c>
      <c r="E132">
        <f>IF(ISNUMBER(INDEX('Providers'!$G$4:$G$503,129)),TEXT(INDEX('Providers'!$G$4:$G$503,129),"yyyy-mm-dd"),"")</f>
        <v/>
      </c>
      <c r="F132">
        <f>"License"</f>
        <v/>
      </c>
      <c r="G132">
        <f>""</f>
        <v/>
      </c>
      <c r="H132">
        <f>"High"</f>
        <v/>
      </c>
      <c r="I132">
        <f>TRIM(IF(LEN(IF(LEN(INDEX('Providers'!$F$4:$F$503,129))=0,"",INDEX('Providers'!$F$4:$F$503,129)))=0,"","License no.: "&amp;IF(LEN(INDEX('Providers'!$F$4:$F$503,129))=0,"",INDEX('Providers'!$F$4:$F$503,129))&amp;". ")&amp;IF(LEN(IF(LEN(INDEX('Providers'!$C$4:$C$503,129))=0,"",INDEX('Providers'!$C$4:$C$503,129)))=0,"","NPI: "&amp;IF(LEN(INDEX('Providers'!$C$4:$C$503,129))=0,"",INDEX('Providers'!$C$4:$C$503,129))&amp;". ")&amp;IF(LEN(IF(LEN(INDEX('Providers'!$D$4:$D$503,129))=0,"",INDEX('Providers'!$D$4:$D$503,129)))=0,"","Specialty: "&amp;IF(LEN(INDEX('Providers'!$D$4:$D$503,129))=0,"",INDEX('Providers'!$D$4:$D$503,129))&amp;". ")&amp;IF(LEN(IF(LEN(INDEX('Providers'!$AK$4:$AK$503,129))=0,"",INDEX('Providers'!$AK$4:$AK$503,129)))=0,"",IF(LEN(INDEX('Providers'!$AK$4:$AK$503,129))=0,"",INDEX('Providers'!$AK$4:$AK$503,129))))</f>
        <v/>
      </c>
      <c r="J132">
        <f>IF(LEN(INDEX('Providers'!$AJ$4:$AJ$503,129))=0,"",INDEX('Providers'!$AJ$4:$AJ$503,129))</f>
        <v/>
      </c>
      <c r="K132">
        <f>IF(LEN(INDEX('Providers'!$AI$4:$AI$503,129))=0,"",INDEX('Providers'!$AI$4:$AI$503,129))</f>
        <v/>
      </c>
    </row>
    <row r="133">
      <c r="A133">
        <f>IF(AND(LEN('Providers'!A133)&gt;0,ISNUMBER('Providers'!G133)),1,0)</f>
        <v/>
      </c>
      <c r="B133">
        <f>B132+A133</f>
        <v/>
      </c>
      <c r="C133">
        <f>IF(130&gt;$B$4503,"",MATCH(130-0.5,$B$3:$B$4503,1))</f>
        <v/>
      </c>
      <c r="D133">
        <f>"State license ("&amp;IF(LEN(INDEX('Providers'!$E$4:$E$503,130))=0,"",INDEX('Providers'!$E$4:$E$503,130))&amp;") – "&amp;IF(LEN(INDEX('Providers'!$A$4:$A$503,130))=0,"",INDEX('Providers'!$A$4:$A$503,130))</f>
        <v/>
      </c>
      <c r="E133">
        <f>IF(ISNUMBER(INDEX('Providers'!$G$4:$G$503,130)),TEXT(INDEX('Providers'!$G$4:$G$503,130),"yyyy-mm-dd"),"")</f>
        <v/>
      </c>
      <c r="F133">
        <f>"License"</f>
        <v/>
      </c>
      <c r="G133">
        <f>""</f>
        <v/>
      </c>
      <c r="H133">
        <f>"High"</f>
        <v/>
      </c>
      <c r="I133">
        <f>TRIM(IF(LEN(IF(LEN(INDEX('Providers'!$F$4:$F$503,130))=0,"",INDEX('Providers'!$F$4:$F$503,130)))=0,"","License no.: "&amp;IF(LEN(INDEX('Providers'!$F$4:$F$503,130))=0,"",INDEX('Providers'!$F$4:$F$503,130))&amp;". ")&amp;IF(LEN(IF(LEN(INDEX('Providers'!$C$4:$C$503,130))=0,"",INDEX('Providers'!$C$4:$C$503,130)))=0,"","NPI: "&amp;IF(LEN(INDEX('Providers'!$C$4:$C$503,130))=0,"",INDEX('Providers'!$C$4:$C$503,130))&amp;". ")&amp;IF(LEN(IF(LEN(INDEX('Providers'!$D$4:$D$503,130))=0,"",INDEX('Providers'!$D$4:$D$503,130)))=0,"","Specialty: "&amp;IF(LEN(INDEX('Providers'!$D$4:$D$503,130))=0,"",INDEX('Providers'!$D$4:$D$503,130))&amp;". ")&amp;IF(LEN(IF(LEN(INDEX('Providers'!$AK$4:$AK$503,130))=0,"",INDEX('Providers'!$AK$4:$AK$503,130)))=0,"",IF(LEN(INDEX('Providers'!$AK$4:$AK$503,130))=0,"",INDEX('Providers'!$AK$4:$AK$503,130))))</f>
        <v/>
      </c>
      <c r="J133">
        <f>IF(LEN(INDEX('Providers'!$AJ$4:$AJ$503,130))=0,"",INDEX('Providers'!$AJ$4:$AJ$503,130))</f>
        <v/>
      </c>
      <c r="K133">
        <f>IF(LEN(INDEX('Providers'!$AI$4:$AI$503,130))=0,"",INDEX('Providers'!$AI$4:$AI$503,130))</f>
        <v/>
      </c>
    </row>
    <row r="134">
      <c r="A134">
        <f>IF(AND(LEN('Providers'!A134)&gt;0,ISNUMBER('Providers'!G134)),1,0)</f>
        <v/>
      </c>
      <c r="B134">
        <f>B133+A134</f>
        <v/>
      </c>
      <c r="C134">
        <f>IF(131&gt;$B$4503,"",MATCH(131-0.5,$B$3:$B$4503,1))</f>
        <v/>
      </c>
      <c r="D134">
        <f>"State license ("&amp;IF(LEN(INDEX('Providers'!$E$4:$E$503,131))=0,"",INDEX('Providers'!$E$4:$E$503,131))&amp;") – "&amp;IF(LEN(INDEX('Providers'!$A$4:$A$503,131))=0,"",INDEX('Providers'!$A$4:$A$503,131))</f>
        <v/>
      </c>
      <c r="E134">
        <f>IF(ISNUMBER(INDEX('Providers'!$G$4:$G$503,131)),TEXT(INDEX('Providers'!$G$4:$G$503,131),"yyyy-mm-dd"),"")</f>
        <v/>
      </c>
      <c r="F134">
        <f>"License"</f>
        <v/>
      </c>
      <c r="G134">
        <f>""</f>
        <v/>
      </c>
      <c r="H134">
        <f>"High"</f>
        <v/>
      </c>
      <c r="I134">
        <f>TRIM(IF(LEN(IF(LEN(INDEX('Providers'!$F$4:$F$503,131))=0,"",INDEX('Providers'!$F$4:$F$503,131)))=0,"","License no.: "&amp;IF(LEN(INDEX('Providers'!$F$4:$F$503,131))=0,"",INDEX('Providers'!$F$4:$F$503,131))&amp;". ")&amp;IF(LEN(IF(LEN(INDEX('Providers'!$C$4:$C$503,131))=0,"",INDEX('Providers'!$C$4:$C$503,131)))=0,"","NPI: "&amp;IF(LEN(INDEX('Providers'!$C$4:$C$503,131))=0,"",INDEX('Providers'!$C$4:$C$503,131))&amp;". ")&amp;IF(LEN(IF(LEN(INDEX('Providers'!$D$4:$D$503,131))=0,"",INDEX('Providers'!$D$4:$D$503,131)))=0,"","Specialty: "&amp;IF(LEN(INDEX('Providers'!$D$4:$D$503,131))=0,"",INDEX('Providers'!$D$4:$D$503,131))&amp;". ")&amp;IF(LEN(IF(LEN(INDEX('Providers'!$AK$4:$AK$503,131))=0,"",INDEX('Providers'!$AK$4:$AK$503,131)))=0,"",IF(LEN(INDEX('Providers'!$AK$4:$AK$503,131))=0,"",INDEX('Providers'!$AK$4:$AK$503,131))))</f>
        <v/>
      </c>
      <c r="J134">
        <f>IF(LEN(INDEX('Providers'!$AJ$4:$AJ$503,131))=0,"",INDEX('Providers'!$AJ$4:$AJ$503,131))</f>
        <v/>
      </c>
      <c r="K134">
        <f>IF(LEN(INDEX('Providers'!$AI$4:$AI$503,131))=0,"",INDEX('Providers'!$AI$4:$AI$503,131))</f>
        <v/>
      </c>
    </row>
    <row r="135">
      <c r="A135">
        <f>IF(AND(LEN('Providers'!A135)&gt;0,ISNUMBER('Providers'!G135)),1,0)</f>
        <v/>
      </c>
      <c r="B135">
        <f>B134+A135</f>
        <v/>
      </c>
      <c r="C135">
        <f>IF(132&gt;$B$4503,"",MATCH(132-0.5,$B$3:$B$4503,1))</f>
        <v/>
      </c>
      <c r="D135">
        <f>"State license ("&amp;IF(LEN(INDEX('Providers'!$E$4:$E$503,132))=0,"",INDEX('Providers'!$E$4:$E$503,132))&amp;") – "&amp;IF(LEN(INDEX('Providers'!$A$4:$A$503,132))=0,"",INDEX('Providers'!$A$4:$A$503,132))</f>
        <v/>
      </c>
      <c r="E135">
        <f>IF(ISNUMBER(INDEX('Providers'!$G$4:$G$503,132)),TEXT(INDEX('Providers'!$G$4:$G$503,132),"yyyy-mm-dd"),"")</f>
        <v/>
      </c>
      <c r="F135">
        <f>"License"</f>
        <v/>
      </c>
      <c r="G135">
        <f>""</f>
        <v/>
      </c>
      <c r="H135">
        <f>"High"</f>
        <v/>
      </c>
      <c r="I135">
        <f>TRIM(IF(LEN(IF(LEN(INDEX('Providers'!$F$4:$F$503,132))=0,"",INDEX('Providers'!$F$4:$F$503,132)))=0,"","License no.: "&amp;IF(LEN(INDEX('Providers'!$F$4:$F$503,132))=0,"",INDEX('Providers'!$F$4:$F$503,132))&amp;". ")&amp;IF(LEN(IF(LEN(INDEX('Providers'!$C$4:$C$503,132))=0,"",INDEX('Providers'!$C$4:$C$503,132)))=0,"","NPI: "&amp;IF(LEN(INDEX('Providers'!$C$4:$C$503,132))=0,"",INDEX('Providers'!$C$4:$C$503,132))&amp;". ")&amp;IF(LEN(IF(LEN(INDEX('Providers'!$D$4:$D$503,132))=0,"",INDEX('Providers'!$D$4:$D$503,132)))=0,"","Specialty: "&amp;IF(LEN(INDEX('Providers'!$D$4:$D$503,132))=0,"",INDEX('Providers'!$D$4:$D$503,132))&amp;". ")&amp;IF(LEN(IF(LEN(INDEX('Providers'!$AK$4:$AK$503,132))=0,"",INDEX('Providers'!$AK$4:$AK$503,132)))=0,"",IF(LEN(INDEX('Providers'!$AK$4:$AK$503,132))=0,"",INDEX('Providers'!$AK$4:$AK$503,132))))</f>
        <v/>
      </c>
      <c r="J135">
        <f>IF(LEN(INDEX('Providers'!$AJ$4:$AJ$503,132))=0,"",INDEX('Providers'!$AJ$4:$AJ$503,132))</f>
        <v/>
      </c>
      <c r="K135">
        <f>IF(LEN(INDEX('Providers'!$AI$4:$AI$503,132))=0,"",INDEX('Providers'!$AI$4:$AI$503,132))</f>
        <v/>
      </c>
    </row>
    <row r="136">
      <c r="A136">
        <f>IF(AND(LEN('Providers'!A136)&gt;0,ISNUMBER('Providers'!G136)),1,0)</f>
        <v/>
      </c>
      <c r="B136">
        <f>B135+A136</f>
        <v/>
      </c>
      <c r="C136">
        <f>IF(133&gt;$B$4503,"",MATCH(133-0.5,$B$3:$B$4503,1))</f>
        <v/>
      </c>
      <c r="D136">
        <f>"State license ("&amp;IF(LEN(INDEX('Providers'!$E$4:$E$503,133))=0,"",INDEX('Providers'!$E$4:$E$503,133))&amp;") – "&amp;IF(LEN(INDEX('Providers'!$A$4:$A$503,133))=0,"",INDEX('Providers'!$A$4:$A$503,133))</f>
        <v/>
      </c>
      <c r="E136">
        <f>IF(ISNUMBER(INDEX('Providers'!$G$4:$G$503,133)),TEXT(INDEX('Providers'!$G$4:$G$503,133),"yyyy-mm-dd"),"")</f>
        <v/>
      </c>
      <c r="F136">
        <f>"License"</f>
        <v/>
      </c>
      <c r="G136">
        <f>""</f>
        <v/>
      </c>
      <c r="H136">
        <f>"High"</f>
        <v/>
      </c>
      <c r="I136">
        <f>TRIM(IF(LEN(IF(LEN(INDEX('Providers'!$F$4:$F$503,133))=0,"",INDEX('Providers'!$F$4:$F$503,133)))=0,"","License no.: "&amp;IF(LEN(INDEX('Providers'!$F$4:$F$503,133))=0,"",INDEX('Providers'!$F$4:$F$503,133))&amp;". ")&amp;IF(LEN(IF(LEN(INDEX('Providers'!$C$4:$C$503,133))=0,"",INDEX('Providers'!$C$4:$C$503,133)))=0,"","NPI: "&amp;IF(LEN(INDEX('Providers'!$C$4:$C$503,133))=0,"",INDEX('Providers'!$C$4:$C$503,133))&amp;". ")&amp;IF(LEN(IF(LEN(INDEX('Providers'!$D$4:$D$503,133))=0,"",INDEX('Providers'!$D$4:$D$503,133)))=0,"","Specialty: "&amp;IF(LEN(INDEX('Providers'!$D$4:$D$503,133))=0,"",INDEX('Providers'!$D$4:$D$503,133))&amp;". ")&amp;IF(LEN(IF(LEN(INDEX('Providers'!$AK$4:$AK$503,133))=0,"",INDEX('Providers'!$AK$4:$AK$503,133)))=0,"",IF(LEN(INDEX('Providers'!$AK$4:$AK$503,133))=0,"",INDEX('Providers'!$AK$4:$AK$503,133))))</f>
        <v/>
      </c>
      <c r="J136">
        <f>IF(LEN(INDEX('Providers'!$AJ$4:$AJ$503,133))=0,"",INDEX('Providers'!$AJ$4:$AJ$503,133))</f>
        <v/>
      </c>
      <c r="K136">
        <f>IF(LEN(INDEX('Providers'!$AI$4:$AI$503,133))=0,"",INDEX('Providers'!$AI$4:$AI$503,133))</f>
        <v/>
      </c>
    </row>
    <row r="137">
      <c r="A137">
        <f>IF(AND(LEN('Providers'!A137)&gt;0,ISNUMBER('Providers'!G137)),1,0)</f>
        <v/>
      </c>
      <c r="B137">
        <f>B136+A137</f>
        <v/>
      </c>
      <c r="C137">
        <f>IF(134&gt;$B$4503,"",MATCH(134-0.5,$B$3:$B$4503,1))</f>
        <v/>
      </c>
      <c r="D137">
        <f>"State license ("&amp;IF(LEN(INDEX('Providers'!$E$4:$E$503,134))=0,"",INDEX('Providers'!$E$4:$E$503,134))&amp;") – "&amp;IF(LEN(INDEX('Providers'!$A$4:$A$503,134))=0,"",INDEX('Providers'!$A$4:$A$503,134))</f>
        <v/>
      </c>
      <c r="E137">
        <f>IF(ISNUMBER(INDEX('Providers'!$G$4:$G$503,134)),TEXT(INDEX('Providers'!$G$4:$G$503,134),"yyyy-mm-dd"),"")</f>
        <v/>
      </c>
      <c r="F137">
        <f>"License"</f>
        <v/>
      </c>
      <c r="G137">
        <f>""</f>
        <v/>
      </c>
      <c r="H137">
        <f>"High"</f>
        <v/>
      </c>
      <c r="I137">
        <f>TRIM(IF(LEN(IF(LEN(INDEX('Providers'!$F$4:$F$503,134))=0,"",INDEX('Providers'!$F$4:$F$503,134)))=0,"","License no.: "&amp;IF(LEN(INDEX('Providers'!$F$4:$F$503,134))=0,"",INDEX('Providers'!$F$4:$F$503,134))&amp;". ")&amp;IF(LEN(IF(LEN(INDEX('Providers'!$C$4:$C$503,134))=0,"",INDEX('Providers'!$C$4:$C$503,134)))=0,"","NPI: "&amp;IF(LEN(INDEX('Providers'!$C$4:$C$503,134))=0,"",INDEX('Providers'!$C$4:$C$503,134))&amp;". ")&amp;IF(LEN(IF(LEN(INDEX('Providers'!$D$4:$D$503,134))=0,"",INDEX('Providers'!$D$4:$D$503,134)))=0,"","Specialty: "&amp;IF(LEN(INDEX('Providers'!$D$4:$D$503,134))=0,"",INDEX('Providers'!$D$4:$D$503,134))&amp;". ")&amp;IF(LEN(IF(LEN(INDEX('Providers'!$AK$4:$AK$503,134))=0,"",INDEX('Providers'!$AK$4:$AK$503,134)))=0,"",IF(LEN(INDEX('Providers'!$AK$4:$AK$503,134))=0,"",INDEX('Providers'!$AK$4:$AK$503,134))))</f>
        <v/>
      </c>
      <c r="J137">
        <f>IF(LEN(INDEX('Providers'!$AJ$4:$AJ$503,134))=0,"",INDEX('Providers'!$AJ$4:$AJ$503,134))</f>
        <v/>
      </c>
      <c r="K137">
        <f>IF(LEN(INDEX('Providers'!$AI$4:$AI$503,134))=0,"",INDEX('Providers'!$AI$4:$AI$503,134))</f>
        <v/>
      </c>
    </row>
    <row r="138">
      <c r="A138">
        <f>IF(AND(LEN('Providers'!A138)&gt;0,ISNUMBER('Providers'!G138)),1,0)</f>
        <v/>
      </c>
      <c r="B138">
        <f>B137+A138</f>
        <v/>
      </c>
      <c r="C138">
        <f>IF(135&gt;$B$4503,"",MATCH(135-0.5,$B$3:$B$4503,1))</f>
        <v/>
      </c>
      <c r="D138">
        <f>"State license ("&amp;IF(LEN(INDEX('Providers'!$E$4:$E$503,135))=0,"",INDEX('Providers'!$E$4:$E$503,135))&amp;") – "&amp;IF(LEN(INDEX('Providers'!$A$4:$A$503,135))=0,"",INDEX('Providers'!$A$4:$A$503,135))</f>
        <v/>
      </c>
      <c r="E138">
        <f>IF(ISNUMBER(INDEX('Providers'!$G$4:$G$503,135)),TEXT(INDEX('Providers'!$G$4:$G$503,135),"yyyy-mm-dd"),"")</f>
        <v/>
      </c>
      <c r="F138">
        <f>"License"</f>
        <v/>
      </c>
      <c r="G138">
        <f>""</f>
        <v/>
      </c>
      <c r="H138">
        <f>"High"</f>
        <v/>
      </c>
      <c r="I138">
        <f>TRIM(IF(LEN(IF(LEN(INDEX('Providers'!$F$4:$F$503,135))=0,"",INDEX('Providers'!$F$4:$F$503,135)))=0,"","License no.: "&amp;IF(LEN(INDEX('Providers'!$F$4:$F$503,135))=0,"",INDEX('Providers'!$F$4:$F$503,135))&amp;". ")&amp;IF(LEN(IF(LEN(INDEX('Providers'!$C$4:$C$503,135))=0,"",INDEX('Providers'!$C$4:$C$503,135)))=0,"","NPI: "&amp;IF(LEN(INDEX('Providers'!$C$4:$C$503,135))=0,"",INDEX('Providers'!$C$4:$C$503,135))&amp;". ")&amp;IF(LEN(IF(LEN(INDEX('Providers'!$D$4:$D$503,135))=0,"",INDEX('Providers'!$D$4:$D$503,135)))=0,"","Specialty: "&amp;IF(LEN(INDEX('Providers'!$D$4:$D$503,135))=0,"",INDEX('Providers'!$D$4:$D$503,135))&amp;". ")&amp;IF(LEN(IF(LEN(INDEX('Providers'!$AK$4:$AK$503,135))=0,"",INDEX('Providers'!$AK$4:$AK$503,135)))=0,"",IF(LEN(INDEX('Providers'!$AK$4:$AK$503,135))=0,"",INDEX('Providers'!$AK$4:$AK$503,135))))</f>
        <v/>
      </c>
      <c r="J138">
        <f>IF(LEN(INDEX('Providers'!$AJ$4:$AJ$503,135))=0,"",INDEX('Providers'!$AJ$4:$AJ$503,135))</f>
        <v/>
      </c>
      <c r="K138">
        <f>IF(LEN(INDEX('Providers'!$AI$4:$AI$503,135))=0,"",INDEX('Providers'!$AI$4:$AI$503,135))</f>
        <v/>
      </c>
    </row>
    <row r="139">
      <c r="A139">
        <f>IF(AND(LEN('Providers'!A139)&gt;0,ISNUMBER('Providers'!G139)),1,0)</f>
        <v/>
      </c>
      <c r="B139">
        <f>B138+A139</f>
        <v/>
      </c>
      <c r="C139">
        <f>IF(136&gt;$B$4503,"",MATCH(136-0.5,$B$3:$B$4503,1))</f>
        <v/>
      </c>
      <c r="D139">
        <f>"State license ("&amp;IF(LEN(INDEX('Providers'!$E$4:$E$503,136))=0,"",INDEX('Providers'!$E$4:$E$503,136))&amp;") – "&amp;IF(LEN(INDEX('Providers'!$A$4:$A$503,136))=0,"",INDEX('Providers'!$A$4:$A$503,136))</f>
        <v/>
      </c>
      <c r="E139">
        <f>IF(ISNUMBER(INDEX('Providers'!$G$4:$G$503,136)),TEXT(INDEX('Providers'!$G$4:$G$503,136),"yyyy-mm-dd"),"")</f>
        <v/>
      </c>
      <c r="F139">
        <f>"License"</f>
        <v/>
      </c>
      <c r="G139">
        <f>""</f>
        <v/>
      </c>
      <c r="H139">
        <f>"High"</f>
        <v/>
      </c>
      <c r="I139">
        <f>TRIM(IF(LEN(IF(LEN(INDEX('Providers'!$F$4:$F$503,136))=0,"",INDEX('Providers'!$F$4:$F$503,136)))=0,"","License no.: "&amp;IF(LEN(INDEX('Providers'!$F$4:$F$503,136))=0,"",INDEX('Providers'!$F$4:$F$503,136))&amp;". ")&amp;IF(LEN(IF(LEN(INDEX('Providers'!$C$4:$C$503,136))=0,"",INDEX('Providers'!$C$4:$C$503,136)))=0,"","NPI: "&amp;IF(LEN(INDEX('Providers'!$C$4:$C$503,136))=0,"",INDEX('Providers'!$C$4:$C$503,136))&amp;". ")&amp;IF(LEN(IF(LEN(INDEX('Providers'!$D$4:$D$503,136))=0,"",INDEX('Providers'!$D$4:$D$503,136)))=0,"","Specialty: "&amp;IF(LEN(INDEX('Providers'!$D$4:$D$503,136))=0,"",INDEX('Providers'!$D$4:$D$503,136))&amp;". ")&amp;IF(LEN(IF(LEN(INDEX('Providers'!$AK$4:$AK$503,136))=0,"",INDEX('Providers'!$AK$4:$AK$503,136)))=0,"",IF(LEN(INDEX('Providers'!$AK$4:$AK$503,136))=0,"",INDEX('Providers'!$AK$4:$AK$503,136))))</f>
        <v/>
      </c>
      <c r="J139">
        <f>IF(LEN(INDEX('Providers'!$AJ$4:$AJ$503,136))=0,"",INDEX('Providers'!$AJ$4:$AJ$503,136))</f>
        <v/>
      </c>
      <c r="K139">
        <f>IF(LEN(INDEX('Providers'!$AI$4:$AI$503,136))=0,"",INDEX('Providers'!$AI$4:$AI$503,136))</f>
        <v/>
      </c>
    </row>
    <row r="140">
      <c r="A140">
        <f>IF(AND(LEN('Providers'!A140)&gt;0,ISNUMBER('Providers'!G140)),1,0)</f>
        <v/>
      </c>
      <c r="B140">
        <f>B139+A140</f>
        <v/>
      </c>
      <c r="C140">
        <f>IF(137&gt;$B$4503,"",MATCH(137-0.5,$B$3:$B$4503,1))</f>
        <v/>
      </c>
      <c r="D140">
        <f>"State license ("&amp;IF(LEN(INDEX('Providers'!$E$4:$E$503,137))=0,"",INDEX('Providers'!$E$4:$E$503,137))&amp;") – "&amp;IF(LEN(INDEX('Providers'!$A$4:$A$503,137))=0,"",INDEX('Providers'!$A$4:$A$503,137))</f>
        <v/>
      </c>
      <c r="E140">
        <f>IF(ISNUMBER(INDEX('Providers'!$G$4:$G$503,137)),TEXT(INDEX('Providers'!$G$4:$G$503,137),"yyyy-mm-dd"),"")</f>
        <v/>
      </c>
      <c r="F140">
        <f>"License"</f>
        <v/>
      </c>
      <c r="G140">
        <f>""</f>
        <v/>
      </c>
      <c r="H140">
        <f>"High"</f>
        <v/>
      </c>
      <c r="I140">
        <f>TRIM(IF(LEN(IF(LEN(INDEX('Providers'!$F$4:$F$503,137))=0,"",INDEX('Providers'!$F$4:$F$503,137)))=0,"","License no.: "&amp;IF(LEN(INDEX('Providers'!$F$4:$F$503,137))=0,"",INDEX('Providers'!$F$4:$F$503,137))&amp;". ")&amp;IF(LEN(IF(LEN(INDEX('Providers'!$C$4:$C$503,137))=0,"",INDEX('Providers'!$C$4:$C$503,137)))=0,"","NPI: "&amp;IF(LEN(INDEX('Providers'!$C$4:$C$503,137))=0,"",INDEX('Providers'!$C$4:$C$503,137))&amp;". ")&amp;IF(LEN(IF(LEN(INDEX('Providers'!$D$4:$D$503,137))=0,"",INDEX('Providers'!$D$4:$D$503,137)))=0,"","Specialty: "&amp;IF(LEN(INDEX('Providers'!$D$4:$D$503,137))=0,"",INDEX('Providers'!$D$4:$D$503,137))&amp;". ")&amp;IF(LEN(IF(LEN(INDEX('Providers'!$AK$4:$AK$503,137))=0,"",INDEX('Providers'!$AK$4:$AK$503,137)))=0,"",IF(LEN(INDEX('Providers'!$AK$4:$AK$503,137))=0,"",INDEX('Providers'!$AK$4:$AK$503,137))))</f>
        <v/>
      </c>
      <c r="J140">
        <f>IF(LEN(INDEX('Providers'!$AJ$4:$AJ$503,137))=0,"",INDEX('Providers'!$AJ$4:$AJ$503,137))</f>
        <v/>
      </c>
      <c r="K140">
        <f>IF(LEN(INDEX('Providers'!$AI$4:$AI$503,137))=0,"",INDEX('Providers'!$AI$4:$AI$503,137))</f>
        <v/>
      </c>
    </row>
    <row r="141">
      <c r="A141">
        <f>IF(AND(LEN('Providers'!A141)&gt;0,ISNUMBER('Providers'!G141)),1,0)</f>
        <v/>
      </c>
      <c r="B141">
        <f>B140+A141</f>
        <v/>
      </c>
      <c r="C141">
        <f>IF(138&gt;$B$4503,"",MATCH(138-0.5,$B$3:$B$4503,1))</f>
        <v/>
      </c>
      <c r="D141">
        <f>"State license ("&amp;IF(LEN(INDEX('Providers'!$E$4:$E$503,138))=0,"",INDEX('Providers'!$E$4:$E$503,138))&amp;") – "&amp;IF(LEN(INDEX('Providers'!$A$4:$A$503,138))=0,"",INDEX('Providers'!$A$4:$A$503,138))</f>
        <v/>
      </c>
      <c r="E141">
        <f>IF(ISNUMBER(INDEX('Providers'!$G$4:$G$503,138)),TEXT(INDEX('Providers'!$G$4:$G$503,138),"yyyy-mm-dd"),"")</f>
        <v/>
      </c>
      <c r="F141">
        <f>"License"</f>
        <v/>
      </c>
      <c r="G141">
        <f>""</f>
        <v/>
      </c>
      <c r="H141">
        <f>"High"</f>
        <v/>
      </c>
      <c r="I141">
        <f>TRIM(IF(LEN(IF(LEN(INDEX('Providers'!$F$4:$F$503,138))=0,"",INDEX('Providers'!$F$4:$F$503,138)))=0,"","License no.: "&amp;IF(LEN(INDEX('Providers'!$F$4:$F$503,138))=0,"",INDEX('Providers'!$F$4:$F$503,138))&amp;". ")&amp;IF(LEN(IF(LEN(INDEX('Providers'!$C$4:$C$503,138))=0,"",INDEX('Providers'!$C$4:$C$503,138)))=0,"","NPI: "&amp;IF(LEN(INDEX('Providers'!$C$4:$C$503,138))=0,"",INDEX('Providers'!$C$4:$C$503,138))&amp;". ")&amp;IF(LEN(IF(LEN(INDEX('Providers'!$D$4:$D$503,138))=0,"",INDEX('Providers'!$D$4:$D$503,138)))=0,"","Specialty: "&amp;IF(LEN(INDEX('Providers'!$D$4:$D$503,138))=0,"",INDEX('Providers'!$D$4:$D$503,138))&amp;". ")&amp;IF(LEN(IF(LEN(INDEX('Providers'!$AK$4:$AK$503,138))=0,"",INDEX('Providers'!$AK$4:$AK$503,138)))=0,"",IF(LEN(INDEX('Providers'!$AK$4:$AK$503,138))=0,"",INDEX('Providers'!$AK$4:$AK$503,138))))</f>
        <v/>
      </c>
      <c r="J141">
        <f>IF(LEN(INDEX('Providers'!$AJ$4:$AJ$503,138))=0,"",INDEX('Providers'!$AJ$4:$AJ$503,138))</f>
        <v/>
      </c>
      <c r="K141">
        <f>IF(LEN(INDEX('Providers'!$AI$4:$AI$503,138))=0,"",INDEX('Providers'!$AI$4:$AI$503,138))</f>
        <v/>
      </c>
    </row>
    <row r="142">
      <c r="A142">
        <f>IF(AND(LEN('Providers'!A142)&gt;0,ISNUMBER('Providers'!G142)),1,0)</f>
        <v/>
      </c>
      <c r="B142">
        <f>B141+A142</f>
        <v/>
      </c>
      <c r="C142">
        <f>IF(139&gt;$B$4503,"",MATCH(139-0.5,$B$3:$B$4503,1))</f>
        <v/>
      </c>
      <c r="D142">
        <f>"State license ("&amp;IF(LEN(INDEX('Providers'!$E$4:$E$503,139))=0,"",INDEX('Providers'!$E$4:$E$503,139))&amp;") – "&amp;IF(LEN(INDEX('Providers'!$A$4:$A$503,139))=0,"",INDEX('Providers'!$A$4:$A$503,139))</f>
        <v/>
      </c>
      <c r="E142">
        <f>IF(ISNUMBER(INDEX('Providers'!$G$4:$G$503,139)),TEXT(INDEX('Providers'!$G$4:$G$503,139),"yyyy-mm-dd"),"")</f>
        <v/>
      </c>
      <c r="F142">
        <f>"License"</f>
        <v/>
      </c>
      <c r="G142">
        <f>""</f>
        <v/>
      </c>
      <c r="H142">
        <f>"High"</f>
        <v/>
      </c>
      <c r="I142">
        <f>TRIM(IF(LEN(IF(LEN(INDEX('Providers'!$F$4:$F$503,139))=0,"",INDEX('Providers'!$F$4:$F$503,139)))=0,"","License no.: "&amp;IF(LEN(INDEX('Providers'!$F$4:$F$503,139))=0,"",INDEX('Providers'!$F$4:$F$503,139))&amp;". ")&amp;IF(LEN(IF(LEN(INDEX('Providers'!$C$4:$C$503,139))=0,"",INDEX('Providers'!$C$4:$C$503,139)))=0,"","NPI: "&amp;IF(LEN(INDEX('Providers'!$C$4:$C$503,139))=0,"",INDEX('Providers'!$C$4:$C$503,139))&amp;". ")&amp;IF(LEN(IF(LEN(INDEX('Providers'!$D$4:$D$503,139))=0,"",INDEX('Providers'!$D$4:$D$503,139)))=0,"","Specialty: "&amp;IF(LEN(INDEX('Providers'!$D$4:$D$503,139))=0,"",INDEX('Providers'!$D$4:$D$503,139))&amp;". ")&amp;IF(LEN(IF(LEN(INDEX('Providers'!$AK$4:$AK$503,139))=0,"",INDEX('Providers'!$AK$4:$AK$503,139)))=0,"",IF(LEN(INDEX('Providers'!$AK$4:$AK$503,139))=0,"",INDEX('Providers'!$AK$4:$AK$503,139))))</f>
        <v/>
      </c>
      <c r="J142">
        <f>IF(LEN(INDEX('Providers'!$AJ$4:$AJ$503,139))=0,"",INDEX('Providers'!$AJ$4:$AJ$503,139))</f>
        <v/>
      </c>
      <c r="K142">
        <f>IF(LEN(INDEX('Providers'!$AI$4:$AI$503,139))=0,"",INDEX('Providers'!$AI$4:$AI$503,139))</f>
        <v/>
      </c>
    </row>
    <row r="143">
      <c r="A143">
        <f>IF(AND(LEN('Providers'!A143)&gt;0,ISNUMBER('Providers'!G143)),1,0)</f>
        <v/>
      </c>
      <c r="B143">
        <f>B142+A143</f>
        <v/>
      </c>
      <c r="C143">
        <f>IF(140&gt;$B$4503,"",MATCH(140-0.5,$B$3:$B$4503,1))</f>
        <v/>
      </c>
      <c r="D143">
        <f>"State license ("&amp;IF(LEN(INDEX('Providers'!$E$4:$E$503,140))=0,"",INDEX('Providers'!$E$4:$E$503,140))&amp;") – "&amp;IF(LEN(INDEX('Providers'!$A$4:$A$503,140))=0,"",INDEX('Providers'!$A$4:$A$503,140))</f>
        <v/>
      </c>
      <c r="E143">
        <f>IF(ISNUMBER(INDEX('Providers'!$G$4:$G$503,140)),TEXT(INDEX('Providers'!$G$4:$G$503,140),"yyyy-mm-dd"),"")</f>
        <v/>
      </c>
      <c r="F143">
        <f>"License"</f>
        <v/>
      </c>
      <c r="G143">
        <f>""</f>
        <v/>
      </c>
      <c r="H143">
        <f>"High"</f>
        <v/>
      </c>
      <c r="I143">
        <f>TRIM(IF(LEN(IF(LEN(INDEX('Providers'!$F$4:$F$503,140))=0,"",INDEX('Providers'!$F$4:$F$503,140)))=0,"","License no.: "&amp;IF(LEN(INDEX('Providers'!$F$4:$F$503,140))=0,"",INDEX('Providers'!$F$4:$F$503,140))&amp;". ")&amp;IF(LEN(IF(LEN(INDEX('Providers'!$C$4:$C$503,140))=0,"",INDEX('Providers'!$C$4:$C$503,140)))=0,"","NPI: "&amp;IF(LEN(INDEX('Providers'!$C$4:$C$503,140))=0,"",INDEX('Providers'!$C$4:$C$503,140))&amp;". ")&amp;IF(LEN(IF(LEN(INDEX('Providers'!$D$4:$D$503,140))=0,"",INDEX('Providers'!$D$4:$D$503,140)))=0,"","Specialty: "&amp;IF(LEN(INDEX('Providers'!$D$4:$D$503,140))=0,"",INDEX('Providers'!$D$4:$D$503,140))&amp;". ")&amp;IF(LEN(IF(LEN(INDEX('Providers'!$AK$4:$AK$503,140))=0,"",INDEX('Providers'!$AK$4:$AK$503,140)))=0,"",IF(LEN(INDEX('Providers'!$AK$4:$AK$503,140))=0,"",INDEX('Providers'!$AK$4:$AK$503,140))))</f>
        <v/>
      </c>
      <c r="J143">
        <f>IF(LEN(INDEX('Providers'!$AJ$4:$AJ$503,140))=0,"",INDEX('Providers'!$AJ$4:$AJ$503,140))</f>
        <v/>
      </c>
      <c r="K143">
        <f>IF(LEN(INDEX('Providers'!$AI$4:$AI$503,140))=0,"",INDEX('Providers'!$AI$4:$AI$503,140))</f>
        <v/>
      </c>
    </row>
    <row r="144">
      <c r="A144">
        <f>IF(AND(LEN('Providers'!A144)&gt;0,ISNUMBER('Providers'!G144)),1,0)</f>
        <v/>
      </c>
      <c r="B144">
        <f>B143+A144</f>
        <v/>
      </c>
      <c r="C144">
        <f>IF(141&gt;$B$4503,"",MATCH(141-0.5,$B$3:$B$4503,1))</f>
        <v/>
      </c>
      <c r="D144">
        <f>"State license ("&amp;IF(LEN(INDEX('Providers'!$E$4:$E$503,141))=0,"",INDEX('Providers'!$E$4:$E$503,141))&amp;") – "&amp;IF(LEN(INDEX('Providers'!$A$4:$A$503,141))=0,"",INDEX('Providers'!$A$4:$A$503,141))</f>
        <v/>
      </c>
      <c r="E144">
        <f>IF(ISNUMBER(INDEX('Providers'!$G$4:$G$503,141)),TEXT(INDEX('Providers'!$G$4:$G$503,141),"yyyy-mm-dd"),"")</f>
        <v/>
      </c>
      <c r="F144">
        <f>"License"</f>
        <v/>
      </c>
      <c r="G144">
        <f>""</f>
        <v/>
      </c>
      <c r="H144">
        <f>"High"</f>
        <v/>
      </c>
      <c r="I144">
        <f>TRIM(IF(LEN(IF(LEN(INDEX('Providers'!$F$4:$F$503,141))=0,"",INDEX('Providers'!$F$4:$F$503,141)))=0,"","License no.: "&amp;IF(LEN(INDEX('Providers'!$F$4:$F$503,141))=0,"",INDEX('Providers'!$F$4:$F$503,141))&amp;". ")&amp;IF(LEN(IF(LEN(INDEX('Providers'!$C$4:$C$503,141))=0,"",INDEX('Providers'!$C$4:$C$503,141)))=0,"","NPI: "&amp;IF(LEN(INDEX('Providers'!$C$4:$C$503,141))=0,"",INDEX('Providers'!$C$4:$C$503,141))&amp;". ")&amp;IF(LEN(IF(LEN(INDEX('Providers'!$D$4:$D$503,141))=0,"",INDEX('Providers'!$D$4:$D$503,141)))=0,"","Specialty: "&amp;IF(LEN(INDEX('Providers'!$D$4:$D$503,141))=0,"",INDEX('Providers'!$D$4:$D$503,141))&amp;". ")&amp;IF(LEN(IF(LEN(INDEX('Providers'!$AK$4:$AK$503,141))=0,"",INDEX('Providers'!$AK$4:$AK$503,141)))=0,"",IF(LEN(INDEX('Providers'!$AK$4:$AK$503,141))=0,"",INDEX('Providers'!$AK$4:$AK$503,141))))</f>
        <v/>
      </c>
      <c r="J144">
        <f>IF(LEN(INDEX('Providers'!$AJ$4:$AJ$503,141))=0,"",INDEX('Providers'!$AJ$4:$AJ$503,141))</f>
        <v/>
      </c>
      <c r="K144">
        <f>IF(LEN(INDEX('Providers'!$AI$4:$AI$503,141))=0,"",INDEX('Providers'!$AI$4:$AI$503,141))</f>
        <v/>
      </c>
    </row>
    <row r="145">
      <c r="A145">
        <f>IF(AND(LEN('Providers'!A145)&gt;0,ISNUMBER('Providers'!G145)),1,0)</f>
        <v/>
      </c>
      <c r="B145">
        <f>B144+A145</f>
        <v/>
      </c>
      <c r="C145">
        <f>IF(142&gt;$B$4503,"",MATCH(142-0.5,$B$3:$B$4503,1))</f>
        <v/>
      </c>
      <c r="D145">
        <f>"State license ("&amp;IF(LEN(INDEX('Providers'!$E$4:$E$503,142))=0,"",INDEX('Providers'!$E$4:$E$503,142))&amp;") – "&amp;IF(LEN(INDEX('Providers'!$A$4:$A$503,142))=0,"",INDEX('Providers'!$A$4:$A$503,142))</f>
        <v/>
      </c>
      <c r="E145">
        <f>IF(ISNUMBER(INDEX('Providers'!$G$4:$G$503,142)),TEXT(INDEX('Providers'!$G$4:$G$503,142),"yyyy-mm-dd"),"")</f>
        <v/>
      </c>
      <c r="F145">
        <f>"License"</f>
        <v/>
      </c>
      <c r="G145">
        <f>""</f>
        <v/>
      </c>
      <c r="H145">
        <f>"High"</f>
        <v/>
      </c>
      <c r="I145">
        <f>TRIM(IF(LEN(IF(LEN(INDEX('Providers'!$F$4:$F$503,142))=0,"",INDEX('Providers'!$F$4:$F$503,142)))=0,"","License no.: "&amp;IF(LEN(INDEX('Providers'!$F$4:$F$503,142))=0,"",INDEX('Providers'!$F$4:$F$503,142))&amp;". ")&amp;IF(LEN(IF(LEN(INDEX('Providers'!$C$4:$C$503,142))=0,"",INDEX('Providers'!$C$4:$C$503,142)))=0,"","NPI: "&amp;IF(LEN(INDEX('Providers'!$C$4:$C$503,142))=0,"",INDEX('Providers'!$C$4:$C$503,142))&amp;". ")&amp;IF(LEN(IF(LEN(INDEX('Providers'!$D$4:$D$503,142))=0,"",INDEX('Providers'!$D$4:$D$503,142)))=0,"","Specialty: "&amp;IF(LEN(INDEX('Providers'!$D$4:$D$503,142))=0,"",INDEX('Providers'!$D$4:$D$503,142))&amp;". ")&amp;IF(LEN(IF(LEN(INDEX('Providers'!$AK$4:$AK$503,142))=0,"",INDEX('Providers'!$AK$4:$AK$503,142)))=0,"",IF(LEN(INDEX('Providers'!$AK$4:$AK$503,142))=0,"",INDEX('Providers'!$AK$4:$AK$503,142))))</f>
        <v/>
      </c>
      <c r="J145">
        <f>IF(LEN(INDEX('Providers'!$AJ$4:$AJ$503,142))=0,"",INDEX('Providers'!$AJ$4:$AJ$503,142))</f>
        <v/>
      </c>
      <c r="K145">
        <f>IF(LEN(INDEX('Providers'!$AI$4:$AI$503,142))=0,"",INDEX('Providers'!$AI$4:$AI$503,142))</f>
        <v/>
      </c>
    </row>
    <row r="146">
      <c r="A146">
        <f>IF(AND(LEN('Providers'!A146)&gt;0,ISNUMBER('Providers'!G146)),1,0)</f>
        <v/>
      </c>
      <c r="B146">
        <f>B145+A146</f>
        <v/>
      </c>
      <c r="C146">
        <f>IF(143&gt;$B$4503,"",MATCH(143-0.5,$B$3:$B$4503,1))</f>
        <v/>
      </c>
      <c r="D146">
        <f>"State license ("&amp;IF(LEN(INDEX('Providers'!$E$4:$E$503,143))=0,"",INDEX('Providers'!$E$4:$E$503,143))&amp;") – "&amp;IF(LEN(INDEX('Providers'!$A$4:$A$503,143))=0,"",INDEX('Providers'!$A$4:$A$503,143))</f>
        <v/>
      </c>
      <c r="E146">
        <f>IF(ISNUMBER(INDEX('Providers'!$G$4:$G$503,143)),TEXT(INDEX('Providers'!$G$4:$G$503,143),"yyyy-mm-dd"),"")</f>
        <v/>
      </c>
      <c r="F146">
        <f>"License"</f>
        <v/>
      </c>
      <c r="G146">
        <f>""</f>
        <v/>
      </c>
      <c r="H146">
        <f>"High"</f>
        <v/>
      </c>
      <c r="I146">
        <f>TRIM(IF(LEN(IF(LEN(INDEX('Providers'!$F$4:$F$503,143))=0,"",INDEX('Providers'!$F$4:$F$503,143)))=0,"","License no.: "&amp;IF(LEN(INDEX('Providers'!$F$4:$F$503,143))=0,"",INDEX('Providers'!$F$4:$F$503,143))&amp;". ")&amp;IF(LEN(IF(LEN(INDEX('Providers'!$C$4:$C$503,143))=0,"",INDEX('Providers'!$C$4:$C$503,143)))=0,"","NPI: "&amp;IF(LEN(INDEX('Providers'!$C$4:$C$503,143))=0,"",INDEX('Providers'!$C$4:$C$503,143))&amp;". ")&amp;IF(LEN(IF(LEN(INDEX('Providers'!$D$4:$D$503,143))=0,"",INDEX('Providers'!$D$4:$D$503,143)))=0,"","Specialty: "&amp;IF(LEN(INDEX('Providers'!$D$4:$D$503,143))=0,"",INDEX('Providers'!$D$4:$D$503,143))&amp;". ")&amp;IF(LEN(IF(LEN(INDEX('Providers'!$AK$4:$AK$503,143))=0,"",INDEX('Providers'!$AK$4:$AK$503,143)))=0,"",IF(LEN(INDEX('Providers'!$AK$4:$AK$503,143))=0,"",INDEX('Providers'!$AK$4:$AK$503,143))))</f>
        <v/>
      </c>
      <c r="J146">
        <f>IF(LEN(INDEX('Providers'!$AJ$4:$AJ$503,143))=0,"",INDEX('Providers'!$AJ$4:$AJ$503,143))</f>
        <v/>
      </c>
      <c r="K146">
        <f>IF(LEN(INDEX('Providers'!$AI$4:$AI$503,143))=0,"",INDEX('Providers'!$AI$4:$AI$503,143))</f>
        <v/>
      </c>
    </row>
    <row r="147">
      <c r="A147">
        <f>IF(AND(LEN('Providers'!A147)&gt;0,ISNUMBER('Providers'!G147)),1,0)</f>
        <v/>
      </c>
      <c r="B147">
        <f>B146+A147</f>
        <v/>
      </c>
      <c r="C147">
        <f>IF(144&gt;$B$4503,"",MATCH(144-0.5,$B$3:$B$4503,1))</f>
        <v/>
      </c>
      <c r="D147">
        <f>"State license ("&amp;IF(LEN(INDEX('Providers'!$E$4:$E$503,144))=0,"",INDEX('Providers'!$E$4:$E$503,144))&amp;") – "&amp;IF(LEN(INDEX('Providers'!$A$4:$A$503,144))=0,"",INDEX('Providers'!$A$4:$A$503,144))</f>
        <v/>
      </c>
      <c r="E147">
        <f>IF(ISNUMBER(INDEX('Providers'!$G$4:$G$503,144)),TEXT(INDEX('Providers'!$G$4:$G$503,144),"yyyy-mm-dd"),"")</f>
        <v/>
      </c>
      <c r="F147">
        <f>"License"</f>
        <v/>
      </c>
      <c r="G147">
        <f>""</f>
        <v/>
      </c>
      <c r="H147">
        <f>"High"</f>
        <v/>
      </c>
      <c r="I147">
        <f>TRIM(IF(LEN(IF(LEN(INDEX('Providers'!$F$4:$F$503,144))=0,"",INDEX('Providers'!$F$4:$F$503,144)))=0,"","License no.: "&amp;IF(LEN(INDEX('Providers'!$F$4:$F$503,144))=0,"",INDEX('Providers'!$F$4:$F$503,144))&amp;". ")&amp;IF(LEN(IF(LEN(INDEX('Providers'!$C$4:$C$503,144))=0,"",INDEX('Providers'!$C$4:$C$503,144)))=0,"","NPI: "&amp;IF(LEN(INDEX('Providers'!$C$4:$C$503,144))=0,"",INDEX('Providers'!$C$4:$C$503,144))&amp;". ")&amp;IF(LEN(IF(LEN(INDEX('Providers'!$D$4:$D$503,144))=0,"",INDEX('Providers'!$D$4:$D$503,144)))=0,"","Specialty: "&amp;IF(LEN(INDEX('Providers'!$D$4:$D$503,144))=0,"",INDEX('Providers'!$D$4:$D$503,144))&amp;". ")&amp;IF(LEN(IF(LEN(INDEX('Providers'!$AK$4:$AK$503,144))=0,"",INDEX('Providers'!$AK$4:$AK$503,144)))=0,"",IF(LEN(INDEX('Providers'!$AK$4:$AK$503,144))=0,"",INDEX('Providers'!$AK$4:$AK$503,144))))</f>
        <v/>
      </c>
      <c r="J147">
        <f>IF(LEN(INDEX('Providers'!$AJ$4:$AJ$503,144))=0,"",INDEX('Providers'!$AJ$4:$AJ$503,144))</f>
        <v/>
      </c>
      <c r="K147">
        <f>IF(LEN(INDEX('Providers'!$AI$4:$AI$503,144))=0,"",INDEX('Providers'!$AI$4:$AI$503,144))</f>
        <v/>
      </c>
    </row>
    <row r="148">
      <c r="A148">
        <f>IF(AND(LEN('Providers'!A148)&gt;0,ISNUMBER('Providers'!G148)),1,0)</f>
        <v/>
      </c>
      <c r="B148">
        <f>B147+A148</f>
        <v/>
      </c>
      <c r="C148">
        <f>IF(145&gt;$B$4503,"",MATCH(145-0.5,$B$3:$B$4503,1))</f>
        <v/>
      </c>
      <c r="D148">
        <f>"State license ("&amp;IF(LEN(INDEX('Providers'!$E$4:$E$503,145))=0,"",INDEX('Providers'!$E$4:$E$503,145))&amp;") – "&amp;IF(LEN(INDEX('Providers'!$A$4:$A$503,145))=0,"",INDEX('Providers'!$A$4:$A$503,145))</f>
        <v/>
      </c>
      <c r="E148">
        <f>IF(ISNUMBER(INDEX('Providers'!$G$4:$G$503,145)),TEXT(INDEX('Providers'!$G$4:$G$503,145),"yyyy-mm-dd"),"")</f>
        <v/>
      </c>
      <c r="F148">
        <f>"License"</f>
        <v/>
      </c>
      <c r="G148">
        <f>""</f>
        <v/>
      </c>
      <c r="H148">
        <f>"High"</f>
        <v/>
      </c>
      <c r="I148">
        <f>TRIM(IF(LEN(IF(LEN(INDEX('Providers'!$F$4:$F$503,145))=0,"",INDEX('Providers'!$F$4:$F$503,145)))=0,"","License no.: "&amp;IF(LEN(INDEX('Providers'!$F$4:$F$503,145))=0,"",INDEX('Providers'!$F$4:$F$503,145))&amp;". ")&amp;IF(LEN(IF(LEN(INDEX('Providers'!$C$4:$C$503,145))=0,"",INDEX('Providers'!$C$4:$C$503,145)))=0,"","NPI: "&amp;IF(LEN(INDEX('Providers'!$C$4:$C$503,145))=0,"",INDEX('Providers'!$C$4:$C$503,145))&amp;". ")&amp;IF(LEN(IF(LEN(INDEX('Providers'!$D$4:$D$503,145))=0,"",INDEX('Providers'!$D$4:$D$503,145)))=0,"","Specialty: "&amp;IF(LEN(INDEX('Providers'!$D$4:$D$503,145))=0,"",INDEX('Providers'!$D$4:$D$503,145))&amp;". ")&amp;IF(LEN(IF(LEN(INDEX('Providers'!$AK$4:$AK$503,145))=0,"",INDEX('Providers'!$AK$4:$AK$503,145)))=0,"",IF(LEN(INDEX('Providers'!$AK$4:$AK$503,145))=0,"",INDEX('Providers'!$AK$4:$AK$503,145))))</f>
        <v/>
      </c>
      <c r="J148">
        <f>IF(LEN(INDEX('Providers'!$AJ$4:$AJ$503,145))=0,"",INDEX('Providers'!$AJ$4:$AJ$503,145))</f>
        <v/>
      </c>
      <c r="K148">
        <f>IF(LEN(INDEX('Providers'!$AI$4:$AI$503,145))=0,"",INDEX('Providers'!$AI$4:$AI$503,145))</f>
        <v/>
      </c>
    </row>
    <row r="149">
      <c r="A149">
        <f>IF(AND(LEN('Providers'!A149)&gt;0,ISNUMBER('Providers'!G149)),1,0)</f>
        <v/>
      </c>
      <c r="B149">
        <f>B148+A149</f>
        <v/>
      </c>
      <c r="C149">
        <f>IF(146&gt;$B$4503,"",MATCH(146-0.5,$B$3:$B$4503,1))</f>
        <v/>
      </c>
      <c r="D149">
        <f>"State license ("&amp;IF(LEN(INDEX('Providers'!$E$4:$E$503,146))=0,"",INDEX('Providers'!$E$4:$E$503,146))&amp;") – "&amp;IF(LEN(INDEX('Providers'!$A$4:$A$503,146))=0,"",INDEX('Providers'!$A$4:$A$503,146))</f>
        <v/>
      </c>
      <c r="E149">
        <f>IF(ISNUMBER(INDEX('Providers'!$G$4:$G$503,146)),TEXT(INDEX('Providers'!$G$4:$G$503,146),"yyyy-mm-dd"),"")</f>
        <v/>
      </c>
      <c r="F149">
        <f>"License"</f>
        <v/>
      </c>
      <c r="G149">
        <f>""</f>
        <v/>
      </c>
      <c r="H149">
        <f>"High"</f>
        <v/>
      </c>
      <c r="I149">
        <f>TRIM(IF(LEN(IF(LEN(INDEX('Providers'!$F$4:$F$503,146))=0,"",INDEX('Providers'!$F$4:$F$503,146)))=0,"","License no.: "&amp;IF(LEN(INDEX('Providers'!$F$4:$F$503,146))=0,"",INDEX('Providers'!$F$4:$F$503,146))&amp;". ")&amp;IF(LEN(IF(LEN(INDEX('Providers'!$C$4:$C$503,146))=0,"",INDEX('Providers'!$C$4:$C$503,146)))=0,"","NPI: "&amp;IF(LEN(INDEX('Providers'!$C$4:$C$503,146))=0,"",INDEX('Providers'!$C$4:$C$503,146))&amp;". ")&amp;IF(LEN(IF(LEN(INDEX('Providers'!$D$4:$D$503,146))=0,"",INDEX('Providers'!$D$4:$D$503,146)))=0,"","Specialty: "&amp;IF(LEN(INDEX('Providers'!$D$4:$D$503,146))=0,"",INDEX('Providers'!$D$4:$D$503,146))&amp;". ")&amp;IF(LEN(IF(LEN(INDEX('Providers'!$AK$4:$AK$503,146))=0,"",INDEX('Providers'!$AK$4:$AK$503,146)))=0,"",IF(LEN(INDEX('Providers'!$AK$4:$AK$503,146))=0,"",INDEX('Providers'!$AK$4:$AK$503,146))))</f>
        <v/>
      </c>
      <c r="J149">
        <f>IF(LEN(INDEX('Providers'!$AJ$4:$AJ$503,146))=0,"",INDEX('Providers'!$AJ$4:$AJ$503,146))</f>
        <v/>
      </c>
      <c r="K149">
        <f>IF(LEN(INDEX('Providers'!$AI$4:$AI$503,146))=0,"",INDEX('Providers'!$AI$4:$AI$503,146))</f>
        <v/>
      </c>
    </row>
    <row r="150">
      <c r="A150">
        <f>IF(AND(LEN('Providers'!A150)&gt;0,ISNUMBER('Providers'!G150)),1,0)</f>
        <v/>
      </c>
      <c r="B150">
        <f>B149+A150</f>
        <v/>
      </c>
      <c r="C150">
        <f>IF(147&gt;$B$4503,"",MATCH(147-0.5,$B$3:$B$4503,1))</f>
        <v/>
      </c>
      <c r="D150">
        <f>"State license ("&amp;IF(LEN(INDEX('Providers'!$E$4:$E$503,147))=0,"",INDEX('Providers'!$E$4:$E$503,147))&amp;") – "&amp;IF(LEN(INDEX('Providers'!$A$4:$A$503,147))=0,"",INDEX('Providers'!$A$4:$A$503,147))</f>
        <v/>
      </c>
      <c r="E150">
        <f>IF(ISNUMBER(INDEX('Providers'!$G$4:$G$503,147)),TEXT(INDEX('Providers'!$G$4:$G$503,147),"yyyy-mm-dd"),"")</f>
        <v/>
      </c>
      <c r="F150">
        <f>"License"</f>
        <v/>
      </c>
      <c r="G150">
        <f>""</f>
        <v/>
      </c>
      <c r="H150">
        <f>"High"</f>
        <v/>
      </c>
      <c r="I150">
        <f>TRIM(IF(LEN(IF(LEN(INDEX('Providers'!$F$4:$F$503,147))=0,"",INDEX('Providers'!$F$4:$F$503,147)))=0,"","License no.: "&amp;IF(LEN(INDEX('Providers'!$F$4:$F$503,147))=0,"",INDEX('Providers'!$F$4:$F$503,147))&amp;". ")&amp;IF(LEN(IF(LEN(INDEX('Providers'!$C$4:$C$503,147))=0,"",INDEX('Providers'!$C$4:$C$503,147)))=0,"","NPI: "&amp;IF(LEN(INDEX('Providers'!$C$4:$C$503,147))=0,"",INDEX('Providers'!$C$4:$C$503,147))&amp;". ")&amp;IF(LEN(IF(LEN(INDEX('Providers'!$D$4:$D$503,147))=0,"",INDEX('Providers'!$D$4:$D$503,147)))=0,"","Specialty: "&amp;IF(LEN(INDEX('Providers'!$D$4:$D$503,147))=0,"",INDEX('Providers'!$D$4:$D$503,147))&amp;". ")&amp;IF(LEN(IF(LEN(INDEX('Providers'!$AK$4:$AK$503,147))=0,"",INDEX('Providers'!$AK$4:$AK$503,147)))=0,"",IF(LEN(INDEX('Providers'!$AK$4:$AK$503,147))=0,"",INDEX('Providers'!$AK$4:$AK$503,147))))</f>
        <v/>
      </c>
      <c r="J150">
        <f>IF(LEN(INDEX('Providers'!$AJ$4:$AJ$503,147))=0,"",INDEX('Providers'!$AJ$4:$AJ$503,147))</f>
        <v/>
      </c>
      <c r="K150">
        <f>IF(LEN(INDEX('Providers'!$AI$4:$AI$503,147))=0,"",INDEX('Providers'!$AI$4:$AI$503,147))</f>
        <v/>
      </c>
    </row>
    <row r="151">
      <c r="A151">
        <f>IF(AND(LEN('Providers'!A151)&gt;0,ISNUMBER('Providers'!G151)),1,0)</f>
        <v/>
      </c>
      <c r="B151">
        <f>B150+A151</f>
        <v/>
      </c>
      <c r="C151">
        <f>IF(148&gt;$B$4503,"",MATCH(148-0.5,$B$3:$B$4503,1))</f>
        <v/>
      </c>
      <c r="D151">
        <f>"State license ("&amp;IF(LEN(INDEX('Providers'!$E$4:$E$503,148))=0,"",INDEX('Providers'!$E$4:$E$503,148))&amp;") – "&amp;IF(LEN(INDEX('Providers'!$A$4:$A$503,148))=0,"",INDEX('Providers'!$A$4:$A$503,148))</f>
        <v/>
      </c>
      <c r="E151">
        <f>IF(ISNUMBER(INDEX('Providers'!$G$4:$G$503,148)),TEXT(INDEX('Providers'!$G$4:$G$503,148),"yyyy-mm-dd"),"")</f>
        <v/>
      </c>
      <c r="F151">
        <f>"License"</f>
        <v/>
      </c>
      <c r="G151">
        <f>""</f>
        <v/>
      </c>
      <c r="H151">
        <f>"High"</f>
        <v/>
      </c>
      <c r="I151">
        <f>TRIM(IF(LEN(IF(LEN(INDEX('Providers'!$F$4:$F$503,148))=0,"",INDEX('Providers'!$F$4:$F$503,148)))=0,"","License no.: "&amp;IF(LEN(INDEX('Providers'!$F$4:$F$503,148))=0,"",INDEX('Providers'!$F$4:$F$503,148))&amp;". ")&amp;IF(LEN(IF(LEN(INDEX('Providers'!$C$4:$C$503,148))=0,"",INDEX('Providers'!$C$4:$C$503,148)))=0,"","NPI: "&amp;IF(LEN(INDEX('Providers'!$C$4:$C$503,148))=0,"",INDEX('Providers'!$C$4:$C$503,148))&amp;". ")&amp;IF(LEN(IF(LEN(INDEX('Providers'!$D$4:$D$503,148))=0,"",INDEX('Providers'!$D$4:$D$503,148)))=0,"","Specialty: "&amp;IF(LEN(INDEX('Providers'!$D$4:$D$503,148))=0,"",INDEX('Providers'!$D$4:$D$503,148))&amp;". ")&amp;IF(LEN(IF(LEN(INDEX('Providers'!$AK$4:$AK$503,148))=0,"",INDEX('Providers'!$AK$4:$AK$503,148)))=0,"",IF(LEN(INDEX('Providers'!$AK$4:$AK$503,148))=0,"",INDEX('Providers'!$AK$4:$AK$503,148))))</f>
        <v/>
      </c>
      <c r="J151">
        <f>IF(LEN(INDEX('Providers'!$AJ$4:$AJ$503,148))=0,"",INDEX('Providers'!$AJ$4:$AJ$503,148))</f>
        <v/>
      </c>
      <c r="K151">
        <f>IF(LEN(INDEX('Providers'!$AI$4:$AI$503,148))=0,"",INDEX('Providers'!$AI$4:$AI$503,148))</f>
        <v/>
      </c>
    </row>
    <row r="152">
      <c r="A152">
        <f>IF(AND(LEN('Providers'!A152)&gt;0,ISNUMBER('Providers'!G152)),1,0)</f>
        <v/>
      </c>
      <c r="B152">
        <f>B151+A152</f>
        <v/>
      </c>
      <c r="C152">
        <f>IF(149&gt;$B$4503,"",MATCH(149-0.5,$B$3:$B$4503,1))</f>
        <v/>
      </c>
      <c r="D152">
        <f>"State license ("&amp;IF(LEN(INDEX('Providers'!$E$4:$E$503,149))=0,"",INDEX('Providers'!$E$4:$E$503,149))&amp;") – "&amp;IF(LEN(INDEX('Providers'!$A$4:$A$503,149))=0,"",INDEX('Providers'!$A$4:$A$503,149))</f>
        <v/>
      </c>
      <c r="E152">
        <f>IF(ISNUMBER(INDEX('Providers'!$G$4:$G$503,149)),TEXT(INDEX('Providers'!$G$4:$G$503,149),"yyyy-mm-dd"),"")</f>
        <v/>
      </c>
      <c r="F152">
        <f>"License"</f>
        <v/>
      </c>
      <c r="G152">
        <f>""</f>
        <v/>
      </c>
      <c r="H152">
        <f>"High"</f>
        <v/>
      </c>
      <c r="I152">
        <f>TRIM(IF(LEN(IF(LEN(INDEX('Providers'!$F$4:$F$503,149))=0,"",INDEX('Providers'!$F$4:$F$503,149)))=0,"","License no.: "&amp;IF(LEN(INDEX('Providers'!$F$4:$F$503,149))=0,"",INDEX('Providers'!$F$4:$F$503,149))&amp;". ")&amp;IF(LEN(IF(LEN(INDEX('Providers'!$C$4:$C$503,149))=0,"",INDEX('Providers'!$C$4:$C$503,149)))=0,"","NPI: "&amp;IF(LEN(INDEX('Providers'!$C$4:$C$503,149))=0,"",INDEX('Providers'!$C$4:$C$503,149))&amp;". ")&amp;IF(LEN(IF(LEN(INDEX('Providers'!$D$4:$D$503,149))=0,"",INDEX('Providers'!$D$4:$D$503,149)))=0,"","Specialty: "&amp;IF(LEN(INDEX('Providers'!$D$4:$D$503,149))=0,"",INDEX('Providers'!$D$4:$D$503,149))&amp;". ")&amp;IF(LEN(IF(LEN(INDEX('Providers'!$AK$4:$AK$503,149))=0,"",INDEX('Providers'!$AK$4:$AK$503,149)))=0,"",IF(LEN(INDEX('Providers'!$AK$4:$AK$503,149))=0,"",INDEX('Providers'!$AK$4:$AK$503,149))))</f>
        <v/>
      </c>
      <c r="J152">
        <f>IF(LEN(INDEX('Providers'!$AJ$4:$AJ$503,149))=0,"",INDEX('Providers'!$AJ$4:$AJ$503,149))</f>
        <v/>
      </c>
      <c r="K152">
        <f>IF(LEN(INDEX('Providers'!$AI$4:$AI$503,149))=0,"",INDEX('Providers'!$AI$4:$AI$503,149))</f>
        <v/>
      </c>
    </row>
    <row r="153">
      <c r="A153">
        <f>IF(AND(LEN('Providers'!A153)&gt;0,ISNUMBER('Providers'!G153)),1,0)</f>
        <v/>
      </c>
      <c r="B153">
        <f>B152+A153</f>
        <v/>
      </c>
      <c r="C153">
        <f>IF(150&gt;$B$4503,"",MATCH(150-0.5,$B$3:$B$4503,1))</f>
        <v/>
      </c>
      <c r="D153">
        <f>"State license ("&amp;IF(LEN(INDEX('Providers'!$E$4:$E$503,150))=0,"",INDEX('Providers'!$E$4:$E$503,150))&amp;") – "&amp;IF(LEN(INDEX('Providers'!$A$4:$A$503,150))=0,"",INDEX('Providers'!$A$4:$A$503,150))</f>
        <v/>
      </c>
      <c r="E153">
        <f>IF(ISNUMBER(INDEX('Providers'!$G$4:$G$503,150)),TEXT(INDEX('Providers'!$G$4:$G$503,150),"yyyy-mm-dd"),"")</f>
        <v/>
      </c>
      <c r="F153">
        <f>"License"</f>
        <v/>
      </c>
      <c r="G153">
        <f>""</f>
        <v/>
      </c>
      <c r="H153">
        <f>"High"</f>
        <v/>
      </c>
      <c r="I153">
        <f>TRIM(IF(LEN(IF(LEN(INDEX('Providers'!$F$4:$F$503,150))=0,"",INDEX('Providers'!$F$4:$F$503,150)))=0,"","License no.: "&amp;IF(LEN(INDEX('Providers'!$F$4:$F$503,150))=0,"",INDEX('Providers'!$F$4:$F$503,150))&amp;". ")&amp;IF(LEN(IF(LEN(INDEX('Providers'!$C$4:$C$503,150))=0,"",INDEX('Providers'!$C$4:$C$503,150)))=0,"","NPI: "&amp;IF(LEN(INDEX('Providers'!$C$4:$C$503,150))=0,"",INDEX('Providers'!$C$4:$C$503,150))&amp;". ")&amp;IF(LEN(IF(LEN(INDEX('Providers'!$D$4:$D$503,150))=0,"",INDEX('Providers'!$D$4:$D$503,150)))=0,"","Specialty: "&amp;IF(LEN(INDEX('Providers'!$D$4:$D$503,150))=0,"",INDEX('Providers'!$D$4:$D$503,150))&amp;". ")&amp;IF(LEN(IF(LEN(INDEX('Providers'!$AK$4:$AK$503,150))=0,"",INDEX('Providers'!$AK$4:$AK$503,150)))=0,"",IF(LEN(INDEX('Providers'!$AK$4:$AK$503,150))=0,"",INDEX('Providers'!$AK$4:$AK$503,150))))</f>
        <v/>
      </c>
      <c r="J153">
        <f>IF(LEN(INDEX('Providers'!$AJ$4:$AJ$503,150))=0,"",INDEX('Providers'!$AJ$4:$AJ$503,150))</f>
        <v/>
      </c>
      <c r="K153">
        <f>IF(LEN(INDEX('Providers'!$AI$4:$AI$503,150))=0,"",INDEX('Providers'!$AI$4:$AI$503,150))</f>
        <v/>
      </c>
    </row>
    <row r="154">
      <c r="A154">
        <f>IF(AND(LEN('Providers'!A154)&gt;0,ISNUMBER('Providers'!G154)),1,0)</f>
        <v/>
      </c>
      <c r="B154">
        <f>B153+A154</f>
        <v/>
      </c>
      <c r="C154">
        <f>IF(151&gt;$B$4503,"",MATCH(151-0.5,$B$3:$B$4503,1))</f>
        <v/>
      </c>
      <c r="D154">
        <f>"State license ("&amp;IF(LEN(INDEX('Providers'!$E$4:$E$503,151))=0,"",INDEX('Providers'!$E$4:$E$503,151))&amp;") – "&amp;IF(LEN(INDEX('Providers'!$A$4:$A$503,151))=0,"",INDEX('Providers'!$A$4:$A$503,151))</f>
        <v/>
      </c>
      <c r="E154">
        <f>IF(ISNUMBER(INDEX('Providers'!$G$4:$G$503,151)),TEXT(INDEX('Providers'!$G$4:$G$503,151),"yyyy-mm-dd"),"")</f>
        <v/>
      </c>
      <c r="F154">
        <f>"License"</f>
        <v/>
      </c>
      <c r="G154">
        <f>""</f>
        <v/>
      </c>
      <c r="H154">
        <f>"High"</f>
        <v/>
      </c>
      <c r="I154">
        <f>TRIM(IF(LEN(IF(LEN(INDEX('Providers'!$F$4:$F$503,151))=0,"",INDEX('Providers'!$F$4:$F$503,151)))=0,"","License no.: "&amp;IF(LEN(INDEX('Providers'!$F$4:$F$503,151))=0,"",INDEX('Providers'!$F$4:$F$503,151))&amp;". ")&amp;IF(LEN(IF(LEN(INDEX('Providers'!$C$4:$C$503,151))=0,"",INDEX('Providers'!$C$4:$C$503,151)))=0,"","NPI: "&amp;IF(LEN(INDEX('Providers'!$C$4:$C$503,151))=0,"",INDEX('Providers'!$C$4:$C$503,151))&amp;". ")&amp;IF(LEN(IF(LEN(INDEX('Providers'!$D$4:$D$503,151))=0,"",INDEX('Providers'!$D$4:$D$503,151)))=0,"","Specialty: "&amp;IF(LEN(INDEX('Providers'!$D$4:$D$503,151))=0,"",INDEX('Providers'!$D$4:$D$503,151))&amp;". ")&amp;IF(LEN(IF(LEN(INDEX('Providers'!$AK$4:$AK$503,151))=0,"",INDEX('Providers'!$AK$4:$AK$503,151)))=0,"",IF(LEN(INDEX('Providers'!$AK$4:$AK$503,151))=0,"",INDEX('Providers'!$AK$4:$AK$503,151))))</f>
        <v/>
      </c>
      <c r="J154">
        <f>IF(LEN(INDEX('Providers'!$AJ$4:$AJ$503,151))=0,"",INDEX('Providers'!$AJ$4:$AJ$503,151))</f>
        <v/>
      </c>
      <c r="K154">
        <f>IF(LEN(INDEX('Providers'!$AI$4:$AI$503,151))=0,"",INDEX('Providers'!$AI$4:$AI$503,151))</f>
        <v/>
      </c>
    </row>
    <row r="155">
      <c r="A155">
        <f>IF(AND(LEN('Providers'!A155)&gt;0,ISNUMBER('Providers'!G155)),1,0)</f>
        <v/>
      </c>
      <c r="B155">
        <f>B154+A155</f>
        <v/>
      </c>
      <c r="C155">
        <f>IF(152&gt;$B$4503,"",MATCH(152-0.5,$B$3:$B$4503,1))</f>
        <v/>
      </c>
      <c r="D155">
        <f>"State license ("&amp;IF(LEN(INDEX('Providers'!$E$4:$E$503,152))=0,"",INDEX('Providers'!$E$4:$E$503,152))&amp;") – "&amp;IF(LEN(INDEX('Providers'!$A$4:$A$503,152))=0,"",INDEX('Providers'!$A$4:$A$503,152))</f>
        <v/>
      </c>
      <c r="E155">
        <f>IF(ISNUMBER(INDEX('Providers'!$G$4:$G$503,152)),TEXT(INDEX('Providers'!$G$4:$G$503,152),"yyyy-mm-dd"),"")</f>
        <v/>
      </c>
      <c r="F155">
        <f>"License"</f>
        <v/>
      </c>
      <c r="G155">
        <f>""</f>
        <v/>
      </c>
      <c r="H155">
        <f>"High"</f>
        <v/>
      </c>
      <c r="I155">
        <f>TRIM(IF(LEN(IF(LEN(INDEX('Providers'!$F$4:$F$503,152))=0,"",INDEX('Providers'!$F$4:$F$503,152)))=0,"","License no.: "&amp;IF(LEN(INDEX('Providers'!$F$4:$F$503,152))=0,"",INDEX('Providers'!$F$4:$F$503,152))&amp;". ")&amp;IF(LEN(IF(LEN(INDEX('Providers'!$C$4:$C$503,152))=0,"",INDEX('Providers'!$C$4:$C$503,152)))=0,"","NPI: "&amp;IF(LEN(INDEX('Providers'!$C$4:$C$503,152))=0,"",INDEX('Providers'!$C$4:$C$503,152))&amp;". ")&amp;IF(LEN(IF(LEN(INDEX('Providers'!$D$4:$D$503,152))=0,"",INDEX('Providers'!$D$4:$D$503,152)))=0,"","Specialty: "&amp;IF(LEN(INDEX('Providers'!$D$4:$D$503,152))=0,"",INDEX('Providers'!$D$4:$D$503,152))&amp;". ")&amp;IF(LEN(IF(LEN(INDEX('Providers'!$AK$4:$AK$503,152))=0,"",INDEX('Providers'!$AK$4:$AK$503,152)))=0,"",IF(LEN(INDEX('Providers'!$AK$4:$AK$503,152))=0,"",INDEX('Providers'!$AK$4:$AK$503,152))))</f>
        <v/>
      </c>
      <c r="J155">
        <f>IF(LEN(INDEX('Providers'!$AJ$4:$AJ$503,152))=0,"",INDEX('Providers'!$AJ$4:$AJ$503,152))</f>
        <v/>
      </c>
      <c r="K155">
        <f>IF(LEN(INDEX('Providers'!$AI$4:$AI$503,152))=0,"",INDEX('Providers'!$AI$4:$AI$503,152))</f>
        <v/>
      </c>
    </row>
    <row r="156">
      <c r="A156">
        <f>IF(AND(LEN('Providers'!A156)&gt;0,ISNUMBER('Providers'!G156)),1,0)</f>
        <v/>
      </c>
      <c r="B156">
        <f>B155+A156</f>
        <v/>
      </c>
      <c r="C156">
        <f>IF(153&gt;$B$4503,"",MATCH(153-0.5,$B$3:$B$4503,1))</f>
        <v/>
      </c>
      <c r="D156">
        <f>"State license ("&amp;IF(LEN(INDEX('Providers'!$E$4:$E$503,153))=0,"",INDEX('Providers'!$E$4:$E$503,153))&amp;") – "&amp;IF(LEN(INDEX('Providers'!$A$4:$A$503,153))=0,"",INDEX('Providers'!$A$4:$A$503,153))</f>
        <v/>
      </c>
      <c r="E156">
        <f>IF(ISNUMBER(INDEX('Providers'!$G$4:$G$503,153)),TEXT(INDEX('Providers'!$G$4:$G$503,153),"yyyy-mm-dd"),"")</f>
        <v/>
      </c>
      <c r="F156">
        <f>"License"</f>
        <v/>
      </c>
      <c r="G156">
        <f>""</f>
        <v/>
      </c>
      <c r="H156">
        <f>"High"</f>
        <v/>
      </c>
      <c r="I156">
        <f>TRIM(IF(LEN(IF(LEN(INDEX('Providers'!$F$4:$F$503,153))=0,"",INDEX('Providers'!$F$4:$F$503,153)))=0,"","License no.: "&amp;IF(LEN(INDEX('Providers'!$F$4:$F$503,153))=0,"",INDEX('Providers'!$F$4:$F$503,153))&amp;". ")&amp;IF(LEN(IF(LEN(INDEX('Providers'!$C$4:$C$503,153))=0,"",INDEX('Providers'!$C$4:$C$503,153)))=0,"","NPI: "&amp;IF(LEN(INDEX('Providers'!$C$4:$C$503,153))=0,"",INDEX('Providers'!$C$4:$C$503,153))&amp;". ")&amp;IF(LEN(IF(LEN(INDEX('Providers'!$D$4:$D$503,153))=0,"",INDEX('Providers'!$D$4:$D$503,153)))=0,"","Specialty: "&amp;IF(LEN(INDEX('Providers'!$D$4:$D$503,153))=0,"",INDEX('Providers'!$D$4:$D$503,153))&amp;". ")&amp;IF(LEN(IF(LEN(INDEX('Providers'!$AK$4:$AK$503,153))=0,"",INDEX('Providers'!$AK$4:$AK$503,153)))=0,"",IF(LEN(INDEX('Providers'!$AK$4:$AK$503,153))=0,"",INDEX('Providers'!$AK$4:$AK$503,153))))</f>
        <v/>
      </c>
      <c r="J156">
        <f>IF(LEN(INDEX('Providers'!$AJ$4:$AJ$503,153))=0,"",INDEX('Providers'!$AJ$4:$AJ$503,153))</f>
        <v/>
      </c>
      <c r="K156">
        <f>IF(LEN(INDEX('Providers'!$AI$4:$AI$503,153))=0,"",INDEX('Providers'!$AI$4:$AI$503,153))</f>
        <v/>
      </c>
    </row>
    <row r="157">
      <c r="A157">
        <f>IF(AND(LEN('Providers'!A157)&gt;0,ISNUMBER('Providers'!G157)),1,0)</f>
        <v/>
      </c>
      <c r="B157">
        <f>B156+A157</f>
        <v/>
      </c>
      <c r="C157">
        <f>IF(154&gt;$B$4503,"",MATCH(154-0.5,$B$3:$B$4503,1))</f>
        <v/>
      </c>
      <c r="D157">
        <f>"State license ("&amp;IF(LEN(INDEX('Providers'!$E$4:$E$503,154))=0,"",INDEX('Providers'!$E$4:$E$503,154))&amp;") – "&amp;IF(LEN(INDEX('Providers'!$A$4:$A$503,154))=0,"",INDEX('Providers'!$A$4:$A$503,154))</f>
        <v/>
      </c>
      <c r="E157">
        <f>IF(ISNUMBER(INDEX('Providers'!$G$4:$G$503,154)),TEXT(INDEX('Providers'!$G$4:$G$503,154),"yyyy-mm-dd"),"")</f>
        <v/>
      </c>
      <c r="F157">
        <f>"License"</f>
        <v/>
      </c>
      <c r="G157">
        <f>""</f>
        <v/>
      </c>
      <c r="H157">
        <f>"High"</f>
        <v/>
      </c>
      <c r="I157">
        <f>TRIM(IF(LEN(IF(LEN(INDEX('Providers'!$F$4:$F$503,154))=0,"",INDEX('Providers'!$F$4:$F$503,154)))=0,"","License no.: "&amp;IF(LEN(INDEX('Providers'!$F$4:$F$503,154))=0,"",INDEX('Providers'!$F$4:$F$503,154))&amp;". ")&amp;IF(LEN(IF(LEN(INDEX('Providers'!$C$4:$C$503,154))=0,"",INDEX('Providers'!$C$4:$C$503,154)))=0,"","NPI: "&amp;IF(LEN(INDEX('Providers'!$C$4:$C$503,154))=0,"",INDEX('Providers'!$C$4:$C$503,154))&amp;". ")&amp;IF(LEN(IF(LEN(INDEX('Providers'!$D$4:$D$503,154))=0,"",INDEX('Providers'!$D$4:$D$503,154)))=0,"","Specialty: "&amp;IF(LEN(INDEX('Providers'!$D$4:$D$503,154))=0,"",INDEX('Providers'!$D$4:$D$503,154))&amp;". ")&amp;IF(LEN(IF(LEN(INDEX('Providers'!$AK$4:$AK$503,154))=0,"",INDEX('Providers'!$AK$4:$AK$503,154)))=0,"",IF(LEN(INDEX('Providers'!$AK$4:$AK$503,154))=0,"",INDEX('Providers'!$AK$4:$AK$503,154))))</f>
        <v/>
      </c>
      <c r="J157">
        <f>IF(LEN(INDEX('Providers'!$AJ$4:$AJ$503,154))=0,"",INDEX('Providers'!$AJ$4:$AJ$503,154))</f>
        <v/>
      </c>
      <c r="K157">
        <f>IF(LEN(INDEX('Providers'!$AI$4:$AI$503,154))=0,"",INDEX('Providers'!$AI$4:$AI$503,154))</f>
        <v/>
      </c>
    </row>
    <row r="158">
      <c r="A158">
        <f>IF(AND(LEN('Providers'!A158)&gt;0,ISNUMBER('Providers'!G158)),1,0)</f>
        <v/>
      </c>
      <c r="B158">
        <f>B157+A158</f>
        <v/>
      </c>
      <c r="C158">
        <f>IF(155&gt;$B$4503,"",MATCH(155-0.5,$B$3:$B$4503,1))</f>
        <v/>
      </c>
      <c r="D158">
        <f>"State license ("&amp;IF(LEN(INDEX('Providers'!$E$4:$E$503,155))=0,"",INDEX('Providers'!$E$4:$E$503,155))&amp;") – "&amp;IF(LEN(INDEX('Providers'!$A$4:$A$503,155))=0,"",INDEX('Providers'!$A$4:$A$503,155))</f>
        <v/>
      </c>
      <c r="E158">
        <f>IF(ISNUMBER(INDEX('Providers'!$G$4:$G$503,155)),TEXT(INDEX('Providers'!$G$4:$G$503,155),"yyyy-mm-dd"),"")</f>
        <v/>
      </c>
      <c r="F158">
        <f>"License"</f>
        <v/>
      </c>
      <c r="G158">
        <f>""</f>
        <v/>
      </c>
      <c r="H158">
        <f>"High"</f>
        <v/>
      </c>
      <c r="I158">
        <f>TRIM(IF(LEN(IF(LEN(INDEX('Providers'!$F$4:$F$503,155))=0,"",INDEX('Providers'!$F$4:$F$503,155)))=0,"","License no.: "&amp;IF(LEN(INDEX('Providers'!$F$4:$F$503,155))=0,"",INDEX('Providers'!$F$4:$F$503,155))&amp;". ")&amp;IF(LEN(IF(LEN(INDEX('Providers'!$C$4:$C$503,155))=0,"",INDEX('Providers'!$C$4:$C$503,155)))=0,"","NPI: "&amp;IF(LEN(INDEX('Providers'!$C$4:$C$503,155))=0,"",INDEX('Providers'!$C$4:$C$503,155))&amp;". ")&amp;IF(LEN(IF(LEN(INDEX('Providers'!$D$4:$D$503,155))=0,"",INDEX('Providers'!$D$4:$D$503,155)))=0,"","Specialty: "&amp;IF(LEN(INDEX('Providers'!$D$4:$D$503,155))=0,"",INDEX('Providers'!$D$4:$D$503,155))&amp;". ")&amp;IF(LEN(IF(LEN(INDEX('Providers'!$AK$4:$AK$503,155))=0,"",INDEX('Providers'!$AK$4:$AK$503,155)))=0,"",IF(LEN(INDEX('Providers'!$AK$4:$AK$503,155))=0,"",INDEX('Providers'!$AK$4:$AK$503,155))))</f>
        <v/>
      </c>
      <c r="J158">
        <f>IF(LEN(INDEX('Providers'!$AJ$4:$AJ$503,155))=0,"",INDEX('Providers'!$AJ$4:$AJ$503,155))</f>
        <v/>
      </c>
      <c r="K158">
        <f>IF(LEN(INDEX('Providers'!$AI$4:$AI$503,155))=0,"",INDEX('Providers'!$AI$4:$AI$503,155))</f>
        <v/>
      </c>
    </row>
    <row r="159">
      <c r="A159">
        <f>IF(AND(LEN('Providers'!A159)&gt;0,ISNUMBER('Providers'!G159)),1,0)</f>
        <v/>
      </c>
      <c r="B159">
        <f>B158+A159</f>
        <v/>
      </c>
      <c r="C159">
        <f>IF(156&gt;$B$4503,"",MATCH(156-0.5,$B$3:$B$4503,1))</f>
        <v/>
      </c>
      <c r="D159">
        <f>"State license ("&amp;IF(LEN(INDEX('Providers'!$E$4:$E$503,156))=0,"",INDEX('Providers'!$E$4:$E$503,156))&amp;") – "&amp;IF(LEN(INDEX('Providers'!$A$4:$A$503,156))=0,"",INDEX('Providers'!$A$4:$A$503,156))</f>
        <v/>
      </c>
      <c r="E159">
        <f>IF(ISNUMBER(INDEX('Providers'!$G$4:$G$503,156)),TEXT(INDEX('Providers'!$G$4:$G$503,156),"yyyy-mm-dd"),"")</f>
        <v/>
      </c>
      <c r="F159">
        <f>"License"</f>
        <v/>
      </c>
      <c r="G159">
        <f>""</f>
        <v/>
      </c>
      <c r="H159">
        <f>"High"</f>
        <v/>
      </c>
      <c r="I159">
        <f>TRIM(IF(LEN(IF(LEN(INDEX('Providers'!$F$4:$F$503,156))=0,"",INDEX('Providers'!$F$4:$F$503,156)))=0,"","License no.: "&amp;IF(LEN(INDEX('Providers'!$F$4:$F$503,156))=0,"",INDEX('Providers'!$F$4:$F$503,156))&amp;". ")&amp;IF(LEN(IF(LEN(INDEX('Providers'!$C$4:$C$503,156))=0,"",INDEX('Providers'!$C$4:$C$503,156)))=0,"","NPI: "&amp;IF(LEN(INDEX('Providers'!$C$4:$C$503,156))=0,"",INDEX('Providers'!$C$4:$C$503,156))&amp;". ")&amp;IF(LEN(IF(LEN(INDEX('Providers'!$D$4:$D$503,156))=0,"",INDEX('Providers'!$D$4:$D$503,156)))=0,"","Specialty: "&amp;IF(LEN(INDEX('Providers'!$D$4:$D$503,156))=0,"",INDEX('Providers'!$D$4:$D$503,156))&amp;". ")&amp;IF(LEN(IF(LEN(INDEX('Providers'!$AK$4:$AK$503,156))=0,"",INDEX('Providers'!$AK$4:$AK$503,156)))=0,"",IF(LEN(INDEX('Providers'!$AK$4:$AK$503,156))=0,"",INDEX('Providers'!$AK$4:$AK$503,156))))</f>
        <v/>
      </c>
      <c r="J159">
        <f>IF(LEN(INDEX('Providers'!$AJ$4:$AJ$503,156))=0,"",INDEX('Providers'!$AJ$4:$AJ$503,156))</f>
        <v/>
      </c>
      <c r="K159">
        <f>IF(LEN(INDEX('Providers'!$AI$4:$AI$503,156))=0,"",INDEX('Providers'!$AI$4:$AI$503,156))</f>
        <v/>
      </c>
    </row>
    <row r="160">
      <c r="A160">
        <f>IF(AND(LEN('Providers'!A160)&gt;0,ISNUMBER('Providers'!G160)),1,0)</f>
        <v/>
      </c>
      <c r="B160">
        <f>B159+A160</f>
        <v/>
      </c>
      <c r="C160">
        <f>IF(157&gt;$B$4503,"",MATCH(157-0.5,$B$3:$B$4503,1))</f>
        <v/>
      </c>
      <c r="D160">
        <f>"State license ("&amp;IF(LEN(INDEX('Providers'!$E$4:$E$503,157))=0,"",INDEX('Providers'!$E$4:$E$503,157))&amp;") – "&amp;IF(LEN(INDEX('Providers'!$A$4:$A$503,157))=0,"",INDEX('Providers'!$A$4:$A$503,157))</f>
        <v/>
      </c>
      <c r="E160">
        <f>IF(ISNUMBER(INDEX('Providers'!$G$4:$G$503,157)),TEXT(INDEX('Providers'!$G$4:$G$503,157),"yyyy-mm-dd"),"")</f>
        <v/>
      </c>
      <c r="F160">
        <f>"License"</f>
        <v/>
      </c>
      <c r="G160">
        <f>""</f>
        <v/>
      </c>
      <c r="H160">
        <f>"High"</f>
        <v/>
      </c>
      <c r="I160">
        <f>TRIM(IF(LEN(IF(LEN(INDEX('Providers'!$F$4:$F$503,157))=0,"",INDEX('Providers'!$F$4:$F$503,157)))=0,"","License no.: "&amp;IF(LEN(INDEX('Providers'!$F$4:$F$503,157))=0,"",INDEX('Providers'!$F$4:$F$503,157))&amp;". ")&amp;IF(LEN(IF(LEN(INDEX('Providers'!$C$4:$C$503,157))=0,"",INDEX('Providers'!$C$4:$C$503,157)))=0,"","NPI: "&amp;IF(LEN(INDEX('Providers'!$C$4:$C$503,157))=0,"",INDEX('Providers'!$C$4:$C$503,157))&amp;". ")&amp;IF(LEN(IF(LEN(INDEX('Providers'!$D$4:$D$503,157))=0,"",INDEX('Providers'!$D$4:$D$503,157)))=0,"","Specialty: "&amp;IF(LEN(INDEX('Providers'!$D$4:$D$503,157))=0,"",INDEX('Providers'!$D$4:$D$503,157))&amp;". ")&amp;IF(LEN(IF(LEN(INDEX('Providers'!$AK$4:$AK$503,157))=0,"",INDEX('Providers'!$AK$4:$AK$503,157)))=0,"",IF(LEN(INDEX('Providers'!$AK$4:$AK$503,157))=0,"",INDEX('Providers'!$AK$4:$AK$503,157))))</f>
        <v/>
      </c>
      <c r="J160">
        <f>IF(LEN(INDEX('Providers'!$AJ$4:$AJ$503,157))=0,"",INDEX('Providers'!$AJ$4:$AJ$503,157))</f>
        <v/>
      </c>
      <c r="K160">
        <f>IF(LEN(INDEX('Providers'!$AI$4:$AI$503,157))=0,"",INDEX('Providers'!$AI$4:$AI$503,157))</f>
        <v/>
      </c>
    </row>
    <row r="161">
      <c r="A161">
        <f>IF(AND(LEN('Providers'!A161)&gt;0,ISNUMBER('Providers'!G161)),1,0)</f>
        <v/>
      </c>
      <c r="B161">
        <f>B160+A161</f>
        <v/>
      </c>
      <c r="C161">
        <f>IF(158&gt;$B$4503,"",MATCH(158-0.5,$B$3:$B$4503,1))</f>
        <v/>
      </c>
      <c r="D161">
        <f>"State license ("&amp;IF(LEN(INDEX('Providers'!$E$4:$E$503,158))=0,"",INDEX('Providers'!$E$4:$E$503,158))&amp;") – "&amp;IF(LEN(INDEX('Providers'!$A$4:$A$503,158))=0,"",INDEX('Providers'!$A$4:$A$503,158))</f>
        <v/>
      </c>
      <c r="E161">
        <f>IF(ISNUMBER(INDEX('Providers'!$G$4:$G$503,158)),TEXT(INDEX('Providers'!$G$4:$G$503,158),"yyyy-mm-dd"),"")</f>
        <v/>
      </c>
      <c r="F161">
        <f>"License"</f>
        <v/>
      </c>
      <c r="G161">
        <f>""</f>
        <v/>
      </c>
      <c r="H161">
        <f>"High"</f>
        <v/>
      </c>
      <c r="I161">
        <f>TRIM(IF(LEN(IF(LEN(INDEX('Providers'!$F$4:$F$503,158))=0,"",INDEX('Providers'!$F$4:$F$503,158)))=0,"","License no.: "&amp;IF(LEN(INDEX('Providers'!$F$4:$F$503,158))=0,"",INDEX('Providers'!$F$4:$F$503,158))&amp;". ")&amp;IF(LEN(IF(LEN(INDEX('Providers'!$C$4:$C$503,158))=0,"",INDEX('Providers'!$C$4:$C$503,158)))=0,"","NPI: "&amp;IF(LEN(INDEX('Providers'!$C$4:$C$503,158))=0,"",INDEX('Providers'!$C$4:$C$503,158))&amp;". ")&amp;IF(LEN(IF(LEN(INDEX('Providers'!$D$4:$D$503,158))=0,"",INDEX('Providers'!$D$4:$D$503,158)))=0,"","Specialty: "&amp;IF(LEN(INDEX('Providers'!$D$4:$D$503,158))=0,"",INDEX('Providers'!$D$4:$D$503,158))&amp;". ")&amp;IF(LEN(IF(LEN(INDEX('Providers'!$AK$4:$AK$503,158))=0,"",INDEX('Providers'!$AK$4:$AK$503,158)))=0,"",IF(LEN(INDEX('Providers'!$AK$4:$AK$503,158))=0,"",INDEX('Providers'!$AK$4:$AK$503,158))))</f>
        <v/>
      </c>
      <c r="J161">
        <f>IF(LEN(INDEX('Providers'!$AJ$4:$AJ$503,158))=0,"",INDEX('Providers'!$AJ$4:$AJ$503,158))</f>
        <v/>
      </c>
      <c r="K161">
        <f>IF(LEN(INDEX('Providers'!$AI$4:$AI$503,158))=0,"",INDEX('Providers'!$AI$4:$AI$503,158))</f>
        <v/>
      </c>
    </row>
    <row r="162">
      <c r="A162">
        <f>IF(AND(LEN('Providers'!A162)&gt;0,ISNUMBER('Providers'!G162)),1,0)</f>
        <v/>
      </c>
      <c r="B162">
        <f>B161+A162</f>
        <v/>
      </c>
      <c r="C162">
        <f>IF(159&gt;$B$4503,"",MATCH(159-0.5,$B$3:$B$4503,1))</f>
        <v/>
      </c>
      <c r="D162">
        <f>"State license ("&amp;IF(LEN(INDEX('Providers'!$E$4:$E$503,159))=0,"",INDEX('Providers'!$E$4:$E$503,159))&amp;") – "&amp;IF(LEN(INDEX('Providers'!$A$4:$A$503,159))=0,"",INDEX('Providers'!$A$4:$A$503,159))</f>
        <v/>
      </c>
      <c r="E162">
        <f>IF(ISNUMBER(INDEX('Providers'!$G$4:$G$503,159)),TEXT(INDEX('Providers'!$G$4:$G$503,159),"yyyy-mm-dd"),"")</f>
        <v/>
      </c>
      <c r="F162">
        <f>"License"</f>
        <v/>
      </c>
      <c r="G162">
        <f>""</f>
        <v/>
      </c>
      <c r="H162">
        <f>"High"</f>
        <v/>
      </c>
      <c r="I162">
        <f>TRIM(IF(LEN(IF(LEN(INDEX('Providers'!$F$4:$F$503,159))=0,"",INDEX('Providers'!$F$4:$F$503,159)))=0,"","License no.: "&amp;IF(LEN(INDEX('Providers'!$F$4:$F$503,159))=0,"",INDEX('Providers'!$F$4:$F$503,159))&amp;". ")&amp;IF(LEN(IF(LEN(INDEX('Providers'!$C$4:$C$503,159))=0,"",INDEX('Providers'!$C$4:$C$503,159)))=0,"","NPI: "&amp;IF(LEN(INDEX('Providers'!$C$4:$C$503,159))=0,"",INDEX('Providers'!$C$4:$C$503,159))&amp;". ")&amp;IF(LEN(IF(LEN(INDEX('Providers'!$D$4:$D$503,159))=0,"",INDEX('Providers'!$D$4:$D$503,159)))=0,"","Specialty: "&amp;IF(LEN(INDEX('Providers'!$D$4:$D$503,159))=0,"",INDEX('Providers'!$D$4:$D$503,159))&amp;". ")&amp;IF(LEN(IF(LEN(INDEX('Providers'!$AK$4:$AK$503,159))=0,"",INDEX('Providers'!$AK$4:$AK$503,159)))=0,"",IF(LEN(INDEX('Providers'!$AK$4:$AK$503,159))=0,"",INDEX('Providers'!$AK$4:$AK$503,159))))</f>
        <v/>
      </c>
      <c r="J162">
        <f>IF(LEN(INDEX('Providers'!$AJ$4:$AJ$503,159))=0,"",INDEX('Providers'!$AJ$4:$AJ$503,159))</f>
        <v/>
      </c>
      <c r="K162">
        <f>IF(LEN(INDEX('Providers'!$AI$4:$AI$503,159))=0,"",INDEX('Providers'!$AI$4:$AI$503,159))</f>
        <v/>
      </c>
    </row>
    <row r="163">
      <c r="A163">
        <f>IF(AND(LEN('Providers'!A163)&gt;0,ISNUMBER('Providers'!G163)),1,0)</f>
        <v/>
      </c>
      <c r="B163">
        <f>B162+A163</f>
        <v/>
      </c>
      <c r="C163">
        <f>IF(160&gt;$B$4503,"",MATCH(160-0.5,$B$3:$B$4503,1))</f>
        <v/>
      </c>
      <c r="D163">
        <f>"State license ("&amp;IF(LEN(INDEX('Providers'!$E$4:$E$503,160))=0,"",INDEX('Providers'!$E$4:$E$503,160))&amp;") – "&amp;IF(LEN(INDEX('Providers'!$A$4:$A$503,160))=0,"",INDEX('Providers'!$A$4:$A$503,160))</f>
        <v/>
      </c>
      <c r="E163">
        <f>IF(ISNUMBER(INDEX('Providers'!$G$4:$G$503,160)),TEXT(INDEX('Providers'!$G$4:$G$503,160),"yyyy-mm-dd"),"")</f>
        <v/>
      </c>
      <c r="F163">
        <f>"License"</f>
        <v/>
      </c>
      <c r="G163">
        <f>""</f>
        <v/>
      </c>
      <c r="H163">
        <f>"High"</f>
        <v/>
      </c>
      <c r="I163">
        <f>TRIM(IF(LEN(IF(LEN(INDEX('Providers'!$F$4:$F$503,160))=0,"",INDEX('Providers'!$F$4:$F$503,160)))=0,"","License no.: "&amp;IF(LEN(INDEX('Providers'!$F$4:$F$503,160))=0,"",INDEX('Providers'!$F$4:$F$503,160))&amp;". ")&amp;IF(LEN(IF(LEN(INDEX('Providers'!$C$4:$C$503,160))=0,"",INDEX('Providers'!$C$4:$C$503,160)))=0,"","NPI: "&amp;IF(LEN(INDEX('Providers'!$C$4:$C$503,160))=0,"",INDEX('Providers'!$C$4:$C$503,160))&amp;". ")&amp;IF(LEN(IF(LEN(INDEX('Providers'!$D$4:$D$503,160))=0,"",INDEX('Providers'!$D$4:$D$503,160)))=0,"","Specialty: "&amp;IF(LEN(INDEX('Providers'!$D$4:$D$503,160))=0,"",INDEX('Providers'!$D$4:$D$503,160))&amp;". ")&amp;IF(LEN(IF(LEN(INDEX('Providers'!$AK$4:$AK$503,160))=0,"",INDEX('Providers'!$AK$4:$AK$503,160)))=0,"",IF(LEN(INDEX('Providers'!$AK$4:$AK$503,160))=0,"",INDEX('Providers'!$AK$4:$AK$503,160))))</f>
        <v/>
      </c>
      <c r="J163">
        <f>IF(LEN(INDEX('Providers'!$AJ$4:$AJ$503,160))=0,"",INDEX('Providers'!$AJ$4:$AJ$503,160))</f>
        <v/>
      </c>
      <c r="K163">
        <f>IF(LEN(INDEX('Providers'!$AI$4:$AI$503,160))=0,"",INDEX('Providers'!$AI$4:$AI$503,160))</f>
        <v/>
      </c>
    </row>
    <row r="164">
      <c r="A164">
        <f>IF(AND(LEN('Providers'!A164)&gt;0,ISNUMBER('Providers'!G164)),1,0)</f>
        <v/>
      </c>
      <c r="B164">
        <f>B163+A164</f>
        <v/>
      </c>
      <c r="C164">
        <f>IF(161&gt;$B$4503,"",MATCH(161-0.5,$B$3:$B$4503,1))</f>
        <v/>
      </c>
      <c r="D164">
        <f>"State license ("&amp;IF(LEN(INDEX('Providers'!$E$4:$E$503,161))=0,"",INDEX('Providers'!$E$4:$E$503,161))&amp;") – "&amp;IF(LEN(INDEX('Providers'!$A$4:$A$503,161))=0,"",INDEX('Providers'!$A$4:$A$503,161))</f>
        <v/>
      </c>
      <c r="E164">
        <f>IF(ISNUMBER(INDEX('Providers'!$G$4:$G$503,161)),TEXT(INDEX('Providers'!$G$4:$G$503,161),"yyyy-mm-dd"),"")</f>
        <v/>
      </c>
      <c r="F164">
        <f>"License"</f>
        <v/>
      </c>
      <c r="G164">
        <f>""</f>
        <v/>
      </c>
      <c r="H164">
        <f>"High"</f>
        <v/>
      </c>
      <c r="I164">
        <f>TRIM(IF(LEN(IF(LEN(INDEX('Providers'!$F$4:$F$503,161))=0,"",INDEX('Providers'!$F$4:$F$503,161)))=0,"","License no.: "&amp;IF(LEN(INDEX('Providers'!$F$4:$F$503,161))=0,"",INDEX('Providers'!$F$4:$F$503,161))&amp;". ")&amp;IF(LEN(IF(LEN(INDEX('Providers'!$C$4:$C$503,161))=0,"",INDEX('Providers'!$C$4:$C$503,161)))=0,"","NPI: "&amp;IF(LEN(INDEX('Providers'!$C$4:$C$503,161))=0,"",INDEX('Providers'!$C$4:$C$503,161))&amp;". ")&amp;IF(LEN(IF(LEN(INDEX('Providers'!$D$4:$D$503,161))=0,"",INDEX('Providers'!$D$4:$D$503,161)))=0,"","Specialty: "&amp;IF(LEN(INDEX('Providers'!$D$4:$D$503,161))=0,"",INDEX('Providers'!$D$4:$D$503,161))&amp;". ")&amp;IF(LEN(IF(LEN(INDEX('Providers'!$AK$4:$AK$503,161))=0,"",INDEX('Providers'!$AK$4:$AK$503,161)))=0,"",IF(LEN(INDEX('Providers'!$AK$4:$AK$503,161))=0,"",INDEX('Providers'!$AK$4:$AK$503,161))))</f>
        <v/>
      </c>
      <c r="J164">
        <f>IF(LEN(INDEX('Providers'!$AJ$4:$AJ$503,161))=0,"",INDEX('Providers'!$AJ$4:$AJ$503,161))</f>
        <v/>
      </c>
      <c r="K164">
        <f>IF(LEN(INDEX('Providers'!$AI$4:$AI$503,161))=0,"",INDEX('Providers'!$AI$4:$AI$503,161))</f>
        <v/>
      </c>
    </row>
    <row r="165">
      <c r="A165">
        <f>IF(AND(LEN('Providers'!A165)&gt;0,ISNUMBER('Providers'!G165)),1,0)</f>
        <v/>
      </c>
      <c r="B165">
        <f>B164+A165</f>
        <v/>
      </c>
      <c r="C165">
        <f>IF(162&gt;$B$4503,"",MATCH(162-0.5,$B$3:$B$4503,1))</f>
        <v/>
      </c>
      <c r="D165">
        <f>"State license ("&amp;IF(LEN(INDEX('Providers'!$E$4:$E$503,162))=0,"",INDEX('Providers'!$E$4:$E$503,162))&amp;") – "&amp;IF(LEN(INDEX('Providers'!$A$4:$A$503,162))=0,"",INDEX('Providers'!$A$4:$A$503,162))</f>
        <v/>
      </c>
      <c r="E165">
        <f>IF(ISNUMBER(INDEX('Providers'!$G$4:$G$503,162)),TEXT(INDEX('Providers'!$G$4:$G$503,162),"yyyy-mm-dd"),"")</f>
        <v/>
      </c>
      <c r="F165">
        <f>"License"</f>
        <v/>
      </c>
      <c r="G165">
        <f>""</f>
        <v/>
      </c>
      <c r="H165">
        <f>"High"</f>
        <v/>
      </c>
      <c r="I165">
        <f>TRIM(IF(LEN(IF(LEN(INDEX('Providers'!$F$4:$F$503,162))=0,"",INDEX('Providers'!$F$4:$F$503,162)))=0,"","License no.: "&amp;IF(LEN(INDEX('Providers'!$F$4:$F$503,162))=0,"",INDEX('Providers'!$F$4:$F$503,162))&amp;". ")&amp;IF(LEN(IF(LEN(INDEX('Providers'!$C$4:$C$503,162))=0,"",INDEX('Providers'!$C$4:$C$503,162)))=0,"","NPI: "&amp;IF(LEN(INDEX('Providers'!$C$4:$C$503,162))=0,"",INDEX('Providers'!$C$4:$C$503,162))&amp;". ")&amp;IF(LEN(IF(LEN(INDEX('Providers'!$D$4:$D$503,162))=0,"",INDEX('Providers'!$D$4:$D$503,162)))=0,"","Specialty: "&amp;IF(LEN(INDEX('Providers'!$D$4:$D$503,162))=0,"",INDEX('Providers'!$D$4:$D$503,162))&amp;". ")&amp;IF(LEN(IF(LEN(INDEX('Providers'!$AK$4:$AK$503,162))=0,"",INDEX('Providers'!$AK$4:$AK$503,162)))=0,"",IF(LEN(INDEX('Providers'!$AK$4:$AK$503,162))=0,"",INDEX('Providers'!$AK$4:$AK$503,162))))</f>
        <v/>
      </c>
      <c r="J165">
        <f>IF(LEN(INDEX('Providers'!$AJ$4:$AJ$503,162))=0,"",INDEX('Providers'!$AJ$4:$AJ$503,162))</f>
        <v/>
      </c>
      <c r="K165">
        <f>IF(LEN(INDEX('Providers'!$AI$4:$AI$503,162))=0,"",INDEX('Providers'!$AI$4:$AI$503,162))</f>
        <v/>
      </c>
    </row>
    <row r="166">
      <c r="A166">
        <f>IF(AND(LEN('Providers'!A166)&gt;0,ISNUMBER('Providers'!G166)),1,0)</f>
        <v/>
      </c>
      <c r="B166">
        <f>B165+A166</f>
        <v/>
      </c>
      <c r="C166">
        <f>IF(163&gt;$B$4503,"",MATCH(163-0.5,$B$3:$B$4503,1))</f>
        <v/>
      </c>
      <c r="D166">
        <f>"State license ("&amp;IF(LEN(INDEX('Providers'!$E$4:$E$503,163))=0,"",INDEX('Providers'!$E$4:$E$503,163))&amp;") – "&amp;IF(LEN(INDEX('Providers'!$A$4:$A$503,163))=0,"",INDEX('Providers'!$A$4:$A$503,163))</f>
        <v/>
      </c>
      <c r="E166">
        <f>IF(ISNUMBER(INDEX('Providers'!$G$4:$G$503,163)),TEXT(INDEX('Providers'!$G$4:$G$503,163),"yyyy-mm-dd"),"")</f>
        <v/>
      </c>
      <c r="F166">
        <f>"License"</f>
        <v/>
      </c>
      <c r="G166">
        <f>""</f>
        <v/>
      </c>
      <c r="H166">
        <f>"High"</f>
        <v/>
      </c>
      <c r="I166">
        <f>TRIM(IF(LEN(IF(LEN(INDEX('Providers'!$F$4:$F$503,163))=0,"",INDEX('Providers'!$F$4:$F$503,163)))=0,"","License no.: "&amp;IF(LEN(INDEX('Providers'!$F$4:$F$503,163))=0,"",INDEX('Providers'!$F$4:$F$503,163))&amp;". ")&amp;IF(LEN(IF(LEN(INDEX('Providers'!$C$4:$C$503,163))=0,"",INDEX('Providers'!$C$4:$C$503,163)))=0,"","NPI: "&amp;IF(LEN(INDEX('Providers'!$C$4:$C$503,163))=0,"",INDEX('Providers'!$C$4:$C$503,163))&amp;". ")&amp;IF(LEN(IF(LEN(INDEX('Providers'!$D$4:$D$503,163))=0,"",INDEX('Providers'!$D$4:$D$503,163)))=0,"","Specialty: "&amp;IF(LEN(INDEX('Providers'!$D$4:$D$503,163))=0,"",INDEX('Providers'!$D$4:$D$503,163))&amp;". ")&amp;IF(LEN(IF(LEN(INDEX('Providers'!$AK$4:$AK$503,163))=0,"",INDEX('Providers'!$AK$4:$AK$503,163)))=0,"",IF(LEN(INDEX('Providers'!$AK$4:$AK$503,163))=0,"",INDEX('Providers'!$AK$4:$AK$503,163))))</f>
        <v/>
      </c>
      <c r="J166">
        <f>IF(LEN(INDEX('Providers'!$AJ$4:$AJ$503,163))=0,"",INDEX('Providers'!$AJ$4:$AJ$503,163))</f>
        <v/>
      </c>
      <c r="K166">
        <f>IF(LEN(INDEX('Providers'!$AI$4:$AI$503,163))=0,"",INDEX('Providers'!$AI$4:$AI$503,163))</f>
        <v/>
      </c>
    </row>
    <row r="167">
      <c r="A167">
        <f>IF(AND(LEN('Providers'!A167)&gt;0,ISNUMBER('Providers'!G167)),1,0)</f>
        <v/>
      </c>
      <c r="B167">
        <f>B166+A167</f>
        <v/>
      </c>
      <c r="C167">
        <f>IF(164&gt;$B$4503,"",MATCH(164-0.5,$B$3:$B$4503,1))</f>
        <v/>
      </c>
      <c r="D167">
        <f>"State license ("&amp;IF(LEN(INDEX('Providers'!$E$4:$E$503,164))=0,"",INDEX('Providers'!$E$4:$E$503,164))&amp;") – "&amp;IF(LEN(INDEX('Providers'!$A$4:$A$503,164))=0,"",INDEX('Providers'!$A$4:$A$503,164))</f>
        <v/>
      </c>
      <c r="E167">
        <f>IF(ISNUMBER(INDEX('Providers'!$G$4:$G$503,164)),TEXT(INDEX('Providers'!$G$4:$G$503,164),"yyyy-mm-dd"),"")</f>
        <v/>
      </c>
      <c r="F167">
        <f>"License"</f>
        <v/>
      </c>
      <c r="G167">
        <f>""</f>
        <v/>
      </c>
      <c r="H167">
        <f>"High"</f>
        <v/>
      </c>
      <c r="I167">
        <f>TRIM(IF(LEN(IF(LEN(INDEX('Providers'!$F$4:$F$503,164))=0,"",INDEX('Providers'!$F$4:$F$503,164)))=0,"","License no.: "&amp;IF(LEN(INDEX('Providers'!$F$4:$F$503,164))=0,"",INDEX('Providers'!$F$4:$F$503,164))&amp;". ")&amp;IF(LEN(IF(LEN(INDEX('Providers'!$C$4:$C$503,164))=0,"",INDEX('Providers'!$C$4:$C$503,164)))=0,"","NPI: "&amp;IF(LEN(INDEX('Providers'!$C$4:$C$503,164))=0,"",INDEX('Providers'!$C$4:$C$503,164))&amp;". ")&amp;IF(LEN(IF(LEN(INDEX('Providers'!$D$4:$D$503,164))=0,"",INDEX('Providers'!$D$4:$D$503,164)))=0,"","Specialty: "&amp;IF(LEN(INDEX('Providers'!$D$4:$D$503,164))=0,"",INDEX('Providers'!$D$4:$D$503,164))&amp;". ")&amp;IF(LEN(IF(LEN(INDEX('Providers'!$AK$4:$AK$503,164))=0,"",INDEX('Providers'!$AK$4:$AK$503,164)))=0,"",IF(LEN(INDEX('Providers'!$AK$4:$AK$503,164))=0,"",INDEX('Providers'!$AK$4:$AK$503,164))))</f>
        <v/>
      </c>
      <c r="J167">
        <f>IF(LEN(INDEX('Providers'!$AJ$4:$AJ$503,164))=0,"",INDEX('Providers'!$AJ$4:$AJ$503,164))</f>
        <v/>
      </c>
      <c r="K167">
        <f>IF(LEN(INDEX('Providers'!$AI$4:$AI$503,164))=0,"",INDEX('Providers'!$AI$4:$AI$503,164))</f>
        <v/>
      </c>
    </row>
    <row r="168">
      <c r="A168">
        <f>IF(AND(LEN('Providers'!A168)&gt;0,ISNUMBER('Providers'!G168)),1,0)</f>
        <v/>
      </c>
      <c r="B168">
        <f>B167+A168</f>
        <v/>
      </c>
      <c r="C168">
        <f>IF(165&gt;$B$4503,"",MATCH(165-0.5,$B$3:$B$4503,1))</f>
        <v/>
      </c>
      <c r="D168">
        <f>"State license ("&amp;IF(LEN(INDEX('Providers'!$E$4:$E$503,165))=0,"",INDEX('Providers'!$E$4:$E$503,165))&amp;") – "&amp;IF(LEN(INDEX('Providers'!$A$4:$A$503,165))=0,"",INDEX('Providers'!$A$4:$A$503,165))</f>
        <v/>
      </c>
      <c r="E168">
        <f>IF(ISNUMBER(INDEX('Providers'!$G$4:$G$503,165)),TEXT(INDEX('Providers'!$G$4:$G$503,165),"yyyy-mm-dd"),"")</f>
        <v/>
      </c>
      <c r="F168">
        <f>"License"</f>
        <v/>
      </c>
      <c r="G168">
        <f>""</f>
        <v/>
      </c>
      <c r="H168">
        <f>"High"</f>
        <v/>
      </c>
      <c r="I168">
        <f>TRIM(IF(LEN(IF(LEN(INDEX('Providers'!$F$4:$F$503,165))=0,"",INDEX('Providers'!$F$4:$F$503,165)))=0,"","License no.: "&amp;IF(LEN(INDEX('Providers'!$F$4:$F$503,165))=0,"",INDEX('Providers'!$F$4:$F$503,165))&amp;". ")&amp;IF(LEN(IF(LEN(INDEX('Providers'!$C$4:$C$503,165))=0,"",INDEX('Providers'!$C$4:$C$503,165)))=0,"","NPI: "&amp;IF(LEN(INDEX('Providers'!$C$4:$C$503,165))=0,"",INDEX('Providers'!$C$4:$C$503,165))&amp;". ")&amp;IF(LEN(IF(LEN(INDEX('Providers'!$D$4:$D$503,165))=0,"",INDEX('Providers'!$D$4:$D$503,165)))=0,"","Specialty: "&amp;IF(LEN(INDEX('Providers'!$D$4:$D$503,165))=0,"",INDEX('Providers'!$D$4:$D$503,165))&amp;". ")&amp;IF(LEN(IF(LEN(INDEX('Providers'!$AK$4:$AK$503,165))=0,"",INDEX('Providers'!$AK$4:$AK$503,165)))=0,"",IF(LEN(INDEX('Providers'!$AK$4:$AK$503,165))=0,"",INDEX('Providers'!$AK$4:$AK$503,165))))</f>
        <v/>
      </c>
      <c r="J168">
        <f>IF(LEN(INDEX('Providers'!$AJ$4:$AJ$503,165))=0,"",INDEX('Providers'!$AJ$4:$AJ$503,165))</f>
        <v/>
      </c>
      <c r="K168">
        <f>IF(LEN(INDEX('Providers'!$AI$4:$AI$503,165))=0,"",INDEX('Providers'!$AI$4:$AI$503,165))</f>
        <v/>
      </c>
    </row>
    <row r="169">
      <c r="A169">
        <f>IF(AND(LEN('Providers'!A169)&gt;0,ISNUMBER('Providers'!G169)),1,0)</f>
        <v/>
      </c>
      <c r="B169">
        <f>B168+A169</f>
        <v/>
      </c>
      <c r="C169">
        <f>IF(166&gt;$B$4503,"",MATCH(166-0.5,$B$3:$B$4503,1))</f>
        <v/>
      </c>
      <c r="D169">
        <f>"State license ("&amp;IF(LEN(INDEX('Providers'!$E$4:$E$503,166))=0,"",INDEX('Providers'!$E$4:$E$503,166))&amp;") – "&amp;IF(LEN(INDEX('Providers'!$A$4:$A$503,166))=0,"",INDEX('Providers'!$A$4:$A$503,166))</f>
        <v/>
      </c>
      <c r="E169">
        <f>IF(ISNUMBER(INDEX('Providers'!$G$4:$G$503,166)),TEXT(INDEX('Providers'!$G$4:$G$503,166),"yyyy-mm-dd"),"")</f>
        <v/>
      </c>
      <c r="F169">
        <f>"License"</f>
        <v/>
      </c>
      <c r="G169">
        <f>""</f>
        <v/>
      </c>
      <c r="H169">
        <f>"High"</f>
        <v/>
      </c>
      <c r="I169">
        <f>TRIM(IF(LEN(IF(LEN(INDEX('Providers'!$F$4:$F$503,166))=0,"",INDEX('Providers'!$F$4:$F$503,166)))=0,"","License no.: "&amp;IF(LEN(INDEX('Providers'!$F$4:$F$503,166))=0,"",INDEX('Providers'!$F$4:$F$503,166))&amp;". ")&amp;IF(LEN(IF(LEN(INDEX('Providers'!$C$4:$C$503,166))=0,"",INDEX('Providers'!$C$4:$C$503,166)))=0,"","NPI: "&amp;IF(LEN(INDEX('Providers'!$C$4:$C$503,166))=0,"",INDEX('Providers'!$C$4:$C$503,166))&amp;". ")&amp;IF(LEN(IF(LEN(INDEX('Providers'!$D$4:$D$503,166))=0,"",INDEX('Providers'!$D$4:$D$503,166)))=0,"","Specialty: "&amp;IF(LEN(INDEX('Providers'!$D$4:$D$503,166))=0,"",INDEX('Providers'!$D$4:$D$503,166))&amp;". ")&amp;IF(LEN(IF(LEN(INDEX('Providers'!$AK$4:$AK$503,166))=0,"",INDEX('Providers'!$AK$4:$AK$503,166)))=0,"",IF(LEN(INDEX('Providers'!$AK$4:$AK$503,166))=0,"",INDEX('Providers'!$AK$4:$AK$503,166))))</f>
        <v/>
      </c>
      <c r="J169">
        <f>IF(LEN(INDEX('Providers'!$AJ$4:$AJ$503,166))=0,"",INDEX('Providers'!$AJ$4:$AJ$503,166))</f>
        <v/>
      </c>
      <c r="K169">
        <f>IF(LEN(INDEX('Providers'!$AI$4:$AI$503,166))=0,"",INDEX('Providers'!$AI$4:$AI$503,166))</f>
        <v/>
      </c>
    </row>
    <row r="170">
      <c r="A170">
        <f>IF(AND(LEN('Providers'!A170)&gt;0,ISNUMBER('Providers'!G170)),1,0)</f>
        <v/>
      </c>
      <c r="B170">
        <f>B169+A170</f>
        <v/>
      </c>
      <c r="C170">
        <f>IF(167&gt;$B$4503,"",MATCH(167-0.5,$B$3:$B$4503,1))</f>
        <v/>
      </c>
      <c r="D170">
        <f>"State license ("&amp;IF(LEN(INDEX('Providers'!$E$4:$E$503,167))=0,"",INDEX('Providers'!$E$4:$E$503,167))&amp;") – "&amp;IF(LEN(INDEX('Providers'!$A$4:$A$503,167))=0,"",INDEX('Providers'!$A$4:$A$503,167))</f>
        <v/>
      </c>
      <c r="E170">
        <f>IF(ISNUMBER(INDEX('Providers'!$G$4:$G$503,167)),TEXT(INDEX('Providers'!$G$4:$G$503,167),"yyyy-mm-dd"),"")</f>
        <v/>
      </c>
      <c r="F170">
        <f>"License"</f>
        <v/>
      </c>
      <c r="G170">
        <f>""</f>
        <v/>
      </c>
      <c r="H170">
        <f>"High"</f>
        <v/>
      </c>
      <c r="I170">
        <f>TRIM(IF(LEN(IF(LEN(INDEX('Providers'!$F$4:$F$503,167))=0,"",INDEX('Providers'!$F$4:$F$503,167)))=0,"","License no.: "&amp;IF(LEN(INDEX('Providers'!$F$4:$F$503,167))=0,"",INDEX('Providers'!$F$4:$F$503,167))&amp;". ")&amp;IF(LEN(IF(LEN(INDEX('Providers'!$C$4:$C$503,167))=0,"",INDEX('Providers'!$C$4:$C$503,167)))=0,"","NPI: "&amp;IF(LEN(INDEX('Providers'!$C$4:$C$503,167))=0,"",INDEX('Providers'!$C$4:$C$503,167))&amp;". ")&amp;IF(LEN(IF(LEN(INDEX('Providers'!$D$4:$D$503,167))=0,"",INDEX('Providers'!$D$4:$D$503,167)))=0,"","Specialty: "&amp;IF(LEN(INDEX('Providers'!$D$4:$D$503,167))=0,"",INDEX('Providers'!$D$4:$D$503,167))&amp;". ")&amp;IF(LEN(IF(LEN(INDEX('Providers'!$AK$4:$AK$503,167))=0,"",INDEX('Providers'!$AK$4:$AK$503,167)))=0,"",IF(LEN(INDEX('Providers'!$AK$4:$AK$503,167))=0,"",INDEX('Providers'!$AK$4:$AK$503,167))))</f>
        <v/>
      </c>
      <c r="J170">
        <f>IF(LEN(INDEX('Providers'!$AJ$4:$AJ$503,167))=0,"",INDEX('Providers'!$AJ$4:$AJ$503,167))</f>
        <v/>
      </c>
      <c r="K170">
        <f>IF(LEN(INDEX('Providers'!$AI$4:$AI$503,167))=0,"",INDEX('Providers'!$AI$4:$AI$503,167))</f>
        <v/>
      </c>
    </row>
    <row r="171">
      <c r="A171">
        <f>IF(AND(LEN('Providers'!A171)&gt;0,ISNUMBER('Providers'!G171)),1,0)</f>
        <v/>
      </c>
      <c r="B171">
        <f>B170+A171</f>
        <v/>
      </c>
      <c r="C171">
        <f>IF(168&gt;$B$4503,"",MATCH(168-0.5,$B$3:$B$4503,1))</f>
        <v/>
      </c>
      <c r="D171">
        <f>"State license ("&amp;IF(LEN(INDEX('Providers'!$E$4:$E$503,168))=0,"",INDEX('Providers'!$E$4:$E$503,168))&amp;") – "&amp;IF(LEN(INDEX('Providers'!$A$4:$A$503,168))=0,"",INDEX('Providers'!$A$4:$A$503,168))</f>
        <v/>
      </c>
      <c r="E171">
        <f>IF(ISNUMBER(INDEX('Providers'!$G$4:$G$503,168)),TEXT(INDEX('Providers'!$G$4:$G$503,168),"yyyy-mm-dd"),"")</f>
        <v/>
      </c>
      <c r="F171">
        <f>"License"</f>
        <v/>
      </c>
      <c r="G171">
        <f>""</f>
        <v/>
      </c>
      <c r="H171">
        <f>"High"</f>
        <v/>
      </c>
      <c r="I171">
        <f>TRIM(IF(LEN(IF(LEN(INDEX('Providers'!$F$4:$F$503,168))=0,"",INDEX('Providers'!$F$4:$F$503,168)))=0,"","License no.: "&amp;IF(LEN(INDEX('Providers'!$F$4:$F$503,168))=0,"",INDEX('Providers'!$F$4:$F$503,168))&amp;". ")&amp;IF(LEN(IF(LEN(INDEX('Providers'!$C$4:$C$503,168))=0,"",INDEX('Providers'!$C$4:$C$503,168)))=0,"","NPI: "&amp;IF(LEN(INDEX('Providers'!$C$4:$C$503,168))=0,"",INDEX('Providers'!$C$4:$C$503,168))&amp;". ")&amp;IF(LEN(IF(LEN(INDEX('Providers'!$D$4:$D$503,168))=0,"",INDEX('Providers'!$D$4:$D$503,168)))=0,"","Specialty: "&amp;IF(LEN(INDEX('Providers'!$D$4:$D$503,168))=0,"",INDEX('Providers'!$D$4:$D$503,168))&amp;". ")&amp;IF(LEN(IF(LEN(INDEX('Providers'!$AK$4:$AK$503,168))=0,"",INDEX('Providers'!$AK$4:$AK$503,168)))=0,"",IF(LEN(INDEX('Providers'!$AK$4:$AK$503,168))=0,"",INDEX('Providers'!$AK$4:$AK$503,168))))</f>
        <v/>
      </c>
      <c r="J171">
        <f>IF(LEN(INDEX('Providers'!$AJ$4:$AJ$503,168))=0,"",INDEX('Providers'!$AJ$4:$AJ$503,168))</f>
        <v/>
      </c>
      <c r="K171">
        <f>IF(LEN(INDEX('Providers'!$AI$4:$AI$503,168))=0,"",INDEX('Providers'!$AI$4:$AI$503,168))</f>
        <v/>
      </c>
    </row>
    <row r="172">
      <c r="A172">
        <f>IF(AND(LEN('Providers'!A172)&gt;0,ISNUMBER('Providers'!G172)),1,0)</f>
        <v/>
      </c>
      <c r="B172">
        <f>B171+A172</f>
        <v/>
      </c>
      <c r="C172">
        <f>IF(169&gt;$B$4503,"",MATCH(169-0.5,$B$3:$B$4503,1))</f>
        <v/>
      </c>
      <c r="D172">
        <f>"State license ("&amp;IF(LEN(INDEX('Providers'!$E$4:$E$503,169))=0,"",INDEX('Providers'!$E$4:$E$503,169))&amp;") – "&amp;IF(LEN(INDEX('Providers'!$A$4:$A$503,169))=0,"",INDEX('Providers'!$A$4:$A$503,169))</f>
        <v/>
      </c>
      <c r="E172">
        <f>IF(ISNUMBER(INDEX('Providers'!$G$4:$G$503,169)),TEXT(INDEX('Providers'!$G$4:$G$503,169),"yyyy-mm-dd"),"")</f>
        <v/>
      </c>
      <c r="F172">
        <f>"License"</f>
        <v/>
      </c>
      <c r="G172">
        <f>""</f>
        <v/>
      </c>
      <c r="H172">
        <f>"High"</f>
        <v/>
      </c>
      <c r="I172">
        <f>TRIM(IF(LEN(IF(LEN(INDEX('Providers'!$F$4:$F$503,169))=0,"",INDEX('Providers'!$F$4:$F$503,169)))=0,"","License no.: "&amp;IF(LEN(INDEX('Providers'!$F$4:$F$503,169))=0,"",INDEX('Providers'!$F$4:$F$503,169))&amp;". ")&amp;IF(LEN(IF(LEN(INDEX('Providers'!$C$4:$C$503,169))=0,"",INDEX('Providers'!$C$4:$C$503,169)))=0,"","NPI: "&amp;IF(LEN(INDEX('Providers'!$C$4:$C$503,169))=0,"",INDEX('Providers'!$C$4:$C$503,169))&amp;". ")&amp;IF(LEN(IF(LEN(INDEX('Providers'!$D$4:$D$503,169))=0,"",INDEX('Providers'!$D$4:$D$503,169)))=0,"","Specialty: "&amp;IF(LEN(INDEX('Providers'!$D$4:$D$503,169))=0,"",INDEX('Providers'!$D$4:$D$503,169))&amp;". ")&amp;IF(LEN(IF(LEN(INDEX('Providers'!$AK$4:$AK$503,169))=0,"",INDEX('Providers'!$AK$4:$AK$503,169)))=0,"",IF(LEN(INDEX('Providers'!$AK$4:$AK$503,169))=0,"",INDEX('Providers'!$AK$4:$AK$503,169))))</f>
        <v/>
      </c>
      <c r="J172">
        <f>IF(LEN(INDEX('Providers'!$AJ$4:$AJ$503,169))=0,"",INDEX('Providers'!$AJ$4:$AJ$503,169))</f>
        <v/>
      </c>
      <c r="K172">
        <f>IF(LEN(INDEX('Providers'!$AI$4:$AI$503,169))=0,"",INDEX('Providers'!$AI$4:$AI$503,169))</f>
        <v/>
      </c>
    </row>
    <row r="173">
      <c r="A173">
        <f>IF(AND(LEN('Providers'!A173)&gt;0,ISNUMBER('Providers'!G173)),1,0)</f>
        <v/>
      </c>
      <c r="B173">
        <f>B172+A173</f>
        <v/>
      </c>
      <c r="C173">
        <f>IF(170&gt;$B$4503,"",MATCH(170-0.5,$B$3:$B$4503,1))</f>
        <v/>
      </c>
      <c r="D173">
        <f>"State license ("&amp;IF(LEN(INDEX('Providers'!$E$4:$E$503,170))=0,"",INDEX('Providers'!$E$4:$E$503,170))&amp;") – "&amp;IF(LEN(INDEX('Providers'!$A$4:$A$503,170))=0,"",INDEX('Providers'!$A$4:$A$503,170))</f>
        <v/>
      </c>
      <c r="E173">
        <f>IF(ISNUMBER(INDEX('Providers'!$G$4:$G$503,170)),TEXT(INDEX('Providers'!$G$4:$G$503,170),"yyyy-mm-dd"),"")</f>
        <v/>
      </c>
      <c r="F173">
        <f>"License"</f>
        <v/>
      </c>
      <c r="G173">
        <f>""</f>
        <v/>
      </c>
      <c r="H173">
        <f>"High"</f>
        <v/>
      </c>
      <c r="I173">
        <f>TRIM(IF(LEN(IF(LEN(INDEX('Providers'!$F$4:$F$503,170))=0,"",INDEX('Providers'!$F$4:$F$503,170)))=0,"","License no.: "&amp;IF(LEN(INDEX('Providers'!$F$4:$F$503,170))=0,"",INDEX('Providers'!$F$4:$F$503,170))&amp;". ")&amp;IF(LEN(IF(LEN(INDEX('Providers'!$C$4:$C$503,170))=0,"",INDEX('Providers'!$C$4:$C$503,170)))=0,"","NPI: "&amp;IF(LEN(INDEX('Providers'!$C$4:$C$503,170))=0,"",INDEX('Providers'!$C$4:$C$503,170))&amp;". ")&amp;IF(LEN(IF(LEN(INDEX('Providers'!$D$4:$D$503,170))=0,"",INDEX('Providers'!$D$4:$D$503,170)))=0,"","Specialty: "&amp;IF(LEN(INDEX('Providers'!$D$4:$D$503,170))=0,"",INDEX('Providers'!$D$4:$D$503,170))&amp;". ")&amp;IF(LEN(IF(LEN(INDEX('Providers'!$AK$4:$AK$503,170))=0,"",INDEX('Providers'!$AK$4:$AK$503,170)))=0,"",IF(LEN(INDEX('Providers'!$AK$4:$AK$503,170))=0,"",INDEX('Providers'!$AK$4:$AK$503,170))))</f>
        <v/>
      </c>
      <c r="J173">
        <f>IF(LEN(INDEX('Providers'!$AJ$4:$AJ$503,170))=0,"",INDEX('Providers'!$AJ$4:$AJ$503,170))</f>
        <v/>
      </c>
      <c r="K173">
        <f>IF(LEN(INDEX('Providers'!$AI$4:$AI$503,170))=0,"",INDEX('Providers'!$AI$4:$AI$503,170))</f>
        <v/>
      </c>
    </row>
    <row r="174">
      <c r="A174">
        <f>IF(AND(LEN('Providers'!A174)&gt;0,ISNUMBER('Providers'!G174)),1,0)</f>
        <v/>
      </c>
      <c r="B174">
        <f>B173+A174</f>
        <v/>
      </c>
      <c r="C174">
        <f>IF(171&gt;$B$4503,"",MATCH(171-0.5,$B$3:$B$4503,1))</f>
        <v/>
      </c>
      <c r="D174">
        <f>"State license ("&amp;IF(LEN(INDEX('Providers'!$E$4:$E$503,171))=0,"",INDEX('Providers'!$E$4:$E$503,171))&amp;") – "&amp;IF(LEN(INDEX('Providers'!$A$4:$A$503,171))=0,"",INDEX('Providers'!$A$4:$A$503,171))</f>
        <v/>
      </c>
      <c r="E174">
        <f>IF(ISNUMBER(INDEX('Providers'!$G$4:$G$503,171)),TEXT(INDEX('Providers'!$G$4:$G$503,171),"yyyy-mm-dd"),"")</f>
        <v/>
      </c>
      <c r="F174">
        <f>"License"</f>
        <v/>
      </c>
      <c r="G174">
        <f>""</f>
        <v/>
      </c>
      <c r="H174">
        <f>"High"</f>
        <v/>
      </c>
      <c r="I174">
        <f>TRIM(IF(LEN(IF(LEN(INDEX('Providers'!$F$4:$F$503,171))=0,"",INDEX('Providers'!$F$4:$F$503,171)))=0,"","License no.: "&amp;IF(LEN(INDEX('Providers'!$F$4:$F$503,171))=0,"",INDEX('Providers'!$F$4:$F$503,171))&amp;". ")&amp;IF(LEN(IF(LEN(INDEX('Providers'!$C$4:$C$503,171))=0,"",INDEX('Providers'!$C$4:$C$503,171)))=0,"","NPI: "&amp;IF(LEN(INDEX('Providers'!$C$4:$C$503,171))=0,"",INDEX('Providers'!$C$4:$C$503,171))&amp;". ")&amp;IF(LEN(IF(LEN(INDEX('Providers'!$D$4:$D$503,171))=0,"",INDEX('Providers'!$D$4:$D$503,171)))=0,"","Specialty: "&amp;IF(LEN(INDEX('Providers'!$D$4:$D$503,171))=0,"",INDEX('Providers'!$D$4:$D$503,171))&amp;". ")&amp;IF(LEN(IF(LEN(INDEX('Providers'!$AK$4:$AK$503,171))=0,"",INDEX('Providers'!$AK$4:$AK$503,171)))=0,"",IF(LEN(INDEX('Providers'!$AK$4:$AK$503,171))=0,"",INDEX('Providers'!$AK$4:$AK$503,171))))</f>
        <v/>
      </c>
      <c r="J174">
        <f>IF(LEN(INDEX('Providers'!$AJ$4:$AJ$503,171))=0,"",INDEX('Providers'!$AJ$4:$AJ$503,171))</f>
        <v/>
      </c>
      <c r="K174">
        <f>IF(LEN(INDEX('Providers'!$AI$4:$AI$503,171))=0,"",INDEX('Providers'!$AI$4:$AI$503,171))</f>
        <v/>
      </c>
    </row>
    <row r="175">
      <c r="A175">
        <f>IF(AND(LEN('Providers'!A175)&gt;0,ISNUMBER('Providers'!G175)),1,0)</f>
        <v/>
      </c>
      <c r="B175">
        <f>B174+A175</f>
        <v/>
      </c>
      <c r="C175">
        <f>IF(172&gt;$B$4503,"",MATCH(172-0.5,$B$3:$B$4503,1))</f>
        <v/>
      </c>
      <c r="D175">
        <f>"State license ("&amp;IF(LEN(INDEX('Providers'!$E$4:$E$503,172))=0,"",INDEX('Providers'!$E$4:$E$503,172))&amp;") – "&amp;IF(LEN(INDEX('Providers'!$A$4:$A$503,172))=0,"",INDEX('Providers'!$A$4:$A$503,172))</f>
        <v/>
      </c>
      <c r="E175">
        <f>IF(ISNUMBER(INDEX('Providers'!$G$4:$G$503,172)),TEXT(INDEX('Providers'!$G$4:$G$503,172),"yyyy-mm-dd"),"")</f>
        <v/>
      </c>
      <c r="F175">
        <f>"License"</f>
        <v/>
      </c>
      <c r="G175">
        <f>""</f>
        <v/>
      </c>
      <c r="H175">
        <f>"High"</f>
        <v/>
      </c>
      <c r="I175">
        <f>TRIM(IF(LEN(IF(LEN(INDEX('Providers'!$F$4:$F$503,172))=0,"",INDEX('Providers'!$F$4:$F$503,172)))=0,"","License no.: "&amp;IF(LEN(INDEX('Providers'!$F$4:$F$503,172))=0,"",INDEX('Providers'!$F$4:$F$503,172))&amp;". ")&amp;IF(LEN(IF(LEN(INDEX('Providers'!$C$4:$C$503,172))=0,"",INDEX('Providers'!$C$4:$C$503,172)))=0,"","NPI: "&amp;IF(LEN(INDEX('Providers'!$C$4:$C$503,172))=0,"",INDEX('Providers'!$C$4:$C$503,172))&amp;". ")&amp;IF(LEN(IF(LEN(INDEX('Providers'!$D$4:$D$503,172))=0,"",INDEX('Providers'!$D$4:$D$503,172)))=0,"","Specialty: "&amp;IF(LEN(INDEX('Providers'!$D$4:$D$503,172))=0,"",INDEX('Providers'!$D$4:$D$503,172))&amp;". ")&amp;IF(LEN(IF(LEN(INDEX('Providers'!$AK$4:$AK$503,172))=0,"",INDEX('Providers'!$AK$4:$AK$503,172)))=0,"",IF(LEN(INDEX('Providers'!$AK$4:$AK$503,172))=0,"",INDEX('Providers'!$AK$4:$AK$503,172))))</f>
        <v/>
      </c>
      <c r="J175">
        <f>IF(LEN(INDEX('Providers'!$AJ$4:$AJ$503,172))=0,"",INDEX('Providers'!$AJ$4:$AJ$503,172))</f>
        <v/>
      </c>
      <c r="K175">
        <f>IF(LEN(INDEX('Providers'!$AI$4:$AI$503,172))=0,"",INDEX('Providers'!$AI$4:$AI$503,172))</f>
        <v/>
      </c>
    </row>
    <row r="176">
      <c r="A176">
        <f>IF(AND(LEN('Providers'!A176)&gt;0,ISNUMBER('Providers'!G176)),1,0)</f>
        <v/>
      </c>
      <c r="B176">
        <f>B175+A176</f>
        <v/>
      </c>
      <c r="C176">
        <f>IF(173&gt;$B$4503,"",MATCH(173-0.5,$B$3:$B$4503,1))</f>
        <v/>
      </c>
      <c r="D176">
        <f>"State license ("&amp;IF(LEN(INDEX('Providers'!$E$4:$E$503,173))=0,"",INDEX('Providers'!$E$4:$E$503,173))&amp;") – "&amp;IF(LEN(INDEX('Providers'!$A$4:$A$503,173))=0,"",INDEX('Providers'!$A$4:$A$503,173))</f>
        <v/>
      </c>
      <c r="E176">
        <f>IF(ISNUMBER(INDEX('Providers'!$G$4:$G$503,173)),TEXT(INDEX('Providers'!$G$4:$G$503,173),"yyyy-mm-dd"),"")</f>
        <v/>
      </c>
      <c r="F176">
        <f>"License"</f>
        <v/>
      </c>
      <c r="G176">
        <f>""</f>
        <v/>
      </c>
      <c r="H176">
        <f>"High"</f>
        <v/>
      </c>
      <c r="I176">
        <f>TRIM(IF(LEN(IF(LEN(INDEX('Providers'!$F$4:$F$503,173))=0,"",INDEX('Providers'!$F$4:$F$503,173)))=0,"","License no.: "&amp;IF(LEN(INDEX('Providers'!$F$4:$F$503,173))=0,"",INDEX('Providers'!$F$4:$F$503,173))&amp;". ")&amp;IF(LEN(IF(LEN(INDEX('Providers'!$C$4:$C$503,173))=0,"",INDEX('Providers'!$C$4:$C$503,173)))=0,"","NPI: "&amp;IF(LEN(INDEX('Providers'!$C$4:$C$503,173))=0,"",INDEX('Providers'!$C$4:$C$503,173))&amp;". ")&amp;IF(LEN(IF(LEN(INDEX('Providers'!$D$4:$D$503,173))=0,"",INDEX('Providers'!$D$4:$D$503,173)))=0,"","Specialty: "&amp;IF(LEN(INDEX('Providers'!$D$4:$D$503,173))=0,"",INDEX('Providers'!$D$4:$D$503,173))&amp;". ")&amp;IF(LEN(IF(LEN(INDEX('Providers'!$AK$4:$AK$503,173))=0,"",INDEX('Providers'!$AK$4:$AK$503,173)))=0,"",IF(LEN(INDEX('Providers'!$AK$4:$AK$503,173))=0,"",INDEX('Providers'!$AK$4:$AK$503,173))))</f>
        <v/>
      </c>
      <c r="J176">
        <f>IF(LEN(INDEX('Providers'!$AJ$4:$AJ$503,173))=0,"",INDEX('Providers'!$AJ$4:$AJ$503,173))</f>
        <v/>
      </c>
      <c r="K176">
        <f>IF(LEN(INDEX('Providers'!$AI$4:$AI$503,173))=0,"",INDEX('Providers'!$AI$4:$AI$503,173))</f>
        <v/>
      </c>
    </row>
    <row r="177">
      <c r="A177">
        <f>IF(AND(LEN('Providers'!A177)&gt;0,ISNUMBER('Providers'!G177)),1,0)</f>
        <v/>
      </c>
      <c r="B177">
        <f>B176+A177</f>
        <v/>
      </c>
      <c r="C177">
        <f>IF(174&gt;$B$4503,"",MATCH(174-0.5,$B$3:$B$4503,1))</f>
        <v/>
      </c>
      <c r="D177">
        <f>"State license ("&amp;IF(LEN(INDEX('Providers'!$E$4:$E$503,174))=0,"",INDEX('Providers'!$E$4:$E$503,174))&amp;") – "&amp;IF(LEN(INDEX('Providers'!$A$4:$A$503,174))=0,"",INDEX('Providers'!$A$4:$A$503,174))</f>
        <v/>
      </c>
      <c r="E177">
        <f>IF(ISNUMBER(INDEX('Providers'!$G$4:$G$503,174)),TEXT(INDEX('Providers'!$G$4:$G$503,174),"yyyy-mm-dd"),"")</f>
        <v/>
      </c>
      <c r="F177">
        <f>"License"</f>
        <v/>
      </c>
      <c r="G177">
        <f>""</f>
        <v/>
      </c>
      <c r="H177">
        <f>"High"</f>
        <v/>
      </c>
      <c r="I177">
        <f>TRIM(IF(LEN(IF(LEN(INDEX('Providers'!$F$4:$F$503,174))=0,"",INDEX('Providers'!$F$4:$F$503,174)))=0,"","License no.: "&amp;IF(LEN(INDEX('Providers'!$F$4:$F$503,174))=0,"",INDEX('Providers'!$F$4:$F$503,174))&amp;". ")&amp;IF(LEN(IF(LEN(INDEX('Providers'!$C$4:$C$503,174))=0,"",INDEX('Providers'!$C$4:$C$503,174)))=0,"","NPI: "&amp;IF(LEN(INDEX('Providers'!$C$4:$C$503,174))=0,"",INDEX('Providers'!$C$4:$C$503,174))&amp;". ")&amp;IF(LEN(IF(LEN(INDEX('Providers'!$D$4:$D$503,174))=0,"",INDEX('Providers'!$D$4:$D$503,174)))=0,"","Specialty: "&amp;IF(LEN(INDEX('Providers'!$D$4:$D$503,174))=0,"",INDEX('Providers'!$D$4:$D$503,174))&amp;". ")&amp;IF(LEN(IF(LEN(INDEX('Providers'!$AK$4:$AK$503,174))=0,"",INDEX('Providers'!$AK$4:$AK$503,174)))=0,"",IF(LEN(INDEX('Providers'!$AK$4:$AK$503,174))=0,"",INDEX('Providers'!$AK$4:$AK$503,174))))</f>
        <v/>
      </c>
      <c r="J177">
        <f>IF(LEN(INDEX('Providers'!$AJ$4:$AJ$503,174))=0,"",INDEX('Providers'!$AJ$4:$AJ$503,174))</f>
        <v/>
      </c>
      <c r="K177">
        <f>IF(LEN(INDEX('Providers'!$AI$4:$AI$503,174))=0,"",INDEX('Providers'!$AI$4:$AI$503,174))</f>
        <v/>
      </c>
    </row>
    <row r="178">
      <c r="A178">
        <f>IF(AND(LEN('Providers'!A178)&gt;0,ISNUMBER('Providers'!G178)),1,0)</f>
        <v/>
      </c>
      <c r="B178">
        <f>B177+A178</f>
        <v/>
      </c>
      <c r="C178">
        <f>IF(175&gt;$B$4503,"",MATCH(175-0.5,$B$3:$B$4503,1))</f>
        <v/>
      </c>
      <c r="D178">
        <f>"State license ("&amp;IF(LEN(INDEX('Providers'!$E$4:$E$503,175))=0,"",INDEX('Providers'!$E$4:$E$503,175))&amp;") – "&amp;IF(LEN(INDEX('Providers'!$A$4:$A$503,175))=0,"",INDEX('Providers'!$A$4:$A$503,175))</f>
        <v/>
      </c>
      <c r="E178">
        <f>IF(ISNUMBER(INDEX('Providers'!$G$4:$G$503,175)),TEXT(INDEX('Providers'!$G$4:$G$503,175),"yyyy-mm-dd"),"")</f>
        <v/>
      </c>
      <c r="F178">
        <f>"License"</f>
        <v/>
      </c>
      <c r="G178">
        <f>""</f>
        <v/>
      </c>
      <c r="H178">
        <f>"High"</f>
        <v/>
      </c>
      <c r="I178">
        <f>TRIM(IF(LEN(IF(LEN(INDEX('Providers'!$F$4:$F$503,175))=0,"",INDEX('Providers'!$F$4:$F$503,175)))=0,"","License no.: "&amp;IF(LEN(INDEX('Providers'!$F$4:$F$503,175))=0,"",INDEX('Providers'!$F$4:$F$503,175))&amp;". ")&amp;IF(LEN(IF(LEN(INDEX('Providers'!$C$4:$C$503,175))=0,"",INDEX('Providers'!$C$4:$C$503,175)))=0,"","NPI: "&amp;IF(LEN(INDEX('Providers'!$C$4:$C$503,175))=0,"",INDEX('Providers'!$C$4:$C$503,175))&amp;". ")&amp;IF(LEN(IF(LEN(INDEX('Providers'!$D$4:$D$503,175))=0,"",INDEX('Providers'!$D$4:$D$503,175)))=0,"","Specialty: "&amp;IF(LEN(INDEX('Providers'!$D$4:$D$503,175))=0,"",INDEX('Providers'!$D$4:$D$503,175))&amp;". ")&amp;IF(LEN(IF(LEN(INDEX('Providers'!$AK$4:$AK$503,175))=0,"",INDEX('Providers'!$AK$4:$AK$503,175)))=0,"",IF(LEN(INDEX('Providers'!$AK$4:$AK$503,175))=0,"",INDEX('Providers'!$AK$4:$AK$503,175))))</f>
        <v/>
      </c>
      <c r="J178">
        <f>IF(LEN(INDEX('Providers'!$AJ$4:$AJ$503,175))=0,"",INDEX('Providers'!$AJ$4:$AJ$503,175))</f>
        <v/>
      </c>
      <c r="K178">
        <f>IF(LEN(INDEX('Providers'!$AI$4:$AI$503,175))=0,"",INDEX('Providers'!$AI$4:$AI$503,175))</f>
        <v/>
      </c>
    </row>
    <row r="179">
      <c r="A179">
        <f>IF(AND(LEN('Providers'!A179)&gt;0,ISNUMBER('Providers'!G179)),1,0)</f>
        <v/>
      </c>
      <c r="B179">
        <f>B178+A179</f>
        <v/>
      </c>
      <c r="C179">
        <f>IF(176&gt;$B$4503,"",MATCH(176-0.5,$B$3:$B$4503,1))</f>
        <v/>
      </c>
      <c r="D179">
        <f>"State license ("&amp;IF(LEN(INDEX('Providers'!$E$4:$E$503,176))=0,"",INDEX('Providers'!$E$4:$E$503,176))&amp;") – "&amp;IF(LEN(INDEX('Providers'!$A$4:$A$503,176))=0,"",INDEX('Providers'!$A$4:$A$503,176))</f>
        <v/>
      </c>
      <c r="E179">
        <f>IF(ISNUMBER(INDEX('Providers'!$G$4:$G$503,176)),TEXT(INDEX('Providers'!$G$4:$G$503,176),"yyyy-mm-dd"),"")</f>
        <v/>
      </c>
      <c r="F179">
        <f>"License"</f>
        <v/>
      </c>
      <c r="G179">
        <f>""</f>
        <v/>
      </c>
      <c r="H179">
        <f>"High"</f>
        <v/>
      </c>
      <c r="I179">
        <f>TRIM(IF(LEN(IF(LEN(INDEX('Providers'!$F$4:$F$503,176))=0,"",INDEX('Providers'!$F$4:$F$503,176)))=0,"","License no.: "&amp;IF(LEN(INDEX('Providers'!$F$4:$F$503,176))=0,"",INDEX('Providers'!$F$4:$F$503,176))&amp;". ")&amp;IF(LEN(IF(LEN(INDEX('Providers'!$C$4:$C$503,176))=0,"",INDEX('Providers'!$C$4:$C$503,176)))=0,"","NPI: "&amp;IF(LEN(INDEX('Providers'!$C$4:$C$503,176))=0,"",INDEX('Providers'!$C$4:$C$503,176))&amp;". ")&amp;IF(LEN(IF(LEN(INDEX('Providers'!$D$4:$D$503,176))=0,"",INDEX('Providers'!$D$4:$D$503,176)))=0,"","Specialty: "&amp;IF(LEN(INDEX('Providers'!$D$4:$D$503,176))=0,"",INDEX('Providers'!$D$4:$D$503,176))&amp;". ")&amp;IF(LEN(IF(LEN(INDEX('Providers'!$AK$4:$AK$503,176))=0,"",INDEX('Providers'!$AK$4:$AK$503,176)))=0,"",IF(LEN(INDEX('Providers'!$AK$4:$AK$503,176))=0,"",INDEX('Providers'!$AK$4:$AK$503,176))))</f>
        <v/>
      </c>
      <c r="J179">
        <f>IF(LEN(INDEX('Providers'!$AJ$4:$AJ$503,176))=0,"",INDEX('Providers'!$AJ$4:$AJ$503,176))</f>
        <v/>
      </c>
      <c r="K179">
        <f>IF(LEN(INDEX('Providers'!$AI$4:$AI$503,176))=0,"",INDEX('Providers'!$AI$4:$AI$503,176))</f>
        <v/>
      </c>
    </row>
    <row r="180">
      <c r="A180">
        <f>IF(AND(LEN('Providers'!A180)&gt;0,ISNUMBER('Providers'!G180)),1,0)</f>
        <v/>
      </c>
      <c r="B180">
        <f>B179+A180</f>
        <v/>
      </c>
      <c r="C180">
        <f>IF(177&gt;$B$4503,"",MATCH(177-0.5,$B$3:$B$4503,1))</f>
        <v/>
      </c>
      <c r="D180">
        <f>"State license ("&amp;IF(LEN(INDEX('Providers'!$E$4:$E$503,177))=0,"",INDEX('Providers'!$E$4:$E$503,177))&amp;") – "&amp;IF(LEN(INDEX('Providers'!$A$4:$A$503,177))=0,"",INDEX('Providers'!$A$4:$A$503,177))</f>
        <v/>
      </c>
      <c r="E180">
        <f>IF(ISNUMBER(INDEX('Providers'!$G$4:$G$503,177)),TEXT(INDEX('Providers'!$G$4:$G$503,177),"yyyy-mm-dd"),"")</f>
        <v/>
      </c>
      <c r="F180">
        <f>"License"</f>
        <v/>
      </c>
      <c r="G180">
        <f>""</f>
        <v/>
      </c>
      <c r="H180">
        <f>"High"</f>
        <v/>
      </c>
      <c r="I180">
        <f>TRIM(IF(LEN(IF(LEN(INDEX('Providers'!$F$4:$F$503,177))=0,"",INDEX('Providers'!$F$4:$F$503,177)))=0,"","License no.: "&amp;IF(LEN(INDEX('Providers'!$F$4:$F$503,177))=0,"",INDEX('Providers'!$F$4:$F$503,177))&amp;". ")&amp;IF(LEN(IF(LEN(INDEX('Providers'!$C$4:$C$503,177))=0,"",INDEX('Providers'!$C$4:$C$503,177)))=0,"","NPI: "&amp;IF(LEN(INDEX('Providers'!$C$4:$C$503,177))=0,"",INDEX('Providers'!$C$4:$C$503,177))&amp;". ")&amp;IF(LEN(IF(LEN(INDEX('Providers'!$D$4:$D$503,177))=0,"",INDEX('Providers'!$D$4:$D$503,177)))=0,"","Specialty: "&amp;IF(LEN(INDEX('Providers'!$D$4:$D$503,177))=0,"",INDEX('Providers'!$D$4:$D$503,177))&amp;". ")&amp;IF(LEN(IF(LEN(INDEX('Providers'!$AK$4:$AK$503,177))=0,"",INDEX('Providers'!$AK$4:$AK$503,177)))=0,"",IF(LEN(INDEX('Providers'!$AK$4:$AK$503,177))=0,"",INDEX('Providers'!$AK$4:$AK$503,177))))</f>
        <v/>
      </c>
      <c r="J180">
        <f>IF(LEN(INDEX('Providers'!$AJ$4:$AJ$503,177))=0,"",INDEX('Providers'!$AJ$4:$AJ$503,177))</f>
        <v/>
      </c>
      <c r="K180">
        <f>IF(LEN(INDEX('Providers'!$AI$4:$AI$503,177))=0,"",INDEX('Providers'!$AI$4:$AI$503,177))</f>
        <v/>
      </c>
    </row>
    <row r="181">
      <c r="A181">
        <f>IF(AND(LEN('Providers'!A181)&gt;0,ISNUMBER('Providers'!G181)),1,0)</f>
        <v/>
      </c>
      <c r="B181">
        <f>B180+A181</f>
        <v/>
      </c>
      <c r="C181">
        <f>IF(178&gt;$B$4503,"",MATCH(178-0.5,$B$3:$B$4503,1))</f>
        <v/>
      </c>
      <c r="D181">
        <f>"State license ("&amp;IF(LEN(INDEX('Providers'!$E$4:$E$503,178))=0,"",INDEX('Providers'!$E$4:$E$503,178))&amp;") – "&amp;IF(LEN(INDEX('Providers'!$A$4:$A$503,178))=0,"",INDEX('Providers'!$A$4:$A$503,178))</f>
        <v/>
      </c>
      <c r="E181">
        <f>IF(ISNUMBER(INDEX('Providers'!$G$4:$G$503,178)),TEXT(INDEX('Providers'!$G$4:$G$503,178),"yyyy-mm-dd"),"")</f>
        <v/>
      </c>
      <c r="F181">
        <f>"License"</f>
        <v/>
      </c>
      <c r="G181">
        <f>""</f>
        <v/>
      </c>
      <c r="H181">
        <f>"High"</f>
        <v/>
      </c>
      <c r="I181">
        <f>TRIM(IF(LEN(IF(LEN(INDEX('Providers'!$F$4:$F$503,178))=0,"",INDEX('Providers'!$F$4:$F$503,178)))=0,"","License no.: "&amp;IF(LEN(INDEX('Providers'!$F$4:$F$503,178))=0,"",INDEX('Providers'!$F$4:$F$503,178))&amp;". ")&amp;IF(LEN(IF(LEN(INDEX('Providers'!$C$4:$C$503,178))=0,"",INDEX('Providers'!$C$4:$C$503,178)))=0,"","NPI: "&amp;IF(LEN(INDEX('Providers'!$C$4:$C$503,178))=0,"",INDEX('Providers'!$C$4:$C$503,178))&amp;". ")&amp;IF(LEN(IF(LEN(INDEX('Providers'!$D$4:$D$503,178))=0,"",INDEX('Providers'!$D$4:$D$503,178)))=0,"","Specialty: "&amp;IF(LEN(INDEX('Providers'!$D$4:$D$503,178))=0,"",INDEX('Providers'!$D$4:$D$503,178))&amp;". ")&amp;IF(LEN(IF(LEN(INDEX('Providers'!$AK$4:$AK$503,178))=0,"",INDEX('Providers'!$AK$4:$AK$503,178)))=0,"",IF(LEN(INDEX('Providers'!$AK$4:$AK$503,178))=0,"",INDEX('Providers'!$AK$4:$AK$503,178))))</f>
        <v/>
      </c>
      <c r="J181">
        <f>IF(LEN(INDEX('Providers'!$AJ$4:$AJ$503,178))=0,"",INDEX('Providers'!$AJ$4:$AJ$503,178))</f>
        <v/>
      </c>
      <c r="K181">
        <f>IF(LEN(INDEX('Providers'!$AI$4:$AI$503,178))=0,"",INDEX('Providers'!$AI$4:$AI$503,178))</f>
        <v/>
      </c>
    </row>
    <row r="182">
      <c r="A182">
        <f>IF(AND(LEN('Providers'!A182)&gt;0,ISNUMBER('Providers'!G182)),1,0)</f>
        <v/>
      </c>
      <c r="B182">
        <f>B181+A182</f>
        <v/>
      </c>
      <c r="C182">
        <f>IF(179&gt;$B$4503,"",MATCH(179-0.5,$B$3:$B$4503,1))</f>
        <v/>
      </c>
      <c r="D182">
        <f>"State license ("&amp;IF(LEN(INDEX('Providers'!$E$4:$E$503,179))=0,"",INDEX('Providers'!$E$4:$E$503,179))&amp;") – "&amp;IF(LEN(INDEX('Providers'!$A$4:$A$503,179))=0,"",INDEX('Providers'!$A$4:$A$503,179))</f>
        <v/>
      </c>
      <c r="E182">
        <f>IF(ISNUMBER(INDEX('Providers'!$G$4:$G$503,179)),TEXT(INDEX('Providers'!$G$4:$G$503,179),"yyyy-mm-dd"),"")</f>
        <v/>
      </c>
      <c r="F182">
        <f>"License"</f>
        <v/>
      </c>
      <c r="G182">
        <f>""</f>
        <v/>
      </c>
      <c r="H182">
        <f>"High"</f>
        <v/>
      </c>
      <c r="I182">
        <f>TRIM(IF(LEN(IF(LEN(INDEX('Providers'!$F$4:$F$503,179))=0,"",INDEX('Providers'!$F$4:$F$503,179)))=0,"","License no.: "&amp;IF(LEN(INDEX('Providers'!$F$4:$F$503,179))=0,"",INDEX('Providers'!$F$4:$F$503,179))&amp;". ")&amp;IF(LEN(IF(LEN(INDEX('Providers'!$C$4:$C$503,179))=0,"",INDEX('Providers'!$C$4:$C$503,179)))=0,"","NPI: "&amp;IF(LEN(INDEX('Providers'!$C$4:$C$503,179))=0,"",INDEX('Providers'!$C$4:$C$503,179))&amp;". ")&amp;IF(LEN(IF(LEN(INDEX('Providers'!$D$4:$D$503,179))=0,"",INDEX('Providers'!$D$4:$D$503,179)))=0,"","Specialty: "&amp;IF(LEN(INDEX('Providers'!$D$4:$D$503,179))=0,"",INDEX('Providers'!$D$4:$D$503,179))&amp;". ")&amp;IF(LEN(IF(LEN(INDEX('Providers'!$AK$4:$AK$503,179))=0,"",INDEX('Providers'!$AK$4:$AK$503,179)))=0,"",IF(LEN(INDEX('Providers'!$AK$4:$AK$503,179))=0,"",INDEX('Providers'!$AK$4:$AK$503,179))))</f>
        <v/>
      </c>
      <c r="J182">
        <f>IF(LEN(INDEX('Providers'!$AJ$4:$AJ$503,179))=0,"",INDEX('Providers'!$AJ$4:$AJ$503,179))</f>
        <v/>
      </c>
      <c r="K182">
        <f>IF(LEN(INDEX('Providers'!$AI$4:$AI$503,179))=0,"",INDEX('Providers'!$AI$4:$AI$503,179))</f>
        <v/>
      </c>
    </row>
    <row r="183">
      <c r="A183">
        <f>IF(AND(LEN('Providers'!A183)&gt;0,ISNUMBER('Providers'!G183)),1,0)</f>
        <v/>
      </c>
      <c r="B183">
        <f>B182+A183</f>
        <v/>
      </c>
      <c r="C183">
        <f>IF(180&gt;$B$4503,"",MATCH(180-0.5,$B$3:$B$4503,1))</f>
        <v/>
      </c>
      <c r="D183">
        <f>"State license ("&amp;IF(LEN(INDEX('Providers'!$E$4:$E$503,180))=0,"",INDEX('Providers'!$E$4:$E$503,180))&amp;") – "&amp;IF(LEN(INDEX('Providers'!$A$4:$A$503,180))=0,"",INDEX('Providers'!$A$4:$A$503,180))</f>
        <v/>
      </c>
      <c r="E183">
        <f>IF(ISNUMBER(INDEX('Providers'!$G$4:$G$503,180)),TEXT(INDEX('Providers'!$G$4:$G$503,180),"yyyy-mm-dd"),"")</f>
        <v/>
      </c>
      <c r="F183">
        <f>"License"</f>
        <v/>
      </c>
      <c r="G183">
        <f>""</f>
        <v/>
      </c>
      <c r="H183">
        <f>"High"</f>
        <v/>
      </c>
      <c r="I183">
        <f>TRIM(IF(LEN(IF(LEN(INDEX('Providers'!$F$4:$F$503,180))=0,"",INDEX('Providers'!$F$4:$F$503,180)))=0,"","License no.: "&amp;IF(LEN(INDEX('Providers'!$F$4:$F$503,180))=0,"",INDEX('Providers'!$F$4:$F$503,180))&amp;". ")&amp;IF(LEN(IF(LEN(INDEX('Providers'!$C$4:$C$503,180))=0,"",INDEX('Providers'!$C$4:$C$503,180)))=0,"","NPI: "&amp;IF(LEN(INDEX('Providers'!$C$4:$C$503,180))=0,"",INDEX('Providers'!$C$4:$C$503,180))&amp;". ")&amp;IF(LEN(IF(LEN(INDEX('Providers'!$D$4:$D$503,180))=0,"",INDEX('Providers'!$D$4:$D$503,180)))=0,"","Specialty: "&amp;IF(LEN(INDEX('Providers'!$D$4:$D$503,180))=0,"",INDEX('Providers'!$D$4:$D$503,180))&amp;". ")&amp;IF(LEN(IF(LEN(INDEX('Providers'!$AK$4:$AK$503,180))=0,"",INDEX('Providers'!$AK$4:$AK$503,180)))=0,"",IF(LEN(INDEX('Providers'!$AK$4:$AK$503,180))=0,"",INDEX('Providers'!$AK$4:$AK$503,180))))</f>
        <v/>
      </c>
      <c r="J183">
        <f>IF(LEN(INDEX('Providers'!$AJ$4:$AJ$503,180))=0,"",INDEX('Providers'!$AJ$4:$AJ$503,180))</f>
        <v/>
      </c>
      <c r="K183">
        <f>IF(LEN(INDEX('Providers'!$AI$4:$AI$503,180))=0,"",INDEX('Providers'!$AI$4:$AI$503,180))</f>
        <v/>
      </c>
    </row>
    <row r="184">
      <c r="A184">
        <f>IF(AND(LEN('Providers'!A184)&gt;0,ISNUMBER('Providers'!G184)),1,0)</f>
        <v/>
      </c>
      <c r="B184">
        <f>B183+A184</f>
        <v/>
      </c>
      <c r="C184">
        <f>IF(181&gt;$B$4503,"",MATCH(181-0.5,$B$3:$B$4503,1))</f>
        <v/>
      </c>
      <c r="D184">
        <f>"State license ("&amp;IF(LEN(INDEX('Providers'!$E$4:$E$503,181))=0,"",INDEX('Providers'!$E$4:$E$503,181))&amp;") – "&amp;IF(LEN(INDEX('Providers'!$A$4:$A$503,181))=0,"",INDEX('Providers'!$A$4:$A$503,181))</f>
        <v/>
      </c>
      <c r="E184">
        <f>IF(ISNUMBER(INDEX('Providers'!$G$4:$G$503,181)),TEXT(INDEX('Providers'!$G$4:$G$503,181),"yyyy-mm-dd"),"")</f>
        <v/>
      </c>
      <c r="F184">
        <f>"License"</f>
        <v/>
      </c>
      <c r="G184">
        <f>""</f>
        <v/>
      </c>
      <c r="H184">
        <f>"High"</f>
        <v/>
      </c>
      <c r="I184">
        <f>TRIM(IF(LEN(IF(LEN(INDEX('Providers'!$F$4:$F$503,181))=0,"",INDEX('Providers'!$F$4:$F$503,181)))=0,"","License no.: "&amp;IF(LEN(INDEX('Providers'!$F$4:$F$503,181))=0,"",INDEX('Providers'!$F$4:$F$503,181))&amp;". ")&amp;IF(LEN(IF(LEN(INDEX('Providers'!$C$4:$C$503,181))=0,"",INDEX('Providers'!$C$4:$C$503,181)))=0,"","NPI: "&amp;IF(LEN(INDEX('Providers'!$C$4:$C$503,181))=0,"",INDEX('Providers'!$C$4:$C$503,181))&amp;". ")&amp;IF(LEN(IF(LEN(INDEX('Providers'!$D$4:$D$503,181))=0,"",INDEX('Providers'!$D$4:$D$503,181)))=0,"","Specialty: "&amp;IF(LEN(INDEX('Providers'!$D$4:$D$503,181))=0,"",INDEX('Providers'!$D$4:$D$503,181))&amp;". ")&amp;IF(LEN(IF(LEN(INDEX('Providers'!$AK$4:$AK$503,181))=0,"",INDEX('Providers'!$AK$4:$AK$503,181)))=0,"",IF(LEN(INDEX('Providers'!$AK$4:$AK$503,181))=0,"",INDEX('Providers'!$AK$4:$AK$503,181))))</f>
        <v/>
      </c>
      <c r="J184">
        <f>IF(LEN(INDEX('Providers'!$AJ$4:$AJ$503,181))=0,"",INDEX('Providers'!$AJ$4:$AJ$503,181))</f>
        <v/>
      </c>
      <c r="K184">
        <f>IF(LEN(INDEX('Providers'!$AI$4:$AI$503,181))=0,"",INDEX('Providers'!$AI$4:$AI$503,181))</f>
        <v/>
      </c>
    </row>
    <row r="185">
      <c r="A185">
        <f>IF(AND(LEN('Providers'!A185)&gt;0,ISNUMBER('Providers'!G185)),1,0)</f>
        <v/>
      </c>
      <c r="B185">
        <f>B184+A185</f>
        <v/>
      </c>
      <c r="C185">
        <f>IF(182&gt;$B$4503,"",MATCH(182-0.5,$B$3:$B$4503,1))</f>
        <v/>
      </c>
      <c r="D185">
        <f>"State license ("&amp;IF(LEN(INDEX('Providers'!$E$4:$E$503,182))=0,"",INDEX('Providers'!$E$4:$E$503,182))&amp;") – "&amp;IF(LEN(INDEX('Providers'!$A$4:$A$503,182))=0,"",INDEX('Providers'!$A$4:$A$503,182))</f>
        <v/>
      </c>
      <c r="E185">
        <f>IF(ISNUMBER(INDEX('Providers'!$G$4:$G$503,182)),TEXT(INDEX('Providers'!$G$4:$G$503,182),"yyyy-mm-dd"),"")</f>
        <v/>
      </c>
      <c r="F185">
        <f>"License"</f>
        <v/>
      </c>
      <c r="G185">
        <f>""</f>
        <v/>
      </c>
      <c r="H185">
        <f>"High"</f>
        <v/>
      </c>
      <c r="I185">
        <f>TRIM(IF(LEN(IF(LEN(INDEX('Providers'!$F$4:$F$503,182))=0,"",INDEX('Providers'!$F$4:$F$503,182)))=0,"","License no.: "&amp;IF(LEN(INDEX('Providers'!$F$4:$F$503,182))=0,"",INDEX('Providers'!$F$4:$F$503,182))&amp;". ")&amp;IF(LEN(IF(LEN(INDEX('Providers'!$C$4:$C$503,182))=0,"",INDEX('Providers'!$C$4:$C$503,182)))=0,"","NPI: "&amp;IF(LEN(INDEX('Providers'!$C$4:$C$503,182))=0,"",INDEX('Providers'!$C$4:$C$503,182))&amp;". ")&amp;IF(LEN(IF(LEN(INDEX('Providers'!$D$4:$D$503,182))=0,"",INDEX('Providers'!$D$4:$D$503,182)))=0,"","Specialty: "&amp;IF(LEN(INDEX('Providers'!$D$4:$D$503,182))=0,"",INDEX('Providers'!$D$4:$D$503,182))&amp;". ")&amp;IF(LEN(IF(LEN(INDEX('Providers'!$AK$4:$AK$503,182))=0,"",INDEX('Providers'!$AK$4:$AK$503,182)))=0,"",IF(LEN(INDEX('Providers'!$AK$4:$AK$503,182))=0,"",INDEX('Providers'!$AK$4:$AK$503,182))))</f>
        <v/>
      </c>
      <c r="J185">
        <f>IF(LEN(INDEX('Providers'!$AJ$4:$AJ$503,182))=0,"",INDEX('Providers'!$AJ$4:$AJ$503,182))</f>
        <v/>
      </c>
      <c r="K185">
        <f>IF(LEN(INDEX('Providers'!$AI$4:$AI$503,182))=0,"",INDEX('Providers'!$AI$4:$AI$503,182))</f>
        <v/>
      </c>
    </row>
    <row r="186">
      <c r="A186">
        <f>IF(AND(LEN('Providers'!A186)&gt;0,ISNUMBER('Providers'!G186)),1,0)</f>
        <v/>
      </c>
      <c r="B186">
        <f>B185+A186</f>
        <v/>
      </c>
      <c r="C186">
        <f>IF(183&gt;$B$4503,"",MATCH(183-0.5,$B$3:$B$4503,1))</f>
        <v/>
      </c>
      <c r="D186">
        <f>"State license ("&amp;IF(LEN(INDEX('Providers'!$E$4:$E$503,183))=0,"",INDEX('Providers'!$E$4:$E$503,183))&amp;") – "&amp;IF(LEN(INDEX('Providers'!$A$4:$A$503,183))=0,"",INDEX('Providers'!$A$4:$A$503,183))</f>
        <v/>
      </c>
      <c r="E186">
        <f>IF(ISNUMBER(INDEX('Providers'!$G$4:$G$503,183)),TEXT(INDEX('Providers'!$G$4:$G$503,183),"yyyy-mm-dd"),"")</f>
        <v/>
      </c>
      <c r="F186">
        <f>"License"</f>
        <v/>
      </c>
      <c r="G186">
        <f>""</f>
        <v/>
      </c>
      <c r="H186">
        <f>"High"</f>
        <v/>
      </c>
      <c r="I186">
        <f>TRIM(IF(LEN(IF(LEN(INDEX('Providers'!$F$4:$F$503,183))=0,"",INDEX('Providers'!$F$4:$F$503,183)))=0,"","License no.: "&amp;IF(LEN(INDEX('Providers'!$F$4:$F$503,183))=0,"",INDEX('Providers'!$F$4:$F$503,183))&amp;". ")&amp;IF(LEN(IF(LEN(INDEX('Providers'!$C$4:$C$503,183))=0,"",INDEX('Providers'!$C$4:$C$503,183)))=0,"","NPI: "&amp;IF(LEN(INDEX('Providers'!$C$4:$C$503,183))=0,"",INDEX('Providers'!$C$4:$C$503,183))&amp;". ")&amp;IF(LEN(IF(LEN(INDEX('Providers'!$D$4:$D$503,183))=0,"",INDEX('Providers'!$D$4:$D$503,183)))=0,"","Specialty: "&amp;IF(LEN(INDEX('Providers'!$D$4:$D$503,183))=0,"",INDEX('Providers'!$D$4:$D$503,183))&amp;". ")&amp;IF(LEN(IF(LEN(INDEX('Providers'!$AK$4:$AK$503,183))=0,"",INDEX('Providers'!$AK$4:$AK$503,183)))=0,"",IF(LEN(INDEX('Providers'!$AK$4:$AK$503,183))=0,"",INDEX('Providers'!$AK$4:$AK$503,183))))</f>
        <v/>
      </c>
      <c r="J186">
        <f>IF(LEN(INDEX('Providers'!$AJ$4:$AJ$503,183))=0,"",INDEX('Providers'!$AJ$4:$AJ$503,183))</f>
        <v/>
      </c>
      <c r="K186">
        <f>IF(LEN(INDEX('Providers'!$AI$4:$AI$503,183))=0,"",INDEX('Providers'!$AI$4:$AI$503,183))</f>
        <v/>
      </c>
    </row>
    <row r="187">
      <c r="A187">
        <f>IF(AND(LEN('Providers'!A187)&gt;0,ISNUMBER('Providers'!G187)),1,0)</f>
        <v/>
      </c>
      <c r="B187">
        <f>B186+A187</f>
        <v/>
      </c>
      <c r="C187">
        <f>IF(184&gt;$B$4503,"",MATCH(184-0.5,$B$3:$B$4503,1))</f>
        <v/>
      </c>
      <c r="D187">
        <f>"State license ("&amp;IF(LEN(INDEX('Providers'!$E$4:$E$503,184))=0,"",INDEX('Providers'!$E$4:$E$503,184))&amp;") – "&amp;IF(LEN(INDEX('Providers'!$A$4:$A$503,184))=0,"",INDEX('Providers'!$A$4:$A$503,184))</f>
        <v/>
      </c>
      <c r="E187">
        <f>IF(ISNUMBER(INDEX('Providers'!$G$4:$G$503,184)),TEXT(INDEX('Providers'!$G$4:$G$503,184),"yyyy-mm-dd"),"")</f>
        <v/>
      </c>
      <c r="F187">
        <f>"License"</f>
        <v/>
      </c>
      <c r="G187">
        <f>""</f>
        <v/>
      </c>
      <c r="H187">
        <f>"High"</f>
        <v/>
      </c>
      <c r="I187">
        <f>TRIM(IF(LEN(IF(LEN(INDEX('Providers'!$F$4:$F$503,184))=0,"",INDEX('Providers'!$F$4:$F$503,184)))=0,"","License no.: "&amp;IF(LEN(INDEX('Providers'!$F$4:$F$503,184))=0,"",INDEX('Providers'!$F$4:$F$503,184))&amp;". ")&amp;IF(LEN(IF(LEN(INDEX('Providers'!$C$4:$C$503,184))=0,"",INDEX('Providers'!$C$4:$C$503,184)))=0,"","NPI: "&amp;IF(LEN(INDEX('Providers'!$C$4:$C$503,184))=0,"",INDEX('Providers'!$C$4:$C$503,184))&amp;". ")&amp;IF(LEN(IF(LEN(INDEX('Providers'!$D$4:$D$503,184))=0,"",INDEX('Providers'!$D$4:$D$503,184)))=0,"","Specialty: "&amp;IF(LEN(INDEX('Providers'!$D$4:$D$503,184))=0,"",INDEX('Providers'!$D$4:$D$503,184))&amp;". ")&amp;IF(LEN(IF(LEN(INDEX('Providers'!$AK$4:$AK$503,184))=0,"",INDEX('Providers'!$AK$4:$AK$503,184)))=0,"",IF(LEN(INDEX('Providers'!$AK$4:$AK$503,184))=0,"",INDEX('Providers'!$AK$4:$AK$503,184))))</f>
        <v/>
      </c>
      <c r="J187">
        <f>IF(LEN(INDEX('Providers'!$AJ$4:$AJ$503,184))=0,"",INDEX('Providers'!$AJ$4:$AJ$503,184))</f>
        <v/>
      </c>
      <c r="K187">
        <f>IF(LEN(INDEX('Providers'!$AI$4:$AI$503,184))=0,"",INDEX('Providers'!$AI$4:$AI$503,184))</f>
        <v/>
      </c>
    </row>
    <row r="188">
      <c r="A188">
        <f>IF(AND(LEN('Providers'!A188)&gt;0,ISNUMBER('Providers'!G188)),1,0)</f>
        <v/>
      </c>
      <c r="B188">
        <f>B187+A188</f>
        <v/>
      </c>
      <c r="C188">
        <f>IF(185&gt;$B$4503,"",MATCH(185-0.5,$B$3:$B$4503,1))</f>
        <v/>
      </c>
      <c r="D188">
        <f>"State license ("&amp;IF(LEN(INDEX('Providers'!$E$4:$E$503,185))=0,"",INDEX('Providers'!$E$4:$E$503,185))&amp;") – "&amp;IF(LEN(INDEX('Providers'!$A$4:$A$503,185))=0,"",INDEX('Providers'!$A$4:$A$503,185))</f>
        <v/>
      </c>
      <c r="E188">
        <f>IF(ISNUMBER(INDEX('Providers'!$G$4:$G$503,185)),TEXT(INDEX('Providers'!$G$4:$G$503,185),"yyyy-mm-dd"),"")</f>
        <v/>
      </c>
      <c r="F188">
        <f>"License"</f>
        <v/>
      </c>
      <c r="G188">
        <f>""</f>
        <v/>
      </c>
      <c r="H188">
        <f>"High"</f>
        <v/>
      </c>
      <c r="I188">
        <f>TRIM(IF(LEN(IF(LEN(INDEX('Providers'!$F$4:$F$503,185))=0,"",INDEX('Providers'!$F$4:$F$503,185)))=0,"","License no.: "&amp;IF(LEN(INDEX('Providers'!$F$4:$F$503,185))=0,"",INDEX('Providers'!$F$4:$F$503,185))&amp;". ")&amp;IF(LEN(IF(LEN(INDEX('Providers'!$C$4:$C$503,185))=0,"",INDEX('Providers'!$C$4:$C$503,185)))=0,"","NPI: "&amp;IF(LEN(INDEX('Providers'!$C$4:$C$503,185))=0,"",INDEX('Providers'!$C$4:$C$503,185))&amp;". ")&amp;IF(LEN(IF(LEN(INDEX('Providers'!$D$4:$D$503,185))=0,"",INDEX('Providers'!$D$4:$D$503,185)))=0,"","Specialty: "&amp;IF(LEN(INDEX('Providers'!$D$4:$D$503,185))=0,"",INDEX('Providers'!$D$4:$D$503,185))&amp;". ")&amp;IF(LEN(IF(LEN(INDEX('Providers'!$AK$4:$AK$503,185))=0,"",INDEX('Providers'!$AK$4:$AK$503,185)))=0,"",IF(LEN(INDEX('Providers'!$AK$4:$AK$503,185))=0,"",INDEX('Providers'!$AK$4:$AK$503,185))))</f>
        <v/>
      </c>
      <c r="J188">
        <f>IF(LEN(INDEX('Providers'!$AJ$4:$AJ$503,185))=0,"",INDEX('Providers'!$AJ$4:$AJ$503,185))</f>
        <v/>
      </c>
      <c r="K188">
        <f>IF(LEN(INDEX('Providers'!$AI$4:$AI$503,185))=0,"",INDEX('Providers'!$AI$4:$AI$503,185))</f>
        <v/>
      </c>
    </row>
    <row r="189">
      <c r="A189">
        <f>IF(AND(LEN('Providers'!A189)&gt;0,ISNUMBER('Providers'!G189)),1,0)</f>
        <v/>
      </c>
      <c r="B189">
        <f>B188+A189</f>
        <v/>
      </c>
      <c r="C189">
        <f>IF(186&gt;$B$4503,"",MATCH(186-0.5,$B$3:$B$4503,1))</f>
        <v/>
      </c>
      <c r="D189">
        <f>"State license ("&amp;IF(LEN(INDEX('Providers'!$E$4:$E$503,186))=0,"",INDEX('Providers'!$E$4:$E$503,186))&amp;") – "&amp;IF(LEN(INDEX('Providers'!$A$4:$A$503,186))=0,"",INDEX('Providers'!$A$4:$A$503,186))</f>
        <v/>
      </c>
      <c r="E189">
        <f>IF(ISNUMBER(INDEX('Providers'!$G$4:$G$503,186)),TEXT(INDEX('Providers'!$G$4:$G$503,186),"yyyy-mm-dd"),"")</f>
        <v/>
      </c>
      <c r="F189">
        <f>"License"</f>
        <v/>
      </c>
      <c r="G189">
        <f>""</f>
        <v/>
      </c>
      <c r="H189">
        <f>"High"</f>
        <v/>
      </c>
      <c r="I189">
        <f>TRIM(IF(LEN(IF(LEN(INDEX('Providers'!$F$4:$F$503,186))=0,"",INDEX('Providers'!$F$4:$F$503,186)))=0,"","License no.: "&amp;IF(LEN(INDEX('Providers'!$F$4:$F$503,186))=0,"",INDEX('Providers'!$F$4:$F$503,186))&amp;". ")&amp;IF(LEN(IF(LEN(INDEX('Providers'!$C$4:$C$503,186))=0,"",INDEX('Providers'!$C$4:$C$503,186)))=0,"","NPI: "&amp;IF(LEN(INDEX('Providers'!$C$4:$C$503,186))=0,"",INDEX('Providers'!$C$4:$C$503,186))&amp;". ")&amp;IF(LEN(IF(LEN(INDEX('Providers'!$D$4:$D$503,186))=0,"",INDEX('Providers'!$D$4:$D$503,186)))=0,"","Specialty: "&amp;IF(LEN(INDEX('Providers'!$D$4:$D$503,186))=0,"",INDEX('Providers'!$D$4:$D$503,186))&amp;". ")&amp;IF(LEN(IF(LEN(INDEX('Providers'!$AK$4:$AK$503,186))=0,"",INDEX('Providers'!$AK$4:$AK$503,186)))=0,"",IF(LEN(INDEX('Providers'!$AK$4:$AK$503,186))=0,"",INDEX('Providers'!$AK$4:$AK$503,186))))</f>
        <v/>
      </c>
      <c r="J189">
        <f>IF(LEN(INDEX('Providers'!$AJ$4:$AJ$503,186))=0,"",INDEX('Providers'!$AJ$4:$AJ$503,186))</f>
        <v/>
      </c>
      <c r="K189">
        <f>IF(LEN(INDEX('Providers'!$AI$4:$AI$503,186))=0,"",INDEX('Providers'!$AI$4:$AI$503,186))</f>
        <v/>
      </c>
    </row>
    <row r="190">
      <c r="A190">
        <f>IF(AND(LEN('Providers'!A190)&gt;0,ISNUMBER('Providers'!G190)),1,0)</f>
        <v/>
      </c>
      <c r="B190">
        <f>B189+A190</f>
        <v/>
      </c>
      <c r="C190">
        <f>IF(187&gt;$B$4503,"",MATCH(187-0.5,$B$3:$B$4503,1))</f>
        <v/>
      </c>
      <c r="D190">
        <f>"State license ("&amp;IF(LEN(INDEX('Providers'!$E$4:$E$503,187))=0,"",INDEX('Providers'!$E$4:$E$503,187))&amp;") – "&amp;IF(LEN(INDEX('Providers'!$A$4:$A$503,187))=0,"",INDEX('Providers'!$A$4:$A$503,187))</f>
        <v/>
      </c>
      <c r="E190">
        <f>IF(ISNUMBER(INDEX('Providers'!$G$4:$G$503,187)),TEXT(INDEX('Providers'!$G$4:$G$503,187),"yyyy-mm-dd"),"")</f>
        <v/>
      </c>
      <c r="F190">
        <f>"License"</f>
        <v/>
      </c>
      <c r="G190">
        <f>""</f>
        <v/>
      </c>
      <c r="H190">
        <f>"High"</f>
        <v/>
      </c>
      <c r="I190">
        <f>TRIM(IF(LEN(IF(LEN(INDEX('Providers'!$F$4:$F$503,187))=0,"",INDEX('Providers'!$F$4:$F$503,187)))=0,"","License no.: "&amp;IF(LEN(INDEX('Providers'!$F$4:$F$503,187))=0,"",INDEX('Providers'!$F$4:$F$503,187))&amp;". ")&amp;IF(LEN(IF(LEN(INDEX('Providers'!$C$4:$C$503,187))=0,"",INDEX('Providers'!$C$4:$C$503,187)))=0,"","NPI: "&amp;IF(LEN(INDEX('Providers'!$C$4:$C$503,187))=0,"",INDEX('Providers'!$C$4:$C$503,187))&amp;". ")&amp;IF(LEN(IF(LEN(INDEX('Providers'!$D$4:$D$503,187))=0,"",INDEX('Providers'!$D$4:$D$503,187)))=0,"","Specialty: "&amp;IF(LEN(INDEX('Providers'!$D$4:$D$503,187))=0,"",INDEX('Providers'!$D$4:$D$503,187))&amp;". ")&amp;IF(LEN(IF(LEN(INDEX('Providers'!$AK$4:$AK$503,187))=0,"",INDEX('Providers'!$AK$4:$AK$503,187)))=0,"",IF(LEN(INDEX('Providers'!$AK$4:$AK$503,187))=0,"",INDEX('Providers'!$AK$4:$AK$503,187))))</f>
        <v/>
      </c>
      <c r="J190">
        <f>IF(LEN(INDEX('Providers'!$AJ$4:$AJ$503,187))=0,"",INDEX('Providers'!$AJ$4:$AJ$503,187))</f>
        <v/>
      </c>
      <c r="K190">
        <f>IF(LEN(INDEX('Providers'!$AI$4:$AI$503,187))=0,"",INDEX('Providers'!$AI$4:$AI$503,187))</f>
        <v/>
      </c>
    </row>
    <row r="191">
      <c r="A191">
        <f>IF(AND(LEN('Providers'!A191)&gt;0,ISNUMBER('Providers'!G191)),1,0)</f>
        <v/>
      </c>
      <c r="B191">
        <f>B190+A191</f>
        <v/>
      </c>
      <c r="C191">
        <f>IF(188&gt;$B$4503,"",MATCH(188-0.5,$B$3:$B$4503,1))</f>
        <v/>
      </c>
      <c r="D191">
        <f>"State license ("&amp;IF(LEN(INDEX('Providers'!$E$4:$E$503,188))=0,"",INDEX('Providers'!$E$4:$E$503,188))&amp;") – "&amp;IF(LEN(INDEX('Providers'!$A$4:$A$503,188))=0,"",INDEX('Providers'!$A$4:$A$503,188))</f>
        <v/>
      </c>
      <c r="E191">
        <f>IF(ISNUMBER(INDEX('Providers'!$G$4:$G$503,188)),TEXT(INDEX('Providers'!$G$4:$G$503,188),"yyyy-mm-dd"),"")</f>
        <v/>
      </c>
      <c r="F191">
        <f>"License"</f>
        <v/>
      </c>
      <c r="G191">
        <f>""</f>
        <v/>
      </c>
      <c r="H191">
        <f>"High"</f>
        <v/>
      </c>
      <c r="I191">
        <f>TRIM(IF(LEN(IF(LEN(INDEX('Providers'!$F$4:$F$503,188))=0,"",INDEX('Providers'!$F$4:$F$503,188)))=0,"","License no.: "&amp;IF(LEN(INDEX('Providers'!$F$4:$F$503,188))=0,"",INDEX('Providers'!$F$4:$F$503,188))&amp;". ")&amp;IF(LEN(IF(LEN(INDEX('Providers'!$C$4:$C$503,188))=0,"",INDEX('Providers'!$C$4:$C$503,188)))=0,"","NPI: "&amp;IF(LEN(INDEX('Providers'!$C$4:$C$503,188))=0,"",INDEX('Providers'!$C$4:$C$503,188))&amp;". ")&amp;IF(LEN(IF(LEN(INDEX('Providers'!$D$4:$D$503,188))=0,"",INDEX('Providers'!$D$4:$D$503,188)))=0,"","Specialty: "&amp;IF(LEN(INDEX('Providers'!$D$4:$D$503,188))=0,"",INDEX('Providers'!$D$4:$D$503,188))&amp;". ")&amp;IF(LEN(IF(LEN(INDEX('Providers'!$AK$4:$AK$503,188))=0,"",INDEX('Providers'!$AK$4:$AK$503,188)))=0,"",IF(LEN(INDEX('Providers'!$AK$4:$AK$503,188))=0,"",INDEX('Providers'!$AK$4:$AK$503,188))))</f>
        <v/>
      </c>
      <c r="J191">
        <f>IF(LEN(INDEX('Providers'!$AJ$4:$AJ$503,188))=0,"",INDEX('Providers'!$AJ$4:$AJ$503,188))</f>
        <v/>
      </c>
      <c r="K191">
        <f>IF(LEN(INDEX('Providers'!$AI$4:$AI$503,188))=0,"",INDEX('Providers'!$AI$4:$AI$503,188))</f>
        <v/>
      </c>
    </row>
    <row r="192">
      <c r="A192">
        <f>IF(AND(LEN('Providers'!A192)&gt;0,ISNUMBER('Providers'!G192)),1,0)</f>
        <v/>
      </c>
      <c r="B192">
        <f>B191+A192</f>
        <v/>
      </c>
      <c r="C192">
        <f>IF(189&gt;$B$4503,"",MATCH(189-0.5,$B$3:$B$4503,1))</f>
        <v/>
      </c>
      <c r="D192">
        <f>"State license ("&amp;IF(LEN(INDEX('Providers'!$E$4:$E$503,189))=0,"",INDEX('Providers'!$E$4:$E$503,189))&amp;") – "&amp;IF(LEN(INDEX('Providers'!$A$4:$A$503,189))=0,"",INDEX('Providers'!$A$4:$A$503,189))</f>
        <v/>
      </c>
      <c r="E192">
        <f>IF(ISNUMBER(INDEX('Providers'!$G$4:$G$503,189)),TEXT(INDEX('Providers'!$G$4:$G$503,189),"yyyy-mm-dd"),"")</f>
        <v/>
      </c>
      <c r="F192">
        <f>"License"</f>
        <v/>
      </c>
      <c r="G192">
        <f>""</f>
        <v/>
      </c>
      <c r="H192">
        <f>"High"</f>
        <v/>
      </c>
      <c r="I192">
        <f>TRIM(IF(LEN(IF(LEN(INDEX('Providers'!$F$4:$F$503,189))=0,"",INDEX('Providers'!$F$4:$F$503,189)))=0,"","License no.: "&amp;IF(LEN(INDEX('Providers'!$F$4:$F$503,189))=0,"",INDEX('Providers'!$F$4:$F$503,189))&amp;". ")&amp;IF(LEN(IF(LEN(INDEX('Providers'!$C$4:$C$503,189))=0,"",INDEX('Providers'!$C$4:$C$503,189)))=0,"","NPI: "&amp;IF(LEN(INDEX('Providers'!$C$4:$C$503,189))=0,"",INDEX('Providers'!$C$4:$C$503,189))&amp;". ")&amp;IF(LEN(IF(LEN(INDEX('Providers'!$D$4:$D$503,189))=0,"",INDEX('Providers'!$D$4:$D$503,189)))=0,"","Specialty: "&amp;IF(LEN(INDEX('Providers'!$D$4:$D$503,189))=0,"",INDEX('Providers'!$D$4:$D$503,189))&amp;". ")&amp;IF(LEN(IF(LEN(INDEX('Providers'!$AK$4:$AK$503,189))=0,"",INDEX('Providers'!$AK$4:$AK$503,189)))=0,"",IF(LEN(INDEX('Providers'!$AK$4:$AK$503,189))=0,"",INDEX('Providers'!$AK$4:$AK$503,189))))</f>
        <v/>
      </c>
      <c r="J192">
        <f>IF(LEN(INDEX('Providers'!$AJ$4:$AJ$503,189))=0,"",INDEX('Providers'!$AJ$4:$AJ$503,189))</f>
        <v/>
      </c>
      <c r="K192">
        <f>IF(LEN(INDEX('Providers'!$AI$4:$AI$503,189))=0,"",INDEX('Providers'!$AI$4:$AI$503,189))</f>
        <v/>
      </c>
    </row>
    <row r="193">
      <c r="A193">
        <f>IF(AND(LEN('Providers'!A193)&gt;0,ISNUMBER('Providers'!G193)),1,0)</f>
        <v/>
      </c>
      <c r="B193">
        <f>B192+A193</f>
        <v/>
      </c>
      <c r="C193">
        <f>IF(190&gt;$B$4503,"",MATCH(190-0.5,$B$3:$B$4503,1))</f>
        <v/>
      </c>
      <c r="D193">
        <f>"State license ("&amp;IF(LEN(INDEX('Providers'!$E$4:$E$503,190))=0,"",INDEX('Providers'!$E$4:$E$503,190))&amp;") – "&amp;IF(LEN(INDEX('Providers'!$A$4:$A$503,190))=0,"",INDEX('Providers'!$A$4:$A$503,190))</f>
        <v/>
      </c>
      <c r="E193">
        <f>IF(ISNUMBER(INDEX('Providers'!$G$4:$G$503,190)),TEXT(INDEX('Providers'!$G$4:$G$503,190),"yyyy-mm-dd"),"")</f>
        <v/>
      </c>
      <c r="F193">
        <f>"License"</f>
        <v/>
      </c>
      <c r="G193">
        <f>""</f>
        <v/>
      </c>
      <c r="H193">
        <f>"High"</f>
        <v/>
      </c>
      <c r="I193">
        <f>TRIM(IF(LEN(IF(LEN(INDEX('Providers'!$F$4:$F$503,190))=0,"",INDEX('Providers'!$F$4:$F$503,190)))=0,"","License no.: "&amp;IF(LEN(INDEX('Providers'!$F$4:$F$503,190))=0,"",INDEX('Providers'!$F$4:$F$503,190))&amp;". ")&amp;IF(LEN(IF(LEN(INDEX('Providers'!$C$4:$C$503,190))=0,"",INDEX('Providers'!$C$4:$C$503,190)))=0,"","NPI: "&amp;IF(LEN(INDEX('Providers'!$C$4:$C$503,190))=0,"",INDEX('Providers'!$C$4:$C$503,190))&amp;". ")&amp;IF(LEN(IF(LEN(INDEX('Providers'!$D$4:$D$503,190))=0,"",INDEX('Providers'!$D$4:$D$503,190)))=0,"","Specialty: "&amp;IF(LEN(INDEX('Providers'!$D$4:$D$503,190))=0,"",INDEX('Providers'!$D$4:$D$503,190))&amp;". ")&amp;IF(LEN(IF(LEN(INDEX('Providers'!$AK$4:$AK$503,190))=0,"",INDEX('Providers'!$AK$4:$AK$503,190)))=0,"",IF(LEN(INDEX('Providers'!$AK$4:$AK$503,190))=0,"",INDEX('Providers'!$AK$4:$AK$503,190))))</f>
        <v/>
      </c>
      <c r="J193">
        <f>IF(LEN(INDEX('Providers'!$AJ$4:$AJ$503,190))=0,"",INDEX('Providers'!$AJ$4:$AJ$503,190))</f>
        <v/>
      </c>
      <c r="K193">
        <f>IF(LEN(INDEX('Providers'!$AI$4:$AI$503,190))=0,"",INDEX('Providers'!$AI$4:$AI$503,190))</f>
        <v/>
      </c>
    </row>
    <row r="194">
      <c r="A194">
        <f>IF(AND(LEN('Providers'!A194)&gt;0,ISNUMBER('Providers'!G194)),1,0)</f>
        <v/>
      </c>
      <c r="B194">
        <f>B193+A194</f>
        <v/>
      </c>
      <c r="C194">
        <f>IF(191&gt;$B$4503,"",MATCH(191-0.5,$B$3:$B$4503,1))</f>
        <v/>
      </c>
      <c r="D194">
        <f>"State license ("&amp;IF(LEN(INDEX('Providers'!$E$4:$E$503,191))=0,"",INDEX('Providers'!$E$4:$E$503,191))&amp;") – "&amp;IF(LEN(INDEX('Providers'!$A$4:$A$503,191))=0,"",INDEX('Providers'!$A$4:$A$503,191))</f>
        <v/>
      </c>
      <c r="E194">
        <f>IF(ISNUMBER(INDEX('Providers'!$G$4:$G$503,191)),TEXT(INDEX('Providers'!$G$4:$G$503,191),"yyyy-mm-dd"),"")</f>
        <v/>
      </c>
      <c r="F194">
        <f>"License"</f>
        <v/>
      </c>
      <c r="G194">
        <f>""</f>
        <v/>
      </c>
      <c r="H194">
        <f>"High"</f>
        <v/>
      </c>
      <c r="I194">
        <f>TRIM(IF(LEN(IF(LEN(INDEX('Providers'!$F$4:$F$503,191))=0,"",INDEX('Providers'!$F$4:$F$503,191)))=0,"","License no.: "&amp;IF(LEN(INDEX('Providers'!$F$4:$F$503,191))=0,"",INDEX('Providers'!$F$4:$F$503,191))&amp;". ")&amp;IF(LEN(IF(LEN(INDEX('Providers'!$C$4:$C$503,191))=0,"",INDEX('Providers'!$C$4:$C$503,191)))=0,"","NPI: "&amp;IF(LEN(INDEX('Providers'!$C$4:$C$503,191))=0,"",INDEX('Providers'!$C$4:$C$503,191))&amp;". ")&amp;IF(LEN(IF(LEN(INDEX('Providers'!$D$4:$D$503,191))=0,"",INDEX('Providers'!$D$4:$D$503,191)))=0,"","Specialty: "&amp;IF(LEN(INDEX('Providers'!$D$4:$D$503,191))=0,"",INDEX('Providers'!$D$4:$D$503,191))&amp;". ")&amp;IF(LEN(IF(LEN(INDEX('Providers'!$AK$4:$AK$503,191))=0,"",INDEX('Providers'!$AK$4:$AK$503,191)))=0,"",IF(LEN(INDEX('Providers'!$AK$4:$AK$503,191))=0,"",INDEX('Providers'!$AK$4:$AK$503,191))))</f>
        <v/>
      </c>
      <c r="J194">
        <f>IF(LEN(INDEX('Providers'!$AJ$4:$AJ$503,191))=0,"",INDEX('Providers'!$AJ$4:$AJ$503,191))</f>
        <v/>
      </c>
      <c r="K194">
        <f>IF(LEN(INDEX('Providers'!$AI$4:$AI$503,191))=0,"",INDEX('Providers'!$AI$4:$AI$503,191))</f>
        <v/>
      </c>
    </row>
    <row r="195">
      <c r="A195">
        <f>IF(AND(LEN('Providers'!A195)&gt;0,ISNUMBER('Providers'!G195)),1,0)</f>
        <v/>
      </c>
      <c r="B195">
        <f>B194+A195</f>
        <v/>
      </c>
      <c r="C195">
        <f>IF(192&gt;$B$4503,"",MATCH(192-0.5,$B$3:$B$4503,1))</f>
        <v/>
      </c>
      <c r="D195">
        <f>"State license ("&amp;IF(LEN(INDEX('Providers'!$E$4:$E$503,192))=0,"",INDEX('Providers'!$E$4:$E$503,192))&amp;") – "&amp;IF(LEN(INDEX('Providers'!$A$4:$A$503,192))=0,"",INDEX('Providers'!$A$4:$A$503,192))</f>
        <v/>
      </c>
      <c r="E195">
        <f>IF(ISNUMBER(INDEX('Providers'!$G$4:$G$503,192)),TEXT(INDEX('Providers'!$G$4:$G$503,192),"yyyy-mm-dd"),"")</f>
        <v/>
      </c>
      <c r="F195">
        <f>"License"</f>
        <v/>
      </c>
      <c r="G195">
        <f>""</f>
        <v/>
      </c>
      <c r="H195">
        <f>"High"</f>
        <v/>
      </c>
      <c r="I195">
        <f>TRIM(IF(LEN(IF(LEN(INDEX('Providers'!$F$4:$F$503,192))=0,"",INDEX('Providers'!$F$4:$F$503,192)))=0,"","License no.: "&amp;IF(LEN(INDEX('Providers'!$F$4:$F$503,192))=0,"",INDEX('Providers'!$F$4:$F$503,192))&amp;". ")&amp;IF(LEN(IF(LEN(INDEX('Providers'!$C$4:$C$503,192))=0,"",INDEX('Providers'!$C$4:$C$503,192)))=0,"","NPI: "&amp;IF(LEN(INDEX('Providers'!$C$4:$C$503,192))=0,"",INDEX('Providers'!$C$4:$C$503,192))&amp;". ")&amp;IF(LEN(IF(LEN(INDEX('Providers'!$D$4:$D$503,192))=0,"",INDEX('Providers'!$D$4:$D$503,192)))=0,"","Specialty: "&amp;IF(LEN(INDEX('Providers'!$D$4:$D$503,192))=0,"",INDEX('Providers'!$D$4:$D$503,192))&amp;". ")&amp;IF(LEN(IF(LEN(INDEX('Providers'!$AK$4:$AK$503,192))=0,"",INDEX('Providers'!$AK$4:$AK$503,192)))=0,"",IF(LEN(INDEX('Providers'!$AK$4:$AK$503,192))=0,"",INDEX('Providers'!$AK$4:$AK$503,192))))</f>
        <v/>
      </c>
      <c r="J195">
        <f>IF(LEN(INDEX('Providers'!$AJ$4:$AJ$503,192))=0,"",INDEX('Providers'!$AJ$4:$AJ$503,192))</f>
        <v/>
      </c>
      <c r="K195">
        <f>IF(LEN(INDEX('Providers'!$AI$4:$AI$503,192))=0,"",INDEX('Providers'!$AI$4:$AI$503,192))</f>
        <v/>
      </c>
    </row>
    <row r="196">
      <c r="A196">
        <f>IF(AND(LEN('Providers'!A196)&gt;0,ISNUMBER('Providers'!G196)),1,0)</f>
        <v/>
      </c>
      <c r="B196">
        <f>B195+A196</f>
        <v/>
      </c>
      <c r="C196">
        <f>IF(193&gt;$B$4503,"",MATCH(193-0.5,$B$3:$B$4503,1))</f>
        <v/>
      </c>
      <c r="D196">
        <f>"State license ("&amp;IF(LEN(INDEX('Providers'!$E$4:$E$503,193))=0,"",INDEX('Providers'!$E$4:$E$503,193))&amp;") – "&amp;IF(LEN(INDEX('Providers'!$A$4:$A$503,193))=0,"",INDEX('Providers'!$A$4:$A$503,193))</f>
        <v/>
      </c>
      <c r="E196">
        <f>IF(ISNUMBER(INDEX('Providers'!$G$4:$G$503,193)),TEXT(INDEX('Providers'!$G$4:$G$503,193),"yyyy-mm-dd"),"")</f>
        <v/>
      </c>
      <c r="F196">
        <f>"License"</f>
        <v/>
      </c>
      <c r="G196">
        <f>""</f>
        <v/>
      </c>
      <c r="H196">
        <f>"High"</f>
        <v/>
      </c>
      <c r="I196">
        <f>TRIM(IF(LEN(IF(LEN(INDEX('Providers'!$F$4:$F$503,193))=0,"",INDEX('Providers'!$F$4:$F$503,193)))=0,"","License no.: "&amp;IF(LEN(INDEX('Providers'!$F$4:$F$503,193))=0,"",INDEX('Providers'!$F$4:$F$503,193))&amp;". ")&amp;IF(LEN(IF(LEN(INDEX('Providers'!$C$4:$C$503,193))=0,"",INDEX('Providers'!$C$4:$C$503,193)))=0,"","NPI: "&amp;IF(LEN(INDEX('Providers'!$C$4:$C$503,193))=0,"",INDEX('Providers'!$C$4:$C$503,193))&amp;". ")&amp;IF(LEN(IF(LEN(INDEX('Providers'!$D$4:$D$503,193))=0,"",INDEX('Providers'!$D$4:$D$503,193)))=0,"","Specialty: "&amp;IF(LEN(INDEX('Providers'!$D$4:$D$503,193))=0,"",INDEX('Providers'!$D$4:$D$503,193))&amp;". ")&amp;IF(LEN(IF(LEN(INDEX('Providers'!$AK$4:$AK$503,193))=0,"",INDEX('Providers'!$AK$4:$AK$503,193)))=0,"",IF(LEN(INDEX('Providers'!$AK$4:$AK$503,193))=0,"",INDEX('Providers'!$AK$4:$AK$503,193))))</f>
        <v/>
      </c>
      <c r="J196">
        <f>IF(LEN(INDEX('Providers'!$AJ$4:$AJ$503,193))=0,"",INDEX('Providers'!$AJ$4:$AJ$503,193))</f>
        <v/>
      </c>
      <c r="K196">
        <f>IF(LEN(INDEX('Providers'!$AI$4:$AI$503,193))=0,"",INDEX('Providers'!$AI$4:$AI$503,193))</f>
        <v/>
      </c>
    </row>
    <row r="197">
      <c r="A197">
        <f>IF(AND(LEN('Providers'!A197)&gt;0,ISNUMBER('Providers'!G197)),1,0)</f>
        <v/>
      </c>
      <c r="B197">
        <f>B196+A197</f>
        <v/>
      </c>
      <c r="C197">
        <f>IF(194&gt;$B$4503,"",MATCH(194-0.5,$B$3:$B$4503,1))</f>
        <v/>
      </c>
      <c r="D197">
        <f>"State license ("&amp;IF(LEN(INDEX('Providers'!$E$4:$E$503,194))=0,"",INDEX('Providers'!$E$4:$E$503,194))&amp;") – "&amp;IF(LEN(INDEX('Providers'!$A$4:$A$503,194))=0,"",INDEX('Providers'!$A$4:$A$503,194))</f>
        <v/>
      </c>
      <c r="E197">
        <f>IF(ISNUMBER(INDEX('Providers'!$G$4:$G$503,194)),TEXT(INDEX('Providers'!$G$4:$G$503,194),"yyyy-mm-dd"),"")</f>
        <v/>
      </c>
      <c r="F197">
        <f>"License"</f>
        <v/>
      </c>
      <c r="G197">
        <f>""</f>
        <v/>
      </c>
      <c r="H197">
        <f>"High"</f>
        <v/>
      </c>
      <c r="I197">
        <f>TRIM(IF(LEN(IF(LEN(INDEX('Providers'!$F$4:$F$503,194))=0,"",INDEX('Providers'!$F$4:$F$503,194)))=0,"","License no.: "&amp;IF(LEN(INDEX('Providers'!$F$4:$F$503,194))=0,"",INDEX('Providers'!$F$4:$F$503,194))&amp;". ")&amp;IF(LEN(IF(LEN(INDEX('Providers'!$C$4:$C$503,194))=0,"",INDEX('Providers'!$C$4:$C$503,194)))=0,"","NPI: "&amp;IF(LEN(INDEX('Providers'!$C$4:$C$503,194))=0,"",INDEX('Providers'!$C$4:$C$503,194))&amp;". ")&amp;IF(LEN(IF(LEN(INDEX('Providers'!$D$4:$D$503,194))=0,"",INDEX('Providers'!$D$4:$D$503,194)))=0,"","Specialty: "&amp;IF(LEN(INDEX('Providers'!$D$4:$D$503,194))=0,"",INDEX('Providers'!$D$4:$D$503,194))&amp;". ")&amp;IF(LEN(IF(LEN(INDEX('Providers'!$AK$4:$AK$503,194))=0,"",INDEX('Providers'!$AK$4:$AK$503,194)))=0,"",IF(LEN(INDEX('Providers'!$AK$4:$AK$503,194))=0,"",INDEX('Providers'!$AK$4:$AK$503,194))))</f>
        <v/>
      </c>
      <c r="J197">
        <f>IF(LEN(INDEX('Providers'!$AJ$4:$AJ$503,194))=0,"",INDEX('Providers'!$AJ$4:$AJ$503,194))</f>
        <v/>
      </c>
      <c r="K197">
        <f>IF(LEN(INDEX('Providers'!$AI$4:$AI$503,194))=0,"",INDEX('Providers'!$AI$4:$AI$503,194))</f>
        <v/>
      </c>
    </row>
    <row r="198">
      <c r="A198">
        <f>IF(AND(LEN('Providers'!A198)&gt;0,ISNUMBER('Providers'!G198)),1,0)</f>
        <v/>
      </c>
      <c r="B198">
        <f>B197+A198</f>
        <v/>
      </c>
      <c r="C198">
        <f>IF(195&gt;$B$4503,"",MATCH(195-0.5,$B$3:$B$4503,1))</f>
        <v/>
      </c>
      <c r="D198">
        <f>"State license ("&amp;IF(LEN(INDEX('Providers'!$E$4:$E$503,195))=0,"",INDEX('Providers'!$E$4:$E$503,195))&amp;") – "&amp;IF(LEN(INDEX('Providers'!$A$4:$A$503,195))=0,"",INDEX('Providers'!$A$4:$A$503,195))</f>
        <v/>
      </c>
      <c r="E198">
        <f>IF(ISNUMBER(INDEX('Providers'!$G$4:$G$503,195)),TEXT(INDEX('Providers'!$G$4:$G$503,195),"yyyy-mm-dd"),"")</f>
        <v/>
      </c>
      <c r="F198">
        <f>"License"</f>
        <v/>
      </c>
      <c r="G198">
        <f>""</f>
        <v/>
      </c>
      <c r="H198">
        <f>"High"</f>
        <v/>
      </c>
      <c r="I198">
        <f>TRIM(IF(LEN(IF(LEN(INDEX('Providers'!$F$4:$F$503,195))=0,"",INDEX('Providers'!$F$4:$F$503,195)))=0,"","License no.: "&amp;IF(LEN(INDEX('Providers'!$F$4:$F$503,195))=0,"",INDEX('Providers'!$F$4:$F$503,195))&amp;". ")&amp;IF(LEN(IF(LEN(INDEX('Providers'!$C$4:$C$503,195))=0,"",INDEX('Providers'!$C$4:$C$503,195)))=0,"","NPI: "&amp;IF(LEN(INDEX('Providers'!$C$4:$C$503,195))=0,"",INDEX('Providers'!$C$4:$C$503,195))&amp;". ")&amp;IF(LEN(IF(LEN(INDEX('Providers'!$D$4:$D$503,195))=0,"",INDEX('Providers'!$D$4:$D$503,195)))=0,"","Specialty: "&amp;IF(LEN(INDEX('Providers'!$D$4:$D$503,195))=0,"",INDEX('Providers'!$D$4:$D$503,195))&amp;". ")&amp;IF(LEN(IF(LEN(INDEX('Providers'!$AK$4:$AK$503,195))=0,"",INDEX('Providers'!$AK$4:$AK$503,195)))=0,"",IF(LEN(INDEX('Providers'!$AK$4:$AK$503,195))=0,"",INDEX('Providers'!$AK$4:$AK$503,195))))</f>
        <v/>
      </c>
      <c r="J198">
        <f>IF(LEN(INDEX('Providers'!$AJ$4:$AJ$503,195))=0,"",INDEX('Providers'!$AJ$4:$AJ$503,195))</f>
        <v/>
      </c>
      <c r="K198">
        <f>IF(LEN(INDEX('Providers'!$AI$4:$AI$503,195))=0,"",INDEX('Providers'!$AI$4:$AI$503,195))</f>
        <v/>
      </c>
    </row>
    <row r="199">
      <c r="A199">
        <f>IF(AND(LEN('Providers'!A199)&gt;0,ISNUMBER('Providers'!G199)),1,0)</f>
        <v/>
      </c>
      <c r="B199">
        <f>B198+A199</f>
        <v/>
      </c>
      <c r="C199">
        <f>IF(196&gt;$B$4503,"",MATCH(196-0.5,$B$3:$B$4503,1))</f>
        <v/>
      </c>
      <c r="D199">
        <f>"State license ("&amp;IF(LEN(INDEX('Providers'!$E$4:$E$503,196))=0,"",INDEX('Providers'!$E$4:$E$503,196))&amp;") – "&amp;IF(LEN(INDEX('Providers'!$A$4:$A$503,196))=0,"",INDEX('Providers'!$A$4:$A$503,196))</f>
        <v/>
      </c>
      <c r="E199">
        <f>IF(ISNUMBER(INDEX('Providers'!$G$4:$G$503,196)),TEXT(INDEX('Providers'!$G$4:$G$503,196),"yyyy-mm-dd"),"")</f>
        <v/>
      </c>
      <c r="F199">
        <f>"License"</f>
        <v/>
      </c>
      <c r="G199">
        <f>""</f>
        <v/>
      </c>
      <c r="H199">
        <f>"High"</f>
        <v/>
      </c>
      <c r="I199">
        <f>TRIM(IF(LEN(IF(LEN(INDEX('Providers'!$F$4:$F$503,196))=0,"",INDEX('Providers'!$F$4:$F$503,196)))=0,"","License no.: "&amp;IF(LEN(INDEX('Providers'!$F$4:$F$503,196))=0,"",INDEX('Providers'!$F$4:$F$503,196))&amp;". ")&amp;IF(LEN(IF(LEN(INDEX('Providers'!$C$4:$C$503,196))=0,"",INDEX('Providers'!$C$4:$C$503,196)))=0,"","NPI: "&amp;IF(LEN(INDEX('Providers'!$C$4:$C$503,196))=0,"",INDEX('Providers'!$C$4:$C$503,196))&amp;". ")&amp;IF(LEN(IF(LEN(INDEX('Providers'!$D$4:$D$503,196))=0,"",INDEX('Providers'!$D$4:$D$503,196)))=0,"","Specialty: "&amp;IF(LEN(INDEX('Providers'!$D$4:$D$503,196))=0,"",INDEX('Providers'!$D$4:$D$503,196))&amp;". ")&amp;IF(LEN(IF(LEN(INDEX('Providers'!$AK$4:$AK$503,196))=0,"",INDEX('Providers'!$AK$4:$AK$503,196)))=0,"",IF(LEN(INDEX('Providers'!$AK$4:$AK$503,196))=0,"",INDEX('Providers'!$AK$4:$AK$503,196))))</f>
        <v/>
      </c>
      <c r="J199">
        <f>IF(LEN(INDEX('Providers'!$AJ$4:$AJ$503,196))=0,"",INDEX('Providers'!$AJ$4:$AJ$503,196))</f>
        <v/>
      </c>
      <c r="K199">
        <f>IF(LEN(INDEX('Providers'!$AI$4:$AI$503,196))=0,"",INDEX('Providers'!$AI$4:$AI$503,196))</f>
        <v/>
      </c>
    </row>
    <row r="200">
      <c r="A200">
        <f>IF(AND(LEN('Providers'!A200)&gt;0,ISNUMBER('Providers'!G200)),1,0)</f>
        <v/>
      </c>
      <c r="B200">
        <f>B199+A200</f>
        <v/>
      </c>
      <c r="C200">
        <f>IF(197&gt;$B$4503,"",MATCH(197-0.5,$B$3:$B$4503,1))</f>
        <v/>
      </c>
      <c r="D200">
        <f>"State license ("&amp;IF(LEN(INDEX('Providers'!$E$4:$E$503,197))=0,"",INDEX('Providers'!$E$4:$E$503,197))&amp;") – "&amp;IF(LEN(INDEX('Providers'!$A$4:$A$503,197))=0,"",INDEX('Providers'!$A$4:$A$503,197))</f>
        <v/>
      </c>
      <c r="E200">
        <f>IF(ISNUMBER(INDEX('Providers'!$G$4:$G$503,197)),TEXT(INDEX('Providers'!$G$4:$G$503,197),"yyyy-mm-dd"),"")</f>
        <v/>
      </c>
      <c r="F200">
        <f>"License"</f>
        <v/>
      </c>
      <c r="G200">
        <f>""</f>
        <v/>
      </c>
      <c r="H200">
        <f>"High"</f>
        <v/>
      </c>
      <c r="I200">
        <f>TRIM(IF(LEN(IF(LEN(INDEX('Providers'!$F$4:$F$503,197))=0,"",INDEX('Providers'!$F$4:$F$503,197)))=0,"","License no.: "&amp;IF(LEN(INDEX('Providers'!$F$4:$F$503,197))=0,"",INDEX('Providers'!$F$4:$F$503,197))&amp;". ")&amp;IF(LEN(IF(LEN(INDEX('Providers'!$C$4:$C$503,197))=0,"",INDEX('Providers'!$C$4:$C$503,197)))=0,"","NPI: "&amp;IF(LEN(INDEX('Providers'!$C$4:$C$503,197))=0,"",INDEX('Providers'!$C$4:$C$503,197))&amp;". ")&amp;IF(LEN(IF(LEN(INDEX('Providers'!$D$4:$D$503,197))=0,"",INDEX('Providers'!$D$4:$D$503,197)))=0,"","Specialty: "&amp;IF(LEN(INDEX('Providers'!$D$4:$D$503,197))=0,"",INDEX('Providers'!$D$4:$D$503,197))&amp;". ")&amp;IF(LEN(IF(LEN(INDEX('Providers'!$AK$4:$AK$503,197))=0,"",INDEX('Providers'!$AK$4:$AK$503,197)))=0,"",IF(LEN(INDEX('Providers'!$AK$4:$AK$503,197))=0,"",INDEX('Providers'!$AK$4:$AK$503,197))))</f>
        <v/>
      </c>
      <c r="J200">
        <f>IF(LEN(INDEX('Providers'!$AJ$4:$AJ$503,197))=0,"",INDEX('Providers'!$AJ$4:$AJ$503,197))</f>
        <v/>
      </c>
      <c r="K200">
        <f>IF(LEN(INDEX('Providers'!$AI$4:$AI$503,197))=0,"",INDEX('Providers'!$AI$4:$AI$503,197))</f>
        <v/>
      </c>
    </row>
    <row r="201">
      <c r="A201">
        <f>IF(AND(LEN('Providers'!A201)&gt;0,ISNUMBER('Providers'!G201)),1,0)</f>
        <v/>
      </c>
      <c r="B201">
        <f>B200+A201</f>
        <v/>
      </c>
      <c r="C201">
        <f>IF(198&gt;$B$4503,"",MATCH(198-0.5,$B$3:$B$4503,1))</f>
        <v/>
      </c>
      <c r="D201">
        <f>"State license ("&amp;IF(LEN(INDEX('Providers'!$E$4:$E$503,198))=0,"",INDEX('Providers'!$E$4:$E$503,198))&amp;") – "&amp;IF(LEN(INDEX('Providers'!$A$4:$A$503,198))=0,"",INDEX('Providers'!$A$4:$A$503,198))</f>
        <v/>
      </c>
      <c r="E201">
        <f>IF(ISNUMBER(INDEX('Providers'!$G$4:$G$503,198)),TEXT(INDEX('Providers'!$G$4:$G$503,198),"yyyy-mm-dd"),"")</f>
        <v/>
      </c>
      <c r="F201">
        <f>"License"</f>
        <v/>
      </c>
      <c r="G201">
        <f>""</f>
        <v/>
      </c>
      <c r="H201">
        <f>"High"</f>
        <v/>
      </c>
      <c r="I201">
        <f>TRIM(IF(LEN(IF(LEN(INDEX('Providers'!$F$4:$F$503,198))=0,"",INDEX('Providers'!$F$4:$F$503,198)))=0,"","License no.: "&amp;IF(LEN(INDEX('Providers'!$F$4:$F$503,198))=0,"",INDEX('Providers'!$F$4:$F$503,198))&amp;". ")&amp;IF(LEN(IF(LEN(INDEX('Providers'!$C$4:$C$503,198))=0,"",INDEX('Providers'!$C$4:$C$503,198)))=0,"","NPI: "&amp;IF(LEN(INDEX('Providers'!$C$4:$C$503,198))=0,"",INDEX('Providers'!$C$4:$C$503,198))&amp;". ")&amp;IF(LEN(IF(LEN(INDEX('Providers'!$D$4:$D$503,198))=0,"",INDEX('Providers'!$D$4:$D$503,198)))=0,"","Specialty: "&amp;IF(LEN(INDEX('Providers'!$D$4:$D$503,198))=0,"",INDEX('Providers'!$D$4:$D$503,198))&amp;". ")&amp;IF(LEN(IF(LEN(INDEX('Providers'!$AK$4:$AK$503,198))=0,"",INDEX('Providers'!$AK$4:$AK$503,198)))=0,"",IF(LEN(INDEX('Providers'!$AK$4:$AK$503,198))=0,"",INDEX('Providers'!$AK$4:$AK$503,198))))</f>
        <v/>
      </c>
      <c r="J201">
        <f>IF(LEN(INDEX('Providers'!$AJ$4:$AJ$503,198))=0,"",INDEX('Providers'!$AJ$4:$AJ$503,198))</f>
        <v/>
      </c>
      <c r="K201">
        <f>IF(LEN(INDEX('Providers'!$AI$4:$AI$503,198))=0,"",INDEX('Providers'!$AI$4:$AI$503,198))</f>
        <v/>
      </c>
    </row>
    <row r="202">
      <c r="A202">
        <f>IF(AND(LEN('Providers'!A202)&gt;0,ISNUMBER('Providers'!G202)),1,0)</f>
        <v/>
      </c>
      <c r="B202">
        <f>B201+A202</f>
        <v/>
      </c>
      <c r="C202">
        <f>IF(199&gt;$B$4503,"",MATCH(199-0.5,$B$3:$B$4503,1))</f>
        <v/>
      </c>
      <c r="D202">
        <f>"State license ("&amp;IF(LEN(INDEX('Providers'!$E$4:$E$503,199))=0,"",INDEX('Providers'!$E$4:$E$503,199))&amp;") – "&amp;IF(LEN(INDEX('Providers'!$A$4:$A$503,199))=0,"",INDEX('Providers'!$A$4:$A$503,199))</f>
        <v/>
      </c>
      <c r="E202">
        <f>IF(ISNUMBER(INDEX('Providers'!$G$4:$G$503,199)),TEXT(INDEX('Providers'!$G$4:$G$503,199),"yyyy-mm-dd"),"")</f>
        <v/>
      </c>
      <c r="F202">
        <f>"License"</f>
        <v/>
      </c>
      <c r="G202">
        <f>""</f>
        <v/>
      </c>
      <c r="H202">
        <f>"High"</f>
        <v/>
      </c>
      <c r="I202">
        <f>TRIM(IF(LEN(IF(LEN(INDEX('Providers'!$F$4:$F$503,199))=0,"",INDEX('Providers'!$F$4:$F$503,199)))=0,"","License no.: "&amp;IF(LEN(INDEX('Providers'!$F$4:$F$503,199))=0,"",INDEX('Providers'!$F$4:$F$503,199))&amp;". ")&amp;IF(LEN(IF(LEN(INDEX('Providers'!$C$4:$C$503,199))=0,"",INDEX('Providers'!$C$4:$C$503,199)))=0,"","NPI: "&amp;IF(LEN(INDEX('Providers'!$C$4:$C$503,199))=0,"",INDEX('Providers'!$C$4:$C$503,199))&amp;". ")&amp;IF(LEN(IF(LEN(INDEX('Providers'!$D$4:$D$503,199))=0,"",INDEX('Providers'!$D$4:$D$503,199)))=0,"","Specialty: "&amp;IF(LEN(INDEX('Providers'!$D$4:$D$503,199))=0,"",INDEX('Providers'!$D$4:$D$503,199))&amp;". ")&amp;IF(LEN(IF(LEN(INDEX('Providers'!$AK$4:$AK$503,199))=0,"",INDEX('Providers'!$AK$4:$AK$503,199)))=0,"",IF(LEN(INDEX('Providers'!$AK$4:$AK$503,199))=0,"",INDEX('Providers'!$AK$4:$AK$503,199))))</f>
        <v/>
      </c>
      <c r="J202">
        <f>IF(LEN(INDEX('Providers'!$AJ$4:$AJ$503,199))=0,"",INDEX('Providers'!$AJ$4:$AJ$503,199))</f>
        <v/>
      </c>
      <c r="K202">
        <f>IF(LEN(INDEX('Providers'!$AI$4:$AI$503,199))=0,"",INDEX('Providers'!$AI$4:$AI$503,199))</f>
        <v/>
      </c>
    </row>
    <row r="203">
      <c r="A203">
        <f>IF(AND(LEN('Providers'!A203)&gt;0,ISNUMBER('Providers'!G203)),1,0)</f>
        <v/>
      </c>
      <c r="B203">
        <f>B202+A203</f>
        <v/>
      </c>
      <c r="C203">
        <f>IF(200&gt;$B$4503,"",MATCH(200-0.5,$B$3:$B$4503,1))</f>
        <v/>
      </c>
      <c r="D203">
        <f>"State license ("&amp;IF(LEN(INDEX('Providers'!$E$4:$E$503,200))=0,"",INDEX('Providers'!$E$4:$E$503,200))&amp;") – "&amp;IF(LEN(INDEX('Providers'!$A$4:$A$503,200))=0,"",INDEX('Providers'!$A$4:$A$503,200))</f>
        <v/>
      </c>
      <c r="E203">
        <f>IF(ISNUMBER(INDEX('Providers'!$G$4:$G$503,200)),TEXT(INDEX('Providers'!$G$4:$G$503,200),"yyyy-mm-dd"),"")</f>
        <v/>
      </c>
      <c r="F203">
        <f>"License"</f>
        <v/>
      </c>
      <c r="G203">
        <f>""</f>
        <v/>
      </c>
      <c r="H203">
        <f>"High"</f>
        <v/>
      </c>
      <c r="I203">
        <f>TRIM(IF(LEN(IF(LEN(INDEX('Providers'!$F$4:$F$503,200))=0,"",INDEX('Providers'!$F$4:$F$503,200)))=0,"","License no.: "&amp;IF(LEN(INDEX('Providers'!$F$4:$F$503,200))=0,"",INDEX('Providers'!$F$4:$F$503,200))&amp;". ")&amp;IF(LEN(IF(LEN(INDEX('Providers'!$C$4:$C$503,200))=0,"",INDEX('Providers'!$C$4:$C$503,200)))=0,"","NPI: "&amp;IF(LEN(INDEX('Providers'!$C$4:$C$503,200))=0,"",INDEX('Providers'!$C$4:$C$503,200))&amp;". ")&amp;IF(LEN(IF(LEN(INDEX('Providers'!$D$4:$D$503,200))=0,"",INDEX('Providers'!$D$4:$D$503,200)))=0,"","Specialty: "&amp;IF(LEN(INDEX('Providers'!$D$4:$D$503,200))=0,"",INDEX('Providers'!$D$4:$D$503,200))&amp;". ")&amp;IF(LEN(IF(LEN(INDEX('Providers'!$AK$4:$AK$503,200))=0,"",INDEX('Providers'!$AK$4:$AK$503,200)))=0,"",IF(LEN(INDEX('Providers'!$AK$4:$AK$503,200))=0,"",INDEX('Providers'!$AK$4:$AK$503,200))))</f>
        <v/>
      </c>
      <c r="J203">
        <f>IF(LEN(INDEX('Providers'!$AJ$4:$AJ$503,200))=0,"",INDEX('Providers'!$AJ$4:$AJ$503,200))</f>
        <v/>
      </c>
      <c r="K203">
        <f>IF(LEN(INDEX('Providers'!$AI$4:$AI$503,200))=0,"",INDEX('Providers'!$AI$4:$AI$503,200))</f>
        <v/>
      </c>
    </row>
    <row r="204">
      <c r="A204">
        <f>IF(AND(LEN('Providers'!A204)&gt;0,ISNUMBER('Providers'!G204)),1,0)</f>
        <v/>
      </c>
      <c r="B204">
        <f>B203+A204</f>
        <v/>
      </c>
      <c r="C204">
        <f>IF(201&gt;$B$4503,"",MATCH(201-0.5,$B$3:$B$4503,1))</f>
        <v/>
      </c>
      <c r="D204">
        <f>"State license ("&amp;IF(LEN(INDEX('Providers'!$E$4:$E$503,201))=0,"",INDEX('Providers'!$E$4:$E$503,201))&amp;") – "&amp;IF(LEN(INDEX('Providers'!$A$4:$A$503,201))=0,"",INDEX('Providers'!$A$4:$A$503,201))</f>
        <v/>
      </c>
      <c r="E204">
        <f>IF(ISNUMBER(INDEX('Providers'!$G$4:$G$503,201)),TEXT(INDEX('Providers'!$G$4:$G$503,201),"yyyy-mm-dd"),"")</f>
        <v/>
      </c>
      <c r="F204">
        <f>"License"</f>
        <v/>
      </c>
      <c r="G204">
        <f>""</f>
        <v/>
      </c>
      <c r="H204">
        <f>"High"</f>
        <v/>
      </c>
      <c r="I204">
        <f>TRIM(IF(LEN(IF(LEN(INDEX('Providers'!$F$4:$F$503,201))=0,"",INDEX('Providers'!$F$4:$F$503,201)))=0,"","License no.: "&amp;IF(LEN(INDEX('Providers'!$F$4:$F$503,201))=0,"",INDEX('Providers'!$F$4:$F$503,201))&amp;". ")&amp;IF(LEN(IF(LEN(INDEX('Providers'!$C$4:$C$503,201))=0,"",INDEX('Providers'!$C$4:$C$503,201)))=0,"","NPI: "&amp;IF(LEN(INDEX('Providers'!$C$4:$C$503,201))=0,"",INDEX('Providers'!$C$4:$C$503,201))&amp;". ")&amp;IF(LEN(IF(LEN(INDEX('Providers'!$D$4:$D$503,201))=0,"",INDEX('Providers'!$D$4:$D$503,201)))=0,"","Specialty: "&amp;IF(LEN(INDEX('Providers'!$D$4:$D$503,201))=0,"",INDEX('Providers'!$D$4:$D$503,201))&amp;". ")&amp;IF(LEN(IF(LEN(INDEX('Providers'!$AK$4:$AK$503,201))=0,"",INDEX('Providers'!$AK$4:$AK$503,201)))=0,"",IF(LEN(INDEX('Providers'!$AK$4:$AK$503,201))=0,"",INDEX('Providers'!$AK$4:$AK$503,201))))</f>
        <v/>
      </c>
      <c r="J204">
        <f>IF(LEN(INDEX('Providers'!$AJ$4:$AJ$503,201))=0,"",INDEX('Providers'!$AJ$4:$AJ$503,201))</f>
        <v/>
      </c>
      <c r="K204">
        <f>IF(LEN(INDEX('Providers'!$AI$4:$AI$503,201))=0,"",INDEX('Providers'!$AI$4:$AI$503,201))</f>
        <v/>
      </c>
    </row>
    <row r="205">
      <c r="A205">
        <f>IF(AND(LEN('Providers'!A205)&gt;0,ISNUMBER('Providers'!G205)),1,0)</f>
        <v/>
      </c>
      <c r="B205">
        <f>B204+A205</f>
        <v/>
      </c>
      <c r="C205">
        <f>IF(202&gt;$B$4503,"",MATCH(202-0.5,$B$3:$B$4503,1))</f>
        <v/>
      </c>
      <c r="D205">
        <f>"State license ("&amp;IF(LEN(INDEX('Providers'!$E$4:$E$503,202))=0,"",INDEX('Providers'!$E$4:$E$503,202))&amp;") – "&amp;IF(LEN(INDEX('Providers'!$A$4:$A$503,202))=0,"",INDEX('Providers'!$A$4:$A$503,202))</f>
        <v/>
      </c>
      <c r="E205">
        <f>IF(ISNUMBER(INDEX('Providers'!$G$4:$G$503,202)),TEXT(INDEX('Providers'!$G$4:$G$503,202),"yyyy-mm-dd"),"")</f>
        <v/>
      </c>
      <c r="F205">
        <f>"License"</f>
        <v/>
      </c>
      <c r="G205">
        <f>""</f>
        <v/>
      </c>
      <c r="H205">
        <f>"High"</f>
        <v/>
      </c>
      <c r="I205">
        <f>TRIM(IF(LEN(IF(LEN(INDEX('Providers'!$F$4:$F$503,202))=0,"",INDEX('Providers'!$F$4:$F$503,202)))=0,"","License no.: "&amp;IF(LEN(INDEX('Providers'!$F$4:$F$503,202))=0,"",INDEX('Providers'!$F$4:$F$503,202))&amp;". ")&amp;IF(LEN(IF(LEN(INDEX('Providers'!$C$4:$C$503,202))=0,"",INDEX('Providers'!$C$4:$C$503,202)))=0,"","NPI: "&amp;IF(LEN(INDEX('Providers'!$C$4:$C$503,202))=0,"",INDEX('Providers'!$C$4:$C$503,202))&amp;". ")&amp;IF(LEN(IF(LEN(INDEX('Providers'!$D$4:$D$503,202))=0,"",INDEX('Providers'!$D$4:$D$503,202)))=0,"","Specialty: "&amp;IF(LEN(INDEX('Providers'!$D$4:$D$503,202))=0,"",INDEX('Providers'!$D$4:$D$503,202))&amp;". ")&amp;IF(LEN(IF(LEN(INDEX('Providers'!$AK$4:$AK$503,202))=0,"",INDEX('Providers'!$AK$4:$AK$503,202)))=0,"",IF(LEN(INDEX('Providers'!$AK$4:$AK$503,202))=0,"",INDEX('Providers'!$AK$4:$AK$503,202))))</f>
        <v/>
      </c>
      <c r="J205">
        <f>IF(LEN(INDEX('Providers'!$AJ$4:$AJ$503,202))=0,"",INDEX('Providers'!$AJ$4:$AJ$503,202))</f>
        <v/>
      </c>
      <c r="K205">
        <f>IF(LEN(INDEX('Providers'!$AI$4:$AI$503,202))=0,"",INDEX('Providers'!$AI$4:$AI$503,202))</f>
        <v/>
      </c>
    </row>
    <row r="206">
      <c r="A206">
        <f>IF(AND(LEN('Providers'!A206)&gt;0,ISNUMBER('Providers'!G206)),1,0)</f>
        <v/>
      </c>
      <c r="B206">
        <f>B205+A206</f>
        <v/>
      </c>
      <c r="C206">
        <f>IF(203&gt;$B$4503,"",MATCH(203-0.5,$B$3:$B$4503,1))</f>
        <v/>
      </c>
      <c r="D206">
        <f>"State license ("&amp;IF(LEN(INDEX('Providers'!$E$4:$E$503,203))=0,"",INDEX('Providers'!$E$4:$E$503,203))&amp;") – "&amp;IF(LEN(INDEX('Providers'!$A$4:$A$503,203))=0,"",INDEX('Providers'!$A$4:$A$503,203))</f>
        <v/>
      </c>
      <c r="E206">
        <f>IF(ISNUMBER(INDEX('Providers'!$G$4:$G$503,203)),TEXT(INDEX('Providers'!$G$4:$G$503,203),"yyyy-mm-dd"),"")</f>
        <v/>
      </c>
      <c r="F206">
        <f>"License"</f>
        <v/>
      </c>
      <c r="G206">
        <f>""</f>
        <v/>
      </c>
      <c r="H206">
        <f>"High"</f>
        <v/>
      </c>
      <c r="I206">
        <f>TRIM(IF(LEN(IF(LEN(INDEX('Providers'!$F$4:$F$503,203))=0,"",INDEX('Providers'!$F$4:$F$503,203)))=0,"","License no.: "&amp;IF(LEN(INDEX('Providers'!$F$4:$F$503,203))=0,"",INDEX('Providers'!$F$4:$F$503,203))&amp;". ")&amp;IF(LEN(IF(LEN(INDEX('Providers'!$C$4:$C$503,203))=0,"",INDEX('Providers'!$C$4:$C$503,203)))=0,"","NPI: "&amp;IF(LEN(INDEX('Providers'!$C$4:$C$503,203))=0,"",INDEX('Providers'!$C$4:$C$503,203))&amp;". ")&amp;IF(LEN(IF(LEN(INDEX('Providers'!$D$4:$D$503,203))=0,"",INDEX('Providers'!$D$4:$D$503,203)))=0,"","Specialty: "&amp;IF(LEN(INDEX('Providers'!$D$4:$D$503,203))=0,"",INDEX('Providers'!$D$4:$D$503,203))&amp;". ")&amp;IF(LEN(IF(LEN(INDEX('Providers'!$AK$4:$AK$503,203))=0,"",INDEX('Providers'!$AK$4:$AK$503,203)))=0,"",IF(LEN(INDEX('Providers'!$AK$4:$AK$503,203))=0,"",INDEX('Providers'!$AK$4:$AK$503,203))))</f>
        <v/>
      </c>
      <c r="J206">
        <f>IF(LEN(INDEX('Providers'!$AJ$4:$AJ$503,203))=0,"",INDEX('Providers'!$AJ$4:$AJ$503,203))</f>
        <v/>
      </c>
      <c r="K206">
        <f>IF(LEN(INDEX('Providers'!$AI$4:$AI$503,203))=0,"",INDEX('Providers'!$AI$4:$AI$503,203))</f>
        <v/>
      </c>
    </row>
    <row r="207">
      <c r="A207">
        <f>IF(AND(LEN('Providers'!A207)&gt;0,ISNUMBER('Providers'!G207)),1,0)</f>
        <v/>
      </c>
      <c r="B207">
        <f>B206+A207</f>
        <v/>
      </c>
      <c r="C207">
        <f>IF(204&gt;$B$4503,"",MATCH(204-0.5,$B$3:$B$4503,1))</f>
        <v/>
      </c>
      <c r="D207">
        <f>"State license ("&amp;IF(LEN(INDEX('Providers'!$E$4:$E$503,204))=0,"",INDEX('Providers'!$E$4:$E$503,204))&amp;") – "&amp;IF(LEN(INDEX('Providers'!$A$4:$A$503,204))=0,"",INDEX('Providers'!$A$4:$A$503,204))</f>
        <v/>
      </c>
      <c r="E207">
        <f>IF(ISNUMBER(INDEX('Providers'!$G$4:$G$503,204)),TEXT(INDEX('Providers'!$G$4:$G$503,204),"yyyy-mm-dd"),"")</f>
        <v/>
      </c>
      <c r="F207">
        <f>"License"</f>
        <v/>
      </c>
      <c r="G207">
        <f>""</f>
        <v/>
      </c>
      <c r="H207">
        <f>"High"</f>
        <v/>
      </c>
      <c r="I207">
        <f>TRIM(IF(LEN(IF(LEN(INDEX('Providers'!$F$4:$F$503,204))=0,"",INDEX('Providers'!$F$4:$F$503,204)))=0,"","License no.: "&amp;IF(LEN(INDEX('Providers'!$F$4:$F$503,204))=0,"",INDEX('Providers'!$F$4:$F$503,204))&amp;". ")&amp;IF(LEN(IF(LEN(INDEX('Providers'!$C$4:$C$503,204))=0,"",INDEX('Providers'!$C$4:$C$503,204)))=0,"","NPI: "&amp;IF(LEN(INDEX('Providers'!$C$4:$C$503,204))=0,"",INDEX('Providers'!$C$4:$C$503,204))&amp;". ")&amp;IF(LEN(IF(LEN(INDEX('Providers'!$D$4:$D$503,204))=0,"",INDEX('Providers'!$D$4:$D$503,204)))=0,"","Specialty: "&amp;IF(LEN(INDEX('Providers'!$D$4:$D$503,204))=0,"",INDEX('Providers'!$D$4:$D$503,204))&amp;". ")&amp;IF(LEN(IF(LEN(INDEX('Providers'!$AK$4:$AK$503,204))=0,"",INDEX('Providers'!$AK$4:$AK$503,204)))=0,"",IF(LEN(INDEX('Providers'!$AK$4:$AK$503,204))=0,"",INDEX('Providers'!$AK$4:$AK$503,204))))</f>
        <v/>
      </c>
      <c r="J207">
        <f>IF(LEN(INDEX('Providers'!$AJ$4:$AJ$503,204))=0,"",INDEX('Providers'!$AJ$4:$AJ$503,204))</f>
        <v/>
      </c>
      <c r="K207">
        <f>IF(LEN(INDEX('Providers'!$AI$4:$AI$503,204))=0,"",INDEX('Providers'!$AI$4:$AI$503,204))</f>
        <v/>
      </c>
    </row>
    <row r="208">
      <c r="A208">
        <f>IF(AND(LEN('Providers'!A208)&gt;0,ISNUMBER('Providers'!G208)),1,0)</f>
        <v/>
      </c>
      <c r="B208">
        <f>B207+A208</f>
        <v/>
      </c>
      <c r="C208">
        <f>IF(205&gt;$B$4503,"",MATCH(205-0.5,$B$3:$B$4503,1))</f>
        <v/>
      </c>
      <c r="D208">
        <f>"State license ("&amp;IF(LEN(INDEX('Providers'!$E$4:$E$503,205))=0,"",INDEX('Providers'!$E$4:$E$503,205))&amp;") – "&amp;IF(LEN(INDEX('Providers'!$A$4:$A$503,205))=0,"",INDEX('Providers'!$A$4:$A$503,205))</f>
        <v/>
      </c>
      <c r="E208">
        <f>IF(ISNUMBER(INDEX('Providers'!$G$4:$G$503,205)),TEXT(INDEX('Providers'!$G$4:$G$503,205),"yyyy-mm-dd"),"")</f>
        <v/>
      </c>
      <c r="F208">
        <f>"License"</f>
        <v/>
      </c>
      <c r="G208">
        <f>""</f>
        <v/>
      </c>
      <c r="H208">
        <f>"High"</f>
        <v/>
      </c>
      <c r="I208">
        <f>TRIM(IF(LEN(IF(LEN(INDEX('Providers'!$F$4:$F$503,205))=0,"",INDEX('Providers'!$F$4:$F$503,205)))=0,"","License no.: "&amp;IF(LEN(INDEX('Providers'!$F$4:$F$503,205))=0,"",INDEX('Providers'!$F$4:$F$503,205))&amp;". ")&amp;IF(LEN(IF(LEN(INDEX('Providers'!$C$4:$C$503,205))=0,"",INDEX('Providers'!$C$4:$C$503,205)))=0,"","NPI: "&amp;IF(LEN(INDEX('Providers'!$C$4:$C$503,205))=0,"",INDEX('Providers'!$C$4:$C$503,205))&amp;". ")&amp;IF(LEN(IF(LEN(INDEX('Providers'!$D$4:$D$503,205))=0,"",INDEX('Providers'!$D$4:$D$503,205)))=0,"","Specialty: "&amp;IF(LEN(INDEX('Providers'!$D$4:$D$503,205))=0,"",INDEX('Providers'!$D$4:$D$503,205))&amp;". ")&amp;IF(LEN(IF(LEN(INDEX('Providers'!$AK$4:$AK$503,205))=0,"",INDEX('Providers'!$AK$4:$AK$503,205)))=0,"",IF(LEN(INDEX('Providers'!$AK$4:$AK$503,205))=0,"",INDEX('Providers'!$AK$4:$AK$503,205))))</f>
        <v/>
      </c>
      <c r="J208">
        <f>IF(LEN(INDEX('Providers'!$AJ$4:$AJ$503,205))=0,"",INDEX('Providers'!$AJ$4:$AJ$503,205))</f>
        <v/>
      </c>
      <c r="K208">
        <f>IF(LEN(INDEX('Providers'!$AI$4:$AI$503,205))=0,"",INDEX('Providers'!$AI$4:$AI$503,205))</f>
        <v/>
      </c>
    </row>
    <row r="209">
      <c r="A209">
        <f>IF(AND(LEN('Providers'!A209)&gt;0,ISNUMBER('Providers'!G209)),1,0)</f>
        <v/>
      </c>
      <c r="B209">
        <f>B208+A209</f>
        <v/>
      </c>
      <c r="C209">
        <f>IF(206&gt;$B$4503,"",MATCH(206-0.5,$B$3:$B$4503,1))</f>
        <v/>
      </c>
      <c r="D209">
        <f>"State license ("&amp;IF(LEN(INDEX('Providers'!$E$4:$E$503,206))=0,"",INDEX('Providers'!$E$4:$E$503,206))&amp;") – "&amp;IF(LEN(INDEX('Providers'!$A$4:$A$503,206))=0,"",INDEX('Providers'!$A$4:$A$503,206))</f>
        <v/>
      </c>
      <c r="E209">
        <f>IF(ISNUMBER(INDEX('Providers'!$G$4:$G$503,206)),TEXT(INDEX('Providers'!$G$4:$G$503,206),"yyyy-mm-dd"),"")</f>
        <v/>
      </c>
      <c r="F209">
        <f>"License"</f>
        <v/>
      </c>
      <c r="G209">
        <f>""</f>
        <v/>
      </c>
      <c r="H209">
        <f>"High"</f>
        <v/>
      </c>
      <c r="I209">
        <f>TRIM(IF(LEN(IF(LEN(INDEX('Providers'!$F$4:$F$503,206))=0,"",INDEX('Providers'!$F$4:$F$503,206)))=0,"","License no.: "&amp;IF(LEN(INDEX('Providers'!$F$4:$F$503,206))=0,"",INDEX('Providers'!$F$4:$F$503,206))&amp;". ")&amp;IF(LEN(IF(LEN(INDEX('Providers'!$C$4:$C$503,206))=0,"",INDEX('Providers'!$C$4:$C$503,206)))=0,"","NPI: "&amp;IF(LEN(INDEX('Providers'!$C$4:$C$503,206))=0,"",INDEX('Providers'!$C$4:$C$503,206))&amp;". ")&amp;IF(LEN(IF(LEN(INDEX('Providers'!$D$4:$D$503,206))=0,"",INDEX('Providers'!$D$4:$D$503,206)))=0,"","Specialty: "&amp;IF(LEN(INDEX('Providers'!$D$4:$D$503,206))=0,"",INDEX('Providers'!$D$4:$D$503,206))&amp;". ")&amp;IF(LEN(IF(LEN(INDEX('Providers'!$AK$4:$AK$503,206))=0,"",INDEX('Providers'!$AK$4:$AK$503,206)))=0,"",IF(LEN(INDEX('Providers'!$AK$4:$AK$503,206))=0,"",INDEX('Providers'!$AK$4:$AK$503,206))))</f>
        <v/>
      </c>
      <c r="J209">
        <f>IF(LEN(INDEX('Providers'!$AJ$4:$AJ$503,206))=0,"",INDEX('Providers'!$AJ$4:$AJ$503,206))</f>
        <v/>
      </c>
      <c r="K209">
        <f>IF(LEN(INDEX('Providers'!$AI$4:$AI$503,206))=0,"",INDEX('Providers'!$AI$4:$AI$503,206))</f>
        <v/>
      </c>
    </row>
    <row r="210">
      <c r="A210">
        <f>IF(AND(LEN('Providers'!A210)&gt;0,ISNUMBER('Providers'!G210)),1,0)</f>
        <v/>
      </c>
      <c r="B210">
        <f>B209+A210</f>
        <v/>
      </c>
      <c r="C210">
        <f>IF(207&gt;$B$4503,"",MATCH(207-0.5,$B$3:$B$4503,1))</f>
        <v/>
      </c>
      <c r="D210">
        <f>"State license ("&amp;IF(LEN(INDEX('Providers'!$E$4:$E$503,207))=0,"",INDEX('Providers'!$E$4:$E$503,207))&amp;") – "&amp;IF(LEN(INDEX('Providers'!$A$4:$A$503,207))=0,"",INDEX('Providers'!$A$4:$A$503,207))</f>
        <v/>
      </c>
      <c r="E210">
        <f>IF(ISNUMBER(INDEX('Providers'!$G$4:$G$503,207)),TEXT(INDEX('Providers'!$G$4:$G$503,207),"yyyy-mm-dd"),"")</f>
        <v/>
      </c>
      <c r="F210">
        <f>"License"</f>
        <v/>
      </c>
      <c r="G210">
        <f>""</f>
        <v/>
      </c>
      <c r="H210">
        <f>"High"</f>
        <v/>
      </c>
      <c r="I210">
        <f>TRIM(IF(LEN(IF(LEN(INDEX('Providers'!$F$4:$F$503,207))=0,"",INDEX('Providers'!$F$4:$F$503,207)))=0,"","License no.: "&amp;IF(LEN(INDEX('Providers'!$F$4:$F$503,207))=0,"",INDEX('Providers'!$F$4:$F$503,207))&amp;". ")&amp;IF(LEN(IF(LEN(INDEX('Providers'!$C$4:$C$503,207))=0,"",INDEX('Providers'!$C$4:$C$503,207)))=0,"","NPI: "&amp;IF(LEN(INDEX('Providers'!$C$4:$C$503,207))=0,"",INDEX('Providers'!$C$4:$C$503,207))&amp;". ")&amp;IF(LEN(IF(LEN(INDEX('Providers'!$D$4:$D$503,207))=0,"",INDEX('Providers'!$D$4:$D$503,207)))=0,"","Specialty: "&amp;IF(LEN(INDEX('Providers'!$D$4:$D$503,207))=0,"",INDEX('Providers'!$D$4:$D$503,207))&amp;". ")&amp;IF(LEN(IF(LEN(INDEX('Providers'!$AK$4:$AK$503,207))=0,"",INDEX('Providers'!$AK$4:$AK$503,207)))=0,"",IF(LEN(INDEX('Providers'!$AK$4:$AK$503,207))=0,"",INDEX('Providers'!$AK$4:$AK$503,207))))</f>
        <v/>
      </c>
      <c r="J210">
        <f>IF(LEN(INDEX('Providers'!$AJ$4:$AJ$503,207))=0,"",INDEX('Providers'!$AJ$4:$AJ$503,207))</f>
        <v/>
      </c>
      <c r="K210">
        <f>IF(LEN(INDEX('Providers'!$AI$4:$AI$503,207))=0,"",INDEX('Providers'!$AI$4:$AI$503,207))</f>
        <v/>
      </c>
    </row>
    <row r="211">
      <c r="A211">
        <f>IF(AND(LEN('Providers'!A211)&gt;0,ISNUMBER('Providers'!G211)),1,0)</f>
        <v/>
      </c>
      <c r="B211">
        <f>B210+A211</f>
        <v/>
      </c>
      <c r="C211">
        <f>IF(208&gt;$B$4503,"",MATCH(208-0.5,$B$3:$B$4503,1))</f>
        <v/>
      </c>
      <c r="D211">
        <f>"State license ("&amp;IF(LEN(INDEX('Providers'!$E$4:$E$503,208))=0,"",INDEX('Providers'!$E$4:$E$503,208))&amp;") – "&amp;IF(LEN(INDEX('Providers'!$A$4:$A$503,208))=0,"",INDEX('Providers'!$A$4:$A$503,208))</f>
        <v/>
      </c>
      <c r="E211">
        <f>IF(ISNUMBER(INDEX('Providers'!$G$4:$G$503,208)),TEXT(INDEX('Providers'!$G$4:$G$503,208),"yyyy-mm-dd"),"")</f>
        <v/>
      </c>
      <c r="F211">
        <f>"License"</f>
        <v/>
      </c>
      <c r="G211">
        <f>""</f>
        <v/>
      </c>
      <c r="H211">
        <f>"High"</f>
        <v/>
      </c>
      <c r="I211">
        <f>TRIM(IF(LEN(IF(LEN(INDEX('Providers'!$F$4:$F$503,208))=0,"",INDEX('Providers'!$F$4:$F$503,208)))=0,"","License no.: "&amp;IF(LEN(INDEX('Providers'!$F$4:$F$503,208))=0,"",INDEX('Providers'!$F$4:$F$503,208))&amp;". ")&amp;IF(LEN(IF(LEN(INDEX('Providers'!$C$4:$C$503,208))=0,"",INDEX('Providers'!$C$4:$C$503,208)))=0,"","NPI: "&amp;IF(LEN(INDEX('Providers'!$C$4:$C$503,208))=0,"",INDEX('Providers'!$C$4:$C$503,208))&amp;". ")&amp;IF(LEN(IF(LEN(INDEX('Providers'!$D$4:$D$503,208))=0,"",INDEX('Providers'!$D$4:$D$503,208)))=0,"","Specialty: "&amp;IF(LEN(INDEX('Providers'!$D$4:$D$503,208))=0,"",INDEX('Providers'!$D$4:$D$503,208))&amp;". ")&amp;IF(LEN(IF(LEN(INDEX('Providers'!$AK$4:$AK$503,208))=0,"",INDEX('Providers'!$AK$4:$AK$503,208)))=0,"",IF(LEN(INDEX('Providers'!$AK$4:$AK$503,208))=0,"",INDEX('Providers'!$AK$4:$AK$503,208))))</f>
        <v/>
      </c>
      <c r="J211">
        <f>IF(LEN(INDEX('Providers'!$AJ$4:$AJ$503,208))=0,"",INDEX('Providers'!$AJ$4:$AJ$503,208))</f>
        <v/>
      </c>
      <c r="K211">
        <f>IF(LEN(INDEX('Providers'!$AI$4:$AI$503,208))=0,"",INDEX('Providers'!$AI$4:$AI$503,208))</f>
        <v/>
      </c>
    </row>
    <row r="212">
      <c r="A212">
        <f>IF(AND(LEN('Providers'!A212)&gt;0,ISNUMBER('Providers'!G212)),1,0)</f>
        <v/>
      </c>
      <c r="B212">
        <f>B211+A212</f>
        <v/>
      </c>
      <c r="C212">
        <f>IF(209&gt;$B$4503,"",MATCH(209-0.5,$B$3:$B$4503,1))</f>
        <v/>
      </c>
      <c r="D212">
        <f>"State license ("&amp;IF(LEN(INDEX('Providers'!$E$4:$E$503,209))=0,"",INDEX('Providers'!$E$4:$E$503,209))&amp;") – "&amp;IF(LEN(INDEX('Providers'!$A$4:$A$503,209))=0,"",INDEX('Providers'!$A$4:$A$503,209))</f>
        <v/>
      </c>
      <c r="E212">
        <f>IF(ISNUMBER(INDEX('Providers'!$G$4:$G$503,209)),TEXT(INDEX('Providers'!$G$4:$G$503,209),"yyyy-mm-dd"),"")</f>
        <v/>
      </c>
      <c r="F212">
        <f>"License"</f>
        <v/>
      </c>
      <c r="G212">
        <f>""</f>
        <v/>
      </c>
      <c r="H212">
        <f>"High"</f>
        <v/>
      </c>
      <c r="I212">
        <f>TRIM(IF(LEN(IF(LEN(INDEX('Providers'!$F$4:$F$503,209))=0,"",INDEX('Providers'!$F$4:$F$503,209)))=0,"","License no.: "&amp;IF(LEN(INDEX('Providers'!$F$4:$F$503,209))=0,"",INDEX('Providers'!$F$4:$F$503,209))&amp;". ")&amp;IF(LEN(IF(LEN(INDEX('Providers'!$C$4:$C$503,209))=0,"",INDEX('Providers'!$C$4:$C$503,209)))=0,"","NPI: "&amp;IF(LEN(INDEX('Providers'!$C$4:$C$503,209))=0,"",INDEX('Providers'!$C$4:$C$503,209))&amp;". ")&amp;IF(LEN(IF(LEN(INDEX('Providers'!$D$4:$D$503,209))=0,"",INDEX('Providers'!$D$4:$D$503,209)))=0,"","Specialty: "&amp;IF(LEN(INDEX('Providers'!$D$4:$D$503,209))=0,"",INDEX('Providers'!$D$4:$D$503,209))&amp;". ")&amp;IF(LEN(IF(LEN(INDEX('Providers'!$AK$4:$AK$503,209))=0,"",INDEX('Providers'!$AK$4:$AK$503,209)))=0,"",IF(LEN(INDEX('Providers'!$AK$4:$AK$503,209))=0,"",INDEX('Providers'!$AK$4:$AK$503,209))))</f>
        <v/>
      </c>
      <c r="J212">
        <f>IF(LEN(INDEX('Providers'!$AJ$4:$AJ$503,209))=0,"",INDEX('Providers'!$AJ$4:$AJ$503,209))</f>
        <v/>
      </c>
      <c r="K212">
        <f>IF(LEN(INDEX('Providers'!$AI$4:$AI$503,209))=0,"",INDEX('Providers'!$AI$4:$AI$503,209))</f>
        <v/>
      </c>
    </row>
    <row r="213">
      <c r="A213">
        <f>IF(AND(LEN('Providers'!A213)&gt;0,ISNUMBER('Providers'!G213)),1,0)</f>
        <v/>
      </c>
      <c r="B213">
        <f>B212+A213</f>
        <v/>
      </c>
      <c r="C213">
        <f>IF(210&gt;$B$4503,"",MATCH(210-0.5,$B$3:$B$4503,1))</f>
        <v/>
      </c>
      <c r="D213">
        <f>"State license ("&amp;IF(LEN(INDEX('Providers'!$E$4:$E$503,210))=0,"",INDEX('Providers'!$E$4:$E$503,210))&amp;") – "&amp;IF(LEN(INDEX('Providers'!$A$4:$A$503,210))=0,"",INDEX('Providers'!$A$4:$A$503,210))</f>
        <v/>
      </c>
      <c r="E213">
        <f>IF(ISNUMBER(INDEX('Providers'!$G$4:$G$503,210)),TEXT(INDEX('Providers'!$G$4:$G$503,210),"yyyy-mm-dd"),"")</f>
        <v/>
      </c>
      <c r="F213">
        <f>"License"</f>
        <v/>
      </c>
      <c r="G213">
        <f>""</f>
        <v/>
      </c>
      <c r="H213">
        <f>"High"</f>
        <v/>
      </c>
      <c r="I213">
        <f>TRIM(IF(LEN(IF(LEN(INDEX('Providers'!$F$4:$F$503,210))=0,"",INDEX('Providers'!$F$4:$F$503,210)))=0,"","License no.: "&amp;IF(LEN(INDEX('Providers'!$F$4:$F$503,210))=0,"",INDEX('Providers'!$F$4:$F$503,210))&amp;". ")&amp;IF(LEN(IF(LEN(INDEX('Providers'!$C$4:$C$503,210))=0,"",INDEX('Providers'!$C$4:$C$503,210)))=0,"","NPI: "&amp;IF(LEN(INDEX('Providers'!$C$4:$C$503,210))=0,"",INDEX('Providers'!$C$4:$C$503,210))&amp;". ")&amp;IF(LEN(IF(LEN(INDEX('Providers'!$D$4:$D$503,210))=0,"",INDEX('Providers'!$D$4:$D$503,210)))=0,"","Specialty: "&amp;IF(LEN(INDEX('Providers'!$D$4:$D$503,210))=0,"",INDEX('Providers'!$D$4:$D$503,210))&amp;". ")&amp;IF(LEN(IF(LEN(INDEX('Providers'!$AK$4:$AK$503,210))=0,"",INDEX('Providers'!$AK$4:$AK$503,210)))=0,"",IF(LEN(INDEX('Providers'!$AK$4:$AK$503,210))=0,"",INDEX('Providers'!$AK$4:$AK$503,210))))</f>
        <v/>
      </c>
      <c r="J213">
        <f>IF(LEN(INDEX('Providers'!$AJ$4:$AJ$503,210))=0,"",INDEX('Providers'!$AJ$4:$AJ$503,210))</f>
        <v/>
      </c>
      <c r="K213">
        <f>IF(LEN(INDEX('Providers'!$AI$4:$AI$503,210))=0,"",INDEX('Providers'!$AI$4:$AI$503,210))</f>
        <v/>
      </c>
    </row>
    <row r="214">
      <c r="A214">
        <f>IF(AND(LEN('Providers'!A214)&gt;0,ISNUMBER('Providers'!G214)),1,0)</f>
        <v/>
      </c>
      <c r="B214">
        <f>B213+A214</f>
        <v/>
      </c>
      <c r="C214">
        <f>IF(211&gt;$B$4503,"",MATCH(211-0.5,$B$3:$B$4503,1))</f>
        <v/>
      </c>
      <c r="D214">
        <f>"State license ("&amp;IF(LEN(INDEX('Providers'!$E$4:$E$503,211))=0,"",INDEX('Providers'!$E$4:$E$503,211))&amp;") – "&amp;IF(LEN(INDEX('Providers'!$A$4:$A$503,211))=0,"",INDEX('Providers'!$A$4:$A$503,211))</f>
        <v/>
      </c>
      <c r="E214">
        <f>IF(ISNUMBER(INDEX('Providers'!$G$4:$G$503,211)),TEXT(INDEX('Providers'!$G$4:$G$503,211),"yyyy-mm-dd"),"")</f>
        <v/>
      </c>
      <c r="F214">
        <f>"License"</f>
        <v/>
      </c>
      <c r="G214">
        <f>""</f>
        <v/>
      </c>
      <c r="H214">
        <f>"High"</f>
        <v/>
      </c>
      <c r="I214">
        <f>TRIM(IF(LEN(IF(LEN(INDEX('Providers'!$F$4:$F$503,211))=0,"",INDEX('Providers'!$F$4:$F$503,211)))=0,"","License no.: "&amp;IF(LEN(INDEX('Providers'!$F$4:$F$503,211))=0,"",INDEX('Providers'!$F$4:$F$503,211))&amp;". ")&amp;IF(LEN(IF(LEN(INDEX('Providers'!$C$4:$C$503,211))=0,"",INDEX('Providers'!$C$4:$C$503,211)))=0,"","NPI: "&amp;IF(LEN(INDEX('Providers'!$C$4:$C$503,211))=0,"",INDEX('Providers'!$C$4:$C$503,211))&amp;". ")&amp;IF(LEN(IF(LEN(INDEX('Providers'!$D$4:$D$503,211))=0,"",INDEX('Providers'!$D$4:$D$503,211)))=0,"","Specialty: "&amp;IF(LEN(INDEX('Providers'!$D$4:$D$503,211))=0,"",INDEX('Providers'!$D$4:$D$503,211))&amp;". ")&amp;IF(LEN(IF(LEN(INDEX('Providers'!$AK$4:$AK$503,211))=0,"",INDEX('Providers'!$AK$4:$AK$503,211)))=0,"",IF(LEN(INDEX('Providers'!$AK$4:$AK$503,211))=0,"",INDEX('Providers'!$AK$4:$AK$503,211))))</f>
        <v/>
      </c>
      <c r="J214">
        <f>IF(LEN(INDEX('Providers'!$AJ$4:$AJ$503,211))=0,"",INDEX('Providers'!$AJ$4:$AJ$503,211))</f>
        <v/>
      </c>
      <c r="K214">
        <f>IF(LEN(INDEX('Providers'!$AI$4:$AI$503,211))=0,"",INDEX('Providers'!$AI$4:$AI$503,211))</f>
        <v/>
      </c>
    </row>
    <row r="215">
      <c r="A215">
        <f>IF(AND(LEN('Providers'!A215)&gt;0,ISNUMBER('Providers'!G215)),1,0)</f>
        <v/>
      </c>
      <c r="B215">
        <f>B214+A215</f>
        <v/>
      </c>
      <c r="C215">
        <f>IF(212&gt;$B$4503,"",MATCH(212-0.5,$B$3:$B$4503,1))</f>
        <v/>
      </c>
      <c r="D215">
        <f>"State license ("&amp;IF(LEN(INDEX('Providers'!$E$4:$E$503,212))=0,"",INDEX('Providers'!$E$4:$E$503,212))&amp;") – "&amp;IF(LEN(INDEX('Providers'!$A$4:$A$503,212))=0,"",INDEX('Providers'!$A$4:$A$503,212))</f>
        <v/>
      </c>
      <c r="E215">
        <f>IF(ISNUMBER(INDEX('Providers'!$G$4:$G$503,212)),TEXT(INDEX('Providers'!$G$4:$G$503,212),"yyyy-mm-dd"),"")</f>
        <v/>
      </c>
      <c r="F215">
        <f>"License"</f>
        <v/>
      </c>
      <c r="G215">
        <f>""</f>
        <v/>
      </c>
      <c r="H215">
        <f>"High"</f>
        <v/>
      </c>
      <c r="I215">
        <f>TRIM(IF(LEN(IF(LEN(INDEX('Providers'!$F$4:$F$503,212))=0,"",INDEX('Providers'!$F$4:$F$503,212)))=0,"","License no.: "&amp;IF(LEN(INDEX('Providers'!$F$4:$F$503,212))=0,"",INDEX('Providers'!$F$4:$F$503,212))&amp;". ")&amp;IF(LEN(IF(LEN(INDEX('Providers'!$C$4:$C$503,212))=0,"",INDEX('Providers'!$C$4:$C$503,212)))=0,"","NPI: "&amp;IF(LEN(INDEX('Providers'!$C$4:$C$503,212))=0,"",INDEX('Providers'!$C$4:$C$503,212))&amp;". ")&amp;IF(LEN(IF(LEN(INDEX('Providers'!$D$4:$D$503,212))=0,"",INDEX('Providers'!$D$4:$D$503,212)))=0,"","Specialty: "&amp;IF(LEN(INDEX('Providers'!$D$4:$D$503,212))=0,"",INDEX('Providers'!$D$4:$D$503,212))&amp;". ")&amp;IF(LEN(IF(LEN(INDEX('Providers'!$AK$4:$AK$503,212))=0,"",INDEX('Providers'!$AK$4:$AK$503,212)))=0,"",IF(LEN(INDEX('Providers'!$AK$4:$AK$503,212))=0,"",INDEX('Providers'!$AK$4:$AK$503,212))))</f>
        <v/>
      </c>
      <c r="J215">
        <f>IF(LEN(INDEX('Providers'!$AJ$4:$AJ$503,212))=0,"",INDEX('Providers'!$AJ$4:$AJ$503,212))</f>
        <v/>
      </c>
      <c r="K215">
        <f>IF(LEN(INDEX('Providers'!$AI$4:$AI$503,212))=0,"",INDEX('Providers'!$AI$4:$AI$503,212))</f>
        <v/>
      </c>
    </row>
    <row r="216">
      <c r="A216">
        <f>IF(AND(LEN('Providers'!A216)&gt;0,ISNUMBER('Providers'!G216)),1,0)</f>
        <v/>
      </c>
      <c r="B216">
        <f>B215+A216</f>
        <v/>
      </c>
      <c r="C216">
        <f>IF(213&gt;$B$4503,"",MATCH(213-0.5,$B$3:$B$4503,1))</f>
        <v/>
      </c>
      <c r="D216">
        <f>"State license ("&amp;IF(LEN(INDEX('Providers'!$E$4:$E$503,213))=0,"",INDEX('Providers'!$E$4:$E$503,213))&amp;") – "&amp;IF(LEN(INDEX('Providers'!$A$4:$A$503,213))=0,"",INDEX('Providers'!$A$4:$A$503,213))</f>
        <v/>
      </c>
      <c r="E216">
        <f>IF(ISNUMBER(INDEX('Providers'!$G$4:$G$503,213)),TEXT(INDEX('Providers'!$G$4:$G$503,213),"yyyy-mm-dd"),"")</f>
        <v/>
      </c>
      <c r="F216">
        <f>"License"</f>
        <v/>
      </c>
      <c r="G216">
        <f>""</f>
        <v/>
      </c>
      <c r="H216">
        <f>"High"</f>
        <v/>
      </c>
      <c r="I216">
        <f>TRIM(IF(LEN(IF(LEN(INDEX('Providers'!$F$4:$F$503,213))=0,"",INDEX('Providers'!$F$4:$F$503,213)))=0,"","License no.: "&amp;IF(LEN(INDEX('Providers'!$F$4:$F$503,213))=0,"",INDEX('Providers'!$F$4:$F$503,213))&amp;". ")&amp;IF(LEN(IF(LEN(INDEX('Providers'!$C$4:$C$503,213))=0,"",INDEX('Providers'!$C$4:$C$503,213)))=0,"","NPI: "&amp;IF(LEN(INDEX('Providers'!$C$4:$C$503,213))=0,"",INDEX('Providers'!$C$4:$C$503,213))&amp;". ")&amp;IF(LEN(IF(LEN(INDEX('Providers'!$D$4:$D$503,213))=0,"",INDEX('Providers'!$D$4:$D$503,213)))=0,"","Specialty: "&amp;IF(LEN(INDEX('Providers'!$D$4:$D$503,213))=0,"",INDEX('Providers'!$D$4:$D$503,213))&amp;". ")&amp;IF(LEN(IF(LEN(INDEX('Providers'!$AK$4:$AK$503,213))=0,"",INDEX('Providers'!$AK$4:$AK$503,213)))=0,"",IF(LEN(INDEX('Providers'!$AK$4:$AK$503,213))=0,"",INDEX('Providers'!$AK$4:$AK$503,213))))</f>
        <v/>
      </c>
      <c r="J216">
        <f>IF(LEN(INDEX('Providers'!$AJ$4:$AJ$503,213))=0,"",INDEX('Providers'!$AJ$4:$AJ$503,213))</f>
        <v/>
      </c>
      <c r="K216">
        <f>IF(LEN(INDEX('Providers'!$AI$4:$AI$503,213))=0,"",INDEX('Providers'!$AI$4:$AI$503,213))</f>
        <v/>
      </c>
    </row>
    <row r="217">
      <c r="A217">
        <f>IF(AND(LEN('Providers'!A217)&gt;0,ISNUMBER('Providers'!G217)),1,0)</f>
        <v/>
      </c>
      <c r="B217">
        <f>B216+A217</f>
        <v/>
      </c>
      <c r="C217">
        <f>IF(214&gt;$B$4503,"",MATCH(214-0.5,$B$3:$B$4503,1))</f>
        <v/>
      </c>
      <c r="D217">
        <f>"State license ("&amp;IF(LEN(INDEX('Providers'!$E$4:$E$503,214))=0,"",INDEX('Providers'!$E$4:$E$503,214))&amp;") – "&amp;IF(LEN(INDEX('Providers'!$A$4:$A$503,214))=0,"",INDEX('Providers'!$A$4:$A$503,214))</f>
        <v/>
      </c>
      <c r="E217">
        <f>IF(ISNUMBER(INDEX('Providers'!$G$4:$G$503,214)),TEXT(INDEX('Providers'!$G$4:$G$503,214),"yyyy-mm-dd"),"")</f>
        <v/>
      </c>
      <c r="F217">
        <f>"License"</f>
        <v/>
      </c>
      <c r="G217">
        <f>""</f>
        <v/>
      </c>
      <c r="H217">
        <f>"High"</f>
        <v/>
      </c>
      <c r="I217">
        <f>TRIM(IF(LEN(IF(LEN(INDEX('Providers'!$F$4:$F$503,214))=0,"",INDEX('Providers'!$F$4:$F$503,214)))=0,"","License no.: "&amp;IF(LEN(INDEX('Providers'!$F$4:$F$503,214))=0,"",INDEX('Providers'!$F$4:$F$503,214))&amp;". ")&amp;IF(LEN(IF(LEN(INDEX('Providers'!$C$4:$C$503,214))=0,"",INDEX('Providers'!$C$4:$C$503,214)))=0,"","NPI: "&amp;IF(LEN(INDEX('Providers'!$C$4:$C$503,214))=0,"",INDEX('Providers'!$C$4:$C$503,214))&amp;". ")&amp;IF(LEN(IF(LEN(INDEX('Providers'!$D$4:$D$503,214))=0,"",INDEX('Providers'!$D$4:$D$503,214)))=0,"","Specialty: "&amp;IF(LEN(INDEX('Providers'!$D$4:$D$503,214))=0,"",INDEX('Providers'!$D$4:$D$503,214))&amp;". ")&amp;IF(LEN(IF(LEN(INDEX('Providers'!$AK$4:$AK$503,214))=0,"",INDEX('Providers'!$AK$4:$AK$503,214)))=0,"",IF(LEN(INDEX('Providers'!$AK$4:$AK$503,214))=0,"",INDEX('Providers'!$AK$4:$AK$503,214))))</f>
        <v/>
      </c>
      <c r="J217">
        <f>IF(LEN(INDEX('Providers'!$AJ$4:$AJ$503,214))=0,"",INDEX('Providers'!$AJ$4:$AJ$503,214))</f>
        <v/>
      </c>
      <c r="K217">
        <f>IF(LEN(INDEX('Providers'!$AI$4:$AI$503,214))=0,"",INDEX('Providers'!$AI$4:$AI$503,214))</f>
        <v/>
      </c>
    </row>
    <row r="218">
      <c r="A218">
        <f>IF(AND(LEN('Providers'!A218)&gt;0,ISNUMBER('Providers'!G218)),1,0)</f>
        <v/>
      </c>
      <c r="B218">
        <f>B217+A218</f>
        <v/>
      </c>
      <c r="C218">
        <f>IF(215&gt;$B$4503,"",MATCH(215-0.5,$B$3:$B$4503,1))</f>
        <v/>
      </c>
      <c r="D218">
        <f>"State license ("&amp;IF(LEN(INDEX('Providers'!$E$4:$E$503,215))=0,"",INDEX('Providers'!$E$4:$E$503,215))&amp;") – "&amp;IF(LEN(INDEX('Providers'!$A$4:$A$503,215))=0,"",INDEX('Providers'!$A$4:$A$503,215))</f>
        <v/>
      </c>
      <c r="E218">
        <f>IF(ISNUMBER(INDEX('Providers'!$G$4:$G$503,215)),TEXT(INDEX('Providers'!$G$4:$G$503,215),"yyyy-mm-dd"),"")</f>
        <v/>
      </c>
      <c r="F218">
        <f>"License"</f>
        <v/>
      </c>
      <c r="G218">
        <f>""</f>
        <v/>
      </c>
      <c r="H218">
        <f>"High"</f>
        <v/>
      </c>
      <c r="I218">
        <f>TRIM(IF(LEN(IF(LEN(INDEX('Providers'!$F$4:$F$503,215))=0,"",INDEX('Providers'!$F$4:$F$503,215)))=0,"","License no.: "&amp;IF(LEN(INDEX('Providers'!$F$4:$F$503,215))=0,"",INDEX('Providers'!$F$4:$F$503,215))&amp;". ")&amp;IF(LEN(IF(LEN(INDEX('Providers'!$C$4:$C$503,215))=0,"",INDEX('Providers'!$C$4:$C$503,215)))=0,"","NPI: "&amp;IF(LEN(INDEX('Providers'!$C$4:$C$503,215))=0,"",INDEX('Providers'!$C$4:$C$503,215))&amp;". ")&amp;IF(LEN(IF(LEN(INDEX('Providers'!$D$4:$D$503,215))=0,"",INDEX('Providers'!$D$4:$D$503,215)))=0,"","Specialty: "&amp;IF(LEN(INDEX('Providers'!$D$4:$D$503,215))=0,"",INDEX('Providers'!$D$4:$D$503,215))&amp;". ")&amp;IF(LEN(IF(LEN(INDEX('Providers'!$AK$4:$AK$503,215))=0,"",INDEX('Providers'!$AK$4:$AK$503,215)))=0,"",IF(LEN(INDEX('Providers'!$AK$4:$AK$503,215))=0,"",INDEX('Providers'!$AK$4:$AK$503,215))))</f>
        <v/>
      </c>
      <c r="J218">
        <f>IF(LEN(INDEX('Providers'!$AJ$4:$AJ$503,215))=0,"",INDEX('Providers'!$AJ$4:$AJ$503,215))</f>
        <v/>
      </c>
      <c r="K218">
        <f>IF(LEN(INDEX('Providers'!$AI$4:$AI$503,215))=0,"",INDEX('Providers'!$AI$4:$AI$503,215))</f>
        <v/>
      </c>
    </row>
    <row r="219">
      <c r="A219">
        <f>IF(AND(LEN('Providers'!A219)&gt;0,ISNUMBER('Providers'!G219)),1,0)</f>
        <v/>
      </c>
      <c r="B219">
        <f>B218+A219</f>
        <v/>
      </c>
      <c r="C219">
        <f>IF(216&gt;$B$4503,"",MATCH(216-0.5,$B$3:$B$4503,1))</f>
        <v/>
      </c>
      <c r="D219">
        <f>"State license ("&amp;IF(LEN(INDEX('Providers'!$E$4:$E$503,216))=0,"",INDEX('Providers'!$E$4:$E$503,216))&amp;") – "&amp;IF(LEN(INDEX('Providers'!$A$4:$A$503,216))=0,"",INDEX('Providers'!$A$4:$A$503,216))</f>
        <v/>
      </c>
      <c r="E219">
        <f>IF(ISNUMBER(INDEX('Providers'!$G$4:$G$503,216)),TEXT(INDEX('Providers'!$G$4:$G$503,216),"yyyy-mm-dd"),"")</f>
        <v/>
      </c>
      <c r="F219">
        <f>"License"</f>
        <v/>
      </c>
      <c r="G219">
        <f>""</f>
        <v/>
      </c>
      <c r="H219">
        <f>"High"</f>
        <v/>
      </c>
      <c r="I219">
        <f>TRIM(IF(LEN(IF(LEN(INDEX('Providers'!$F$4:$F$503,216))=0,"",INDEX('Providers'!$F$4:$F$503,216)))=0,"","License no.: "&amp;IF(LEN(INDEX('Providers'!$F$4:$F$503,216))=0,"",INDEX('Providers'!$F$4:$F$503,216))&amp;". ")&amp;IF(LEN(IF(LEN(INDEX('Providers'!$C$4:$C$503,216))=0,"",INDEX('Providers'!$C$4:$C$503,216)))=0,"","NPI: "&amp;IF(LEN(INDEX('Providers'!$C$4:$C$503,216))=0,"",INDEX('Providers'!$C$4:$C$503,216))&amp;". ")&amp;IF(LEN(IF(LEN(INDEX('Providers'!$D$4:$D$503,216))=0,"",INDEX('Providers'!$D$4:$D$503,216)))=0,"","Specialty: "&amp;IF(LEN(INDEX('Providers'!$D$4:$D$503,216))=0,"",INDEX('Providers'!$D$4:$D$503,216))&amp;". ")&amp;IF(LEN(IF(LEN(INDEX('Providers'!$AK$4:$AK$503,216))=0,"",INDEX('Providers'!$AK$4:$AK$503,216)))=0,"",IF(LEN(INDEX('Providers'!$AK$4:$AK$503,216))=0,"",INDEX('Providers'!$AK$4:$AK$503,216))))</f>
        <v/>
      </c>
      <c r="J219">
        <f>IF(LEN(INDEX('Providers'!$AJ$4:$AJ$503,216))=0,"",INDEX('Providers'!$AJ$4:$AJ$503,216))</f>
        <v/>
      </c>
      <c r="K219">
        <f>IF(LEN(INDEX('Providers'!$AI$4:$AI$503,216))=0,"",INDEX('Providers'!$AI$4:$AI$503,216))</f>
        <v/>
      </c>
    </row>
    <row r="220">
      <c r="A220">
        <f>IF(AND(LEN('Providers'!A220)&gt;0,ISNUMBER('Providers'!G220)),1,0)</f>
        <v/>
      </c>
      <c r="B220">
        <f>B219+A220</f>
        <v/>
      </c>
      <c r="C220">
        <f>IF(217&gt;$B$4503,"",MATCH(217-0.5,$B$3:$B$4503,1))</f>
        <v/>
      </c>
      <c r="D220">
        <f>"State license ("&amp;IF(LEN(INDEX('Providers'!$E$4:$E$503,217))=0,"",INDEX('Providers'!$E$4:$E$503,217))&amp;") – "&amp;IF(LEN(INDEX('Providers'!$A$4:$A$503,217))=0,"",INDEX('Providers'!$A$4:$A$503,217))</f>
        <v/>
      </c>
      <c r="E220">
        <f>IF(ISNUMBER(INDEX('Providers'!$G$4:$G$503,217)),TEXT(INDEX('Providers'!$G$4:$G$503,217),"yyyy-mm-dd"),"")</f>
        <v/>
      </c>
      <c r="F220">
        <f>"License"</f>
        <v/>
      </c>
      <c r="G220">
        <f>""</f>
        <v/>
      </c>
      <c r="H220">
        <f>"High"</f>
        <v/>
      </c>
      <c r="I220">
        <f>TRIM(IF(LEN(IF(LEN(INDEX('Providers'!$F$4:$F$503,217))=0,"",INDEX('Providers'!$F$4:$F$503,217)))=0,"","License no.: "&amp;IF(LEN(INDEX('Providers'!$F$4:$F$503,217))=0,"",INDEX('Providers'!$F$4:$F$503,217))&amp;". ")&amp;IF(LEN(IF(LEN(INDEX('Providers'!$C$4:$C$503,217))=0,"",INDEX('Providers'!$C$4:$C$503,217)))=0,"","NPI: "&amp;IF(LEN(INDEX('Providers'!$C$4:$C$503,217))=0,"",INDEX('Providers'!$C$4:$C$503,217))&amp;". ")&amp;IF(LEN(IF(LEN(INDEX('Providers'!$D$4:$D$503,217))=0,"",INDEX('Providers'!$D$4:$D$503,217)))=0,"","Specialty: "&amp;IF(LEN(INDEX('Providers'!$D$4:$D$503,217))=0,"",INDEX('Providers'!$D$4:$D$503,217))&amp;". ")&amp;IF(LEN(IF(LEN(INDEX('Providers'!$AK$4:$AK$503,217))=0,"",INDEX('Providers'!$AK$4:$AK$503,217)))=0,"",IF(LEN(INDEX('Providers'!$AK$4:$AK$503,217))=0,"",INDEX('Providers'!$AK$4:$AK$503,217))))</f>
        <v/>
      </c>
      <c r="J220">
        <f>IF(LEN(INDEX('Providers'!$AJ$4:$AJ$503,217))=0,"",INDEX('Providers'!$AJ$4:$AJ$503,217))</f>
        <v/>
      </c>
      <c r="K220">
        <f>IF(LEN(INDEX('Providers'!$AI$4:$AI$503,217))=0,"",INDEX('Providers'!$AI$4:$AI$503,217))</f>
        <v/>
      </c>
    </row>
    <row r="221">
      <c r="A221">
        <f>IF(AND(LEN('Providers'!A221)&gt;0,ISNUMBER('Providers'!G221)),1,0)</f>
        <v/>
      </c>
      <c r="B221">
        <f>B220+A221</f>
        <v/>
      </c>
      <c r="C221">
        <f>IF(218&gt;$B$4503,"",MATCH(218-0.5,$B$3:$B$4503,1))</f>
        <v/>
      </c>
      <c r="D221">
        <f>"State license ("&amp;IF(LEN(INDEX('Providers'!$E$4:$E$503,218))=0,"",INDEX('Providers'!$E$4:$E$503,218))&amp;") – "&amp;IF(LEN(INDEX('Providers'!$A$4:$A$503,218))=0,"",INDEX('Providers'!$A$4:$A$503,218))</f>
        <v/>
      </c>
      <c r="E221">
        <f>IF(ISNUMBER(INDEX('Providers'!$G$4:$G$503,218)),TEXT(INDEX('Providers'!$G$4:$G$503,218),"yyyy-mm-dd"),"")</f>
        <v/>
      </c>
      <c r="F221">
        <f>"License"</f>
        <v/>
      </c>
      <c r="G221">
        <f>""</f>
        <v/>
      </c>
      <c r="H221">
        <f>"High"</f>
        <v/>
      </c>
      <c r="I221">
        <f>TRIM(IF(LEN(IF(LEN(INDEX('Providers'!$F$4:$F$503,218))=0,"",INDEX('Providers'!$F$4:$F$503,218)))=0,"","License no.: "&amp;IF(LEN(INDEX('Providers'!$F$4:$F$503,218))=0,"",INDEX('Providers'!$F$4:$F$503,218))&amp;". ")&amp;IF(LEN(IF(LEN(INDEX('Providers'!$C$4:$C$503,218))=0,"",INDEX('Providers'!$C$4:$C$503,218)))=0,"","NPI: "&amp;IF(LEN(INDEX('Providers'!$C$4:$C$503,218))=0,"",INDEX('Providers'!$C$4:$C$503,218))&amp;". ")&amp;IF(LEN(IF(LEN(INDEX('Providers'!$D$4:$D$503,218))=0,"",INDEX('Providers'!$D$4:$D$503,218)))=0,"","Specialty: "&amp;IF(LEN(INDEX('Providers'!$D$4:$D$503,218))=0,"",INDEX('Providers'!$D$4:$D$503,218))&amp;". ")&amp;IF(LEN(IF(LEN(INDEX('Providers'!$AK$4:$AK$503,218))=0,"",INDEX('Providers'!$AK$4:$AK$503,218)))=0,"",IF(LEN(INDEX('Providers'!$AK$4:$AK$503,218))=0,"",INDEX('Providers'!$AK$4:$AK$503,218))))</f>
        <v/>
      </c>
      <c r="J221">
        <f>IF(LEN(INDEX('Providers'!$AJ$4:$AJ$503,218))=0,"",INDEX('Providers'!$AJ$4:$AJ$503,218))</f>
        <v/>
      </c>
      <c r="K221">
        <f>IF(LEN(INDEX('Providers'!$AI$4:$AI$503,218))=0,"",INDEX('Providers'!$AI$4:$AI$503,218))</f>
        <v/>
      </c>
    </row>
    <row r="222">
      <c r="A222">
        <f>IF(AND(LEN('Providers'!A222)&gt;0,ISNUMBER('Providers'!G222)),1,0)</f>
        <v/>
      </c>
      <c r="B222">
        <f>B221+A222</f>
        <v/>
      </c>
      <c r="C222">
        <f>IF(219&gt;$B$4503,"",MATCH(219-0.5,$B$3:$B$4503,1))</f>
        <v/>
      </c>
      <c r="D222">
        <f>"State license ("&amp;IF(LEN(INDEX('Providers'!$E$4:$E$503,219))=0,"",INDEX('Providers'!$E$4:$E$503,219))&amp;") – "&amp;IF(LEN(INDEX('Providers'!$A$4:$A$503,219))=0,"",INDEX('Providers'!$A$4:$A$503,219))</f>
        <v/>
      </c>
      <c r="E222">
        <f>IF(ISNUMBER(INDEX('Providers'!$G$4:$G$503,219)),TEXT(INDEX('Providers'!$G$4:$G$503,219),"yyyy-mm-dd"),"")</f>
        <v/>
      </c>
      <c r="F222">
        <f>"License"</f>
        <v/>
      </c>
      <c r="G222">
        <f>""</f>
        <v/>
      </c>
      <c r="H222">
        <f>"High"</f>
        <v/>
      </c>
      <c r="I222">
        <f>TRIM(IF(LEN(IF(LEN(INDEX('Providers'!$F$4:$F$503,219))=0,"",INDEX('Providers'!$F$4:$F$503,219)))=0,"","License no.: "&amp;IF(LEN(INDEX('Providers'!$F$4:$F$503,219))=0,"",INDEX('Providers'!$F$4:$F$503,219))&amp;". ")&amp;IF(LEN(IF(LEN(INDEX('Providers'!$C$4:$C$503,219))=0,"",INDEX('Providers'!$C$4:$C$503,219)))=0,"","NPI: "&amp;IF(LEN(INDEX('Providers'!$C$4:$C$503,219))=0,"",INDEX('Providers'!$C$4:$C$503,219))&amp;". ")&amp;IF(LEN(IF(LEN(INDEX('Providers'!$D$4:$D$503,219))=0,"",INDEX('Providers'!$D$4:$D$503,219)))=0,"","Specialty: "&amp;IF(LEN(INDEX('Providers'!$D$4:$D$503,219))=0,"",INDEX('Providers'!$D$4:$D$503,219))&amp;". ")&amp;IF(LEN(IF(LEN(INDEX('Providers'!$AK$4:$AK$503,219))=0,"",INDEX('Providers'!$AK$4:$AK$503,219)))=0,"",IF(LEN(INDEX('Providers'!$AK$4:$AK$503,219))=0,"",INDEX('Providers'!$AK$4:$AK$503,219))))</f>
        <v/>
      </c>
      <c r="J222">
        <f>IF(LEN(INDEX('Providers'!$AJ$4:$AJ$503,219))=0,"",INDEX('Providers'!$AJ$4:$AJ$503,219))</f>
        <v/>
      </c>
      <c r="K222">
        <f>IF(LEN(INDEX('Providers'!$AI$4:$AI$503,219))=0,"",INDEX('Providers'!$AI$4:$AI$503,219))</f>
        <v/>
      </c>
    </row>
    <row r="223">
      <c r="A223">
        <f>IF(AND(LEN('Providers'!A223)&gt;0,ISNUMBER('Providers'!G223)),1,0)</f>
        <v/>
      </c>
      <c r="B223">
        <f>B222+A223</f>
        <v/>
      </c>
      <c r="C223">
        <f>IF(220&gt;$B$4503,"",MATCH(220-0.5,$B$3:$B$4503,1))</f>
        <v/>
      </c>
      <c r="D223">
        <f>"State license ("&amp;IF(LEN(INDEX('Providers'!$E$4:$E$503,220))=0,"",INDEX('Providers'!$E$4:$E$503,220))&amp;") – "&amp;IF(LEN(INDEX('Providers'!$A$4:$A$503,220))=0,"",INDEX('Providers'!$A$4:$A$503,220))</f>
        <v/>
      </c>
      <c r="E223">
        <f>IF(ISNUMBER(INDEX('Providers'!$G$4:$G$503,220)),TEXT(INDEX('Providers'!$G$4:$G$503,220),"yyyy-mm-dd"),"")</f>
        <v/>
      </c>
      <c r="F223">
        <f>"License"</f>
        <v/>
      </c>
      <c r="G223">
        <f>""</f>
        <v/>
      </c>
      <c r="H223">
        <f>"High"</f>
        <v/>
      </c>
      <c r="I223">
        <f>TRIM(IF(LEN(IF(LEN(INDEX('Providers'!$F$4:$F$503,220))=0,"",INDEX('Providers'!$F$4:$F$503,220)))=0,"","License no.: "&amp;IF(LEN(INDEX('Providers'!$F$4:$F$503,220))=0,"",INDEX('Providers'!$F$4:$F$503,220))&amp;". ")&amp;IF(LEN(IF(LEN(INDEX('Providers'!$C$4:$C$503,220))=0,"",INDEX('Providers'!$C$4:$C$503,220)))=0,"","NPI: "&amp;IF(LEN(INDEX('Providers'!$C$4:$C$503,220))=0,"",INDEX('Providers'!$C$4:$C$503,220))&amp;". ")&amp;IF(LEN(IF(LEN(INDEX('Providers'!$D$4:$D$503,220))=0,"",INDEX('Providers'!$D$4:$D$503,220)))=0,"","Specialty: "&amp;IF(LEN(INDEX('Providers'!$D$4:$D$503,220))=0,"",INDEX('Providers'!$D$4:$D$503,220))&amp;". ")&amp;IF(LEN(IF(LEN(INDEX('Providers'!$AK$4:$AK$503,220))=0,"",INDEX('Providers'!$AK$4:$AK$503,220)))=0,"",IF(LEN(INDEX('Providers'!$AK$4:$AK$503,220))=0,"",INDEX('Providers'!$AK$4:$AK$503,220))))</f>
        <v/>
      </c>
      <c r="J223">
        <f>IF(LEN(INDEX('Providers'!$AJ$4:$AJ$503,220))=0,"",INDEX('Providers'!$AJ$4:$AJ$503,220))</f>
        <v/>
      </c>
      <c r="K223">
        <f>IF(LEN(INDEX('Providers'!$AI$4:$AI$503,220))=0,"",INDEX('Providers'!$AI$4:$AI$503,220))</f>
        <v/>
      </c>
    </row>
    <row r="224">
      <c r="A224">
        <f>IF(AND(LEN('Providers'!A224)&gt;0,ISNUMBER('Providers'!G224)),1,0)</f>
        <v/>
      </c>
      <c r="B224">
        <f>B223+A224</f>
        <v/>
      </c>
      <c r="C224">
        <f>IF(221&gt;$B$4503,"",MATCH(221-0.5,$B$3:$B$4503,1))</f>
        <v/>
      </c>
      <c r="D224">
        <f>"State license ("&amp;IF(LEN(INDEX('Providers'!$E$4:$E$503,221))=0,"",INDEX('Providers'!$E$4:$E$503,221))&amp;") – "&amp;IF(LEN(INDEX('Providers'!$A$4:$A$503,221))=0,"",INDEX('Providers'!$A$4:$A$503,221))</f>
        <v/>
      </c>
      <c r="E224">
        <f>IF(ISNUMBER(INDEX('Providers'!$G$4:$G$503,221)),TEXT(INDEX('Providers'!$G$4:$G$503,221),"yyyy-mm-dd"),"")</f>
        <v/>
      </c>
      <c r="F224">
        <f>"License"</f>
        <v/>
      </c>
      <c r="G224">
        <f>""</f>
        <v/>
      </c>
      <c r="H224">
        <f>"High"</f>
        <v/>
      </c>
      <c r="I224">
        <f>TRIM(IF(LEN(IF(LEN(INDEX('Providers'!$F$4:$F$503,221))=0,"",INDEX('Providers'!$F$4:$F$503,221)))=0,"","License no.: "&amp;IF(LEN(INDEX('Providers'!$F$4:$F$503,221))=0,"",INDEX('Providers'!$F$4:$F$503,221))&amp;". ")&amp;IF(LEN(IF(LEN(INDEX('Providers'!$C$4:$C$503,221))=0,"",INDEX('Providers'!$C$4:$C$503,221)))=0,"","NPI: "&amp;IF(LEN(INDEX('Providers'!$C$4:$C$503,221))=0,"",INDEX('Providers'!$C$4:$C$503,221))&amp;". ")&amp;IF(LEN(IF(LEN(INDEX('Providers'!$D$4:$D$503,221))=0,"",INDEX('Providers'!$D$4:$D$503,221)))=0,"","Specialty: "&amp;IF(LEN(INDEX('Providers'!$D$4:$D$503,221))=0,"",INDEX('Providers'!$D$4:$D$503,221))&amp;". ")&amp;IF(LEN(IF(LEN(INDEX('Providers'!$AK$4:$AK$503,221))=0,"",INDEX('Providers'!$AK$4:$AK$503,221)))=0,"",IF(LEN(INDEX('Providers'!$AK$4:$AK$503,221))=0,"",INDEX('Providers'!$AK$4:$AK$503,221))))</f>
        <v/>
      </c>
      <c r="J224">
        <f>IF(LEN(INDEX('Providers'!$AJ$4:$AJ$503,221))=0,"",INDEX('Providers'!$AJ$4:$AJ$503,221))</f>
        <v/>
      </c>
      <c r="K224">
        <f>IF(LEN(INDEX('Providers'!$AI$4:$AI$503,221))=0,"",INDEX('Providers'!$AI$4:$AI$503,221))</f>
        <v/>
      </c>
    </row>
    <row r="225">
      <c r="A225">
        <f>IF(AND(LEN('Providers'!A225)&gt;0,ISNUMBER('Providers'!G225)),1,0)</f>
        <v/>
      </c>
      <c r="B225">
        <f>B224+A225</f>
        <v/>
      </c>
      <c r="C225">
        <f>IF(222&gt;$B$4503,"",MATCH(222-0.5,$B$3:$B$4503,1))</f>
        <v/>
      </c>
      <c r="D225">
        <f>"State license ("&amp;IF(LEN(INDEX('Providers'!$E$4:$E$503,222))=0,"",INDEX('Providers'!$E$4:$E$503,222))&amp;") – "&amp;IF(LEN(INDEX('Providers'!$A$4:$A$503,222))=0,"",INDEX('Providers'!$A$4:$A$503,222))</f>
        <v/>
      </c>
      <c r="E225">
        <f>IF(ISNUMBER(INDEX('Providers'!$G$4:$G$503,222)),TEXT(INDEX('Providers'!$G$4:$G$503,222),"yyyy-mm-dd"),"")</f>
        <v/>
      </c>
      <c r="F225">
        <f>"License"</f>
        <v/>
      </c>
      <c r="G225">
        <f>""</f>
        <v/>
      </c>
      <c r="H225">
        <f>"High"</f>
        <v/>
      </c>
      <c r="I225">
        <f>TRIM(IF(LEN(IF(LEN(INDEX('Providers'!$F$4:$F$503,222))=0,"",INDEX('Providers'!$F$4:$F$503,222)))=0,"","License no.: "&amp;IF(LEN(INDEX('Providers'!$F$4:$F$503,222))=0,"",INDEX('Providers'!$F$4:$F$503,222))&amp;". ")&amp;IF(LEN(IF(LEN(INDEX('Providers'!$C$4:$C$503,222))=0,"",INDEX('Providers'!$C$4:$C$503,222)))=0,"","NPI: "&amp;IF(LEN(INDEX('Providers'!$C$4:$C$503,222))=0,"",INDEX('Providers'!$C$4:$C$503,222))&amp;". ")&amp;IF(LEN(IF(LEN(INDEX('Providers'!$D$4:$D$503,222))=0,"",INDEX('Providers'!$D$4:$D$503,222)))=0,"","Specialty: "&amp;IF(LEN(INDEX('Providers'!$D$4:$D$503,222))=0,"",INDEX('Providers'!$D$4:$D$503,222))&amp;". ")&amp;IF(LEN(IF(LEN(INDEX('Providers'!$AK$4:$AK$503,222))=0,"",INDEX('Providers'!$AK$4:$AK$503,222)))=0,"",IF(LEN(INDEX('Providers'!$AK$4:$AK$503,222))=0,"",INDEX('Providers'!$AK$4:$AK$503,222))))</f>
        <v/>
      </c>
      <c r="J225">
        <f>IF(LEN(INDEX('Providers'!$AJ$4:$AJ$503,222))=0,"",INDEX('Providers'!$AJ$4:$AJ$503,222))</f>
        <v/>
      </c>
      <c r="K225">
        <f>IF(LEN(INDEX('Providers'!$AI$4:$AI$503,222))=0,"",INDEX('Providers'!$AI$4:$AI$503,222))</f>
        <v/>
      </c>
    </row>
    <row r="226">
      <c r="A226">
        <f>IF(AND(LEN('Providers'!A226)&gt;0,ISNUMBER('Providers'!G226)),1,0)</f>
        <v/>
      </c>
      <c r="B226">
        <f>B225+A226</f>
        <v/>
      </c>
      <c r="C226">
        <f>IF(223&gt;$B$4503,"",MATCH(223-0.5,$B$3:$B$4503,1))</f>
        <v/>
      </c>
      <c r="D226">
        <f>"State license ("&amp;IF(LEN(INDEX('Providers'!$E$4:$E$503,223))=0,"",INDEX('Providers'!$E$4:$E$503,223))&amp;") – "&amp;IF(LEN(INDEX('Providers'!$A$4:$A$503,223))=0,"",INDEX('Providers'!$A$4:$A$503,223))</f>
        <v/>
      </c>
      <c r="E226">
        <f>IF(ISNUMBER(INDEX('Providers'!$G$4:$G$503,223)),TEXT(INDEX('Providers'!$G$4:$G$503,223),"yyyy-mm-dd"),"")</f>
        <v/>
      </c>
      <c r="F226">
        <f>"License"</f>
        <v/>
      </c>
      <c r="G226">
        <f>""</f>
        <v/>
      </c>
      <c r="H226">
        <f>"High"</f>
        <v/>
      </c>
      <c r="I226">
        <f>TRIM(IF(LEN(IF(LEN(INDEX('Providers'!$F$4:$F$503,223))=0,"",INDEX('Providers'!$F$4:$F$503,223)))=0,"","License no.: "&amp;IF(LEN(INDEX('Providers'!$F$4:$F$503,223))=0,"",INDEX('Providers'!$F$4:$F$503,223))&amp;". ")&amp;IF(LEN(IF(LEN(INDEX('Providers'!$C$4:$C$503,223))=0,"",INDEX('Providers'!$C$4:$C$503,223)))=0,"","NPI: "&amp;IF(LEN(INDEX('Providers'!$C$4:$C$503,223))=0,"",INDEX('Providers'!$C$4:$C$503,223))&amp;". ")&amp;IF(LEN(IF(LEN(INDEX('Providers'!$D$4:$D$503,223))=0,"",INDEX('Providers'!$D$4:$D$503,223)))=0,"","Specialty: "&amp;IF(LEN(INDEX('Providers'!$D$4:$D$503,223))=0,"",INDEX('Providers'!$D$4:$D$503,223))&amp;". ")&amp;IF(LEN(IF(LEN(INDEX('Providers'!$AK$4:$AK$503,223))=0,"",INDEX('Providers'!$AK$4:$AK$503,223)))=0,"",IF(LEN(INDEX('Providers'!$AK$4:$AK$503,223))=0,"",INDEX('Providers'!$AK$4:$AK$503,223))))</f>
        <v/>
      </c>
      <c r="J226">
        <f>IF(LEN(INDEX('Providers'!$AJ$4:$AJ$503,223))=0,"",INDEX('Providers'!$AJ$4:$AJ$503,223))</f>
        <v/>
      </c>
      <c r="K226">
        <f>IF(LEN(INDEX('Providers'!$AI$4:$AI$503,223))=0,"",INDEX('Providers'!$AI$4:$AI$503,223))</f>
        <v/>
      </c>
    </row>
    <row r="227">
      <c r="A227">
        <f>IF(AND(LEN('Providers'!A227)&gt;0,ISNUMBER('Providers'!G227)),1,0)</f>
        <v/>
      </c>
      <c r="B227">
        <f>B226+A227</f>
        <v/>
      </c>
      <c r="C227">
        <f>IF(224&gt;$B$4503,"",MATCH(224-0.5,$B$3:$B$4503,1))</f>
        <v/>
      </c>
      <c r="D227">
        <f>"State license ("&amp;IF(LEN(INDEX('Providers'!$E$4:$E$503,224))=0,"",INDEX('Providers'!$E$4:$E$503,224))&amp;") – "&amp;IF(LEN(INDEX('Providers'!$A$4:$A$503,224))=0,"",INDEX('Providers'!$A$4:$A$503,224))</f>
        <v/>
      </c>
      <c r="E227">
        <f>IF(ISNUMBER(INDEX('Providers'!$G$4:$G$503,224)),TEXT(INDEX('Providers'!$G$4:$G$503,224),"yyyy-mm-dd"),"")</f>
        <v/>
      </c>
      <c r="F227">
        <f>"License"</f>
        <v/>
      </c>
      <c r="G227">
        <f>""</f>
        <v/>
      </c>
      <c r="H227">
        <f>"High"</f>
        <v/>
      </c>
      <c r="I227">
        <f>TRIM(IF(LEN(IF(LEN(INDEX('Providers'!$F$4:$F$503,224))=0,"",INDEX('Providers'!$F$4:$F$503,224)))=0,"","License no.: "&amp;IF(LEN(INDEX('Providers'!$F$4:$F$503,224))=0,"",INDEX('Providers'!$F$4:$F$503,224))&amp;". ")&amp;IF(LEN(IF(LEN(INDEX('Providers'!$C$4:$C$503,224))=0,"",INDEX('Providers'!$C$4:$C$503,224)))=0,"","NPI: "&amp;IF(LEN(INDEX('Providers'!$C$4:$C$503,224))=0,"",INDEX('Providers'!$C$4:$C$503,224))&amp;". ")&amp;IF(LEN(IF(LEN(INDEX('Providers'!$D$4:$D$503,224))=0,"",INDEX('Providers'!$D$4:$D$503,224)))=0,"","Specialty: "&amp;IF(LEN(INDEX('Providers'!$D$4:$D$503,224))=0,"",INDEX('Providers'!$D$4:$D$503,224))&amp;". ")&amp;IF(LEN(IF(LEN(INDEX('Providers'!$AK$4:$AK$503,224))=0,"",INDEX('Providers'!$AK$4:$AK$503,224)))=0,"",IF(LEN(INDEX('Providers'!$AK$4:$AK$503,224))=0,"",INDEX('Providers'!$AK$4:$AK$503,224))))</f>
        <v/>
      </c>
      <c r="J227">
        <f>IF(LEN(INDEX('Providers'!$AJ$4:$AJ$503,224))=0,"",INDEX('Providers'!$AJ$4:$AJ$503,224))</f>
        <v/>
      </c>
      <c r="K227">
        <f>IF(LEN(INDEX('Providers'!$AI$4:$AI$503,224))=0,"",INDEX('Providers'!$AI$4:$AI$503,224))</f>
        <v/>
      </c>
    </row>
    <row r="228">
      <c r="A228">
        <f>IF(AND(LEN('Providers'!A228)&gt;0,ISNUMBER('Providers'!G228)),1,0)</f>
        <v/>
      </c>
      <c r="B228">
        <f>B227+A228</f>
        <v/>
      </c>
      <c r="C228">
        <f>IF(225&gt;$B$4503,"",MATCH(225-0.5,$B$3:$B$4503,1))</f>
        <v/>
      </c>
      <c r="D228">
        <f>"State license ("&amp;IF(LEN(INDEX('Providers'!$E$4:$E$503,225))=0,"",INDEX('Providers'!$E$4:$E$503,225))&amp;") – "&amp;IF(LEN(INDEX('Providers'!$A$4:$A$503,225))=0,"",INDEX('Providers'!$A$4:$A$503,225))</f>
        <v/>
      </c>
      <c r="E228">
        <f>IF(ISNUMBER(INDEX('Providers'!$G$4:$G$503,225)),TEXT(INDEX('Providers'!$G$4:$G$503,225),"yyyy-mm-dd"),"")</f>
        <v/>
      </c>
      <c r="F228">
        <f>"License"</f>
        <v/>
      </c>
      <c r="G228">
        <f>""</f>
        <v/>
      </c>
      <c r="H228">
        <f>"High"</f>
        <v/>
      </c>
      <c r="I228">
        <f>TRIM(IF(LEN(IF(LEN(INDEX('Providers'!$F$4:$F$503,225))=0,"",INDEX('Providers'!$F$4:$F$503,225)))=0,"","License no.: "&amp;IF(LEN(INDEX('Providers'!$F$4:$F$503,225))=0,"",INDEX('Providers'!$F$4:$F$503,225))&amp;". ")&amp;IF(LEN(IF(LEN(INDEX('Providers'!$C$4:$C$503,225))=0,"",INDEX('Providers'!$C$4:$C$503,225)))=0,"","NPI: "&amp;IF(LEN(INDEX('Providers'!$C$4:$C$503,225))=0,"",INDEX('Providers'!$C$4:$C$503,225))&amp;". ")&amp;IF(LEN(IF(LEN(INDEX('Providers'!$D$4:$D$503,225))=0,"",INDEX('Providers'!$D$4:$D$503,225)))=0,"","Specialty: "&amp;IF(LEN(INDEX('Providers'!$D$4:$D$503,225))=0,"",INDEX('Providers'!$D$4:$D$503,225))&amp;". ")&amp;IF(LEN(IF(LEN(INDEX('Providers'!$AK$4:$AK$503,225))=0,"",INDEX('Providers'!$AK$4:$AK$503,225)))=0,"",IF(LEN(INDEX('Providers'!$AK$4:$AK$503,225))=0,"",INDEX('Providers'!$AK$4:$AK$503,225))))</f>
        <v/>
      </c>
      <c r="J228">
        <f>IF(LEN(INDEX('Providers'!$AJ$4:$AJ$503,225))=0,"",INDEX('Providers'!$AJ$4:$AJ$503,225))</f>
        <v/>
      </c>
      <c r="K228">
        <f>IF(LEN(INDEX('Providers'!$AI$4:$AI$503,225))=0,"",INDEX('Providers'!$AI$4:$AI$503,225))</f>
        <v/>
      </c>
    </row>
    <row r="229">
      <c r="A229">
        <f>IF(AND(LEN('Providers'!A229)&gt;0,ISNUMBER('Providers'!G229)),1,0)</f>
        <v/>
      </c>
      <c r="B229">
        <f>B228+A229</f>
        <v/>
      </c>
      <c r="C229">
        <f>IF(226&gt;$B$4503,"",MATCH(226-0.5,$B$3:$B$4503,1))</f>
        <v/>
      </c>
      <c r="D229">
        <f>"State license ("&amp;IF(LEN(INDEX('Providers'!$E$4:$E$503,226))=0,"",INDEX('Providers'!$E$4:$E$503,226))&amp;") – "&amp;IF(LEN(INDEX('Providers'!$A$4:$A$503,226))=0,"",INDEX('Providers'!$A$4:$A$503,226))</f>
        <v/>
      </c>
      <c r="E229">
        <f>IF(ISNUMBER(INDEX('Providers'!$G$4:$G$503,226)),TEXT(INDEX('Providers'!$G$4:$G$503,226),"yyyy-mm-dd"),"")</f>
        <v/>
      </c>
      <c r="F229">
        <f>"License"</f>
        <v/>
      </c>
      <c r="G229">
        <f>""</f>
        <v/>
      </c>
      <c r="H229">
        <f>"High"</f>
        <v/>
      </c>
      <c r="I229">
        <f>TRIM(IF(LEN(IF(LEN(INDEX('Providers'!$F$4:$F$503,226))=0,"",INDEX('Providers'!$F$4:$F$503,226)))=0,"","License no.: "&amp;IF(LEN(INDEX('Providers'!$F$4:$F$503,226))=0,"",INDEX('Providers'!$F$4:$F$503,226))&amp;". ")&amp;IF(LEN(IF(LEN(INDEX('Providers'!$C$4:$C$503,226))=0,"",INDEX('Providers'!$C$4:$C$503,226)))=0,"","NPI: "&amp;IF(LEN(INDEX('Providers'!$C$4:$C$503,226))=0,"",INDEX('Providers'!$C$4:$C$503,226))&amp;". ")&amp;IF(LEN(IF(LEN(INDEX('Providers'!$D$4:$D$503,226))=0,"",INDEX('Providers'!$D$4:$D$503,226)))=0,"","Specialty: "&amp;IF(LEN(INDEX('Providers'!$D$4:$D$503,226))=0,"",INDEX('Providers'!$D$4:$D$503,226))&amp;". ")&amp;IF(LEN(IF(LEN(INDEX('Providers'!$AK$4:$AK$503,226))=0,"",INDEX('Providers'!$AK$4:$AK$503,226)))=0,"",IF(LEN(INDEX('Providers'!$AK$4:$AK$503,226))=0,"",INDEX('Providers'!$AK$4:$AK$503,226))))</f>
        <v/>
      </c>
      <c r="J229">
        <f>IF(LEN(INDEX('Providers'!$AJ$4:$AJ$503,226))=0,"",INDEX('Providers'!$AJ$4:$AJ$503,226))</f>
        <v/>
      </c>
      <c r="K229">
        <f>IF(LEN(INDEX('Providers'!$AI$4:$AI$503,226))=0,"",INDEX('Providers'!$AI$4:$AI$503,226))</f>
        <v/>
      </c>
    </row>
    <row r="230">
      <c r="A230">
        <f>IF(AND(LEN('Providers'!A230)&gt;0,ISNUMBER('Providers'!G230)),1,0)</f>
        <v/>
      </c>
      <c r="B230">
        <f>B229+A230</f>
        <v/>
      </c>
      <c r="C230">
        <f>IF(227&gt;$B$4503,"",MATCH(227-0.5,$B$3:$B$4503,1))</f>
        <v/>
      </c>
      <c r="D230">
        <f>"State license ("&amp;IF(LEN(INDEX('Providers'!$E$4:$E$503,227))=0,"",INDEX('Providers'!$E$4:$E$503,227))&amp;") – "&amp;IF(LEN(INDEX('Providers'!$A$4:$A$503,227))=0,"",INDEX('Providers'!$A$4:$A$503,227))</f>
        <v/>
      </c>
      <c r="E230">
        <f>IF(ISNUMBER(INDEX('Providers'!$G$4:$G$503,227)),TEXT(INDEX('Providers'!$G$4:$G$503,227),"yyyy-mm-dd"),"")</f>
        <v/>
      </c>
      <c r="F230">
        <f>"License"</f>
        <v/>
      </c>
      <c r="G230">
        <f>""</f>
        <v/>
      </c>
      <c r="H230">
        <f>"High"</f>
        <v/>
      </c>
      <c r="I230">
        <f>TRIM(IF(LEN(IF(LEN(INDEX('Providers'!$F$4:$F$503,227))=0,"",INDEX('Providers'!$F$4:$F$503,227)))=0,"","License no.: "&amp;IF(LEN(INDEX('Providers'!$F$4:$F$503,227))=0,"",INDEX('Providers'!$F$4:$F$503,227))&amp;". ")&amp;IF(LEN(IF(LEN(INDEX('Providers'!$C$4:$C$503,227))=0,"",INDEX('Providers'!$C$4:$C$503,227)))=0,"","NPI: "&amp;IF(LEN(INDEX('Providers'!$C$4:$C$503,227))=0,"",INDEX('Providers'!$C$4:$C$503,227))&amp;". ")&amp;IF(LEN(IF(LEN(INDEX('Providers'!$D$4:$D$503,227))=0,"",INDEX('Providers'!$D$4:$D$503,227)))=0,"","Specialty: "&amp;IF(LEN(INDEX('Providers'!$D$4:$D$503,227))=0,"",INDEX('Providers'!$D$4:$D$503,227))&amp;". ")&amp;IF(LEN(IF(LEN(INDEX('Providers'!$AK$4:$AK$503,227))=0,"",INDEX('Providers'!$AK$4:$AK$503,227)))=0,"",IF(LEN(INDEX('Providers'!$AK$4:$AK$503,227))=0,"",INDEX('Providers'!$AK$4:$AK$503,227))))</f>
        <v/>
      </c>
      <c r="J230">
        <f>IF(LEN(INDEX('Providers'!$AJ$4:$AJ$503,227))=0,"",INDEX('Providers'!$AJ$4:$AJ$503,227))</f>
        <v/>
      </c>
      <c r="K230">
        <f>IF(LEN(INDEX('Providers'!$AI$4:$AI$503,227))=0,"",INDEX('Providers'!$AI$4:$AI$503,227))</f>
        <v/>
      </c>
    </row>
    <row r="231">
      <c r="A231">
        <f>IF(AND(LEN('Providers'!A231)&gt;0,ISNUMBER('Providers'!G231)),1,0)</f>
        <v/>
      </c>
      <c r="B231">
        <f>B230+A231</f>
        <v/>
      </c>
      <c r="C231">
        <f>IF(228&gt;$B$4503,"",MATCH(228-0.5,$B$3:$B$4503,1))</f>
        <v/>
      </c>
      <c r="D231">
        <f>"State license ("&amp;IF(LEN(INDEX('Providers'!$E$4:$E$503,228))=0,"",INDEX('Providers'!$E$4:$E$503,228))&amp;") – "&amp;IF(LEN(INDEX('Providers'!$A$4:$A$503,228))=0,"",INDEX('Providers'!$A$4:$A$503,228))</f>
        <v/>
      </c>
      <c r="E231">
        <f>IF(ISNUMBER(INDEX('Providers'!$G$4:$G$503,228)),TEXT(INDEX('Providers'!$G$4:$G$503,228),"yyyy-mm-dd"),"")</f>
        <v/>
      </c>
      <c r="F231">
        <f>"License"</f>
        <v/>
      </c>
      <c r="G231">
        <f>""</f>
        <v/>
      </c>
      <c r="H231">
        <f>"High"</f>
        <v/>
      </c>
      <c r="I231">
        <f>TRIM(IF(LEN(IF(LEN(INDEX('Providers'!$F$4:$F$503,228))=0,"",INDEX('Providers'!$F$4:$F$503,228)))=0,"","License no.: "&amp;IF(LEN(INDEX('Providers'!$F$4:$F$503,228))=0,"",INDEX('Providers'!$F$4:$F$503,228))&amp;". ")&amp;IF(LEN(IF(LEN(INDEX('Providers'!$C$4:$C$503,228))=0,"",INDEX('Providers'!$C$4:$C$503,228)))=0,"","NPI: "&amp;IF(LEN(INDEX('Providers'!$C$4:$C$503,228))=0,"",INDEX('Providers'!$C$4:$C$503,228))&amp;". ")&amp;IF(LEN(IF(LEN(INDEX('Providers'!$D$4:$D$503,228))=0,"",INDEX('Providers'!$D$4:$D$503,228)))=0,"","Specialty: "&amp;IF(LEN(INDEX('Providers'!$D$4:$D$503,228))=0,"",INDEX('Providers'!$D$4:$D$503,228))&amp;". ")&amp;IF(LEN(IF(LEN(INDEX('Providers'!$AK$4:$AK$503,228))=0,"",INDEX('Providers'!$AK$4:$AK$503,228)))=0,"",IF(LEN(INDEX('Providers'!$AK$4:$AK$503,228))=0,"",INDEX('Providers'!$AK$4:$AK$503,228))))</f>
        <v/>
      </c>
      <c r="J231">
        <f>IF(LEN(INDEX('Providers'!$AJ$4:$AJ$503,228))=0,"",INDEX('Providers'!$AJ$4:$AJ$503,228))</f>
        <v/>
      </c>
      <c r="K231">
        <f>IF(LEN(INDEX('Providers'!$AI$4:$AI$503,228))=0,"",INDEX('Providers'!$AI$4:$AI$503,228))</f>
        <v/>
      </c>
    </row>
    <row r="232">
      <c r="A232">
        <f>IF(AND(LEN('Providers'!A232)&gt;0,ISNUMBER('Providers'!G232)),1,0)</f>
        <v/>
      </c>
      <c r="B232">
        <f>B231+A232</f>
        <v/>
      </c>
      <c r="C232">
        <f>IF(229&gt;$B$4503,"",MATCH(229-0.5,$B$3:$B$4503,1))</f>
        <v/>
      </c>
      <c r="D232">
        <f>"State license ("&amp;IF(LEN(INDEX('Providers'!$E$4:$E$503,229))=0,"",INDEX('Providers'!$E$4:$E$503,229))&amp;") – "&amp;IF(LEN(INDEX('Providers'!$A$4:$A$503,229))=0,"",INDEX('Providers'!$A$4:$A$503,229))</f>
        <v/>
      </c>
      <c r="E232">
        <f>IF(ISNUMBER(INDEX('Providers'!$G$4:$G$503,229)),TEXT(INDEX('Providers'!$G$4:$G$503,229),"yyyy-mm-dd"),"")</f>
        <v/>
      </c>
      <c r="F232">
        <f>"License"</f>
        <v/>
      </c>
      <c r="G232">
        <f>""</f>
        <v/>
      </c>
      <c r="H232">
        <f>"High"</f>
        <v/>
      </c>
      <c r="I232">
        <f>TRIM(IF(LEN(IF(LEN(INDEX('Providers'!$F$4:$F$503,229))=0,"",INDEX('Providers'!$F$4:$F$503,229)))=0,"","License no.: "&amp;IF(LEN(INDEX('Providers'!$F$4:$F$503,229))=0,"",INDEX('Providers'!$F$4:$F$503,229))&amp;". ")&amp;IF(LEN(IF(LEN(INDEX('Providers'!$C$4:$C$503,229))=0,"",INDEX('Providers'!$C$4:$C$503,229)))=0,"","NPI: "&amp;IF(LEN(INDEX('Providers'!$C$4:$C$503,229))=0,"",INDEX('Providers'!$C$4:$C$503,229))&amp;". ")&amp;IF(LEN(IF(LEN(INDEX('Providers'!$D$4:$D$503,229))=0,"",INDEX('Providers'!$D$4:$D$503,229)))=0,"","Specialty: "&amp;IF(LEN(INDEX('Providers'!$D$4:$D$503,229))=0,"",INDEX('Providers'!$D$4:$D$503,229))&amp;". ")&amp;IF(LEN(IF(LEN(INDEX('Providers'!$AK$4:$AK$503,229))=0,"",INDEX('Providers'!$AK$4:$AK$503,229)))=0,"",IF(LEN(INDEX('Providers'!$AK$4:$AK$503,229))=0,"",INDEX('Providers'!$AK$4:$AK$503,229))))</f>
        <v/>
      </c>
      <c r="J232">
        <f>IF(LEN(INDEX('Providers'!$AJ$4:$AJ$503,229))=0,"",INDEX('Providers'!$AJ$4:$AJ$503,229))</f>
        <v/>
      </c>
      <c r="K232">
        <f>IF(LEN(INDEX('Providers'!$AI$4:$AI$503,229))=0,"",INDEX('Providers'!$AI$4:$AI$503,229))</f>
        <v/>
      </c>
    </row>
    <row r="233">
      <c r="A233">
        <f>IF(AND(LEN('Providers'!A233)&gt;0,ISNUMBER('Providers'!G233)),1,0)</f>
        <v/>
      </c>
      <c r="B233">
        <f>B232+A233</f>
        <v/>
      </c>
      <c r="C233">
        <f>IF(230&gt;$B$4503,"",MATCH(230-0.5,$B$3:$B$4503,1))</f>
        <v/>
      </c>
      <c r="D233">
        <f>"State license ("&amp;IF(LEN(INDEX('Providers'!$E$4:$E$503,230))=0,"",INDEX('Providers'!$E$4:$E$503,230))&amp;") – "&amp;IF(LEN(INDEX('Providers'!$A$4:$A$503,230))=0,"",INDEX('Providers'!$A$4:$A$503,230))</f>
        <v/>
      </c>
      <c r="E233">
        <f>IF(ISNUMBER(INDEX('Providers'!$G$4:$G$503,230)),TEXT(INDEX('Providers'!$G$4:$G$503,230),"yyyy-mm-dd"),"")</f>
        <v/>
      </c>
      <c r="F233">
        <f>"License"</f>
        <v/>
      </c>
      <c r="G233">
        <f>""</f>
        <v/>
      </c>
      <c r="H233">
        <f>"High"</f>
        <v/>
      </c>
      <c r="I233">
        <f>TRIM(IF(LEN(IF(LEN(INDEX('Providers'!$F$4:$F$503,230))=0,"",INDEX('Providers'!$F$4:$F$503,230)))=0,"","License no.: "&amp;IF(LEN(INDEX('Providers'!$F$4:$F$503,230))=0,"",INDEX('Providers'!$F$4:$F$503,230))&amp;". ")&amp;IF(LEN(IF(LEN(INDEX('Providers'!$C$4:$C$503,230))=0,"",INDEX('Providers'!$C$4:$C$503,230)))=0,"","NPI: "&amp;IF(LEN(INDEX('Providers'!$C$4:$C$503,230))=0,"",INDEX('Providers'!$C$4:$C$503,230))&amp;". ")&amp;IF(LEN(IF(LEN(INDEX('Providers'!$D$4:$D$503,230))=0,"",INDEX('Providers'!$D$4:$D$503,230)))=0,"","Specialty: "&amp;IF(LEN(INDEX('Providers'!$D$4:$D$503,230))=0,"",INDEX('Providers'!$D$4:$D$503,230))&amp;". ")&amp;IF(LEN(IF(LEN(INDEX('Providers'!$AK$4:$AK$503,230))=0,"",INDEX('Providers'!$AK$4:$AK$503,230)))=0,"",IF(LEN(INDEX('Providers'!$AK$4:$AK$503,230))=0,"",INDEX('Providers'!$AK$4:$AK$503,230))))</f>
        <v/>
      </c>
      <c r="J233">
        <f>IF(LEN(INDEX('Providers'!$AJ$4:$AJ$503,230))=0,"",INDEX('Providers'!$AJ$4:$AJ$503,230))</f>
        <v/>
      </c>
      <c r="K233">
        <f>IF(LEN(INDEX('Providers'!$AI$4:$AI$503,230))=0,"",INDEX('Providers'!$AI$4:$AI$503,230))</f>
        <v/>
      </c>
    </row>
    <row r="234">
      <c r="A234">
        <f>IF(AND(LEN('Providers'!A234)&gt;0,ISNUMBER('Providers'!G234)),1,0)</f>
        <v/>
      </c>
      <c r="B234">
        <f>B233+A234</f>
        <v/>
      </c>
      <c r="C234">
        <f>IF(231&gt;$B$4503,"",MATCH(231-0.5,$B$3:$B$4503,1))</f>
        <v/>
      </c>
      <c r="D234">
        <f>"State license ("&amp;IF(LEN(INDEX('Providers'!$E$4:$E$503,231))=0,"",INDEX('Providers'!$E$4:$E$503,231))&amp;") – "&amp;IF(LEN(INDEX('Providers'!$A$4:$A$503,231))=0,"",INDEX('Providers'!$A$4:$A$503,231))</f>
        <v/>
      </c>
      <c r="E234">
        <f>IF(ISNUMBER(INDEX('Providers'!$G$4:$G$503,231)),TEXT(INDEX('Providers'!$G$4:$G$503,231),"yyyy-mm-dd"),"")</f>
        <v/>
      </c>
      <c r="F234">
        <f>"License"</f>
        <v/>
      </c>
      <c r="G234">
        <f>""</f>
        <v/>
      </c>
      <c r="H234">
        <f>"High"</f>
        <v/>
      </c>
      <c r="I234">
        <f>TRIM(IF(LEN(IF(LEN(INDEX('Providers'!$F$4:$F$503,231))=0,"",INDEX('Providers'!$F$4:$F$503,231)))=0,"","License no.: "&amp;IF(LEN(INDEX('Providers'!$F$4:$F$503,231))=0,"",INDEX('Providers'!$F$4:$F$503,231))&amp;". ")&amp;IF(LEN(IF(LEN(INDEX('Providers'!$C$4:$C$503,231))=0,"",INDEX('Providers'!$C$4:$C$503,231)))=0,"","NPI: "&amp;IF(LEN(INDEX('Providers'!$C$4:$C$503,231))=0,"",INDEX('Providers'!$C$4:$C$503,231))&amp;". ")&amp;IF(LEN(IF(LEN(INDEX('Providers'!$D$4:$D$503,231))=0,"",INDEX('Providers'!$D$4:$D$503,231)))=0,"","Specialty: "&amp;IF(LEN(INDEX('Providers'!$D$4:$D$503,231))=0,"",INDEX('Providers'!$D$4:$D$503,231))&amp;". ")&amp;IF(LEN(IF(LEN(INDEX('Providers'!$AK$4:$AK$503,231))=0,"",INDEX('Providers'!$AK$4:$AK$503,231)))=0,"",IF(LEN(INDEX('Providers'!$AK$4:$AK$503,231))=0,"",INDEX('Providers'!$AK$4:$AK$503,231))))</f>
        <v/>
      </c>
      <c r="J234">
        <f>IF(LEN(INDEX('Providers'!$AJ$4:$AJ$503,231))=0,"",INDEX('Providers'!$AJ$4:$AJ$503,231))</f>
        <v/>
      </c>
      <c r="K234">
        <f>IF(LEN(INDEX('Providers'!$AI$4:$AI$503,231))=0,"",INDEX('Providers'!$AI$4:$AI$503,231))</f>
        <v/>
      </c>
    </row>
    <row r="235">
      <c r="A235">
        <f>IF(AND(LEN('Providers'!A235)&gt;0,ISNUMBER('Providers'!G235)),1,0)</f>
        <v/>
      </c>
      <c r="B235">
        <f>B234+A235</f>
        <v/>
      </c>
      <c r="C235">
        <f>IF(232&gt;$B$4503,"",MATCH(232-0.5,$B$3:$B$4503,1))</f>
        <v/>
      </c>
      <c r="D235">
        <f>"State license ("&amp;IF(LEN(INDEX('Providers'!$E$4:$E$503,232))=0,"",INDEX('Providers'!$E$4:$E$503,232))&amp;") – "&amp;IF(LEN(INDEX('Providers'!$A$4:$A$503,232))=0,"",INDEX('Providers'!$A$4:$A$503,232))</f>
        <v/>
      </c>
      <c r="E235">
        <f>IF(ISNUMBER(INDEX('Providers'!$G$4:$G$503,232)),TEXT(INDEX('Providers'!$G$4:$G$503,232),"yyyy-mm-dd"),"")</f>
        <v/>
      </c>
      <c r="F235">
        <f>"License"</f>
        <v/>
      </c>
      <c r="G235">
        <f>""</f>
        <v/>
      </c>
      <c r="H235">
        <f>"High"</f>
        <v/>
      </c>
      <c r="I235">
        <f>TRIM(IF(LEN(IF(LEN(INDEX('Providers'!$F$4:$F$503,232))=0,"",INDEX('Providers'!$F$4:$F$503,232)))=0,"","License no.: "&amp;IF(LEN(INDEX('Providers'!$F$4:$F$503,232))=0,"",INDEX('Providers'!$F$4:$F$503,232))&amp;". ")&amp;IF(LEN(IF(LEN(INDEX('Providers'!$C$4:$C$503,232))=0,"",INDEX('Providers'!$C$4:$C$503,232)))=0,"","NPI: "&amp;IF(LEN(INDEX('Providers'!$C$4:$C$503,232))=0,"",INDEX('Providers'!$C$4:$C$503,232))&amp;". ")&amp;IF(LEN(IF(LEN(INDEX('Providers'!$D$4:$D$503,232))=0,"",INDEX('Providers'!$D$4:$D$503,232)))=0,"","Specialty: "&amp;IF(LEN(INDEX('Providers'!$D$4:$D$503,232))=0,"",INDEX('Providers'!$D$4:$D$503,232))&amp;". ")&amp;IF(LEN(IF(LEN(INDEX('Providers'!$AK$4:$AK$503,232))=0,"",INDEX('Providers'!$AK$4:$AK$503,232)))=0,"",IF(LEN(INDEX('Providers'!$AK$4:$AK$503,232))=0,"",INDEX('Providers'!$AK$4:$AK$503,232))))</f>
        <v/>
      </c>
      <c r="J235">
        <f>IF(LEN(INDEX('Providers'!$AJ$4:$AJ$503,232))=0,"",INDEX('Providers'!$AJ$4:$AJ$503,232))</f>
        <v/>
      </c>
      <c r="K235">
        <f>IF(LEN(INDEX('Providers'!$AI$4:$AI$503,232))=0,"",INDEX('Providers'!$AI$4:$AI$503,232))</f>
        <v/>
      </c>
    </row>
    <row r="236">
      <c r="A236">
        <f>IF(AND(LEN('Providers'!A236)&gt;0,ISNUMBER('Providers'!G236)),1,0)</f>
        <v/>
      </c>
      <c r="B236">
        <f>B235+A236</f>
        <v/>
      </c>
      <c r="C236">
        <f>IF(233&gt;$B$4503,"",MATCH(233-0.5,$B$3:$B$4503,1))</f>
        <v/>
      </c>
      <c r="D236">
        <f>"State license ("&amp;IF(LEN(INDEX('Providers'!$E$4:$E$503,233))=0,"",INDEX('Providers'!$E$4:$E$503,233))&amp;") – "&amp;IF(LEN(INDEX('Providers'!$A$4:$A$503,233))=0,"",INDEX('Providers'!$A$4:$A$503,233))</f>
        <v/>
      </c>
      <c r="E236">
        <f>IF(ISNUMBER(INDEX('Providers'!$G$4:$G$503,233)),TEXT(INDEX('Providers'!$G$4:$G$503,233),"yyyy-mm-dd"),"")</f>
        <v/>
      </c>
      <c r="F236">
        <f>"License"</f>
        <v/>
      </c>
      <c r="G236">
        <f>""</f>
        <v/>
      </c>
      <c r="H236">
        <f>"High"</f>
        <v/>
      </c>
      <c r="I236">
        <f>TRIM(IF(LEN(IF(LEN(INDEX('Providers'!$F$4:$F$503,233))=0,"",INDEX('Providers'!$F$4:$F$503,233)))=0,"","License no.: "&amp;IF(LEN(INDEX('Providers'!$F$4:$F$503,233))=0,"",INDEX('Providers'!$F$4:$F$503,233))&amp;". ")&amp;IF(LEN(IF(LEN(INDEX('Providers'!$C$4:$C$503,233))=0,"",INDEX('Providers'!$C$4:$C$503,233)))=0,"","NPI: "&amp;IF(LEN(INDEX('Providers'!$C$4:$C$503,233))=0,"",INDEX('Providers'!$C$4:$C$503,233))&amp;". ")&amp;IF(LEN(IF(LEN(INDEX('Providers'!$D$4:$D$503,233))=0,"",INDEX('Providers'!$D$4:$D$503,233)))=0,"","Specialty: "&amp;IF(LEN(INDEX('Providers'!$D$4:$D$503,233))=0,"",INDEX('Providers'!$D$4:$D$503,233))&amp;". ")&amp;IF(LEN(IF(LEN(INDEX('Providers'!$AK$4:$AK$503,233))=0,"",INDEX('Providers'!$AK$4:$AK$503,233)))=0,"",IF(LEN(INDEX('Providers'!$AK$4:$AK$503,233))=0,"",INDEX('Providers'!$AK$4:$AK$503,233))))</f>
        <v/>
      </c>
      <c r="J236">
        <f>IF(LEN(INDEX('Providers'!$AJ$4:$AJ$503,233))=0,"",INDEX('Providers'!$AJ$4:$AJ$503,233))</f>
        <v/>
      </c>
      <c r="K236">
        <f>IF(LEN(INDEX('Providers'!$AI$4:$AI$503,233))=0,"",INDEX('Providers'!$AI$4:$AI$503,233))</f>
        <v/>
      </c>
    </row>
    <row r="237">
      <c r="A237">
        <f>IF(AND(LEN('Providers'!A237)&gt;0,ISNUMBER('Providers'!G237)),1,0)</f>
        <v/>
      </c>
      <c r="B237">
        <f>B236+A237</f>
        <v/>
      </c>
      <c r="C237">
        <f>IF(234&gt;$B$4503,"",MATCH(234-0.5,$B$3:$B$4503,1))</f>
        <v/>
      </c>
      <c r="D237">
        <f>"State license ("&amp;IF(LEN(INDEX('Providers'!$E$4:$E$503,234))=0,"",INDEX('Providers'!$E$4:$E$503,234))&amp;") – "&amp;IF(LEN(INDEX('Providers'!$A$4:$A$503,234))=0,"",INDEX('Providers'!$A$4:$A$503,234))</f>
        <v/>
      </c>
      <c r="E237">
        <f>IF(ISNUMBER(INDEX('Providers'!$G$4:$G$503,234)),TEXT(INDEX('Providers'!$G$4:$G$503,234),"yyyy-mm-dd"),"")</f>
        <v/>
      </c>
      <c r="F237">
        <f>"License"</f>
        <v/>
      </c>
      <c r="G237">
        <f>""</f>
        <v/>
      </c>
      <c r="H237">
        <f>"High"</f>
        <v/>
      </c>
      <c r="I237">
        <f>TRIM(IF(LEN(IF(LEN(INDEX('Providers'!$F$4:$F$503,234))=0,"",INDEX('Providers'!$F$4:$F$503,234)))=0,"","License no.: "&amp;IF(LEN(INDEX('Providers'!$F$4:$F$503,234))=0,"",INDEX('Providers'!$F$4:$F$503,234))&amp;". ")&amp;IF(LEN(IF(LEN(INDEX('Providers'!$C$4:$C$503,234))=0,"",INDEX('Providers'!$C$4:$C$503,234)))=0,"","NPI: "&amp;IF(LEN(INDEX('Providers'!$C$4:$C$503,234))=0,"",INDEX('Providers'!$C$4:$C$503,234))&amp;". ")&amp;IF(LEN(IF(LEN(INDEX('Providers'!$D$4:$D$503,234))=0,"",INDEX('Providers'!$D$4:$D$503,234)))=0,"","Specialty: "&amp;IF(LEN(INDEX('Providers'!$D$4:$D$503,234))=0,"",INDEX('Providers'!$D$4:$D$503,234))&amp;". ")&amp;IF(LEN(IF(LEN(INDEX('Providers'!$AK$4:$AK$503,234))=0,"",INDEX('Providers'!$AK$4:$AK$503,234)))=0,"",IF(LEN(INDEX('Providers'!$AK$4:$AK$503,234))=0,"",INDEX('Providers'!$AK$4:$AK$503,234))))</f>
        <v/>
      </c>
      <c r="J237">
        <f>IF(LEN(INDEX('Providers'!$AJ$4:$AJ$503,234))=0,"",INDEX('Providers'!$AJ$4:$AJ$503,234))</f>
        <v/>
      </c>
      <c r="K237">
        <f>IF(LEN(INDEX('Providers'!$AI$4:$AI$503,234))=0,"",INDEX('Providers'!$AI$4:$AI$503,234))</f>
        <v/>
      </c>
    </row>
    <row r="238">
      <c r="A238">
        <f>IF(AND(LEN('Providers'!A238)&gt;0,ISNUMBER('Providers'!G238)),1,0)</f>
        <v/>
      </c>
      <c r="B238">
        <f>B237+A238</f>
        <v/>
      </c>
      <c r="C238">
        <f>IF(235&gt;$B$4503,"",MATCH(235-0.5,$B$3:$B$4503,1))</f>
        <v/>
      </c>
      <c r="D238">
        <f>"State license ("&amp;IF(LEN(INDEX('Providers'!$E$4:$E$503,235))=0,"",INDEX('Providers'!$E$4:$E$503,235))&amp;") – "&amp;IF(LEN(INDEX('Providers'!$A$4:$A$503,235))=0,"",INDEX('Providers'!$A$4:$A$503,235))</f>
        <v/>
      </c>
      <c r="E238">
        <f>IF(ISNUMBER(INDEX('Providers'!$G$4:$G$503,235)),TEXT(INDEX('Providers'!$G$4:$G$503,235),"yyyy-mm-dd"),"")</f>
        <v/>
      </c>
      <c r="F238">
        <f>"License"</f>
        <v/>
      </c>
      <c r="G238">
        <f>""</f>
        <v/>
      </c>
      <c r="H238">
        <f>"High"</f>
        <v/>
      </c>
      <c r="I238">
        <f>TRIM(IF(LEN(IF(LEN(INDEX('Providers'!$F$4:$F$503,235))=0,"",INDEX('Providers'!$F$4:$F$503,235)))=0,"","License no.: "&amp;IF(LEN(INDEX('Providers'!$F$4:$F$503,235))=0,"",INDEX('Providers'!$F$4:$F$503,235))&amp;". ")&amp;IF(LEN(IF(LEN(INDEX('Providers'!$C$4:$C$503,235))=0,"",INDEX('Providers'!$C$4:$C$503,235)))=0,"","NPI: "&amp;IF(LEN(INDEX('Providers'!$C$4:$C$503,235))=0,"",INDEX('Providers'!$C$4:$C$503,235))&amp;". ")&amp;IF(LEN(IF(LEN(INDEX('Providers'!$D$4:$D$503,235))=0,"",INDEX('Providers'!$D$4:$D$503,235)))=0,"","Specialty: "&amp;IF(LEN(INDEX('Providers'!$D$4:$D$503,235))=0,"",INDEX('Providers'!$D$4:$D$503,235))&amp;". ")&amp;IF(LEN(IF(LEN(INDEX('Providers'!$AK$4:$AK$503,235))=0,"",INDEX('Providers'!$AK$4:$AK$503,235)))=0,"",IF(LEN(INDEX('Providers'!$AK$4:$AK$503,235))=0,"",INDEX('Providers'!$AK$4:$AK$503,235))))</f>
        <v/>
      </c>
      <c r="J238">
        <f>IF(LEN(INDEX('Providers'!$AJ$4:$AJ$503,235))=0,"",INDEX('Providers'!$AJ$4:$AJ$503,235))</f>
        <v/>
      </c>
      <c r="K238">
        <f>IF(LEN(INDEX('Providers'!$AI$4:$AI$503,235))=0,"",INDEX('Providers'!$AI$4:$AI$503,235))</f>
        <v/>
      </c>
    </row>
    <row r="239">
      <c r="A239">
        <f>IF(AND(LEN('Providers'!A239)&gt;0,ISNUMBER('Providers'!G239)),1,0)</f>
        <v/>
      </c>
      <c r="B239">
        <f>B238+A239</f>
        <v/>
      </c>
      <c r="C239">
        <f>IF(236&gt;$B$4503,"",MATCH(236-0.5,$B$3:$B$4503,1))</f>
        <v/>
      </c>
      <c r="D239">
        <f>"State license ("&amp;IF(LEN(INDEX('Providers'!$E$4:$E$503,236))=0,"",INDEX('Providers'!$E$4:$E$503,236))&amp;") – "&amp;IF(LEN(INDEX('Providers'!$A$4:$A$503,236))=0,"",INDEX('Providers'!$A$4:$A$503,236))</f>
        <v/>
      </c>
      <c r="E239">
        <f>IF(ISNUMBER(INDEX('Providers'!$G$4:$G$503,236)),TEXT(INDEX('Providers'!$G$4:$G$503,236),"yyyy-mm-dd"),"")</f>
        <v/>
      </c>
      <c r="F239">
        <f>"License"</f>
        <v/>
      </c>
      <c r="G239">
        <f>""</f>
        <v/>
      </c>
      <c r="H239">
        <f>"High"</f>
        <v/>
      </c>
      <c r="I239">
        <f>TRIM(IF(LEN(IF(LEN(INDEX('Providers'!$F$4:$F$503,236))=0,"",INDEX('Providers'!$F$4:$F$503,236)))=0,"","License no.: "&amp;IF(LEN(INDEX('Providers'!$F$4:$F$503,236))=0,"",INDEX('Providers'!$F$4:$F$503,236))&amp;". ")&amp;IF(LEN(IF(LEN(INDEX('Providers'!$C$4:$C$503,236))=0,"",INDEX('Providers'!$C$4:$C$503,236)))=0,"","NPI: "&amp;IF(LEN(INDEX('Providers'!$C$4:$C$503,236))=0,"",INDEX('Providers'!$C$4:$C$503,236))&amp;". ")&amp;IF(LEN(IF(LEN(INDEX('Providers'!$D$4:$D$503,236))=0,"",INDEX('Providers'!$D$4:$D$503,236)))=0,"","Specialty: "&amp;IF(LEN(INDEX('Providers'!$D$4:$D$503,236))=0,"",INDEX('Providers'!$D$4:$D$503,236))&amp;". ")&amp;IF(LEN(IF(LEN(INDEX('Providers'!$AK$4:$AK$503,236))=0,"",INDEX('Providers'!$AK$4:$AK$503,236)))=0,"",IF(LEN(INDEX('Providers'!$AK$4:$AK$503,236))=0,"",INDEX('Providers'!$AK$4:$AK$503,236))))</f>
        <v/>
      </c>
      <c r="J239">
        <f>IF(LEN(INDEX('Providers'!$AJ$4:$AJ$503,236))=0,"",INDEX('Providers'!$AJ$4:$AJ$503,236))</f>
        <v/>
      </c>
      <c r="K239">
        <f>IF(LEN(INDEX('Providers'!$AI$4:$AI$503,236))=0,"",INDEX('Providers'!$AI$4:$AI$503,236))</f>
        <v/>
      </c>
    </row>
    <row r="240">
      <c r="A240">
        <f>IF(AND(LEN('Providers'!A240)&gt;0,ISNUMBER('Providers'!G240)),1,0)</f>
        <v/>
      </c>
      <c r="B240">
        <f>B239+A240</f>
        <v/>
      </c>
      <c r="C240">
        <f>IF(237&gt;$B$4503,"",MATCH(237-0.5,$B$3:$B$4503,1))</f>
        <v/>
      </c>
      <c r="D240">
        <f>"State license ("&amp;IF(LEN(INDEX('Providers'!$E$4:$E$503,237))=0,"",INDEX('Providers'!$E$4:$E$503,237))&amp;") – "&amp;IF(LEN(INDEX('Providers'!$A$4:$A$503,237))=0,"",INDEX('Providers'!$A$4:$A$503,237))</f>
        <v/>
      </c>
      <c r="E240">
        <f>IF(ISNUMBER(INDEX('Providers'!$G$4:$G$503,237)),TEXT(INDEX('Providers'!$G$4:$G$503,237),"yyyy-mm-dd"),"")</f>
        <v/>
      </c>
      <c r="F240">
        <f>"License"</f>
        <v/>
      </c>
      <c r="G240">
        <f>""</f>
        <v/>
      </c>
      <c r="H240">
        <f>"High"</f>
        <v/>
      </c>
      <c r="I240">
        <f>TRIM(IF(LEN(IF(LEN(INDEX('Providers'!$F$4:$F$503,237))=0,"",INDEX('Providers'!$F$4:$F$503,237)))=0,"","License no.: "&amp;IF(LEN(INDEX('Providers'!$F$4:$F$503,237))=0,"",INDEX('Providers'!$F$4:$F$503,237))&amp;". ")&amp;IF(LEN(IF(LEN(INDEX('Providers'!$C$4:$C$503,237))=0,"",INDEX('Providers'!$C$4:$C$503,237)))=0,"","NPI: "&amp;IF(LEN(INDEX('Providers'!$C$4:$C$503,237))=0,"",INDEX('Providers'!$C$4:$C$503,237))&amp;". ")&amp;IF(LEN(IF(LEN(INDEX('Providers'!$D$4:$D$503,237))=0,"",INDEX('Providers'!$D$4:$D$503,237)))=0,"","Specialty: "&amp;IF(LEN(INDEX('Providers'!$D$4:$D$503,237))=0,"",INDEX('Providers'!$D$4:$D$503,237))&amp;". ")&amp;IF(LEN(IF(LEN(INDEX('Providers'!$AK$4:$AK$503,237))=0,"",INDEX('Providers'!$AK$4:$AK$503,237)))=0,"",IF(LEN(INDEX('Providers'!$AK$4:$AK$503,237))=0,"",INDEX('Providers'!$AK$4:$AK$503,237))))</f>
        <v/>
      </c>
      <c r="J240">
        <f>IF(LEN(INDEX('Providers'!$AJ$4:$AJ$503,237))=0,"",INDEX('Providers'!$AJ$4:$AJ$503,237))</f>
        <v/>
      </c>
      <c r="K240">
        <f>IF(LEN(INDEX('Providers'!$AI$4:$AI$503,237))=0,"",INDEX('Providers'!$AI$4:$AI$503,237))</f>
        <v/>
      </c>
    </row>
    <row r="241">
      <c r="A241">
        <f>IF(AND(LEN('Providers'!A241)&gt;0,ISNUMBER('Providers'!G241)),1,0)</f>
        <v/>
      </c>
      <c r="B241">
        <f>B240+A241</f>
        <v/>
      </c>
      <c r="C241">
        <f>IF(238&gt;$B$4503,"",MATCH(238-0.5,$B$3:$B$4503,1))</f>
        <v/>
      </c>
      <c r="D241">
        <f>"State license ("&amp;IF(LEN(INDEX('Providers'!$E$4:$E$503,238))=0,"",INDEX('Providers'!$E$4:$E$503,238))&amp;") – "&amp;IF(LEN(INDEX('Providers'!$A$4:$A$503,238))=0,"",INDEX('Providers'!$A$4:$A$503,238))</f>
        <v/>
      </c>
      <c r="E241">
        <f>IF(ISNUMBER(INDEX('Providers'!$G$4:$G$503,238)),TEXT(INDEX('Providers'!$G$4:$G$503,238),"yyyy-mm-dd"),"")</f>
        <v/>
      </c>
      <c r="F241">
        <f>"License"</f>
        <v/>
      </c>
      <c r="G241">
        <f>""</f>
        <v/>
      </c>
      <c r="H241">
        <f>"High"</f>
        <v/>
      </c>
      <c r="I241">
        <f>TRIM(IF(LEN(IF(LEN(INDEX('Providers'!$F$4:$F$503,238))=0,"",INDEX('Providers'!$F$4:$F$503,238)))=0,"","License no.: "&amp;IF(LEN(INDEX('Providers'!$F$4:$F$503,238))=0,"",INDEX('Providers'!$F$4:$F$503,238))&amp;". ")&amp;IF(LEN(IF(LEN(INDEX('Providers'!$C$4:$C$503,238))=0,"",INDEX('Providers'!$C$4:$C$503,238)))=0,"","NPI: "&amp;IF(LEN(INDEX('Providers'!$C$4:$C$503,238))=0,"",INDEX('Providers'!$C$4:$C$503,238))&amp;". ")&amp;IF(LEN(IF(LEN(INDEX('Providers'!$D$4:$D$503,238))=0,"",INDEX('Providers'!$D$4:$D$503,238)))=0,"","Specialty: "&amp;IF(LEN(INDEX('Providers'!$D$4:$D$503,238))=0,"",INDEX('Providers'!$D$4:$D$503,238))&amp;". ")&amp;IF(LEN(IF(LEN(INDEX('Providers'!$AK$4:$AK$503,238))=0,"",INDEX('Providers'!$AK$4:$AK$503,238)))=0,"",IF(LEN(INDEX('Providers'!$AK$4:$AK$503,238))=0,"",INDEX('Providers'!$AK$4:$AK$503,238))))</f>
        <v/>
      </c>
      <c r="J241">
        <f>IF(LEN(INDEX('Providers'!$AJ$4:$AJ$503,238))=0,"",INDEX('Providers'!$AJ$4:$AJ$503,238))</f>
        <v/>
      </c>
      <c r="K241">
        <f>IF(LEN(INDEX('Providers'!$AI$4:$AI$503,238))=0,"",INDEX('Providers'!$AI$4:$AI$503,238))</f>
        <v/>
      </c>
    </row>
    <row r="242">
      <c r="A242">
        <f>IF(AND(LEN('Providers'!A242)&gt;0,ISNUMBER('Providers'!G242)),1,0)</f>
        <v/>
      </c>
      <c r="B242">
        <f>B241+A242</f>
        <v/>
      </c>
      <c r="C242">
        <f>IF(239&gt;$B$4503,"",MATCH(239-0.5,$B$3:$B$4503,1))</f>
        <v/>
      </c>
      <c r="D242">
        <f>"State license ("&amp;IF(LEN(INDEX('Providers'!$E$4:$E$503,239))=0,"",INDEX('Providers'!$E$4:$E$503,239))&amp;") – "&amp;IF(LEN(INDEX('Providers'!$A$4:$A$503,239))=0,"",INDEX('Providers'!$A$4:$A$503,239))</f>
        <v/>
      </c>
      <c r="E242">
        <f>IF(ISNUMBER(INDEX('Providers'!$G$4:$G$503,239)),TEXT(INDEX('Providers'!$G$4:$G$503,239),"yyyy-mm-dd"),"")</f>
        <v/>
      </c>
      <c r="F242">
        <f>"License"</f>
        <v/>
      </c>
      <c r="G242">
        <f>""</f>
        <v/>
      </c>
      <c r="H242">
        <f>"High"</f>
        <v/>
      </c>
      <c r="I242">
        <f>TRIM(IF(LEN(IF(LEN(INDEX('Providers'!$F$4:$F$503,239))=0,"",INDEX('Providers'!$F$4:$F$503,239)))=0,"","License no.: "&amp;IF(LEN(INDEX('Providers'!$F$4:$F$503,239))=0,"",INDEX('Providers'!$F$4:$F$503,239))&amp;". ")&amp;IF(LEN(IF(LEN(INDEX('Providers'!$C$4:$C$503,239))=0,"",INDEX('Providers'!$C$4:$C$503,239)))=0,"","NPI: "&amp;IF(LEN(INDEX('Providers'!$C$4:$C$503,239))=0,"",INDEX('Providers'!$C$4:$C$503,239))&amp;". ")&amp;IF(LEN(IF(LEN(INDEX('Providers'!$D$4:$D$503,239))=0,"",INDEX('Providers'!$D$4:$D$503,239)))=0,"","Specialty: "&amp;IF(LEN(INDEX('Providers'!$D$4:$D$503,239))=0,"",INDEX('Providers'!$D$4:$D$503,239))&amp;". ")&amp;IF(LEN(IF(LEN(INDEX('Providers'!$AK$4:$AK$503,239))=0,"",INDEX('Providers'!$AK$4:$AK$503,239)))=0,"",IF(LEN(INDEX('Providers'!$AK$4:$AK$503,239))=0,"",INDEX('Providers'!$AK$4:$AK$503,239))))</f>
        <v/>
      </c>
      <c r="J242">
        <f>IF(LEN(INDEX('Providers'!$AJ$4:$AJ$503,239))=0,"",INDEX('Providers'!$AJ$4:$AJ$503,239))</f>
        <v/>
      </c>
      <c r="K242">
        <f>IF(LEN(INDEX('Providers'!$AI$4:$AI$503,239))=0,"",INDEX('Providers'!$AI$4:$AI$503,239))</f>
        <v/>
      </c>
    </row>
    <row r="243">
      <c r="A243">
        <f>IF(AND(LEN('Providers'!A243)&gt;0,ISNUMBER('Providers'!G243)),1,0)</f>
        <v/>
      </c>
      <c r="B243">
        <f>B242+A243</f>
        <v/>
      </c>
      <c r="C243">
        <f>IF(240&gt;$B$4503,"",MATCH(240-0.5,$B$3:$B$4503,1))</f>
        <v/>
      </c>
      <c r="D243">
        <f>"State license ("&amp;IF(LEN(INDEX('Providers'!$E$4:$E$503,240))=0,"",INDEX('Providers'!$E$4:$E$503,240))&amp;") – "&amp;IF(LEN(INDEX('Providers'!$A$4:$A$503,240))=0,"",INDEX('Providers'!$A$4:$A$503,240))</f>
        <v/>
      </c>
      <c r="E243">
        <f>IF(ISNUMBER(INDEX('Providers'!$G$4:$G$503,240)),TEXT(INDEX('Providers'!$G$4:$G$503,240),"yyyy-mm-dd"),"")</f>
        <v/>
      </c>
      <c r="F243">
        <f>"License"</f>
        <v/>
      </c>
      <c r="G243">
        <f>""</f>
        <v/>
      </c>
      <c r="H243">
        <f>"High"</f>
        <v/>
      </c>
      <c r="I243">
        <f>TRIM(IF(LEN(IF(LEN(INDEX('Providers'!$F$4:$F$503,240))=0,"",INDEX('Providers'!$F$4:$F$503,240)))=0,"","License no.: "&amp;IF(LEN(INDEX('Providers'!$F$4:$F$503,240))=0,"",INDEX('Providers'!$F$4:$F$503,240))&amp;". ")&amp;IF(LEN(IF(LEN(INDEX('Providers'!$C$4:$C$503,240))=0,"",INDEX('Providers'!$C$4:$C$503,240)))=0,"","NPI: "&amp;IF(LEN(INDEX('Providers'!$C$4:$C$503,240))=0,"",INDEX('Providers'!$C$4:$C$503,240))&amp;". ")&amp;IF(LEN(IF(LEN(INDEX('Providers'!$D$4:$D$503,240))=0,"",INDEX('Providers'!$D$4:$D$503,240)))=0,"","Specialty: "&amp;IF(LEN(INDEX('Providers'!$D$4:$D$503,240))=0,"",INDEX('Providers'!$D$4:$D$503,240))&amp;". ")&amp;IF(LEN(IF(LEN(INDEX('Providers'!$AK$4:$AK$503,240))=0,"",INDEX('Providers'!$AK$4:$AK$503,240)))=0,"",IF(LEN(INDEX('Providers'!$AK$4:$AK$503,240))=0,"",INDEX('Providers'!$AK$4:$AK$503,240))))</f>
        <v/>
      </c>
      <c r="J243">
        <f>IF(LEN(INDEX('Providers'!$AJ$4:$AJ$503,240))=0,"",INDEX('Providers'!$AJ$4:$AJ$503,240))</f>
        <v/>
      </c>
      <c r="K243">
        <f>IF(LEN(INDEX('Providers'!$AI$4:$AI$503,240))=0,"",INDEX('Providers'!$AI$4:$AI$503,240))</f>
        <v/>
      </c>
    </row>
    <row r="244">
      <c r="A244">
        <f>IF(AND(LEN('Providers'!A244)&gt;0,ISNUMBER('Providers'!G244)),1,0)</f>
        <v/>
      </c>
      <c r="B244">
        <f>B243+A244</f>
        <v/>
      </c>
      <c r="C244">
        <f>IF(241&gt;$B$4503,"",MATCH(241-0.5,$B$3:$B$4503,1))</f>
        <v/>
      </c>
      <c r="D244">
        <f>"State license ("&amp;IF(LEN(INDEX('Providers'!$E$4:$E$503,241))=0,"",INDEX('Providers'!$E$4:$E$503,241))&amp;") – "&amp;IF(LEN(INDEX('Providers'!$A$4:$A$503,241))=0,"",INDEX('Providers'!$A$4:$A$503,241))</f>
        <v/>
      </c>
      <c r="E244">
        <f>IF(ISNUMBER(INDEX('Providers'!$G$4:$G$503,241)),TEXT(INDEX('Providers'!$G$4:$G$503,241),"yyyy-mm-dd"),"")</f>
        <v/>
      </c>
      <c r="F244">
        <f>"License"</f>
        <v/>
      </c>
      <c r="G244">
        <f>""</f>
        <v/>
      </c>
      <c r="H244">
        <f>"High"</f>
        <v/>
      </c>
      <c r="I244">
        <f>TRIM(IF(LEN(IF(LEN(INDEX('Providers'!$F$4:$F$503,241))=0,"",INDEX('Providers'!$F$4:$F$503,241)))=0,"","License no.: "&amp;IF(LEN(INDEX('Providers'!$F$4:$F$503,241))=0,"",INDEX('Providers'!$F$4:$F$503,241))&amp;". ")&amp;IF(LEN(IF(LEN(INDEX('Providers'!$C$4:$C$503,241))=0,"",INDEX('Providers'!$C$4:$C$503,241)))=0,"","NPI: "&amp;IF(LEN(INDEX('Providers'!$C$4:$C$503,241))=0,"",INDEX('Providers'!$C$4:$C$503,241))&amp;". ")&amp;IF(LEN(IF(LEN(INDEX('Providers'!$D$4:$D$503,241))=0,"",INDEX('Providers'!$D$4:$D$503,241)))=0,"","Specialty: "&amp;IF(LEN(INDEX('Providers'!$D$4:$D$503,241))=0,"",INDEX('Providers'!$D$4:$D$503,241))&amp;". ")&amp;IF(LEN(IF(LEN(INDEX('Providers'!$AK$4:$AK$503,241))=0,"",INDEX('Providers'!$AK$4:$AK$503,241)))=0,"",IF(LEN(INDEX('Providers'!$AK$4:$AK$503,241))=0,"",INDEX('Providers'!$AK$4:$AK$503,241))))</f>
        <v/>
      </c>
      <c r="J244">
        <f>IF(LEN(INDEX('Providers'!$AJ$4:$AJ$503,241))=0,"",INDEX('Providers'!$AJ$4:$AJ$503,241))</f>
        <v/>
      </c>
      <c r="K244">
        <f>IF(LEN(INDEX('Providers'!$AI$4:$AI$503,241))=0,"",INDEX('Providers'!$AI$4:$AI$503,241))</f>
        <v/>
      </c>
    </row>
    <row r="245">
      <c r="A245">
        <f>IF(AND(LEN('Providers'!A245)&gt;0,ISNUMBER('Providers'!G245)),1,0)</f>
        <v/>
      </c>
      <c r="B245">
        <f>B244+A245</f>
        <v/>
      </c>
      <c r="C245">
        <f>IF(242&gt;$B$4503,"",MATCH(242-0.5,$B$3:$B$4503,1))</f>
        <v/>
      </c>
      <c r="D245">
        <f>"State license ("&amp;IF(LEN(INDEX('Providers'!$E$4:$E$503,242))=0,"",INDEX('Providers'!$E$4:$E$503,242))&amp;") – "&amp;IF(LEN(INDEX('Providers'!$A$4:$A$503,242))=0,"",INDEX('Providers'!$A$4:$A$503,242))</f>
        <v/>
      </c>
      <c r="E245">
        <f>IF(ISNUMBER(INDEX('Providers'!$G$4:$G$503,242)),TEXT(INDEX('Providers'!$G$4:$G$503,242),"yyyy-mm-dd"),"")</f>
        <v/>
      </c>
      <c r="F245">
        <f>"License"</f>
        <v/>
      </c>
      <c r="G245">
        <f>""</f>
        <v/>
      </c>
      <c r="H245">
        <f>"High"</f>
        <v/>
      </c>
      <c r="I245">
        <f>TRIM(IF(LEN(IF(LEN(INDEX('Providers'!$F$4:$F$503,242))=0,"",INDEX('Providers'!$F$4:$F$503,242)))=0,"","License no.: "&amp;IF(LEN(INDEX('Providers'!$F$4:$F$503,242))=0,"",INDEX('Providers'!$F$4:$F$503,242))&amp;". ")&amp;IF(LEN(IF(LEN(INDEX('Providers'!$C$4:$C$503,242))=0,"",INDEX('Providers'!$C$4:$C$503,242)))=0,"","NPI: "&amp;IF(LEN(INDEX('Providers'!$C$4:$C$503,242))=0,"",INDEX('Providers'!$C$4:$C$503,242))&amp;". ")&amp;IF(LEN(IF(LEN(INDEX('Providers'!$D$4:$D$503,242))=0,"",INDEX('Providers'!$D$4:$D$503,242)))=0,"","Specialty: "&amp;IF(LEN(INDEX('Providers'!$D$4:$D$503,242))=0,"",INDEX('Providers'!$D$4:$D$503,242))&amp;". ")&amp;IF(LEN(IF(LEN(INDEX('Providers'!$AK$4:$AK$503,242))=0,"",INDEX('Providers'!$AK$4:$AK$503,242)))=0,"",IF(LEN(INDEX('Providers'!$AK$4:$AK$503,242))=0,"",INDEX('Providers'!$AK$4:$AK$503,242))))</f>
        <v/>
      </c>
      <c r="J245">
        <f>IF(LEN(INDEX('Providers'!$AJ$4:$AJ$503,242))=0,"",INDEX('Providers'!$AJ$4:$AJ$503,242))</f>
        <v/>
      </c>
      <c r="K245">
        <f>IF(LEN(INDEX('Providers'!$AI$4:$AI$503,242))=0,"",INDEX('Providers'!$AI$4:$AI$503,242))</f>
        <v/>
      </c>
    </row>
    <row r="246">
      <c r="A246">
        <f>IF(AND(LEN('Providers'!A246)&gt;0,ISNUMBER('Providers'!G246)),1,0)</f>
        <v/>
      </c>
      <c r="B246">
        <f>B245+A246</f>
        <v/>
      </c>
      <c r="C246">
        <f>IF(243&gt;$B$4503,"",MATCH(243-0.5,$B$3:$B$4503,1))</f>
        <v/>
      </c>
      <c r="D246">
        <f>"State license ("&amp;IF(LEN(INDEX('Providers'!$E$4:$E$503,243))=0,"",INDEX('Providers'!$E$4:$E$503,243))&amp;") – "&amp;IF(LEN(INDEX('Providers'!$A$4:$A$503,243))=0,"",INDEX('Providers'!$A$4:$A$503,243))</f>
        <v/>
      </c>
      <c r="E246">
        <f>IF(ISNUMBER(INDEX('Providers'!$G$4:$G$503,243)),TEXT(INDEX('Providers'!$G$4:$G$503,243),"yyyy-mm-dd"),"")</f>
        <v/>
      </c>
      <c r="F246">
        <f>"License"</f>
        <v/>
      </c>
      <c r="G246">
        <f>""</f>
        <v/>
      </c>
      <c r="H246">
        <f>"High"</f>
        <v/>
      </c>
      <c r="I246">
        <f>TRIM(IF(LEN(IF(LEN(INDEX('Providers'!$F$4:$F$503,243))=0,"",INDEX('Providers'!$F$4:$F$503,243)))=0,"","License no.: "&amp;IF(LEN(INDEX('Providers'!$F$4:$F$503,243))=0,"",INDEX('Providers'!$F$4:$F$503,243))&amp;". ")&amp;IF(LEN(IF(LEN(INDEX('Providers'!$C$4:$C$503,243))=0,"",INDEX('Providers'!$C$4:$C$503,243)))=0,"","NPI: "&amp;IF(LEN(INDEX('Providers'!$C$4:$C$503,243))=0,"",INDEX('Providers'!$C$4:$C$503,243))&amp;". ")&amp;IF(LEN(IF(LEN(INDEX('Providers'!$D$4:$D$503,243))=0,"",INDEX('Providers'!$D$4:$D$503,243)))=0,"","Specialty: "&amp;IF(LEN(INDEX('Providers'!$D$4:$D$503,243))=0,"",INDEX('Providers'!$D$4:$D$503,243))&amp;". ")&amp;IF(LEN(IF(LEN(INDEX('Providers'!$AK$4:$AK$503,243))=0,"",INDEX('Providers'!$AK$4:$AK$503,243)))=0,"",IF(LEN(INDEX('Providers'!$AK$4:$AK$503,243))=0,"",INDEX('Providers'!$AK$4:$AK$503,243))))</f>
        <v/>
      </c>
      <c r="J246">
        <f>IF(LEN(INDEX('Providers'!$AJ$4:$AJ$503,243))=0,"",INDEX('Providers'!$AJ$4:$AJ$503,243))</f>
        <v/>
      </c>
      <c r="K246">
        <f>IF(LEN(INDEX('Providers'!$AI$4:$AI$503,243))=0,"",INDEX('Providers'!$AI$4:$AI$503,243))</f>
        <v/>
      </c>
    </row>
    <row r="247">
      <c r="A247">
        <f>IF(AND(LEN('Providers'!A247)&gt;0,ISNUMBER('Providers'!G247)),1,0)</f>
        <v/>
      </c>
      <c r="B247">
        <f>B246+A247</f>
        <v/>
      </c>
      <c r="C247">
        <f>IF(244&gt;$B$4503,"",MATCH(244-0.5,$B$3:$B$4503,1))</f>
        <v/>
      </c>
      <c r="D247">
        <f>"State license ("&amp;IF(LEN(INDEX('Providers'!$E$4:$E$503,244))=0,"",INDEX('Providers'!$E$4:$E$503,244))&amp;") – "&amp;IF(LEN(INDEX('Providers'!$A$4:$A$503,244))=0,"",INDEX('Providers'!$A$4:$A$503,244))</f>
        <v/>
      </c>
      <c r="E247">
        <f>IF(ISNUMBER(INDEX('Providers'!$G$4:$G$503,244)),TEXT(INDEX('Providers'!$G$4:$G$503,244),"yyyy-mm-dd"),"")</f>
        <v/>
      </c>
      <c r="F247">
        <f>"License"</f>
        <v/>
      </c>
      <c r="G247">
        <f>""</f>
        <v/>
      </c>
      <c r="H247">
        <f>"High"</f>
        <v/>
      </c>
      <c r="I247">
        <f>TRIM(IF(LEN(IF(LEN(INDEX('Providers'!$F$4:$F$503,244))=0,"",INDEX('Providers'!$F$4:$F$503,244)))=0,"","License no.: "&amp;IF(LEN(INDEX('Providers'!$F$4:$F$503,244))=0,"",INDEX('Providers'!$F$4:$F$503,244))&amp;". ")&amp;IF(LEN(IF(LEN(INDEX('Providers'!$C$4:$C$503,244))=0,"",INDEX('Providers'!$C$4:$C$503,244)))=0,"","NPI: "&amp;IF(LEN(INDEX('Providers'!$C$4:$C$503,244))=0,"",INDEX('Providers'!$C$4:$C$503,244))&amp;". ")&amp;IF(LEN(IF(LEN(INDEX('Providers'!$D$4:$D$503,244))=0,"",INDEX('Providers'!$D$4:$D$503,244)))=0,"","Specialty: "&amp;IF(LEN(INDEX('Providers'!$D$4:$D$503,244))=0,"",INDEX('Providers'!$D$4:$D$503,244))&amp;". ")&amp;IF(LEN(IF(LEN(INDEX('Providers'!$AK$4:$AK$503,244))=0,"",INDEX('Providers'!$AK$4:$AK$503,244)))=0,"",IF(LEN(INDEX('Providers'!$AK$4:$AK$503,244))=0,"",INDEX('Providers'!$AK$4:$AK$503,244))))</f>
        <v/>
      </c>
      <c r="J247">
        <f>IF(LEN(INDEX('Providers'!$AJ$4:$AJ$503,244))=0,"",INDEX('Providers'!$AJ$4:$AJ$503,244))</f>
        <v/>
      </c>
      <c r="K247">
        <f>IF(LEN(INDEX('Providers'!$AI$4:$AI$503,244))=0,"",INDEX('Providers'!$AI$4:$AI$503,244))</f>
        <v/>
      </c>
    </row>
    <row r="248">
      <c r="A248">
        <f>IF(AND(LEN('Providers'!A248)&gt;0,ISNUMBER('Providers'!G248)),1,0)</f>
        <v/>
      </c>
      <c r="B248">
        <f>B247+A248</f>
        <v/>
      </c>
      <c r="C248">
        <f>IF(245&gt;$B$4503,"",MATCH(245-0.5,$B$3:$B$4503,1))</f>
        <v/>
      </c>
      <c r="D248">
        <f>"State license ("&amp;IF(LEN(INDEX('Providers'!$E$4:$E$503,245))=0,"",INDEX('Providers'!$E$4:$E$503,245))&amp;") – "&amp;IF(LEN(INDEX('Providers'!$A$4:$A$503,245))=0,"",INDEX('Providers'!$A$4:$A$503,245))</f>
        <v/>
      </c>
      <c r="E248">
        <f>IF(ISNUMBER(INDEX('Providers'!$G$4:$G$503,245)),TEXT(INDEX('Providers'!$G$4:$G$503,245),"yyyy-mm-dd"),"")</f>
        <v/>
      </c>
      <c r="F248">
        <f>"License"</f>
        <v/>
      </c>
      <c r="G248">
        <f>""</f>
        <v/>
      </c>
      <c r="H248">
        <f>"High"</f>
        <v/>
      </c>
      <c r="I248">
        <f>TRIM(IF(LEN(IF(LEN(INDEX('Providers'!$F$4:$F$503,245))=0,"",INDEX('Providers'!$F$4:$F$503,245)))=0,"","License no.: "&amp;IF(LEN(INDEX('Providers'!$F$4:$F$503,245))=0,"",INDEX('Providers'!$F$4:$F$503,245))&amp;". ")&amp;IF(LEN(IF(LEN(INDEX('Providers'!$C$4:$C$503,245))=0,"",INDEX('Providers'!$C$4:$C$503,245)))=0,"","NPI: "&amp;IF(LEN(INDEX('Providers'!$C$4:$C$503,245))=0,"",INDEX('Providers'!$C$4:$C$503,245))&amp;". ")&amp;IF(LEN(IF(LEN(INDEX('Providers'!$D$4:$D$503,245))=0,"",INDEX('Providers'!$D$4:$D$503,245)))=0,"","Specialty: "&amp;IF(LEN(INDEX('Providers'!$D$4:$D$503,245))=0,"",INDEX('Providers'!$D$4:$D$503,245))&amp;". ")&amp;IF(LEN(IF(LEN(INDEX('Providers'!$AK$4:$AK$503,245))=0,"",INDEX('Providers'!$AK$4:$AK$503,245)))=0,"",IF(LEN(INDEX('Providers'!$AK$4:$AK$503,245))=0,"",INDEX('Providers'!$AK$4:$AK$503,245))))</f>
        <v/>
      </c>
      <c r="J248">
        <f>IF(LEN(INDEX('Providers'!$AJ$4:$AJ$503,245))=0,"",INDEX('Providers'!$AJ$4:$AJ$503,245))</f>
        <v/>
      </c>
      <c r="K248">
        <f>IF(LEN(INDEX('Providers'!$AI$4:$AI$503,245))=0,"",INDEX('Providers'!$AI$4:$AI$503,245))</f>
        <v/>
      </c>
    </row>
    <row r="249">
      <c r="A249">
        <f>IF(AND(LEN('Providers'!A249)&gt;0,ISNUMBER('Providers'!G249)),1,0)</f>
        <v/>
      </c>
      <c r="B249">
        <f>B248+A249</f>
        <v/>
      </c>
      <c r="C249">
        <f>IF(246&gt;$B$4503,"",MATCH(246-0.5,$B$3:$B$4503,1))</f>
        <v/>
      </c>
      <c r="D249">
        <f>"State license ("&amp;IF(LEN(INDEX('Providers'!$E$4:$E$503,246))=0,"",INDEX('Providers'!$E$4:$E$503,246))&amp;") – "&amp;IF(LEN(INDEX('Providers'!$A$4:$A$503,246))=0,"",INDEX('Providers'!$A$4:$A$503,246))</f>
        <v/>
      </c>
      <c r="E249">
        <f>IF(ISNUMBER(INDEX('Providers'!$G$4:$G$503,246)),TEXT(INDEX('Providers'!$G$4:$G$503,246),"yyyy-mm-dd"),"")</f>
        <v/>
      </c>
      <c r="F249">
        <f>"License"</f>
        <v/>
      </c>
      <c r="G249">
        <f>""</f>
        <v/>
      </c>
      <c r="H249">
        <f>"High"</f>
        <v/>
      </c>
      <c r="I249">
        <f>TRIM(IF(LEN(IF(LEN(INDEX('Providers'!$F$4:$F$503,246))=0,"",INDEX('Providers'!$F$4:$F$503,246)))=0,"","License no.: "&amp;IF(LEN(INDEX('Providers'!$F$4:$F$503,246))=0,"",INDEX('Providers'!$F$4:$F$503,246))&amp;". ")&amp;IF(LEN(IF(LEN(INDEX('Providers'!$C$4:$C$503,246))=0,"",INDEX('Providers'!$C$4:$C$503,246)))=0,"","NPI: "&amp;IF(LEN(INDEX('Providers'!$C$4:$C$503,246))=0,"",INDEX('Providers'!$C$4:$C$503,246))&amp;". ")&amp;IF(LEN(IF(LEN(INDEX('Providers'!$D$4:$D$503,246))=0,"",INDEX('Providers'!$D$4:$D$503,246)))=0,"","Specialty: "&amp;IF(LEN(INDEX('Providers'!$D$4:$D$503,246))=0,"",INDEX('Providers'!$D$4:$D$503,246))&amp;". ")&amp;IF(LEN(IF(LEN(INDEX('Providers'!$AK$4:$AK$503,246))=0,"",INDEX('Providers'!$AK$4:$AK$503,246)))=0,"",IF(LEN(INDEX('Providers'!$AK$4:$AK$503,246))=0,"",INDEX('Providers'!$AK$4:$AK$503,246))))</f>
        <v/>
      </c>
      <c r="J249">
        <f>IF(LEN(INDEX('Providers'!$AJ$4:$AJ$503,246))=0,"",INDEX('Providers'!$AJ$4:$AJ$503,246))</f>
        <v/>
      </c>
      <c r="K249">
        <f>IF(LEN(INDEX('Providers'!$AI$4:$AI$503,246))=0,"",INDEX('Providers'!$AI$4:$AI$503,246))</f>
        <v/>
      </c>
    </row>
    <row r="250">
      <c r="A250">
        <f>IF(AND(LEN('Providers'!A250)&gt;0,ISNUMBER('Providers'!G250)),1,0)</f>
        <v/>
      </c>
      <c r="B250">
        <f>B249+A250</f>
        <v/>
      </c>
      <c r="C250">
        <f>IF(247&gt;$B$4503,"",MATCH(247-0.5,$B$3:$B$4503,1))</f>
        <v/>
      </c>
      <c r="D250">
        <f>"State license ("&amp;IF(LEN(INDEX('Providers'!$E$4:$E$503,247))=0,"",INDEX('Providers'!$E$4:$E$503,247))&amp;") – "&amp;IF(LEN(INDEX('Providers'!$A$4:$A$503,247))=0,"",INDEX('Providers'!$A$4:$A$503,247))</f>
        <v/>
      </c>
      <c r="E250">
        <f>IF(ISNUMBER(INDEX('Providers'!$G$4:$G$503,247)),TEXT(INDEX('Providers'!$G$4:$G$503,247),"yyyy-mm-dd"),"")</f>
        <v/>
      </c>
      <c r="F250">
        <f>"License"</f>
        <v/>
      </c>
      <c r="G250">
        <f>""</f>
        <v/>
      </c>
      <c r="H250">
        <f>"High"</f>
        <v/>
      </c>
      <c r="I250">
        <f>TRIM(IF(LEN(IF(LEN(INDEX('Providers'!$F$4:$F$503,247))=0,"",INDEX('Providers'!$F$4:$F$503,247)))=0,"","License no.: "&amp;IF(LEN(INDEX('Providers'!$F$4:$F$503,247))=0,"",INDEX('Providers'!$F$4:$F$503,247))&amp;". ")&amp;IF(LEN(IF(LEN(INDEX('Providers'!$C$4:$C$503,247))=0,"",INDEX('Providers'!$C$4:$C$503,247)))=0,"","NPI: "&amp;IF(LEN(INDEX('Providers'!$C$4:$C$503,247))=0,"",INDEX('Providers'!$C$4:$C$503,247))&amp;". ")&amp;IF(LEN(IF(LEN(INDEX('Providers'!$D$4:$D$503,247))=0,"",INDEX('Providers'!$D$4:$D$503,247)))=0,"","Specialty: "&amp;IF(LEN(INDEX('Providers'!$D$4:$D$503,247))=0,"",INDEX('Providers'!$D$4:$D$503,247))&amp;". ")&amp;IF(LEN(IF(LEN(INDEX('Providers'!$AK$4:$AK$503,247))=0,"",INDEX('Providers'!$AK$4:$AK$503,247)))=0,"",IF(LEN(INDEX('Providers'!$AK$4:$AK$503,247))=0,"",INDEX('Providers'!$AK$4:$AK$503,247))))</f>
        <v/>
      </c>
      <c r="J250">
        <f>IF(LEN(INDEX('Providers'!$AJ$4:$AJ$503,247))=0,"",INDEX('Providers'!$AJ$4:$AJ$503,247))</f>
        <v/>
      </c>
      <c r="K250">
        <f>IF(LEN(INDEX('Providers'!$AI$4:$AI$503,247))=0,"",INDEX('Providers'!$AI$4:$AI$503,247))</f>
        <v/>
      </c>
    </row>
    <row r="251">
      <c r="A251">
        <f>IF(AND(LEN('Providers'!A251)&gt;0,ISNUMBER('Providers'!G251)),1,0)</f>
        <v/>
      </c>
      <c r="B251">
        <f>B250+A251</f>
        <v/>
      </c>
      <c r="C251">
        <f>IF(248&gt;$B$4503,"",MATCH(248-0.5,$B$3:$B$4503,1))</f>
        <v/>
      </c>
      <c r="D251">
        <f>"State license ("&amp;IF(LEN(INDEX('Providers'!$E$4:$E$503,248))=0,"",INDEX('Providers'!$E$4:$E$503,248))&amp;") – "&amp;IF(LEN(INDEX('Providers'!$A$4:$A$503,248))=0,"",INDEX('Providers'!$A$4:$A$503,248))</f>
        <v/>
      </c>
      <c r="E251">
        <f>IF(ISNUMBER(INDEX('Providers'!$G$4:$G$503,248)),TEXT(INDEX('Providers'!$G$4:$G$503,248),"yyyy-mm-dd"),"")</f>
        <v/>
      </c>
      <c r="F251">
        <f>"License"</f>
        <v/>
      </c>
      <c r="G251">
        <f>""</f>
        <v/>
      </c>
      <c r="H251">
        <f>"High"</f>
        <v/>
      </c>
      <c r="I251">
        <f>TRIM(IF(LEN(IF(LEN(INDEX('Providers'!$F$4:$F$503,248))=0,"",INDEX('Providers'!$F$4:$F$503,248)))=0,"","License no.: "&amp;IF(LEN(INDEX('Providers'!$F$4:$F$503,248))=0,"",INDEX('Providers'!$F$4:$F$503,248))&amp;". ")&amp;IF(LEN(IF(LEN(INDEX('Providers'!$C$4:$C$503,248))=0,"",INDEX('Providers'!$C$4:$C$503,248)))=0,"","NPI: "&amp;IF(LEN(INDEX('Providers'!$C$4:$C$503,248))=0,"",INDEX('Providers'!$C$4:$C$503,248))&amp;". ")&amp;IF(LEN(IF(LEN(INDEX('Providers'!$D$4:$D$503,248))=0,"",INDEX('Providers'!$D$4:$D$503,248)))=0,"","Specialty: "&amp;IF(LEN(INDEX('Providers'!$D$4:$D$503,248))=0,"",INDEX('Providers'!$D$4:$D$503,248))&amp;". ")&amp;IF(LEN(IF(LEN(INDEX('Providers'!$AK$4:$AK$503,248))=0,"",INDEX('Providers'!$AK$4:$AK$503,248)))=0,"",IF(LEN(INDEX('Providers'!$AK$4:$AK$503,248))=0,"",INDEX('Providers'!$AK$4:$AK$503,248))))</f>
        <v/>
      </c>
      <c r="J251">
        <f>IF(LEN(INDEX('Providers'!$AJ$4:$AJ$503,248))=0,"",INDEX('Providers'!$AJ$4:$AJ$503,248))</f>
        <v/>
      </c>
      <c r="K251">
        <f>IF(LEN(INDEX('Providers'!$AI$4:$AI$503,248))=0,"",INDEX('Providers'!$AI$4:$AI$503,248))</f>
        <v/>
      </c>
    </row>
    <row r="252">
      <c r="A252">
        <f>IF(AND(LEN('Providers'!A252)&gt;0,ISNUMBER('Providers'!G252)),1,0)</f>
        <v/>
      </c>
      <c r="B252">
        <f>B251+A252</f>
        <v/>
      </c>
      <c r="C252">
        <f>IF(249&gt;$B$4503,"",MATCH(249-0.5,$B$3:$B$4503,1))</f>
        <v/>
      </c>
      <c r="D252">
        <f>"State license ("&amp;IF(LEN(INDEX('Providers'!$E$4:$E$503,249))=0,"",INDEX('Providers'!$E$4:$E$503,249))&amp;") – "&amp;IF(LEN(INDEX('Providers'!$A$4:$A$503,249))=0,"",INDEX('Providers'!$A$4:$A$503,249))</f>
        <v/>
      </c>
      <c r="E252">
        <f>IF(ISNUMBER(INDEX('Providers'!$G$4:$G$503,249)),TEXT(INDEX('Providers'!$G$4:$G$503,249),"yyyy-mm-dd"),"")</f>
        <v/>
      </c>
      <c r="F252">
        <f>"License"</f>
        <v/>
      </c>
      <c r="G252">
        <f>""</f>
        <v/>
      </c>
      <c r="H252">
        <f>"High"</f>
        <v/>
      </c>
      <c r="I252">
        <f>TRIM(IF(LEN(IF(LEN(INDEX('Providers'!$F$4:$F$503,249))=0,"",INDEX('Providers'!$F$4:$F$503,249)))=0,"","License no.: "&amp;IF(LEN(INDEX('Providers'!$F$4:$F$503,249))=0,"",INDEX('Providers'!$F$4:$F$503,249))&amp;". ")&amp;IF(LEN(IF(LEN(INDEX('Providers'!$C$4:$C$503,249))=0,"",INDEX('Providers'!$C$4:$C$503,249)))=0,"","NPI: "&amp;IF(LEN(INDEX('Providers'!$C$4:$C$503,249))=0,"",INDEX('Providers'!$C$4:$C$503,249))&amp;". ")&amp;IF(LEN(IF(LEN(INDEX('Providers'!$D$4:$D$503,249))=0,"",INDEX('Providers'!$D$4:$D$503,249)))=0,"","Specialty: "&amp;IF(LEN(INDEX('Providers'!$D$4:$D$503,249))=0,"",INDEX('Providers'!$D$4:$D$503,249))&amp;". ")&amp;IF(LEN(IF(LEN(INDEX('Providers'!$AK$4:$AK$503,249))=0,"",INDEX('Providers'!$AK$4:$AK$503,249)))=0,"",IF(LEN(INDEX('Providers'!$AK$4:$AK$503,249))=0,"",INDEX('Providers'!$AK$4:$AK$503,249))))</f>
        <v/>
      </c>
      <c r="J252">
        <f>IF(LEN(INDEX('Providers'!$AJ$4:$AJ$503,249))=0,"",INDEX('Providers'!$AJ$4:$AJ$503,249))</f>
        <v/>
      </c>
      <c r="K252">
        <f>IF(LEN(INDEX('Providers'!$AI$4:$AI$503,249))=0,"",INDEX('Providers'!$AI$4:$AI$503,249))</f>
        <v/>
      </c>
    </row>
    <row r="253">
      <c r="A253">
        <f>IF(AND(LEN('Providers'!A253)&gt;0,ISNUMBER('Providers'!G253)),1,0)</f>
        <v/>
      </c>
      <c r="B253">
        <f>B252+A253</f>
        <v/>
      </c>
      <c r="C253">
        <f>IF(250&gt;$B$4503,"",MATCH(250-0.5,$B$3:$B$4503,1))</f>
        <v/>
      </c>
      <c r="D253">
        <f>"State license ("&amp;IF(LEN(INDEX('Providers'!$E$4:$E$503,250))=0,"",INDEX('Providers'!$E$4:$E$503,250))&amp;") – "&amp;IF(LEN(INDEX('Providers'!$A$4:$A$503,250))=0,"",INDEX('Providers'!$A$4:$A$503,250))</f>
        <v/>
      </c>
      <c r="E253">
        <f>IF(ISNUMBER(INDEX('Providers'!$G$4:$G$503,250)),TEXT(INDEX('Providers'!$G$4:$G$503,250),"yyyy-mm-dd"),"")</f>
        <v/>
      </c>
      <c r="F253">
        <f>"License"</f>
        <v/>
      </c>
      <c r="G253">
        <f>""</f>
        <v/>
      </c>
      <c r="H253">
        <f>"High"</f>
        <v/>
      </c>
      <c r="I253">
        <f>TRIM(IF(LEN(IF(LEN(INDEX('Providers'!$F$4:$F$503,250))=0,"",INDEX('Providers'!$F$4:$F$503,250)))=0,"","License no.: "&amp;IF(LEN(INDEX('Providers'!$F$4:$F$503,250))=0,"",INDEX('Providers'!$F$4:$F$503,250))&amp;". ")&amp;IF(LEN(IF(LEN(INDEX('Providers'!$C$4:$C$503,250))=0,"",INDEX('Providers'!$C$4:$C$503,250)))=0,"","NPI: "&amp;IF(LEN(INDEX('Providers'!$C$4:$C$503,250))=0,"",INDEX('Providers'!$C$4:$C$503,250))&amp;". ")&amp;IF(LEN(IF(LEN(INDEX('Providers'!$D$4:$D$503,250))=0,"",INDEX('Providers'!$D$4:$D$503,250)))=0,"","Specialty: "&amp;IF(LEN(INDEX('Providers'!$D$4:$D$503,250))=0,"",INDEX('Providers'!$D$4:$D$503,250))&amp;". ")&amp;IF(LEN(IF(LEN(INDEX('Providers'!$AK$4:$AK$503,250))=0,"",INDEX('Providers'!$AK$4:$AK$503,250)))=0,"",IF(LEN(INDEX('Providers'!$AK$4:$AK$503,250))=0,"",INDEX('Providers'!$AK$4:$AK$503,250))))</f>
        <v/>
      </c>
      <c r="J253">
        <f>IF(LEN(INDEX('Providers'!$AJ$4:$AJ$503,250))=0,"",INDEX('Providers'!$AJ$4:$AJ$503,250))</f>
        <v/>
      </c>
      <c r="K253">
        <f>IF(LEN(INDEX('Providers'!$AI$4:$AI$503,250))=0,"",INDEX('Providers'!$AI$4:$AI$503,250))</f>
        <v/>
      </c>
    </row>
    <row r="254">
      <c r="A254">
        <f>IF(AND(LEN('Providers'!A254)&gt;0,ISNUMBER('Providers'!G254)),1,0)</f>
        <v/>
      </c>
      <c r="B254">
        <f>B253+A254</f>
        <v/>
      </c>
      <c r="C254">
        <f>IF(251&gt;$B$4503,"",MATCH(251-0.5,$B$3:$B$4503,1))</f>
        <v/>
      </c>
      <c r="D254">
        <f>"State license ("&amp;IF(LEN(INDEX('Providers'!$E$4:$E$503,251))=0,"",INDEX('Providers'!$E$4:$E$503,251))&amp;") – "&amp;IF(LEN(INDEX('Providers'!$A$4:$A$503,251))=0,"",INDEX('Providers'!$A$4:$A$503,251))</f>
        <v/>
      </c>
      <c r="E254">
        <f>IF(ISNUMBER(INDEX('Providers'!$G$4:$G$503,251)),TEXT(INDEX('Providers'!$G$4:$G$503,251),"yyyy-mm-dd"),"")</f>
        <v/>
      </c>
      <c r="F254">
        <f>"License"</f>
        <v/>
      </c>
      <c r="G254">
        <f>""</f>
        <v/>
      </c>
      <c r="H254">
        <f>"High"</f>
        <v/>
      </c>
      <c r="I254">
        <f>TRIM(IF(LEN(IF(LEN(INDEX('Providers'!$F$4:$F$503,251))=0,"",INDEX('Providers'!$F$4:$F$503,251)))=0,"","License no.: "&amp;IF(LEN(INDEX('Providers'!$F$4:$F$503,251))=0,"",INDEX('Providers'!$F$4:$F$503,251))&amp;". ")&amp;IF(LEN(IF(LEN(INDEX('Providers'!$C$4:$C$503,251))=0,"",INDEX('Providers'!$C$4:$C$503,251)))=0,"","NPI: "&amp;IF(LEN(INDEX('Providers'!$C$4:$C$503,251))=0,"",INDEX('Providers'!$C$4:$C$503,251))&amp;". ")&amp;IF(LEN(IF(LEN(INDEX('Providers'!$D$4:$D$503,251))=0,"",INDEX('Providers'!$D$4:$D$503,251)))=0,"","Specialty: "&amp;IF(LEN(INDEX('Providers'!$D$4:$D$503,251))=0,"",INDEX('Providers'!$D$4:$D$503,251))&amp;". ")&amp;IF(LEN(IF(LEN(INDEX('Providers'!$AK$4:$AK$503,251))=0,"",INDEX('Providers'!$AK$4:$AK$503,251)))=0,"",IF(LEN(INDEX('Providers'!$AK$4:$AK$503,251))=0,"",INDEX('Providers'!$AK$4:$AK$503,251))))</f>
        <v/>
      </c>
      <c r="J254">
        <f>IF(LEN(INDEX('Providers'!$AJ$4:$AJ$503,251))=0,"",INDEX('Providers'!$AJ$4:$AJ$503,251))</f>
        <v/>
      </c>
      <c r="K254">
        <f>IF(LEN(INDEX('Providers'!$AI$4:$AI$503,251))=0,"",INDEX('Providers'!$AI$4:$AI$503,251))</f>
        <v/>
      </c>
    </row>
    <row r="255">
      <c r="A255">
        <f>IF(AND(LEN('Providers'!A255)&gt;0,ISNUMBER('Providers'!G255)),1,0)</f>
        <v/>
      </c>
      <c r="B255">
        <f>B254+A255</f>
        <v/>
      </c>
      <c r="C255">
        <f>IF(252&gt;$B$4503,"",MATCH(252-0.5,$B$3:$B$4503,1))</f>
        <v/>
      </c>
      <c r="D255">
        <f>"State license ("&amp;IF(LEN(INDEX('Providers'!$E$4:$E$503,252))=0,"",INDEX('Providers'!$E$4:$E$503,252))&amp;") – "&amp;IF(LEN(INDEX('Providers'!$A$4:$A$503,252))=0,"",INDEX('Providers'!$A$4:$A$503,252))</f>
        <v/>
      </c>
      <c r="E255">
        <f>IF(ISNUMBER(INDEX('Providers'!$G$4:$G$503,252)),TEXT(INDEX('Providers'!$G$4:$G$503,252),"yyyy-mm-dd"),"")</f>
        <v/>
      </c>
      <c r="F255">
        <f>"License"</f>
        <v/>
      </c>
      <c r="G255">
        <f>""</f>
        <v/>
      </c>
      <c r="H255">
        <f>"High"</f>
        <v/>
      </c>
      <c r="I255">
        <f>TRIM(IF(LEN(IF(LEN(INDEX('Providers'!$F$4:$F$503,252))=0,"",INDEX('Providers'!$F$4:$F$503,252)))=0,"","License no.: "&amp;IF(LEN(INDEX('Providers'!$F$4:$F$503,252))=0,"",INDEX('Providers'!$F$4:$F$503,252))&amp;". ")&amp;IF(LEN(IF(LEN(INDEX('Providers'!$C$4:$C$503,252))=0,"",INDEX('Providers'!$C$4:$C$503,252)))=0,"","NPI: "&amp;IF(LEN(INDEX('Providers'!$C$4:$C$503,252))=0,"",INDEX('Providers'!$C$4:$C$503,252))&amp;". ")&amp;IF(LEN(IF(LEN(INDEX('Providers'!$D$4:$D$503,252))=0,"",INDEX('Providers'!$D$4:$D$503,252)))=0,"","Specialty: "&amp;IF(LEN(INDEX('Providers'!$D$4:$D$503,252))=0,"",INDEX('Providers'!$D$4:$D$503,252))&amp;". ")&amp;IF(LEN(IF(LEN(INDEX('Providers'!$AK$4:$AK$503,252))=0,"",INDEX('Providers'!$AK$4:$AK$503,252)))=0,"",IF(LEN(INDEX('Providers'!$AK$4:$AK$503,252))=0,"",INDEX('Providers'!$AK$4:$AK$503,252))))</f>
        <v/>
      </c>
      <c r="J255">
        <f>IF(LEN(INDEX('Providers'!$AJ$4:$AJ$503,252))=0,"",INDEX('Providers'!$AJ$4:$AJ$503,252))</f>
        <v/>
      </c>
      <c r="K255">
        <f>IF(LEN(INDEX('Providers'!$AI$4:$AI$503,252))=0,"",INDEX('Providers'!$AI$4:$AI$503,252))</f>
        <v/>
      </c>
    </row>
    <row r="256">
      <c r="A256">
        <f>IF(AND(LEN('Providers'!A256)&gt;0,ISNUMBER('Providers'!G256)),1,0)</f>
        <v/>
      </c>
      <c r="B256">
        <f>B255+A256</f>
        <v/>
      </c>
      <c r="C256">
        <f>IF(253&gt;$B$4503,"",MATCH(253-0.5,$B$3:$B$4503,1))</f>
        <v/>
      </c>
      <c r="D256">
        <f>"State license ("&amp;IF(LEN(INDEX('Providers'!$E$4:$E$503,253))=0,"",INDEX('Providers'!$E$4:$E$503,253))&amp;") – "&amp;IF(LEN(INDEX('Providers'!$A$4:$A$503,253))=0,"",INDEX('Providers'!$A$4:$A$503,253))</f>
        <v/>
      </c>
      <c r="E256">
        <f>IF(ISNUMBER(INDEX('Providers'!$G$4:$G$503,253)),TEXT(INDEX('Providers'!$G$4:$G$503,253),"yyyy-mm-dd"),"")</f>
        <v/>
      </c>
      <c r="F256">
        <f>"License"</f>
        <v/>
      </c>
      <c r="G256">
        <f>""</f>
        <v/>
      </c>
      <c r="H256">
        <f>"High"</f>
        <v/>
      </c>
      <c r="I256">
        <f>TRIM(IF(LEN(IF(LEN(INDEX('Providers'!$F$4:$F$503,253))=0,"",INDEX('Providers'!$F$4:$F$503,253)))=0,"","License no.: "&amp;IF(LEN(INDEX('Providers'!$F$4:$F$503,253))=0,"",INDEX('Providers'!$F$4:$F$503,253))&amp;". ")&amp;IF(LEN(IF(LEN(INDEX('Providers'!$C$4:$C$503,253))=0,"",INDEX('Providers'!$C$4:$C$503,253)))=0,"","NPI: "&amp;IF(LEN(INDEX('Providers'!$C$4:$C$503,253))=0,"",INDEX('Providers'!$C$4:$C$503,253))&amp;". ")&amp;IF(LEN(IF(LEN(INDEX('Providers'!$D$4:$D$503,253))=0,"",INDEX('Providers'!$D$4:$D$503,253)))=0,"","Specialty: "&amp;IF(LEN(INDEX('Providers'!$D$4:$D$503,253))=0,"",INDEX('Providers'!$D$4:$D$503,253))&amp;". ")&amp;IF(LEN(IF(LEN(INDEX('Providers'!$AK$4:$AK$503,253))=0,"",INDEX('Providers'!$AK$4:$AK$503,253)))=0,"",IF(LEN(INDEX('Providers'!$AK$4:$AK$503,253))=0,"",INDEX('Providers'!$AK$4:$AK$503,253))))</f>
        <v/>
      </c>
      <c r="J256">
        <f>IF(LEN(INDEX('Providers'!$AJ$4:$AJ$503,253))=0,"",INDEX('Providers'!$AJ$4:$AJ$503,253))</f>
        <v/>
      </c>
      <c r="K256">
        <f>IF(LEN(INDEX('Providers'!$AI$4:$AI$503,253))=0,"",INDEX('Providers'!$AI$4:$AI$503,253))</f>
        <v/>
      </c>
    </row>
    <row r="257">
      <c r="A257">
        <f>IF(AND(LEN('Providers'!A257)&gt;0,ISNUMBER('Providers'!G257)),1,0)</f>
        <v/>
      </c>
      <c r="B257">
        <f>B256+A257</f>
        <v/>
      </c>
      <c r="C257">
        <f>IF(254&gt;$B$4503,"",MATCH(254-0.5,$B$3:$B$4503,1))</f>
        <v/>
      </c>
      <c r="D257">
        <f>"State license ("&amp;IF(LEN(INDEX('Providers'!$E$4:$E$503,254))=0,"",INDEX('Providers'!$E$4:$E$503,254))&amp;") – "&amp;IF(LEN(INDEX('Providers'!$A$4:$A$503,254))=0,"",INDEX('Providers'!$A$4:$A$503,254))</f>
        <v/>
      </c>
      <c r="E257">
        <f>IF(ISNUMBER(INDEX('Providers'!$G$4:$G$503,254)),TEXT(INDEX('Providers'!$G$4:$G$503,254),"yyyy-mm-dd"),"")</f>
        <v/>
      </c>
      <c r="F257">
        <f>"License"</f>
        <v/>
      </c>
      <c r="G257">
        <f>""</f>
        <v/>
      </c>
      <c r="H257">
        <f>"High"</f>
        <v/>
      </c>
      <c r="I257">
        <f>TRIM(IF(LEN(IF(LEN(INDEX('Providers'!$F$4:$F$503,254))=0,"",INDEX('Providers'!$F$4:$F$503,254)))=0,"","License no.: "&amp;IF(LEN(INDEX('Providers'!$F$4:$F$503,254))=0,"",INDEX('Providers'!$F$4:$F$503,254))&amp;". ")&amp;IF(LEN(IF(LEN(INDEX('Providers'!$C$4:$C$503,254))=0,"",INDEX('Providers'!$C$4:$C$503,254)))=0,"","NPI: "&amp;IF(LEN(INDEX('Providers'!$C$4:$C$503,254))=0,"",INDEX('Providers'!$C$4:$C$503,254))&amp;". ")&amp;IF(LEN(IF(LEN(INDEX('Providers'!$D$4:$D$503,254))=0,"",INDEX('Providers'!$D$4:$D$503,254)))=0,"","Specialty: "&amp;IF(LEN(INDEX('Providers'!$D$4:$D$503,254))=0,"",INDEX('Providers'!$D$4:$D$503,254))&amp;". ")&amp;IF(LEN(IF(LEN(INDEX('Providers'!$AK$4:$AK$503,254))=0,"",INDEX('Providers'!$AK$4:$AK$503,254)))=0,"",IF(LEN(INDEX('Providers'!$AK$4:$AK$503,254))=0,"",INDEX('Providers'!$AK$4:$AK$503,254))))</f>
        <v/>
      </c>
      <c r="J257">
        <f>IF(LEN(INDEX('Providers'!$AJ$4:$AJ$503,254))=0,"",INDEX('Providers'!$AJ$4:$AJ$503,254))</f>
        <v/>
      </c>
      <c r="K257">
        <f>IF(LEN(INDEX('Providers'!$AI$4:$AI$503,254))=0,"",INDEX('Providers'!$AI$4:$AI$503,254))</f>
        <v/>
      </c>
    </row>
    <row r="258">
      <c r="A258">
        <f>IF(AND(LEN('Providers'!A258)&gt;0,ISNUMBER('Providers'!G258)),1,0)</f>
        <v/>
      </c>
      <c r="B258">
        <f>B257+A258</f>
        <v/>
      </c>
      <c r="C258">
        <f>IF(255&gt;$B$4503,"",MATCH(255-0.5,$B$3:$B$4503,1))</f>
        <v/>
      </c>
      <c r="D258">
        <f>"State license ("&amp;IF(LEN(INDEX('Providers'!$E$4:$E$503,255))=0,"",INDEX('Providers'!$E$4:$E$503,255))&amp;") – "&amp;IF(LEN(INDEX('Providers'!$A$4:$A$503,255))=0,"",INDEX('Providers'!$A$4:$A$503,255))</f>
        <v/>
      </c>
      <c r="E258">
        <f>IF(ISNUMBER(INDEX('Providers'!$G$4:$G$503,255)),TEXT(INDEX('Providers'!$G$4:$G$503,255),"yyyy-mm-dd"),"")</f>
        <v/>
      </c>
      <c r="F258">
        <f>"License"</f>
        <v/>
      </c>
      <c r="G258">
        <f>""</f>
        <v/>
      </c>
      <c r="H258">
        <f>"High"</f>
        <v/>
      </c>
      <c r="I258">
        <f>TRIM(IF(LEN(IF(LEN(INDEX('Providers'!$F$4:$F$503,255))=0,"",INDEX('Providers'!$F$4:$F$503,255)))=0,"","License no.: "&amp;IF(LEN(INDEX('Providers'!$F$4:$F$503,255))=0,"",INDEX('Providers'!$F$4:$F$503,255))&amp;". ")&amp;IF(LEN(IF(LEN(INDEX('Providers'!$C$4:$C$503,255))=0,"",INDEX('Providers'!$C$4:$C$503,255)))=0,"","NPI: "&amp;IF(LEN(INDEX('Providers'!$C$4:$C$503,255))=0,"",INDEX('Providers'!$C$4:$C$503,255))&amp;". ")&amp;IF(LEN(IF(LEN(INDEX('Providers'!$D$4:$D$503,255))=0,"",INDEX('Providers'!$D$4:$D$503,255)))=0,"","Specialty: "&amp;IF(LEN(INDEX('Providers'!$D$4:$D$503,255))=0,"",INDEX('Providers'!$D$4:$D$503,255))&amp;". ")&amp;IF(LEN(IF(LEN(INDEX('Providers'!$AK$4:$AK$503,255))=0,"",INDEX('Providers'!$AK$4:$AK$503,255)))=0,"",IF(LEN(INDEX('Providers'!$AK$4:$AK$503,255))=0,"",INDEX('Providers'!$AK$4:$AK$503,255))))</f>
        <v/>
      </c>
      <c r="J258">
        <f>IF(LEN(INDEX('Providers'!$AJ$4:$AJ$503,255))=0,"",INDEX('Providers'!$AJ$4:$AJ$503,255))</f>
        <v/>
      </c>
      <c r="K258">
        <f>IF(LEN(INDEX('Providers'!$AI$4:$AI$503,255))=0,"",INDEX('Providers'!$AI$4:$AI$503,255))</f>
        <v/>
      </c>
    </row>
    <row r="259">
      <c r="A259">
        <f>IF(AND(LEN('Providers'!A259)&gt;0,ISNUMBER('Providers'!G259)),1,0)</f>
        <v/>
      </c>
      <c r="B259">
        <f>B258+A259</f>
        <v/>
      </c>
      <c r="C259">
        <f>IF(256&gt;$B$4503,"",MATCH(256-0.5,$B$3:$B$4503,1))</f>
        <v/>
      </c>
      <c r="D259">
        <f>"State license ("&amp;IF(LEN(INDEX('Providers'!$E$4:$E$503,256))=0,"",INDEX('Providers'!$E$4:$E$503,256))&amp;") – "&amp;IF(LEN(INDEX('Providers'!$A$4:$A$503,256))=0,"",INDEX('Providers'!$A$4:$A$503,256))</f>
        <v/>
      </c>
      <c r="E259">
        <f>IF(ISNUMBER(INDEX('Providers'!$G$4:$G$503,256)),TEXT(INDEX('Providers'!$G$4:$G$503,256),"yyyy-mm-dd"),"")</f>
        <v/>
      </c>
      <c r="F259">
        <f>"License"</f>
        <v/>
      </c>
      <c r="G259">
        <f>""</f>
        <v/>
      </c>
      <c r="H259">
        <f>"High"</f>
        <v/>
      </c>
      <c r="I259">
        <f>TRIM(IF(LEN(IF(LEN(INDEX('Providers'!$F$4:$F$503,256))=0,"",INDEX('Providers'!$F$4:$F$503,256)))=0,"","License no.: "&amp;IF(LEN(INDEX('Providers'!$F$4:$F$503,256))=0,"",INDEX('Providers'!$F$4:$F$503,256))&amp;". ")&amp;IF(LEN(IF(LEN(INDEX('Providers'!$C$4:$C$503,256))=0,"",INDEX('Providers'!$C$4:$C$503,256)))=0,"","NPI: "&amp;IF(LEN(INDEX('Providers'!$C$4:$C$503,256))=0,"",INDEX('Providers'!$C$4:$C$503,256))&amp;". ")&amp;IF(LEN(IF(LEN(INDEX('Providers'!$D$4:$D$503,256))=0,"",INDEX('Providers'!$D$4:$D$503,256)))=0,"","Specialty: "&amp;IF(LEN(INDEX('Providers'!$D$4:$D$503,256))=0,"",INDEX('Providers'!$D$4:$D$503,256))&amp;". ")&amp;IF(LEN(IF(LEN(INDEX('Providers'!$AK$4:$AK$503,256))=0,"",INDEX('Providers'!$AK$4:$AK$503,256)))=0,"",IF(LEN(INDEX('Providers'!$AK$4:$AK$503,256))=0,"",INDEX('Providers'!$AK$4:$AK$503,256))))</f>
        <v/>
      </c>
      <c r="J259">
        <f>IF(LEN(INDEX('Providers'!$AJ$4:$AJ$503,256))=0,"",INDEX('Providers'!$AJ$4:$AJ$503,256))</f>
        <v/>
      </c>
      <c r="K259">
        <f>IF(LEN(INDEX('Providers'!$AI$4:$AI$503,256))=0,"",INDEX('Providers'!$AI$4:$AI$503,256))</f>
        <v/>
      </c>
    </row>
    <row r="260">
      <c r="A260">
        <f>IF(AND(LEN('Providers'!A260)&gt;0,ISNUMBER('Providers'!G260)),1,0)</f>
        <v/>
      </c>
      <c r="B260">
        <f>B259+A260</f>
        <v/>
      </c>
      <c r="C260">
        <f>IF(257&gt;$B$4503,"",MATCH(257-0.5,$B$3:$B$4503,1))</f>
        <v/>
      </c>
      <c r="D260">
        <f>"State license ("&amp;IF(LEN(INDEX('Providers'!$E$4:$E$503,257))=0,"",INDEX('Providers'!$E$4:$E$503,257))&amp;") – "&amp;IF(LEN(INDEX('Providers'!$A$4:$A$503,257))=0,"",INDEX('Providers'!$A$4:$A$503,257))</f>
        <v/>
      </c>
      <c r="E260">
        <f>IF(ISNUMBER(INDEX('Providers'!$G$4:$G$503,257)),TEXT(INDEX('Providers'!$G$4:$G$503,257),"yyyy-mm-dd"),"")</f>
        <v/>
      </c>
      <c r="F260">
        <f>"License"</f>
        <v/>
      </c>
      <c r="G260">
        <f>""</f>
        <v/>
      </c>
      <c r="H260">
        <f>"High"</f>
        <v/>
      </c>
      <c r="I260">
        <f>TRIM(IF(LEN(IF(LEN(INDEX('Providers'!$F$4:$F$503,257))=0,"",INDEX('Providers'!$F$4:$F$503,257)))=0,"","License no.: "&amp;IF(LEN(INDEX('Providers'!$F$4:$F$503,257))=0,"",INDEX('Providers'!$F$4:$F$503,257))&amp;". ")&amp;IF(LEN(IF(LEN(INDEX('Providers'!$C$4:$C$503,257))=0,"",INDEX('Providers'!$C$4:$C$503,257)))=0,"","NPI: "&amp;IF(LEN(INDEX('Providers'!$C$4:$C$503,257))=0,"",INDEX('Providers'!$C$4:$C$503,257))&amp;". ")&amp;IF(LEN(IF(LEN(INDEX('Providers'!$D$4:$D$503,257))=0,"",INDEX('Providers'!$D$4:$D$503,257)))=0,"","Specialty: "&amp;IF(LEN(INDEX('Providers'!$D$4:$D$503,257))=0,"",INDEX('Providers'!$D$4:$D$503,257))&amp;". ")&amp;IF(LEN(IF(LEN(INDEX('Providers'!$AK$4:$AK$503,257))=0,"",INDEX('Providers'!$AK$4:$AK$503,257)))=0,"",IF(LEN(INDEX('Providers'!$AK$4:$AK$503,257))=0,"",INDEX('Providers'!$AK$4:$AK$503,257))))</f>
        <v/>
      </c>
      <c r="J260">
        <f>IF(LEN(INDEX('Providers'!$AJ$4:$AJ$503,257))=0,"",INDEX('Providers'!$AJ$4:$AJ$503,257))</f>
        <v/>
      </c>
      <c r="K260">
        <f>IF(LEN(INDEX('Providers'!$AI$4:$AI$503,257))=0,"",INDEX('Providers'!$AI$4:$AI$503,257))</f>
        <v/>
      </c>
    </row>
    <row r="261">
      <c r="A261">
        <f>IF(AND(LEN('Providers'!A261)&gt;0,ISNUMBER('Providers'!G261)),1,0)</f>
        <v/>
      </c>
      <c r="B261">
        <f>B260+A261</f>
        <v/>
      </c>
      <c r="C261">
        <f>IF(258&gt;$B$4503,"",MATCH(258-0.5,$B$3:$B$4503,1))</f>
        <v/>
      </c>
      <c r="D261">
        <f>"State license ("&amp;IF(LEN(INDEX('Providers'!$E$4:$E$503,258))=0,"",INDEX('Providers'!$E$4:$E$503,258))&amp;") – "&amp;IF(LEN(INDEX('Providers'!$A$4:$A$503,258))=0,"",INDEX('Providers'!$A$4:$A$503,258))</f>
        <v/>
      </c>
      <c r="E261">
        <f>IF(ISNUMBER(INDEX('Providers'!$G$4:$G$503,258)),TEXT(INDEX('Providers'!$G$4:$G$503,258),"yyyy-mm-dd"),"")</f>
        <v/>
      </c>
      <c r="F261">
        <f>"License"</f>
        <v/>
      </c>
      <c r="G261">
        <f>""</f>
        <v/>
      </c>
      <c r="H261">
        <f>"High"</f>
        <v/>
      </c>
      <c r="I261">
        <f>TRIM(IF(LEN(IF(LEN(INDEX('Providers'!$F$4:$F$503,258))=0,"",INDEX('Providers'!$F$4:$F$503,258)))=0,"","License no.: "&amp;IF(LEN(INDEX('Providers'!$F$4:$F$503,258))=0,"",INDEX('Providers'!$F$4:$F$503,258))&amp;". ")&amp;IF(LEN(IF(LEN(INDEX('Providers'!$C$4:$C$503,258))=0,"",INDEX('Providers'!$C$4:$C$503,258)))=0,"","NPI: "&amp;IF(LEN(INDEX('Providers'!$C$4:$C$503,258))=0,"",INDEX('Providers'!$C$4:$C$503,258))&amp;". ")&amp;IF(LEN(IF(LEN(INDEX('Providers'!$D$4:$D$503,258))=0,"",INDEX('Providers'!$D$4:$D$503,258)))=0,"","Specialty: "&amp;IF(LEN(INDEX('Providers'!$D$4:$D$503,258))=0,"",INDEX('Providers'!$D$4:$D$503,258))&amp;". ")&amp;IF(LEN(IF(LEN(INDEX('Providers'!$AK$4:$AK$503,258))=0,"",INDEX('Providers'!$AK$4:$AK$503,258)))=0,"",IF(LEN(INDEX('Providers'!$AK$4:$AK$503,258))=0,"",INDEX('Providers'!$AK$4:$AK$503,258))))</f>
        <v/>
      </c>
      <c r="J261">
        <f>IF(LEN(INDEX('Providers'!$AJ$4:$AJ$503,258))=0,"",INDEX('Providers'!$AJ$4:$AJ$503,258))</f>
        <v/>
      </c>
      <c r="K261">
        <f>IF(LEN(INDEX('Providers'!$AI$4:$AI$503,258))=0,"",INDEX('Providers'!$AI$4:$AI$503,258))</f>
        <v/>
      </c>
    </row>
    <row r="262">
      <c r="A262">
        <f>IF(AND(LEN('Providers'!A262)&gt;0,ISNUMBER('Providers'!G262)),1,0)</f>
        <v/>
      </c>
      <c r="B262">
        <f>B261+A262</f>
        <v/>
      </c>
      <c r="C262">
        <f>IF(259&gt;$B$4503,"",MATCH(259-0.5,$B$3:$B$4503,1))</f>
        <v/>
      </c>
      <c r="D262">
        <f>"State license ("&amp;IF(LEN(INDEX('Providers'!$E$4:$E$503,259))=0,"",INDEX('Providers'!$E$4:$E$503,259))&amp;") – "&amp;IF(LEN(INDEX('Providers'!$A$4:$A$503,259))=0,"",INDEX('Providers'!$A$4:$A$503,259))</f>
        <v/>
      </c>
      <c r="E262">
        <f>IF(ISNUMBER(INDEX('Providers'!$G$4:$G$503,259)),TEXT(INDEX('Providers'!$G$4:$G$503,259),"yyyy-mm-dd"),"")</f>
        <v/>
      </c>
      <c r="F262">
        <f>"License"</f>
        <v/>
      </c>
      <c r="G262">
        <f>""</f>
        <v/>
      </c>
      <c r="H262">
        <f>"High"</f>
        <v/>
      </c>
      <c r="I262">
        <f>TRIM(IF(LEN(IF(LEN(INDEX('Providers'!$F$4:$F$503,259))=0,"",INDEX('Providers'!$F$4:$F$503,259)))=0,"","License no.: "&amp;IF(LEN(INDEX('Providers'!$F$4:$F$503,259))=0,"",INDEX('Providers'!$F$4:$F$503,259))&amp;". ")&amp;IF(LEN(IF(LEN(INDEX('Providers'!$C$4:$C$503,259))=0,"",INDEX('Providers'!$C$4:$C$503,259)))=0,"","NPI: "&amp;IF(LEN(INDEX('Providers'!$C$4:$C$503,259))=0,"",INDEX('Providers'!$C$4:$C$503,259))&amp;". ")&amp;IF(LEN(IF(LEN(INDEX('Providers'!$D$4:$D$503,259))=0,"",INDEX('Providers'!$D$4:$D$503,259)))=0,"","Specialty: "&amp;IF(LEN(INDEX('Providers'!$D$4:$D$503,259))=0,"",INDEX('Providers'!$D$4:$D$503,259))&amp;". ")&amp;IF(LEN(IF(LEN(INDEX('Providers'!$AK$4:$AK$503,259))=0,"",INDEX('Providers'!$AK$4:$AK$503,259)))=0,"",IF(LEN(INDEX('Providers'!$AK$4:$AK$503,259))=0,"",INDEX('Providers'!$AK$4:$AK$503,259))))</f>
        <v/>
      </c>
      <c r="J262">
        <f>IF(LEN(INDEX('Providers'!$AJ$4:$AJ$503,259))=0,"",INDEX('Providers'!$AJ$4:$AJ$503,259))</f>
        <v/>
      </c>
      <c r="K262">
        <f>IF(LEN(INDEX('Providers'!$AI$4:$AI$503,259))=0,"",INDEX('Providers'!$AI$4:$AI$503,259))</f>
        <v/>
      </c>
    </row>
    <row r="263">
      <c r="A263">
        <f>IF(AND(LEN('Providers'!A263)&gt;0,ISNUMBER('Providers'!G263)),1,0)</f>
        <v/>
      </c>
      <c r="B263">
        <f>B262+A263</f>
        <v/>
      </c>
      <c r="C263">
        <f>IF(260&gt;$B$4503,"",MATCH(260-0.5,$B$3:$B$4503,1))</f>
        <v/>
      </c>
      <c r="D263">
        <f>"State license ("&amp;IF(LEN(INDEX('Providers'!$E$4:$E$503,260))=0,"",INDEX('Providers'!$E$4:$E$503,260))&amp;") – "&amp;IF(LEN(INDEX('Providers'!$A$4:$A$503,260))=0,"",INDEX('Providers'!$A$4:$A$503,260))</f>
        <v/>
      </c>
      <c r="E263">
        <f>IF(ISNUMBER(INDEX('Providers'!$G$4:$G$503,260)),TEXT(INDEX('Providers'!$G$4:$G$503,260),"yyyy-mm-dd"),"")</f>
        <v/>
      </c>
      <c r="F263">
        <f>"License"</f>
        <v/>
      </c>
      <c r="G263">
        <f>""</f>
        <v/>
      </c>
      <c r="H263">
        <f>"High"</f>
        <v/>
      </c>
      <c r="I263">
        <f>TRIM(IF(LEN(IF(LEN(INDEX('Providers'!$F$4:$F$503,260))=0,"",INDEX('Providers'!$F$4:$F$503,260)))=0,"","License no.: "&amp;IF(LEN(INDEX('Providers'!$F$4:$F$503,260))=0,"",INDEX('Providers'!$F$4:$F$503,260))&amp;". ")&amp;IF(LEN(IF(LEN(INDEX('Providers'!$C$4:$C$503,260))=0,"",INDEX('Providers'!$C$4:$C$503,260)))=0,"","NPI: "&amp;IF(LEN(INDEX('Providers'!$C$4:$C$503,260))=0,"",INDEX('Providers'!$C$4:$C$503,260))&amp;". ")&amp;IF(LEN(IF(LEN(INDEX('Providers'!$D$4:$D$503,260))=0,"",INDEX('Providers'!$D$4:$D$503,260)))=0,"","Specialty: "&amp;IF(LEN(INDEX('Providers'!$D$4:$D$503,260))=0,"",INDEX('Providers'!$D$4:$D$503,260))&amp;". ")&amp;IF(LEN(IF(LEN(INDEX('Providers'!$AK$4:$AK$503,260))=0,"",INDEX('Providers'!$AK$4:$AK$503,260)))=0,"",IF(LEN(INDEX('Providers'!$AK$4:$AK$503,260))=0,"",INDEX('Providers'!$AK$4:$AK$503,260))))</f>
        <v/>
      </c>
      <c r="J263">
        <f>IF(LEN(INDEX('Providers'!$AJ$4:$AJ$503,260))=0,"",INDEX('Providers'!$AJ$4:$AJ$503,260))</f>
        <v/>
      </c>
      <c r="K263">
        <f>IF(LEN(INDEX('Providers'!$AI$4:$AI$503,260))=0,"",INDEX('Providers'!$AI$4:$AI$503,260))</f>
        <v/>
      </c>
    </row>
    <row r="264">
      <c r="A264">
        <f>IF(AND(LEN('Providers'!A264)&gt;0,ISNUMBER('Providers'!G264)),1,0)</f>
        <v/>
      </c>
      <c r="B264">
        <f>B263+A264</f>
        <v/>
      </c>
      <c r="C264">
        <f>IF(261&gt;$B$4503,"",MATCH(261-0.5,$B$3:$B$4503,1))</f>
        <v/>
      </c>
      <c r="D264">
        <f>"State license ("&amp;IF(LEN(INDEX('Providers'!$E$4:$E$503,261))=0,"",INDEX('Providers'!$E$4:$E$503,261))&amp;") – "&amp;IF(LEN(INDEX('Providers'!$A$4:$A$503,261))=0,"",INDEX('Providers'!$A$4:$A$503,261))</f>
        <v/>
      </c>
      <c r="E264">
        <f>IF(ISNUMBER(INDEX('Providers'!$G$4:$G$503,261)),TEXT(INDEX('Providers'!$G$4:$G$503,261),"yyyy-mm-dd"),"")</f>
        <v/>
      </c>
      <c r="F264">
        <f>"License"</f>
        <v/>
      </c>
      <c r="G264">
        <f>""</f>
        <v/>
      </c>
      <c r="H264">
        <f>"High"</f>
        <v/>
      </c>
      <c r="I264">
        <f>TRIM(IF(LEN(IF(LEN(INDEX('Providers'!$F$4:$F$503,261))=0,"",INDEX('Providers'!$F$4:$F$503,261)))=0,"","License no.: "&amp;IF(LEN(INDEX('Providers'!$F$4:$F$503,261))=0,"",INDEX('Providers'!$F$4:$F$503,261))&amp;". ")&amp;IF(LEN(IF(LEN(INDEX('Providers'!$C$4:$C$503,261))=0,"",INDEX('Providers'!$C$4:$C$503,261)))=0,"","NPI: "&amp;IF(LEN(INDEX('Providers'!$C$4:$C$503,261))=0,"",INDEX('Providers'!$C$4:$C$503,261))&amp;". ")&amp;IF(LEN(IF(LEN(INDEX('Providers'!$D$4:$D$503,261))=0,"",INDEX('Providers'!$D$4:$D$503,261)))=0,"","Specialty: "&amp;IF(LEN(INDEX('Providers'!$D$4:$D$503,261))=0,"",INDEX('Providers'!$D$4:$D$503,261))&amp;". ")&amp;IF(LEN(IF(LEN(INDEX('Providers'!$AK$4:$AK$503,261))=0,"",INDEX('Providers'!$AK$4:$AK$503,261)))=0,"",IF(LEN(INDEX('Providers'!$AK$4:$AK$503,261))=0,"",INDEX('Providers'!$AK$4:$AK$503,261))))</f>
        <v/>
      </c>
      <c r="J264">
        <f>IF(LEN(INDEX('Providers'!$AJ$4:$AJ$503,261))=0,"",INDEX('Providers'!$AJ$4:$AJ$503,261))</f>
        <v/>
      </c>
      <c r="K264">
        <f>IF(LEN(INDEX('Providers'!$AI$4:$AI$503,261))=0,"",INDEX('Providers'!$AI$4:$AI$503,261))</f>
        <v/>
      </c>
    </row>
    <row r="265">
      <c r="A265">
        <f>IF(AND(LEN('Providers'!A265)&gt;0,ISNUMBER('Providers'!G265)),1,0)</f>
        <v/>
      </c>
      <c r="B265">
        <f>B264+A265</f>
        <v/>
      </c>
      <c r="C265">
        <f>IF(262&gt;$B$4503,"",MATCH(262-0.5,$B$3:$B$4503,1))</f>
        <v/>
      </c>
      <c r="D265">
        <f>"State license ("&amp;IF(LEN(INDEX('Providers'!$E$4:$E$503,262))=0,"",INDEX('Providers'!$E$4:$E$503,262))&amp;") – "&amp;IF(LEN(INDEX('Providers'!$A$4:$A$503,262))=0,"",INDEX('Providers'!$A$4:$A$503,262))</f>
        <v/>
      </c>
      <c r="E265">
        <f>IF(ISNUMBER(INDEX('Providers'!$G$4:$G$503,262)),TEXT(INDEX('Providers'!$G$4:$G$503,262),"yyyy-mm-dd"),"")</f>
        <v/>
      </c>
      <c r="F265">
        <f>"License"</f>
        <v/>
      </c>
      <c r="G265">
        <f>""</f>
        <v/>
      </c>
      <c r="H265">
        <f>"High"</f>
        <v/>
      </c>
      <c r="I265">
        <f>TRIM(IF(LEN(IF(LEN(INDEX('Providers'!$F$4:$F$503,262))=0,"",INDEX('Providers'!$F$4:$F$503,262)))=0,"","License no.: "&amp;IF(LEN(INDEX('Providers'!$F$4:$F$503,262))=0,"",INDEX('Providers'!$F$4:$F$503,262))&amp;". ")&amp;IF(LEN(IF(LEN(INDEX('Providers'!$C$4:$C$503,262))=0,"",INDEX('Providers'!$C$4:$C$503,262)))=0,"","NPI: "&amp;IF(LEN(INDEX('Providers'!$C$4:$C$503,262))=0,"",INDEX('Providers'!$C$4:$C$503,262))&amp;". ")&amp;IF(LEN(IF(LEN(INDEX('Providers'!$D$4:$D$503,262))=0,"",INDEX('Providers'!$D$4:$D$503,262)))=0,"","Specialty: "&amp;IF(LEN(INDEX('Providers'!$D$4:$D$503,262))=0,"",INDEX('Providers'!$D$4:$D$503,262))&amp;". ")&amp;IF(LEN(IF(LEN(INDEX('Providers'!$AK$4:$AK$503,262))=0,"",INDEX('Providers'!$AK$4:$AK$503,262)))=0,"",IF(LEN(INDEX('Providers'!$AK$4:$AK$503,262))=0,"",INDEX('Providers'!$AK$4:$AK$503,262))))</f>
        <v/>
      </c>
      <c r="J265">
        <f>IF(LEN(INDEX('Providers'!$AJ$4:$AJ$503,262))=0,"",INDEX('Providers'!$AJ$4:$AJ$503,262))</f>
        <v/>
      </c>
      <c r="K265">
        <f>IF(LEN(INDEX('Providers'!$AI$4:$AI$503,262))=0,"",INDEX('Providers'!$AI$4:$AI$503,262))</f>
        <v/>
      </c>
    </row>
    <row r="266">
      <c r="A266">
        <f>IF(AND(LEN('Providers'!A266)&gt;0,ISNUMBER('Providers'!G266)),1,0)</f>
        <v/>
      </c>
      <c r="B266">
        <f>B265+A266</f>
        <v/>
      </c>
      <c r="C266">
        <f>IF(263&gt;$B$4503,"",MATCH(263-0.5,$B$3:$B$4503,1))</f>
        <v/>
      </c>
      <c r="D266">
        <f>"State license ("&amp;IF(LEN(INDEX('Providers'!$E$4:$E$503,263))=0,"",INDEX('Providers'!$E$4:$E$503,263))&amp;") – "&amp;IF(LEN(INDEX('Providers'!$A$4:$A$503,263))=0,"",INDEX('Providers'!$A$4:$A$503,263))</f>
        <v/>
      </c>
      <c r="E266">
        <f>IF(ISNUMBER(INDEX('Providers'!$G$4:$G$503,263)),TEXT(INDEX('Providers'!$G$4:$G$503,263),"yyyy-mm-dd"),"")</f>
        <v/>
      </c>
      <c r="F266">
        <f>"License"</f>
        <v/>
      </c>
      <c r="G266">
        <f>""</f>
        <v/>
      </c>
      <c r="H266">
        <f>"High"</f>
        <v/>
      </c>
      <c r="I266">
        <f>TRIM(IF(LEN(IF(LEN(INDEX('Providers'!$F$4:$F$503,263))=0,"",INDEX('Providers'!$F$4:$F$503,263)))=0,"","License no.: "&amp;IF(LEN(INDEX('Providers'!$F$4:$F$503,263))=0,"",INDEX('Providers'!$F$4:$F$503,263))&amp;". ")&amp;IF(LEN(IF(LEN(INDEX('Providers'!$C$4:$C$503,263))=0,"",INDEX('Providers'!$C$4:$C$503,263)))=0,"","NPI: "&amp;IF(LEN(INDEX('Providers'!$C$4:$C$503,263))=0,"",INDEX('Providers'!$C$4:$C$503,263))&amp;". ")&amp;IF(LEN(IF(LEN(INDEX('Providers'!$D$4:$D$503,263))=0,"",INDEX('Providers'!$D$4:$D$503,263)))=0,"","Specialty: "&amp;IF(LEN(INDEX('Providers'!$D$4:$D$503,263))=0,"",INDEX('Providers'!$D$4:$D$503,263))&amp;". ")&amp;IF(LEN(IF(LEN(INDEX('Providers'!$AK$4:$AK$503,263))=0,"",INDEX('Providers'!$AK$4:$AK$503,263)))=0,"",IF(LEN(INDEX('Providers'!$AK$4:$AK$503,263))=0,"",INDEX('Providers'!$AK$4:$AK$503,263))))</f>
        <v/>
      </c>
      <c r="J266">
        <f>IF(LEN(INDEX('Providers'!$AJ$4:$AJ$503,263))=0,"",INDEX('Providers'!$AJ$4:$AJ$503,263))</f>
        <v/>
      </c>
      <c r="K266">
        <f>IF(LEN(INDEX('Providers'!$AI$4:$AI$503,263))=0,"",INDEX('Providers'!$AI$4:$AI$503,263))</f>
        <v/>
      </c>
    </row>
    <row r="267">
      <c r="A267">
        <f>IF(AND(LEN('Providers'!A267)&gt;0,ISNUMBER('Providers'!G267)),1,0)</f>
        <v/>
      </c>
      <c r="B267">
        <f>B266+A267</f>
        <v/>
      </c>
      <c r="C267">
        <f>IF(264&gt;$B$4503,"",MATCH(264-0.5,$B$3:$B$4503,1))</f>
        <v/>
      </c>
      <c r="D267">
        <f>"State license ("&amp;IF(LEN(INDEX('Providers'!$E$4:$E$503,264))=0,"",INDEX('Providers'!$E$4:$E$503,264))&amp;") – "&amp;IF(LEN(INDEX('Providers'!$A$4:$A$503,264))=0,"",INDEX('Providers'!$A$4:$A$503,264))</f>
        <v/>
      </c>
      <c r="E267">
        <f>IF(ISNUMBER(INDEX('Providers'!$G$4:$G$503,264)),TEXT(INDEX('Providers'!$G$4:$G$503,264),"yyyy-mm-dd"),"")</f>
        <v/>
      </c>
      <c r="F267">
        <f>"License"</f>
        <v/>
      </c>
      <c r="G267">
        <f>""</f>
        <v/>
      </c>
      <c r="H267">
        <f>"High"</f>
        <v/>
      </c>
      <c r="I267">
        <f>TRIM(IF(LEN(IF(LEN(INDEX('Providers'!$F$4:$F$503,264))=0,"",INDEX('Providers'!$F$4:$F$503,264)))=0,"","License no.: "&amp;IF(LEN(INDEX('Providers'!$F$4:$F$503,264))=0,"",INDEX('Providers'!$F$4:$F$503,264))&amp;". ")&amp;IF(LEN(IF(LEN(INDEX('Providers'!$C$4:$C$503,264))=0,"",INDEX('Providers'!$C$4:$C$503,264)))=0,"","NPI: "&amp;IF(LEN(INDEX('Providers'!$C$4:$C$503,264))=0,"",INDEX('Providers'!$C$4:$C$503,264))&amp;". ")&amp;IF(LEN(IF(LEN(INDEX('Providers'!$D$4:$D$503,264))=0,"",INDEX('Providers'!$D$4:$D$503,264)))=0,"","Specialty: "&amp;IF(LEN(INDEX('Providers'!$D$4:$D$503,264))=0,"",INDEX('Providers'!$D$4:$D$503,264))&amp;". ")&amp;IF(LEN(IF(LEN(INDEX('Providers'!$AK$4:$AK$503,264))=0,"",INDEX('Providers'!$AK$4:$AK$503,264)))=0,"",IF(LEN(INDEX('Providers'!$AK$4:$AK$503,264))=0,"",INDEX('Providers'!$AK$4:$AK$503,264))))</f>
        <v/>
      </c>
      <c r="J267">
        <f>IF(LEN(INDEX('Providers'!$AJ$4:$AJ$503,264))=0,"",INDEX('Providers'!$AJ$4:$AJ$503,264))</f>
        <v/>
      </c>
      <c r="K267">
        <f>IF(LEN(INDEX('Providers'!$AI$4:$AI$503,264))=0,"",INDEX('Providers'!$AI$4:$AI$503,264))</f>
        <v/>
      </c>
    </row>
    <row r="268">
      <c r="A268">
        <f>IF(AND(LEN('Providers'!A268)&gt;0,ISNUMBER('Providers'!G268)),1,0)</f>
        <v/>
      </c>
      <c r="B268">
        <f>B267+A268</f>
        <v/>
      </c>
      <c r="C268">
        <f>IF(265&gt;$B$4503,"",MATCH(265-0.5,$B$3:$B$4503,1))</f>
        <v/>
      </c>
      <c r="D268">
        <f>"State license ("&amp;IF(LEN(INDEX('Providers'!$E$4:$E$503,265))=0,"",INDEX('Providers'!$E$4:$E$503,265))&amp;") – "&amp;IF(LEN(INDEX('Providers'!$A$4:$A$503,265))=0,"",INDEX('Providers'!$A$4:$A$503,265))</f>
        <v/>
      </c>
      <c r="E268">
        <f>IF(ISNUMBER(INDEX('Providers'!$G$4:$G$503,265)),TEXT(INDEX('Providers'!$G$4:$G$503,265),"yyyy-mm-dd"),"")</f>
        <v/>
      </c>
      <c r="F268">
        <f>"License"</f>
        <v/>
      </c>
      <c r="G268">
        <f>""</f>
        <v/>
      </c>
      <c r="H268">
        <f>"High"</f>
        <v/>
      </c>
      <c r="I268">
        <f>TRIM(IF(LEN(IF(LEN(INDEX('Providers'!$F$4:$F$503,265))=0,"",INDEX('Providers'!$F$4:$F$503,265)))=0,"","License no.: "&amp;IF(LEN(INDEX('Providers'!$F$4:$F$503,265))=0,"",INDEX('Providers'!$F$4:$F$503,265))&amp;". ")&amp;IF(LEN(IF(LEN(INDEX('Providers'!$C$4:$C$503,265))=0,"",INDEX('Providers'!$C$4:$C$503,265)))=0,"","NPI: "&amp;IF(LEN(INDEX('Providers'!$C$4:$C$503,265))=0,"",INDEX('Providers'!$C$4:$C$503,265))&amp;". ")&amp;IF(LEN(IF(LEN(INDEX('Providers'!$D$4:$D$503,265))=0,"",INDEX('Providers'!$D$4:$D$503,265)))=0,"","Specialty: "&amp;IF(LEN(INDEX('Providers'!$D$4:$D$503,265))=0,"",INDEX('Providers'!$D$4:$D$503,265))&amp;". ")&amp;IF(LEN(IF(LEN(INDEX('Providers'!$AK$4:$AK$503,265))=0,"",INDEX('Providers'!$AK$4:$AK$503,265)))=0,"",IF(LEN(INDEX('Providers'!$AK$4:$AK$503,265))=0,"",INDEX('Providers'!$AK$4:$AK$503,265))))</f>
        <v/>
      </c>
      <c r="J268">
        <f>IF(LEN(INDEX('Providers'!$AJ$4:$AJ$503,265))=0,"",INDEX('Providers'!$AJ$4:$AJ$503,265))</f>
        <v/>
      </c>
      <c r="K268">
        <f>IF(LEN(INDEX('Providers'!$AI$4:$AI$503,265))=0,"",INDEX('Providers'!$AI$4:$AI$503,265))</f>
        <v/>
      </c>
    </row>
    <row r="269">
      <c r="A269">
        <f>IF(AND(LEN('Providers'!A269)&gt;0,ISNUMBER('Providers'!G269)),1,0)</f>
        <v/>
      </c>
      <c r="B269">
        <f>B268+A269</f>
        <v/>
      </c>
      <c r="C269">
        <f>IF(266&gt;$B$4503,"",MATCH(266-0.5,$B$3:$B$4503,1))</f>
        <v/>
      </c>
      <c r="D269">
        <f>"State license ("&amp;IF(LEN(INDEX('Providers'!$E$4:$E$503,266))=0,"",INDEX('Providers'!$E$4:$E$503,266))&amp;") – "&amp;IF(LEN(INDEX('Providers'!$A$4:$A$503,266))=0,"",INDEX('Providers'!$A$4:$A$503,266))</f>
        <v/>
      </c>
      <c r="E269">
        <f>IF(ISNUMBER(INDEX('Providers'!$G$4:$G$503,266)),TEXT(INDEX('Providers'!$G$4:$G$503,266),"yyyy-mm-dd"),"")</f>
        <v/>
      </c>
      <c r="F269">
        <f>"License"</f>
        <v/>
      </c>
      <c r="G269">
        <f>""</f>
        <v/>
      </c>
      <c r="H269">
        <f>"High"</f>
        <v/>
      </c>
      <c r="I269">
        <f>TRIM(IF(LEN(IF(LEN(INDEX('Providers'!$F$4:$F$503,266))=0,"",INDEX('Providers'!$F$4:$F$503,266)))=0,"","License no.: "&amp;IF(LEN(INDEX('Providers'!$F$4:$F$503,266))=0,"",INDEX('Providers'!$F$4:$F$503,266))&amp;". ")&amp;IF(LEN(IF(LEN(INDEX('Providers'!$C$4:$C$503,266))=0,"",INDEX('Providers'!$C$4:$C$503,266)))=0,"","NPI: "&amp;IF(LEN(INDEX('Providers'!$C$4:$C$503,266))=0,"",INDEX('Providers'!$C$4:$C$503,266))&amp;". ")&amp;IF(LEN(IF(LEN(INDEX('Providers'!$D$4:$D$503,266))=0,"",INDEX('Providers'!$D$4:$D$503,266)))=0,"","Specialty: "&amp;IF(LEN(INDEX('Providers'!$D$4:$D$503,266))=0,"",INDEX('Providers'!$D$4:$D$503,266))&amp;". ")&amp;IF(LEN(IF(LEN(INDEX('Providers'!$AK$4:$AK$503,266))=0,"",INDEX('Providers'!$AK$4:$AK$503,266)))=0,"",IF(LEN(INDEX('Providers'!$AK$4:$AK$503,266))=0,"",INDEX('Providers'!$AK$4:$AK$503,266))))</f>
        <v/>
      </c>
      <c r="J269">
        <f>IF(LEN(INDEX('Providers'!$AJ$4:$AJ$503,266))=0,"",INDEX('Providers'!$AJ$4:$AJ$503,266))</f>
        <v/>
      </c>
      <c r="K269">
        <f>IF(LEN(INDEX('Providers'!$AI$4:$AI$503,266))=0,"",INDEX('Providers'!$AI$4:$AI$503,266))</f>
        <v/>
      </c>
    </row>
    <row r="270">
      <c r="A270">
        <f>IF(AND(LEN('Providers'!A270)&gt;0,ISNUMBER('Providers'!G270)),1,0)</f>
        <v/>
      </c>
      <c r="B270">
        <f>B269+A270</f>
        <v/>
      </c>
      <c r="C270">
        <f>IF(267&gt;$B$4503,"",MATCH(267-0.5,$B$3:$B$4503,1))</f>
        <v/>
      </c>
      <c r="D270">
        <f>"State license ("&amp;IF(LEN(INDEX('Providers'!$E$4:$E$503,267))=0,"",INDEX('Providers'!$E$4:$E$503,267))&amp;") – "&amp;IF(LEN(INDEX('Providers'!$A$4:$A$503,267))=0,"",INDEX('Providers'!$A$4:$A$503,267))</f>
        <v/>
      </c>
      <c r="E270">
        <f>IF(ISNUMBER(INDEX('Providers'!$G$4:$G$503,267)),TEXT(INDEX('Providers'!$G$4:$G$503,267),"yyyy-mm-dd"),"")</f>
        <v/>
      </c>
      <c r="F270">
        <f>"License"</f>
        <v/>
      </c>
      <c r="G270">
        <f>""</f>
        <v/>
      </c>
      <c r="H270">
        <f>"High"</f>
        <v/>
      </c>
      <c r="I270">
        <f>TRIM(IF(LEN(IF(LEN(INDEX('Providers'!$F$4:$F$503,267))=0,"",INDEX('Providers'!$F$4:$F$503,267)))=0,"","License no.: "&amp;IF(LEN(INDEX('Providers'!$F$4:$F$503,267))=0,"",INDEX('Providers'!$F$4:$F$503,267))&amp;". ")&amp;IF(LEN(IF(LEN(INDEX('Providers'!$C$4:$C$503,267))=0,"",INDEX('Providers'!$C$4:$C$503,267)))=0,"","NPI: "&amp;IF(LEN(INDEX('Providers'!$C$4:$C$503,267))=0,"",INDEX('Providers'!$C$4:$C$503,267))&amp;". ")&amp;IF(LEN(IF(LEN(INDEX('Providers'!$D$4:$D$503,267))=0,"",INDEX('Providers'!$D$4:$D$503,267)))=0,"","Specialty: "&amp;IF(LEN(INDEX('Providers'!$D$4:$D$503,267))=0,"",INDEX('Providers'!$D$4:$D$503,267))&amp;". ")&amp;IF(LEN(IF(LEN(INDEX('Providers'!$AK$4:$AK$503,267))=0,"",INDEX('Providers'!$AK$4:$AK$503,267)))=0,"",IF(LEN(INDEX('Providers'!$AK$4:$AK$503,267))=0,"",INDEX('Providers'!$AK$4:$AK$503,267))))</f>
        <v/>
      </c>
      <c r="J270">
        <f>IF(LEN(INDEX('Providers'!$AJ$4:$AJ$503,267))=0,"",INDEX('Providers'!$AJ$4:$AJ$503,267))</f>
        <v/>
      </c>
      <c r="K270">
        <f>IF(LEN(INDEX('Providers'!$AI$4:$AI$503,267))=0,"",INDEX('Providers'!$AI$4:$AI$503,267))</f>
        <v/>
      </c>
    </row>
    <row r="271">
      <c r="A271">
        <f>IF(AND(LEN('Providers'!A271)&gt;0,ISNUMBER('Providers'!G271)),1,0)</f>
        <v/>
      </c>
      <c r="B271">
        <f>B270+A271</f>
        <v/>
      </c>
      <c r="C271">
        <f>IF(268&gt;$B$4503,"",MATCH(268-0.5,$B$3:$B$4503,1))</f>
        <v/>
      </c>
      <c r="D271">
        <f>"State license ("&amp;IF(LEN(INDEX('Providers'!$E$4:$E$503,268))=0,"",INDEX('Providers'!$E$4:$E$503,268))&amp;") – "&amp;IF(LEN(INDEX('Providers'!$A$4:$A$503,268))=0,"",INDEX('Providers'!$A$4:$A$503,268))</f>
        <v/>
      </c>
      <c r="E271">
        <f>IF(ISNUMBER(INDEX('Providers'!$G$4:$G$503,268)),TEXT(INDEX('Providers'!$G$4:$G$503,268),"yyyy-mm-dd"),"")</f>
        <v/>
      </c>
      <c r="F271">
        <f>"License"</f>
        <v/>
      </c>
      <c r="G271">
        <f>""</f>
        <v/>
      </c>
      <c r="H271">
        <f>"High"</f>
        <v/>
      </c>
      <c r="I271">
        <f>TRIM(IF(LEN(IF(LEN(INDEX('Providers'!$F$4:$F$503,268))=0,"",INDEX('Providers'!$F$4:$F$503,268)))=0,"","License no.: "&amp;IF(LEN(INDEX('Providers'!$F$4:$F$503,268))=0,"",INDEX('Providers'!$F$4:$F$503,268))&amp;". ")&amp;IF(LEN(IF(LEN(INDEX('Providers'!$C$4:$C$503,268))=0,"",INDEX('Providers'!$C$4:$C$503,268)))=0,"","NPI: "&amp;IF(LEN(INDEX('Providers'!$C$4:$C$503,268))=0,"",INDEX('Providers'!$C$4:$C$503,268))&amp;". ")&amp;IF(LEN(IF(LEN(INDEX('Providers'!$D$4:$D$503,268))=0,"",INDEX('Providers'!$D$4:$D$503,268)))=0,"","Specialty: "&amp;IF(LEN(INDEX('Providers'!$D$4:$D$503,268))=0,"",INDEX('Providers'!$D$4:$D$503,268))&amp;". ")&amp;IF(LEN(IF(LEN(INDEX('Providers'!$AK$4:$AK$503,268))=0,"",INDEX('Providers'!$AK$4:$AK$503,268)))=0,"",IF(LEN(INDEX('Providers'!$AK$4:$AK$503,268))=0,"",INDEX('Providers'!$AK$4:$AK$503,268))))</f>
        <v/>
      </c>
      <c r="J271">
        <f>IF(LEN(INDEX('Providers'!$AJ$4:$AJ$503,268))=0,"",INDEX('Providers'!$AJ$4:$AJ$503,268))</f>
        <v/>
      </c>
      <c r="K271">
        <f>IF(LEN(INDEX('Providers'!$AI$4:$AI$503,268))=0,"",INDEX('Providers'!$AI$4:$AI$503,268))</f>
        <v/>
      </c>
    </row>
    <row r="272">
      <c r="A272">
        <f>IF(AND(LEN('Providers'!A272)&gt;0,ISNUMBER('Providers'!G272)),1,0)</f>
        <v/>
      </c>
      <c r="B272">
        <f>B271+A272</f>
        <v/>
      </c>
      <c r="C272">
        <f>IF(269&gt;$B$4503,"",MATCH(269-0.5,$B$3:$B$4503,1))</f>
        <v/>
      </c>
      <c r="D272">
        <f>"State license ("&amp;IF(LEN(INDEX('Providers'!$E$4:$E$503,269))=0,"",INDEX('Providers'!$E$4:$E$503,269))&amp;") – "&amp;IF(LEN(INDEX('Providers'!$A$4:$A$503,269))=0,"",INDEX('Providers'!$A$4:$A$503,269))</f>
        <v/>
      </c>
      <c r="E272">
        <f>IF(ISNUMBER(INDEX('Providers'!$G$4:$G$503,269)),TEXT(INDEX('Providers'!$G$4:$G$503,269),"yyyy-mm-dd"),"")</f>
        <v/>
      </c>
      <c r="F272">
        <f>"License"</f>
        <v/>
      </c>
      <c r="G272">
        <f>""</f>
        <v/>
      </c>
      <c r="H272">
        <f>"High"</f>
        <v/>
      </c>
      <c r="I272">
        <f>TRIM(IF(LEN(IF(LEN(INDEX('Providers'!$F$4:$F$503,269))=0,"",INDEX('Providers'!$F$4:$F$503,269)))=0,"","License no.: "&amp;IF(LEN(INDEX('Providers'!$F$4:$F$503,269))=0,"",INDEX('Providers'!$F$4:$F$503,269))&amp;". ")&amp;IF(LEN(IF(LEN(INDEX('Providers'!$C$4:$C$503,269))=0,"",INDEX('Providers'!$C$4:$C$503,269)))=0,"","NPI: "&amp;IF(LEN(INDEX('Providers'!$C$4:$C$503,269))=0,"",INDEX('Providers'!$C$4:$C$503,269))&amp;". ")&amp;IF(LEN(IF(LEN(INDEX('Providers'!$D$4:$D$503,269))=0,"",INDEX('Providers'!$D$4:$D$503,269)))=0,"","Specialty: "&amp;IF(LEN(INDEX('Providers'!$D$4:$D$503,269))=0,"",INDEX('Providers'!$D$4:$D$503,269))&amp;". ")&amp;IF(LEN(IF(LEN(INDEX('Providers'!$AK$4:$AK$503,269))=0,"",INDEX('Providers'!$AK$4:$AK$503,269)))=0,"",IF(LEN(INDEX('Providers'!$AK$4:$AK$503,269))=0,"",INDEX('Providers'!$AK$4:$AK$503,269))))</f>
        <v/>
      </c>
      <c r="J272">
        <f>IF(LEN(INDEX('Providers'!$AJ$4:$AJ$503,269))=0,"",INDEX('Providers'!$AJ$4:$AJ$503,269))</f>
        <v/>
      </c>
      <c r="K272">
        <f>IF(LEN(INDEX('Providers'!$AI$4:$AI$503,269))=0,"",INDEX('Providers'!$AI$4:$AI$503,269))</f>
        <v/>
      </c>
    </row>
    <row r="273">
      <c r="A273">
        <f>IF(AND(LEN('Providers'!A273)&gt;0,ISNUMBER('Providers'!G273)),1,0)</f>
        <v/>
      </c>
      <c r="B273">
        <f>B272+A273</f>
        <v/>
      </c>
      <c r="C273">
        <f>IF(270&gt;$B$4503,"",MATCH(270-0.5,$B$3:$B$4503,1))</f>
        <v/>
      </c>
      <c r="D273">
        <f>"State license ("&amp;IF(LEN(INDEX('Providers'!$E$4:$E$503,270))=0,"",INDEX('Providers'!$E$4:$E$503,270))&amp;") – "&amp;IF(LEN(INDEX('Providers'!$A$4:$A$503,270))=0,"",INDEX('Providers'!$A$4:$A$503,270))</f>
        <v/>
      </c>
      <c r="E273">
        <f>IF(ISNUMBER(INDEX('Providers'!$G$4:$G$503,270)),TEXT(INDEX('Providers'!$G$4:$G$503,270),"yyyy-mm-dd"),"")</f>
        <v/>
      </c>
      <c r="F273">
        <f>"License"</f>
        <v/>
      </c>
      <c r="G273">
        <f>""</f>
        <v/>
      </c>
      <c r="H273">
        <f>"High"</f>
        <v/>
      </c>
      <c r="I273">
        <f>TRIM(IF(LEN(IF(LEN(INDEX('Providers'!$F$4:$F$503,270))=0,"",INDEX('Providers'!$F$4:$F$503,270)))=0,"","License no.: "&amp;IF(LEN(INDEX('Providers'!$F$4:$F$503,270))=0,"",INDEX('Providers'!$F$4:$F$503,270))&amp;". ")&amp;IF(LEN(IF(LEN(INDEX('Providers'!$C$4:$C$503,270))=0,"",INDEX('Providers'!$C$4:$C$503,270)))=0,"","NPI: "&amp;IF(LEN(INDEX('Providers'!$C$4:$C$503,270))=0,"",INDEX('Providers'!$C$4:$C$503,270))&amp;". ")&amp;IF(LEN(IF(LEN(INDEX('Providers'!$D$4:$D$503,270))=0,"",INDEX('Providers'!$D$4:$D$503,270)))=0,"","Specialty: "&amp;IF(LEN(INDEX('Providers'!$D$4:$D$503,270))=0,"",INDEX('Providers'!$D$4:$D$503,270))&amp;". ")&amp;IF(LEN(IF(LEN(INDEX('Providers'!$AK$4:$AK$503,270))=0,"",INDEX('Providers'!$AK$4:$AK$503,270)))=0,"",IF(LEN(INDEX('Providers'!$AK$4:$AK$503,270))=0,"",INDEX('Providers'!$AK$4:$AK$503,270))))</f>
        <v/>
      </c>
      <c r="J273">
        <f>IF(LEN(INDEX('Providers'!$AJ$4:$AJ$503,270))=0,"",INDEX('Providers'!$AJ$4:$AJ$503,270))</f>
        <v/>
      </c>
      <c r="K273">
        <f>IF(LEN(INDEX('Providers'!$AI$4:$AI$503,270))=0,"",INDEX('Providers'!$AI$4:$AI$503,270))</f>
        <v/>
      </c>
    </row>
    <row r="274">
      <c r="A274">
        <f>IF(AND(LEN('Providers'!A274)&gt;0,ISNUMBER('Providers'!G274)),1,0)</f>
        <v/>
      </c>
      <c r="B274">
        <f>B273+A274</f>
        <v/>
      </c>
      <c r="C274">
        <f>IF(271&gt;$B$4503,"",MATCH(271-0.5,$B$3:$B$4503,1))</f>
        <v/>
      </c>
      <c r="D274">
        <f>"State license ("&amp;IF(LEN(INDEX('Providers'!$E$4:$E$503,271))=0,"",INDEX('Providers'!$E$4:$E$503,271))&amp;") – "&amp;IF(LEN(INDEX('Providers'!$A$4:$A$503,271))=0,"",INDEX('Providers'!$A$4:$A$503,271))</f>
        <v/>
      </c>
      <c r="E274">
        <f>IF(ISNUMBER(INDEX('Providers'!$G$4:$G$503,271)),TEXT(INDEX('Providers'!$G$4:$G$503,271),"yyyy-mm-dd"),"")</f>
        <v/>
      </c>
      <c r="F274">
        <f>"License"</f>
        <v/>
      </c>
      <c r="G274">
        <f>""</f>
        <v/>
      </c>
      <c r="H274">
        <f>"High"</f>
        <v/>
      </c>
      <c r="I274">
        <f>TRIM(IF(LEN(IF(LEN(INDEX('Providers'!$F$4:$F$503,271))=0,"",INDEX('Providers'!$F$4:$F$503,271)))=0,"","License no.: "&amp;IF(LEN(INDEX('Providers'!$F$4:$F$503,271))=0,"",INDEX('Providers'!$F$4:$F$503,271))&amp;". ")&amp;IF(LEN(IF(LEN(INDEX('Providers'!$C$4:$C$503,271))=0,"",INDEX('Providers'!$C$4:$C$503,271)))=0,"","NPI: "&amp;IF(LEN(INDEX('Providers'!$C$4:$C$503,271))=0,"",INDEX('Providers'!$C$4:$C$503,271))&amp;". ")&amp;IF(LEN(IF(LEN(INDEX('Providers'!$D$4:$D$503,271))=0,"",INDEX('Providers'!$D$4:$D$503,271)))=0,"","Specialty: "&amp;IF(LEN(INDEX('Providers'!$D$4:$D$503,271))=0,"",INDEX('Providers'!$D$4:$D$503,271))&amp;". ")&amp;IF(LEN(IF(LEN(INDEX('Providers'!$AK$4:$AK$503,271))=0,"",INDEX('Providers'!$AK$4:$AK$503,271)))=0,"",IF(LEN(INDEX('Providers'!$AK$4:$AK$503,271))=0,"",INDEX('Providers'!$AK$4:$AK$503,271))))</f>
        <v/>
      </c>
      <c r="J274">
        <f>IF(LEN(INDEX('Providers'!$AJ$4:$AJ$503,271))=0,"",INDEX('Providers'!$AJ$4:$AJ$503,271))</f>
        <v/>
      </c>
      <c r="K274">
        <f>IF(LEN(INDEX('Providers'!$AI$4:$AI$503,271))=0,"",INDEX('Providers'!$AI$4:$AI$503,271))</f>
        <v/>
      </c>
    </row>
    <row r="275">
      <c r="A275">
        <f>IF(AND(LEN('Providers'!A275)&gt;0,ISNUMBER('Providers'!G275)),1,0)</f>
        <v/>
      </c>
      <c r="B275">
        <f>B274+A275</f>
        <v/>
      </c>
      <c r="C275">
        <f>IF(272&gt;$B$4503,"",MATCH(272-0.5,$B$3:$B$4503,1))</f>
        <v/>
      </c>
      <c r="D275">
        <f>"State license ("&amp;IF(LEN(INDEX('Providers'!$E$4:$E$503,272))=0,"",INDEX('Providers'!$E$4:$E$503,272))&amp;") – "&amp;IF(LEN(INDEX('Providers'!$A$4:$A$503,272))=0,"",INDEX('Providers'!$A$4:$A$503,272))</f>
        <v/>
      </c>
      <c r="E275">
        <f>IF(ISNUMBER(INDEX('Providers'!$G$4:$G$503,272)),TEXT(INDEX('Providers'!$G$4:$G$503,272),"yyyy-mm-dd"),"")</f>
        <v/>
      </c>
      <c r="F275">
        <f>"License"</f>
        <v/>
      </c>
      <c r="G275">
        <f>""</f>
        <v/>
      </c>
      <c r="H275">
        <f>"High"</f>
        <v/>
      </c>
      <c r="I275">
        <f>TRIM(IF(LEN(IF(LEN(INDEX('Providers'!$F$4:$F$503,272))=0,"",INDEX('Providers'!$F$4:$F$503,272)))=0,"","License no.: "&amp;IF(LEN(INDEX('Providers'!$F$4:$F$503,272))=0,"",INDEX('Providers'!$F$4:$F$503,272))&amp;". ")&amp;IF(LEN(IF(LEN(INDEX('Providers'!$C$4:$C$503,272))=0,"",INDEX('Providers'!$C$4:$C$503,272)))=0,"","NPI: "&amp;IF(LEN(INDEX('Providers'!$C$4:$C$503,272))=0,"",INDEX('Providers'!$C$4:$C$503,272))&amp;". ")&amp;IF(LEN(IF(LEN(INDEX('Providers'!$D$4:$D$503,272))=0,"",INDEX('Providers'!$D$4:$D$503,272)))=0,"","Specialty: "&amp;IF(LEN(INDEX('Providers'!$D$4:$D$503,272))=0,"",INDEX('Providers'!$D$4:$D$503,272))&amp;". ")&amp;IF(LEN(IF(LEN(INDEX('Providers'!$AK$4:$AK$503,272))=0,"",INDEX('Providers'!$AK$4:$AK$503,272)))=0,"",IF(LEN(INDEX('Providers'!$AK$4:$AK$503,272))=0,"",INDEX('Providers'!$AK$4:$AK$503,272))))</f>
        <v/>
      </c>
      <c r="J275">
        <f>IF(LEN(INDEX('Providers'!$AJ$4:$AJ$503,272))=0,"",INDEX('Providers'!$AJ$4:$AJ$503,272))</f>
        <v/>
      </c>
      <c r="K275">
        <f>IF(LEN(INDEX('Providers'!$AI$4:$AI$503,272))=0,"",INDEX('Providers'!$AI$4:$AI$503,272))</f>
        <v/>
      </c>
    </row>
    <row r="276">
      <c r="A276">
        <f>IF(AND(LEN('Providers'!A276)&gt;0,ISNUMBER('Providers'!G276)),1,0)</f>
        <v/>
      </c>
      <c r="B276">
        <f>B275+A276</f>
        <v/>
      </c>
      <c r="C276">
        <f>IF(273&gt;$B$4503,"",MATCH(273-0.5,$B$3:$B$4503,1))</f>
        <v/>
      </c>
      <c r="D276">
        <f>"State license ("&amp;IF(LEN(INDEX('Providers'!$E$4:$E$503,273))=0,"",INDEX('Providers'!$E$4:$E$503,273))&amp;") – "&amp;IF(LEN(INDEX('Providers'!$A$4:$A$503,273))=0,"",INDEX('Providers'!$A$4:$A$503,273))</f>
        <v/>
      </c>
      <c r="E276">
        <f>IF(ISNUMBER(INDEX('Providers'!$G$4:$G$503,273)),TEXT(INDEX('Providers'!$G$4:$G$503,273),"yyyy-mm-dd"),"")</f>
        <v/>
      </c>
      <c r="F276">
        <f>"License"</f>
        <v/>
      </c>
      <c r="G276">
        <f>""</f>
        <v/>
      </c>
      <c r="H276">
        <f>"High"</f>
        <v/>
      </c>
      <c r="I276">
        <f>TRIM(IF(LEN(IF(LEN(INDEX('Providers'!$F$4:$F$503,273))=0,"",INDEX('Providers'!$F$4:$F$503,273)))=0,"","License no.: "&amp;IF(LEN(INDEX('Providers'!$F$4:$F$503,273))=0,"",INDEX('Providers'!$F$4:$F$503,273))&amp;". ")&amp;IF(LEN(IF(LEN(INDEX('Providers'!$C$4:$C$503,273))=0,"",INDEX('Providers'!$C$4:$C$503,273)))=0,"","NPI: "&amp;IF(LEN(INDEX('Providers'!$C$4:$C$503,273))=0,"",INDEX('Providers'!$C$4:$C$503,273))&amp;". ")&amp;IF(LEN(IF(LEN(INDEX('Providers'!$D$4:$D$503,273))=0,"",INDEX('Providers'!$D$4:$D$503,273)))=0,"","Specialty: "&amp;IF(LEN(INDEX('Providers'!$D$4:$D$503,273))=0,"",INDEX('Providers'!$D$4:$D$503,273))&amp;". ")&amp;IF(LEN(IF(LEN(INDEX('Providers'!$AK$4:$AK$503,273))=0,"",INDEX('Providers'!$AK$4:$AK$503,273)))=0,"",IF(LEN(INDEX('Providers'!$AK$4:$AK$503,273))=0,"",INDEX('Providers'!$AK$4:$AK$503,273))))</f>
        <v/>
      </c>
      <c r="J276">
        <f>IF(LEN(INDEX('Providers'!$AJ$4:$AJ$503,273))=0,"",INDEX('Providers'!$AJ$4:$AJ$503,273))</f>
        <v/>
      </c>
      <c r="K276">
        <f>IF(LEN(INDEX('Providers'!$AI$4:$AI$503,273))=0,"",INDEX('Providers'!$AI$4:$AI$503,273))</f>
        <v/>
      </c>
    </row>
    <row r="277">
      <c r="A277">
        <f>IF(AND(LEN('Providers'!A277)&gt;0,ISNUMBER('Providers'!G277)),1,0)</f>
        <v/>
      </c>
      <c r="B277">
        <f>B276+A277</f>
        <v/>
      </c>
      <c r="C277">
        <f>IF(274&gt;$B$4503,"",MATCH(274-0.5,$B$3:$B$4503,1))</f>
        <v/>
      </c>
      <c r="D277">
        <f>"State license ("&amp;IF(LEN(INDEX('Providers'!$E$4:$E$503,274))=0,"",INDEX('Providers'!$E$4:$E$503,274))&amp;") – "&amp;IF(LEN(INDEX('Providers'!$A$4:$A$503,274))=0,"",INDEX('Providers'!$A$4:$A$503,274))</f>
        <v/>
      </c>
      <c r="E277">
        <f>IF(ISNUMBER(INDEX('Providers'!$G$4:$G$503,274)),TEXT(INDEX('Providers'!$G$4:$G$503,274),"yyyy-mm-dd"),"")</f>
        <v/>
      </c>
      <c r="F277">
        <f>"License"</f>
        <v/>
      </c>
      <c r="G277">
        <f>""</f>
        <v/>
      </c>
      <c r="H277">
        <f>"High"</f>
        <v/>
      </c>
      <c r="I277">
        <f>TRIM(IF(LEN(IF(LEN(INDEX('Providers'!$F$4:$F$503,274))=0,"",INDEX('Providers'!$F$4:$F$503,274)))=0,"","License no.: "&amp;IF(LEN(INDEX('Providers'!$F$4:$F$503,274))=0,"",INDEX('Providers'!$F$4:$F$503,274))&amp;". ")&amp;IF(LEN(IF(LEN(INDEX('Providers'!$C$4:$C$503,274))=0,"",INDEX('Providers'!$C$4:$C$503,274)))=0,"","NPI: "&amp;IF(LEN(INDEX('Providers'!$C$4:$C$503,274))=0,"",INDEX('Providers'!$C$4:$C$503,274))&amp;". ")&amp;IF(LEN(IF(LEN(INDEX('Providers'!$D$4:$D$503,274))=0,"",INDEX('Providers'!$D$4:$D$503,274)))=0,"","Specialty: "&amp;IF(LEN(INDEX('Providers'!$D$4:$D$503,274))=0,"",INDEX('Providers'!$D$4:$D$503,274))&amp;". ")&amp;IF(LEN(IF(LEN(INDEX('Providers'!$AK$4:$AK$503,274))=0,"",INDEX('Providers'!$AK$4:$AK$503,274)))=0,"",IF(LEN(INDEX('Providers'!$AK$4:$AK$503,274))=0,"",INDEX('Providers'!$AK$4:$AK$503,274))))</f>
        <v/>
      </c>
      <c r="J277">
        <f>IF(LEN(INDEX('Providers'!$AJ$4:$AJ$503,274))=0,"",INDEX('Providers'!$AJ$4:$AJ$503,274))</f>
        <v/>
      </c>
      <c r="K277">
        <f>IF(LEN(INDEX('Providers'!$AI$4:$AI$503,274))=0,"",INDEX('Providers'!$AI$4:$AI$503,274))</f>
        <v/>
      </c>
    </row>
    <row r="278">
      <c r="A278">
        <f>IF(AND(LEN('Providers'!A278)&gt;0,ISNUMBER('Providers'!G278)),1,0)</f>
        <v/>
      </c>
      <c r="B278">
        <f>B277+A278</f>
        <v/>
      </c>
      <c r="C278">
        <f>IF(275&gt;$B$4503,"",MATCH(275-0.5,$B$3:$B$4503,1))</f>
        <v/>
      </c>
      <c r="D278">
        <f>"State license ("&amp;IF(LEN(INDEX('Providers'!$E$4:$E$503,275))=0,"",INDEX('Providers'!$E$4:$E$503,275))&amp;") – "&amp;IF(LEN(INDEX('Providers'!$A$4:$A$503,275))=0,"",INDEX('Providers'!$A$4:$A$503,275))</f>
        <v/>
      </c>
      <c r="E278">
        <f>IF(ISNUMBER(INDEX('Providers'!$G$4:$G$503,275)),TEXT(INDEX('Providers'!$G$4:$G$503,275),"yyyy-mm-dd"),"")</f>
        <v/>
      </c>
      <c r="F278">
        <f>"License"</f>
        <v/>
      </c>
      <c r="G278">
        <f>""</f>
        <v/>
      </c>
      <c r="H278">
        <f>"High"</f>
        <v/>
      </c>
      <c r="I278">
        <f>TRIM(IF(LEN(IF(LEN(INDEX('Providers'!$F$4:$F$503,275))=0,"",INDEX('Providers'!$F$4:$F$503,275)))=0,"","License no.: "&amp;IF(LEN(INDEX('Providers'!$F$4:$F$503,275))=0,"",INDEX('Providers'!$F$4:$F$503,275))&amp;". ")&amp;IF(LEN(IF(LEN(INDEX('Providers'!$C$4:$C$503,275))=0,"",INDEX('Providers'!$C$4:$C$503,275)))=0,"","NPI: "&amp;IF(LEN(INDEX('Providers'!$C$4:$C$503,275))=0,"",INDEX('Providers'!$C$4:$C$503,275))&amp;". ")&amp;IF(LEN(IF(LEN(INDEX('Providers'!$D$4:$D$503,275))=0,"",INDEX('Providers'!$D$4:$D$503,275)))=0,"","Specialty: "&amp;IF(LEN(INDEX('Providers'!$D$4:$D$503,275))=0,"",INDEX('Providers'!$D$4:$D$503,275))&amp;". ")&amp;IF(LEN(IF(LEN(INDEX('Providers'!$AK$4:$AK$503,275))=0,"",INDEX('Providers'!$AK$4:$AK$503,275)))=0,"",IF(LEN(INDEX('Providers'!$AK$4:$AK$503,275))=0,"",INDEX('Providers'!$AK$4:$AK$503,275))))</f>
        <v/>
      </c>
      <c r="J278">
        <f>IF(LEN(INDEX('Providers'!$AJ$4:$AJ$503,275))=0,"",INDEX('Providers'!$AJ$4:$AJ$503,275))</f>
        <v/>
      </c>
      <c r="K278">
        <f>IF(LEN(INDEX('Providers'!$AI$4:$AI$503,275))=0,"",INDEX('Providers'!$AI$4:$AI$503,275))</f>
        <v/>
      </c>
    </row>
    <row r="279">
      <c r="A279">
        <f>IF(AND(LEN('Providers'!A279)&gt;0,ISNUMBER('Providers'!G279)),1,0)</f>
        <v/>
      </c>
      <c r="B279">
        <f>B278+A279</f>
        <v/>
      </c>
      <c r="C279">
        <f>IF(276&gt;$B$4503,"",MATCH(276-0.5,$B$3:$B$4503,1))</f>
        <v/>
      </c>
      <c r="D279">
        <f>"State license ("&amp;IF(LEN(INDEX('Providers'!$E$4:$E$503,276))=0,"",INDEX('Providers'!$E$4:$E$503,276))&amp;") – "&amp;IF(LEN(INDEX('Providers'!$A$4:$A$503,276))=0,"",INDEX('Providers'!$A$4:$A$503,276))</f>
        <v/>
      </c>
      <c r="E279">
        <f>IF(ISNUMBER(INDEX('Providers'!$G$4:$G$503,276)),TEXT(INDEX('Providers'!$G$4:$G$503,276),"yyyy-mm-dd"),"")</f>
        <v/>
      </c>
      <c r="F279">
        <f>"License"</f>
        <v/>
      </c>
      <c r="G279">
        <f>""</f>
        <v/>
      </c>
      <c r="H279">
        <f>"High"</f>
        <v/>
      </c>
      <c r="I279">
        <f>TRIM(IF(LEN(IF(LEN(INDEX('Providers'!$F$4:$F$503,276))=0,"",INDEX('Providers'!$F$4:$F$503,276)))=0,"","License no.: "&amp;IF(LEN(INDEX('Providers'!$F$4:$F$503,276))=0,"",INDEX('Providers'!$F$4:$F$503,276))&amp;". ")&amp;IF(LEN(IF(LEN(INDEX('Providers'!$C$4:$C$503,276))=0,"",INDEX('Providers'!$C$4:$C$503,276)))=0,"","NPI: "&amp;IF(LEN(INDEX('Providers'!$C$4:$C$503,276))=0,"",INDEX('Providers'!$C$4:$C$503,276))&amp;". ")&amp;IF(LEN(IF(LEN(INDEX('Providers'!$D$4:$D$503,276))=0,"",INDEX('Providers'!$D$4:$D$503,276)))=0,"","Specialty: "&amp;IF(LEN(INDEX('Providers'!$D$4:$D$503,276))=0,"",INDEX('Providers'!$D$4:$D$503,276))&amp;". ")&amp;IF(LEN(IF(LEN(INDEX('Providers'!$AK$4:$AK$503,276))=0,"",INDEX('Providers'!$AK$4:$AK$503,276)))=0,"",IF(LEN(INDEX('Providers'!$AK$4:$AK$503,276))=0,"",INDEX('Providers'!$AK$4:$AK$503,276))))</f>
        <v/>
      </c>
      <c r="J279">
        <f>IF(LEN(INDEX('Providers'!$AJ$4:$AJ$503,276))=0,"",INDEX('Providers'!$AJ$4:$AJ$503,276))</f>
        <v/>
      </c>
      <c r="K279">
        <f>IF(LEN(INDEX('Providers'!$AI$4:$AI$503,276))=0,"",INDEX('Providers'!$AI$4:$AI$503,276))</f>
        <v/>
      </c>
    </row>
    <row r="280">
      <c r="A280">
        <f>IF(AND(LEN('Providers'!A280)&gt;0,ISNUMBER('Providers'!G280)),1,0)</f>
        <v/>
      </c>
      <c r="B280">
        <f>B279+A280</f>
        <v/>
      </c>
      <c r="C280">
        <f>IF(277&gt;$B$4503,"",MATCH(277-0.5,$B$3:$B$4503,1))</f>
        <v/>
      </c>
      <c r="D280">
        <f>"State license ("&amp;IF(LEN(INDEX('Providers'!$E$4:$E$503,277))=0,"",INDEX('Providers'!$E$4:$E$503,277))&amp;") – "&amp;IF(LEN(INDEX('Providers'!$A$4:$A$503,277))=0,"",INDEX('Providers'!$A$4:$A$503,277))</f>
        <v/>
      </c>
      <c r="E280">
        <f>IF(ISNUMBER(INDEX('Providers'!$G$4:$G$503,277)),TEXT(INDEX('Providers'!$G$4:$G$503,277),"yyyy-mm-dd"),"")</f>
        <v/>
      </c>
      <c r="F280">
        <f>"License"</f>
        <v/>
      </c>
      <c r="G280">
        <f>""</f>
        <v/>
      </c>
      <c r="H280">
        <f>"High"</f>
        <v/>
      </c>
      <c r="I280">
        <f>TRIM(IF(LEN(IF(LEN(INDEX('Providers'!$F$4:$F$503,277))=0,"",INDEX('Providers'!$F$4:$F$503,277)))=0,"","License no.: "&amp;IF(LEN(INDEX('Providers'!$F$4:$F$503,277))=0,"",INDEX('Providers'!$F$4:$F$503,277))&amp;". ")&amp;IF(LEN(IF(LEN(INDEX('Providers'!$C$4:$C$503,277))=0,"",INDEX('Providers'!$C$4:$C$503,277)))=0,"","NPI: "&amp;IF(LEN(INDEX('Providers'!$C$4:$C$503,277))=0,"",INDEX('Providers'!$C$4:$C$503,277))&amp;". ")&amp;IF(LEN(IF(LEN(INDEX('Providers'!$D$4:$D$503,277))=0,"",INDEX('Providers'!$D$4:$D$503,277)))=0,"","Specialty: "&amp;IF(LEN(INDEX('Providers'!$D$4:$D$503,277))=0,"",INDEX('Providers'!$D$4:$D$503,277))&amp;". ")&amp;IF(LEN(IF(LEN(INDEX('Providers'!$AK$4:$AK$503,277))=0,"",INDEX('Providers'!$AK$4:$AK$503,277)))=0,"",IF(LEN(INDEX('Providers'!$AK$4:$AK$503,277))=0,"",INDEX('Providers'!$AK$4:$AK$503,277))))</f>
        <v/>
      </c>
      <c r="J280">
        <f>IF(LEN(INDEX('Providers'!$AJ$4:$AJ$503,277))=0,"",INDEX('Providers'!$AJ$4:$AJ$503,277))</f>
        <v/>
      </c>
      <c r="K280">
        <f>IF(LEN(INDEX('Providers'!$AI$4:$AI$503,277))=0,"",INDEX('Providers'!$AI$4:$AI$503,277))</f>
        <v/>
      </c>
    </row>
    <row r="281">
      <c r="A281">
        <f>IF(AND(LEN('Providers'!A281)&gt;0,ISNUMBER('Providers'!G281)),1,0)</f>
        <v/>
      </c>
      <c r="B281">
        <f>B280+A281</f>
        <v/>
      </c>
      <c r="C281">
        <f>IF(278&gt;$B$4503,"",MATCH(278-0.5,$B$3:$B$4503,1))</f>
        <v/>
      </c>
      <c r="D281">
        <f>"State license ("&amp;IF(LEN(INDEX('Providers'!$E$4:$E$503,278))=0,"",INDEX('Providers'!$E$4:$E$503,278))&amp;") – "&amp;IF(LEN(INDEX('Providers'!$A$4:$A$503,278))=0,"",INDEX('Providers'!$A$4:$A$503,278))</f>
        <v/>
      </c>
      <c r="E281">
        <f>IF(ISNUMBER(INDEX('Providers'!$G$4:$G$503,278)),TEXT(INDEX('Providers'!$G$4:$G$503,278),"yyyy-mm-dd"),"")</f>
        <v/>
      </c>
      <c r="F281">
        <f>"License"</f>
        <v/>
      </c>
      <c r="G281">
        <f>""</f>
        <v/>
      </c>
      <c r="H281">
        <f>"High"</f>
        <v/>
      </c>
      <c r="I281">
        <f>TRIM(IF(LEN(IF(LEN(INDEX('Providers'!$F$4:$F$503,278))=0,"",INDEX('Providers'!$F$4:$F$503,278)))=0,"","License no.: "&amp;IF(LEN(INDEX('Providers'!$F$4:$F$503,278))=0,"",INDEX('Providers'!$F$4:$F$503,278))&amp;". ")&amp;IF(LEN(IF(LEN(INDEX('Providers'!$C$4:$C$503,278))=0,"",INDEX('Providers'!$C$4:$C$503,278)))=0,"","NPI: "&amp;IF(LEN(INDEX('Providers'!$C$4:$C$503,278))=0,"",INDEX('Providers'!$C$4:$C$503,278))&amp;". ")&amp;IF(LEN(IF(LEN(INDEX('Providers'!$D$4:$D$503,278))=0,"",INDEX('Providers'!$D$4:$D$503,278)))=0,"","Specialty: "&amp;IF(LEN(INDEX('Providers'!$D$4:$D$503,278))=0,"",INDEX('Providers'!$D$4:$D$503,278))&amp;". ")&amp;IF(LEN(IF(LEN(INDEX('Providers'!$AK$4:$AK$503,278))=0,"",INDEX('Providers'!$AK$4:$AK$503,278)))=0,"",IF(LEN(INDEX('Providers'!$AK$4:$AK$503,278))=0,"",INDEX('Providers'!$AK$4:$AK$503,278))))</f>
        <v/>
      </c>
      <c r="J281">
        <f>IF(LEN(INDEX('Providers'!$AJ$4:$AJ$503,278))=0,"",INDEX('Providers'!$AJ$4:$AJ$503,278))</f>
        <v/>
      </c>
      <c r="K281">
        <f>IF(LEN(INDEX('Providers'!$AI$4:$AI$503,278))=0,"",INDEX('Providers'!$AI$4:$AI$503,278))</f>
        <v/>
      </c>
    </row>
    <row r="282">
      <c r="A282">
        <f>IF(AND(LEN('Providers'!A282)&gt;0,ISNUMBER('Providers'!G282)),1,0)</f>
        <v/>
      </c>
      <c r="B282">
        <f>B281+A282</f>
        <v/>
      </c>
      <c r="C282">
        <f>IF(279&gt;$B$4503,"",MATCH(279-0.5,$B$3:$B$4503,1))</f>
        <v/>
      </c>
      <c r="D282">
        <f>"State license ("&amp;IF(LEN(INDEX('Providers'!$E$4:$E$503,279))=0,"",INDEX('Providers'!$E$4:$E$503,279))&amp;") – "&amp;IF(LEN(INDEX('Providers'!$A$4:$A$503,279))=0,"",INDEX('Providers'!$A$4:$A$503,279))</f>
        <v/>
      </c>
      <c r="E282">
        <f>IF(ISNUMBER(INDEX('Providers'!$G$4:$G$503,279)),TEXT(INDEX('Providers'!$G$4:$G$503,279),"yyyy-mm-dd"),"")</f>
        <v/>
      </c>
      <c r="F282">
        <f>"License"</f>
        <v/>
      </c>
      <c r="G282">
        <f>""</f>
        <v/>
      </c>
      <c r="H282">
        <f>"High"</f>
        <v/>
      </c>
      <c r="I282">
        <f>TRIM(IF(LEN(IF(LEN(INDEX('Providers'!$F$4:$F$503,279))=0,"",INDEX('Providers'!$F$4:$F$503,279)))=0,"","License no.: "&amp;IF(LEN(INDEX('Providers'!$F$4:$F$503,279))=0,"",INDEX('Providers'!$F$4:$F$503,279))&amp;". ")&amp;IF(LEN(IF(LEN(INDEX('Providers'!$C$4:$C$503,279))=0,"",INDEX('Providers'!$C$4:$C$503,279)))=0,"","NPI: "&amp;IF(LEN(INDEX('Providers'!$C$4:$C$503,279))=0,"",INDEX('Providers'!$C$4:$C$503,279))&amp;". ")&amp;IF(LEN(IF(LEN(INDEX('Providers'!$D$4:$D$503,279))=0,"",INDEX('Providers'!$D$4:$D$503,279)))=0,"","Specialty: "&amp;IF(LEN(INDEX('Providers'!$D$4:$D$503,279))=0,"",INDEX('Providers'!$D$4:$D$503,279))&amp;". ")&amp;IF(LEN(IF(LEN(INDEX('Providers'!$AK$4:$AK$503,279))=0,"",INDEX('Providers'!$AK$4:$AK$503,279)))=0,"",IF(LEN(INDEX('Providers'!$AK$4:$AK$503,279))=0,"",INDEX('Providers'!$AK$4:$AK$503,279))))</f>
        <v/>
      </c>
      <c r="J282">
        <f>IF(LEN(INDEX('Providers'!$AJ$4:$AJ$503,279))=0,"",INDEX('Providers'!$AJ$4:$AJ$503,279))</f>
        <v/>
      </c>
      <c r="K282">
        <f>IF(LEN(INDEX('Providers'!$AI$4:$AI$503,279))=0,"",INDEX('Providers'!$AI$4:$AI$503,279))</f>
        <v/>
      </c>
    </row>
    <row r="283">
      <c r="A283">
        <f>IF(AND(LEN('Providers'!A283)&gt;0,ISNUMBER('Providers'!G283)),1,0)</f>
        <v/>
      </c>
      <c r="B283">
        <f>B282+A283</f>
        <v/>
      </c>
      <c r="C283">
        <f>IF(280&gt;$B$4503,"",MATCH(280-0.5,$B$3:$B$4503,1))</f>
        <v/>
      </c>
      <c r="D283">
        <f>"State license ("&amp;IF(LEN(INDEX('Providers'!$E$4:$E$503,280))=0,"",INDEX('Providers'!$E$4:$E$503,280))&amp;") – "&amp;IF(LEN(INDEX('Providers'!$A$4:$A$503,280))=0,"",INDEX('Providers'!$A$4:$A$503,280))</f>
        <v/>
      </c>
      <c r="E283">
        <f>IF(ISNUMBER(INDEX('Providers'!$G$4:$G$503,280)),TEXT(INDEX('Providers'!$G$4:$G$503,280),"yyyy-mm-dd"),"")</f>
        <v/>
      </c>
      <c r="F283">
        <f>"License"</f>
        <v/>
      </c>
      <c r="G283">
        <f>""</f>
        <v/>
      </c>
      <c r="H283">
        <f>"High"</f>
        <v/>
      </c>
      <c r="I283">
        <f>TRIM(IF(LEN(IF(LEN(INDEX('Providers'!$F$4:$F$503,280))=0,"",INDEX('Providers'!$F$4:$F$503,280)))=0,"","License no.: "&amp;IF(LEN(INDEX('Providers'!$F$4:$F$503,280))=0,"",INDEX('Providers'!$F$4:$F$503,280))&amp;". ")&amp;IF(LEN(IF(LEN(INDEX('Providers'!$C$4:$C$503,280))=0,"",INDEX('Providers'!$C$4:$C$503,280)))=0,"","NPI: "&amp;IF(LEN(INDEX('Providers'!$C$4:$C$503,280))=0,"",INDEX('Providers'!$C$4:$C$503,280))&amp;". ")&amp;IF(LEN(IF(LEN(INDEX('Providers'!$D$4:$D$503,280))=0,"",INDEX('Providers'!$D$4:$D$503,280)))=0,"","Specialty: "&amp;IF(LEN(INDEX('Providers'!$D$4:$D$503,280))=0,"",INDEX('Providers'!$D$4:$D$503,280))&amp;". ")&amp;IF(LEN(IF(LEN(INDEX('Providers'!$AK$4:$AK$503,280))=0,"",INDEX('Providers'!$AK$4:$AK$503,280)))=0,"",IF(LEN(INDEX('Providers'!$AK$4:$AK$503,280))=0,"",INDEX('Providers'!$AK$4:$AK$503,280))))</f>
        <v/>
      </c>
      <c r="J283">
        <f>IF(LEN(INDEX('Providers'!$AJ$4:$AJ$503,280))=0,"",INDEX('Providers'!$AJ$4:$AJ$503,280))</f>
        <v/>
      </c>
      <c r="K283">
        <f>IF(LEN(INDEX('Providers'!$AI$4:$AI$503,280))=0,"",INDEX('Providers'!$AI$4:$AI$503,280))</f>
        <v/>
      </c>
    </row>
    <row r="284">
      <c r="A284">
        <f>IF(AND(LEN('Providers'!A284)&gt;0,ISNUMBER('Providers'!G284)),1,0)</f>
        <v/>
      </c>
      <c r="B284">
        <f>B283+A284</f>
        <v/>
      </c>
      <c r="C284">
        <f>IF(281&gt;$B$4503,"",MATCH(281-0.5,$B$3:$B$4503,1))</f>
        <v/>
      </c>
      <c r="D284">
        <f>"State license ("&amp;IF(LEN(INDEX('Providers'!$E$4:$E$503,281))=0,"",INDEX('Providers'!$E$4:$E$503,281))&amp;") – "&amp;IF(LEN(INDEX('Providers'!$A$4:$A$503,281))=0,"",INDEX('Providers'!$A$4:$A$503,281))</f>
        <v/>
      </c>
      <c r="E284">
        <f>IF(ISNUMBER(INDEX('Providers'!$G$4:$G$503,281)),TEXT(INDEX('Providers'!$G$4:$G$503,281),"yyyy-mm-dd"),"")</f>
        <v/>
      </c>
      <c r="F284">
        <f>"License"</f>
        <v/>
      </c>
      <c r="G284">
        <f>""</f>
        <v/>
      </c>
      <c r="H284">
        <f>"High"</f>
        <v/>
      </c>
      <c r="I284">
        <f>TRIM(IF(LEN(IF(LEN(INDEX('Providers'!$F$4:$F$503,281))=0,"",INDEX('Providers'!$F$4:$F$503,281)))=0,"","License no.: "&amp;IF(LEN(INDEX('Providers'!$F$4:$F$503,281))=0,"",INDEX('Providers'!$F$4:$F$503,281))&amp;". ")&amp;IF(LEN(IF(LEN(INDEX('Providers'!$C$4:$C$503,281))=0,"",INDEX('Providers'!$C$4:$C$503,281)))=0,"","NPI: "&amp;IF(LEN(INDEX('Providers'!$C$4:$C$503,281))=0,"",INDEX('Providers'!$C$4:$C$503,281))&amp;". ")&amp;IF(LEN(IF(LEN(INDEX('Providers'!$D$4:$D$503,281))=0,"",INDEX('Providers'!$D$4:$D$503,281)))=0,"","Specialty: "&amp;IF(LEN(INDEX('Providers'!$D$4:$D$503,281))=0,"",INDEX('Providers'!$D$4:$D$503,281))&amp;". ")&amp;IF(LEN(IF(LEN(INDEX('Providers'!$AK$4:$AK$503,281))=0,"",INDEX('Providers'!$AK$4:$AK$503,281)))=0,"",IF(LEN(INDEX('Providers'!$AK$4:$AK$503,281))=0,"",INDEX('Providers'!$AK$4:$AK$503,281))))</f>
        <v/>
      </c>
      <c r="J284">
        <f>IF(LEN(INDEX('Providers'!$AJ$4:$AJ$503,281))=0,"",INDEX('Providers'!$AJ$4:$AJ$503,281))</f>
        <v/>
      </c>
      <c r="K284">
        <f>IF(LEN(INDEX('Providers'!$AI$4:$AI$503,281))=0,"",INDEX('Providers'!$AI$4:$AI$503,281))</f>
        <v/>
      </c>
    </row>
    <row r="285">
      <c r="A285">
        <f>IF(AND(LEN('Providers'!A285)&gt;0,ISNUMBER('Providers'!G285)),1,0)</f>
        <v/>
      </c>
      <c r="B285">
        <f>B284+A285</f>
        <v/>
      </c>
      <c r="C285">
        <f>IF(282&gt;$B$4503,"",MATCH(282-0.5,$B$3:$B$4503,1))</f>
        <v/>
      </c>
      <c r="D285">
        <f>"State license ("&amp;IF(LEN(INDEX('Providers'!$E$4:$E$503,282))=0,"",INDEX('Providers'!$E$4:$E$503,282))&amp;") – "&amp;IF(LEN(INDEX('Providers'!$A$4:$A$503,282))=0,"",INDEX('Providers'!$A$4:$A$503,282))</f>
        <v/>
      </c>
      <c r="E285">
        <f>IF(ISNUMBER(INDEX('Providers'!$G$4:$G$503,282)),TEXT(INDEX('Providers'!$G$4:$G$503,282),"yyyy-mm-dd"),"")</f>
        <v/>
      </c>
      <c r="F285">
        <f>"License"</f>
        <v/>
      </c>
      <c r="G285">
        <f>""</f>
        <v/>
      </c>
      <c r="H285">
        <f>"High"</f>
        <v/>
      </c>
      <c r="I285">
        <f>TRIM(IF(LEN(IF(LEN(INDEX('Providers'!$F$4:$F$503,282))=0,"",INDEX('Providers'!$F$4:$F$503,282)))=0,"","License no.: "&amp;IF(LEN(INDEX('Providers'!$F$4:$F$503,282))=0,"",INDEX('Providers'!$F$4:$F$503,282))&amp;". ")&amp;IF(LEN(IF(LEN(INDEX('Providers'!$C$4:$C$503,282))=0,"",INDEX('Providers'!$C$4:$C$503,282)))=0,"","NPI: "&amp;IF(LEN(INDEX('Providers'!$C$4:$C$503,282))=0,"",INDEX('Providers'!$C$4:$C$503,282))&amp;". ")&amp;IF(LEN(IF(LEN(INDEX('Providers'!$D$4:$D$503,282))=0,"",INDEX('Providers'!$D$4:$D$503,282)))=0,"","Specialty: "&amp;IF(LEN(INDEX('Providers'!$D$4:$D$503,282))=0,"",INDEX('Providers'!$D$4:$D$503,282))&amp;". ")&amp;IF(LEN(IF(LEN(INDEX('Providers'!$AK$4:$AK$503,282))=0,"",INDEX('Providers'!$AK$4:$AK$503,282)))=0,"",IF(LEN(INDEX('Providers'!$AK$4:$AK$503,282))=0,"",INDEX('Providers'!$AK$4:$AK$503,282))))</f>
        <v/>
      </c>
      <c r="J285">
        <f>IF(LEN(INDEX('Providers'!$AJ$4:$AJ$503,282))=0,"",INDEX('Providers'!$AJ$4:$AJ$503,282))</f>
        <v/>
      </c>
      <c r="K285">
        <f>IF(LEN(INDEX('Providers'!$AI$4:$AI$503,282))=0,"",INDEX('Providers'!$AI$4:$AI$503,282))</f>
        <v/>
      </c>
    </row>
    <row r="286">
      <c r="A286">
        <f>IF(AND(LEN('Providers'!A286)&gt;0,ISNUMBER('Providers'!G286)),1,0)</f>
        <v/>
      </c>
      <c r="B286">
        <f>B285+A286</f>
        <v/>
      </c>
      <c r="C286">
        <f>IF(283&gt;$B$4503,"",MATCH(283-0.5,$B$3:$B$4503,1))</f>
        <v/>
      </c>
      <c r="D286">
        <f>"State license ("&amp;IF(LEN(INDEX('Providers'!$E$4:$E$503,283))=0,"",INDEX('Providers'!$E$4:$E$503,283))&amp;") – "&amp;IF(LEN(INDEX('Providers'!$A$4:$A$503,283))=0,"",INDEX('Providers'!$A$4:$A$503,283))</f>
        <v/>
      </c>
      <c r="E286">
        <f>IF(ISNUMBER(INDEX('Providers'!$G$4:$G$503,283)),TEXT(INDEX('Providers'!$G$4:$G$503,283),"yyyy-mm-dd"),"")</f>
        <v/>
      </c>
      <c r="F286">
        <f>"License"</f>
        <v/>
      </c>
      <c r="G286">
        <f>""</f>
        <v/>
      </c>
      <c r="H286">
        <f>"High"</f>
        <v/>
      </c>
      <c r="I286">
        <f>TRIM(IF(LEN(IF(LEN(INDEX('Providers'!$F$4:$F$503,283))=0,"",INDEX('Providers'!$F$4:$F$503,283)))=0,"","License no.: "&amp;IF(LEN(INDEX('Providers'!$F$4:$F$503,283))=0,"",INDEX('Providers'!$F$4:$F$503,283))&amp;". ")&amp;IF(LEN(IF(LEN(INDEX('Providers'!$C$4:$C$503,283))=0,"",INDEX('Providers'!$C$4:$C$503,283)))=0,"","NPI: "&amp;IF(LEN(INDEX('Providers'!$C$4:$C$503,283))=0,"",INDEX('Providers'!$C$4:$C$503,283))&amp;". ")&amp;IF(LEN(IF(LEN(INDEX('Providers'!$D$4:$D$503,283))=0,"",INDEX('Providers'!$D$4:$D$503,283)))=0,"","Specialty: "&amp;IF(LEN(INDEX('Providers'!$D$4:$D$503,283))=0,"",INDEX('Providers'!$D$4:$D$503,283))&amp;". ")&amp;IF(LEN(IF(LEN(INDEX('Providers'!$AK$4:$AK$503,283))=0,"",INDEX('Providers'!$AK$4:$AK$503,283)))=0,"",IF(LEN(INDEX('Providers'!$AK$4:$AK$503,283))=0,"",INDEX('Providers'!$AK$4:$AK$503,283))))</f>
        <v/>
      </c>
      <c r="J286">
        <f>IF(LEN(INDEX('Providers'!$AJ$4:$AJ$503,283))=0,"",INDEX('Providers'!$AJ$4:$AJ$503,283))</f>
        <v/>
      </c>
      <c r="K286">
        <f>IF(LEN(INDEX('Providers'!$AI$4:$AI$503,283))=0,"",INDEX('Providers'!$AI$4:$AI$503,283))</f>
        <v/>
      </c>
    </row>
    <row r="287">
      <c r="A287">
        <f>IF(AND(LEN('Providers'!A287)&gt;0,ISNUMBER('Providers'!G287)),1,0)</f>
        <v/>
      </c>
      <c r="B287">
        <f>B286+A287</f>
        <v/>
      </c>
      <c r="C287">
        <f>IF(284&gt;$B$4503,"",MATCH(284-0.5,$B$3:$B$4503,1))</f>
        <v/>
      </c>
      <c r="D287">
        <f>"State license ("&amp;IF(LEN(INDEX('Providers'!$E$4:$E$503,284))=0,"",INDEX('Providers'!$E$4:$E$503,284))&amp;") – "&amp;IF(LEN(INDEX('Providers'!$A$4:$A$503,284))=0,"",INDEX('Providers'!$A$4:$A$503,284))</f>
        <v/>
      </c>
      <c r="E287">
        <f>IF(ISNUMBER(INDEX('Providers'!$G$4:$G$503,284)),TEXT(INDEX('Providers'!$G$4:$G$503,284),"yyyy-mm-dd"),"")</f>
        <v/>
      </c>
      <c r="F287">
        <f>"License"</f>
        <v/>
      </c>
      <c r="G287">
        <f>""</f>
        <v/>
      </c>
      <c r="H287">
        <f>"High"</f>
        <v/>
      </c>
      <c r="I287">
        <f>TRIM(IF(LEN(IF(LEN(INDEX('Providers'!$F$4:$F$503,284))=0,"",INDEX('Providers'!$F$4:$F$503,284)))=0,"","License no.: "&amp;IF(LEN(INDEX('Providers'!$F$4:$F$503,284))=0,"",INDEX('Providers'!$F$4:$F$503,284))&amp;". ")&amp;IF(LEN(IF(LEN(INDEX('Providers'!$C$4:$C$503,284))=0,"",INDEX('Providers'!$C$4:$C$503,284)))=0,"","NPI: "&amp;IF(LEN(INDEX('Providers'!$C$4:$C$503,284))=0,"",INDEX('Providers'!$C$4:$C$503,284))&amp;". ")&amp;IF(LEN(IF(LEN(INDEX('Providers'!$D$4:$D$503,284))=0,"",INDEX('Providers'!$D$4:$D$503,284)))=0,"","Specialty: "&amp;IF(LEN(INDEX('Providers'!$D$4:$D$503,284))=0,"",INDEX('Providers'!$D$4:$D$503,284))&amp;". ")&amp;IF(LEN(IF(LEN(INDEX('Providers'!$AK$4:$AK$503,284))=0,"",INDEX('Providers'!$AK$4:$AK$503,284)))=0,"",IF(LEN(INDEX('Providers'!$AK$4:$AK$503,284))=0,"",INDEX('Providers'!$AK$4:$AK$503,284))))</f>
        <v/>
      </c>
      <c r="J287">
        <f>IF(LEN(INDEX('Providers'!$AJ$4:$AJ$503,284))=0,"",INDEX('Providers'!$AJ$4:$AJ$503,284))</f>
        <v/>
      </c>
      <c r="K287">
        <f>IF(LEN(INDEX('Providers'!$AI$4:$AI$503,284))=0,"",INDEX('Providers'!$AI$4:$AI$503,284))</f>
        <v/>
      </c>
    </row>
    <row r="288">
      <c r="A288">
        <f>IF(AND(LEN('Providers'!A288)&gt;0,ISNUMBER('Providers'!G288)),1,0)</f>
        <v/>
      </c>
      <c r="B288">
        <f>B287+A288</f>
        <v/>
      </c>
      <c r="C288">
        <f>IF(285&gt;$B$4503,"",MATCH(285-0.5,$B$3:$B$4503,1))</f>
        <v/>
      </c>
      <c r="D288">
        <f>"State license ("&amp;IF(LEN(INDEX('Providers'!$E$4:$E$503,285))=0,"",INDEX('Providers'!$E$4:$E$503,285))&amp;") – "&amp;IF(LEN(INDEX('Providers'!$A$4:$A$503,285))=0,"",INDEX('Providers'!$A$4:$A$503,285))</f>
        <v/>
      </c>
      <c r="E288">
        <f>IF(ISNUMBER(INDEX('Providers'!$G$4:$G$503,285)),TEXT(INDEX('Providers'!$G$4:$G$503,285),"yyyy-mm-dd"),"")</f>
        <v/>
      </c>
      <c r="F288">
        <f>"License"</f>
        <v/>
      </c>
      <c r="G288">
        <f>""</f>
        <v/>
      </c>
      <c r="H288">
        <f>"High"</f>
        <v/>
      </c>
      <c r="I288">
        <f>TRIM(IF(LEN(IF(LEN(INDEX('Providers'!$F$4:$F$503,285))=0,"",INDEX('Providers'!$F$4:$F$503,285)))=0,"","License no.: "&amp;IF(LEN(INDEX('Providers'!$F$4:$F$503,285))=0,"",INDEX('Providers'!$F$4:$F$503,285))&amp;". ")&amp;IF(LEN(IF(LEN(INDEX('Providers'!$C$4:$C$503,285))=0,"",INDEX('Providers'!$C$4:$C$503,285)))=0,"","NPI: "&amp;IF(LEN(INDEX('Providers'!$C$4:$C$503,285))=0,"",INDEX('Providers'!$C$4:$C$503,285))&amp;". ")&amp;IF(LEN(IF(LEN(INDEX('Providers'!$D$4:$D$503,285))=0,"",INDEX('Providers'!$D$4:$D$503,285)))=0,"","Specialty: "&amp;IF(LEN(INDEX('Providers'!$D$4:$D$503,285))=0,"",INDEX('Providers'!$D$4:$D$503,285))&amp;". ")&amp;IF(LEN(IF(LEN(INDEX('Providers'!$AK$4:$AK$503,285))=0,"",INDEX('Providers'!$AK$4:$AK$503,285)))=0,"",IF(LEN(INDEX('Providers'!$AK$4:$AK$503,285))=0,"",INDEX('Providers'!$AK$4:$AK$503,285))))</f>
        <v/>
      </c>
      <c r="J288">
        <f>IF(LEN(INDEX('Providers'!$AJ$4:$AJ$503,285))=0,"",INDEX('Providers'!$AJ$4:$AJ$503,285))</f>
        <v/>
      </c>
      <c r="K288">
        <f>IF(LEN(INDEX('Providers'!$AI$4:$AI$503,285))=0,"",INDEX('Providers'!$AI$4:$AI$503,285))</f>
        <v/>
      </c>
    </row>
    <row r="289">
      <c r="A289">
        <f>IF(AND(LEN('Providers'!A289)&gt;0,ISNUMBER('Providers'!G289)),1,0)</f>
        <v/>
      </c>
      <c r="B289">
        <f>B288+A289</f>
        <v/>
      </c>
      <c r="C289">
        <f>IF(286&gt;$B$4503,"",MATCH(286-0.5,$B$3:$B$4503,1))</f>
        <v/>
      </c>
      <c r="D289">
        <f>"State license ("&amp;IF(LEN(INDEX('Providers'!$E$4:$E$503,286))=0,"",INDEX('Providers'!$E$4:$E$503,286))&amp;") – "&amp;IF(LEN(INDEX('Providers'!$A$4:$A$503,286))=0,"",INDEX('Providers'!$A$4:$A$503,286))</f>
        <v/>
      </c>
      <c r="E289">
        <f>IF(ISNUMBER(INDEX('Providers'!$G$4:$G$503,286)),TEXT(INDEX('Providers'!$G$4:$G$503,286),"yyyy-mm-dd"),"")</f>
        <v/>
      </c>
      <c r="F289">
        <f>"License"</f>
        <v/>
      </c>
      <c r="G289">
        <f>""</f>
        <v/>
      </c>
      <c r="H289">
        <f>"High"</f>
        <v/>
      </c>
      <c r="I289">
        <f>TRIM(IF(LEN(IF(LEN(INDEX('Providers'!$F$4:$F$503,286))=0,"",INDEX('Providers'!$F$4:$F$503,286)))=0,"","License no.: "&amp;IF(LEN(INDEX('Providers'!$F$4:$F$503,286))=0,"",INDEX('Providers'!$F$4:$F$503,286))&amp;". ")&amp;IF(LEN(IF(LEN(INDEX('Providers'!$C$4:$C$503,286))=0,"",INDEX('Providers'!$C$4:$C$503,286)))=0,"","NPI: "&amp;IF(LEN(INDEX('Providers'!$C$4:$C$503,286))=0,"",INDEX('Providers'!$C$4:$C$503,286))&amp;". ")&amp;IF(LEN(IF(LEN(INDEX('Providers'!$D$4:$D$503,286))=0,"",INDEX('Providers'!$D$4:$D$503,286)))=0,"","Specialty: "&amp;IF(LEN(INDEX('Providers'!$D$4:$D$503,286))=0,"",INDEX('Providers'!$D$4:$D$503,286))&amp;". ")&amp;IF(LEN(IF(LEN(INDEX('Providers'!$AK$4:$AK$503,286))=0,"",INDEX('Providers'!$AK$4:$AK$503,286)))=0,"",IF(LEN(INDEX('Providers'!$AK$4:$AK$503,286))=0,"",INDEX('Providers'!$AK$4:$AK$503,286))))</f>
        <v/>
      </c>
      <c r="J289">
        <f>IF(LEN(INDEX('Providers'!$AJ$4:$AJ$503,286))=0,"",INDEX('Providers'!$AJ$4:$AJ$503,286))</f>
        <v/>
      </c>
      <c r="K289">
        <f>IF(LEN(INDEX('Providers'!$AI$4:$AI$503,286))=0,"",INDEX('Providers'!$AI$4:$AI$503,286))</f>
        <v/>
      </c>
    </row>
    <row r="290">
      <c r="A290">
        <f>IF(AND(LEN('Providers'!A290)&gt;0,ISNUMBER('Providers'!G290)),1,0)</f>
        <v/>
      </c>
      <c r="B290">
        <f>B289+A290</f>
        <v/>
      </c>
      <c r="C290">
        <f>IF(287&gt;$B$4503,"",MATCH(287-0.5,$B$3:$B$4503,1))</f>
        <v/>
      </c>
      <c r="D290">
        <f>"State license ("&amp;IF(LEN(INDEX('Providers'!$E$4:$E$503,287))=0,"",INDEX('Providers'!$E$4:$E$503,287))&amp;") – "&amp;IF(LEN(INDEX('Providers'!$A$4:$A$503,287))=0,"",INDEX('Providers'!$A$4:$A$503,287))</f>
        <v/>
      </c>
      <c r="E290">
        <f>IF(ISNUMBER(INDEX('Providers'!$G$4:$G$503,287)),TEXT(INDEX('Providers'!$G$4:$G$503,287),"yyyy-mm-dd"),"")</f>
        <v/>
      </c>
      <c r="F290">
        <f>"License"</f>
        <v/>
      </c>
      <c r="G290">
        <f>""</f>
        <v/>
      </c>
      <c r="H290">
        <f>"High"</f>
        <v/>
      </c>
      <c r="I290">
        <f>TRIM(IF(LEN(IF(LEN(INDEX('Providers'!$F$4:$F$503,287))=0,"",INDEX('Providers'!$F$4:$F$503,287)))=0,"","License no.: "&amp;IF(LEN(INDEX('Providers'!$F$4:$F$503,287))=0,"",INDEX('Providers'!$F$4:$F$503,287))&amp;". ")&amp;IF(LEN(IF(LEN(INDEX('Providers'!$C$4:$C$503,287))=0,"",INDEX('Providers'!$C$4:$C$503,287)))=0,"","NPI: "&amp;IF(LEN(INDEX('Providers'!$C$4:$C$503,287))=0,"",INDEX('Providers'!$C$4:$C$503,287))&amp;". ")&amp;IF(LEN(IF(LEN(INDEX('Providers'!$D$4:$D$503,287))=0,"",INDEX('Providers'!$D$4:$D$503,287)))=0,"","Specialty: "&amp;IF(LEN(INDEX('Providers'!$D$4:$D$503,287))=0,"",INDEX('Providers'!$D$4:$D$503,287))&amp;". ")&amp;IF(LEN(IF(LEN(INDEX('Providers'!$AK$4:$AK$503,287))=0,"",INDEX('Providers'!$AK$4:$AK$503,287)))=0,"",IF(LEN(INDEX('Providers'!$AK$4:$AK$503,287))=0,"",INDEX('Providers'!$AK$4:$AK$503,287))))</f>
        <v/>
      </c>
      <c r="J290">
        <f>IF(LEN(INDEX('Providers'!$AJ$4:$AJ$503,287))=0,"",INDEX('Providers'!$AJ$4:$AJ$503,287))</f>
        <v/>
      </c>
      <c r="K290">
        <f>IF(LEN(INDEX('Providers'!$AI$4:$AI$503,287))=0,"",INDEX('Providers'!$AI$4:$AI$503,287))</f>
        <v/>
      </c>
    </row>
    <row r="291">
      <c r="A291">
        <f>IF(AND(LEN('Providers'!A291)&gt;0,ISNUMBER('Providers'!G291)),1,0)</f>
        <v/>
      </c>
      <c r="B291">
        <f>B290+A291</f>
        <v/>
      </c>
      <c r="C291">
        <f>IF(288&gt;$B$4503,"",MATCH(288-0.5,$B$3:$B$4503,1))</f>
        <v/>
      </c>
      <c r="D291">
        <f>"State license ("&amp;IF(LEN(INDEX('Providers'!$E$4:$E$503,288))=0,"",INDEX('Providers'!$E$4:$E$503,288))&amp;") – "&amp;IF(LEN(INDEX('Providers'!$A$4:$A$503,288))=0,"",INDEX('Providers'!$A$4:$A$503,288))</f>
        <v/>
      </c>
      <c r="E291">
        <f>IF(ISNUMBER(INDEX('Providers'!$G$4:$G$503,288)),TEXT(INDEX('Providers'!$G$4:$G$503,288),"yyyy-mm-dd"),"")</f>
        <v/>
      </c>
      <c r="F291">
        <f>"License"</f>
        <v/>
      </c>
      <c r="G291">
        <f>""</f>
        <v/>
      </c>
      <c r="H291">
        <f>"High"</f>
        <v/>
      </c>
      <c r="I291">
        <f>TRIM(IF(LEN(IF(LEN(INDEX('Providers'!$F$4:$F$503,288))=0,"",INDEX('Providers'!$F$4:$F$503,288)))=0,"","License no.: "&amp;IF(LEN(INDEX('Providers'!$F$4:$F$503,288))=0,"",INDEX('Providers'!$F$4:$F$503,288))&amp;". ")&amp;IF(LEN(IF(LEN(INDEX('Providers'!$C$4:$C$503,288))=0,"",INDEX('Providers'!$C$4:$C$503,288)))=0,"","NPI: "&amp;IF(LEN(INDEX('Providers'!$C$4:$C$503,288))=0,"",INDEX('Providers'!$C$4:$C$503,288))&amp;". ")&amp;IF(LEN(IF(LEN(INDEX('Providers'!$D$4:$D$503,288))=0,"",INDEX('Providers'!$D$4:$D$503,288)))=0,"","Specialty: "&amp;IF(LEN(INDEX('Providers'!$D$4:$D$503,288))=0,"",INDEX('Providers'!$D$4:$D$503,288))&amp;". ")&amp;IF(LEN(IF(LEN(INDEX('Providers'!$AK$4:$AK$503,288))=0,"",INDEX('Providers'!$AK$4:$AK$503,288)))=0,"",IF(LEN(INDEX('Providers'!$AK$4:$AK$503,288))=0,"",INDEX('Providers'!$AK$4:$AK$503,288))))</f>
        <v/>
      </c>
      <c r="J291">
        <f>IF(LEN(INDEX('Providers'!$AJ$4:$AJ$503,288))=0,"",INDEX('Providers'!$AJ$4:$AJ$503,288))</f>
        <v/>
      </c>
      <c r="K291">
        <f>IF(LEN(INDEX('Providers'!$AI$4:$AI$503,288))=0,"",INDEX('Providers'!$AI$4:$AI$503,288))</f>
        <v/>
      </c>
    </row>
    <row r="292">
      <c r="A292">
        <f>IF(AND(LEN('Providers'!A292)&gt;0,ISNUMBER('Providers'!G292)),1,0)</f>
        <v/>
      </c>
      <c r="B292">
        <f>B291+A292</f>
        <v/>
      </c>
      <c r="C292">
        <f>IF(289&gt;$B$4503,"",MATCH(289-0.5,$B$3:$B$4503,1))</f>
        <v/>
      </c>
      <c r="D292">
        <f>"State license ("&amp;IF(LEN(INDEX('Providers'!$E$4:$E$503,289))=0,"",INDEX('Providers'!$E$4:$E$503,289))&amp;") – "&amp;IF(LEN(INDEX('Providers'!$A$4:$A$503,289))=0,"",INDEX('Providers'!$A$4:$A$503,289))</f>
        <v/>
      </c>
      <c r="E292">
        <f>IF(ISNUMBER(INDEX('Providers'!$G$4:$G$503,289)),TEXT(INDEX('Providers'!$G$4:$G$503,289),"yyyy-mm-dd"),"")</f>
        <v/>
      </c>
      <c r="F292">
        <f>"License"</f>
        <v/>
      </c>
      <c r="G292">
        <f>""</f>
        <v/>
      </c>
      <c r="H292">
        <f>"High"</f>
        <v/>
      </c>
      <c r="I292">
        <f>TRIM(IF(LEN(IF(LEN(INDEX('Providers'!$F$4:$F$503,289))=0,"",INDEX('Providers'!$F$4:$F$503,289)))=0,"","License no.: "&amp;IF(LEN(INDEX('Providers'!$F$4:$F$503,289))=0,"",INDEX('Providers'!$F$4:$F$503,289))&amp;". ")&amp;IF(LEN(IF(LEN(INDEX('Providers'!$C$4:$C$503,289))=0,"",INDEX('Providers'!$C$4:$C$503,289)))=0,"","NPI: "&amp;IF(LEN(INDEX('Providers'!$C$4:$C$503,289))=0,"",INDEX('Providers'!$C$4:$C$503,289))&amp;". ")&amp;IF(LEN(IF(LEN(INDEX('Providers'!$D$4:$D$503,289))=0,"",INDEX('Providers'!$D$4:$D$503,289)))=0,"","Specialty: "&amp;IF(LEN(INDEX('Providers'!$D$4:$D$503,289))=0,"",INDEX('Providers'!$D$4:$D$503,289))&amp;". ")&amp;IF(LEN(IF(LEN(INDEX('Providers'!$AK$4:$AK$503,289))=0,"",INDEX('Providers'!$AK$4:$AK$503,289)))=0,"",IF(LEN(INDEX('Providers'!$AK$4:$AK$503,289))=0,"",INDEX('Providers'!$AK$4:$AK$503,289))))</f>
        <v/>
      </c>
      <c r="J292">
        <f>IF(LEN(INDEX('Providers'!$AJ$4:$AJ$503,289))=0,"",INDEX('Providers'!$AJ$4:$AJ$503,289))</f>
        <v/>
      </c>
      <c r="K292">
        <f>IF(LEN(INDEX('Providers'!$AI$4:$AI$503,289))=0,"",INDEX('Providers'!$AI$4:$AI$503,289))</f>
        <v/>
      </c>
    </row>
    <row r="293">
      <c r="A293">
        <f>IF(AND(LEN('Providers'!A293)&gt;0,ISNUMBER('Providers'!G293)),1,0)</f>
        <v/>
      </c>
      <c r="B293">
        <f>B292+A293</f>
        <v/>
      </c>
      <c r="C293">
        <f>IF(290&gt;$B$4503,"",MATCH(290-0.5,$B$3:$B$4503,1))</f>
        <v/>
      </c>
      <c r="D293">
        <f>"State license ("&amp;IF(LEN(INDEX('Providers'!$E$4:$E$503,290))=0,"",INDEX('Providers'!$E$4:$E$503,290))&amp;") – "&amp;IF(LEN(INDEX('Providers'!$A$4:$A$503,290))=0,"",INDEX('Providers'!$A$4:$A$503,290))</f>
        <v/>
      </c>
      <c r="E293">
        <f>IF(ISNUMBER(INDEX('Providers'!$G$4:$G$503,290)),TEXT(INDEX('Providers'!$G$4:$G$503,290),"yyyy-mm-dd"),"")</f>
        <v/>
      </c>
      <c r="F293">
        <f>"License"</f>
        <v/>
      </c>
      <c r="G293">
        <f>""</f>
        <v/>
      </c>
      <c r="H293">
        <f>"High"</f>
        <v/>
      </c>
      <c r="I293">
        <f>TRIM(IF(LEN(IF(LEN(INDEX('Providers'!$F$4:$F$503,290))=0,"",INDEX('Providers'!$F$4:$F$503,290)))=0,"","License no.: "&amp;IF(LEN(INDEX('Providers'!$F$4:$F$503,290))=0,"",INDEX('Providers'!$F$4:$F$503,290))&amp;". ")&amp;IF(LEN(IF(LEN(INDEX('Providers'!$C$4:$C$503,290))=0,"",INDEX('Providers'!$C$4:$C$503,290)))=0,"","NPI: "&amp;IF(LEN(INDEX('Providers'!$C$4:$C$503,290))=0,"",INDEX('Providers'!$C$4:$C$503,290))&amp;". ")&amp;IF(LEN(IF(LEN(INDEX('Providers'!$D$4:$D$503,290))=0,"",INDEX('Providers'!$D$4:$D$503,290)))=0,"","Specialty: "&amp;IF(LEN(INDEX('Providers'!$D$4:$D$503,290))=0,"",INDEX('Providers'!$D$4:$D$503,290))&amp;". ")&amp;IF(LEN(IF(LEN(INDEX('Providers'!$AK$4:$AK$503,290))=0,"",INDEX('Providers'!$AK$4:$AK$503,290)))=0,"",IF(LEN(INDEX('Providers'!$AK$4:$AK$503,290))=0,"",INDEX('Providers'!$AK$4:$AK$503,290))))</f>
        <v/>
      </c>
      <c r="J293">
        <f>IF(LEN(INDEX('Providers'!$AJ$4:$AJ$503,290))=0,"",INDEX('Providers'!$AJ$4:$AJ$503,290))</f>
        <v/>
      </c>
      <c r="K293">
        <f>IF(LEN(INDEX('Providers'!$AI$4:$AI$503,290))=0,"",INDEX('Providers'!$AI$4:$AI$503,290))</f>
        <v/>
      </c>
    </row>
    <row r="294">
      <c r="A294">
        <f>IF(AND(LEN('Providers'!A294)&gt;0,ISNUMBER('Providers'!G294)),1,0)</f>
        <v/>
      </c>
      <c r="B294">
        <f>B293+A294</f>
        <v/>
      </c>
      <c r="C294">
        <f>IF(291&gt;$B$4503,"",MATCH(291-0.5,$B$3:$B$4503,1))</f>
        <v/>
      </c>
      <c r="D294">
        <f>"State license ("&amp;IF(LEN(INDEX('Providers'!$E$4:$E$503,291))=0,"",INDEX('Providers'!$E$4:$E$503,291))&amp;") – "&amp;IF(LEN(INDEX('Providers'!$A$4:$A$503,291))=0,"",INDEX('Providers'!$A$4:$A$503,291))</f>
        <v/>
      </c>
      <c r="E294">
        <f>IF(ISNUMBER(INDEX('Providers'!$G$4:$G$503,291)),TEXT(INDEX('Providers'!$G$4:$G$503,291),"yyyy-mm-dd"),"")</f>
        <v/>
      </c>
      <c r="F294">
        <f>"License"</f>
        <v/>
      </c>
      <c r="G294">
        <f>""</f>
        <v/>
      </c>
      <c r="H294">
        <f>"High"</f>
        <v/>
      </c>
      <c r="I294">
        <f>TRIM(IF(LEN(IF(LEN(INDEX('Providers'!$F$4:$F$503,291))=0,"",INDEX('Providers'!$F$4:$F$503,291)))=0,"","License no.: "&amp;IF(LEN(INDEX('Providers'!$F$4:$F$503,291))=0,"",INDEX('Providers'!$F$4:$F$503,291))&amp;". ")&amp;IF(LEN(IF(LEN(INDEX('Providers'!$C$4:$C$503,291))=0,"",INDEX('Providers'!$C$4:$C$503,291)))=0,"","NPI: "&amp;IF(LEN(INDEX('Providers'!$C$4:$C$503,291))=0,"",INDEX('Providers'!$C$4:$C$503,291))&amp;". ")&amp;IF(LEN(IF(LEN(INDEX('Providers'!$D$4:$D$503,291))=0,"",INDEX('Providers'!$D$4:$D$503,291)))=0,"","Specialty: "&amp;IF(LEN(INDEX('Providers'!$D$4:$D$503,291))=0,"",INDEX('Providers'!$D$4:$D$503,291))&amp;". ")&amp;IF(LEN(IF(LEN(INDEX('Providers'!$AK$4:$AK$503,291))=0,"",INDEX('Providers'!$AK$4:$AK$503,291)))=0,"",IF(LEN(INDEX('Providers'!$AK$4:$AK$503,291))=0,"",INDEX('Providers'!$AK$4:$AK$503,291))))</f>
        <v/>
      </c>
      <c r="J294">
        <f>IF(LEN(INDEX('Providers'!$AJ$4:$AJ$503,291))=0,"",INDEX('Providers'!$AJ$4:$AJ$503,291))</f>
        <v/>
      </c>
      <c r="K294">
        <f>IF(LEN(INDEX('Providers'!$AI$4:$AI$503,291))=0,"",INDEX('Providers'!$AI$4:$AI$503,291))</f>
        <v/>
      </c>
    </row>
    <row r="295">
      <c r="A295">
        <f>IF(AND(LEN('Providers'!A295)&gt;0,ISNUMBER('Providers'!G295)),1,0)</f>
        <v/>
      </c>
      <c r="B295">
        <f>B294+A295</f>
        <v/>
      </c>
      <c r="C295">
        <f>IF(292&gt;$B$4503,"",MATCH(292-0.5,$B$3:$B$4503,1))</f>
        <v/>
      </c>
      <c r="D295">
        <f>"State license ("&amp;IF(LEN(INDEX('Providers'!$E$4:$E$503,292))=0,"",INDEX('Providers'!$E$4:$E$503,292))&amp;") – "&amp;IF(LEN(INDEX('Providers'!$A$4:$A$503,292))=0,"",INDEX('Providers'!$A$4:$A$503,292))</f>
        <v/>
      </c>
      <c r="E295">
        <f>IF(ISNUMBER(INDEX('Providers'!$G$4:$G$503,292)),TEXT(INDEX('Providers'!$G$4:$G$503,292),"yyyy-mm-dd"),"")</f>
        <v/>
      </c>
      <c r="F295">
        <f>"License"</f>
        <v/>
      </c>
      <c r="G295">
        <f>""</f>
        <v/>
      </c>
      <c r="H295">
        <f>"High"</f>
        <v/>
      </c>
      <c r="I295">
        <f>TRIM(IF(LEN(IF(LEN(INDEX('Providers'!$F$4:$F$503,292))=0,"",INDEX('Providers'!$F$4:$F$503,292)))=0,"","License no.: "&amp;IF(LEN(INDEX('Providers'!$F$4:$F$503,292))=0,"",INDEX('Providers'!$F$4:$F$503,292))&amp;". ")&amp;IF(LEN(IF(LEN(INDEX('Providers'!$C$4:$C$503,292))=0,"",INDEX('Providers'!$C$4:$C$503,292)))=0,"","NPI: "&amp;IF(LEN(INDEX('Providers'!$C$4:$C$503,292))=0,"",INDEX('Providers'!$C$4:$C$503,292))&amp;". ")&amp;IF(LEN(IF(LEN(INDEX('Providers'!$D$4:$D$503,292))=0,"",INDEX('Providers'!$D$4:$D$503,292)))=0,"","Specialty: "&amp;IF(LEN(INDEX('Providers'!$D$4:$D$503,292))=0,"",INDEX('Providers'!$D$4:$D$503,292))&amp;". ")&amp;IF(LEN(IF(LEN(INDEX('Providers'!$AK$4:$AK$503,292))=0,"",INDEX('Providers'!$AK$4:$AK$503,292)))=0,"",IF(LEN(INDEX('Providers'!$AK$4:$AK$503,292))=0,"",INDEX('Providers'!$AK$4:$AK$503,292))))</f>
        <v/>
      </c>
      <c r="J295">
        <f>IF(LEN(INDEX('Providers'!$AJ$4:$AJ$503,292))=0,"",INDEX('Providers'!$AJ$4:$AJ$503,292))</f>
        <v/>
      </c>
      <c r="K295">
        <f>IF(LEN(INDEX('Providers'!$AI$4:$AI$503,292))=0,"",INDEX('Providers'!$AI$4:$AI$503,292))</f>
        <v/>
      </c>
    </row>
    <row r="296">
      <c r="A296">
        <f>IF(AND(LEN('Providers'!A296)&gt;0,ISNUMBER('Providers'!G296)),1,0)</f>
        <v/>
      </c>
      <c r="B296">
        <f>B295+A296</f>
        <v/>
      </c>
      <c r="C296">
        <f>IF(293&gt;$B$4503,"",MATCH(293-0.5,$B$3:$B$4503,1))</f>
        <v/>
      </c>
      <c r="D296">
        <f>"State license ("&amp;IF(LEN(INDEX('Providers'!$E$4:$E$503,293))=0,"",INDEX('Providers'!$E$4:$E$503,293))&amp;") – "&amp;IF(LEN(INDEX('Providers'!$A$4:$A$503,293))=0,"",INDEX('Providers'!$A$4:$A$503,293))</f>
        <v/>
      </c>
      <c r="E296">
        <f>IF(ISNUMBER(INDEX('Providers'!$G$4:$G$503,293)),TEXT(INDEX('Providers'!$G$4:$G$503,293),"yyyy-mm-dd"),"")</f>
        <v/>
      </c>
      <c r="F296">
        <f>"License"</f>
        <v/>
      </c>
      <c r="G296">
        <f>""</f>
        <v/>
      </c>
      <c r="H296">
        <f>"High"</f>
        <v/>
      </c>
      <c r="I296">
        <f>TRIM(IF(LEN(IF(LEN(INDEX('Providers'!$F$4:$F$503,293))=0,"",INDEX('Providers'!$F$4:$F$503,293)))=0,"","License no.: "&amp;IF(LEN(INDEX('Providers'!$F$4:$F$503,293))=0,"",INDEX('Providers'!$F$4:$F$503,293))&amp;". ")&amp;IF(LEN(IF(LEN(INDEX('Providers'!$C$4:$C$503,293))=0,"",INDEX('Providers'!$C$4:$C$503,293)))=0,"","NPI: "&amp;IF(LEN(INDEX('Providers'!$C$4:$C$503,293))=0,"",INDEX('Providers'!$C$4:$C$503,293))&amp;". ")&amp;IF(LEN(IF(LEN(INDEX('Providers'!$D$4:$D$503,293))=0,"",INDEX('Providers'!$D$4:$D$503,293)))=0,"","Specialty: "&amp;IF(LEN(INDEX('Providers'!$D$4:$D$503,293))=0,"",INDEX('Providers'!$D$4:$D$503,293))&amp;". ")&amp;IF(LEN(IF(LEN(INDEX('Providers'!$AK$4:$AK$503,293))=0,"",INDEX('Providers'!$AK$4:$AK$503,293)))=0,"",IF(LEN(INDEX('Providers'!$AK$4:$AK$503,293))=0,"",INDEX('Providers'!$AK$4:$AK$503,293))))</f>
        <v/>
      </c>
      <c r="J296">
        <f>IF(LEN(INDEX('Providers'!$AJ$4:$AJ$503,293))=0,"",INDEX('Providers'!$AJ$4:$AJ$503,293))</f>
        <v/>
      </c>
      <c r="K296">
        <f>IF(LEN(INDEX('Providers'!$AI$4:$AI$503,293))=0,"",INDEX('Providers'!$AI$4:$AI$503,293))</f>
        <v/>
      </c>
    </row>
    <row r="297">
      <c r="A297">
        <f>IF(AND(LEN('Providers'!A297)&gt;0,ISNUMBER('Providers'!G297)),1,0)</f>
        <v/>
      </c>
      <c r="B297">
        <f>B296+A297</f>
        <v/>
      </c>
      <c r="C297">
        <f>IF(294&gt;$B$4503,"",MATCH(294-0.5,$B$3:$B$4503,1))</f>
        <v/>
      </c>
      <c r="D297">
        <f>"State license ("&amp;IF(LEN(INDEX('Providers'!$E$4:$E$503,294))=0,"",INDEX('Providers'!$E$4:$E$503,294))&amp;") – "&amp;IF(LEN(INDEX('Providers'!$A$4:$A$503,294))=0,"",INDEX('Providers'!$A$4:$A$503,294))</f>
        <v/>
      </c>
      <c r="E297">
        <f>IF(ISNUMBER(INDEX('Providers'!$G$4:$G$503,294)),TEXT(INDEX('Providers'!$G$4:$G$503,294),"yyyy-mm-dd"),"")</f>
        <v/>
      </c>
      <c r="F297">
        <f>"License"</f>
        <v/>
      </c>
      <c r="G297">
        <f>""</f>
        <v/>
      </c>
      <c r="H297">
        <f>"High"</f>
        <v/>
      </c>
      <c r="I297">
        <f>TRIM(IF(LEN(IF(LEN(INDEX('Providers'!$F$4:$F$503,294))=0,"",INDEX('Providers'!$F$4:$F$503,294)))=0,"","License no.: "&amp;IF(LEN(INDEX('Providers'!$F$4:$F$503,294))=0,"",INDEX('Providers'!$F$4:$F$503,294))&amp;". ")&amp;IF(LEN(IF(LEN(INDEX('Providers'!$C$4:$C$503,294))=0,"",INDEX('Providers'!$C$4:$C$503,294)))=0,"","NPI: "&amp;IF(LEN(INDEX('Providers'!$C$4:$C$503,294))=0,"",INDEX('Providers'!$C$4:$C$503,294))&amp;". ")&amp;IF(LEN(IF(LEN(INDEX('Providers'!$D$4:$D$503,294))=0,"",INDEX('Providers'!$D$4:$D$503,294)))=0,"","Specialty: "&amp;IF(LEN(INDEX('Providers'!$D$4:$D$503,294))=0,"",INDEX('Providers'!$D$4:$D$503,294))&amp;". ")&amp;IF(LEN(IF(LEN(INDEX('Providers'!$AK$4:$AK$503,294))=0,"",INDEX('Providers'!$AK$4:$AK$503,294)))=0,"",IF(LEN(INDEX('Providers'!$AK$4:$AK$503,294))=0,"",INDEX('Providers'!$AK$4:$AK$503,294))))</f>
        <v/>
      </c>
      <c r="J297">
        <f>IF(LEN(INDEX('Providers'!$AJ$4:$AJ$503,294))=0,"",INDEX('Providers'!$AJ$4:$AJ$503,294))</f>
        <v/>
      </c>
      <c r="K297">
        <f>IF(LEN(INDEX('Providers'!$AI$4:$AI$503,294))=0,"",INDEX('Providers'!$AI$4:$AI$503,294))</f>
        <v/>
      </c>
    </row>
    <row r="298">
      <c r="A298">
        <f>IF(AND(LEN('Providers'!A298)&gt;0,ISNUMBER('Providers'!G298)),1,0)</f>
        <v/>
      </c>
      <c r="B298">
        <f>B297+A298</f>
        <v/>
      </c>
      <c r="C298">
        <f>IF(295&gt;$B$4503,"",MATCH(295-0.5,$B$3:$B$4503,1))</f>
        <v/>
      </c>
      <c r="D298">
        <f>"State license ("&amp;IF(LEN(INDEX('Providers'!$E$4:$E$503,295))=0,"",INDEX('Providers'!$E$4:$E$503,295))&amp;") – "&amp;IF(LEN(INDEX('Providers'!$A$4:$A$503,295))=0,"",INDEX('Providers'!$A$4:$A$503,295))</f>
        <v/>
      </c>
      <c r="E298">
        <f>IF(ISNUMBER(INDEX('Providers'!$G$4:$G$503,295)),TEXT(INDEX('Providers'!$G$4:$G$503,295),"yyyy-mm-dd"),"")</f>
        <v/>
      </c>
      <c r="F298">
        <f>"License"</f>
        <v/>
      </c>
      <c r="G298">
        <f>""</f>
        <v/>
      </c>
      <c r="H298">
        <f>"High"</f>
        <v/>
      </c>
      <c r="I298">
        <f>TRIM(IF(LEN(IF(LEN(INDEX('Providers'!$F$4:$F$503,295))=0,"",INDEX('Providers'!$F$4:$F$503,295)))=0,"","License no.: "&amp;IF(LEN(INDEX('Providers'!$F$4:$F$503,295))=0,"",INDEX('Providers'!$F$4:$F$503,295))&amp;". ")&amp;IF(LEN(IF(LEN(INDEX('Providers'!$C$4:$C$503,295))=0,"",INDEX('Providers'!$C$4:$C$503,295)))=0,"","NPI: "&amp;IF(LEN(INDEX('Providers'!$C$4:$C$503,295))=0,"",INDEX('Providers'!$C$4:$C$503,295))&amp;". ")&amp;IF(LEN(IF(LEN(INDEX('Providers'!$D$4:$D$503,295))=0,"",INDEX('Providers'!$D$4:$D$503,295)))=0,"","Specialty: "&amp;IF(LEN(INDEX('Providers'!$D$4:$D$503,295))=0,"",INDEX('Providers'!$D$4:$D$503,295))&amp;". ")&amp;IF(LEN(IF(LEN(INDEX('Providers'!$AK$4:$AK$503,295))=0,"",INDEX('Providers'!$AK$4:$AK$503,295)))=0,"",IF(LEN(INDEX('Providers'!$AK$4:$AK$503,295))=0,"",INDEX('Providers'!$AK$4:$AK$503,295))))</f>
        <v/>
      </c>
      <c r="J298">
        <f>IF(LEN(INDEX('Providers'!$AJ$4:$AJ$503,295))=0,"",INDEX('Providers'!$AJ$4:$AJ$503,295))</f>
        <v/>
      </c>
      <c r="K298">
        <f>IF(LEN(INDEX('Providers'!$AI$4:$AI$503,295))=0,"",INDEX('Providers'!$AI$4:$AI$503,295))</f>
        <v/>
      </c>
    </row>
    <row r="299">
      <c r="A299">
        <f>IF(AND(LEN('Providers'!A299)&gt;0,ISNUMBER('Providers'!G299)),1,0)</f>
        <v/>
      </c>
      <c r="B299">
        <f>B298+A299</f>
        <v/>
      </c>
      <c r="C299">
        <f>IF(296&gt;$B$4503,"",MATCH(296-0.5,$B$3:$B$4503,1))</f>
        <v/>
      </c>
      <c r="D299">
        <f>"State license ("&amp;IF(LEN(INDEX('Providers'!$E$4:$E$503,296))=0,"",INDEX('Providers'!$E$4:$E$503,296))&amp;") – "&amp;IF(LEN(INDEX('Providers'!$A$4:$A$503,296))=0,"",INDEX('Providers'!$A$4:$A$503,296))</f>
        <v/>
      </c>
      <c r="E299">
        <f>IF(ISNUMBER(INDEX('Providers'!$G$4:$G$503,296)),TEXT(INDEX('Providers'!$G$4:$G$503,296),"yyyy-mm-dd"),"")</f>
        <v/>
      </c>
      <c r="F299">
        <f>"License"</f>
        <v/>
      </c>
      <c r="G299">
        <f>""</f>
        <v/>
      </c>
      <c r="H299">
        <f>"High"</f>
        <v/>
      </c>
      <c r="I299">
        <f>TRIM(IF(LEN(IF(LEN(INDEX('Providers'!$F$4:$F$503,296))=0,"",INDEX('Providers'!$F$4:$F$503,296)))=0,"","License no.: "&amp;IF(LEN(INDEX('Providers'!$F$4:$F$503,296))=0,"",INDEX('Providers'!$F$4:$F$503,296))&amp;". ")&amp;IF(LEN(IF(LEN(INDEX('Providers'!$C$4:$C$503,296))=0,"",INDEX('Providers'!$C$4:$C$503,296)))=0,"","NPI: "&amp;IF(LEN(INDEX('Providers'!$C$4:$C$503,296))=0,"",INDEX('Providers'!$C$4:$C$503,296))&amp;". ")&amp;IF(LEN(IF(LEN(INDEX('Providers'!$D$4:$D$503,296))=0,"",INDEX('Providers'!$D$4:$D$503,296)))=0,"","Specialty: "&amp;IF(LEN(INDEX('Providers'!$D$4:$D$503,296))=0,"",INDEX('Providers'!$D$4:$D$503,296))&amp;". ")&amp;IF(LEN(IF(LEN(INDEX('Providers'!$AK$4:$AK$503,296))=0,"",INDEX('Providers'!$AK$4:$AK$503,296)))=0,"",IF(LEN(INDEX('Providers'!$AK$4:$AK$503,296))=0,"",INDEX('Providers'!$AK$4:$AK$503,296))))</f>
        <v/>
      </c>
      <c r="J299">
        <f>IF(LEN(INDEX('Providers'!$AJ$4:$AJ$503,296))=0,"",INDEX('Providers'!$AJ$4:$AJ$503,296))</f>
        <v/>
      </c>
      <c r="K299">
        <f>IF(LEN(INDEX('Providers'!$AI$4:$AI$503,296))=0,"",INDEX('Providers'!$AI$4:$AI$503,296))</f>
        <v/>
      </c>
    </row>
    <row r="300">
      <c r="A300">
        <f>IF(AND(LEN('Providers'!A300)&gt;0,ISNUMBER('Providers'!G300)),1,0)</f>
        <v/>
      </c>
      <c r="B300">
        <f>B299+A300</f>
        <v/>
      </c>
      <c r="C300">
        <f>IF(297&gt;$B$4503,"",MATCH(297-0.5,$B$3:$B$4503,1))</f>
        <v/>
      </c>
      <c r="D300">
        <f>"State license ("&amp;IF(LEN(INDEX('Providers'!$E$4:$E$503,297))=0,"",INDEX('Providers'!$E$4:$E$503,297))&amp;") – "&amp;IF(LEN(INDEX('Providers'!$A$4:$A$503,297))=0,"",INDEX('Providers'!$A$4:$A$503,297))</f>
        <v/>
      </c>
      <c r="E300">
        <f>IF(ISNUMBER(INDEX('Providers'!$G$4:$G$503,297)),TEXT(INDEX('Providers'!$G$4:$G$503,297),"yyyy-mm-dd"),"")</f>
        <v/>
      </c>
      <c r="F300">
        <f>"License"</f>
        <v/>
      </c>
      <c r="G300">
        <f>""</f>
        <v/>
      </c>
      <c r="H300">
        <f>"High"</f>
        <v/>
      </c>
      <c r="I300">
        <f>TRIM(IF(LEN(IF(LEN(INDEX('Providers'!$F$4:$F$503,297))=0,"",INDEX('Providers'!$F$4:$F$503,297)))=0,"","License no.: "&amp;IF(LEN(INDEX('Providers'!$F$4:$F$503,297))=0,"",INDEX('Providers'!$F$4:$F$503,297))&amp;". ")&amp;IF(LEN(IF(LEN(INDEX('Providers'!$C$4:$C$503,297))=0,"",INDEX('Providers'!$C$4:$C$503,297)))=0,"","NPI: "&amp;IF(LEN(INDEX('Providers'!$C$4:$C$503,297))=0,"",INDEX('Providers'!$C$4:$C$503,297))&amp;". ")&amp;IF(LEN(IF(LEN(INDEX('Providers'!$D$4:$D$503,297))=0,"",INDEX('Providers'!$D$4:$D$503,297)))=0,"","Specialty: "&amp;IF(LEN(INDEX('Providers'!$D$4:$D$503,297))=0,"",INDEX('Providers'!$D$4:$D$503,297))&amp;". ")&amp;IF(LEN(IF(LEN(INDEX('Providers'!$AK$4:$AK$503,297))=0,"",INDEX('Providers'!$AK$4:$AK$503,297)))=0,"",IF(LEN(INDEX('Providers'!$AK$4:$AK$503,297))=0,"",INDEX('Providers'!$AK$4:$AK$503,297))))</f>
        <v/>
      </c>
      <c r="J300">
        <f>IF(LEN(INDEX('Providers'!$AJ$4:$AJ$503,297))=0,"",INDEX('Providers'!$AJ$4:$AJ$503,297))</f>
        <v/>
      </c>
      <c r="K300">
        <f>IF(LEN(INDEX('Providers'!$AI$4:$AI$503,297))=0,"",INDEX('Providers'!$AI$4:$AI$503,297))</f>
        <v/>
      </c>
    </row>
    <row r="301">
      <c r="A301">
        <f>IF(AND(LEN('Providers'!A301)&gt;0,ISNUMBER('Providers'!G301)),1,0)</f>
        <v/>
      </c>
      <c r="B301">
        <f>B300+A301</f>
        <v/>
      </c>
      <c r="C301">
        <f>IF(298&gt;$B$4503,"",MATCH(298-0.5,$B$3:$B$4503,1))</f>
        <v/>
      </c>
      <c r="D301">
        <f>"State license ("&amp;IF(LEN(INDEX('Providers'!$E$4:$E$503,298))=0,"",INDEX('Providers'!$E$4:$E$503,298))&amp;") – "&amp;IF(LEN(INDEX('Providers'!$A$4:$A$503,298))=0,"",INDEX('Providers'!$A$4:$A$503,298))</f>
        <v/>
      </c>
      <c r="E301">
        <f>IF(ISNUMBER(INDEX('Providers'!$G$4:$G$503,298)),TEXT(INDEX('Providers'!$G$4:$G$503,298),"yyyy-mm-dd"),"")</f>
        <v/>
      </c>
      <c r="F301">
        <f>"License"</f>
        <v/>
      </c>
      <c r="G301">
        <f>""</f>
        <v/>
      </c>
      <c r="H301">
        <f>"High"</f>
        <v/>
      </c>
      <c r="I301">
        <f>TRIM(IF(LEN(IF(LEN(INDEX('Providers'!$F$4:$F$503,298))=0,"",INDEX('Providers'!$F$4:$F$503,298)))=0,"","License no.: "&amp;IF(LEN(INDEX('Providers'!$F$4:$F$503,298))=0,"",INDEX('Providers'!$F$4:$F$503,298))&amp;". ")&amp;IF(LEN(IF(LEN(INDEX('Providers'!$C$4:$C$503,298))=0,"",INDEX('Providers'!$C$4:$C$503,298)))=0,"","NPI: "&amp;IF(LEN(INDEX('Providers'!$C$4:$C$503,298))=0,"",INDEX('Providers'!$C$4:$C$503,298))&amp;". ")&amp;IF(LEN(IF(LEN(INDEX('Providers'!$D$4:$D$503,298))=0,"",INDEX('Providers'!$D$4:$D$503,298)))=0,"","Specialty: "&amp;IF(LEN(INDEX('Providers'!$D$4:$D$503,298))=0,"",INDEX('Providers'!$D$4:$D$503,298))&amp;". ")&amp;IF(LEN(IF(LEN(INDEX('Providers'!$AK$4:$AK$503,298))=0,"",INDEX('Providers'!$AK$4:$AK$503,298)))=0,"",IF(LEN(INDEX('Providers'!$AK$4:$AK$503,298))=0,"",INDEX('Providers'!$AK$4:$AK$503,298))))</f>
        <v/>
      </c>
      <c r="J301">
        <f>IF(LEN(INDEX('Providers'!$AJ$4:$AJ$503,298))=0,"",INDEX('Providers'!$AJ$4:$AJ$503,298))</f>
        <v/>
      </c>
      <c r="K301">
        <f>IF(LEN(INDEX('Providers'!$AI$4:$AI$503,298))=0,"",INDEX('Providers'!$AI$4:$AI$503,298))</f>
        <v/>
      </c>
    </row>
    <row r="302">
      <c r="A302">
        <f>IF(AND(LEN('Providers'!A302)&gt;0,ISNUMBER('Providers'!G302)),1,0)</f>
        <v/>
      </c>
      <c r="B302">
        <f>B301+A302</f>
        <v/>
      </c>
      <c r="C302">
        <f>IF(299&gt;$B$4503,"",MATCH(299-0.5,$B$3:$B$4503,1))</f>
        <v/>
      </c>
      <c r="D302">
        <f>"State license ("&amp;IF(LEN(INDEX('Providers'!$E$4:$E$503,299))=0,"",INDEX('Providers'!$E$4:$E$503,299))&amp;") – "&amp;IF(LEN(INDEX('Providers'!$A$4:$A$503,299))=0,"",INDEX('Providers'!$A$4:$A$503,299))</f>
        <v/>
      </c>
      <c r="E302">
        <f>IF(ISNUMBER(INDEX('Providers'!$G$4:$G$503,299)),TEXT(INDEX('Providers'!$G$4:$G$503,299),"yyyy-mm-dd"),"")</f>
        <v/>
      </c>
      <c r="F302">
        <f>"License"</f>
        <v/>
      </c>
      <c r="G302">
        <f>""</f>
        <v/>
      </c>
      <c r="H302">
        <f>"High"</f>
        <v/>
      </c>
      <c r="I302">
        <f>TRIM(IF(LEN(IF(LEN(INDEX('Providers'!$F$4:$F$503,299))=0,"",INDEX('Providers'!$F$4:$F$503,299)))=0,"","License no.: "&amp;IF(LEN(INDEX('Providers'!$F$4:$F$503,299))=0,"",INDEX('Providers'!$F$4:$F$503,299))&amp;". ")&amp;IF(LEN(IF(LEN(INDEX('Providers'!$C$4:$C$503,299))=0,"",INDEX('Providers'!$C$4:$C$503,299)))=0,"","NPI: "&amp;IF(LEN(INDEX('Providers'!$C$4:$C$503,299))=0,"",INDEX('Providers'!$C$4:$C$503,299))&amp;". ")&amp;IF(LEN(IF(LEN(INDEX('Providers'!$D$4:$D$503,299))=0,"",INDEX('Providers'!$D$4:$D$503,299)))=0,"","Specialty: "&amp;IF(LEN(INDEX('Providers'!$D$4:$D$503,299))=0,"",INDEX('Providers'!$D$4:$D$503,299))&amp;". ")&amp;IF(LEN(IF(LEN(INDEX('Providers'!$AK$4:$AK$503,299))=0,"",INDEX('Providers'!$AK$4:$AK$503,299)))=0,"",IF(LEN(INDEX('Providers'!$AK$4:$AK$503,299))=0,"",INDEX('Providers'!$AK$4:$AK$503,299))))</f>
        <v/>
      </c>
      <c r="J302">
        <f>IF(LEN(INDEX('Providers'!$AJ$4:$AJ$503,299))=0,"",INDEX('Providers'!$AJ$4:$AJ$503,299))</f>
        <v/>
      </c>
      <c r="K302">
        <f>IF(LEN(INDEX('Providers'!$AI$4:$AI$503,299))=0,"",INDEX('Providers'!$AI$4:$AI$503,299))</f>
        <v/>
      </c>
    </row>
    <row r="303">
      <c r="A303">
        <f>IF(AND(LEN('Providers'!A303)&gt;0,ISNUMBER('Providers'!G303)),1,0)</f>
        <v/>
      </c>
      <c r="B303">
        <f>B302+A303</f>
        <v/>
      </c>
      <c r="C303">
        <f>IF(300&gt;$B$4503,"",MATCH(300-0.5,$B$3:$B$4503,1))</f>
        <v/>
      </c>
      <c r="D303">
        <f>"State license ("&amp;IF(LEN(INDEX('Providers'!$E$4:$E$503,300))=0,"",INDEX('Providers'!$E$4:$E$503,300))&amp;") – "&amp;IF(LEN(INDEX('Providers'!$A$4:$A$503,300))=0,"",INDEX('Providers'!$A$4:$A$503,300))</f>
        <v/>
      </c>
      <c r="E303">
        <f>IF(ISNUMBER(INDEX('Providers'!$G$4:$G$503,300)),TEXT(INDEX('Providers'!$G$4:$G$503,300),"yyyy-mm-dd"),"")</f>
        <v/>
      </c>
      <c r="F303">
        <f>"License"</f>
        <v/>
      </c>
      <c r="G303">
        <f>""</f>
        <v/>
      </c>
      <c r="H303">
        <f>"High"</f>
        <v/>
      </c>
      <c r="I303">
        <f>TRIM(IF(LEN(IF(LEN(INDEX('Providers'!$F$4:$F$503,300))=0,"",INDEX('Providers'!$F$4:$F$503,300)))=0,"","License no.: "&amp;IF(LEN(INDEX('Providers'!$F$4:$F$503,300))=0,"",INDEX('Providers'!$F$4:$F$503,300))&amp;". ")&amp;IF(LEN(IF(LEN(INDEX('Providers'!$C$4:$C$503,300))=0,"",INDEX('Providers'!$C$4:$C$503,300)))=0,"","NPI: "&amp;IF(LEN(INDEX('Providers'!$C$4:$C$503,300))=0,"",INDEX('Providers'!$C$4:$C$503,300))&amp;". ")&amp;IF(LEN(IF(LEN(INDEX('Providers'!$D$4:$D$503,300))=0,"",INDEX('Providers'!$D$4:$D$503,300)))=0,"","Specialty: "&amp;IF(LEN(INDEX('Providers'!$D$4:$D$503,300))=0,"",INDEX('Providers'!$D$4:$D$503,300))&amp;". ")&amp;IF(LEN(IF(LEN(INDEX('Providers'!$AK$4:$AK$503,300))=0,"",INDEX('Providers'!$AK$4:$AK$503,300)))=0,"",IF(LEN(INDEX('Providers'!$AK$4:$AK$503,300))=0,"",INDEX('Providers'!$AK$4:$AK$503,300))))</f>
        <v/>
      </c>
      <c r="J303">
        <f>IF(LEN(INDEX('Providers'!$AJ$4:$AJ$503,300))=0,"",INDEX('Providers'!$AJ$4:$AJ$503,300))</f>
        <v/>
      </c>
      <c r="K303">
        <f>IF(LEN(INDEX('Providers'!$AI$4:$AI$503,300))=0,"",INDEX('Providers'!$AI$4:$AI$503,300))</f>
        <v/>
      </c>
    </row>
    <row r="304">
      <c r="A304">
        <f>IF(AND(LEN('Providers'!A304)&gt;0,ISNUMBER('Providers'!G304)),1,0)</f>
        <v/>
      </c>
      <c r="B304">
        <f>B303+A304</f>
        <v/>
      </c>
      <c r="C304">
        <f>IF(301&gt;$B$4503,"",MATCH(301-0.5,$B$3:$B$4503,1))</f>
        <v/>
      </c>
      <c r="D304">
        <f>"State license ("&amp;IF(LEN(INDEX('Providers'!$E$4:$E$503,301))=0,"",INDEX('Providers'!$E$4:$E$503,301))&amp;") – "&amp;IF(LEN(INDEX('Providers'!$A$4:$A$503,301))=0,"",INDEX('Providers'!$A$4:$A$503,301))</f>
        <v/>
      </c>
      <c r="E304">
        <f>IF(ISNUMBER(INDEX('Providers'!$G$4:$G$503,301)),TEXT(INDEX('Providers'!$G$4:$G$503,301),"yyyy-mm-dd"),"")</f>
        <v/>
      </c>
      <c r="F304">
        <f>"License"</f>
        <v/>
      </c>
      <c r="G304">
        <f>""</f>
        <v/>
      </c>
      <c r="H304">
        <f>"High"</f>
        <v/>
      </c>
      <c r="I304">
        <f>TRIM(IF(LEN(IF(LEN(INDEX('Providers'!$F$4:$F$503,301))=0,"",INDEX('Providers'!$F$4:$F$503,301)))=0,"","License no.: "&amp;IF(LEN(INDEX('Providers'!$F$4:$F$503,301))=0,"",INDEX('Providers'!$F$4:$F$503,301))&amp;". ")&amp;IF(LEN(IF(LEN(INDEX('Providers'!$C$4:$C$503,301))=0,"",INDEX('Providers'!$C$4:$C$503,301)))=0,"","NPI: "&amp;IF(LEN(INDEX('Providers'!$C$4:$C$503,301))=0,"",INDEX('Providers'!$C$4:$C$503,301))&amp;". ")&amp;IF(LEN(IF(LEN(INDEX('Providers'!$D$4:$D$503,301))=0,"",INDEX('Providers'!$D$4:$D$503,301)))=0,"","Specialty: "&amp;IF(LEN(INDEX('Providers'!$D$4:$D$503,301))=0,"",INDEX('Providers'!$D$4:$D$503,301))&amp;". ")&amp;IF(LEN(IF(LEN(INDEX('Providers'!$AK$4:$AK$503,301))=0,"",INDEX('Providers'!$AK$4:$AK$503,301)))=0,"",IF(LEN(INDEX('Providers'!$AK$4:$AK$503,301))=0,"",INDEX('Providers'!$AK$4:$AK$503,301))))</f>
        <v/>
      </c>
      <c r="J304">
        <f>IF(LEN(INDEX('Providers'!$AJ$4:$AJ$503,301))=0,"",INDEX('Providers'!$AJ$4:$AJ$503,301))</f>
        <v/>
      </c>
      <c r="K304">
        <f>IF(LEN(INDEX('Providers'!$AI$4:$AI$503,301))=0,"",INDEX('Providers'!$AI$4:$AI$503,301))</f>
        <v/>
      </c>
    </row>
    <row r="305">
      <c r="A305">
        <f>IF(AND(LEN('Providers'!A305)&gt;0,ISNUMBER('Providers'!G305)),1,0)</f>
        <v/>
      </c>
      <c r="B305">
        <f>B304+A305</f>
        <v/>
      </c>
      <c r="C305">
        <f>IF(302&gt;$B$4503,"",MATCH(302-0.5,$B$3:$B$4503,1))</f>
        <v/>
      </c>
      <c r="D305">
        <f>"State license ("&amp;IF(LEN(INDEX('Providers'!$E$4:$E$503,302))=0,"",INDEX('Providers'!$E$4:$E$503,302))&amp;") – "&amp;IF(LEN(INDEX('Providers'!$A$4:$A$503,302))=0,"",INDEX('Providers'!$A$4:$A$503,302))</f>
        <v/>
      </c>
      <c r="E305">
        <f>IF(ISNUMBER(INDEX('Providers'!$G$4:$G$503,302)),TEXT(INDEX('Providers'!$G$4:$G$503,302),"yyyy-mm-dd"),"")</f>
        <v/>
      </c>
      <c r="F305">
        <f>"License"</f>
        <v/>
      </c>
      <c r="G305">
        <f>""</f>
        <v/>
      </c>
      <c r="H305">
        <f>"High"</f>
        <v/>
      </c>
      <c r="I305">
        <f>TRIM(IF(LEN(IF(LEN(INDEX('Providers'!$F$4:$F$503,302))=0,"",INDEX('Providers'!$F$4:$F$503,302)))=0,"","License no.: "&amp;IF(LEN(INDEX('Providers'!$F$4:$F$503,302))=0,"",INDEX('Providers'!$F$4:$F$503,302))&amp;". ")&amp;IF(LEN(IF(LEN(INDEX('Providers'!$C$4:$C$503,302))=0,"",INDEX('Providers'!$C$4:$C$503,302)))=0,"","NPI: "&amp;IF(LEN(INDEX('Providers'!$C$4:$C$503,302))=0,"",INDEX('Providers'!$C$4:$C$503,302))&amp;". ")&amp;IF(LEN(IF(LEN(INDEX('Providers'!$D$4:$D$503,302))=0,"",INDEX('Providers'!$D$4:$D$503,302)))=0,"","Specialty: "&amp;IF(LEN(INDEX('Providers'!$D$4:$D$503,302))=0,"",INDEX('Providers'!$D$4:$D$503,302))&amp;". ")&amp;IF(LEN(IF(LEN(INDEX('Providers'!$AK$4:$AK$503,302))=0,"",INDEX('Providers'!$AK$4:$AK$503,302)))=0,"",IF(LEN(INDEX('Providers'!$AK$4:$AK$503,302))=0,"",INDEX('Providers'!$AK$4:$AK$503,302))))</f>
        <v/>
      </c>
      <c r="J305">
        <f>IF(LEN(INDEX('Providers'!$AJ$4:$AJ$503,302))=0,"",INDEX('Providers'!$AJ$4:$AJ$503,302))</f>
        <v/>
      </c>
      <c r="K305">
        <f>IF(LEN(INDEX('Providers'!$AI$4:$AI$503,302))=0,"",INDEX('Providers'!$AI$4:$AI$503,302))</f>
        <v/>
      </c>
    </row>
    <row r="306">
      <c r="A306">
        <f>IF(AND(LEN('Providers'!A306)&gt;0,ISNUMBER('Providers'!G306)),1,0)</f>
        <v/>
      </c>
      <c r="B306">
        <f>B305+A306</f>
        <v/>
      </c>
      <c r="C306">
        <f>IF(303&gt;$B$4503,"",MATCH(303-0.5,$B$3:$B$4503,1))</f>
        <v/>
      </c>
      <c r="D306">
        <f>"State license ("&amp;IF(LEN(INDEX('Providers'!$E$4:$E$503,303))=0,"",INDEX('Providers'!$E$4:$E$503,303))&amp;") – "&amp;IF(LEN(INDEX('Providers'!$A$4:$A$503,303))=0,"",INDEX('Providers'!$A$4:$A$503,303))</f>
        <v/>
      </c>
      <c r="E306">
        <f>IF(ISNUMBER(INDEX('Providers'!$G$4:$G$503,303)),TEXT(INDEX('Providers'!$G$4:$G$503,303),"yyyy-mm-dd"),"")</f>
        <v/>
      </c>
      <c r="F306">
        <f>"License"</f>
        <v/>
      </c>
      <c r="G306">
        <f>""</f>
        <v/>
      </c>
      <c r="H306">
        <f>"High"</f>
        <v/>
      </c>
      <c r="I306">
        <f>TRIM(IF(LEN(IF(LEN(INDEX('Providers'!$F$4:$F$503,303))=0,"",INDEX('Providers'!$F$4:$F$503,303)))=0,"","License no.: "&amp;IF(LEN(INDEX('Providers'!$F$4:$F$503,303))=0,"",INDEX('Providers'!$F$4:$F$503,303))&amp;". ")&amp;IF(LEN(IF(LEN(INDEX('Providers'!$C$4:$C$503,303))=0,"",INDEX('Providers'!$C$4:$C$503,303)))=0,"","NPI: "&amp;IF(LEN(INDEX('Providers'!$C$4:$C$503,303))=0,"",INDEX('Providers'!$C$4:$C$503,303))&amp;". ")&amp;IF(LEN(IF(LEN(INDEX('Providers'!$D$4:$D$503,303))=0,"",INDEX('Providers'!$D$4:$D$503,303)))=0,"","Specialty: "&amp;IF(LEN(INDEX('Providers'!$D$4:$D$503,303))=0,"",INDEX('Providers'!$D$4:$D$503,303))&amp;". ")&amp;IF(LEN(IF(LEN(INDEX('Providers'!$AK$4:$AK$503,303))=0,"",INDEX('Providers'!$AK$4:$AK$503,303)))=0,"",IF(LEN(INDEX('Providers'!$AK$4:$AK$503,303))=0,"",INDEX('Providers'!$AK$4:$AK$503,303))))</f>
        <v/>
      </c>
      <c r="J306">
        <f>IF(LEN(INDEX('Providers'!$AJ$4:$AJ$503,303))=0,"",INDEX('Providers'!$AJ$4:$AJ$503,303))</f>
        <v/>
      </c>
      <c r="K306">
        <f>IF(LEN(INDEX('Providers'!$AI$4:$AI$503,303))=0,"",INDEX('Providers'!$AI$4:$AI$503,303))</f>
        <v/>
      </c>
    </row>
    <row r="307">
      <c r="A307">
        <f>IF(AND(LEN('Providers'!A307)&gt;0,ISNUMBER('Providers'!G307)),1,0)</f>
        <v/>
      </c>
      <c r="B307">
        <f>B306+A307</f>
        <v/>
      </c>
      <c r="C307">
        <f>IF(304&gt;$B$4503,"",MATCH(304-0.5,$B$3:$B$4503,1))</f>
        <v/>
      </c>
      <c r="D307">
        <f>"State license ("&amp;IF(LEN(INDEX('Providers'!$E$4:$E$503,304))=0,"",INDEX('Providers'!$E$4:$E$503,304))&amp;") – "&amp;IF(LEN(INDEX('Providers'!$A$4:$A$503,304))=0,"",INDEX('Providers'!$A$4:$A$503,304))</f>
        <v/>
      </c>
      <c r="E307">
        <f>IF(ISNUMBER(INDEX('Providers'!$G$4:$G$503,304)),TEXT(INDEX('Providers'!$G$4:$G$503,304),"yyyy-mm-dd"),"")</f>
        <v/>
      </c>
      <c r="F307">
        <f>"License"</f>
        <v/>
      </c>
      <c r="G307">
        <f>""</f>
        <v/>
      </c>
      <c r="H307">
        <f>"High"</f>
        <v/>
      </c>
      <c r="I307">
        <f>TRIM(IF(LEN(IF(LEN(INDEX('Providers'!$F$4:$F$503,304))=0,"",INDEX('Providers'!$F$4:$F$503,304)))=0,"","License no.: "&amp;IF(LEN(INDEX('Providers'!$F$4:$F$503,304))=0,"",INDEX('Providers'!$F$4:$F$503,304))&amp;". ")&amp;IF(LEN(IF(LEN(INDEX('Providers'!$C$4:$C$503,304))=0,"",INDEX('Providers'!$C$4:$C$503,304)))=0,"","NPI: "&amp;IF(LEN(INDEX('Providers'!$C$4:$C$503,304))=0,"",INDEX('Providers'!$C$4:$C$503,304))&amp;". ")&amp;IF(LEN(IF(LEN(INDEX('Providers'!$D$4:$D$503,304))=0,"",INDEX('Providers'!$D$4:$D$503,304)))=0,"","Specialty: "&amp;IF(LEN(INDEX('Providers'!$D$4:$D$503,304))=0,"",INDEX('Providers'!$D$4:$D$503,304))&amp;". ")&amp;IF(LEN(IF(LEN(INDEX('Providers'!$AK$4:$AK$503,304))=0,"",INDEX('Providers'!$AK$4:$AK$503,304)))=0,"",IF(LEN(INDEX('Providers'!$AK$4:$AK$503,304))=0,"",INDEX('Providers'!$AK$4:$AK$503,304))))</f>
        <v/>
      </c>
      <c r="J307">
        <f>IF(LEN(INDEX('Providers'!$AJ$4:$AJ$503,304))=0,"",INDEX('Providers'!$AJ$4:$AJ$503,304))</f>
        <v/>
      </c>
      <c r="K307">
        <f>IF(LEN(INDEX('Providers'!$AI$4:$AI$503,304))=0,"",INDEX('Providers'!$AI$4:$AI$503,304))</f>
        <v/>
      </c>
    </row>
    <row r="308">
      <c r="A308">
        <f>IF(AND(LEN('Providers'!A308)&gt;0,ISNUMBER('Providers'!G308)),1,0)</f>
        <v/>
      </c>
      <c r="B308">
        <f>B307+A308</f>
        <v/>
      </c>
      <c r="C308">
        <f>IF(305&gt;$B$4503,"",MATCH(305-0.5,$B$3:$B$4503,1))</f>
        <v/>
      </c>
      <c r="D308">
        <f>"State license ("&amp;IF(LEN(INDEX('Providers'!$E$4:$E$503,305))=0,"",INDEX('Providers'!$E$4:$E$503,305))&amp;") – "&amp;IF(LEN(INDEX('Providers'!$A$4:$A$503,305))=0,"",INDEX('Providers'!$A$4:$A$503,305))</f>
        <v/>
      </c>
      <c r="E308">
        <f>IF(ISNUMBER(INDEX('Providers'!$G$4:$G$503,305)),TEXT(INDEX('Providers'!$G$4:$G$503,305),"yyyy-mm-dd"),"")</f>
        <v/>
      </c>
      <c r="F308">
        <f>"License"</f>
        <v/>
      </c>
      <c r="G308">
        <f>""</f>
        <v/>
      </c>
      <c r="H308">
        <f>"High"</f>
        <v/>
      </c>
      <c r="I308">
        <f>TRIM(IF(LEN(IF(LEN(INDEX('Providers'!$F$4:$F$503,305))=0,"",INDEX('Providers'!$F$4:$F$503,305)))=0,"","License no.: "&amp;IF(LEN(INDEX('Providers'!$F$4:$F$503,305))=0,"",INDEX('Providers'!$F$4:$F$503,305))&amp;". ")&amp;IF(LEN(IF(LEN(INDEX('Providers'!$C$4:$C$503,305))=0,"",INDEX('Providers'!$C$4:$C$503,305)))=0,"","NPI: "&amp;IF(LEN(INDEX('Providers'!$C$4:$C$503,305))=0,"",INDEX('Providers'!$C$4:$C$503,305))&amp;". ")&amp;IF(LEN(IF(LEN(INDEX('Providers'!$D$4:$D$503,305))=0,"",INDEX('Providers'!$D$4:$D$503,305)))=0,"","Specialty: "&amp;IF(LEN(INDEX('Providers'!$D$4:$D$503,305))=0,"",INDEX('Providers'!$D$4:$D$503,305))&amp;". ")&amp;IF(LEN(IF(LEN(INDEX('Providers'!$AK$4:$AK$503,305))=0,"",INDEX('Providers'!$AK$4:$AK$503,305)))=0,"",IF(LEN(INDEX('Providers'!$AK$4:$AK$503,305))=0,"",INDEX('Providers'!$AK$4:$AK$503,305))))</f>
        <v/>
      </c>
      <c r="J308">
        <f>IF(LEN(INDEX('Providers'!$AJ$4:$AJ$503,305))=0,"",INDEX('Providers'!$AJ$4:$AJ$503,305))</f>
        <v/>
      </c>
      <c r="K308">
        <f>IF(LEN(INDEX('Providers'!$AI$4:$AI$503,305))=0,"",INDEX('Providers'!$AI$4:$AI$503,305))</f>
        <v/>
      </c>
    </row>
    <row r="309">
      <c r="A309">
        <f>IF(AND(LEN('Providers'!A309)&gt;0,ISNUMBER('Providers'!G309)),1,0)</f>
        <v/>
      </c>
      <c r="B309">
        <f>B308+A309</f>
        <v/>
      </c>
      <c r="C309">
        <f>IF(306&gt;$B$4503,"",MATCH(306-0.5,$B$3:$B$4503,1))</f>
        <v/>
      </c>
      <c r="D309">
        <f>"State license ("&amp;IF(LEN(INDEX('Providers'!$E$4:$E$503,306))=0,"",INDEX('Providers'!$E$4:$E$503,306))&amp;") – "&amp;IF(LEN(INDEX('Providers'!$A$4:$A$503,306))=0,"",INDEX('Providers'!$A$4:$A$503,306))</f>
        <v/>
      </c>
      <c r="E309">
        <f>IF(ISNUMBER(INDEX('Providers'!$G$4:$G$503,306)),TEXT(INDEX('Providers'!$G$4:$G$503,306),"yyyy-mm-dd"),"")</f>
        <v/>
      </c>
      <c r="F309">
        <f>"License"</f>
        <v/>
      </c>
      <c r="G309">
        <f>""</f>
        <v/>
      </c>
      <c r="H309">
        <f>"High"</f>
        <v/>
      </c>
      <c r="I309">
        <f>TRIM(IF(LEN(IF(LEN(INDEX('Providers'!$F$4:$F$503,306))=0,"",INDEX('Providers'!$F$4:$F$503,306)))=0,"","License no.: "&amp;IF(LEN(INDEX('Providers'!$F$4:$F$503,306))=0,"",INDEX('Providers'!$F$4:$F$503,306))&amp;". ")&amp;IF(LEN(IF(LEN(INDEX('Providers'!$C$4:$C$503,306))=0,"",INDEX('Providers'!$C$4:$C$503,306)))=0,"","NPI: "&amp;IF(LEN(INDEX('Providers'!$C$4:$C$503,306))=0,"",INDEX('Providers'!$C$4:$C$503,306))&amp;". ")&amp;IF(LEN(IF(LEN(INDEX('Providers'!$D$4:$D$503,306))=0,"",INDEX('Providers'!$D$4:$D$503,306)))=0,"","Specialty: "&amp;IF(LEN(INDEX('Providers'!$D$4:$D$503,306))=0,"",INDEX('Providers'!$D$4:$D$503,306))&amp;". ")&amp;IF(LEN(IF(LEN(INDEX('Providers'!$AK$4:$AK$503,306))=0,"",INDEX('Providers'!$AK$4:$AK$503,306)))=0,"",IF(LEN(INDEX('Providers'!$AK$4:$AK$503,306))=0,"",INDEX('Providers'!$AK$4:$AK$503,306))))</f>
        <v/>
      </c>
      <c r="J309">
        <f>IF(LEN(INDEX('Providers'!$AJ$4:$AJ$503,306))=0,"",INDEX('Providers'!$AJ$4:$AJ$503,306))</f>
        <v/>
      </c>
      <c r="K309">
        <f>IF(LEN(INDEX('Providers'!$AI$4:$AI$503,306))=0,"",INDEX('Providers'!$AI$4:$AI$503,306))</f>
        <v/>
      </c>
    </row>
    <row r="310">
      <c r="A310">
        <f>IF(AND(LEN('Providers'!A310)&gt;0,ISNUMBER('Providers'!G310)),1,0)</f>
        <v/>
      </c>
      <c r="B310">
        <f>B309+A310</f>
        <v/>
      </c>
      <c r="C310">
        <f>IF(307&gt;$B$4503,"",MATCH(307-0.5,$B$3:$B$4503,1))</f>
        <v/>
      </c>
      <c r="D310">
        <f>"State license ("&amp;IF(LEN(INDEX('Providers'!$E$4:$E$503,307))=0,"",INDEX('Providers'!$E$4:$E$503,307))&amp;") – "&amp;IF(LEN(INDEX('Providers'!$A$4:$A$503,307))=0,"",INDEX('Providers'!$A$4:$A$503,307))</f>
        <v/>
      </c>
      <c r="E310">
        <f>IF(ISNUMBER(INDEX('Providers'!$G$4:$G$503,307)),TEXT(INDEX('Providers'!$G$4:$G$503,307),"yyyy-mm-dd"),"")</f>
        <v/>
      </c>
      <c r="F310">
        <f>"License"</f>
        <v/>
      </c>
      <c r="G310">
        <f>""</f>
        <v/>
      </c>
      <c r="H310">
        <f>"High"</f>
        <v/>
      </c>
      <c r="I310">
        <f>TRIM(IF(LEN(IF(LEN(INDEX('Providers'!$F$4:$F$503,307))=0,"",INDEX('Providers'!$F$4:$F$503,307)))=0,"","License no.: "&amp;IF(LEN(INDEX('Providers'!$F$4:$F$503,307))=0,"",INDEX('Providers'!$F$4:$F$503,307))&amp;". ")&amp;IF(LEN(IF(LEN(INDEX('Providers'!$C$4:$C$503,307))=0,"",INDEX('Providers'!$C$4:$C$503,307)))=0,"","NPI: "&amp;IF(LEN(INDEX('Providers'!$C$4:$C$503,307))=0,"",INDEX('Providers'!$C$4:$C$503,307))&amp;". ")&amp;IF(LEN(IF(LEN(INDEX('Providers'!$D$4:$D$503,307))=0,"",INDEX('Providers'!$D$4:$D$503,307)))=0,"","Specialty: "&amp;IF(LEN(INDEX('Providers'!$D$4:$D$503,307))=0,"",INDEX('Providers'!$D$4:$D$503,307))&amp;". ")&amp;IF(LEN(IF(LEN(INDEX('Providers'!$AK$4:$AK$503,307))=0,"",INDEX('Providers'!$AK$4:$AK$503,307)))=0,"",IF(LEN(INDEX('Providers'!$AK$4:$AK$503,307))=0,"",INDEX('Providers'!$AK$4:$AK$503,307))))</f>
        <v/>
      </c>
      <c r="J310">
        <f>IF(LEN(INDEX('Providers'!$AJ$4:$AJ$503,307))=0,"",INDEX('Providers'!$AJ$4:$AJ$503,307))</f>
        <v/>
      </c>
      <c r="K310">
        <f>IF(LEN(INDEX('Providers'!$AI$4:$AI$503,307))=0,"",INDEX('Providers'!$AI$4:$AI$503,307))</f>
        <v/>
      </c>
    </row>
    <row r="311">
      <c r="A311">
        <f>IF(AND(LEN('Providers'!A311)&gt;0,ISNUMBER('Providers'!G311)),1,0)</f>
        <v/>
      </c>
      <c r="B311">
        <f>B310+A311</f>
        <v/>
      </c>
      <c r="C311">
        <f>IF(308&gt;$B$4503,"",MATCH(308-0.5,$B$3:$B$4503,1))</f>
        <v/>
      </c>
      <c r="D311">
        <f>"State license ("&amp;IF(LEN(INDEX('Providers'!$E$4:$E$503,308))=0,"",INDEX('Providers'!$E$4:$E$503,308))&amp;") – "&amp;IF(LEN(INDEX('Providers'!$A$4:$A$503,308))=0,"",INDEX('Providers'!$A$4:$A$503,308))</f>
        <v/>
      </c>
      <c r="E311">
        <f>IF(ISNUMBER(INDEX('Providers'!$G$4:$G$503,308)),TEXT(INDEX('Providers'!$G$4:$G$503,308),"yyyy-mm-dd"),"")</f>
        <v/>
      </c>
      <c r="F311">
        <f>"License"</f>
        <v/>
      </c>
      <c r="G311">
        <f>""</f>
        <v/>
      </c>
      <c r="H311">
        <f>"High"</f>
        <v/>
      </c>
      <c r="I311">
        <f>TRIM(IF(LEN(IF(LEN(INDEX('Providers'!$F$4:$F$503,308))=0,"",INDEX('Providers'!$F$4:$F$503,308)))=0,"","License no.: "&amp;IF(LEN(INDEX('Providers'!$F$4:$F$503,308))=0,"",INDEX('Providers'!$F$4:$F$503,308))&amp;". ")&amp;IF(LEN(IF(LEN(INDEX('Providers'!$C$4:$C$503,308))=0,"",INDEX('Providers'!$C$4:$C$503,308)))=0,"","NPI: "&amp;IF(LEN(INDEX('Providers'!$C$4:$C$503,308))=0,"",INDEX('Providers'!$C$4:$C$503,308))&amp;". ")&amp;IF(LEN(IF(LEN(INDEX('Providers'!$D$4:$D$503,308))=0,"",INDEX('Providers'!$D$4:$D$503,308)))=0,"","Specialty: "&amp;IF(LEN(INDEX('Providers'!$D$4:$D$503,308))=0,"",INDEX('Providers'!$D$4:$D$503,308))&amp;". ")&amp;IF(LEN(IF(LEN(INDEX('Providers'!$AK$4:$AK$503,308))=0,"",INDEX('Providers'!$AK$4:$AK$503,308)))=0,"",IF(LEN(INDEX('Providers'!$AK$4:$AK$503,308))=0,"",INDEX('Providers'!$AK$4:$AK$503,308))))</f>
        <v/>
      </c>
      <c r="J311">
        <f>IF(LEN(INDEX('Providers'!$AJ$4:$AJ$503,308))=0,"",INDEX('Providers'!$AJ$4:$AJ$503,308))</f>
        <v/>
      </c>
      <c r="K311">
        <f>IF(LEN(INDEX('Providers'!$AI$4:$AI$503,308))=0,"",INDEX('Providers'!$AI$4:$AI$503,308))</f>
        <v/>
      </c>
    </row>
    <row r="312">
      <c r="A312">
        <f>IF(AND(LEN('Providers'!A312)&gt;0,ISNUMBER('Providers'!G312)),1,0)</f>
        <v/>
      </c>
      <c r="B312">
        <f>B311+A312</f>
        <v/>
      </c>
      <c r="C312">
        <f>IF(309&gt;$B$4503,"",MATCH(309-0.5,$B$3:$B$4503,1))</f>
        <v/>
      </c>
      <c r="D312">
        <f>"State license ("&amp;IF(LEN(INDEX('Providers'!$E$4:$E$503,309))=0,"",INDEX('Providers'!$E$4:$E$503,309))&amp;") – "&amp;IF(LEN(INDEX('Providers'!$A$4:$A$503,309))=0,"",INDEX('Providers'!$A$4:$A$503,309))</f>
        <v/>
      </c>
      <c r="E312">
        <f>IF(ISNUMBER(INDEX('Providers'!$G$4:$G$503,309)),TEXT(INDEX('Providers'!$G$4:$G$503,309),"yyyy-mm-dd"),"")</f>
        <v/>
      </c>
      <c r="F312">
        <f>"License"</f>
        <v/>
      </c>
      <c r="G312">
        <f>""</f>
        <v/>
      </c>
      <c r="H312">
        <f>"High"</f>
        <v/>
      </c>
      <c r="I312">
        <f>TRIM(IF(LEN(IF(LEN(INDEX('Providers'!$F$4:$F$503,309))=0,"",INDEX('Providers'!$F$4:$F$503,309)))=0,"","License no.: "&amp;IF(LEN(INDEX('Providers'!$F$4:$F$503,309))=0,"",INDEX('Providers'!$F$4:$F$503,309))&amp;". ")&amp;IF(LEN(IF(LEN(INDEX('Providers'!$C$4:$C$503,309))=0,"",INDEX('Providers'!$C$4:$C$503,309)))=0,"","NPI: "&amp;IF(LEN(INDEX('Providers'!$C$4:$C$503,309))=0,"",INDEX('Providers'!$C$4:$C$503,309))&amp;". ")&amp;IF(LEN(IF(LEN(INDEX('Providers'!$D$4:$D$503,309))=0,"",INDEX('Providers'!$D$4:$D$503,309)))=0,"","Specialty: "&amp;IF(LEN(INDEX('Providers'!$D$4:$D$503,309))=0,"",INDEX('Providers'!$D$4:$D$503,309))&amp;". ")&amp;IF(LEN(IF(LEN(INDEX('Providers'!$AK$4:$AK$503,309))=0,"",INDEX('Providers'!$AK$4:$AK$503,309)))=0,"",IF(LEN(INDEX('Providers'!$AK$4:$AK$503,309))=0,"",INDEX('Providers'!$AK$4:$AK$503,309))))</f>
        <v/>
      </c>
      <c r="J312">
        <f>IF(LEN(INDEX('Providers'!$AJ$4:$AJ$503,309))=0,"",INDEX('Providers'!$AJ$4:$AJ$503,309))</f>
        <v/>
      </c>
      <c r="K312">
        <f>IF(LEN(INDEX('Providers'!$AI$4:$AI$503,309))=0,"",INDEX('Providers'!$AI$4:$AI$503,309))</f>
        <v/>
      </c>
    </row>
    <row r="313">
      <c r="A313">
        <f>IF(AND(LEN('Providers'!A313)&gt;0,ISNUMBER('Providers'!G313)),1,0)</f>
        <v/>
      </c>
      <c r="B313">
        <f>B312+A313</f>
        <v/>
      </c>
      <c r="C313">
        <f>IF(310&gt;$B$4503,"",MATCH(310-0.5,$B$3:$B$4503,1))</f>
        <v/>
      </c>
      <c r="D313">
        <f>"State license ("&amp;IF(LEN(INDEX('Providers'!$E$4:$E$503,310))=0,"",INDEX('Providers'!$E$4:$E$503,310))&amp;") – "&amp;IF(LEN(INDEX('Providers'!$A$4:$A$503,310))=0,"",INDEX('Providers'!$A$4:$A$503,310))</f>
        <v/>
      </c>
      <c r="E313">
        <f>IF(ISNUMBER(INDEX('Providers'!$G$4:$G$503,310)),TEXT(INDEX('Providers'!$G$4:$G$503,310),"yyyy-mm-dd"),"")</f>
        <v/>
      </c>
      <c r="F313">
        <f>"License"</f>
        <v/>
      </c>
      <c r="G313">
        <f>""</f>
        <v/>
      </c>
      <c r="H313">
        <f>"High"</f>
        <v/>
      </c>
      <c r="I313">
        <f>TRIM(IF(LEN(IF(LEN(INDEX('Providers'!$F$4:$F$503,310))=0,"",INDEX('Providers'!$F$4:$F$503,310)))=0,"","License no.: "&amp;IF(LEN(INDEX('Providers'!$F$4:$F$503,310))=0,"",INDEX('Providers'!$F$4:$F$503,310))&amp;". ")&amp;IF(LEN(IF(LEN(INDEX('Providers'!$C$4:$C$503,310))=0,"",INDEX('Providers'!$C$4:$C$503,310)))=0,"","NPI: "&amp;IF(LEN(INDEX('Providers'!$C$4:$C$503,310))=0,"",INDEX('Providers'!$C$4:$C$503,310))&amp;". ")&amp;IF(LEN(IF(LEN(INDEX('Providers'!$D$4:$D$503,310))=0,"",INDEX('Providers'!$D$4:$D$503,310)))=0,"","Specialty: "&amp;IF(LEN(INDEX('Providers'!$D$4:$D$503,310))=0,"",INDEX('Providers'!$D$4:$D$503,310))&amp;". ")&amp;IF(LEN(IF(LEN(INDEX('Providers'!$AK$4:$AK$503,310))=0,"",INDEX('Providers'!$AK$4:$AK$503,310)))=0,"",IF(LEN(INDEX('Providers'!$AK$4:$AK$503,310))=0,"",INDEX('Providers'!$AK$4:$AK$503,310))))</f>
        <v/>
      </c>
      <c r="J313">
        <f>IF(LEN(INDEX('Providers'!$AJ$4:$AJ$503,310))=0,"",INDEX('Providers'!$AJ$4:$AJ$503,310))</f>
        <v/>
      </c>
      <c r="K313">
        <f>IF(LEN(INDEX('Providers'!$AI$4:$AI$503,310))=0,"",INDEX('Providers'!$AI$4:$AI$503,310))</f>
        <v/>
      </c>
    </row>
    <row r="314">
      <c r="A314">
        <f>IF(AND(LEN('Providers'!A314)&gt;0,ISNUMBER('Providers'!G314)),1,0)</f>
        <v/>
      </c>
      <c r="B314">
        <f>B313+A314</f>
        <v/>
      </c>
      <c r="C314">
        <f>IF(311&gt;$B$4503,"",MATCH(311-0.5,$B$3:$B$4503,1))</f>
        <v/>
      </c>
      <c r="D314">
        <f>"State license ("&amp;IF(LEN(INDEX('Providers'!$E$4:$E$503,311))=0,"",INDEX('Providers'!$E$4:$E$503,311))&amp;") – "&amp;IF(LEN(INDEX('Providers'!$A$4:$A$503,311))=0,"",INDEX('Providers'!$A$4:$A$503,311))</f>
        <v/>
      </c>
      <c r="E314">
        <f>IF(ISNUMBER(INDEX('Providers'!$G$4:$G$503,311)),TEXT(INDEX('Providers'!$G$4:$G$503,311),"yyyy-mm-dd"),"")</f>
        <v/>
      </c>
      <c r="F314">
        <f>"License"</f>
        <v/>
      </c>
      <c r="G314">
        <f>""</f>
        <v/>
      </c>
      <c r="H314">
        <f>"High"</f>
        <v/>
      </c>
      <c r="I314">
        <f>TRIM(IF(LEN(IF(LEN(INDEX('Providers'!$F$4:$F$503,311))=0,"",INDEX('Providers'!$F$4:$F$503,311)))=0,"","License no.: "&amp;IF(LEN(INDEX('Providers'!$F$4:$F$503,311))=0,"",INDEX('Providers'!$F$4:$F$503,311))&amp;". ")&amp;IF(LEN(IF(LEN(INDEX('Providers'!$C$4:$C$503,311))=0,"",INDEX('Providers'!$C$4:$C$503,311)))=0,"","NPI: "&amp;IF(LEN(INDEX('Providers'!$C$4:$C$503,311))=0,"",INDEX('Providers'!$C$4:$C$503,311))&amp;". ")&amp;IF(LEN(IF(LEN(INDEX('Providers'!$D$4:$D$503,311))=0,"",INDEX('Providers'!$D$4:$D$503,311)))=0,"","Specialty: "&amp;IF(LEN(INDEX('Providers'!$D$4:$D$503,311))=0,"",INDEX('Providers'!$D$4:$D$503,311))&amp;". ")&amp;IF(LEN(IF(LEN(INDEX('Providers'!$AK$4:$AK$503,311))=0,"",INDEX('Providers'!$AK$4:$AK$503,311)))=0,"",IF(LEN(INDEX('Providers'!$AK$4:$AK$503,311))=0,"",INDEX('Providers'!$AK$4:$AK$503,311))))</f>
        <v/>
      </c>
      <c r="J314">
        <f>IF(LEN(INDEX('Providers'!$AJ$4:$AJ$503,311))=0,"",INDEX('Providers'!$AJ$4:$AJ$503,311))</f>
        <v/>
      </c>
      <c r="K314">
        <f>IF(LEN(INDEX('Providers'!$AI$4:$AI$503,311))=0,"",INDEX('Providers'!$AI$4:$AI$503,311))</f>
        <v/>
      </c>
    </row>
    <row r="315">
      <c r="A315">
        <f>IF(AND(LEN('Providers'!A315)&gt;0,ISNUMBER('Providers'!G315)),1,0)</f>
        <v/>
      </c>
      <c r="B315">
        <f>B314+A315</f>
        <v/>
      </c>
      <c r="C315">
        <f>IF(312&gt;$B$4503,"",MATCH(312-0.5,$B$3:$B$4503,1))</f>
        <v/>
      </c>
      <c r="D315">
        <f>"State license ("&amp;IF(LEN(INDEX('Providers'!$E$4:$E$503,312))=0,"",INDEX('Providers'!$E$4:$E$503,312))&amp;") – "&amp;IF(LEN(INDEX('Providers'!$A$4:$A$503,312))=0,"",INDEX('Providers'!$A$4:$A$503,312))</f>
        <v/>
      </c>
      <c r="E315">
        <f>IF(ISNUMBER(INDEX('Providers'!$G$4:$G$503,312)),TEXT(INDEX('Providers'!$G$4:$G$503,312),"yyyy-mm-dd"),"")</f>
        <v/>
      </c>
      <c r="F315">
        <f>"License"</f>
        <v/>
      </c>
      <c r="G315">
        <f>""</f>
        <v/>
      </c>
      <c r="H315">
        <f>"High"</f>
        <v/>
      </c>
      <c r="I315">
        <f>TRIM(IF(LEN(IF(LEN(INDEX('Providers'!$F$4:$F$503,312))=0,"",INDEX('Providers'!$F$4:$F$503,312)))=0,"","License no.: "&amp;IF(LEN(INDEX('Providers'!$F$4:$F$503,312))=0,"",INDEX('Providers'!$F$4:$F$503,312))&amp;". ")&amp;IF(LEN(IF(LEN(INDEX('Providers'!$C$4:$C$503,312))=0,"",INDEX('Providers'!$C$4:$C$503,312)))=0,"","NPI: "&amp;IF(LEN(INDEX('Providers'!$C$4:$C$503,312))=0,"",INDEX('Providers'!$C$4:$C$503,312))&amp;". ")&amp;IF(LEN(IF(LEN(INDEX('Providers'!$D$4:$D$503,312))=0,"",INDEX('Providers'!$D$4:$D$503,312)))=0,"","Specialty: "&amp;IF(LEN(INDEX('Providers'!$D$4:$D$503,312))=0,"",INDEX('Providers'!$D$4:$D$503,312))&amp;". ")&amp;IF(LEN(IF(LEN(INDEX('Providers'!$AK$4:$AK$503,312))=0,"",INDEX('Providers'!$AK$4:$AK$503,312)))=0,"",IF(LEN(INDEX('Providers'!$AK$4:$AK$503,312))=0,"",INDEX('Providers'!$AK$4:$AK$503,312))))</f>
        <v/>
      </c>
      <c r="J315">
        <f>IF(LEN(INDEX('Providers'!$AJ$4:$AJ$503,312))=0,"",INDEX('Providers'!$AJ$4:$AJ$503,312))</f>
        <v/>
      </c>
      <c r="K315">
        <f>IF(LEN(INDEX('Providers'!$AI$4:$AI$503,312))=0,"",INDEX('Providers'!$AI$4:$AI$503,312))</f>
        <v/>
      </c>
    </row>
    <row r="316">
      <c r="A316">
        <f>IF(AND(LEN('Providers'!A316)&gt;0,ISNUMBER('Providers'!G316)),1,0)</f>
        <v/>
      </c>
      <c r="B316">
        <f>B315+A316</f>
        <v/>
      </c>
      <c r="C316">
        <f>IF(313&gt;$B$4503,"",MATCH(313-0.5,$B$3:$B$4503,1))</f>
        <v/>
      </c>
      <c r="D316">
        <f>"State license ("&amp;IF(LEN(INDEX('Providers'!$E$4:$E$503,313))=0,"",INDEX('Providers'!$E$4:$E$503,313))&amp;") – "&amp;IF(LEN(INDEX('Providers'!$A$4:$A$503,313))=0,"",INDEX('Providers'!$A$4:$A$503,313))</f>
        <v/>
      </c>
      <c r="E316">
        <f>IF(ISNUMBER(INDEX('Providers'!$G$4:$G$503,313)),TEXT(INDEX('Providers'!$G$4:$G$503,313),"yyyy-mm-dd"),"")</f>
        <v/>
      </c>
      <c r="F316">
        <f>"License"</f>
        <v/>
      </c>
      <c r="G316">
        <f>""</f>
        <v/>
      </c>
      <c r="H316">
        <f>"High"</f>
        <v/>
      </c>
      <c r="I316">
        <f>TRIM(IF(LEN(IF(LEN(INDEX('Providers'!$F$4:$F$503,313))=0,"",INDEX('Providers'!$F$4:$F$503,313)))=0,"","License no.: "&amp;IF(LEN(INDEX('Providers'!$F$4:$F$503,313))=0,"",INDEX('Providers'!$F$4:$F$503,313))&amp;". ")&amp;IF(LEN(IF(LEN(INDEX('Providers'!$C$4:$C$503,313))=0,"",INDEX('Providers'!$C$4:$C$503,313)))=0,"","NPI: "&amp;IF(LEN(INDEX('Providers'!$C$4:$C$503,313))=0,"",INDEX('Providers'!$C$4:$C$503,313))&amp;". ")&amp;IF(LEN(IF(LEN(INDEX('Providers'!$D$4:$D$503,313))=0,"",INDEX('Providers'!$D$4:$D$503,313)))=0,"","Specialty: "&amp;IF(LEN(INDEX('Providers'!$D$4:$D$503,313))=0,"",INDEX('Providers'!$D$4:$D$503,313))&amp;". ")&amp;IF(LEN(IF(LEN(INDEX('Providers'!$AK$4:$AK$503,313))=0,"",INDEX('Providers'!$AK$4:$AK$503,313)))=0,"",IF(LEN(INDEX('Providers'!$AK$4:$AK$503,313))=0,"",INDEX('Providers'!$AK$4:$AK$503,313))))</f>
        <v/>
      </c>
      <c r="J316">
        <f>IF(LEN(INDEX('Providers'!$AJ$4:$AJ$503,313))=0,"",INDEX('Providers'!$AJ$4:$AJ$503,313))</f>
        <v/>
      </c>
      <c r="K316">
        <f>IF(LEN(INDEX('Providers'!$AI$4:$AI$503,313))=0,"",INDEX('Providers'!$AI$4:$AI$503,313))</f>
        <v/>
      </c>
    </row>
    <row r="317">
      <c r="A317">
        <f>IF(AND(LEN('Providers'!A317)&gt;0,ISNUMBER('Providers'!G317)),1,0)</f>
        <v/>
      </c>
      <c r="B317">
        <f>B316+A317</f>
        <v/>
      </c>
      <c r="C317">
        <f>IF(314&gt;$B$4503,"",MATCH(314-0.5,$B$3:$B$4503,1))</f>
        <v/>
      </c>
      <c r="D317">
        <f>"State license ("&amp;IF(LEN(INDEX('Providers'!$E$4:$E$503,314))=0,"",INDEX('Providers'!$E$4:$E$503,314))&amp;") – "&amp;IF(LEN(INDEX('Providers'!$A$4:$A$503,314))=0,"",INDEX('Providers'!$A$4:$A$503,314))</f>
        <v/>
      </c>
      <c r="E317">
        <f>IF(ISNUMBER(INDEX('Providers'!$G$4:$G$503,314)),TEXT(INDEX('Providers'!$G$4:$G$503,314),"yyyy-mm-dd"),"")</f>
        <v/>
      </c>
      <c r="F317">
        <f>"License"</f>
        <v/>
      </c>
      <c r="G317">
        <f>""</f>
        <v/>
      </c>
      <c r="H317">
        <f>"High"</f>
        <v/>
      </c>
      <c r="I317">
        <f>TRIM(IF(LEN(IF(LEN(INDEX('Providers'!$F$4:$F$503,314))=0,"",INDEX('Providers'!$F$4:$F$503,314)))=0,"","License no.: "&amp;IF(LEN(INDEX('Providers'!$F$4:$F$503,314))=0,"",INDEX('Providers'!$F$4:$F$503,314))&amp;". ")&amp;IF(LEN(IF(LEN(INDEX('Providers'!$C$4:$C$503,314))=0,"",INDEX('Providers'!$C$4:$C$503,314)))=0,"","NPI: "&amp;IF(LEN(INDEX('Providers'!$C$4:$C$503,314))=0,"",INDEX('Providers'!$C$4:$C$503,314))&amp;". ")&amp;IF(LEN(IF(LEN(INDEX('Providers'!$D$4:$D$503,314))=0,"",INDEX('Providers'!$D$4:$D$503,314)))=0,"","Specialty: "&amp;IF(LEN(INDEX('Providers'!$D$4:$D$503,314))=0,"",INDEX('Providers'!$D$4:$D$503,314))&amp;". ")&amp;IF(LEN(IF(LEN(INDEX('Providers'!$AK$4:$AK$503,314))=0,"",INDEX('Providers'!$AK$4:$AK$503,314)))=0,"",IF(LEN(INDEX('Providers'!$AK$4:$AK$503,314))=0,"",INDEX('Providers'!$AK$4:$AK$503,314))))</f>
        <v/>
      </c>
      <c r="J317">
        <f>IF(LEN(INDEX('Providers'!$AJ$4:$AJ$503,314))=0,"",INDEX('Providers'!$AJ$4:$AJ$503,314))</f>
        <v/>
      </c>
      <c r="K317">
        <f>IF(LEN(INDEX('Providers'!$AI$4:$AI$503,314))=0,"",INDEX('Providers'!$AI$4:$AI$503,314))</f>
        <v/>
      </c>
    </row>
    <row r="318">
      <c r="A318">
        <f>IF(AND(LEN('Providers'!A318)&gt;0,ISNUMBER('Providers'!G318)),1,0)</f>
        <v/>
      </c>
      <c r="B318">
        <f>B317+A318</f>
        <v/>
      </c>
      <c r="C318">
        <f>IF(315&gt;$B$4503,"",MATCH(315-0.5,$B$3:$B$4503,1))</f>
        <v/>
      </c>
      <c r="D318">
        <f>"State license ("&amp;IF(LEN(INDEX('Providers'!$E$4:$E$503,315))=0,"",INDEX('Providers'!$E$4:$E$503,315))&amp;") – "&amp;IF(LEN(INDEX('Providers'!$A$4:$A$503,315))=0,"",INDEX('Providers'!$A$4:$A$503,315))</f>
        <v/>
      </c>
      <c r="E318">
        <f>IF(ISNUMBER(INDEX('Providers'!$G$4:$G$503,315)),TEXT(INDEX('Providers'!$G$4:$G$503,315),"yyyy-mm-dd"),"")</f>
        <v/>
      </c>
      <c r="F318">
        <f>"License"</f>
        <v/>
      </c>
      <c r="G318">
        <f>""</f>
        <v/>
      </c>
      <c r="H318">
        <f>"High"</f>
        <v/>
      </c>
      <c r="I318">
        <f>TRIM(IF(LEN(IF(LEN(INDEX('Providers'!$F$4:$F$503,315))=0,"",INDEX('Providers'!$F$4:$F$503,315)))=0,"","License no.: "&amp;IF(LEN(INDEX('Providers'!$F$4:$F$503,315))=0,"",INDEX('Providers'!$F$4:$F$503,315))&amp;". ")&amp;IF(LEN(IF(LEN(INDEX('Providers'!$C$4:$C$503,315))=0,"",INDEX('Providers'!$C$4:$C$503,315)))=0,"","NPI: "&amp;IF(LEN(INDEX('Providers'!$C$4:$C$503,315))=0,"",INDEX('Providers'!$C$4:$C$503,315))&amp;". ")&amp;IF(LEN(IF(LEN(INDEX('Providers'!$D$4:$D$503,315))=0,"",INDEX('Providers'!$D$4:$D$503,315)))=0,"","Specialty: "&amp;IF(LEN(INDEX('Providers'!$D$4:$D$503,315))=0,"",INDEX('Providers'!$D$4:$D$503,315))&amp;". ")&amp;IF(LEN(IF(LEN(INDEX('Providers'!$AK$4:$AK$503,315))=0,"",INDEX('Providers'!$AK$4:$AK$503,315)))=0,"",IF(LEN(INDEX('Providers'!$AK$4:$AK$503,315))=0,"",INDEX('Providers'!$AK$4:$AK$503,315))))</f>
        <v/>
      </c>
      <c r="J318">
        <f>IF(LEN(INDEX('Providers'!$AJ$4:$AJ$503,315))=0,"",INDEX('Providers'!$AJ$4:$AJ$503,315))</f>
        <v/>
      </c>
      <c r="K318">
        <f>IF(LEN(INDEX('Providers'!$AI$4:$AI$503,315))=0,"",INDEX('Providers'!$AI$4:$AI$503,315))</f>
        <v/>
      </c>
    </row>
    <row r="319">
      <c r="A319">
        <f>IF(AND(LEN('Providers'!A319)&gt;0,ISNUMBER('Providers'!G319)),1,0)</f>
        <v/>
      </c>
      <c r="B319">
        <f>B318+A319</f>
        <v/>
      </c>
      <c r="C319">
        <f>IF(316&gt;$B$4503,"",MATCH(316-0.5,$B$3:$B$4503,1))</f>
        <v/>
      </c>
      <c r="D319">
        <f>"State license ("&amp;IF(LEN(INDEX('Providers'!$E$4:$E$503,316))=0,"",INDEX('Providers'!$E$4:$E$503,316))&amp;") – "&amp;IF(LEN(INDEX('Providers'!$A$4:$A$503,316))=0,"",INDEX('Providers'!$A$4:$A$503,316))</f>
        <v/>
      </c>
      <c r="E319">
        <f>IF(ISNUMBER(INDEX('Providers'!$G$4:$G$503,316)),TEXT(INDEX('Providers'!$G$4:$G$503,316),"yyyy-mm-dd"),"")</f>
        <v/>
      </c>
      <c r="F319">
        <f>"License"</f>
        <v/>
      </c>
      <c r="G319">
        <f>""</f>
        <v/>
      </c>
      <c r="H319">
        <f>"High"</f>
        <v/>
      </c>
      <c r="I319">
        <f>TRIM(IF(LEN(IF(LEN(INDEX('Providers'!$F$4:$F$503,316))=0,"",INDEX('Providers'!$F$4:$F$503,316)))=0,"","License no.: "&amp;IF(LEN(INDEX('Providers'!$F$4:$F$503,316))=0,"",INDEX('Providers'!$F$4:$F$503,316))&amp;". ")&amp;IF(LEN(IF(LEN(INDEX('Providers'!$C$4:$C$503,316))=0,"",INDEX('Providers'!$C$4:$C$503,316)))=0,"","NPI: "&amp;IF(LEN(INDEX('Providers'!$C$4:$C$503,316))=0,"",INDEX('Providers'!$C$4:$C$503,316))&amp;". ")&amp;IF(LEN(IF(LEN(INDEX('Providers'!$D$4:$D$503,316))=0,"",INDEX('Providers'!$D$4:$D$503,316)))=0,"","Specialty: "&amp;IF(LEN(INDEX('Providers'!$D$4:$D$503,316))=0,"",INDEX('Providers'!$D$4:$D$503,316))&amp;". ")&amp;IF(LEN(IF(LEN(INDEX('Providers'!$AK$4:$AK$503,316))=0,"",INDEX('Providers'!$AK$4:$AK$503,316)))=0,"",IF(LEN(INDEX('Providers'!$AK$4:$AK$503,316))=0,"",INDEX('Providers'!$AK$4:$AK$503,316))))</f>
        <v/>
      </c>
      <c r="J319">
        <f>IF(LEN(INDEX('Providers'!$AJ$4:$AJ$503,316))=0,"",INDEX('Providers'!$AJ$4:$AJ$503,316))</f>
        <v/>
      </c>
      <c r="K319">
        <f>IF(LEN(INDEX('Providers'!$AI$4:$AI$503,316))=0,"",INDEX('Providers'!$AI$4:$AI$503,316))</f>
        <v/>
      </c>
    </row>
    <row r="320">
      <c r="A320">
        <f>IF(AND(LEN('Providers'!A320)&gt;0,ISNUMBER('Providers'!G320)),1,0)</f>
        <v/>
      </c>
      <c r="B320">
        <f>B319+A320</f>
        <v/>
      </c>
      <c r="C320">
        <f>IF(317&gt;$B$4503,"",MATCH(317-0.5,$B$3:$B$4503,1))</f>
        <v/>
      </c>
      <c r="D320">
        <f>"State license ("&amp;IF(LEN(INDEX('Providers'!$E$4:$E$503,317))=0,"",INDEX('Providers'!$E$4:$E$503,317))&amp;") – "&amp;IF(LEN(INDEX('Providers'!$A$4:$A$503,317))=0,"",INDEX('Providers'!$A$4:$A$503,317))</f>
        <v/>
      </c>
      <c r="E320">
        <f>IF(ISNUMBER(INDEX('Providers'!$G$4:$G$503,317)),TEXT(INDEX('Providers'!$G$4:$G$503,317),"yyyy-mm-dd"),"")</f>
        <v/>
      </c>
      <c r="F320">
        <f>"License"</f>
        <v/>
      </c>
      <c r="G320">
        <f>""</f>
        <v/>
      </c>
      <c r="H320">
        <f>"High"</f>
        <v/>
      </c>
      <c r="I320">
        <f>TRIM(IF(LEN(IF(LEN(INDEX('Providers'!$F$4:$F$503,317))=0,"",INDEX('Providers'!$F$4:$F$503,317)))=0,"","License no.: "&amp;IF(LEN(INDEX('Providers'!$F$4:$F$503,317))=0,"",INDEX('Providers'!$F$4:$F$503,317))&amp;". ")&amp;IF(LEN(IF(LEN(INDEX('Providers'!$C$4:$C$503,317))=0,"",INDEX('Providers'!$C$4:$C$503,317)))=0,"","NPI: "&amp;IF(LEN(INDEX('Providers'!$C$4:$C$503,317))=0,"",INDEX('Providers'!$C$4:$C$503,317))&amp;". ")&amp;IF(LEN(IF(LEN(INDEX('Providers'!$D$4:$D$503,317))=0,"",INDEX('Providers'!$D$4:$D$503,317)))=0,"","Specialty: "&amp;IF(LEN(INDEX('Providers'!$D$4:$D$503,317))=0,"",INDEX('Providers'!$D$4:$D$503,317))&amp;". ")&amp;IF(LEN(IF(LEN(INDEX('Providers'!$AK$4:$AK$503,317))=0,"",INDEX('Providers'!$AK$4:$AK$503,317)))=0,"",IF(LEN(INDEX('Providers'!$AK$4:$AK$503,317))=0,"",INDEX('Providers'!$AK$4:$AK$503,317))))</f>
        <v/>
      </c>
      <c r="J320">
        <f>IF(LEN(INDEX('Providers'!$AJ$4:$AJ$503,317))=0,"",INDEX('Providers'!$AJ$4:$AJ$503,317))</f>
        <v/>
      </c>
      <c r="K320">
        <f>IF(LEN(INDEX('Providers'!$AI$4:$AI$503,317))=0,"",INDEX('Providers'!$AI$4:$AI$503,317))</f>
        <v/>
      </c>
    </row>
    <row r="321">
      <c r="A321">
        <f>IF(AND(LEN('Providers'!A321)&gt;0,ISNUMBER('Providers'!G321)),1,0)</f>
        <v/>
      </c>
      <c r="B321">
        <f>B320+A321</f>
        <v/>
      </c>
      <c r="C321">
        <f>IF(318&gt;$B$4503,"",MATCH(318-0.5,$B$3:$B$4503,1))</f>
        <v/>
      </c>
      <c r="D321">
        <f>"State license ("&amp;IF(LEN(INDEX('Providers'!$E$4:$E$503,318))=0,"",INDEX('Providers'!$E$4:$E$503,318))&amp;") – "&amp;IF(LEN(INDEX('Providers'!$A$4:$A$503,318))=0,"",INDEX('Providers'!$A$4:$A$503,318))</f>
        <v/>
      </c>
      <c r="E321">
        <f>IF(ISNUMBER(INDEX('Providers'!$G$4:$G$503,318)),TEXT(INDEX('Providers'!$G$4:$G$503,318),"yyyy-mm-dd"),"")</f>
        <v/>
      </c>
      <c r="F321">
        <f>"License"</f>
        <v/>
      </c>
      <c r="G321">
        <f>""</f>
        <v/>
      </c>
      <c r="H321">
        <f>"High"</f>
        <v/>
      </c>
      <c r="I321">
        <f>TRIM(IF(LEN(IF(LEN(INDEX('Providers'!$F$4:$F$503,318))=0,"",INDEX('Providers'!$F$4:$F$503,318)))=0,"","License no.: "&amp;IF(LEN(INDEX('Providers'!$F$4:$F$503,318))=0,"",INDEX('Providers'!$F$4:$F$503,318))&amp;". ")&amp;IF(LEN(IF(LEN(INDEX('Providers'!$C$4:$C$503,318))=0,"",INDEX('Providers'!$C$4:$C$503,318)))=0,"","NPI: "&amp;IF(LEN(INDEX('Providers'!$C$4:$C$503,318))=0,"",INDEX('Providers'!$C$4:$C$503,318))&amp;". ")&amp;IF(LEN(IF(LEN(INDEX('Providers'!$D$4:$D$503,318))=0,"",INDEX('Providers'!$D$4:$D$503,318)))=0,"","Specialty: "&amp;IF(LEN(INDEX('Providers'!$D$4:$D$503,318))=0,"",INDEX('Providers'!$D$4:$D$503,318))&amp;". ")&amp;IF(LEN(IF(LEN(INDEX('Providers'!$AK$4:$AK$503,318))=0,"",INDEX('Providers'!$AK$4:$AK$503,318)))=0,"",IF(LEN(INDEX('Providers'!$AK$4:$AK$503,318))=0,"",INDEX('Providers'!$AK$4:$AK$503,318))))</f>
        <v/>
      </c>
      <c r="J321">
        <f>IF(LEN(INDEX('Providers'!$AJ$4:$AJ$503,318))=0,"",INDEX('Providers'!$AJ$4:$AJ$503,318))</f>
        <v/>
      </c>
      <c r="K321">
        <f>IF(LEN(INDEX('Providers'!$AI$4:$AI$503,318))=0,"",INDEX('Providers'!$AI$4:$AI$503,318))</f>
        <v/>
      </c>
    </row>
    <row r="322">
      <c r="A322">
        <f>IF(AND(LEN('Providers'!A322)&gt;0,ISNUMBER('Providers'!G322)),1,0)</f>
        <v/>
      </c>
      <c r="B322">
        <f>B321+A322</f>
        <v/>
      </c>
      <c r="C322">
        <f>IF(319&gt;$B$4503,"",MATCH(319-0.5,$B$3:$B$4503,1))</f>
        <v/>
      </c>
      <c r="D322">
        <f>"State license ("&amp;IF(LEN(INDEX('Providers'!$E$4:$E$503,319))=0,"",INDEX('Providers'!$E$4:$E$503,319))&amp;") – "&amp;IF(LEN(INDEX('Providers'!$A$4:$A$503,319))=0,"",INDEX('Providers'!$A$4:$A$503,319))</f>
        <v/>
      </c>
      <c r="E322">
        <f>IF(ISNUMBER(INDEX('Providers'!$G$4:$G$503,319)),TEXT(INDEX('Providers'!$G$4:$G$503,319),"yyyy-mm-dd"),"")</f>
        <v/>
      </c>
      <c r="F322">
        <f>"License"</f>
        <v/>
      </c>
      <c r="G322">
        <f>""</f>
        <v/>
      </c>
      <c r="H322">
        <f>"High"</f>
        <v/>
      </c>
      <c r="I322">
        <f>TRIM(IF(LEN(IF(LEN(INDEX('Providers'!$F$4:$F$503,319))=0,"",INDEX('Providers'!$F$4:$F$503,319)))=0,"","License no.: "&amp;IF(LEN(INDEX('Providers'!$F$4:$F$503,319))=0,"",INDEX('Providers'!$F$4:$F$503,319))&amp;". ")&amp;IF(LEN(IF(LEN(INDEX('Providers'!$C$4:$C$503,319))=0,"",INDEX('Providers'!$C$4:$C$503,319)))=0,"","NPI: "&amp;IF(LEN(INDEX('Providers'!$C$4:$C$503,319))=0,"",INDEX('Providers'!$C$4:$C$503,319))&amp;". ")&amp;IF(LEN(IF(LEN(INDEX('Providers'!$D$4:$D$503,319))=0,"",INDEX('Providers'!$D$4:$D$503,319)))=0,"","Specialty: "&amp;IF(LEN(INDEX('Providers'!$D$4:$D$503,319))=0,"",INDEX('Providers'!$D$4:$D$503,319))&amp;". ")&amp;IF(LEN(IF(LEN(INDEX('Providers'!$AK$4:$AK$503,319))=0,"",INDEX('Providers'!$AK$4:$AK$503,319)))=0,"",IF(LEN(INDEX('Providers'!$AK$4:$AK$503,319))=0,"",INDEX('Providers'!$AK$4:$AK$503,319))))</f>
        <v/>
      </c>
      <c r="J322">
        <f>IF(LEN(INDEX('Providers'!$AJ$4:$AJ$503,319))=0,"",INDEX('Providers'!$AJ$4:$AJ$503,319))</f>
        <v/>
      </c>
      <c r="K322">
        <f>IF(LEN(INDEX('Providers'!$AI$4:$AI$503,319))=0,"",INDEX('Providers'!$AI$4:$AI$503,319))</f>
        <v/>
      </c>
    </row>
    <row r="323">
      <c r="A323">
        <f>IF(AND(LEN('Providers'!A323)&gt;0,ISNUMBER('Providers'!G323)),1,0)</f>
        <v/>
      </c>
      <c r="B323">
        <f>B322+A323</f>
        <v/>
      </c>
      <c r="C323">
        <f>IF(320&gt;$B$4503,"",MATCH(320-0.5,$B$3:$B$4503,1))</f>
        <v/>
      </c>
      <c r="D323">
        <f>"State license ("&amp;IF(LEN(INDEX('Providers'!$E$4:$E$503,320))=0,"",INDEX('Providers'!$E$4:$E$503,320))&amp;") – "&amp;IF(LEN(INDEX('Providers'!$A$4:$A$503,320))=0,"",INDEX('Providers'!$A$4:$A$503,320))</f>
        <v/>
      </c>
      <c r="E323">
        <f>IF(ISNUMBER(INDEX('Providers'!$G$4:$G$503,320)),TEXT(INDEX('Providers'!$G$4:$G$503,320),"yyyy-mm-dd"),"")</f>
        <v/>
      </c>
      <c r="F323">
        <f>"License"</f>
        <v/>
      </c>
      <c r="G323">
        <f>""</f>
        <v/>
      </c>
      <c r="H323">
        <f>"High"</f>
        <v/>
      </c>
      <c r="I323">
        <f>TRIM(IF(LEN(IF(LEN(INDEX('Providers'!$F$4:$F$503,320))=0,"",INDEX('Providers'!$F$4:$F$503,320)))=0,"","License no.: "&amp;IF(LEN(INDEX('Providers'!$F$4:$F$503,320))=0,"",INDEX('Providers'!$F$4:$F$503,320))&amp;". ")&amp;IF(LEN(IF(LEN(INDEX('Providers'!$C$4:$C$503,320))=0,"",INDEX('Providers'!$C$4:$C$503,320)))=0,"","NPI: "&amp;IF(LEN(INDEX('Providers'!$C$4:$C$503,320))=0,"",INDEX('Providers'!$C$4:$C$503,320))&amp;". ")&amp;IF(LEN(IF(LEN(INDEX('Providers'!$D$4:$D$503,320))=0,"",INDEX('Providers'!$D$4:$D$503,320)))=0,"","Specialty: "&amp;IF(LEN(INDEX('Providers'!$D$4:$D$503,320))=0,"",INDEX('Providers'!$D$4:$D$503,320))&amp;". ")&amp;IF(LEN(IF(LEN(INDEX('Providers'!$AK$4:$AK$503,320))=0,"",INDEX('Providers'!$AK$4:$AK$503,320)))=0,"",IF(LEN(INDEX('Providers'!$AK$4:$AK$503,320))=0,"",INDEX('Providers'!$AK$4:$AK$503,320))))</f>
        <v/>
      </c>
      <c r="J323">
        <f>IF(LEN(INDEX('Providers'!$AJ$4:$AJ$503,320))=0,"",INDEX('Providers'!$AJ$4:$AJ$503,320))</f>
        <v/>
      </c>
      <c r="K323">
        <f>IF(LEN(INDEX('Providers'!$AI$4:$AI$503,320))=0,"",INDEX('Providers'!$AI$4:$AI$503,320))</f>
        <v/>
      </c>
    </row>
    <row r="324">
      <c r="A324">
        <f>IF(AND(LEN('Providers'!A324)&gt;0,ISNUMBER('Providers'!G324)),1,0)</f>
        <v/>
      </c>
      <c r="B324">
        <f>B323+A324</f>
        <v/>
      </c>
      <c r="C324">
        <f>IF(321&gt;$B$4503,"",MATCH(321-0.5,$B$3:$B$4503,1))</f>
        <v/>
      </c>
      <c r="D324">
        <f>"State license ("&amp;IF(LEN(INDEX('Providers'!$E$4:$E$503,321))=0,"",INDEX('Providers'!$E$4:$E$503,321))&amp;") – "&amp;IF(LEN(INDEX('Providers'!$A$4:$A$503,321))=0,"",INDEX('Providers'!$A$4:$A$503,321))</f>
        <v/>
      </c>
      <c r="E324">
        <f>IF(ISNUMBER(INDEX('Providers'!$G$4:$G$503,321)),TEXT(INDEX('Providers'!$G$4:$G$503,321),"yyyy-mm-dd"),"")</f>
        <v/>
      </c>
      <c r="F324">
        <f>"License"</f>
        <v/>
      </c>
      <c r="G324">
        <f>""</f>
        <v/>
      </c>
      <c r="H324">
        <f>"High"</f>
        <v/>
      </c>
      <c r="I324">
        <f>TRIM(IF(LEN(IF(LEN(INDEX('Providers'!$F$4:$F$503,321))=0,"",INDEX('Providers'!$F$4:$F$503,321)))=0,"","License no.: "&amp;IF(LEN(INDEX('Providers'!$F$4:$F$503,321))=0,"",INDEX('Providers'!$F$4:$F$503,321))&amp;". ")&amp;IF(LEN(IF(LEN(INDEX('Providers'!$C$4:$C$503,321))=0,"",INDEX('Providers'!$C$4:$C$503,321)))=0,"","NPI: "&amp;IF(LEN(INDEX('Providers'!$C$4:$C$503,321))=0,"",INDEX('Providers'!$C$4:$C$503,321))&amp;". ")&amp;IF(LEN(IF(LEN(INDEX('Providers'!$D$4:$D$503,321))=0,"",INDEX('Providers'!$D$4:$D$503,321)))=0,"","Specialty: "&amp;IF(LEN(INDEX('Providers'!$D$4:$D$503,321))=0,"",INDEX('Providers'!$D$4:$D$503,321))&amp;". ")&amp;IF(LEN(IF(LEN(INDEX('Providers'!$AK$4:$AK$503,321))=0,"",INDEX('Providers'!$AK$4:$AK$503,321)))=0,"",IF(LEN(INDEX('Providers'!$AK$4:$AK$503,321))=0,"",INDEX('Providers'!$AK$4:$AK$503,321))))</f>
        <v/>
      </c>
      <c r="J324">
        <f>IF(LEN(INDEX('Providers'!$AJ$4:$AJ$503,321))=0,"",INDEX('Providers'!$AJ$4:$AJ$503,321))</f>
        <v/>
      </c>
      <c r="K324">
        <f>IF(LEN(INDEX('Providers'!$AI$4:$AI$503,321))=0,"",INDEX('Providers'!$AI$4:$AI$503,321))</f>
        <v/>
      </c>
    </row>
    <row r="325">
      <c r="A325">
        <f>IF(AND(LEN('Providers'!A325)&gt;0,ISNUMBER('Providers'!G325)),1,0)</f>
        <v/>
      </c>
      <c r="B325">
        <f>B324+A325</f>
        <v/>
      </c>
      <c r="C325">
        <f>IF(322&gt;$B$4503,"",MATCH(322-0.5,$B$3:$B$4503,1))</f>
        <v/>
      </c>
      <c r="D325">
        <f>"State license ("&amp;IF(LEN(INDEX('Providers'!$E$4:$E$503,322))=0,"",INDEX('Providers'!$E$4:$E$503,322))&amp;") – "&amp;IF(LEN(INDEX('Providers'!$A$4:$A$503,322))=0,"",INDEX('Providers'!$A$4:$A$503,322))</f>
        <v/>
      </c>
      <c r="E325">
        <f>IF(ISNUMBER(INDEX('Providers'!$G$4:$G$503,322)),TEXT(INDEX('Providers'!$G$4:$G$503,322),"yyyy-mm-dd"),"")</f>
        <v/>
      </c>
      <c r="F325">
        <f>"License"</f>
        <v/>
      </c>
      <c r="G325">
        <f>""</f>
        <v/>
      </c>
      <c r="H325">
        <f>"High"</f>
        <v/>
      </c>
      <c r="I325">
        <f>TRIM(IF(LEN(IF(LEN(INDEX('Providers'!$F$4:$F$503,322))=0,"",INDEX('Providers'!$F$4:$F$503,322)))=0,"","License no.: "&amp;IF(LEN(INDEX('Providers'!$F$4:$F$503,322))=0,"",INDEX('Providers'!$F$4:$F$503,322))&amp;". ")&amp;IF(LEN(IF(LEN(INDEX('Providers'!$C$4:$C$503,322))=0,"",INDEX('Providers'!$C$4:$C$503,322)))=0,"","NPI: "&amp;IF(LEN(INDEX('Providers'!$C$4:$C$503,322))=0,"",INDEX('Providers'!$C$4:$C$503,322))&amp;". ")&amp;IF(LEN(IF(LEN(INDEX('Providers'!$D$4:$D$503,322))=0,"",INDEX('Providers'!$D$4:$D$503,322)))=0,"","Specialty: "&amp;IF(LEN(INDEX('Providers'!$D$4:$D$503,322))=0,"",INDEX('Providers'!$D$4:$D$503,322))&amp;". ")&amp;IF(LEN(IF(LEN(INDEX('Providers'!$AK$4:$AK$503,322))=0,"",INDEX('Providers'!$AK$4:$AK$503,322)))=0,"",IF(LEN(INDEX('Providers'!$AK$4:$AK$503,322))=0,"",INDEX('Providers'!$AK$4:$AK$503,322))))</f>
        <v/>
      </c>
      <c r="J325">
        <f>IF(LEN(INDEX('Providers'!$AJ$4:$AJ$503,322))=0,"",INDEX('Providers'!$AJ$4:$AJ$503,322))</f>
        <v/>
      </c>
      <c r="K325">
        <f>IF(LEN(INDEX('Providers'!$AI$4:$AI$503,322))=0,"",INDEX('Providers'!$AI$4:$AI$503,322))</f>
        <v/>
      </c>
    </row>
    <row r="326">
      <c r="A326">
        <f>IF(AND(LEN('Providers'!A326)&gt;0,ISNUMBER('Providers'!G326)),1,0)</f>
        <v/>
      </c>
      <c r="B326">
        <f>B325+A326</f>
        <v/>
      </c>
      <c r="C326">
        <f>IF(323&gt;$B$4503,"",MATCH(323-0.5,$B$3:$B$4503,1))</f>
        <v/>
      </c>
      <c r="D326">
        <f>"State license ("&amp;IF(LEN(INDEX('Providers'!$E$4:$E$503,323))=0,"",INDEX('Providers'!$E$4:$E$503,323))&amp;") – "&amp;IF(LEN(INDEX('Providers'!$A$4:$A$503,323))=0,"",INDEX('Providers'!$A$4:$A$503,323))</f>
        <v/>
      </c>
      <c r="E326">
        <f>IF(ISNUMBER(INDEX('Providers'!$G$4:$G$503,323)),TEXT(INDEX('Providers'!$G$4:$G$503,323),"yyyy-mm-dd"),"")</f>
        <v/>
      </c>
      <c r="F326">
        <f>"License"</f>
        <v/>
      </c>
      <c r="G326">
        <f>""</f>
        <v/>
      </c>
      <c r="H326">
        <f>"High"</f>
        <v/>
      </c>
      <c r="I326">
        <f>TRIM(IF(LEN(IF(LEN(INDEX('Providers'!$F$4:$F$503,323))=0,"",INDEX('Providers'!$F$4:$F$503,323)))=0,"","License no.: "&amp;IF(LEN(INDEX('Providers'!$F$4:$F$503,323))=0,"",INDEX('Providers'!$F$4:$F$503,323))&amp;". ")&amp;IF(LEN(IF(LEN(INDEX('Providers'!$C$4:$C$503,323))=0,"",INDEX('Providers'!$C$4:$C$503,323)))=0,"","NPI: "&amp;IF(LEN(INDEX('Providers'!$C$4:$C$503,323))=0,"",INDEX('Providers'!$C$4:$C$503,323))&amp;". ")&amp;IF(LEN(IF(LEN(INDEX('Providers'!$D$4:$D$503,323))=0,"",INDEX('Providers'!$D$4:$D$503,323)))=0,"","Specialty: "&amp;IF(LEN(INDEX('Providers'!$D$4:$D$503,323))=0,"",INDEX('Providers'!$D$4:$D$503,323))&amp;". ")&amp;IF(LEN(IF(LEN(INDEX('Providers'!$AK$4:$AK$503,323))=0,"",INDEX('Providers'!$AK$4:$AK$503,323)))=0,"",IF(LEN(INDEX('Providers'!$AK$4:$AK$503,323))=0,"",INDEX('Providers'!$AK$4:$AK$503,323))))</f>
        <v/>
      </c>
      <c r="J326">
        <f>IF(LEN(INDEX('Providers'!$AJ$4:$AJ$503,323))=0,"",INDEX('Providers'!$AJ$4:$AJ$503,323))</f>
        <v/>
      </c>
      <c r="K326">
        <f>IF(LEN(INDEX('Providers'!$AI$4:$AI$503,323))=0,"",INDEX('Providers'!$AI$4:$AI$503,323))</f>
        <v/>
      </c>
    </row>
    <row r="327">
      <c r="A327">
        <f>IF(AND(LEN('Providers'!A327)&gt;0,ISNUMBER('Providers'!G327)),1,0)</f>
        <v/>
      </c>
      <c r="B327">
        <f>B326+A327</f>
        <v/>
      </c>
      <c r="C327">
        <f>IF(324&gt;$B$4503,"",MATCH(324-0.5,$B$3:$B$4503,1))</f>
        <v/>
      </c>
      <c r="D327">
        <f>"State license ("&amp;IF(LEN(INDEX('Providers'!$E$4:$E$503,324))=0,"",INDEX('Providers'!$E$4:$E$503,324))&amp;") – "&amp;IF(LEN(INDEX('Providers'!$A$4:$A$503,324))=0,"",INDEX('Providers'!$A$4:$A$503,324))</f>
        <v/>
      </c>
      <c r="E327">
        <f>IF(ISNUMBER(INDEX('Providers'!$G$4:$G$503,324)),TEXT(INDEX('Providers'!$G$4:$G$503,324),"yyyy-mm-dd"),"")</f>
        <v/>
      </c>
      <c r="F327">
        <f>"License"</f>
        <v/>
      </c>
      <c r="G327">
        <f>""</f>
        <v/>
      </c>
      <c r="H327">
        <f>"High"</f>
        <v/>
      </c>
      <c r="I327">
        <f>TRIM(IF(LEN(IF(LEN(INDEX('Providers'!$F$4:$F$503,324))=0,"",INDEX('Providers'!$F$4:$F$503,324)))=0,"","License no.: "&amp;IF(LEN(INDEX('Providers'!$F$4:$F$503,324))=0,"",INDEX('Providers'!$F$4:$F$503,324))&amp;". ")&amp;IF(LEN(IF(LEN(INDEX('Providers'!$C$4:$C$503,324))=0,"",INDEX('Providers'!$C$4:$C$503,324)))=0,"","NPI: "&amp;IF(LEN(INDEX('Providers'!$C$4:$C$503,324))=0,"",INDEX('Providers'!$C$4:$C$503,324))&amp;". ")&amp;IF(LEN(IF(LEN(INDEX('Providers'!$D$4:$D$503,324))=0,"",INDEX('Providers'!$D$4:$D$503,324)))=0,"","Specialty: "&amp;IF(LEN(INDEX('Providers'!$D$4:$D$503,324))=0,"",INDEX('Providers'!$D$4:$D$503,324))&amp;". ")&amp;IF(LEN(IF(LEN(INDEX('Providers'!$AK$4:$AK$503,324))=0,"",INDEX('Providers'!$AK$4:$AK$503,324)))=0,"",IF(LEN(INDEX('Providers'!$AK$4:$AK$503,324))=0,"",INDEX('Providers'!$AK$4:$AK$503,324))))</f>
        <v/>
      </c>
      <c r="J327">
        <f>IF(LEN(INDEX('Providers'!$AJ$4:$AJ$503,324))=0,"",INDEX('Providers'!$AJ$4:$AJ$503,324))</f>
        <v/>
      </c>
      <c r="K327">
        <f>IF(LEN(INDEX('Providers'!$AI$4:$AI$503,324))=0,"",INDEX('Providers'!$AI$4:$AI$503,324))</f>
        <v/>
      </c>
    </row>
    <row r="328">
      <c r="A328">
        <f>IF(AND(LEN('Providers'!A328)&gt;0,ISNUMBER('Providers'!G328)),1,0)</f>
        <v/>
      </c>
      <c r="B328">
        <f>B327+A328</f>
        <v/>
      </c>
      <c r="C328">
        <f>IF(325&gt;$B$4503,"",MATCH(325-0.5,$B$3:$B$4503,1))</f>
        <v/>
      </c>
      <c r="D328">
        <f>"State license ("&amp;IF(LEN(INDEX('Providers'!$E$4:$E$503,325))=0,"",INDEX('Providers'!$E$4:$E$503,325))&amp;") – "&amp;IF(LEN(INDEX('Providers'!$A$4:$A$503,325))=0,"",INDEX('Providers'!$A$4:$A$503,325))</f>
        <v/>
      </c>
      <c r="E328">
        <f>IF(ISNUMBER(INDEX('Providers'!$G$4:$G$503,325)),TEXT(INDEX('Providers'!$G$4:$G$503,325),"yyyy-mm-dd"),"")</f>
        <v/>
      </c>
      <c r="F328">
        <f>"License"</f>
        <v/>
      </c>
      <c r="G328">
        <f>""</f>
        <v/>
      </c>
      <c r="H328">
        <f>"High"</f>
        <v/>
      </c>
      <c r="I328">
        <f>TRIM(IF(LEN(IF(LEN(INDEX('Providers'!$F$4:$F$503,325))=0,"",INDEX('Providers'!$F$4:$F$503,325)))=0,"","License no.: "&amp;IF(LEN(INDEX('Providers'!$F$4:$F$503,325))=0,"",INDEX('Providers'!$F$4:$F$503,325))&amp;". ")&amp;IF(LEN(IF(LEN(INDEX('Providers'!$C$4:$C$503,325))=0,"",INDEX('Providers'!$C$4:$C$503,325)))=0,"","NPI: "&amp;IF(LEN(INDEX('Providers'!$C$4:$C$503,325))=0,"",INDEX('Providers'!$C$4:$C$503,325))&amp;". ")&amp;IF(LEN(IF(LEN(INDEX('Providers'!$D$4:$D$503,325))=0,"",INDEX('Providers'!$D$4:$D$503,325)))=0,"","Specialty: "&amp;IF(LEN(INDEX('Providers'!$D$4:$D$503,325))=0,"",INDEX('Providers'!$D$4:$D$503,325))&amp;". ")&amp;IF(LEN(IF(LEN(INDEX('Providers'!$AK$4:$AK$503,325))=0,"",INDEX('Providers'!$AK$4:$AK$503,325)))=0,"",IF(LEN(INDEX('Providers'!$AK$4:$AK$503,325))=0,"",INDEX('Providers'!$AK$4:$AK$503,325))))</f>
        <v/>
      </c>
      <c r="J328">
        <f>IF(LEN(INDEX('Providers'!$AJ$4:$AJ$503,325))=0,"",INDEX('Providers'!$AJ$4:$AJ$503,325))</f>
        <v/>
      </c>
      <c r="K328">
        <f>IF(LEN(INDEX('Providers'!$AI$4:$AI$503,325))=0,"",INDEX('Providers'!$AI$4:$AI$503,325))</f>
        <v/>
      </c>
    </row>
    <row r="329">
      <c r="A329">
        <f>IF(AND(LEN('Providers'!A329)&gt;0,ISNUMBER('Providers'!G329)),1,0)</f>
        <v/>
      </c>
      <c r="B329">
        <f>B328+A329</f>
        <v/>
      </c>
      <c r="C329">
        <f>IF(326&gt;$B$4503,"",MATCH(326-0.5,$B$3:$B$4503,1))</f>
        <v/>
      </c>
      <c r="D329">
        <f>"State license ("&amp;IF(LEN(INDEX('Providers'!$E$4:$E$503,326))=0,"",INDEX('Providers'!$E$4:$E$503,326))&amp;") – "&amp;IF(LEN(INDEX('Providers'!$A$4:$A$503,326))=0,"",INDEX('Providers'!$A$4:$A$503,326))</f>
        <v/>
      </c>
      <c r="E329">
        <f>IF(ISNUMBER(INDEX('Providers'!$G$4:$G$503,326)),TEXT(INDEX('Providers'!$G$4:$G$503,326),"yyyy-mm-dd"),"")</f>
        <v/>
      </c>
      <c r="F329">
        <f>"License"</f>
        <v/>
      </c>
      <c r="G329">
        <f>""</f>
        <v/>
      </c>
      <c r="H329">
        <f>"High"</f>
        <v/>
      </c>
      <c r="I329">
        <f>TRIM(IF(LEN(IF(LEN(INDEX('Providers'!$F$4:$F$503,326))=0,"",INDEX('Providers'!$F$4:$F$503,326)))=0,"","License no.: "&amp;IF(LEN(INDEX('Providers'!$F$4:$F$503,326))=0,"",INDEX('Providers'!$F$4:$F$503,326))&amp;". ")&amp;IF(LEN(IF(LEN(INDEX('Providers'!$C$4:$C$503,326))=0,"",INDEX('Providers'!$C$4:$C$503,326)))=0,"","NPI: "&amp;IF(LEN(INDEX('Providers'!$C$4:$C$503,326))=0,"",INDEX('Providers'!$C$4:$C$503,326))&amp;". ")&amp;IF(LEN(IF(LEN(INDEX('Providers'!$D$4:$D$503,326))=0,"",INDEX('Providers'!$D$4:$D$503,326)))=0,"","Specialty: "&amp;IF(LEN(INDEX('Providers'!$D$4:$D$503,326))=0,"",INDEX('Providers'!$D$4:$D$503,326))&amp;". ")&amp;IF(LEN(IF(LEN(INDEX('Providers'!$AK$4:$AK$503,326))=0,"",INDEX('Providers'!$AK$4:$AK$503,326)))=0,"",IF(LEN(INDEX('Providers'!$AK$4:$AK$503,326))=0,"",INDEX('Providers'!$AK$4:$AK$503,326))))</f>
        <v/>
      </c>
      <c r="J329">
        <f>IF(LEN(INDEX('Providers'!$AJ$4:$AJ$503,326))=0,"",INDEX('Providers'!$AJ$4:$AJ$503,326))</f>
        <v/>
      </c>
      <c r="K329">
        <f>IF(LEN(INDEX('Providers'!$AI$4:$AI$503,326))=0,"",INDEX('Providers'!$AI$4:$AI$503,326))</f>
        <v/>
      </c>
    </row>
    <row r="330">
      <c r="A330">
        <f>IF(AND(LEN('Providers'!A330)&gt;0,ISNUMBER('Providers'!G330)),1,0)</f>
        <v/>
      </c>
      <c r="B330">
        <f>B329+A330</f>
        <v/>
      </c>
      <c r="C330">
        <f>IF(327&gt;$B$4503,"",MATCH(327-0.5,$B$3:$B$4503,1))</f>
        <v/>
      </c>
      <c r="D330">
        <f>"State license ("&amp;IF(LEN(INDEX('Providers'!$E$4:$E$503,327))=0,"",INDEX('Providers'!$E$4:$E$503,327))&amp;") – "&amp;IF(LEN(INDEX('Providers'!$A$4:$A$503,327))=0,"",INDEX('Providers'!$A$4:$A$503,327))</f>
        <v/>
      </c>
      <c r="E330">
        <f>IF(ISNUMBER(INDEX('Providers'!$G$4:$G$503,327)),TEXT(INDEX('Providers'!$G$4:$G$503,327),"yyyy-mm-dd"),"")</f>
        <v/>
      </c>
      <c r="F330">
        <f>"License"</f>
        <v/>
      </c>
      <c r="G330">
        <f>""</f>
        <v/>
      </c>
      <c r="H330">
        <f>"High"</f>
        <v/>
      </c>
      <c r="I330">
        <f>TRIM(IF(LEN(IF(LEN(INDEX('Providers'!$F$4:$F$503,327))=0,"",INDEX('Providers'!$F$4:$F$503,327)))=0,"","License no.: "&amp;IF(LEN(INDEX('Providers'!$F$4:$F$503,327))=0,"",INDEX('Providers'!$F$4:$F$503,327))&amp;". ")&amp;IF(LEN(IF(LEN(INDEX('Providers'!$C$4:$C$503,327))=0,"",INDEX('Providers'!$C$4:$C$503,327)))=0,"","NPI: "&amp;IF(LEN(INDEX('Providers'!$C$4:$C$503,327))=0,"",INDEX('Providers'!$C$4:$C$503,327))&amp;". ")&amp;IF(LEN(IF(LEN(INDEX('Providers'!$D$4:$D$503,327))=0,"",INDEX('Providers'!$D$4:$D$503,327)))=0,"","Specialty: "&amp;IF(LEN(INDEX('Providers'!$D$4:$D$503,327))=0,"",INDEX('Providers'!$D$4:$D$503,327))&amp;". ")&amp;IF(LEN(IF(LEN(INDEX('Providers'!$AK$4:$AK$503,327))=0,"",INDEX('Providers'!$AK$4:$AK$503,327)))=0,"",IF(LEN(INDEX('Providers'!$AK$4:$AK$503,327))=0,"",INDEX('Providers'!$AK$4:$AK$503,327))))</f>
        <v/>
      </c>
      <c r="J330">
        <f>IF(LEN(INDEX('Providers'!$AJ$4:$AJ$503,327))=0,"",INDEX('Providers'!$AJ$4:$AJ$503,327))</f>
        <v/>
      </c>
      <c r="K330">
        <f>IF(LEN(INDEX('Providers'!$AI$4:$AI$503,327))=0,"",INDEX('Providers'!$AI$4:$AI$503,327))</f>
        <v/>
      </c>
    </row>
    <row r="331">
      <c r="A331">
        <f>IF(AND(LEN('Providers'!A331)&gt;0,ISNUMBER('Providers'!G331)),1,0)</f>
        <v/>
      </c>
      <c r="B331">
        <f>B330+A331</f>
        <v/>
      </c>
      <c r="C331">
        <f>IF(328&gt;$B$4503,"",MATCH(328-0.5,$B$3:$B$4503,1))</f>
        <v/>
      </c>
      <c r="D331">
        <f>"State license ("&amp;IF(LEN(INDEX('Providers'!$E$4:$E$503,328))=0,"",INDEX('Providers'!$E$4:$E$503,328))&amp;") – "&amp;IF(LEN(INDEX('Providers'!$A$4:$A$503,328))=0,"",INDEX('Providers'!$A$4:$A$503,328))</f>
        <v/>
      </c>
      <c r="E331">
        <f>IF(ISNUMBER(INDEX('Providers'!$G$4:$G$503,328)),TEXT(INDEX('Providers'!$G$4:$G$503,328),"yyyy-mm-dd"),"")</f>
        <v/>
      </c>
      <c r="F331">
        <f>"License"</f>
        <v/>
      </c>
      <c r="G331">
        <f>""</f>
        <v/>
      </c>
      <c r="H331">
        <f>"High"</f>
        <v/>
      </c>
      <c r="I331">
        <f>TRIM(IF(LEN(IF(LEN(INDEX('Providers'!$F$4:$F$503,328))=0,"",INDEX('Providers'!$F$4:$F$503,328)))=0,"","License no.: "&amp;IF(LEN(INDEX('Providers'!$F$4:$F$503,328))=0,"",INDEX('Providers'!$F$4:$F$503,328))&amp;". ")&amp;IF(LEN(IF(LEN(INDEX('Providers'!$C$4:$C$503,328))=0,"",INDEX('Providers'!$C$4:$C$503,328)))=0,"","NPI: "&amp;IF(LEN(INDEX('Providers'!$C$4:$C$503,328))=0,"",INDEX('Providers'!$C$4:$C$503,328))&amp;". ")&amp;IF(LEN(IF(LEN(INDEX('Providers'!$D$4:$D$503,328))=0,"",INDEX('Providers'!$D$4:$D$503,328)))=0,"","Specialty: "&amp;IF(LEN(INDEX('Providers'!$D$4:$D$503,328))=0,"",INDEX('Providers'!$D$4:$D$503,328))&amp;". ")&amp;IF(LEN(IF(LEN(INDEX('Providers'!$AK$4:$AK$503,328))=0,"",INDEX('Providers'!$AK$4:$AK$503,328)))=0,"",IF(LEN(INDEX('Providers'!$AK$4:$AK$503,328))=0,"",INDEX('Providers'!$AK$4:$AK$503,328))))</f>
        <v/>
      </c>
      <c r="J331">
        <f>IF(LEN(INDEX('Providers'!$AJ$4:$AJ$503,328))=0,"",INDEX('Providers'!$AJ$4:$AJ$503,328))</f>
        <v/>
      </c>
      <c r="K331">
        <f>IF(LEN(INDEX('Providers'!$AI$4:$AI$503,328))=0,"",INDEX('Providers'!$AI$4:$AI$503,328))</f>
        <v/>
      </c>
    </row>
    <row r="332">
      <c r="A332">
        <f>IF(AND(LEN('Providers'!A332)&gt;0,ISNUMBER('Providers'!G332)),1,0)</f>
        <v/>
      </c>
      <c r="B332">
        <f>B331+A332</f>
        <v/>
      </c>
      <c r="C332">
        <f>IF(329&gt;$B$4503,"",MATCH(329-0.5,$B$3:$B$4503,1))</f>
        <v/>
      </c>
      <c r="D332">
        <f>"State license ("&amp;IF(LEN(INDEX('Providers'!$E$4:$E$503,329))=0,"",INDEX('Providers'!$E$4:$E$503,329))&amp;") – "&amp;IF(LEN(INDEX('Providers'!$A$4:$A$503,329))=0,"",INDEX('Providers'!$A$4:$A$503,329))</f>
        <v/>
      </c>
      <c r="E332">
        <f>IF(ISNUMBER(INDEX('Providers'!$G$4:$G$503,329)),TEXT(INDEX('Providers'!$G$4:$G$503,329),"yyyy-mm-dd"),"")</f>
        <v/>
      </c>
      <c r="F332">
        <f>"License"</f>
        <v/>
      </c>
      <c r="G332">
        <f>""</f>
        <v/>
      </c>
      <c r="H332">
        <f>"High"</f>
        <v/>
      </c>
      <c r="I332">
        <f>TRIM(IF(LEN(IF(LEN(INDEX('Providers'!$F$4:$F$503,329))=0,"",INDEX('Providers'!$F$4:$F$503,329)))=0,"","License no.: "&amp;IF(LEN(INDEX('Providers'!$F$4:$F$503,329))=0,"",INDEX('Providers'!$F$4:$F$503,329))&amp;". ")&amp;IF(LEN(IF(LEN(INDEX('Providers'!$C$4:$C$503,329))=0,"",INDEX('Providers'!$C$4:$C$503,329)))=0,"","NPI: "&amp;IF(LEN(INDEX('Providers'!$C$4:$C$503,329))=0,"",INDEX('Providers'!$C$4:$C$503,329))&amp;". ")&amp;IF(LEN(IF(LEN(INDEX('Providers'!$D$4:$D$503,329))=0,"",INDEX('Providers'!$D$4:$D$503,329)))=0,"","Specialty: "&amp;IF(LEN(INDEX('Providers'!$D$4:$D$503,329))=0,"",INDEX('Providers'!$D$4:$D$503,329))&amp;". ")&amp;IF(LEN(IF(LEN(INDEX('Providers'!$AK$4:$AK$503,329))=0,"",INDEX('Providers'!$AK$4:$AK$503,329)))=0,"",IF(LEN(INDEX('Providers'!$AK$4:$AK$503,329))=0,"",INDEX('Providers'!$AK$4:$AK$503,329))))</f>
        <v/>
      </c>
      <c r="J332">
        <f>IF(LEN(INDEX('Providers'!$AJ$4:$AJ$503,329))=0,"",INDEX('Providers'!$AJ$4:$AJ$503,329))</f>
        <v/>
      </c>
      <c r="K332">
        <f>IF(LEN(INDEX('Providers'!$AI$4:$AI$503,329))=0,"",INDEX('Providers'!$AI$4:$AI$503,329))</f>
        <v/>
      </c>
    </row>
    <row r="333">
      <c r="A333">
        <f>IF(AND(LEN('Providers'!A333)&gt;0,ISNUMBER('Providers'!G333)),1,0)</f>
        <v/>
      </c>
      <c r="B333">
        <f>B332+A333</f>
        <v/>
      </c>
      <c r="C333">
        <f>IF(330&gt;$B$4503,"",MATCH(330-0.5,$B$3:$B$4503,1))</f>
        <v/>
      </c>
      <c r="D333">
        <f>"State license ("&amp;IF(LEN(INDEX('Providers'!$E$4:$E$503,330))=0,"",INDEX('Providers'!$E$4:$E$503,330))&amp;") – "&amp;IF(LEN(INDEX('Providers'!$A$4:$A$503,330))=0,"",INDEX('Providers'!$A$4:$A$503,330))</f>
        <v/>
      </c>
      <c r="E333">
        <f>IF(ISNUMBER(INDEX('Providers'!$G$4:$G$503,330)),TEXT(INDEX('Providers'!$G$4:$G$503,330),"yyyy-mm-dd"),"")</f>
        <v/>
      </c>
      <c r="F333">
        <f>"License"</f>
        <v/>
      </c>
      <c r="G333">
        <f>""</f>
        <v/>
      </c>
      <c r="H333">
        <f>"High"</f>
        <v/>
      </c>
      <c r="I333">
        <f>TRIM(IF(LEN(IF(LEN(INDEX('Providers'!$F$4:$F$503,330))=0,"",INDEX('Providers'!$F$4:$F$503,330)))=0,"","License no.: "&amp;IF(LEN(INDEX('Providers'!$F$4:$F$503,330))=0,"",INDEX('Providers'!$F$4:$F$503,330))&amp;". ")&amp;IF(LEN(IF(LEN(INDEX('Providers'!$C$4:$C$503,330))=0,"",INDEX('Providers'!$C$4:$C$503,330)))=0,"","NPI: "&amp;IF(LEN(INDEX('Providers'!$C$4:$C$503,330))=0,"",INDEX('Providers'!$C$4:$C$503,330))&amp;". ")&amp;IF(LEN(IF(LEN(INDEX('Providers'!$D$4:$D$503,330))=0,"",INDEX('Providers'!$D$4:$D$503,330)))=0,"","Specialty: "&amp;IF(LEN(INDEX('Providers'!$D$4:$D$503,330))=0,"",INDEX('Providers'!$D$4:$D$503,330))&amp;". ")&amp;IF(LEN(IF(LEN(INDEX('Providers'!$AK$4:$AK$503,330))=0,"",INDEX('Providers'!$AK$4:$AK$503,330)))=0,"",IF(LEN(INDEX('Providers'!$AK$4:$AK$503,330))=0,"",INDEX('Providers'!$AK$4:$AK$503,330))))</f>
        <v/>
      </c>
      <c r="J333">
        <f>IF(LEN(INDEX('Providers'!$AJ$4:$AJ$503,330))=0,"",INDEX('Providers'!$AJ$4:$AJ$503,330))</f>
        <v/>
      </c>
      <c r="K333">
        <f>IF(LEN(INDEX('Providers'!$AI$4:$AI$503,330))=0,"",INDEX('Providers'!$AI$4:$AI$503,330))</f>
        <v/>
      </c>
    </row>
    <row r="334">
      <c r="A334">
        <f>IF(AND(LEN('Providers'!A334)&gt;0,ISNUMBER('Providers'!G334)),1,0)</f>
        <v/>
      </c>
      <c r="B334">
        <f>B333+A334</f>
        <v/>
      </c>
      <c r="C334">
        <f>IF(331&gt;$B$4503,"",MATCH(331-0.5,$B$3:$B$4503,1))</f>
        <v/>
      </c>
      <c r="D334">
        <f>"State license ("&amp;IF(LEN(INDEX('Providers'!$E$4:$E$503,331))=0,"",INDEX('Providers'!$E$4:$E$503,331))&amp;") – "&amp;IF(LEN(INDEX('Providers'!$A$4:$A$503,331))=0,"",INDEX('Providers'!$A$4:$A$503,331))</f>
        <v/>
      </c>
      <c r="E334">
        <f>IF(ISNUMBER(INDEX('Providers'!$G$4:$G$503,331)),TEXT(INDEX('Providers'!$G$4:$G$503,331),"yyyy-mm-dd"),"")</f>
        <v/>
      </c>
      <c r="F334">
        <f>"License"</f>
        <v/>
      </c>
      <c r="G334">
        <f>""</f>
        <v/>
      </c>
      <c r="H334">
        <f>"High"</f>
        <v/>
      </c>
      <c r="I334">
        <f>TRIM(IF(LEN(IF(LEN(INDEX('Providers'!$F$4:$F$503,331))=0,"",INDEX('Providers'!$F$4:$F$503,331)))=0,"","License no.: "&amp;IF(LEN(INDEX('Providers'!$F$4:$F$503,331))=0,"",INDEX('Providers'!$F$4:$F$503,331))&amp;". ")&amp;IF(LEN(IF(LEN(INDEX('Providers'!$C$4:$C$503,331))=0,"",INDEX('Providers'!$C$4:$C$503,331)))=0,"","NPI: "&amp;IF(LEN(INDEX('Providers'!$C$4:$C$503,331))=0,"",INDEX('Providers'!$C$4:$C$503,331))&amp;". ")&amp;IF(LEN(IF(LEN(INDEX('Providers'!$D$4:$D$503,331))=0,"",INDEX('Providers'!$D$4:$D$503,331)))=0,"","Specialty: "&amp;IF(LEN(INDEX('Providers'!$D$4:$D$503,331))=0,"",INDEX('Providers'!$D$4:$D$503,331))&amp;". ")&amp;IF(LEN(IF(LEN(INDEX('Providers'!$AK$4:$AK$503,331))=0,"",INDEX('Providers'!$AK$4:$AK$503,331)))=0,"",IF(LEN(INDEX('Providers'!$AK$4:$AK$503,331))=0,"",INDEX('Providers'!$AK$4:$AK$503,331))))</f>
        <v/>
      </c>
      <c r="J334">
        <f>IF(LEN(INDEX('Providers'!$AJ$4:$AJ$503,331))=0,"",INDEX('Providers'!$AJ$4:$AJ$503,331))</f>
        <v/>
      </c>
      <c r="K334">
        <f>IF(LEN(INDEX('Providers'!$AI$4:$AI$503,331))=0,"",INDEX('Providers'!$AI$4:$AI$503,331))</f>
        <v/>
      </c>
    </row>
    <row r="335">
      <c r="A335">
        <f>IF(AND(LEN('Providers'!A335)&gt;0,ISNUMBER('Providers'!G335)),1,0)</f>
        <v/>
      </c>
      <c r="B335">
        <f>B334+A335</f>
        <v/>
      </c>
      <c r="C335">
        <f>IF(332&gt;$B$4503,"",MATCH(332-0.5,$B$3:$B$4503,1))</f>
        <v/>
      </c>
      <c r="D335">
        <f>"State license ("&amp;IF(LEN(INDEX('Providers'!$E$4:$E$503,332))=0,"",INDEX('Providers'!$E$4:$E$503,332))&amp;") – "&amp;IF(LEN(INDEX('Providers'!$A$4:$A$503,332))=0,"",INDEX('Providers'!$A$4:$A$503,332))</f>
        <v/>
      </c>
      <c r="E335">
        <f>IF(ISNUMBER(INDEX('Providers'!$G$4:$G$503,332)),TEXT(INDEX('Providers'!$G$4:$G$503,332),"yyyy-mm-dd"),"")</f>
        <v/>
      </c>
      <c r="F335">
        <f>"License"</f>
        <v/>
      </c>
      <c r="G335">
        <f>""</f>
        <v/>
      </c>
      <c r="H335">
        <f>"High"</f>
        <v/>
      </c>
      <c r="I335">
        <f>TRIM(IF(LEN(IF(LEN(INDEX('Providers'!$F$4:$F$503,332))=0,"",INDEX('Providers'!$F$4:$F$503,332)))=0,"","License no.: "&amp;IF(LEN(INDEX('Providers'!$F$4:$F$503,332))=0,"",INDEX('Providers'!$F$4:$F$503,332))&amp;". ")&amp;IF(LEN(IF(LEN(INDEX('Providers'!$C$4:$C$503,332))=0,"",INDEX('Providers'!$C$4:$C$503,332)))=0,"","NPI: "&amp;IF(LEN(INDEX('Providers'!$C$4:$C$503,332))=0,"",INDEX('Providers'!$C$4:$C$503,332))&amp;". ")&amp;IF(LEN(IF(LEN(INDEX('Providers'!$D$4:$D$503,332))=0,"",INDEX('Providers'!$D$4:$D$503,332)))=0,"","Specialty: "&amp;IF(LEN(INDEX('Providers'!$D$4:$D$503,332))=0,"",INDEX('Providers'!$D$4:$D$503,332))&amp;". ")&amp;IF(LEN(IF(LEN(INDEX('Providers'!$AK$4:$AK$503,332))=0,"",INDEX('Providers'!$AK$4:$AK$503,332)))=0,"",IF(LEN(INDEX('Providers'!$AK$4:$AK$503,332))=0,"",INDEX('Providers'!$AK$4:$AK$503,332))))</f>
        <v/>
      </c>
      <c r="J335">
        <f>IF(LEN(INDEX('Providers'!$AJ$4:$AJ$503,332))=0,"",INDEX('Providers'!$AJ$4:$AJ$503,332))</f>
        <v/>
      </c>
      <c r="K335">
        <f>IF(LEN(INDEX('Providers'!$AI$4:$AI$503,332))=0,"",INDEX('Providers'!$AI$4:$AI$503,332))</f>
        <v/>
      </c>
    </row>
    <row r="336">
      <c r="A336">
        <f>IF(AND(LEN('Providers'!A336)&gt;0,ISNUMBER('Providers'!G336)),1,0)</f>
        <v/>
      </c>
      <c r="B336">
        <f>B335+A336</f>
        <v/>
      </c>
      <c r="C336">
        <f>IF(333&gt;$B$4503,"",MATCH(333-0.5,$B$3:$B$4503,1))</f>
        <v/>
      </c>
      <c r="D336">
        <f>"State license ("&amp;IF(LEN(INDEX('Providers'!$E$4:$E$503,333))=0,"",INDEX('Providers'!$E$4:$E$503,333))&amp;") – "&amp;IF(LEN(INDEX('Providers'!$A$4:$A$503,333))=0,"",INDEX('Providers'!$A$4:$A$503,333))</f>
        <v/>
      </c>
      <c r="E336">
        <f>IF(ISNUMBER(INDEX('Providers'!$G$4:$G$503,333)),TEXT(INDEX('Providers'!$G$4:$G$503,333),"yyyy-mm-dd"),"")</f>
        <v/>
      </c>
      <c r="F336">
        <f>"License"</f>
        <v/>
      </c>
      <c r="G336">
        <f>""</f>
        <v/>
      </c>
      <c r="H336">
        <f>"High"</f>
        <v/>
      </c>
      <c r="I336">
        <f>TRIM(IF(LEN(IF(LEN(INDEX('Providers'!$F$4:$F$503,333))=0,"",INDEX('Providers'!$F$4:$F$503,333)))=0,"","License no.: "&amp;IF(LEN(INDEX('Providers'!$F$4:$F$503,333))=0,"",INDEX('Providers'!$F$4:$F$503,333))&amp;". ")&amp;IF(LEN(IF(LEN(INDEX('Providers'!$C$4:$C$503,333))=0,"",INDEX('Providers'!$C$4:$C$503,333)))=0,"","NPI: "&amp;IF(LEN(INDEX('Providers'!$C$4:$C$503,333))=0,"",INDEX('Providers'!$C$4:$C$503,333))&amp;". ")&amp;IF(LEN(IF(LEN(INDEX('Providers'!$D$4:$D$503,333))=0,"",INDEX('Providers'!$D$4:$D$503,333)))=0,"","Specialty: "&amp;IF(LEN(INDEX('Providers'!$D$4:$D$503,333))=0,"",INDEX('Providers'!$D$4:$D$503,333))&amp;". ")&amp;IF(LEN(IF(LEN(INDEX('Providers'!$AK$4:$AK$503,333))=0,"",INDEX('Providers'!$AK$4:$AK$503,333)))=0,"",IF(LEN(INDEX('Providers'!$AK$4:$AK$503,333))=0,"",INDEX('Providers'!$AK$4:$AK$503,333))))</f>
        <v/>
      </c>
      <c r="J336">
        <f>IF(LEN(INDEX('Providers'!$AJ$4:$AJ$503,333))=0,"",INDEX('Providers'!$AJ$4:$AJ$503,333))</f>
        <v/>
      </c>
      <c r="K336">
        <f>IF(LEN(INDEX('Providers'!$AI$4:$AI$503,333))=0,"",INDEX('Providers'!$AI$4:$AI$503,333))</f>
        <v/>
      </c>
    </row>
    <row r="337">
      <c r="A337">
        <f>IF(AND(LEN('Providers'!A337)&gt;0,ISNUMBER('Providers'!G337)),1,0)</f>
        <v/>
      </c>
      <c r="B337">
        <f>B336+A337</f>
        <v/>
      </c>
      <c r="C337">
        <f>IF(334&gt;$B$4503,"",MATCH(334-0.5,$B$3:$B$4503,1))</f>
        <v/>
      </c>
      <c r="D337">
        <f>"State license ("&amp;IF(LEN(INDEX('Providers'!$E$4:$E$503,334))=0,"",INDEX('Providers'!$E$4:$E$503,334))&amp;") – "&amp;IF(LEN(INDEX('Providers'!$A$4:$A$503,334))=0,"",INDEX('Providers'!$A$4:$A$503,334))</f>
        <v/>
      </c>
      <c r="E337">
        <f>IF(ISNUMBER(INDEX('Providers'!$G$4:$G$503,334)),TEXT(INDEX('Providers'!$G$4:$G$503,334),"yyyy-mm-dd"),"")</f>
        <v/>
      </c>
      <c r="F337">
        <f>"License"</f>
        <v/>
      </c>
      <c r="G337">
        <f>""</f>
        <v/>
      </c>
      <c r="H337">
        <f>"High"</f>
        <v/>
      </c>
      <c r="I337">
        <f>TRIM(IF(LEN(IF(LEN(INDEX('Providers'!$F$4:$F$503,334))=0,"",INDEX('Providers'!$F$4:$F$503,334)))=0,"","License no.: "&amp;IF(LEN(INDEX('Providers'!$F$4:$F$503,334))=0,"",INDEX('Providers'!$F$4:$F$503,334))&amp;". ")&amp;IF(LEN(IF(LEN(INDEX('Providers'!$C$4:$C$503,334))=0,"",INDEX('Providers'!$C$4:$C$503,334)))=0,"","NPI: "&amp;IF(LEN(INDEX('Providers'!$C$4:$C$503,334))=0,"",INDEX('Providers'!$C$4:$C$503,334))&amp;". ")&amp;IF(LEN(IF(LEN(INDEX('Providers'!$D$4:$D$503,334))=0,"",INDEX('Providers'!$D$4:$D$503,334)))=0,"","Specialty: "&amp;IF(LEN(INDEX('Providers'!$D$4:$D$503,334))=0,"",INDEX('Providers'!$D$4:$D$503,334))&amp;". ")&amp;IF(LEN(IF(LEN(INDEX('Providers'!$AK$4:$AK$503,334))=0,"",INDEX('Providers'!$AK$4:$AK$503,334)))=0,"",IF(LEN(INDEX('Providers'!$AK$4:$AK$503,334))=0,"",INDEX('Providers'!$AK$4:$AK$503,334))))</f>
        <v/>
      </c>
      <c r="J337">
        <f>IF(LEN(INDEX('Providers'!$AJ$4:$AJ$503,334))=0,"",INDEX('Providers'!$AJ$4:$AJ$503,334))</f>
        <v/>
      </c>
      <c r="K337">
        <f>IF(LEN(INDEX('Providers'!$AI$4:$AI$503,334))=0,"",INDEX('Providers'!$AI$4:$AI$503,334))</f>
        <v/>
      </c>
    </row>
    <row r="338">
      <c r="A338">
        <f>IF(AND(LEN('Providers'!A338)&gt;0,ISNUMBER('Providers'!G338)),1,0)</f>
        <v/>
      </c>
      <c r="B338">
        <f>B337+A338</f>
        <v/>
      </c>
      <c r="C338">
        <f>IF(335&gt;$B$4503,"",MATCH(335-0.5,$B$3:$B$4503,1))</f>
        <v/>
      </c>
      <c r="D338">
        <f>"State license ("&amp;IF(LEN(INDEX('Providers'!$E$4:$E$503,335))=0,"",INDEX('Providers'!$E$4:$E$503,335))&amp;") – "&amp;IF(LEN(INDEX('Providers'!$A$4:$A$503,335))=0,"",INDEX('Providers'!$A$4:$A$503,335))</f>
        <v/>
      </c>
      <c r="E338">
        <f>IF(ISNUMBER(INDEX('Providers'!$G$4:$G$503,335)),TEXT(INDEX('Providers'!$G$4:$G$503,335),"yyyy-mm-dd"),"")</f>
        <v/>
      </c>
      <c r="F338">
        <f>"License"</f>
        <v/>
      </c>
      <c r="G338">
        <f>""</f>
        <v/>
      </c>
      <c r="H338">
        <f>"High"</f>
        <v/>
      </c>
      <c r="I338">
        <f>TRIM(IF(LEN(IF(LEN(INDEX('Providers'!$F$4:$F$503,335))=0,"",INDEX('Providers'!$F$4:$F$503,335)))=0,"","License no.: "&amp;IF(LEN(INDEX('Providers'!$F$4:$F$503,335))=0,"",INDEX('Providers'!$F$4:$F$503,335))&amp;". ")&amp;IF(LEN(IF(LEN(INDEX('Providers'!$C$4:$C$503,335))=0,"",INDEX('Providers'!$C$4:$C$503,335)))=0,"","NPI: "&amp;IF(LEN(INDEX('Providers'!$C$4:$C$503,335))=0,"",INDEX('Providers'!$C$4:$C$503,335))&amp;". ")&amp;IF(LEN(IF(LEN(INDEX('Providers'!$D$4:$D$503,335))=0,"",INDEX('Providers'!$D$4:$D$503,335)))=0,"","Specialty: "&amp;IF(LEN(INDEX('Providers'!$D$4:$D$503,335))=0,"",INDEX('Providers'!$D$4:$D$503,335))&amp;". ")&amp;IF(LEN(IF(LEN(INDEX('Providers'!$AK$4:$AK$503,335))=0,"",INDEX('Providers'!$AK$4:$AK$503,335)))=0,"",IF(LEN(INDEX('Providers'!$AK$4:$AK$503,335))=0,"",INDEX('Providers'!$AK$4:$AK$503,335))))</f>
        <v/>
      </c>
      <c r="J338">
        <f>IF(LEN(INDEX('Providers'!$AJ$4:$AJ$503,335))=0,"",INDEX('Providers'!$AJ$4:$AJ$503,335))</f>
        <v/>
      </c>
      <c r="K338">
        <f>IF(LEN(INDEX('Providers'!$AI$4:$AI$503,335))=0,"",INDEX('Providers'!$AI$4:$AI$503,335))</f>
        <v/>
      </c>
    </row>
    <row r="339">
      <c r="A339">
        <f>IF(AND(LEN('Providers'!A339)&gt;0,ISNUMBER('Providers'!G339)),1,0)</f>
        <v/>
      </c>
      <c r="B339">
        <f>B338+A339</f>
        <v/>
      </c>
      <c r="C339">
        <f>IF(336&gt;$B$4503,"",MATCH(336-0.5,$B$3:$B$4503,1))</f>
        <v/>
      </c>
      <c r="D339">
        <f>"State license ("&amp;IF(LEN(INDEX('Providers'!$E$4:$E$503,336))=0,"",INDEX('Providers'!$E$4:$E$503,336))&amp;") – "&amp;IF(LEN(INDEX('Providers'!$A$4:$A$503,336))=0,"",INDEX('Providers'!$A$4:$A$503,336))</f>
        <v/>
      </c>
      <c r="E339">
        <f>IF(ISNUMBER(INDEX('Providers'!$G$4:$G$503,336)),TEXT(INDEX('Providers'!$G$4:$G$503,336),"yyyy-mm-dd"),"")</f>
        <v/>
      </c>
      <c r="F339">
        <f>"License"</f>
        <v/>
      </c>
      <c r="G339">
        <f>""</f>
        <v/>
      </c>
      <c r="H339">
        <f>"High"</f>
        <v/>
      </c>
      <c r="I339">
        <f>TRIM(IF(LEN(IF(LEN(INDEX('Providers'!$F$4:$F$503,336))=0,"",INDEX('Providers'!$F$4:$F$503,336)))=0,"","License no.: "&amp;IF(LEN(INDEX('Providers'!$F$4:$F$503,336))=0,"",INDEX('Providers'!$F$4:$F$503,336))&amp;". ")&amp;IF(LEN(IF(LEN(INDEX('Providers'!$C$4:$C$503,336))=0,"",INDEX('Providers'!$C$4:$C$503,336)))=0,"","NPI: "&amp;IF(LEN(INDEX('Providers'!$C$4:$C$503,336))=0,"",INDEX('Providers'!$C$4:$C$503,336))&amp;". ")&amp;IF(LEN(IF(LEN(INDEX('Providers'!$D$4:$D$503,336))=0,"",INDEX('Providers'!$D$4:$D$503,336)))=0,"","Specialty: "&amp;IF(LEN(INDEX('Providers'!$D$4:$D$503,336))=0,"",INDEX('Providers'!$D$4:$D$503,336))&amp;". ")&amp;IF(LEN(IF(LEN(INDEX('Providers'!$AK$4:$AK$503,336))=0,"",INDEX('Providers'!$AK$4:$AK$503,336)))=0,"",IF(LEN(INDEX('Providers'!$AK$4:$AK$503,336))=0,"",INDEX('Providers'!$AK$4:$AK$503,336))))</f>
        <v/>
      </c>
      <c r="J339">
        <f>IF(LEN(INDEX('Providers'!$AJ$4:$AJ$503,336))=0,"",INDEX('Providers'!$AJ$4:$AJ$503,336))</f>
        <v/>
      </c>
      <c r="K339">
        <f>IF(LEN(INDEX('Providers'!$AI$4:$AI$503,336))=0,"",INDEX('Providers'!$AI$4:$AI$503,336))</f>
        <v/>
      </c>
    </row>
    <row r="340">
      <c r="A340">
        <f>IF(AND(LEN('Providers'!A340)&gt;0,ISNUMBER('Providers'!G340)),1,0)</f>
        <v/>
      </c>
      <c r="B340">
        <f>B339+A340</f>
        <v/>
      </c>
      <c r="C340">
        <f>IF(337&gt;$B$4503,"",MATCH(337-0.5,$B$3:$B$4503,1))</f>
        <v/>
      </c>
      <c r="D340">
        <f>"State license ("&amp;IF(LEN(INDEX('Providers'!$E$4:$E$503,337))=0,"",INDEX('Providers'!$E$4:$E$503,337))&amp;") – "&amp;IF(LEN(INDEX('Providers'!$A$4:$A$503,337))=0,"",INDEX('Providers'!$A$4:$A$503,337))</f>
        <v/>
      </c>
      <c r="E340">
        <f>IF(ISNUMBER(INDEX('Providers'!$G$4:$G$503,337)),TEXT(INDEX('Providers'!$G$4:$G$503,337),"yyyy-mm-dd"),"")</f>
        <v/>
      </c>
      <c r="F340">
        <f>"License"</f>
        <v/>
      </c>
      <c r="G340">
        <f>""</f>
        <v/>
      </c>
      <c r="H340">
        <f>"High"</f>
        <v/>
      </c>
      <c r="I340">
        <f>TRIM(IF(LEN(IF(LEN(INDEX('Providers'!$F$4:$F$503,337))=0,"",INDEX('Providers'!$F$4:$F$503,337)))=0,"","License no.: "&amp;IF(LEN(INDEX('Providers'!$F$4:$F$503,337))=0,"",INDEX('Providers'!$F$4:$F$503,337))&amp;". ")&amp;IF(LEN(IF(LEN(INDEX('Providers'!$C$4:$C$503,337))=0,"",INDEX('Providers'!$C$4:$C$503,337)))=0,"","NPI: "&amp;IF(LEN(INDEX('Providers'!$C$4:$C$503,337))=0,"",INDEX('Providers'!$C$4:$C$503,337))&amp;". ")&amp;IF(LEN(IF(LEN(INDEX('Providers'!$D$4:$D$503,337))=0,"",INDEX('Providers'!$D$4:$D$503,337)))=0,"","Specialty: "&amp;IF(LEN(INDEX('Providers'!$D$4:$D$503,337))=0,"",INDEX('Providers'!$D$4:$D$503,337))&amp;". ")&amp;IF(LEN(IF(LEN(INDEX('Providers'!$AK$4:$AK$503,337))=0,"",INDEX('Providers'!$AK$4:$AK$503,337)))=0,"",IF(LEN(INDEX('Providers'!$AK$4:$AK$503,337))=0,"",INDEX('Providers'!$AK$4:$AK$503,337))))</f>
        <v/>
      </c>
      <c r="J340">
        <f>IF(LEN(INDEX('Providers'!$AJ$4:$AJ$503,337))=0,"",INDEX('Providers'!$AJ$4:$AJ$503,337))</f>
        <v/>
      </c>
      <c r="K340">
        <f>IF(LEN(INDEX('Providers'!$AI$4:$AI$503,337))=0,"",INDEX('Providers'!$AI$4:$AI$503,337))</f>
        <v/>
      </c>
    </row>
    <row r="341">
      <c r="A341">
        <f>IF(AND(LEN('Providers'!A341)&gt;0,ISNUMBER('Providers'!G341)),1,0)</f>
        <v/>
      </c>
      <c r="B341">
        <f>B340+A341</f>
        <v/>
      </c>
      <c r="C341">
        <f>IF(338&gt;$B$4503,"",MATCH(338-0.5,$B$3:$B$4503,1))</f>
        <v/>
      </c>
      <c r="D341">
        <f>"State license ("&amp;IF(LEN(INDEX('Providers'!$E$4:$E$503,338))=0,"",INDEX('Providers'!$E$4:$E$503,338))&amp;") – "&amp;IF(LEN(INDEX('Providers'!$A$4:$A$503,338))=0,"",INDEX('Providers'!$A$4:$A$503,338))</f>
        <v/>
      </c>
      <c r="E341">
        <f>IF(ISNUMBER(INDEX('Providers'!$G$4:$G$503,338)),TEXT(INDEX('Providers'!$G$4:$G$503,338),"yyyy-mm-dd"),"")</f>
        <v/>
      </c>
      <c r="F341">
        <f>"License"</f>
        <v/>
      </c>
      <c r="G341">
        <f>""</f>
        <v/>
      </c>
      <c r="H341">
        <f>"High"</f>
        <v/>
      </c>
      <c r="I341">
        <f>TRIM(IF(LEN(IF(LEN(INDEX('Providers'!$F$4:$F$503,338))=0,"",INDEX('Providers'!$F$4:$F$503,338)))=0,"","License no.: "&amp;IF(LEN(INDEX('Providers'!$F$4:$F$503,338))=0,"",INDEX('Providers'!$F$4:$F$503,338))&amp;". ")&amp;IF(LEN(IF(LEN(INDEX('Providers'!$C$4:$C$503,338))=0,"",INDEX('Providers'!$C$4:$C$503,338)))=0,"","NPI: "&amp;IF(LEN(INDEX('Providers'!$C$4:$C$503,338))=0,"",INDEX('Providers'!$C$4:$C$503,338))&amp;". ")&amp;IF(LEN(IF(LEN(INDEX('Providers'!$D$4:$D$503,338))=0,"",INDEX('Providers'!$D$4:$D$503,338)))=0,"","Specialty: "&amp;IF(LEN(INDEX('Providers'!$D$4:$D$503,338))=0,"",INDEX('Providers'!$D$4:$D$503,338))&amp;". ")&amp;IF(LEN(IF(LEN(INDEX('Providers'!$AK$4:$AK$503,338))=0,"",INDEX('Providers'!$AK$4:$AK$503,338)))=0,"",IF(LEN(INDEX('Providers'!$AK$4:$AK$503,338))=0,"",INDEX('Providers'!$AK$4:$AK$503,338))))</f>
        <v/>
      </c>
      <c r="J341">
        <f>IF(LEN(INDEX('Providers'!$AJ$4:$AJ$503,338))=0,"",INDEX('Providers'!$AJ$4:$AJ$503,338))</f>
        <v/>
      </c>
      <c r="K341">
        <f>IF(LEN(INDEX('Providers'!$AI$4:$AI$503,338))=0,"",INDEX('Providers'!$AI$4:$AI$503,338))</f>
        <v/>
      </c>
    </row>
    <row r="342">
      <c r="A342">
        <f>IF(AND(LEN('Providers'!A342)&gt;0,ISNUMBER('Providers'!G342)),1,0)</f>
        <v/>
      </c>
      <c r="B342">
        <f>B341+A342</f>
        <v/>
      </c>
      <c r="C342">
        <f>IF(339&gt;$B$4503,"",MATCH(339-0.5,$B$3:$B$4503,1))</f>
        <v/>
      </c>
      <c r="D342">
        <f>"State license ("&amp;IF(LEN(INDEX('Providers'!$E$4:$E$503,339))=0,"",INDEX('Providers'!$E$4:$E$503,339))&amp;") – "&amp;IF(LEN(INDEX('Providers'!$A$4:$A$503,339))=0,"",INDEX('Providers'!$A$4:$A$503,339))</f>
        <v/>
      </c>
      <c r="E342">
        <f>IF(ISNUMBER(INDEX('Providers'!$G$4:$G$503,339)),TEXT(INDEX('Providers'!$G$4:$G$503,339),"yyyy-mm-dd"),"")</f>
        <v/>
      </c>
      <c r="F342">
        <f>"License"</f>
        <v/>
      </c>
      <c r="G342">
        <f>""</f>
        <v/>
      </c>
      <c r="H342">
        <f>"High"</f>
        <v/>
      </c>
      <c r="I342">
        <f>TRIM(IF(LEN(IF(LEN(INDEX('Providers'!$F$4:$F$503,339))=0,"",INDEX('Providers'!$F$4:$F$503,339)))=0,"","License no.: "&amp;IF(LEN(INDEX('Providers'!$F$4:$F$503,339))=0,"",INDEX('Providers'!$F$4:$F$503,339))&amp;". ")&amp;IF(LEN(IF(LEN(INDEX('Providers'!$C$4:$C$503,339))=0,"",INDEX('Providers'!$C$4:$C$503,339)))=0,"","NPI: "&amp;IF(LEN(INDEX('Providers'!$C$4:$C$503,339))=0,"",INDEX('Providers'!$C$4:$C$503,339))&amp;". ")&amp;IF(LEN(IF(LEN(INDEX('Providers'!$D$4:$D$503,339))=0,"",INDEX('Providers'!$D$4:$D$503,339)))=0,"","Specialty: "&amp;IF(LEN(INDEX('Providers'!$D$4:$D$503,339))=0,"",INDEX('Providers'!$D$4:$D$503,339))&amp;". ")&amp;IF(LEN(IF(LEN(INDEX('Providers'!$AK$4:$AK$503,339))=0,"",INDEX('Providers'!$AK$4:$AK$503,339)))=0,"",IF(LEN(INDEX('Providers'!$AK$4:$AK$503,339))=0,"",INDEX('Providers'!$AK$4:$AK$503,339))))</f>
        <v/>
      </c>
      <c r="J342">
        <f>IF(LEN(INDEX('Providers'!$AJ$4:$AJ$503,339))=0,"",INDEX('Providers'!$AJ$4:$AJ$503,339))</f>
        <v/>
      </c>
      <c r="K342">
        <f>IF(LEN(INDEX('Providers'!$AI$4:$AI$503,339))=0,"",INDEX('Providers'!$AI$4:$AI$503,339))</f>
        <v/>
      </c>
    </row>
    <row r="343">
      <c r="A343">
        <f>IF(AND(LEN('Providers'!A343)&gt;0,ISNUMBER('Providers'!G343)),1,0)</f>
        <v/>
      </c>
      <c r="B343">
        <f>B342+A343</f>
        <v/>
      </c>
      <c r="C343">
        <f>IF(340&gt;$B$4503,"",MATCH(340-0.5,$B$3:$B$4503,1))</f>
        <v/>
      </c>
      <c r="D343">
        <f>"State license ("&amp;IF(LEN(INDEX('Providers'!$E$4:$E$503,340))=0,"",INDEX('Providers'!$E$4:$E$503,340))&amp;") – "&amp;IF(LEN(INDEX('Providers'!$A$4:$A$503,340))=0,"",INDEX('Providers'!$A$4:$A$503,340))</f>
        <v/>
      </c>
      <c r="E343">
        <f>IF(ISNUMBER(INDEX('Providers'!$G$4:$G$503,340)),TEXT(INDEX('Providers'!$G$4:$G$503,340),"yyyy-mm-dd"),"")</f>
        <v/>
      </c>
      <c r="F343">
        <f>"License"</f>
        <v/>
      </c>
      <c r="G343">
        <f>""</f>
        <v/>
      </c>
      <c r="H343">
        <f>"High"</f>
        <v/>
      </c>
      <c r="I343">
        <f>TRIM(IF(LEN(IF(LEN(INDEX('Providers'!$F$4:$F$503,340))=0,"",INDEX('Providers'!$F$4:$F$503,340)))=0,"","License no.: "&amp;IF(LEN(INDEX('Providers'!$F$4:$F$503,340))=0,"",INDEX('Providers'!$F$4:$F$503,340))&amp;". ")&amp;IF(LEN(IF(LEN(INDEX('Providers'!$C$4:$C$503,340))=0,"",INDEX('Providers'!$C$4:$C$503,340)))=0,"","NPI: "&amp;IF(LEN(INDEX('Providers'!$C$4:$C$503,340))=0,"",INDEX('Providers'!$C$4:$C$503,340))&amp;". ")&amp;IF(LEN(IF(LEN(INDEX('Providers'!$D$4:$D$503,340))=0,"",INDEX('Providers'!$D$4:$D$503,340)))=0,"","Specialty: "&amp;IF(LEN(INDEX('Providers'!$D$4:$D$503,340))=0,"",INDEX('Providers'!$D$4:$D$503,340))&amp;". ")&amp;IF(LEN(IF(LEN(INDEX('Providers'!$AK$4:$AK$503,340))=0,"",INDEX('Providers'!$AK$4:$AK$503,340)))=0,"",IF(LEN(INDEX('Providers'!$AK$4:$AK$503,340))=0,"",INDEX('Providers'!$AK$4:$AK$503,340))))</f>
        <v/>
      </c>
      <c r="J343">
        <f>IF(LEN(INDEX('Providers'!$AJ$4:$AJ$503,340))=0,"",INDEX('Providers'!$AJ$4:$AJ$503,340))</f>
        <v/>
      </c>
      <c r="K343">
        <f>IF(LEN(INDEX('Providers'!$AI$4:$AI$503,340))=0,"",INDEX('Providers'!$AI$4:$AI$503,340))</f>
        <v/>
      </c>
    </row>
    <row r="344">
      <c r="A344">
        <f>IF(AND(LEN('Providers'!A344)&gt;0,ISNUMBER('Providers'!G344)),1,0)</f>
        <v/>
      </c>
      <c r="B344">
        <f>B343+A344</f>
        <v/>
      </c>
      <c r="C344">
        <f>IF(341&gt;$B$4503,"",MATCH(341-0.5,$B$3:$B$4503,1))</f>
        <v/>
      </c>
      <c r="D344">
        <f>"State license ("&amp;IF(LEN(INDEX('Providers'!$E$4:$E$503,341))=0,"",INDEX('Providers'!$E$4:$E$503,341))&amp;") – "&amp;IF(LEN(INDEX('Providers'!$A$4:$A$503,341))=0,"",INDEX('Providers'!$A$4:$A$503,341))</f>
        <v/>
      </c>
      <c r="E344">
        <f>IF(ISNUMBER(INDEX('Providers'!$G$4:$G$503,341)),TEXT(INDEX('Providers'!$G$4:$G$503,341),"yyyy-mm-dd"),"")</f>
        <v/>
      </c>
      <c r="F344">
        <f>"License"</f>
        <v/>
      </c>
      <c r="G344">
        <f>""</f>
        <v/>
      </c>
      <c r="H344">
        <f>"High"</f>
        <v/>
      </c>
      <c r="I344">
        <f>TRIM(IF(LEN(IF(LEN(INDEX('Providers'!$F$4:$F$503,341))=0,"",INDEX('Providers'!$F$4:$F$503,341)))=0,"","License no.: "&amp;IF(LEN(INDEX('Providers'!$F$4:$F$503,341))=0,"",INDEX('Providers'!$F$4:$F$503,341))&amp;". ")&amp;IF(LEN(IF(LEN(INDEX('Providers'!$C$4:$C$503,341))=0,"",INDEX('Providers'!$C$4:$C$503,341)))=0,"","NPI: "&amp;IF(LEN(INDEX('Providers'!$C$4:$C$503,341))=0,"",INDEX('Providers'!$C$4:$C$503,341))&amp;". ")&amp;IF(LEN(IF(LEN(INDEX('Providers'!$D$4:$D$503,341))=0,"",INDEX('Providers'!$D$4:$D$503,341)))=0,"","Specialty: "&amp;IF(LEN(INDEX('Providers'!$D$4:$D$503,341))=0,"",INDEX('Providers'!$D$4:$D$503,341))&amp;". ")&amp;IF(LEN(IF(LEN(INDEX('Providers'!$AK$4:$AK$503,341))=0,"",INDEX('Providers'!$AK$4:$AK$503,341)))=0,"",IF(LEN(INDEX('Providers'!$AK$4:$AK$503,341))=0,"",INDEX('Providers'!$AK$4:$AK$503,341))))</f>
        <v/>
      </c>
      <c r="J344">
        <f>IF(LEN(INDEX('Providers'!$AJ$4:$AJ$503,341))=0,"",INDEX('Providers'!$AJ$4:$AJ$503,341))</f>
        <v/>
      </c>
      <c r="K344">
        <f>IF(LEN(INDEX('Providers'!$AI$4:$AI$503,341))=0,"",INDEX('Providers'!$AI$4:$AI$503,341))</f>
        <v/>
      </c>
    </row>
    <row r="345">
      <c r="A345">
        <f>IF(AND(LEN('Providers'!A345)&gt;0,ISNUMBER('Providers'!G345)),1,0)</f>
        <v/>
      </c>
      <c r="B345">
        <f>B344+A345</f>
        <v/>
      </c>
      <c r="C345">
        <f>IF(342&gt;$B$4503,"",MATCH(342-0.5,$B$3:$B$4503,1))</f>
        <v/>
      </c>
      <c r="D345">
        <f>"State license ("&amp;IF(LEN(INDEX('Providers'!$E$4:$E$503,342))=0,"",INDEX('Providers'!$E$4:$E$503,342))&amp;") – "&amp;IF(LEN(INDEX('Providers'!$A$4:$A$503,342))=0,"",INDEX('Providers'!$A$4:$A$503,342))</f>
        <v/>
      </c>
      <c r="E345">
        <f>IF(ISNUMBER(INDEX('Providers'!$G$4:$G$503,342)),TEXT(INDEX('Providers'!$G$4:$G$503,342),"yyyy-mm-dd"),"")</f>
        <v/>
      </c>
      <c r="F345">
        <f>"License"</f>
        <v/>
      </c>
      <c r="G345">
        <f>""</f>
        <v/>
      </c>
      <c r="H345">
        <f>"High"</f>
        <v/>
      </c>
      <c r="I345">
        <f>TRIM(IF(LEN(IF(LEN(INDEX('Providers'!$F$4:$F$503,342))=0,"",INDEX('Providers'!$F$4:$F$503,342)))=0,"","License no.: "&amp;IF(LEN(INDEX('Providers'!$F$4:$F$503,342))=0,"",INDEX('Providers'!$F$4:$F$503,342))&amp;". ")&amp;IF(LEN(IF(LEN(INDEX('Providers'!$C$4:$C$503,342))=0,"",INDEX('Providers'!$C$4:$C$503,342)))=0,"","NPI: "&amp;IF(LEN(INDEX('Providers'!$C$4:$C$503,342))=0,"",INDEX('Providers'!$C$4:$C$503,342))&amp;". ")&amp;IF(LEN(IF(LEN(INDEX('Providers'!$D$4:$D$503,342))=0,"",INDEX('Providers'!$D$4:$D$503,342)))=0,"","Specialty: "&amp;IF(LEN(INDEX('Providers'!$D$4:$D$503,342))=0,"",INDEX('Providers'!$D$4:$D$503,342))&amp;". ")&amp;IF(LEN(IF(LEN(INDEX('Providers'!$AK$4:$AK$503,342))=0,"",INDEX('Providers'!$AK$4:$AK$503,342)))=0,"",IF(LEN(INDEX('Providers'!$AK$4:$AK$503,342))=0,"",INDEX('Providers'!$AK$4:$AK$503,342))))</f>
        <v/>
      </c>
      <c r="J345">
        <f>IF(LEN(INDEX('Providers'!$AJ$4:$AJ$503,342))=0,"",INDEX('Providers'!$AJ$4:$AJ$503,342))</f>
        <v/>
      </c>
      <c r="K345">
        <f>IF(LEN(INDEX('Providers'!$AI$4:$AI$503,342))=0,"",INDEX('Providers'!$AI$4:$AI$503,342))</f>
        <v/>
      </c>
    </row>
    <row r="346">
      <c r="A346">
        <f>IF(AND(LEN('Providers'!A346)&gt;0,ISNUMBER('Providers'!G346)),1,0)</f>
        <v/>
      </c>
      <c r="B346">
        <f>B345+A346</f>
        <v/>
      </c>
      <c r="C346">
        <f>IF(343&gt;$B$4503,"",MATCH(343-0.5,$B$3:$B$4503,1))</f>
        <v/>
      </c>
      <c r="D346">
        <f>"State license ("&amp;IF(LEN(INDEX('Providers'!$E$4:$E$503,343))=0,"",INDEX('Providers'!$E$4:$E$503,343))&amp;") – "&amp;IF(LEN(INDEX('Providers'!$A$4:$A$503,343))=0,"",INDEX('Providers'!$A$4:$A$503,343))</f>
        <v/>
      </c>
      <c r="E346">
        <f>IF(ISNUMBER(INDEX('Providers'!$G$4:$G$503,343)),TEXT(INDEX('Providers'!$G$4:$G$503,343),"yyyy-mm-dd"),"")</f>
        <v/>
      </c>
      <c r="F346">
        <f>"License"</f>
        <v/>
      </c>
      <c r="G346">
        <f>""</f>
        <v/>
      </c>
      <c r="H346">
        <f>"High"</f>
        <v/>
      </c>
      <c r="I346">
        <f>TRIM(IF(LEN(IF(LEN(INDEX('Providers'!$F$4:$F$503,343))=0,"",INDEX('Providers'!$F$4:$F$503,343)))=0,"","License no.: "&amp;IF(LEN(INDEX('Providers'!$F$4:$F$503,343))=0,"",INDEX('Providers'!$F$4:$F$503,343))&amp;". ")&amp;IF(LEN(IF(LEN(INDEX('Providers'!$C$4:$C$503,343))=0,"",INDEX('Providers'!$C$4:$C$503,343)))=0,"","NPI: "&amp;IF(LEN(INDEX('Providers'!$C$4:$C$503,343))=0,"",INDEX('Providers'!$C$4:$C$503,343))&amp;". ")&amp;IF(LEN(IF(LEN(INDEX('Providers'!$D$4:$D$503,343))=0,"",INDEX('Providers'!$D$4:$D$503,343)))=0,"","Specialty: "&amp;IF(LEN(INDEX('Providers'!$D$4:$D$503,343))=0,"",INDEX('Providers'!$D$4:$D$503,343))&amp;". ")&amp;IF(LEN(IF(LEN(INDEX('Providers'!$AK$4:$AK$503,343))=0,"",INDEX('Providers'!$AK$4:$AK$503,343)))=0,"",IF(LEN(INDEX('Providers'!$AK$4:$AK$503,343))=0,"",INDEX('Providers'!$AK$4:$AK$503,343))))</f>
        <v/>
      </c>
      <c r="J346">
        <f>IF(LEN(INDEX('Providers'!$AJ$4:$AJ$503,343))=0,"",INDEX('Providers'!$AJ$4:$AJ$503,343))</f>
        <v/>
      </c>
      <c r="K346">
        <f>IF(LEN(INDEX('Providers'!$AI$4:$AI$503,343))=0,"",INDEX('Providers'!$AI$4:$AI$503,343))</f>
        <v/>
      </c>
    </row>
    <row r="347">
      <c r="A347">
        <f>IF(AND(LEN('Providers'!A347)&gt;0,ISNUMBER('Providers'!G347)),1,0)</f>
        <v/>
      </c>
      <c r="B347">
        <f>B346+A347</f>
        <v/>
      </c>
      <c r="C347">
        <f>IF(344&gt;$B$4503,"",MATCH(344-0.5,$B$3:$B$4503,1))</f>
        <v/>
      </c>
      <c r="D347">
        <f>"State license ("&amp;IF(LEN(INDEX('Providers'!$E$4:$E$503,344))=0,"",INDEX('Providers'!$E$4:$E$503,344))&amp;") – "&amp;IF(LEN(INDEX('Providers'!$A$4:$A$503,344))=0,"",INDEX('Providers'!$A$4:$A$503,344))</f>
        <v/>
      </c>
      <c r="E347">
        <f>IF(ISNUMBER(INDEX('Providers'!$G$4:$G$503,344)),TEXT(INDEX('Providers'!$G$4:$G$503,344),"yyyy-mm-dd"),"")</f>
        <v/>
      </c>
      <c r="F347">
        <f>"License"</f>
        <v/>
      </c>
      <c r="G347">
        <f>""</f>
        <v/>
      </c>
      <c r="H347">
        <f>"High"</f>
        <v/>
      </c>
      <c r="I347">
        <f>TRIM(IF(LEN(IF(LEN(INDEX('Providers'!$F$4:$F$503,344))=0,"",INDEX('Providers'!$F$4:$F$503,344)))=0,"","License no.: "&amp;IF(LEN(INDEX('Providers'!$F$4:$F$503,344))=0,"",INDEX('Providers'!$F$4:$F$503,344))&amp;". ")&amp;IF(LEN(IF(LEN(INDEX('Providers'!$C$4:$C$503,344))=0,"",INDEX('Providers'!$C$4:$C$503,344)))=0,"","NPI: "&amp;IF(LEN(INDEX('Providers'!$C$4:$C$503,344))=0,"",INDEX('Providers'!$C$4:$C$503,344))&amp;". ")&amp;IF(LEN(IF(LEN(INDEX('Providers'!$D$4:$D$503,344))=0,"",INDEX('Providers'!$D$4:$D$503,344)))=0,"","Specialty: "&amp;IF(LEN(INDEX('Providers'!$D$4:$D$503,344))=0,"",INDEX('Providers'!$D$4:$D$503,344))&amp;". ")&amp;IF(LEN(IF(LEN(INDEX('Providers'!$AK$4:$AK$503,344))=0,"",INDEX('Providers'!$AK$4:$AK$503,344)))=0,"",IF(LEN(INDEX('Providers'!$AK$4:$AK$503,344))=0,"",INDEX('Providers'!$AK$4:$AK$503,344))))</f>
        <v/>
      </c>
      <c r="J347">
        <f>IF(LEN(INDEX('Providers'!$AJ$4:$AJ$503,344))=0,"",INDEX('Providers'!$AJ$4:$AJ$503,344))</f>
        <v/>
      </c>
      <c r="K347">
        <f>IF(LEN(INDEX('Providers'!$AI$4:$AI$503,344))=0,"",INDEX('Providers'!$AI$4:$AI$503,344))</f>
        <v/>
      </c>
    </row>
    <row r="348">
      <c r="A348">
        <f>IF(AND(LEN('Providers'!A348)&gt;0,ISNUMBER('Providers'!G348)),1,0)</f>
        <v/>
      </c>
      <c r="B348">
        <f>B347+A348</f>
        <v/>
      </c>
      <c r="C348">
        <f>IF(345&gt;$B$4503,"",MATCH(345-0.5,$B$3:$B$4503,1))</f>
        <v/>
      </c>
      <c r="D348">
        <f>"State license ("&amp;IF(LEN(INDEX('Providers'!$E$4:$E$503,345))=0,"",INDEX('Providers'!$E$4:$E$503,345))&amp;") – "&amp;IF(LEN(INDEX('Providers'!$A$4:$A$503,345))=0,"",INDEX('Providers'!$A$4:$A$503,345))</f>
        <v/>
      </c>
      <c r="E348">
        <f>IF(ISNUMBER(INDEX('Providers'!$G$4:$G$503,345)),TEXT(INDEX('Providers'!$G$4:$G$503,345),"yyyy-mm-dd"),"")</f>
        <v/>
      </c>
      <c r="F348">
        <f>"License"</f>
        <v/>
      </c>
      <c r="G348">
        <f>""</f>
        <v/>
      </c>
      <c r="H348">
        <f>"High"</f>
        <v/>
      </c>
      <c r="I348">
        <f>TRIM(IF(LEN(IF(LEN(INDEX('Providers'!$F$4:$F$503,345))=0,"",INDEX('Providers'!$F$4:$F$503,345)))=0,"","License no.: "&amp;IF(LEN(INDEX('Providers'!$F$4:$F$503,345))=0,"",INDEX('Providers'!$F$4:$F$503,345))&amp;". ")&amp;IF(LEN(IF(LEN(INDEX('Providers'!$C$4:$C$503,345))=0,"",INDEX('Providers'!$C$4:$C$503,345)))=0,"","NPI: "&amp;IF(LEN(INDEX('Providers'!$C$4:$C$503,345))=0,"",INDEX('Providers'!$C$4:$C$503,345))&amp;". ")&amp;IF(LEN(IF(LEN(INDEX('Providers'!$D$4:$D$503,345))=0,"",INDEX('Providers'!$D$4:$D$503,345)))=0,"","Specialty: "&amp;IF(LEN(INDEX('Providers'!$D$4:$D$503,345))=0,"",INDEX('Providers'!$D$4:$D$503,345))&amp;". ")&amp;IF(LEN(IF(LEN(INDEX('Providers'!$AK$4:$AK$503,345))=0,"",INDEX('Providers'!$AK$4:$AK$503,345)))=0,"",IF(LEN(INDEX('Providers'!$AK$4:$AK$503,345))=0,"",INDEX('Providers'!$AK$4:$AK$503,345))))</f>
        <v/>
      </c>
      <c r="J348">
        <f>IF(LEN(INDEX('Providers'!$AJ$4:$AJ$503,345))=0,"",INDEX('Providers'!$AJ$4:$AJ$503,345))</f>
        <v/>
      </c>
      <c r="K348">
        <f>IF(LEN(INDEX('Providers'!$AI$4:$AI$503,345))=0,"",INDEX('Providers'!$AI$4:$AI$503,345))</f>
        <v/>
      </c>
    </row>
    <row r="349">
      <c r="A349">
        <f>IF(AND(LEN('Providers'!A349)&gt;0,ISNUMBER('Providers'!G349)),1,0)</f>
        <v/>
      </c>
      <c r="B349">
        <f>B348+A349</f>
        <v/>
      </c>
      <c r="C349">
        <f>IF(346&gt;$B$4503,"",MATCH(346-0.5,$B$3:$B$4503,1))</f>
        <v/>
      </c>
      <c r="D349">
        <f>"State license ("&amp;IF(LEN(INDEX('Providers'!$E$4:$E$503,346))=0,"",INDEX('Providers'!$E$4:$E$503,346))&amp;") – "&amp;IF(LEN(INDEX('Providers'!$A$4:$A$503,346))=0,"",INDEX('Providers'!$A$4:$A$503,346))</f>
        <v/>
      </c>
      <c r="E349">
        <f>IF(ISNUMBER(INDEX('Providers'!$G$4:$G$503,346)),TEXT(INDEX('Providers'!$G$4:$G$503,346),"yyyy-mm-dd"),"")</f>
        <v/>
      </c>
      <c r="F349">
        <f>"License"</f>
        <v/>
      </c>
      <c r="G349">
        <f>""</f>
        <v/>
      </c>
      <c r="H349">
        <f>"High"</f>
        <v/>
      </c>
      <c r="I349">
        <f>TRIM(IF(LEN(IF(LEN(INDEX('Providers'!$F$4:$F$503,346))=0,"",INDEX('Providers'!$F$4:$F$503,346)))=0,"","License no.: "&amp;IF(LEN(INDEX('Providers'!$F$4:$F$503,346))=0,"",INDEX('Providers'!$F$4:$F$503,346))&amp;". ")&amp;IF(LEN(IF(LEN(INDEX('Providers'!$C$4:$C$503,346))=0,"",INDEX('Providers'!$C$4:$C$503,346)))=0,"","NPI: "&amp;IF(LEN(INDEX('Providers'!$C$4:$C$503,346))=0,"",INDEX('Providers'!$C$4:$C$503,346))&amp;". ")&amp;IF(LEN(IF(LEN(INDEX('Providers'!$D$4:$D$503,346))=0,"",INDEX('Providers'!$D$4:$D$503,346)))=0,"","Specialty: "&amp;IF(LEN(INDEX('Providers'!$D$4:$D$503,346))=0,"",INDEX('Providers'!$D$4:$D$503,346))&amp;". ")&amp;IF(LEN(IF(LEN(INDEX('Providers'!$AK$4:$AK$503,346))=0,"",INDEX('Providers'!$AK$4:$AK$503,346)))=0,"",IF(LEN(INDEX('Providers'!$AK$4:$AK$503,346))=0,"",INDEX('Providers'!$AK$4:$AK$503,346))))</f>
        <v/>
      </c>
      <c r="J349">
        <f>IF(LEN(INDEX('Providers'!$AJ$4:$AJ$503,346))=0,"",INDEX('Providers'!$AJ$4:$AJ$503,346))</f>
        <v/>
      </c>
      <c r="K349">
        <f>IF(LEN(INDEX('Providers'!$AI$4:$AI$503,346))=0,"",INDEX('Providers'!$AI$4:$AI$503,346))</f>
        <v/>
      </c>
    </row>
    <row r="350">
      <c r="A350">
        <f>IF(AND(LEN('Providers'!A350)&gt;0,ISNUMBER('Providers'!G350)),1,0)</f>
        <v/>
      </c>
      <c r="B350">
        <f>B349+A350</f>
        <v/>
      </c>
      <c r="C350">
        <f>IF(347&gt;$B$4503,"",MATCH(347-0.5,$B$3:$B$4503,1))</f>
        <v/>
      </c>
      <c r="D350">
        <f>"State license ("&amp;IF(LEN(INDEX('Providers'!$E$4:$E$503,347))=0,"",INDEX('Providers'!$E$4:$E$503,347))&amp;") – "&amp;IF(LEN(INDEX('Providers'!$A$4:$A$503,347))=0,"",INDEX('Providers'!$A$4:$A$503,347))</f>
        <v/>
      </c>
      <c r="E350">
        <f>IF(ISNUMBER(INDEX('Providers'!$G$4:$G$503,347)),TEXT(INDEX('Providers'!$G$4:$G$503,347),"yyyy-mm-dd"),"")</f>
        <v/>
      </c>
      <c r="F350">
        <f>"License"</f>
        <v/>
      </c>
      <c r="G350">
        <f>""</f>
        <v/>
      </c>
      <c r="H350">
        <f>"High"</f>
        <v/>
      </c>
      <c r="I350">
        <f>TRIM(IF(LEN(IF(LEN(INDEX('Providers'!$F$4:$F$503,347))=0,"",INDEX('Providers'!$F$4:$F$503,347)))=0,"","License no.: "&amp;IF(LEN(INDEX('Providers'!$F$4:$F$503,347))=0,"",INDEX('Providers'!$F$4:$F$503,347))&amp;". ")&amp;IF(LEN(IF(LEN(INDEX('Providers'!$C$4:$C$503,347))=0,"",INDEX('Providers'!$C$4:$C$503,347)))=0,"","NPI: "&amp;IF(LEN(INDEX('Providers'!$C$4:$C$503,347))=0,"",INDEX('Providers'!$C$4:$C$503,347))&amp;". ")&amp;IF(LEN(IF(LEN(INDEX('Providers'!$D$4:$D$503,347))=0,"",INDEX('Providers'!$D$4:$D$503,347)))=0,"","Specialty: "&amp;IF(LEN(INDEX('Providers'!$D$4:$D$503,347))=0,"",INDEX('Providers'!$D$4:$D$503,347))&amp;". ")&amp;IF(LEN(IF(LEN(INDEX('Providers'!$AK$4:$AK$503,347))=0,"",INDEX('Providers'!$AK$4:$AK$503,347)))=0,"",IF(LEN(INDEX('Providers'!$AK$4:$AK$503,347))=0,"",INDEX('Providers'!$AK$4:$AK$503,347))))</f>
        <v/>
      </c>
      <c r="J350">
        <f>IF(LEN(INDEX('Providers'!$AJ$4:$AJ$503,347))=0,"",INDEX('Providers'!$AJ$4:$AJ$503,347))</f>
        <v/>
      </c>
      <c r="K350">
        <f>IF(LEN(INDEX('Providers'!$AI$4:$AI$503,347))=0,"",INDEX('Providers'!$AI$4:$AI$503,347))</f>
        <v/>
      </c>
    </row>
    <row r="351">
      <c r="A351">
        <f>IF(AND(LEN('Providers'!A351)&gt;0,ISNUMBER('Providers'!G351)),1,0)</f>
        <v/>
      </c>
      <c r="B351">
        <f>B350+A351</f>
        <v/>
      </c>
      <c r="C351">
        <f>IF(348&gt;$B$4503,"",MATCH(348-0.5,$B$3:$B$4503,1))</f>
        <v/>
      </c>
      <c r="D351">
        <f>"State license ("&amp;IF(LEN(INDEX('Providers'!$E$4:$E$503,348))=0,"",INDEX('Providers'!$E$4:$E$503,348))&amp;") – "&amp;IF(LEN(INDEX('Providers'!$A$4:$A$503,348))=0,"",INDEX('Providers'!$A$4:$A$503,348))</f>
        <v/>
      </c>
      <c r="E351">
        <f>IF(ISNUMBER(INDEX('Providers'!$G$4:$G$503,348)),TEXT(INDEX('Providers'!$G$4:$G$503,348),"yyyy-mm-dd"),"")</f>
        <v/>
      </c>
      <c r="F351">
        <f>"License"</f>
        <v/>
      </c>
      <c r="G351">
        <f>""</f>
        <v/>
      </c>
      <c r="H351">
        <f>"High"</f>
        <v/>
      </c>
      <c r="I351">
        <f>TRIM(IF(LEN(IF(LEN(INDEX('Providers'!$F$4:$F$503,348))=0,"",INDEX('Providers'!$F$4:$F$503,348)))=0,"","License no.: "&amp;IF(LEN(INDEX('Providers'!$F$4:$F$503,348))=0,"",INDEX('Providers'!$F$4:$F$503,348))&amp;". ")&amp;IF(LEN(IF(LEN(INDEX('Providers'!$C$4:$C$503,348))=0,"",INDEX('Providers'!$C$4:$C$503,348)))=0,"","NPI: "&amp;IF(LEN(INDEX('Providers'!$C$4:$C$503,348))=0,"",INDEX('Providers'!$C$4:$C$503,348))&amp;". ")&amp;IF(LEN(IF(LEN(INDEX('Providers'!$D$4:$D$503,348))=0,"",INDEX('Providers'!$D$4:$D$503,348)))=0,"","Specialty: "&amp;IF(LEN(INDEX('Providers'!$D$4:$D$503,348))=0,"",INDEX('Providers'!$D$4:$D$503,348))&amp;". ")&amp;IF(LEN(IF(LEN(INDEX('Providers'!$AK$4:$AK$503,348))=0,"",INDEX('Providers'!$AK$4:$AK$503,348)))=0,"",IF(LEN(INDEX('Providers'!$AK$4:$AK$503,348))=0,"",INDEX('Providers'!$AK$4:$AK$503,348))))</f>
        <v/>
      </c>
      <c r="J351">
        <f>IF(LEN(INDEX('Providers'!$AJ$4:$AJ$503,348))=0,"",INDEX('Providers'!$AJ$4:$AJ$503,348))</f>
        <v/>
      </c>
      <c r="K351">
        <f>IF(LEN(INDEX('Providers'!$AI$4:$AI$503,348))=0,"",INDEX('Providers'!$AI$4:$AI$503,348))</f>
        <v/>
      </c>
    </row>
    <row r="352">
      <c r="A352">
        <f>IF(AND(LEN('Providers'!A352)&gt;0,ISNUMBER('Providers'!G352)),1,0)</f>
        <v/>
      </c>
      <c r="B352">
        <f>B351+A352</f>
        <v/>
      </c>
      <c r="C352">
        <f>IF(349&gt;$B$4503,"",MATCH(349-0.5,$B$3:$B$4503,1))</f>
        <v/>
      </c>
      <c r="D352">
        <f>"State license ("&amp;IF(LEN(INDEX('Providers'!$E$4:$E$503,349))=0,"",INDEX('Providers'!$E$4:$E$503,349))&amp;") – "&amp;IF(LEN(INDEX('Providers'!$A$4:$A$503,349))=0,"",INDEX('Providers'!$A$4:$A$503,349))</f>
        <v/>
      </c>
      <c r="E352">
        <f>IF(ISNUMBER(INDEX('Providers'!$G$4:$G$503,349)),TEXT(INDEX('Providers'!$G$4:$G$503,349),"yyyy-mm-dd"),"")</f>
        <v/>
      </c>
      <c r="F352">
        <f>"License"</f>
        <v/>
      </c>
      <c r="G352">
        <f>""</f>
        <v/>
      </c>
      <c r="H352">
        <f>"High"</f>
        <v/>
      </c>
      <c r="I352">
        <f>TRIM(IF(LEN(IF(LEN(INDEX('Providers'!$F$4:$F$503,349))=0,"",INDEX('Providers'!$F$4:$F$503,349)))=0,"","License no.: "&amp;IF(LEN(INDEX('Providers'!$F$4:$F$503,349))=0,"",INDEX('Providers'!$F$4:$F$503,349))&amp;". ")&amp;IF(LEN(IF(LEN(INDEX('Providers'!$C$4:$C$503,349))=0,"",INDEX('Providers'!$C$4:$C$503,349)))=0,"","NPI: "&amp;IF(LEN(INDEX('Providers'!$C$4:$C$503,349))=0,"",INDEX('Providers'!$C$4:$C$503,349))&amp;". ")&amp;IF(LEN(IF(LEN(INDEX('Providers'!$D$4:$D$503,349))=0,"",INDEX('Providers'!$D$4:$D$503,349)))=0,"","Specialty: "&amp;IF(LEN(INDEX('Providers'!$D$4:$D$503,349))=0,"",INDEX('Providers'!$D$4:$D$503,349))&amp;". ")&amp;IF(LEN(IF(LEN(INDEX('Providers'!$AK$4:$AK$503,349))=0,"",INDEX('Providers'!$AK$4:$AK$503,349)))=0,"",IF(LEN(INDEX('Providers'!$AK$4:$AK$503,349))=0,"",INDEX('Providers'!$AK$4:$AK$503,349))))</f>
        <v/>
      </c>
      <c r="J352">
        <f>IF(LEN(INDEX('Providers'!$AJ$4:$AJ$503,349))=0,"",INDEX('Providers'!$AJ$4:$AJ$503,349))</f>
        <v/>
      </c>
      <c r="K352">
        <f>IF(LEN(INDEX('Providers'!$AI$4:$AI$503,349))=0,"",INDEX('Providers'!$AI$4:$AI$503,349))</f>
        <v/>
      </c>
    </row>
    <row r="353">
      <c r="A353">
        <f>IF(AND(LEN('Providers'!A353)&gt;0,ISNUMBER('Providers'!G353)),1,0)</f>
        <v/>
      </c>
      <c r="B353">
        <f>B352+A353</f>
        <v/>
      </c>
      <c r="C353">
        <f>IF(350&gt;$B$4503,"",MATCH(350-0.5,$B$3:$B$4503,1))</f>
        <v/>
      </c>
      <c r="D353">
        <f>"State license ("&amp;IF(LEN(INDEX('Providers'!$E$4:$E$503,350))=0,"",INDEX('Providers'!$E$4:$E$503,350))&amp;") – "&amp;IF(LEN(INDEX('Providers'!$A$4:$A$503,350))=0,"",INDEX('Providers'!$A$4:$A$503,350))</f>
        <v/>
      </c>
      <c r="E353">
        <f>IF(ISNUMBER(INDEX('Providers'!$G$4:$G$503,350)),TEXT(INDEX('Providers'!$G$4:$G$503,350),"yyyy-mm-dd"),"")</f>
        <v/>
      </c>
      <c r="F353">
        <f>"License"</f>
        <v/>
      </c>
      <c r="G353">
        <f>""</f>
        <v/>
      </c>
      <c r="H353">
        <f>"High"</f>
        <v/>
      </c>
      <c r="I353">
        <f>TRIM(IF(LEN(IF(LEN(INDEX('Providers'!$F$4:$F$503,350))=0,"",INDEX('Providers'!$F$4:$F$503,350)))=0,"","License no.: "&amp;IF(LEN(INDEX('Providers'!$F$4:$F$503,350))=0,"",INDEX('Providers'!$F$4:$F$503,350))&amp;". ")&amp;IF(LEN(IF(LEN(INDEX('Providers'!$C$4:$C$503,350))=0,"",INDEX('Providers'!$C$4:$C$503,350)))=0,"","NPI: "&amp;IF(LEN(INDEX('Providers'!$C$4:$C$503,350))=0,"",INDEX('Providers'!$C$4:$C$503,350))&amp;". ")&amp;IF(LEN(IF(LEN(INDEX('Providers'!$D$4:$D$503,350))=0,"",INDEX('Providers'!$D$4:$D$503,350)))=0,"","Specialty: "&amp;IF(LEN(INDEX('Providers'!$D$4:$D$503,350))=0,"",INDEX('Providers'!$D$4:$D$503,350))&amp;". ")&amp;IF(LEN(IF(LEN(INDEX('Providers'!$AK$4:$AK$503,350))=0,"",INDEX('Providers'!$AK$4:$AK$503,350)))=0,"",IF(LEN(INDEX('Providers'!$AK$4:$AK$503,350))=0,"",INDEX('Providers'!$AK$4:$AK$503,350))))</f>
        <v/>
      </c>
      <c r="J353">
        <f>IF(LEN(INDEX('Providers'!$AJ$4:$AJ$503,350))=0,"",INDEX('Providers'!$AJ$4:$AJ$503,350))</f>
        <v/>
      </c>
      <c r="K353">
        <f>IF(LEN(INDEX('Providers'!$AI$4:$AI$503,350))=0,"",INDEX('Providers'!$AI$4:$AI$503,350))</f>
        <v/>
      </c>
    </row>
    <row r="354">
      <c r="A354">
        <f>IF(AND(LEN('Providers'!A354)&gt;0,ISNUMBER('Providers'!G354)),1,0)</f>
        <v/>
      </c>
      <c r="B354">
        <f>B353+A354</f>
        <v/>
      </c>
      <c r="C354">
        <f>IF(351&gt;$B$4503,"",MATCH(351-0.5,$B$3:$B$4503,1))</f>
        <v/>
      </c>
      <c r="D354">
        <f>"State license ("&amp;IF(LEN(INDEX('Providers'!$E$4:$E$503,351))=0,"",INDEX('Providers'!$E$4:$E$503,351))&amp;") – "&amp;IF(LEN(INDEX('Providers'!$A$4:$A$503,351))=0,"",INDEX('Providers'!$A$4:$A$503,351))</f>
        <v/>
      </c>
      <c r="E354">
        <f>IF(ISNUMBER(INDEX('Providers'!$G$4:$G$503,351)),TEXT(INDEX('Providers'!$G$4:$G$503,351),"yyyy-mm-dd"),"")</f>
        <v/>
      </c>
      <c r="F354">
        <f>"License"</f>
        <v/>
      </c>
      <c r="G354">
        <f>""</f>
        <v/>
      </c>
      <c r="H354">
        <f>"High"</f>
        <v/>
      </c>
      <c r="I354">
        <f>TRIM(IF(LEN(IF(LEN(INDEX('Providers'!$F$4:$F$503,351))=0,"",INDEX('Providers'!$F$4:$F$503,351)))=0,"","License no.: "&amp;IF(LEN(INDEX('Providers'!$F$4:$F$503,351))=0,"",INDEX('Providers'!$F$4:$F$503,351))&amp;". ")&amp;IF(LEN(IF(LEN(INDEX('Providers'!$C$4:$C$503,351))=0,"",INDEX('Providers'!$C$4:$C$503,351)))=0,"","NPI: "&amp;IF(LEN(INDEX('Providers'!$C$4:$C$503,351))=0,"",INDEX('Providers'!$C$4:$C$503,351))&amp;". ")&amp;IF(LEN(IF(LEN(INDEX('Providers'!$D$4:$D$503,351))=0,"",INDEX('Providers'!$D$4:$D$503,351)))=0,"","Specialty: "&amp;IF(LEN(INDEX('Providers'!$D$4:$D$503,351))=0,"",INDEX('Providers'!$D$4:$D$503,351))&amp;". ")&amp;IF(LEN(IF(LEN(INDEX('Providers'!$AK$4:$AK$503,351))=0,"",INDEX('Providers'!$AK$4:$AK$503,351)))=0,"",IF(LEN(INDEX('Providers'!$AK$4:$AK$503,351))=0,"",INDEX('Providers'!$AK$4:$AK$503,351))))</f>
        <v/>
      </c>
      <c r="J354">
        <f>IF(LEN(INDEX('Providers'!$AJ$4:$AJ$503,351))=0,"",INDEX('Providers'!$AJ$4:$AJ$503,351))</f>
        <v/>
      </c>
      <c r="K354">
        <f>IF(LEN(INDEX('Providers'!$AI$4:$AI$503,351))=0,"",INDEX('Providers'!$AI$4:$AI$503,351))</f>
        <v/>
      </c>
    </row>
    <row r="355">
      <c r="A355">
        <f>IF(AND(LEN('Providers'!A355)&gt;0,ISNUMBER('Providers'!G355)),1,0)</f>
        <v/>
      </c>
      <c r="B355">
        <f>B354+A355</f>
        <v/>
      </c>
      <c r="C355">
        <f>IF(352&gt;$B$4503,"",MATCH(352-0.5,$B$3:$B$4503,1))</f>
        <v/>
      </c>
      <c r="D355">
        <f>"State license ("&amp;IF(LEN(INDEX('Providers'!$E$4:$E$503,352))=0,"",INDEX('Providers'!$E$4:$E$503,352))&amp;") – "&amp;IF(LEN(INDEX('Providers'!$A$4:$A$503,352))=0,"",INDEX('Providers'!$A$4:$A$503,352))</f>
        <v/>
      </c>
      <c r="E355">
        <f>IF(ISNUMBER(INDEX('Providers'!$G$4:$G$503,352)),TEXT(INDEX('Providers'!$G$4:$G$503,352),"yyyy-mm-dd"),"")</f>
        <v/>
      </c>
      <c r="F355">
        <f>"License"</f>
        <v/>
      </c>
      <c r="G355">
        <f>""</f>
        <v/>
      </c>
      <c r="H355">
        <f>"High"</f>
        <v/>
      </c>
      <c r="I355">
        <f>TRIM(IF(LEN(IF(LEN(INDEX('Providers'!$F$4:$F$503,352))=0,"",INDEX('Providers'!$F$4:$F$503,352)))=0,"","License no.: "&amp;IF(LEN(INDEX('Providers'!$F$4:$F$503,352))=0,"",INDEX('Providers'!$F$4:$F$503,352))&amp;". ")&amp;IF(LEN(IF(LEN(INDEX('Providers'!$C$4:$C$503,352))=0,"",INDEX('Providers'!$C$4:$C$503,352)))=0,"","NPI: "&amp;IF(LEN(INDEX('Providers'!$C$4:$C$503,352))=0,"",INDEX('Providers'!$C$4:$C$503,352))&amp;". ")&amp;IF(LEN(IF(LEN(INDEX('Providers'!$D$4:$D$503,352))=0,"",INDEX('Providers'!$D$4:$D$503,352)))=0,"","Specialty: "&amp;IF(LEN(INDEX('Providers'!$D$4:$D$503,352))=0,"",INDEX('Providers'!$D$4:$D$503,352))&amp;". ")&amp;IF(LEN(IF(LEN(INDEX('Providers'!$AK$4:$AK$503,352))=0,"",INDEX('Providers'!$AK$4:$AK$503,352)))=0,"",IF(LEN(INDEX('Providers'!$AK$4:$AK$503,352))=0,"",INDEX('Providers'!$AK$4:$AK$503,352))))</f>
        <v/>
      </c>
      <c r="J355">
        <f>IF(LEN(INDEX('Providers'!$AJ$4:$AJ$503,352))=0,"",INDEX('Providers'!$AJ$4:$AJ$503,352))</f>
        <v/>
      </c>
      <c r="K355">
        <f>IF(LEN(INDEX('Providers'!$AI$4:$AI$503,352))=0,"",INDEX('Providers'!$AI$4:$AI$503,352))</f>
        <v/>
      </c>
    </row>
    <row r="356">
      <c r="A356">
        <f>IF(AND(LEN('Providers'!A356)&gt;0,ISNUMBER('Providers'!G356)),1,0)</f>
        <v/>
      </c>
      <c r="B356">
        <f>B355+A356</f>
        <v/>
      </c>
      <c r="C356">
        <f>IF(353&gt;$B$4503,"",MATCH(353-0.5,$B$3:$B$4503,1))</f>
        <v/>
      </c>
      <c r="D356">
        <f>"State license ("&amp;IF(LEN(INDEX('Providers'!$E$4:$E$503,353))=0,"",INDEX('Providers'!$E$4:$E$503,353))&amp;") – "&amp;IF(LEN(INDEX('Providers'!$A$4:$A$503,353))=0,"",INDEX('Providers'!$A$4:$A$503,353))</f>
        <v/>
      </c>
      <c r="E356">
        <f>IF(ISNUMBER(INDEX('Providers'!$G$4:$G$503,353)),TEXT(INDEX('Providers'!$G$4:$G$503,353),"yyyy-mm-dd"),"")</f>
        <v/>
      </c>
      <c r="F356">
        <f>"License"</f>
        <v/>
      </c>
      <c r="G356">
        <f>""</f>
        <v/>
      </c>
      <c r="H356">
        <f>"High"</f>
        <v/>
      </c>
      <c r="I356">
        <f>TRIM(IF(LEN(IF(LEN(INDEX('Providers'!$F$4:$F$503,353))=0,"",INDEX('Providers'!$F$4:$F$503,353)))=0,"","License no.: "&amp;IF(LEN(INDEX('Providers'!$F$4:$F$503,353))=0,"",INDEX('Providers'!$F$4:$F$503,353))&amp;". ")&amp;IF(LEN(IF(LEN(INDEX('Providers'!$C$4:$C$503,353))=0,"",INDEX('Providers'!$C$4:$C$503,353)))=0,"","NPI: "&amp;IF(LEN(INDEX('Providers'!$C$4:$C$503,353))=0,"",INDEX('Providers'!$C$4:$C$503,353))&amp;". ")&amp;IF(LEN(IF(LEN(INDEX('Providers'!$D$4:$D$503,353))=0,"",INDEX('Providers'!$D$4:$D$503,353)))=0,"","Specialty: "&amp;IF(LEN(INDEX('Providers'!$D$4:$D$503,353))=0,"",INDEX('Providers'!$D$4:$D$503,353))&amp;". ")&amp;IF(LEN(IF(LEN(INDEX('Providers'!$AK$4:$AK$503,353))=0,"",INDEX('Providers'!$AK$4:$AK$503,353)))=0,"",IF(LEN(INDEX('Providers'!$AK$4:$AK$503,353))=0,"",INDEX('Providers'!$AK$4:$AK$503,353))))</f>
        <v/>
      </c>
      <c r="J356">
        <f>IF(LEN(INDEX('Providers'!$AJ$4:$AJ$503,353))=0,"",INDEX('Providers'!$AJ$4:$AJ$503,353))</f>
        <v/>
      </c>
      <c r="K356">
        <f>IF(LEN(INDEX('Providers'!$AI$4:$AI$503,353))=0,"",INDEX('Providers'!$AI$4:$AI$503,353))</f>
        <v/>
      </c>
    </row>
    <row r="357">
      <c r="A357">
        <f>IF(AND(LEN('Providers'!A357)&gt;0,ISNUMBER('Providers'!G357)),1,0)</f>
        <v/>
      </c>
      <c r="B357">
        <f>B356+A357</f>
        <v/>
      </c>
      <c r="C357">
        <f>IF(354&gt;$B$4503,"",MATCH(354-0.5,$B$3:$B$4503,1))</f>
        <v/>
      </c>
      <c r="D357">
        <f>"State license ("&amp;IF(LEN(INDEX('Providers'!$E$4:$E$503,354))=0,"",INDEX('Providers'!$E$4:$E$503,354))&amp;") – "&amp;IF(LEN(INDEX('Providers'!$A$4:$A$503,354))=0,"",INDEX('Providers'!$A$4:$A$503,354))</f>
        <v/>
      </c>
      <c r="E357">
        <f>IF(ISNUMBER(INDEX('Providers'!$G$4:$G$503,354)),TEXT(INDEX('Providers'!$G$4:$G$503,354),"yyyy-mm-dd"),"")</f>
        <v/>
      </c>
      <c r="F357">
        <f>"License"</f>
        <v/>
      </c>
      <c r="G357">
        <f>""</f>
        <v/>
      </c>
      <c r="H357">
        <f>"High"</f>
        <v/>
      </c>
      <c r="I357">
        <f>TRIM(IF(LEN(IF(LEN(INDEX('Providers'!$F$4:$F$503,354))=0,"",INDEX('Providers'!$F$4:$F$503,354)))=0,"","License no.: "&amp;IF(LEN(INDEX('Providers'!$F$4:$F$503,354))=0,"",INDEX('Providers'!$F$4:$F$503,354))&amp;". ")&amp;IF(LEN(IF(LEN(INDEX('Providers'!$C$4:$C$503,354))=0,"",INDEX('Providers'!$C$4:$C$503,354)))=0,"","NPI: "&amp;IF(LEN(INDEX('Providers'!$C$4:$C$503,354))=0,"",INDEX('Providers'!$C$4:$C$503,354))&amp;". ")&amp;IF(LEN(IF(LEN(INDEX('Providers'!$D$4:$D$503,354))=0,"",INDEX('Providers'!$D$4:$D$503,354)))=0,"","Specialty: "&amp;IF(LEN(INDEX('Providers'!$D$4:$D$503,354))=0,"",INDEX('Providers'!$D$4:$D$503,354))&amp;". ")&amp;IF(LEN(IF(LEN(INDEX('Providers'!$AK$4:$AK$503,354))=0,"",INDEX('Providers'!$AK$4:$AK$503,354)))=0,"",IF(LEN(INDEX('Providers'!$AK$4:$AK$503,354))=0,"",INDEX('Providers'!$AK$4:$AK$503,354))))</f>
        <v/>
      </c>
      <c r="J357">
        <f>IF(LEN(INDEX('Providers'!$AJ$4:$AJ$503,354))=0,"",INDEX('Providers'!$AJ$4:$AJ$503,354))</f>
        <v/>
      </c>
      <c r="K357">
        <f>IF(LEN(INDEX('Providers'!$AI$4:$AI$503,354))=0,"",INDEX('Providers'!$AI$4:$AI$503,354))</f>
        <v/>
      </c>
    </row>
    <row r="358">
      <c r="A358">
        <f>IF(AND(LEN('Providers'!A358)&gt;0,ISNUMBER('Providers'!G358)),1,0)</f>
        <v/>
      </c>
      <c r="B358">
        <f>B357+A358</f>
        <v/>
      </c>
      <c r="C358">
        <f>IF(355&gt;$B$4503,"",MATCH(355-0.5,$B$3:$B$4503,1))</f>
        <v/>
      </c>
      <c r="D358">
        <f>"State license ("&amp;IF(LEN(INDEX('Providers'!$E$4:$E$503,355))=0,"",INDEX('Providers'!$E$4:$E$503,355))&amp;") – "&amp;IF(LEN(INDEX('Providers'!$A$4:$A$503,355))=0,"",INDEX('Providers'!$A$4:$A$503,355))</f>
        <v/>
      </c>
      <c r="E358">
        <f>IF(ISNUMBER(INDEX('Providers'!$G$4:$G$503,355)),TEXT(INDEX('Providers'!$G$4:$G$503,355),"yyyy-mm-dd"),"")</f>
        <v/>
      </c>
      <c r="F358">
        <f>"License"</f>
        <v/>
      </c>
      <c r="G358">
        <f>""</f>
        <v/>
      </c>
      <c r="H358">
        <f>"High"</f>
        <v/>
      </c>
      <c r="I358">
        <f>TRIM(IF(LEN(IF(LEN(INDEX('Providers'!$F$4:$F$503,355))=0,"",INDEX('Providers'!$F$4:$F$503,355)))=0,"","License no.: "&amp;IF(LEN(INDEX('Providers'!$F$4:$F$503,355))=0,"",INDEX('Providers'!$F$4:$F$503,355))&amp;". ")&amp;IF(LEN(IF(LEN(INDEX('Providers'!$C$4:$C$503,355))=0,"",INDEX('Providers'!$C$4:$C$503,355)))=0,"","NPI: "&amp;IF(LEN(INDEX('Providers'!$C$4:$C$503,355))=0,"",INDEX('Providers'!$C$4:$C$503,355))&amp;". ")&amp;IF(LEN(IF(LEN(INDEX('Providers'!$D$4:$D$503,355))=0,"",INDEX('Providers'!$D$4:$D$503,355)))=0,"","Specialty: "&amp;IF(LEN(INDEX('Providers'!$D$4:$D$503,355))=0,"",INDEX('Providers'!$D$4:$D$503,355))&amp;". ")&amp;IF(LEN(IF(LEN(INDEX('Providers'!$AK$4:$AK$503,355))=0,"",INDEX('Providers'!$AK$4:$AK$503,355)))=0,"",IF(LEN(INDEX('Providers'!$AK$4:$AK$503,355))=0,"",INDEX('Providers'!$AK$4:$AK$503,355))))</f>
        <v/>
      </c>
      <c r="J358">
        <f>IF(LEN(INDEX('Providers'!$AJ$4:$AJ$503,355))=0,"",INDEX('Providers'!$AJ$4:$AJ$503,355))</f>
        <v/>
      </c>
      <c r="K358">
        <f>IF(LEN(INDEX('Providers'!$AI$4:$AI$503,355))=0,"",INDEX('Providers'!$AI$4:$AI$503,355))</f>
        <v/>
      </c>
    </row>
    <row r="359">
      <c r="A359">
        <f>IF(AND(LEN('Providers'!A359)&gt;0,ISNUMBER('Providers'!G359)),1,0)</f>
        <v/>
      </c>
      <c r="B359">
        <f>B358+A359</f>
        <v/>
      </c>
      <c r="C359">
        <f>IF(356&gt;$B$4503,"",MATCH(356-0.5,$B$3:$B$4503,1))</f>
        <v/>
      </c>
      <c r="D359">
        <f>"State license ("&amp;IF(LEN(INDEX('Providers'!$E$4:$E$503,356))=0,"",INDEX('Providers'!$E$4:$E$503,356))&amp;") – "&amp;IF(LEN(INDEX('Providers'!$A$4:$A$503,356))=0,"",INDEX('Providers'!$A$4:$A$503,356))</f>
        <v/>
      </c>
      <c r="E359">
        <f>IF(ISNUMBER(INDEX('Providers'!$G$4:$G$503,356)),TEXT(INDEX('Providers'!$G$4:$G$503,356),"yyyy-mm-dd"),"")</f>
        <v/>
      </c>
      <c r="F359">
        <f>"License"</f>
        <v/>
      </c>
      <c r="G359">
        <f>""</f>
        <v/>
      </c>
      <c r="H359">
        <f>"High"</f>
        <v/>
      </c>
      <c r="I359">
        <f>TRIM(IF(LEN(IF(LEN(INDEX('Providers'!$F$4:$F$503,356))=0,"",INDEX('Providers'!$F$4:$F$503,356)))=0,"","License no.: "&amp;IF(LEN(INDEX('Providers'!$F$4:$F$503,356))=0,"",INDEX('Providers'!$F$4:$F$503,356))&amp;". ")&amp;IF(LEN(IF(LEN(INDEX('Providers'!$C$4:$C$503,356))=0,"",INDEX('Providers'!$C$4:$C$503,356)))=0,"","NPI: "&amp;IF(LEN(INDEX('Providers'!$C$4:$C$503,356))=0,"",INDEX('Providers'!$C$4:$C$503,356))&amp;". ")&amp;IF(LEN(IF(LEN(INDEX('Providers'!$D$4:$D$503,356))=0,"",INDEX('Providers'!$D$4:$D$503,356)))=0,"","Specialty: "&amp;IF(LEN(INDEX('Providers'!$D$4:$D$503,356))=0,"",INDEX('Providers'!$D$4:$D$503,356))&amp;". ")&amp;IF(LEN(IF(LEN(INDEX('Providers'!$AK$4:$AK$503,356))=0,"",INDEX('Providers'!$AK$4:$AK$503,356)))=0,"",IF(LEN(INDEX('Providers'!$AK$4:$AK$503,356))=0,"",INDEX('Providers'!$AK$4:$AK$503,356))))</f>
        <v/>
      </c>
      <c r="J359">
        <f>IF(LEN(INDEX('Providers'!$AJ$4:$AJ$503,356))=0,"",INDEX('Providers'!$AJ$4:$AJ$503,356))</f>
        <v/>
      </c>
      <c r="K359">
        <f>IF(LEN(INDEX('Providers'!$AI$4:$AI$503,356))=0,"",INDEX('Providers'!$AI$4:$AI$503,356))</f>
        <v/>
      </c>
    </row>
    <row r="360">
      <c r="A360">
        <f>IF(AND(LEN('Providers'!A360)&gt;0,ISNUMBER('Providers'!G360)),1,0)</f>
        <v/>
      </c>
      <c r="B360">
        <f>B359+A360</f>
        <v/>
      </c>
      <c r="C360">
        <f>IF(357&gt;$B$4503,"",MATCH(357-0.5,$B$3:$B$4503,1))</f>
        <v/>
      </c>
      <c r="D360">
        <f>"State license ("&amp;IF(LEN(INDEX('Providers'!$E$4:$E$503,357))=0,"",INDEX('Providers'!$E$4:$E$503,357))&amp;") – "&amp;IF(LEN(INDEX('Providers'!$A$4:$A$503,357))=0,"",INDEX('Providers'!$A$4:$A$503,357))</f>
        <v/>
      </c>
      <c r="E360">
        <f>IF(ISNUMBER(INDEX('Providers'!$G$4:$G$503,357)),TEXT(INDEX('Providers'!$G$4:$G$503,357),"yyyy-mm-dd"),"")</f>
        <v/>
      </c>
      <c r="F360">
        <f>"License"</f>
        <v/>
      </c>
      <c r="G360">
        <f>""</f>
        <v/>
      </c>
      <c r="H360">
        <f>"High"</f>
        <v/>
      </c>
      <c r="I360">
        <f>TRIM(IF(LEN(IF(LEN(INDEX('Providers'!$F$4:$F$503,357))=0,"",INDEX('Providers'!$F$4:$F$503,357)))=0,"","License no.: "&amp;IF(LEN(INDEX('Providers'!$F$4:$F$503,357))=0,"",INDEX('Providers'!$F$4:$F$503,357))&amp;". ")&amp;IF(LEN(IF(LEN(INDEX('Providers'!$C$4:$C$503,357))=0,"",INDEX('Providers'!$C$4:$C$503,357)))=0,"","NPI: "&amp;IF(LEN(INDEX('Providers'!$C$4:$C$503,357))=0,"",INDEX('Providers'!$C$4:$C$503,357))&amp;". ")&amp;IF(LEN(IF(LEN(INDEX('Providers'!$D$4:$D$503,357))=0,"",INDEX('Providers'!$D$4:$D$503,357)))=0,"","Specialty: "&amp;IF(LEN(INDEX('Providers'!$D$4:$D$503,357))=0,"",INDEX('Providers'!$D$4:$D$503,357))&amp;". ")&amp;IF(LEN(IF(LEN(INDEX('Providers'!$AK$4:$AK$503,357))=0,"",INDEX('Providers'!$AK$4:$AK$503,357)))=0,"",IF(LEN(INDEX('Providers'!$AK$4:$AK$503,357))=0,"",INDEX('Providers'!$AK$4:$AK$503,357))))</f>
        <v/>
      </c>
      <c r="J360">
        <f>IF(LEN(INDEX('Providers'!$AJ$4:$AJ$503,357))=0,"",INDEX('Providers'!$AJ$4:$AJ$503,357))</f>
        <v/>
      </c>
      <c r="K360">
        <f>IF(LEN(INDEX('Providers'!$AI$4:$AI$503,357))=0,"",INDEX('Providers'!$AI$4:$AI$503,357))</f>
        <v/>
      </c>
    </row>
    <row r="361">
      <c r="A361">
        <f>IF(AND(LEN('Providers'!A361)&gt;0,ISNUMBER('Providers'!G361)),1,0)</f>
        <v/>
      </c>
      <c r="B361">
        <f>B360+A361</f>
        <v/>
      </c>
      <c r="C361">
        <f>IF(358&gt;$B$4503,"",MATCH(358-0.5,$B$3:$B$4503,1))</f>
        <v/>
      </c>
      <c r="D361">
        <f>"State license ("&amp;IF(LEN(INDEX('Providers'!$E$4:$E$503,358))=0,"",INDEX('Providers'!$E$4:$E$503,358))&amp;") – "&amp;IF(LEN(INDEX('Providers'!$A$4:$A$503,358))=0,"",INDEX('Providers'!$A$4:$A$503,358))</f>
        <v/>
      </c>
      <c r="E361">
        <f>IF(ISNUMBER(INDEX('Providers'!$G$4:$G$503,358)),TEXT(INDEX('Providers'!$G$4:$G$503,358),"yyyy-mm-dd"),"")</f>
        <v/>
      </c>
      <c r="F361">
        <f>"License"</f>
        <v/>
      </c>
      <c r="G361">
        <f>""</f>
        <v/>
      </c>
      <c r="H361">
        <f>"High"</f>
        <v/>
      </c>
      <c r="I361">
        <f>TRIM(IF(LEN(IF(LEN(INDEX('Providers'!$F$4:$F$503,358))=0,"",INDEX('Providers'!$F$4:$F$503,358)))=0,"","License no.: "&amp;IF(LEN(INDEX('Providers'!$F$4:$F$503,358))=0,"",INDEX('Providers'!$F$4:$F$503,358))&amp;". ")&amp;IF(LEN(IF(LEN(INDEX('Providers'!$C$4:$C$503,358))=0,"",INDEX('Providers'!$C$4:$C$503,358)))=0,"","NPI: "&amp;IF(LEN(INDEX('Providers'!$C$4:$C$503,358))=0,"",INDEX('Providers'!$C$4:$C$503,358))&amp;". ")&amp;IF(LEN(IF(LEN(INDEX('Providers'!$D$4:$D$503,358))=0,"",INDEX('Providers'!$D$4:$D$503,358)))=0,"","Specialty: "&amp;IF(LEN(INDEX('Providers'!$D$4:$D$503,358))=0,"",INDEX('Providers'!$D$4:$D$503,358))&amp;". ")&amp;IF(LEN(IF(LEN(INDEX('Providers'!$AK$4:$AK$503,358))=0,"",INDEX('Providers'!$AK$4:$AK$503,358)))=0,"",IF(LEN(INDEX('Providers'!$AK$4:$AK$503,358))=0,"",INDEX('Providers'!$AK$4:$AK$503,358))))</f>
        <v/>
      </c>
      <c r="J361">
        <f>IF(LEN(INDEX('Providers'!$AJ$4:$AJ$503,358))=0,"",INDEX('Providers'!$AJ$4:$AJ$503,358))</f>
        <v/>
      </c>
      <c r="K361">
        <f>IF(LEN(INDEX('Providers'!$AI$4:$AI$503,358))=0,"",INDEX('Providers'!$AI$4:$AI$503,358))</f>
        <v/>
      </c>
    </row>
    <row r="362">
      <c r="A362">
        <f>IF(AND(LEN('Providers'!A362)&gt;0,ISNUMBER('Providers'!G362)),1,0)</f>
        <v/>
      </c>
      <c r="B362">
        <f>B361+A362</f>
        <v/>
      </c>
      <c r="C362">
        <f>IF(359&gt;$B$4503,"",MATCH(359-0.5,$B$3:$B$4503,1))</f>
        <v/>
      </c>
      <c r="D362">
        <f>"State license ("&amp;IF(LEN(INDEX('Providers'!$E$4:$E$503,359))=0,"",INDEX('Providers'!$E$4:$E$503,359))&amp;") – "&amp;IF(LEN(INDEX('Providers'!$A$4:$A$503,359))=0,"",INDEX('Providers'!$A$4:$A$503,359))</f>
        <v/>
      </c>
      <c r="E362">
        <f>IF(ISNUMBER(INDEX('Providers'!$G$4:$G$503,359)),TEXT(INDEX('Providers'!$G$4:$G$503,359),"yyyy-mm-dd"),"")</f>
        <v/>
      </c>
      <c r="F362">
        <f>"License"</f>
        <v/>
      </c>
      <c r="G362">
        <f>""</f>
        <v/>
      </c>
      <c r="H362">
        <f>"High"</f>
        <v/>
      </c>
      <c r="I362">
        <f>TRIM(IF(LEN(IF(LEN(INDEX('Providers'!$F$4:$F$503,359))=0,"",INDEX('Providers'!$F$4:$F$503,359)))=0,"","License no.: "&amp;IF(LEN(INDEX('Providers'!$F$4:$F$503,359))=0,"",INDEX('Providers'!$F$4:$F$503,359))&amp;". ")&amp;IF(LEN(IF(LEN(INDEX('Providers'!$C$4:$C$503,359))=0,"",INDEX('Providers'!$C$4:$C$503,359)))=0,"","NPI: "&amp;IF(LEN(INDEX('Providers'!$C$4:$C$503,359))=0,"",INDEX('Providers'!$C$4:$C$503,359))&amp;". ")&amp;IF(LEN(IF(LEN(INDEX('Providers'!$D$4:$D$503,359))=0,"",INDEX('Providers'!$D$4:$D$503,359)))=0,"","Specialty: "&amp;IF(LEN(INDEX('Providers'!$D$4:$D$503,359))=0,"",INDEX('Providers'!$D$4:$D$503,359))&amp;". ")&amp;IF(LEN(IF(LEN(INDEX('Providers'!$AK$4:$AK$503,359))=0,"",INDEX('Providers'!$AK$4:$AK$503,359)))=0,"",IF(LEN(INDEX('Providers'!$AK$4:$AK$503,359))=0,"",INDEX('Providers'!$AK$4:$AK$503,359))))</f>
        <v/>
      </c>
      <c r="J362">
        <f>IF(LEN(INDEX('Providers'!$AJ$4:$AJ$503,359))=0,"",INDEX('Providers'!$AJ$4:$AJ$503,359))</f>
        <v/>
      </c>
      <c r="K362">
        <f>IF(LEN(INDEX('Providers'!$AI$4:$AI$503,359))=0,"",INDEX('Providers'!$AI$4:$AI$503,359))</f>
        <v/>
      </c>
    </row>
    <row r="363">
      <c r="A363">
        <f>IF(AND(LEN('Providers'!A363)&gt;0,ISNUMBER('Providers'!G363)),1,0)</f>
        <v/>
      </c>
      <c r="B363">
        <f>B362+A363</f>
        <v/>
      </c>
      <c r="C363">
        <f>IF(360&gt;$B$4503,"",MATCH(360-0.5,$B$3:$B$4503,1))</f>
        <v/>
      </c>
      <c r="D363">
        <f>"State license ("&amp;IF(LEN(INDEX('Providers'!$E$4:$E$503,360))=0,"",INDEX('Providers'!$E$4:$E$503,360))&amp;") – "&amp;IF(LEN(INDEX('Providers'!$A$4:$A$503,360))=0,"",INDEX('Providers'!$A$4:$A$503,360))</f>
        <v/>
      </c>
      <c r="E363">
        <f>IF(ISNUMBER(INDEX('Providers'!$G$4:$G$503,360)),TEXT(INDEX('Providers'!$G$4:$G$503,360),"yyyy-mm-dd"),"")</f>
        <v/>
      </c>
      <c r="F363">
        <f>"License"</f>
        <v/>
      </c>
      <c r="G363">
        <f>""</f>
        <v/>
      </c>
      <c r="H363">
        <f>"High"</f>
        <v/>
      </c>
      <c r="I363">
        <f>TRIM(IF(LEN(IF(LEN(INDEX('Providers'!$F$4:$F$503,360))=0,"",INDEX('Providers'!$F$4:$F$503,360)))=0,"","License no.: "&amp;IF(LEN(INDEX('Providers'!$F$4:$F$503,360))=0,"",INDEX('Providers'!$F$4:$F$503,360))&amp;". ")&amp;IF(LEN(IF(LEN(INDEX('Providers'!$C$4:$C$503,360))=0,"",INDEX('Providers'!$C$4:$C$503,360)))=0,"","NPI: "&amp;IF(LEN(INDEX('Providers'!$C$4:$C$503,360))=0,"",INDEX('Providers'!$C$4:$C$503,360))&amp;". ")&amp;IF(LEN(IF(LEN(INDEX('Providers'!$D$4:$D$503,360))=0,"",INDEX('Providers'!$D$4:$D$503,360)))=0,"","Specialty: "&amp;IF(LEN(INDEX('Providers'!$D$4:$D$503,360))=0,"",INDEX('Providers'!$D$4:$D$503,360))&amp;". ")&amp;IF(LEN(IF(LEN(INDEX('Providers'!$AK$4:$AK$503,360))=0,"",INDEX('Providers'!$AK$4:$AK$503,360)))=0,"",IF(LEN(INDEX('Providers'!$AK$4:$AK$503,360))=0,"",INDEX('Providers'!$AK$4:$AK$503,360))))</f>
        <v/>
      </c>
      <c r="J363">
        <f>IF(LEN(INDEX('Providers'!$AJ$4:$AJ$503,360))=0,"",INDEX('Providers'!$AJ$4:$AJ$503,360))</f>
        <v/>
      </c>
      <c r="K363">
        <f>IF(LEN(INDEX('Providers'!$AI$4:$AI$503,360))=0,"",INDEX('Providers'!$AI$4:$AI$503,360))</f>
        <v/>
      </c>
    </row>
    <row r="364">
      <c r="A364">
        <f>IF(AND(LEN('Providers'!A364)&gt;0,ISNUMBER('Providers'!G364)),1,0)</f>
        <v/>
      </c>
      <c r="B364">
        <f>B363+A364</f>
        <v/>
      </c>
      <c r="C364">
        <f>IF(361&gt;$B$4503,"",MATCH(361-0.5,$B$3:$B$4503,1))</f>
        <v/>
      </c>
      <c r="D364">
        <f>"State license ("&amp;IF(LEN(INDEX('Providers'!$E$4:$E$503,361))=0,"",INDEX('Providers'!$E$4:$E$503,361))&amp;") – "&amp;IF(LEN(INDEX('Providers'!$A$4:$A$503,361))=0,"",INDEX('Providers'!$A$4:$A$503,361))</f>
        <v/>
      </c>
      <c r="E364">
        <f>IF(ISNUMBER(INDEX('Providers'!$G$4:$G$503,361)),TEXT(INDEX('Providers'!$G$4:$G$503,361),"yyyy-mm-dd"),"")</f>
        <v/>
      </c>
      <c r="F364">
        <f>"License"</f>
        <v/>
      </c>
      <c r="G364">
        <f>""</f>
        <v/>
      </c>
      <c r="H364">
        <f>"High"</f>
        <v/>
      </c>
      <c r="I364">
        <f>TRIM(IF(LEN(IF(LEN(INDEX('Providers'!$F$4:$F$503,361))=0,"",INDEX('Providers'!$F$4:$F$503,361)))=0,"","License no.: "&amp;IF(LEN(INDEX('Providers'!$F$4:$F$503,361))=0,"",INDEX('Providers'!$F$4:$F$503,361))&amp;". ")&amp;IF(LEN(IF(LEN(INDEX('Providers'!$C$4:$C$503,361))=0,"",INDEX('Providers'!$C$4:$C$503,361)))=0,"","NPI: "&amp;IF(LEN(INDEX('Providers'!$C$4:$C$503,361))=0,"",INDEX('Providers'!$C$4:$C$503,361))&amp;". ")&amp;IF(LEN(IF(LEN(INDEX('Providers'!$D$4:$D$503,361))=0,"",INDEX('Providers'!$D$4:$D$503,361)))=0,"","Specialty: "&amp;IF(LEN(INDEX('Providers'!$D$4:$D$503,361))=0,"",INDEX('Providers'!$D$4:$D$503,361))&amp;". ")&amp;IF(LEN(IF(LEN(INDEX('Providers'!$AK$4:$AK$503,361))=0,"",INDEX('Providers'!$AK$4:$AK$503,361)))=0,"",IF(LEN(INDEX('Providers'!$AK$4:$AK$503,361))=0,"",INDEX('Providers'!$AK$4:$AK$503,361))))</f>
        <v/>
      </c>
      <c r="J364">
        <f>IF(LEN(INDEX('Providers'!$AJ$4:$AJ$503,361))=0,"",INDEX('Providers'!$AJ$4:$AJ$503,361))</f>
        <v/>
      </c>
      <c r="K364">
        <f>IF(LEN(INDEX('Providers'!$AI$4:$AI$503,361))=0,"",INDEX('Providers'!$AI$4:$AI$503,361))</f>
        <v/>
      </c>
    </row>
    <row r="365">
      <c r="A365">
        <f>IF(AND(LEN('Providers'!A365)&gt;0,ISNUMBER('Providers'!G365)),1,0)</f>
        <v/>
      </c>
      <c r="B365">
        <f>B364+A365</f>
        <v/>
      </c>
      <c r="C365">
        <f>IF(362&gt;$B$4503,"",MATCH(362-0.5,$B$3:$B$4503,1))</f>
        <v/>
      </c>
      <c r="D365">
        <f>"State license ("&amp;IF(LEN(INDEX('Providers'!$E$4:$E$503,362))=0,"",INDEX('Providers'!$E$4:$E$503,362))&amp;") – "&amp;IF(LEN(INDEX('Providers'!$A$4:$A$503,362))=0,"",INDEX('Providers'!$A$4:$A$503,362))</f>
        <v/>
      </c>
      <c r="E365">
        <f>IF(ISNUMBER(INDEX('Providers'!$G$4:$G$503,362)),TEXT(INDEX('Providers'!$G$4:$G$503,362),"yyyy-mm-dd"),"")</f>
        <v/>
      </c>
      <c r="F365">
        <f>"License"</f>
        <v/>
      </c>
      <c r="G365">
        <f>""</f>
        <v/>
      </c>
      <c r="H365">
        <f>"High"</f>
        <v/>
      </c>
      <c r="I365">
        <f>TRIM(IF(LEN(IF(LEN(INDEX('Providers'!$F$4:$F$503,362))=0,"",INDEX('Providers'!$F$4:$F$503,362)))=0,"","License no.: "&amp;IF(LEN(INDEX('Providers'!$F$4:$F$503,362))=0,"",INDEX('Providers'!$F$4:$F$503,362))&amp;". ")&amp;IF(LEN(IF(LEN(INDEX('Providers'!$C$4:$C$503,362))=0,"",INDEX('Providers'!$C$4:$C$503,362)))=0,"","NPI: "&amp;IF(LEN(INDEX('Providers'!$C$4:$C$503,362))=0,"",INDEX('Providers'!$C$4:$C$503,362))&amp;". ")&amp;IF(LEN(IF(LEN(INDEX('Providers'!$D$4:$D$503,362))=0,"",INDEX('Providers'!$D$4:$D$503,362)))=0,"","Specialty: "&amp;IF(LEN(INDEX('Providers'!$D$4:$D$503,362))=0,"",INDEX('Providers'!$D$4:$D$503,362))&amp;". ")&amp;IF(LEN(IF(LEN(INDEX('Providers'!$AK$4:$AK$503,362))=0,"",INDEX('Providers'!$AK$4:$AK$503,362)))=0,"",IF(LEN(INDEX('Providers'!$AK$4:$AK$503,362))=0,"",INDEX('Providers'!$AK$4:$AK$503,362))))</f>
        <v/>
      </c>
      <c r="J365">
        <f>IF(LEN(INDEX('Providers'!$AJ$4:$AJ$503,362))=0,"",INDEX('Providers'!$AJ$4:$AJ$503,362))</f>
        <v/>
      </c>
      <c r="K365">
        <f>IF(LEN(INDEX('Providers'!$AI$4:$AI$503,362))=0,"",INDEX('Providers'!$AI$4:$AI$503,362))</f>
        <v/>
      </c>
    </row>
    <row r="366">
      <c r="A366">
        <f>IF(AND(LEN('Providers'!A366)&gt;0,ISNUMBER('Providers'!G366)),1,0)</f>
        <v/>
      </c>
      <c r="B366">
        <f>B365+A366</f>
        <v/>
      </c>
      <c r="C366">
        <f>IF(363&gt;$B$4503,"",MATCH(363-0.5,$B$3:$B$4503,1))</f>
        <v/>
      </c>
      <c r="D366">
        <f>"State license ("&amp;IF(LEN(INDEX('Providers'!$E$4:$E$503,363))=0,"",INDEX('Providers'!$E$4:$E$503,363))&amp;") – "&amp;IF(LEN(INDEX('Providers'!$A$4:$A$503,363))=0,"",INDEX('Providers'!$A$4:$A$503,363))</f>
        <v/>
      </c>
      <c r="E366">
        <f>IF(ISNUMBER(INDEX('Providers'!$G$4:$G$503,363)),TEXT(INDEX('Providers'!$G$4:$G$503,363),"yyyy-mm-dd"),"")</f>
        <v/>
      </c>
      <c r="F366">
        <f>"License"</f>
        <v/>
      </c>
      <c r="G366">
        <f>""</f>
        <v/>
      </c>
      <c r="H366">
        <f>"High"</f>
        <v/>
      </c>
      <c r="I366">
        <f>TRIM(IF(LEN(IF(LEN(INDEX('Providers'!$F$4:$F$503,363))=0,"",INDEX('Providers'!$F$4:$F$503,363)))=0,"","License no.: "&amp;IF(LEN(INDEX('Providers'!$F$4:$F$503,363))=0,"",INDEX('Providers'!$F$4:$F$503,363))&amp;". ")&amp;IF(LEN(IF(LEN(INDEX('Providers'!$C$4:$C$503,363))=0,"",INDEX('Providers'!$C$4:$C$503,363)))=0,"","NPI: "&amp;IF(LEN(INDEX('Providers'!$C$4:$C$503,363))=0,"",INDEX('Providers'!$C$4:$C$503,363))&amp;". ")&amp;IF(LEN(IF(LEN(INDEX('Providers'!$D$4:$D$503,363))=0,"",INDEX('Providers'!$D$4:$D$503,363)))=0,"","Specialty: "&amp;IF(LEN(INDEX('Providers'!$D$4:$D$503,363))=0,"",INDEX('Providers'!$D$4:$D$503,363))&amp;". ")&amp;IF(LEN(IF(LEN(INDEX('Providers'!$AK$4:$AK$503,363))=0,"",INDEX('Providers'!$AK$4:$AK$503,363)))=0,"",IF(LEN(INDEX('Providers'!$AK$4:$AK$503,363))=0,"",INDEX('Providers'!$AK$4:$AK$503,363))))</f>
        <v/>
      </c>
      <c r="J366">
        <f>IF(LEN(INDEX('Providers'!$AJ$4:$AJ$503,363))=0,"",INDEX('Providers'!$AJ$4:$AJ$503,363))</f>
        <v/>
      </c>
      <c r="K366">
        <f>IF(LEN(INDEX('Providers'!$AI$4:$AI$503,363))=0,"",INDEX('Providers'!$AI$4:$AI$503,363))</f>
        <v/>
      </c>
    </row>
    <row r="367">
      <c r="A367">
        <f>IF(AND(LEN('Providers'!A367)&gt;0,ISNUMBER('Providers'!G367)),1,0)</f>
        <v/>
      </c>
      <c r="B367">
        <f>B366+A367</f>
        <v/>
      </c>
      <c r="C367">
        <f>IF(364&gt;$B$4503,"",MATCH(364-0.5,$B$3:$B$4503,1))</f>
        <v/>
      </c>
      <c r="D367">
        <f>"State license ("&amp;IF(LEN(INDEX('Providers'!$E$4:$E$503,364))=0,"",INDEX('Providers'!$E$4:$E$503,364))&amp;") – "&amp;IF(LEN(INDEX('Providers'!$A$4:$A$503,364))=0,"",INDEX('Providers'!$A$4:$A$503,364))</f>
        <v/>
      </c>
      <c r="E367">
        <f>IF(ISNUMBER(INDEX('Providers'!$G$4:$G$503,364)),TEXT(INDEX('Providers'!$G$4:$G$503,364),"yyyy-mm-dd"),"")</f>
        <v/>
      </c>
      <c r="F367">
        <f>"License"</f>
        <v/>
      </c>
      <c r="G367">
        <f>""</f>
        <v/>
      </c>
      <c r="H367">
        <f>"High"</f>
        <v/>
      </c>
      <c r="I367">
        <f>TRIM(IF(LEN(IF(LEN(INDEX('Providers'!$F$4:$F$503,364))=0,"",INDEX('Providers'!$F$4:$F$503,364)))=0,"","License no.: "&amp;IF(LEN(INDEX('Providers'!$F$4:$F$503,364))=0,"",INDEX('Providers'!$F$4:$F$503,364))&amp;". ")&amp;IF(LEN(IF(LEN(INDEX('Providers'!$C$4:$C$503,364))=0,"",INDEX('Providers'!$C$4:$C$503,364)))=0,"","NPI: "&amp;IF(LEN(INDEX('Providers'!$C$4:$C$503,364))=0,"",INDEX('Providers'!$C$4:$C$503,364))&amp;". ")&amp;IF(LEN(IF(LEN(INDEX('Providers'!$D$4:$D$503,364))=0,"",INDEX('Providers'!$D$4:$D$503,364)))=0,"","Specialty: "&amp;IF(LEN(INDEX('Providers'!$D$4:$D$503,364))=0,"",INDEX('Providers'!$D$4:$D$503,364))&amp;". ")&amp;IF(LEN(IF(LEN(INDEX('Providers'!$AK$4:$AK$503,364))=0,"",INDEX('Providers'!$AK$4:$AK$503,364)))=0,"",IF(LEN(INDEX('Providers'!$AK$4:$AK$503,364))=0,"",INDEX('Providers'!$AK$4:$AK$503,364))))</f>
        <v/>
      </c>
      <c r="J367">
        <f>IF(LEN(INDEX('Providers'!$AJ$4:$AJ$503,364))=0,"",INDEX('Providers'!$AJ$4:$AJ$503,364))</f>
        <v/>
      </c>
      <c r="K367">
        <f>IF(LEN(INDEX('Providers'!$AI$4:$AI$503,364))=0,"",INDEX('Providers'!$AI$4:$AI$503,364))</f>
        <v/>
      </c>
    </row>
    <row r="368">
      <c r="A368">
        <f>IF(AND(LEN('Providers'!A368)&gt;0,ISNUMBER('Providers'!G368)),1,0)</f>
        <v/>
      </c>
      <c r="B368">
        <f>B367+A368</f>
        <v/>
      </c>
      <c r="C368">
        <f>IF(365&gt;$B$4503,"",MATCH(365-0.5,$B$3:$B$4503,1))</f>
        <v/>
      </c>
      <c r="D368">
        <f>"State license ("&amp;IF(LEN(INDEX('Providers'!$E$4:$E$503,365))=0,"",INDEX('Providers'!$E$4:$E$503,365))&amp;") – "&amp;IF(LEN(INDEX('Providers'!$A$4:$A$503,365))=0,"",INDEX('Providers'!$A$4:$A$503,365))</f>
        <v/>
      </c>
      <c r="E368">
        <f>IF(ISNUMBER(INDEX('Providers'!$G$4:$G$503,365)),TEXT(INDEX('Providers'!$G$4:$G$503,365),"yyyy-mm-dd"),"")</f>
        <v/>
      </c>
      <c r="F368">
        <f>"License"</f>
        <v/>
      </c>
      <c r="G368">
        <f>""</f>
        <v/>
      </c>
      <c r="H368">
        <f>"High"</f>
        <v/>
      </c>
      <c r="I368">
        <f>TRIM(IF(LEN(IF(LEN(INDEX('Providers'!$F$4:$F$503,365))=0,"",INDEX('Providers'!$F$4:$F$503,365)))=0,"","License no.: "&amp;IF(LEN(INDEX('Providers'!$F$4:$F$503,365))=0,"",INDEX('Providers'!$F$4:$F$503,365))&amp;". ")&amp;IF(LEN(IF(LEN(INDEX('Providers'!$C$4:$C$503,365))=0,"",INDEX('Providers'!$C$4:$C$503,365)))=0,"","NPI: "&amp;IF(LEN(INDEX('Providers'!$C$4:$C$503,365))=0,"",INDEX('Providers'!$C$4:$C$503,365))&amp;". ")&amp;IF(LEN(IF(LEN(INDEX('Providers'!$D$4:$D$503,365))=0,"",INDEX('Providers'!$D$4:$D$503,365)))=0,"","Specialty: "&amp;IF(LEN(INDEX('Providers'!$D$4:$D$503,365))=0,"",INDEX('Providers'!$D$4:$D$503,365))&amp;". ")&amp;IF(LEN(IF(LEN(INDEX('Providers'!$AK$4:$AK$503,365))=0,"",INDEX('Providers'!$AK$4:$AK$503,365)))=0,"",IF(LEN(INDEX('Providers'!$AK$4:$AK$503,365))=0,"",INDEX('Providers'!$AK$4:$AK$503,365))))</f>
        <v/>
      </c>
      <c r="J368">
        <f>IF(LEN(INDEX('Providers'!$AJ$4:$AJ$503,365))=0,"",INDEX('Providers'!$AJ$4:$AJ$503,365))</f>
        <v/>
      </c>
      <c r="K368">
        <f>IF(LEN(INDEX('Providers'!$AI$4:$AI$503,365))=0,"",INDEX('Providers'!$AI$4:$AI$503,365))</f>
        <v/>
      </c>
    </row>
    <row r="369">
      <c r="A369">
        <f>IF(AND(LEN('Providers'!A369)&gt;0,ISNUMBER('Providers'!G369)),1,0)</f>
        <v/>
      </c>
      <c r="B369">
        <f>B368+A369</f>
        <v/>
      </c>
      <c r="C369">
        <f>IF(366&gt;$B$4503,"",MATCH(366-0.5,$B$3:$B$4503,1))</f>
        <v/>
      </c>
      <c r="D369">
        <f>"State license ("&amp;IF(LEN(INDEX('Providers'!$E$4:$E$503,366))=0,"",INDEX('Providers'!$E$4:$E$503,366))&amp;") – "&amp;IF(LEN(INDEX('Providers'!$A$4:$A$503,366))=0,"",INDEX('Providers'!$A$4:$A$503,366))</f>
        <v/>
      </c>
      <c r="E369">
        <f>IF(ISNUMBER(INDEX('Providers'!$G$4:$G$503,366)),TEXT(INDEX('Providers'!$G$4:$G$503,366),"yyyy-mm-dd"),"")</f>
        <v/>
      </c>
      <c r="F369">
        <f>"License"</f>
        <v/>
      </c>
      <c r="G369">
        <f>""</f>
        <v/>
      </c>
      <c r="H369">
        <f>"High"</f>
        <v/>
      </c>
      <c r="I369">
        <f>TRIM(IF(LEN(IF(LEN(INDEX('Providers'!$F$4:$F$503,366))=0,"",INDEX('Providers'!$F$4:$F$503,366)))=0,"","License no.: "&amp;IF(LEN(INDEX('Providers'!$F$4:$F$503,366))=0,"",INDEX('Providers'!$F$4:$F$503,366))&amp;". ")&amp;IF(LEN(IF(LEN(INDEX('Providers'!$C$4:$C$503,366))=0,"",INDEX('Providers'!$C$4:$C$503,366)))=0,"","NPI: "&amp;IF(LEN(INDEX('Providers'!$C$4:$C$503,366))=0,"",INDEX('Providers'!$C$4:$C$503,366))&amp;". ")&amp;IF(LEN(IF(LEN(INDEX('Providers'!$D$4:$D$503,366))=0,"",INDEX('Providers'!$D$4:$D$503,366)))=0,"","Specialty: "&amp;IF(LEN(INDEX('Providers'!$D$4:$D$503,366))=0,"",INDEX('Providers'!$D$4:$D$503,366))&amp;". ")&amp;IF(LEN(IF(LEN(INDEX('Providers'!$AK$4:$AK$503,366))=0,"",INDEX('Providers'!$AK$4:$AK$503,366)))=0,"",IF(LEN(INDEX('Providers'!$AK$4:$AK$503,366))=0,"",INDEX('Providers'!$AK$4:$AK$503,366))))</f>
        <v/>
      </c>
      <c r="J369">
        <f>IF(LEN(INDEX('Providers'!$AJ$4:$AJ$503,366))=0,"",INDEX('Providers'!$AJ$4:$AJ$503,366))</f>
        <v/>
      </c>
      <c r="K369">
        <f>IF(LEN(INDEX('Providers'!$AI$4:$AI$503,366))=0,"",INDEX('Providers'!$AI$4:$AI$503,366))</f>
        <v/>
      </c>
    </row>
    <row r="370">
      <c r="A370">
        <f>IF(AND(LEN('Providers'!A370)&gt;0,ISNUMBER('Providers'!G370)),1,0)</f>
        <v/>
      </c>
      <c r="B370">
        <f>B369+A370</f>
        <v/>
      </c>
      <c r="C370">
        <f>IF(367&gt;$B$4503,"",MATCH(367-0.5,$B$3:$B$4503,1))</f>
        <v/>
      </c>
      <c r="D370">
        <f>"State license ("&amp;IF(LEN(INDEX('Providers'!$E$4:$E$503,367))=0,"",INDEX('Providers'!$E$4:$E$503,367))&amp;") – "&amp;IF(LEN(INDEX('Providers'!$A$4:$A$503,367))=0,"",INDEX('Providers'!$A$4:$A$503,367))</f>
        <v/>
      </c>
      <c r="E370">
        <f>IF(ISNUMBER(INDEX('Providers'!$G$4:$G$503,367)),TEXT(INDEX('Providers'!$G$4:$G$503,367),"yyyy-mm-dd"),"")</f>
        <v/>
      </c>
      <c r="F370">
        <f>"License"</f>
        <v/>
      </c>
      <c r="G370">
        <f>""</f>
        <v/>
      </c>
      <c r="H370">
        <f>"High"</f>
        <v/>
      </c>
      <c r="I370">
        <f>TRIM(IF(LEN(IF(LEN(INDEX('Providers'!$F$4:$F$503,367))=0,"",INDEX('Providers'!$F$4:$F$503,367)))=0,"","License no.: "&amp;IF(LEN(INDEX('Providers'!$F$4:$F$503,367))=0,"",INDEX('Providers'!$F$4:$F$503,367))&amp;". ")&amp;IF(LEN(IF(LEN(INDEX('Providers'!$C$4:$C$503,367))=0,"",INDEX('Providers'!$C$4:$C$503,367)))=0,"","NPI: "&amp;IF(LEN(INDEX('Providers'!$C$4:$C$503,367))=0,"",INDEX('Providers'!$C$4:$C$503,367))&amp;". ")&amp;IF(LEN(IF(LEN(INDEX('Providers'!$D$4:$D$503,367))=0,"",INDEX('Providers'!$D$4:$D$503,367)))=0,"","Specialty: "&amp;IF(LEN(INDEX('Providers'!$D$4:$D$503,367))=0,"",INDEX('Providers'!$D$4:$D$503,367))&amp;". ")&amp;IF(LEN(IF(LEN(INDEX('Providers'!$AK$4:$AK$503,367))=0,"",INDEX('Providers'!$AK$4:$AK$503,367)))=0,"",IF(LEN(INDEX('Providers'!$AK$4:$AK$503,367))=0,"",INDEX('Providers'!$AK$4:$AK$503,367))))</f>
        <v/>
      </c>
      <c r="J370">
        <f>IF(LEN(INDEX('Providers'!$AJ$4:$AJ$503,367))=0,"",INDEX('Providers'!$AJ$4:$AJ$503,367))</f>
        <v/>
      </c>
      <c r="K370">
        <f>IF(LEN(INDEX('Providers'!$AI$4:$AI$503,367))=0,"",INDEX('Providers'!$AI$4:$AI$503,367))</f>
        <v/>
      </c>
    </row>
    <row r="371">
      <c r="A371">
        <f>IF(AND(LEN('Providers'!A371)&gt;0,ISNUMBER('Providers'!G371)),1,0)</f>
        <v/>
      </c>
      <c r="B371">
        <f>B370+A371</f>
        <v/>
      </c>
      <c r="C371">
        <f>IF(368&gt;$B$4503,"",MATCH(368-0.5,$B$3:$B$4503,1))</f>
        <v/>
      </c>
      <c r="D371">
        <f>"State license ("&amp;IF(LEN(INDEX('Providers'!$E$4:$E$503,368))=0,"",INDEX('Providers'!$E$4:$E$503,368))&amp;") – "&amp;IF(LEN(INDEX('Providers'!$A$4:$A$503,368))=0,"",INDEX('Providers'!$A$4:$A$503,368))</f>
        <v/>
      </c>
      <c r="E371">
        <f>IF(ISNUMBER(INDEX('Providers'!$G$4:$G$503,368)),TEXT(INDEX('Providers'!$G$4:$G$503,368),"yyyy-mm-dd"),"")</f>
        <v/>
      </c>
      <c r="F371">
        <f>"License"</f>
        <v/>
      </c>
      <c r="G371">
        <f>""</f>
        <v/>
      </c>
      <c r="H371">
        <f>"High"</f>
        <v/>
      </c>
      <c r="I371">
        <f>TRIM(IF(LEN(IF(LEN(INDEX('Providers'!$F$4:$F$503,368))=0,"",INDEX('Providers'!$F$4:$F$503,368)))=0,"","License no.: "&amp;IF(LEN(INDEX('Providers'!$F$4:$F$503,368))=0,"",INDEX('Providers'!$F$4:$F$503,368))&amp;". ")&amp;IF(LEN(IF(LEN(INDEX('Providers'!$C$4:$C$503,368))=0,"",INDEX('Providers'!$C$4:$C$503,368)))=0,"","NPI: "&amp;IF(LEN(INDEX('Providers'!$C$4:$C$503,368))=0,"",INDEX('Providers'!$C$4:$C$503,368))&amp;". ")&amp;IF(LEN(IF(LEN(INDEX('Providers'!$D$4:$D$503,368))=0,"",INDEX('Providers'!$D$4:$D$503,368)))=0,"","Specialty: "&amp;IF(LEN(INDEX('Providers'!$D$4:$D$503,368))=0,"",INDEX('Providers'!$D$4:$D$503,368))&amp;". ")&amp;IF(LEN(IF(LEN(INDEX('Providers'!$AK$4:$AK$503,368))=0,"",INDEX('Providers'!$AK$4:$AK$503,368)))=0,"",IF(LEN(INDEX('Providers'!$AK$4:$AK$503,368))=0,"",INDEX('Providers'!$AK$4:$AK$503,368))))</f>
        <v/>
      </c>
      <c r="J371">
        <f>IF(LEN(INDEX('Providers'!$AJ$4:$AJ$503,368))=0,"",INDEX('Providers'!$AJ$4:$AJ$503,368))</f>
        <v/>
      </c>
      <c r="K371">
        <f>IF(LEN(INDEX('Providers'!$AI$4:$AI$503,368))=0,"",INDEX('Providers'!$AI$4:$AI$503,368))</f>
        <v/>
      </c>
    </row>
    <row r="372">
      <c r="A372">
        <f>IF(AND(LEN('Providers'!A372)&gt;0,ISNUMBER('Providers'!G372)),1,0)</f>
        <v/>
      </c>
      <c r="B372">
        <f>B371+A372</f>
        <v/>
      </c>
      <c r="C372">
        <f>IF(369&gt;$B$4503,"",MATCH(369-0.5,$B$3:$B$4503,1))</f>
        <v/>
      </c>
      <c r="D372">
        <f>"State license ("&amp;IF(LEN(INDEX('Providers'!$E$4:$E$503,369))=0,"",INDEX('Providers'!$E$4:$E$503,369))&amp;") – "&amp;IF(LEN(INDEX('Providers'!$A$4:$A$503,369))=0,"",INDEX('Providers'!$A$4:$A$503,369))</f>
        <v/>
      </c>
      <c r="E372">
        <f>IF(ISNUMBER(INDEX('Providers'!$G$4:$G$503,369)),TEXT(INDEX('Providers'!$G$4:$G$503,369),"yyyy-mm-dd"),"")</f>
        <v/>
      </c>
      <c r="F372">
        <f>"License"</f>
        <v/>
      </c>
      <c r="G372">
        <f>""</f>
        <v/>
      </c>
      <c r="H372">
        <f>"High"</f>
        <v/>
      </c>
      <c r="I372">
        <f>TRIM(IF(LEN(IF(LEN(INDEX('Providers'!$F$4:$F$503,369))=0,"",INDEX('Providers'!$F$4:$F$503,369)))=0,"","License no.: "&amp;IF(LEN(INDEX('Providers'!$F$4:$F$503,369))=0,"",INDEX('Providers'!$F$4:$F$503,369))&amp;". ")&amp;IF(LEN(IF(LEN(INDEX('Providers'!$C$4:$C$503,369))=0,"",INDEX('Providers'!$C$4:$C$503,369)))=0,"","NPI: "&amp;IF(LEN(INDEX('Providers'!$C$4:$C$503,369))=0,"",INDEX('Providers'!$C$4:$C$503,369))&amp;". ")&amp;IF(LEN(IF(LEN(INDEX('Providers'!$D$4:$D$503,369))=0,"",INDEX('Providers'!$D$4:$D$503,369)))=0,"","Specialty: "&amp;IF(LEN(INDEX('Providers'!$D$4:$D$503,369))=0,"",INDEX('Providers'!$D$4:$D$503,369))&amp;". ")&amp;IF(LEN(IF(LEN(INDEX('Providers'!$AK$4:$AK$503,369))=0,"",INDEX('Providers'!$AK$4:$AK$503,369)))=0,"",IF(LEN(INDEX('Providers'!$AK$4:$AK$503,369))=0,"",INDEX('Providers'!$AK$4:$AK$503,369))))</f>
        <v/>
      </c>
      <c r="J372">
        <f>IF(LEN(INDEX('Providers'!$AJ$4:$AJ$503,369))=0,"",INDEX('Providers'!$AJ$4:$AJ$503,369))</f>
        <v/>
      </c>
      <c r="K372">
        <f>IF(LEN(INDEX('Providers'!$AI$4:$AI$503,369))=0,"",INDEX('Providers'!$AI$4:$AI$503,369))</f>
        <v/>
      </c>
    </row>
    <row r="373">
      <c r="A373">
        <f>IF(AND(LEN('Providers'!A373)&gt;0,ISNUMBER('Providers'!G373)),1,0)</f>
        <v/>
      </c>
      <c r="B373">
        <f>B372+A373</f>
        <v/>
      </c>
      <c r="C373">
        <f>IF(370&gt;$B$4503,"",MATCH(370-0.5,$B$3:$B$4503,1))</f>
        <v/>
      </c>
      <c r="D373">
        <f>"State license ("&amp;IF(LEN(INDEX('Providers'!$E$4:$E$503,370))=0,"",INDEX('Providers'!$E$4:$E$503,370))&amp;") – "&amp;IF(LEN(INDEX('Providers'!$A$4:$A$503,370))=0,"",INDEX('Providers'!$A$4:$A$503,370))</f>
        <v/>
      </c>
      <c r="E373">
        <f>IF(ISNUMBER(INDEX('Providers'!$G$4:$G$503,370)),TEXT(INDEX('Providers'!$G$4:$G$503,370),"yyyy-mm-dd"),"")</f>
        <v/>
      </c>
      <c r="F373">
        <f>"License"</f>
        <v/>
      </c>
      <c r="G373">
        <f>""</f>
        <v/>
      </c>
      <c r="H373">
        <f>"High"</f>
        <v/>
      </c>
      <c r="I373">
        <f>TRIM(IF(LEN(IF(LEN(INDEX('Providers'!$F$4:$F$503,370))=0,"",INDEX('Providers'!$F$4:$F$503,370)))=0,"","License no.: "&amp;IF(LEN(INDEX('Providers'!$F$4:$F$503,370))=0,"",INDEX('Providers'!$F$4:$F$503,370))&amp;". ")&amp;IF(LEN(IF(LEN(INDEX('Providers'!$C$4:$C$503,370))=0,"",INDEX('Providers'!$C$4:$C$503,370)))=0,"","NPI: "&amp;IF(LEN(INDEX('Providers'!$C$4:$C$503,370))=0,"",INDEX('Providers'!$C$4:$C$503,370))&amp;". ")&amp;IF(LEN(IF(LEN(INDEX('Providers'!$D$4:$D$503,370))=0,"",INDEX('Providers'!$D$4:$D$503,370)))=0,"","Specialty: "&amp;IF(LEN(INDEX('Providers'!$D$4:$D$503,370))=0,"",INDEX('Providers'!$D$4:$D$503,370))&amp;". ")&amp;IF(LEN(IF(LEN(INDEX('Providers'!$AK$4:$AK$503,370))=0,"",INDEX('Providers'!$AK$4:$AK$503,370)))=0,"",IF(LEN(INDEX('Providers'!$AK$4:$AK$503,370))=0,"",INDEX('Providers'!$AK$4:$AK$503,370))))</f>
        <v/>
      </c>
      <c r="J373">
        <f>IF(LEN(INDEX('Providers'!$AJ$4:$AJ$503,370))=0,"",INDEX('Providers'!$AJ$4:$AJ$503,370))</f>
        <v/>
      </c>
      <c r="K373">
        <f>IF(LEN(INDEX('Providers'!$AI$4:$AI$503,370))=0,"",INDEX('Providers'!$AI$4:$AI$503,370))</f>
        <v/>
      </c>
    </row>
    <row r="374">
      <c r="A374">
        <f>IF(AND(LEN('Providers'!A374)&gt;0,ISNUMBER('Providers'!G374)),1,0)</f>
        <v/>
      </c>
      <c r="B374">
        <f>B373+A374</f>
        <v/>
      </c>
      <c r="C374">
        <f>IF(371&gt;$B$4503,"",MATCH(371-0.5,$B$3:$B$4503,1))</f>
        <v/>
      </c>
      <c r="D374">
        <f>"State license ("&amp;IF(LEN(INDEX('Providers'!$E$4:$E$503,371))=0,"",INDEX('Providers'!$E$4:$E$503,371))&amp;") – "&amp;IF(LEN(INDEX('Providers'!$A$4:$A$503,371))=0,"",INDEX('Providers'!$A$4:$A$503,371))</f>
        <v/>
      </c>
      <c r="E374">
        <f>IF(ISNUMBER(INDEX('Providers'!$G$4:$G$503,371)),TEXT(INDEX('Providers'!$G$4:$G$503,371),"yyyy-mm-dd"),"")</f>
        <v/>
      </c>
      <c r="F374">
        <f>"License"</f>
        <v/>
      </c>
      <c r="G374">
        <f>""</f>
        <v/>
      </c>
      <c r="H374">
        <f>"High"</f>
        <v/>
      </c>
      <c r="I374">
        <f>TRIM(IF(LEN(IF(LEN(INDEX('Providers'!$F$4:$F$503,371))=0,"",INDEX('Providers'!$F$4:$F$503,371)))=0,"","License no.: "&amp;IF(LEN(INDEX('Providers'!$F$4:$F$503,371))=0,"",INDEX('Providers'!$F$4:$F$503,371))&amp;". ")&amp;IF(LEN(IF(LEN(INDEX('Providers'!$C$4:$C$503,371))=0,"",INDEX('Providers'!$C$4:$C$503,371)))=0,"","NPI: "&amp;IF(LEN(INDEX('Providers'!$C$4:$C$503,371))=0,"",INDEX('Providers'!$C$4:$C$503,371))&amp;". ")&amp;IF(LEN(IF(LEN(INDEX('Providers'!$D$4:$D$503,371))=0,"",INDEX('Providers'!$D$4:$D$503,371)))=0,"","Specialty: "&amp;IF(LEN(INDEX('Providers'!$D$4:$D$503,371))=0,"",INDEX('Providers'!$D$4:$D$503,371))&amp;". ")&amp;IF(LEN(IF(LEN(INDEX('Providers'!$AK$4:$AK$503,371))=0,"",INDEX('Providers'!$AK$4:$AK$503,371)))=0,"",IF(LEN(INDEX('Providers'!$AK$4:$AK$503,371))=0,"",INDEX('Providers'!$AK$4:$AK$503,371))))</f>
        <v/>
      </c>
      <c r="J374">
        <f>IF(LEN(INDEX('Providers'!$AJ$4:$AJ$503,371))=0,"",INDEX('Providers'!$AJ$4:$AJ$503,371))</f>
        <v/>
      </c>
      <c r="K374">
        <f>IF(LEN(INDEX('Providers'!$AI$4:$AI$503,371))=0,"",INDEX('Providers'!$AI$4:$AI$503,371))</f>
        <v/>
      </c>
    </row>
    <row r="375">
      <c r="A375">
        <f>IF(AND(LEN('Providers'!A375)&gt;0,ISNUMBER('Providers'!G375)),1,0)</f>
        <v/>
      </c>
      <c r="B375">
        <f>B374+A375</f>
        <v/>
      </c>
      <c r="C375">
        <f>IF(372&gt;$B$4503,"",MATCH(372-0.5,$B$3:$B$4503,1))</f>
        <v/>
      </c>
      <c r="D375">
        <f>"State license ("&amp;IF(LEN(INDEX('Providers'!$E$4:$E$503,372))=0,"",INDEX('Providers'!$E$4:$E$503,372))&amp;") – "&amp;IF(LEN(INDEX('Providers'!$A$4:$A$503,372))=0,"",INDEX('Providers'!$A$4:$A$503,372))</f>
        <v/>
      </c>
      <c r="E375">
        <f>IF(ISNUMBER(INDEX('Providers'!$G$4:$G$503,372)),TEXT(INDEX('Providers'!$G$4:$G$503,372),"yyyy-mm-dd"),"")</f>
        <v/>
      </c>
      <c r="F375">
        <f>"License"</f>
        <v/>
      </c>
      <c r="G375">
        <f>""</f>
        <v/>
      </c>
      <c r="H375">
        <f>"High"</f>
        <v/>
      </c>
      <c r="I375">
        <f>TRIM(IF(LEN(IF(LEN(INDEX('Providers'!$F$4:$F$503,372))=0,"",INDEX('Providers'!$F$4:$F$503,372)))=0,"","License no.: "&amp;IF(LEN(INDEX('Providers'!$F$4:$F$503,372))=0,"",INDEX('Providers'!$F$4:$F$503,372))&amp;". ")&amp;IF(LEN(IF(LEN(INDEX('Providers'!$C$4:$C$503,372))=0,"",INDEX('Providers'!$C$4:$C$503,372)))=0,"","NPI: "&amp;IF(LEN(INDEX('Providers'!$C$4:$C$503,372))=0,"",INDEX('Providers'!$C$4:$C$503,372))&amp;". ")&amp;IF(LEN(IF(LEN(INDEX('Providers'!$D$4:$D$503,372))=0,"",INDEX('Providers'!$D$4:$D$503,372)))=0,"","Specialty: "&amp;IF(LEN(INDEX('Providers'!$D$4:$D$503,372))=0,"",INDEX('Providers'!$D$4:$D$503,372))&amp;". ")&amp;IF(LEN(IF(LEN(INDEX('Providers'!$AK$4:$AK$503,372))=0,"",INDEX('Providers'!$AK$4:$AK$503,372)))=0,"",IF(LEN(INDEX('Providers'!$AK$4:$AK$503,372))=0,"",INDEX('Providers'!$AK$4:$AK$503,372))))</f>
        <v/>
      </c>
      <c r="J375">
        <f>IF(LEN(INDEX('Providers'!$AJ$4:$AJ$503,372))=0,"",INDEX('Providers'!$AJ$4:$AJ$503,372))</f>
        <v/>
      </c>
      <c r="K375">
        <f>IF(LEN(INDEX('Providers'!$AI$4:$AI$503,372))=0,"",INDEX('Providers'!$AI$4:$AI$503,372))</f>
        <v/>
      </c>
    </row>
    <row r="376">
      <c r="A376">
        <f>IF(AND(LEN('Providers'!A376)&gt;0,ISNUMBER('Providers'!G376)),1,0)</f>
        <v/>
      </c>
      <c r="B376">
        <f>B375+A376</f>
        <v/>
      </c>
      <c r="C376">
        <f>IF(373&gt;$B$4503,"",MATCH(373-0.5,$B$3:$B$4503,1))</f>
        <v/>
      </c>
      <c r="D376">
        <f>"State license ("&amp;IF(LEN(INDEX('Providers'!$E$4:$E$503,373))=0,"",INDEX('Providers'!$E$4:$E$503,373))&amp;") – "&amp;IF(LEN(INDEX('Providers'!$A$4:$A$503,373))=0,"",INDEX('Providers'!$A$4:$A$503,373))</f>
        <v/>
      </c>
      <c r="E376">
        <f>IF(ISNUMBER(INDEX('Providers'!$G$4:$G$503,373)),TEXT(INDEX('Providers'!$G$4:$G$503,373),"yyyy-mm-dd"),"")</f>
        <v/>
      </c>
      <c r="F376">
        <f>"License"</f>
        <v/>
      </c>
      <c r="G376">
        <f>""</f>
        <v/>
      </c>
      <c r="H376">
        <f>"High"</f>
        <v/>
      </c>
      <c r="I376">
        <f>TRIM(IF(LEN(IF(LEN(INDEX('Providers'!$F$4:$F$503,373))=0,"",INDEX('Providers'!$F$4:$F$503,373)))=0,"","License no.: "&amp;IF(LEN(INDEX('Providers'!$F$4:$F$503,373))=0,"",INDEX('Providers'!$F$4:$F$503,373))&amp;". ")&amp;IF(LEN(IF(LEN(INDEX('Providers'!$C$4:$C$503,373))=0,"",INDEX('Providers'!$C$4:$C$503,373)))=0,"","NPI: "&amp;IF(LEN(INDEX('Providers'!$C$4:$C$503,373))=0,"",INDEX('Providers'!$C$4:$C$503,373))&amp;". ")&amp;IF(LEN(IF(LEN(INDEX('Providers'!$D$4:$D$503,373))=0,"",INDEX('Providers'!$D$4:$D$503,373)))=0,"","Specialty: "&amp;IF(LEN(INDEX('Providers'!$D$4:$D$503,373))=0,"",INDEX('Providers'!$D$4:$D$503,373))&amp;". ")&amp;IF(LEN(IF(LEN(INDEX('Providers'!$AK$4:$AK$503,373))=0,"",INDEX('Providers'!$AK$4:$AK$503,373)))=0,"",IF(LEN(INDEX('Providers'!$AK$4:$AK$503,373))=0,"",INDEX('Providers'!$AK$4:$AK$503,373))))</f>
        <v/>
      </c>
      <c r="J376">
        <f>IF(LEN(INDEX('Providers'!$AJ$4:$AJ$503,373))=0,"",INDEX('Providers'!$AJ$4:$AJ$503,373))</f>
        <v/>
      </c>
      <c r="K376">
        <f>IF(LEN(INDEX('Providers'!$AI$4:$AI$503,373))=0,"",INDEX('Providers'!$AI$4:$AI$503,373))</f>
        <v/>
      </c>
    </row>
    <row r="377">
      <c r="A377">
        <f>IF(AND(LEN('Providers'!A377)&gt;0,ISNUMBER('Providers'!G377)),1,0)</f>
        <v/>
      </c>
      <c r="B377">
        <f>B376+A377</f>
        <v/>
      </c>
      <c r="C377">
        <f>IF(374&gt;$B$4503,"",MATCH(374-0.5,$B$3:$B$4503,1))</f>
        <v/>
      </c>
      <c r="D377">
        <f>"State license ("&amp;IF(LEN(INDEX('Providers'!$E$4:$E$503,374))=0,"",INDEX('Providers'!$E$4:$E$503,374))&amp;") – "&amp;IF(LEN(INDEX('Providers'!$A$4:$A$503,374))=0,"",INDEX('Providers'!$A$4:$A$503,374))</f>
        <v/>
      </c>
      <c r="E377">
        <f>IF(ISNUMBER(INDEX('Providers'!$G$4:$G$503,374)),TEXT(INDEX('Providers'!$G$4:$G$503,374),"yyyy-mm-dd"),"")</f>
        <v/>
      </c>
      <c r="F377">
        <f>"License"</f>
        <v/>
      </c>
      <c r="G377">
        <f>""</f>
        <v/>
      </c>
      <c r="H377">
        <f>"High"</f>
        <v/>
      </c>
      <c r="I377">
        <f>TRIM(IF(LEN(IF(LEN(INDEX('Providers'!$F$4:$F$503,374))=0,"",INDEX('Providers'!$F$4:$F$503,374)))=0,"","License no.: "&amp;IF(LEN(INDEX('Providers'!$F$4:$F$503,374))=0,"",INDEX('Providers'!$F$4:$F$503,374))&amp;". ")&amp;IF(LEN(IF(LEN(INDEX('Providers'!$C$4:$C$503,374))=0,"",INDEX('Providers'!$C$4:$C$503,374)))=0,"","NPI: "&amp;IF(LEN(INDEX('Providers'!$C$4:$C$503,374))=0,"",INDEX('Providers'!$C$4:$C$503,374))&amp;". ")&amp;IF(LEN(IF(LEN(INDEX('Providers'!$D$4:$D$503,374))=0,"",INDEX('Providers'!$D$4:$D$503,374)))=0,"","Specialty: "&amp;IF(LEN(INDEX('Providers'!$D$4:$D$503,374))=0,"",INDEX('Providers'!$D$4:$D$503,374))&amp;". ")&amp;IF(LEN(IF(LEN(INDEX('Providers'!$AK$4:$AK$503,374))=0,"",INDEX('Providers'!$AK$4:$AK$503,374)))=0,"",IF(LEN(INDEX('Providers'!$AK$4:$AK$503,374))=0,"",INDEX('Providers'!$AK$4:$AK$503,374))))</f>
        <v/>
      </c>
      <c r="J377">
        <f>IF(LEN(INDEX('Providers'!$AJ$4:$AJ$503,374))=0,"",INDEX('Providers'!$AJ$4:$AJ$503,374))</f>
        <v/>
      </c>
      <c r="K377">
        <f>IF(LEN(INDEX('Providers'!$AI$4:$AI$503,374))=0,"",INDEX('Providers'!$AI$4:$AI$503,374))</f>
        <v/>
      </c>
    </row>
    <row r="378">
      <c r="A378">
        <f>IF(AND(LEN('Providers'!A378)&gt;0,ISNUMBER('Providers'!G378)),1,0)</f>
        <v/>
      </c>
      <c r="B378">
        <f>B377+A378</f>
        <v/>
      </c>
      <c r="C378">
        <f>IF(375&gt;$B$4503,"",MATCH(375-0.5,$B$3:$B$4503,1))</f>
        <v/>
      </c>
      <c r="D378">
        <f>"State license ("&amp;IF(LEN(INDEX('Providers'!$E$4:$E$503,375))=0,"",INDEX('Providers'!$E$4:$E$503,375))&amp;") – "&amp;IF(LEN(INDEX('Providers'!$A$4:$A$503,375))=0,"",INDEX('Providers'!$A$4:$A$503,375))</f>
        <v/>
      </c>
      <c r="E378">
        <f>IF(ISNUMBER(INDEX('Providers'!$G$4:$G$503,375)),TEXT(INDEX('Providers'!$G$4:$G$503,375),"yyyy-mm-dd"),"")</f>
        <v/>
      </c>
      <c r="F378">
        <f>"License"</f>
        <v/>
      </c>
      <c r="G378">
        <f>""</f>
        <v/>
      </c>
      <c r="H378">
        <f>"High"</f>
        <v/>
      </c>
      <c r="I378">
        <f>TRIM(IF(LEN(IF(LEN(INDEX('Providers'!$F$4:$F$503,375))=0,"",INDEX('Providers'!$F$4:$F$503,375)))=0,"","License no.: "&amp;IF(LEN(INDEX('Providers'!$F$4:$F$503,375))=0,"",INDEX('Providers'!$F$4:$F$503,375))&amp;". ")&amp;IF(LEN(IF(LEN(INDEX('Providers'!$C$4:$C$503,375))=0,"",INDEX('Providers'!$C$4:$C$503,375)))=0,"","NPI: "&amp;IF(LEN(INDEX('Providers'!$C$4:$C$503,375))=0,"",INDEX('Providers'!$C$4:$C$503,375))&amp;". ")&amp;IF(LEN(IF(LEN(INDEX('Providers'!$D$4:$D$503,375))=0,"",INDEX('Providers'!$D$4:$D$503,375)))=0,"","Specialty: "&amp;IF(LEN(INDEX('Providers'!$D$4:$D$503,375))=0,"",INDEX('Providers'!$D$4:$D$503,375))&amp;". ")&amp;IF(LEN(IF(LEN(INDEX('Providers'!$AK$4:$AK$503,375))=0,"",INDEX('Providers'!$AK$4:$AK$503,375)))=0,"",IF(LEN(INDEX('Providers'!$AK$4:$AK$503,375))=0,"",INDEX('Providers'!$AK$4:$AK$503,375))))</f>
        <v/>
      </c>
      <c r="J378">
        <f>IF(LEN(INDEX('Providers'!$AJ$4:$AJ$503,375))=0,"",INDEX('Providers'!$AJ$4:$AJ$503,375))</f>
        <v/>
      </c>
      <c r="K378">
        <f>IF(LEN(INDEX('Providers'!$AI$4:$AI$503,375))=0,"",INDEX('Providers'!$AI$4:$AI$503,375))</f>
        <v/>
      </c>
    </row>
    <row r="379">
      <c r="A379">
        <f>IF(AND(LEN('Providers'!A379)&gt;0,ISNUMBER('Providers'!G379)),1,0)</f>
        <v/>
      </c>
      <c r="B379">
        <f>B378+A379</f>
        <v/>
      </c>
      <c r="C379">
        <f>IF(376&gt;$B$4503,"",MATCH(376-0.5,$B$3:$B$4503,1))</f>
        <v/>
      </c>
      <c r="D379">
        <f>"State license ("&amp;IF(LEN(INDEX('Providers'!$E$4:$E$503,376))=0,"",INDEX('Providers'!$E$4:$E$503,376))&amp;") – "&amp;IF(LEN(INDEX('Providers'!$A$4:$A$503,376))=0,"",INDEX('Providers'!$A$4:$A$503,376))</f>
        <v/>
      </c>
      <c r="E379">
        <f>IF(ISNUMBER(INDEX('Providers'!$G$4:$G$503,376)),TEXT(INDEX('Providers'!$G$4:$G$503,376),"yyyy-mm-dd"),"")</f>
        <v/>
      </c>
      <c r="F379">
        <f>"License"</f>
        <v/>
      </c>
      <c r="G379">
        <f>""</f>
        <v/>
      </c>
      <c r="H379">
        <f>"High"</f>
        <v/>
      </c>
      <c r="I379">
        <f>TRIM(IF(LEN(IF(LEN(INDEX('Providers'!$F$4:$F$503,376))=0,"",INDEX('Providers'!$F$4:$F$503,376)))=0,"","License no.: "&amp;IF(LEN(INDEX('Providers'!$F$4:$F$503,376))=0,"",INDEX('Providers'!$F$4:$F$503,376))&amp;". ")&amp;IF(LEN(IF(LEN(INDEX('Providers'!$C$4:$C$503,376))=0,"",INDEX('Providers'!$C$4:$C$503,376)))=0,"","NPI: "&amp;IF(LEN(INDEX('Providers'!$C$4:$C$503,376))=0,"",INDEX('Providers'!$C$4:$C$503,376))&amp;". ")&amp;IF(LEN(IF(LEN(INDEX('Providers'!$D$4:$D$503,376))=0,"",INDEX('Providers'!$D$4:$D$503,376)))=0,"","Specialty: "&amp;IF(LEN(INDEX('Providers'!$D$4:$D$503,376))=0,"",INDEX('Providers'!$D$4:$D$503,376))&amp;". ")&amp;IF(LEN(IF(LEN(INDEX('Providers'!$AK$4:$AK$503,376))=0,"",INDEX('Providers'!$AK$4:$AK$503,376)))=0,"",IF(LEN(INDEX('Providers'!$AK$4:$AK$503,376))=0,"",INDEX('Providers'!$AK$4:$AK$503,376))))</f>
        <v/>
      </c>
      <c r="J379">
        <f>IF(LEN(INDEX('Providers'!$AJ$4:$AJ$503,376))=0,"",INDEX('Providers'!$AJ$4:$AJ$503,376))</f>
        <v/>
      </c>
      <c r="K379">
        <f>IF(LEN(INDEX('Providers'!$AI$4:$AI$503,376))=0,"",INDEX('Providers'!$AI$4:$AI$503,376))</f>
        <v/>
      </c>
    </row>
    <row r="380">
      <c r="A380">
        <f>IF(AND(LEN('Providers'!A380)&gt;0,ISNUMBER('Providers'!G380)),1,0)</f>
        <v/>
      </c>
      <c r="B380">
        <f>B379+A380</f>
        <v/>
      </c>
      <c r="C380">
        <f>IF(377&gt;$B$4503,"",MATCH(377-0.5,$B$3:$B$4503,1))</f>
        <v/>
      </c>
      <c r="D380">
        <f>"State license ("&amp;IF(LEN(INDEX('Providers'!$E$4:$E$503,377))=0,"",INDEX('Providers'!$E$4:$E$503,377))&amp;") – "&amp;IF(LEN(INDEX('Providers'!$A$4:$A$503,377))=0,"",INDEX('Providers'!$A$4:$A$503,377))</f>
        <v/>
      </c>
      <c r="E380">
        <f>IF(ISNUMBER(INDEX('Providers'!$G$4:$G$503,377)),TEXT(INDEX('Providers'!$G$4:$G$503,377),"yyyy-mm-dd"),"")</f>
        <v/>
      </c>
      <c r="F380">
        <f>"License"</f>
        <v/>
      </c>
      <c r="G380">
        <f>""</f>
        <v/>
      </c>
      <c r="H380">
        <f>"High"</f>
        <v/>
      </c>
      <c r="I380">
        <f>TRIM(IF(LEN(IF(LEN(INDEX('Providers'!$F$4:$F$503,377))=0,"",INDEX('Providers'!$F$4:$F$503,377)))=0,"","License no.: "&amp;IF(LEN(INDEX('Providers'!$F$4:$F$503,377))=0,"",INDEX('Providers'!$F$4:$F$503,377))&amp;". ")&amp;IF(LEN(IF(LEN(INDEX('Providers'!$C$4:$C$503,377))=0,"",INDEX('Providers'!$C$4:$C$503,377)))=0,"","NPI: "&amp;IF(LEN(INDEX('Providers'!$C$4:$C$503,377))=0,"",INDEX('Providers'!$C$4:$C$503,377))&amp;". ")&amp;IF(LEN(IF(LEN(INDEX('Providers'!$D$4:$D$503,377))=0,"",INDEX('Providers'!$D$4:$D$503,377)))=0,"","Specialty: "&amp;IF(LEN(INDEX('Providers'!$D$4:$D$503,377))=0,"",INDEX('Providers'!$D$4:$D$503,377))&amp;". ")&amp;IF(LEN(IF(LEN(INDEX('Providers'!$AK$4:$AK$503,377))=0,"",INDEX('Providers'!$AK$4:$AK$503,377)))=0,"",IF(LEN(INDEX('Providers'!$AK$4:$AK$503,377))=0,"",INDEX('Providers'!$AK$4:$AK$503,377))))</f>
        <v/>
      </c>
      <c r="J380">
        <f>IF(LEN(INDEX('Providers'!$AJ$4:$AJ$503,377))=0,"",INDEX('Providers'!$AJ$4:$AJ$503,377))</f>
        <v/>
      </c>
      <c r="K380">
        <f>IF(LEN(INDEX('Providers'!$AI$4:$AI$503,377))=0,"",INDEX('Providers'!$AI$4:$AI$503,377))</f>
        <v/>
      </c>
    </row>
    <row r="381">
      <c r="A381">
        <f>IF(AND(LEN('Providers'!A381)&gt;0,ISNUMBER('Providers'!G381)),1,0)</f>
        <v/>
      </c>
      <c r="B381">
        <f>B380+A381</f>
        <v/>
      </c>
      <c r="C381">
        <f>IF(378&gt;$B$4503,"",MATCH(378-0.5,$B$3:$B$4503,1))</f>
        <v/>
      </c>
      <c r="D381">
        <f>"State license ("&amp;IF(LEN(INDEX('Providers'!$E$4:$E$503,378))=0,"",INDEX('Providers'!$E$4:$E$503,378))&amp;") – "&amp;IF(LEN(INDEX('Providers'!$A$4:$A$503,378))=0,"",INDEX('Providers'!$A$4:$A$503,378))</f>
        <v/>
      </c>
      <c r="E381">
        <f>IF(ISNUMBER(INDEX('Providers'!$G$4:$G$503,378)),TEXT(INDEX('Providers'!$G$4:$G$503,378),"yyyy-mm-dd"),"")</f>
        <v/>
      </c>
      <c r="F381">
        <f>"License"</f>
        <v/>
      </c>
      <c r="G381">
        <f>""</f>
        <v/>
      </c>
      <c r="H381">
        <f>"High"</f>
        <v/>
      </c>
      <c r="I381">
        <f>TRIM(IF(LEN(IF(LEN(INDEX('Providers'!$F$4:$F$503,378))=0,"",INDEX('Providers'!$F$4:$F$503,378)))=0,"","License no.: "&amp;IF(LEN(INDEX('Providers'!$F$4:$F$503,378))=0,"",INDEX('Providers'!$F$4:$F$503,378))&amp;". ")&amp;IF(LEN(IF(LEN(INDEX('Providers'!$C$4:$C$503,378))=0,"",INDEX('Providers'!$C$4:$C$503,378)))=0,"","NPI: "&amp;IF(LEN(INDEX('Providers'!$C$4:$C$503,378))=0,"",INDEX('Providers'!$C$4:$C$503,378))&amp;". ")&amp;IF(LEN(IF(LEN(INDEX('Providers'!$D$4:$D$503,378))=0,"",INDEX('Providers'!$D$4:$D$503,378)))=0,"","Specialty: "&amp;IF(LEN(INDEX('Providers'!$D$4:$D$503,378))=0,"",INDEX('Providers'!$D$4:$D$503,378))&amp;". ")&amp;IF(LEN(IF(LEN(INDEX('Providers'!$AK$4:$AK$503,378))=0,"",INDEX('Providers'!$AK$4:$AK$503,378)))=0,"",IF(LEN(INDEX('Providers'!$AK$4:$AK$503,378))=0,"",INDEX('Providers'!$AK$4:$AK$503,378))))</f>
        <v/>
      </c>
      <c r="J381">
        <f>IF(LEN(INDEX('Providers'!$AJ$4:$AJ$503,378))=0,"",INDEX('Providers'!$AJ$4:$AJ$503,378))</f>
        <v/>
      </c>
      <c r="K381">
        <f>IF(LEN(INDEX('Providers'!$AI$4:$AI$503,378))=0,"",INDEX('Providers'!$AI$4:$AI$503,378))</f>
        <v/>
      </c>
    </row>
    <row r="382">
      <c r="A382">
        <f>IF(AND(LEN('Providers'!A382)&gt;0,ISNUMBER('Providers'!G382)),1,0)</f>
        <v/>
      </c>
      <c r="B382">
        <f>B381+A382</f>
        <v/>
      </c>
      <c r="C382">
        <f>IF(379&gt;$B$4503,"",MATCH(379-0.5,$B$3:$B$4503,1))</f>
        <v/>
      </c>
      <c r="D382">
        <f>"State license ("&amp;IF(LEN(INDEX('Providers'!$E$4:$E$503,379))=0,"",INDEX('Providers'!$E$4:$E$503,379))&amp;") – "&amp;IF(LEN(INDEX('Providers'!$A$4:$A$503,379))=0,"",INDEX('Providers'!$A$4:$A$503,379))</f>
        <v/>
      </c>
      <c r="E382">
        <f>IF(ISNUMBER(INDEX('Providers'!$G$4:$G$503,379)),TEXT(INDEX('Providers'!$G$4:$G$503,379),"yyyy-mm-dd"),"")</f>
        <v/>
      </c>
      <c r="F382">
        <f>"License"</f>
        <v/>
      </c>
      <c r="G382">
        <f>""</f>
        <v/>
      </c>
      <c r="H382">
        <f>"High"</f>
        <v/>
      </c>
      <c r="I382">
        <f>TRIM(IF(LEN(IF(LEN(INDEX('Providers'!$F$4:$F$503,379))=0,"",INDEX('Providers'!$F$4:$F$503,379)))=0,"","License no.: "&amp;IF(LEN(INDEX('Providers'!$F$4:$F$503,379))=0,"",INDEX('Providers'!$F$4:$F$503,379))&amp;". ")&amp;IF(LEN(IF(LEN(INDEX('Providers'!$C$4:$C$503,379))=0,"",INDEX('Providers'!$C$4:$C$503,379)))=0,"","NPI: "&amp;IF(LEN(INDEX('Providers'!$C$4:$C$503,379))=0,"",INDEX('Providers'!$C$4:$C$503,379))&amp;". ")&amp;IF(LEN(IF(LEN(INDEX('Providers'!$D$4:$D$503,379))=0,"",INDEX('Providers'!$D$4:$D$503,379)))=0,"","Specialty: "&amp;IF(LEN(INDEX('Providers'!$D$4:$D$503,379))=0,"",INDEX('Providers'!$D$4:$D$503,379))&amp;". ")&amp;IF(LEN(IF(LEN(INDEX('Providers'!$AK$4:$AK$503,379))=0,"",INDEX('Providers'!$AK$4:$AK$503,379)))=0,"",IF(LEN(INDEX('Providers'!$AK$4:$AK$503,379))=0,"",INDEX('Providers'!$AK$4:$AK$503,379))))</f>
        <v/>
      </c>
      <c r="J382">
        <f>IF(LEN(INDEX('Providers'!$AJ$4:$AJ$503,379))=0,"",INDEX('Providers'!$AJ$4:$AJ$503,379))</f>
        <v/>
      </c>
      <c r="K382">
        <f>IF(LEN(INDEX('Providers'!$AI$4:$AI$503,379))=0,"",INDEX('Providers'!$AI$4:$AI$503,379))</f>
        <v/>
      </c>
    </row>
    <row r="383">
      <c r="A383">
        <f>IF(AND(LEN('Providers'!A383)&gt;0,ISNUMBER('Providers'!G383)),1,0)</f>
        <v/>
      </c>
      <c r="B383">
        <f>B382+A383</f>
        <v/>
      </c>
      <c r="C383">
        <f>IF(380&gt;$B$4503,"",MATCH(380-0.5,$B$3:$B$4503,1))</f>
        <v/>
      </c>
      <c r="D383">
        <f>"State license ("&amp;IF(LEN(INDEX('Providers'!$E$4:$E$503,380))=0,"",INDEX('Providers'!$E$4:$E$503,380))&amp;") – "&amp;IF(LEN(INDEX('Providers'!$A$4:$A$503,380))=0,"",INDEX('Providers'!$A$4:$A$503,380))</f>
        <v/>
      </c>
      <c r="E383">
        <f>IF(ISNUMBER(INDEX('Providers'!$G$4:$G$503,380)),TEXT(INDEX('Providers'!$G$4:$G$503,380),"yyyy-mm-dd"),"")</f>
        <v/>
      </c>
      <c r="F383">
        <f>"License"</f>
        <v/>
      </c>
      <c r="G383">
        <f>""</f>
        <v/>
      </c>
      <c r="H383">
        <f>"High"</f>
        <v/>
      </c>
      <c r="I383">
        <f>TRIM(IF(LEN(IF(LEN(INDEX('Providers'!$F$4:$F$503,380))=0,"",INDEX('Providers'!$F$4:$F$503,380)))=0,"","License no.: "&amp;IF(LEN(INDEX('Providers'!$F$4:$F$503,380))=0,"",INDEX('Providers'!$F$4:$F$503,380))&amp;". ")&amp;IF(LEN(IF(LEN(INDEX('Providers'!$C$4:$C$503,380))=0,"",INDEX('Providers'!$C$4:$C$503,380)))=0,"","NPI: "&amp;IF(LEN(INDEX('Providers'!$C$4:$C$503,380))=0,"",INDEX('Providers'!$C$4:$C$503,380))&amp;". ")&amp;IF(LEN(IF(LEN(INDEX('Providers'!$D$4:$D$503,380))=0,"",INDEX('Providers'!$D$4:$D$503,380)))=0,"","Specialty: "&amp;IF(LEN(INDEX('Providers'!$D$4:$D$503,380))=0,"",INDEX('Providers'!$D$4:$D$503,380))&amp;". ")&amp;IF(LEN(IF(LEN(INDEX('Providers'!$AK$4:$AK$503,380))=0,"",INDEX('Providers'!$AK$4:$AK$503,380)))=0,"",IF(LEN(INDEX('Providers'!$AK$4:$AK$503,380))=0,"",INDEX('Providers'!$AK$4:$AK$503,380))))</f>
        <v/>
      </c>
      <c r="J383">
        <f>IF(LEN(INDEX('Providers'!$AJ$4:$AJ$503,380))=0,"",INDEX('Providers'!$AJ$4:$AJ$503,380))</f>
        <v/>
      </c>
      <c r="K383">
        <f>IF(LEN(INDEX('Providers'!$AI$4:$AI$503,380))=0,"",INDEX('Providers'!$AI$4:$AI$503,380))</f>
        <v/>
      </c>
    </row>
    <row r="384">
      <c r="A384">
        <f>IF(AND(LEN('Providers'!A384)&gt;0,ISNUMBER('Providers'!G384)),1,0)</f>
        <v/>
      </c>
      <c r="B384">
        <f>B383+A384</f>
        <v/>
      </c>
      <c r="C384">
        <f>IF(381&gt;$B$4503,"",MATCH(381-0.5,$B$3:$B$4503,1))</f>
        <v/>
      </c>
      <c r="D384">
        <f>"State license ("&amp;IF(LEN(INDEX('Providers'!$E$4:$E$503,381))=0,"",INDEX('Providers'!$E$4:$E$503,381))&amp;") – "&amp;IF(LEN(INDEX('Providers'!$A$4:$A$503,381))=0,"",INDEX('Providers'!$A$4:$A$503,381))</f>
        <v/>
      </c>
      <c r="E384">
        <f>IF(ISNUMBER(INDEX('Providers'!$G$4:$G$503,381)),TEXT(INDEX('Providers'!$G$4:$G$503,381),"yyyy-mm-dd"),"")</f>
        <v/>
      </c>
      <c r="F384">
        <f>"License"</f>
        <v/>
      </c>
      <c r="G384">
        <f>""</f>
        <v/>
      </c>
      <c r="H384">
        <f>"High"</f>
        <v/>
      </c>
      <c r="I384">
        <f>TRIM(IF(LEN(IF(LEN(INDEX('Providers'!$F$4:$F$503,381))=0,"",INDEX('Providers'!$F$4:$F$503,381)))=0,"","License no.: "&amp;IF(LEN(INDEX('Providers'!$F$4:$F$503,381))=0,"",INDEX('Providers'!$F$4:$F$503,381))&amp;". ")&amp;IF(LEN(IF(LEN(INDEX('Providers'!$C$4:$C$503,381))=0,"",INDEX('Providers'!$C$4:$C$503,381)))=0,"","NPI: "&amp;IF(LEN(INDEX('Providers'!$C$4:$C$503,381))=0,"",INDEX('Providers'!$C$4:$C$503,381))&amp;". ")&amp;IF(LEN(IF(LEN(INDEX('Providers'!$D$4:$D$503,381))=0,"",INDEX('Providers'!$D$4:$D$503,381)))=0,"","Specialty: "&amp;IF(LEN(INDEX('Providers'!$D$4:$D$503,381))=0,"",INDEX('Providers'!$D$4:$D$503,381))&amp;". ")&amp;IF(LEN(IF(LEN(INDEX('Providers'!$AK$4:$AK$503,381))=0,"",INDEX('Providers'!$AK$4:$AK$503,381)))=0,"",IF(LEN(INDEX('Providers'!$AK$4:$AK$503,381))=0,"",INDEX('Providers'!$AK$4:$AK$503,381))))</f>
        <v/>
      </c>
      <c r="J384">
        <f>IF(LEN(INDEX('Providers'!$AJ$4:$AJ$503,381))=0,"",INDEX('Providers'!$AJ$4:$AJ$503,381))</f>
        <v/>
      </c>
      <c r="K384">
        <f>IF(LEN(INDEX('Providers'!$AI$4:$AI$503,381))=0,"",INDEX('Providers'!$AI$4:$AI$503,381))</f>
        <v/>
      </c>
    </row>
    <row r="385">
      <c r="A385">
        <f>IF(AND(LEN('Providers'!A385)&gt;0,ISNUMBER('Providers'!G385)),1,0)</f>
        <v/>
      </c>
      <c r="B385">
        <f>B384+A385</f>
        <v/>
      </c>
      <c r="C385">
        <f>IF(382&gt;$B$4503,"",MATCH(382-0.5,$B$3:$B$4503,1))</f>
        <v/>
      </c>
      <c r="D385">
        <f>"State license ("&amp;IF(LEN(INDEX('Providers'!$E$4:$E$503,382))=0,"",INDEX('Providers'!$E$4:$E$503,382))&amp;") – "&amp;IF(LEN(INDEX('Providers'!$A$4:$A$503,382))=0,"",INDEX('Providers'!$A$4:$A$503,382))</f>
        <v/>
      </c>
      <c r="E385">
        <f>IF(ISNUMBER(INDEX('Providers'!$G$4:$G$503,382)),TEXT(INDEX('Providers'!$G$4:$G$503,382),"yyyy-mm-dd"),"")</f>
        <v/>
      </c>
      <c r="F385">
        <f>"License"</f>
        <v/>
      </c>
      <c r="G385">
        <f>""</f>
        <v/>
      </c>
      <c r="H385">
        <f>"High"</f>
        <v/>
      </c>
      <c r="I385">
        <f>TRIM(IF(LEN(IF(LEN(INDEX('Providers'!$F$4:$F$503,382))=0,"",INDEX('Providers'!$F$4:$F$503,382)))=0,"","License no.: "&amp;IF(LEN(INDEX('Providers'!$F$4:$F$503,382))=0,"",INDEX('Providers'!$F$4:$F$503,382))&amp;". ")&amp;IF(LEN(IF(LEN(INDEX('Providers'!$C$4:$C$503,382))=0,"",INDEX('Providers'!$C$4:$C$503,382)))=0,"","NPI: "&amp;IF(LEN(INDEX('Providers'!$C$4:$C$503,382))=0,"",INDEX('Providers'!$C$4:$C$503,382))&amp;". ")&amp;IF(LEN(IF(LEN(INDEX('Providers'!$D$4:$D$503,382))=0,"",INDEX('Providers'!$D$4:$D$503,382)))=0,"","Specialty: "&amp;IF(LEN(INDEX('Providers'!$D$4:$D$503,382))=0,"",INDEX('Providers'!$D$4:$D$503,382))&amp;". ")&amp;IF(LEN(IF(LEN(INDEX('Providers'!$AK$4:$AK$503,382))=0,"",INDEX('Providers'!$AK$4:$AK$503,382)))=0,"",IF(LEN(INDEX('Providers'!$AK$4:$AK$503,382))=0,"",INDEX('Providers'!$AK$4:$AK$503,382))))</f>
        <v/>
      </c>
      <c r="J385">
        <f>IF(LEN(INDEX('Providers'!$AJ$4:$AJ$503,382))=0,"",INDEX('Providers'!$AJ$4:$AJ$503,382))</f>
        <v/>
      </c>
      <c r="K385">
        <f>IF(LEN(INDEX('Providers'!$AI$4:$AI$503,382))=0,"",INDEX('Providers'!$AI$4:$AI$503,382))</f>
        <v/>
      </c>
    </row>
    <row r="386">
      <c r="A386">
        <f>IF(AND(LEN('Providers'!A386)&gt;0,ISNUMBER('Providers'!G386)),1,0)</f>
        <v/>
      </c>
      <c r="B386">
        <f>B385+A386</f>
        <v/>
      </c>
      <c r="C386">
        <f>IF(383&gt;$B$4503,"",MATCH(383-0.5,$B$3:$B$4503,1))</f>
        <v/>
      </c>
      <c r="D386">
        <f>"State license ("&amp;IF(LEN(INDEX('Providers'!$E$4:$E$503,383))=0,"",INDEX('Providers'!$E$4:$E$503,383))&amp;") – "&amp;IF(LEN(INDEX('Providers'!$A$4:$A$503,383))=0,"",INDEX('Providers'!$A$4:$A$503,383))</f>
        <v/>
      </c>
      <c r="E386">
        <f>IF(ISNUMBER(INDEX('Providers'!$G$4:$G$503,383)),TEXT(INDEX('Providers'!$G$4:$G$503,383),"yyyy-mm-dd"),"")</f>
        <v/>
      </c>
      <c r="F386">
        <f>"License"</f>
        <v/>
      </c>
      <c r="G386">
        <f>""</f>
        <v/>
      </c>
      <c r="H386">
        <f>"High"</f>
        <v/>
      </c>
      <c r="I386">
        <f>TRIM(IF(LEN(IF(LEN(INDEX('Providers'!$F$4:$F$503,383))=0,"",INDEX('Providers'!$F$4:$F$503,383)))=0,"","License no.: "&amp;IF(LEN(INDEX('Providers'!$F$4:$F$503,383))=0,"",INDEX('Providers'!$F$4:$F$503,383))&amp;". ")&amp;IF(LEN(IF(LEN(INDEX('Providers'!$C$4:$C$503,383))=0,"",INDEX('Providers'!$C$4:$C$503,383)))=0,"","NPI: "&amp;IF(LEN(INDEX('Providers'!$C$4:$C$503,383))=0,"",INDEX('Providers'!$C$4:$C$503,383))&amp;". ")&amp;IF(LEN(IF(LEN(INDEX('Providers'!$D$4:$D$503,383))=0,"",INDEX('Providers'!$D$4:$D$503,383)))=0,"","Specialty: "&amp;IF(LEN(INDEX('Providers'!$D$4:$D$503,383))=0,"",INDEX('Providers'!$D$4:$D$503,383))&amp;". ")&amp;IF(LEN(IF(LEN(INDEX('Providers'!$AK$4:$AK$503,383))=0,"",INDEX('Providers'!$AK$4:$AK$503,383)))=0,"",IF(LEN(INDEX('Providers'!$AK$4:$AK$503,383))=0,"",INDEX('Providers'!$AK$4:$AK$503,383))))</f>
        <v/>
      </c>
      <c r="J386">
        <f>IF(LEN(INDEX('Providers'!$AJ$4:$AJ$503,383))=0,"",INDEX('Providers'!$AJ$4:$AJ$503,383))</f>
        <v/>
      </c>
      <c r="K386">
        <f>IF(LEN(INDEX('Providers'!$AI$4:$AI$503,383))=0,"",INDEX('Providers'!$AI$4:$AI$503,383))</f>
        <v/>
      </c>
    </row>
    <row r="387">
      <c r="A387">
        <f>IF(AND(LEN('Providers'!A387)&gt;0,ISNUMBER('Providers'!G387)),1,0)</f>
        <v/>
      </c>
      <c r="B387">
        <f>B386+A387</f>
        <v/>
      </c>
      <c r="C387">
        <f>IF(384&gt;$B$4503,"",MATCH(384-0.5,$B$3:$B$4503,1))</f>
        <v/>
      </c>
      <c r="D387">
        <f>"State license ("&amp;IF(LEN(INDEX('Providers'!$E$4:$E$503,384))=0,"",INDEX('Providers'!$E$4:$E$503,384))&amp;") – "&amp;IF(LEN(INDEX('Providers'!$A$4:$A$503,384))=0,"",INDEX('Providers'!$A$4:$A$503,384))</f>
        <v/>
      </c>
      <c r="E387">
        <f>IF(ISNUMBER(INDEX('Providers'!$G$4:$G$503,384)),TEXT(INDEX('Providers'!$G$4:$G$503,384),"yyyy-mm-dd"),"")</f>
        <v/>
      </c>
      <c r="F387">
        <f>"License"</f>
        <v/>
      </c>
      <c r="G387">
        <f>""</f>
        <v/>
      </c>
      <c r="H387">
        <f>"High"</f>
        <v/>
      </c>
      <c r="I387">
        <f>TRIM(IF(LEN(IF(LEN(INDEX('Providers'!$F$4:$F$503,384))=0,"",INDEX('Providers'!$F$4:$F$503,384)))=0,"","License no.: "&amp;IF(LEN(INDEX('Providers'!$F$4:$F$503,384))=0,"",INDEX('Providers'!$F$4:$F$503,384))&amp;". ")&amp;IF(LEN(IF(LEN(INDEX('Providers'!$C$4:$C$503,384))=0,"",INDEX('Providers'!$C$4:$C$503,384)))=0,"","NPI: "&amp;IF(LEN(INDEX('Providers'!$C$4:$C$503,384))=0,"",INDEX('Providers'!$C$4:$C$503,384))&amp;". ")&amp;IF(LEN(IF(LEN(INDEX('Providers'!$D$4:$D$503,384))=0,"",INDEX('Providers'!$D$4:$D$503,384)))=0,"","Specialty: "&amp;IF(LEN(INDEX('Providers'!$D$4:$D$503,384))=0,"",INDEX('Providers'!$D$4:$D$503,384))&amp;". ")&amp;IF(LEN(IF(LEN(INDEX('Providers'!$AK$4:$AK$503,384))=0,"",INDEX('Providers'!$AK$4:$AK$503,384)))=0,"",IF(LEN(INDEX('Providers'!$AK$4:$AK$503,384))=0,"",INDEX('Providers'!$AK$4:$AK$503,384))))</f>
        <v/>
      </c>
      <c r="J387">
        <f>IF(LEN(INDEX('Providers'!$AJ$4:$AJ$503,384))=0,"",INDEX('Providers'!$AJ$4:$AJ$503,384))</f>
        <v/>
      </c>
      <c r="K387">
        <f>IF(LEN(INDEX('Providers'!$AI$4:$AI$503,384))=0,"",INDEX('Providers'!$AI$4:$AI$503,384))</f>
        <v/>
      </c>
    </row>
    <row r="388">
      <c r="A388">
        <f>IF(AND(LEN('Providers'!A388)&gt;0,ISNUMBER('Providers'!G388)),1,0)</f>
        <v/>
      </c>
      <c r="B388">
        <f>B387+A388</f>
        <v/>
      </c>
      <c r="C388">
        <f>IF(385&gt;$B$4503,"",MATCH(385-0.5,$B$3:$B$4503,1))</f>
        <v/>
      </c>
      <c r="D388">
        <f>"State license ("&amp;IF(LEN(INDEX('Providers'!$E$4:$E$503,385))=0,"",INDEX('Providers'!$E$4:$E$503,385))&amp;") – "&amp;IF(LEN(INDEX('Providers'!$A$4:$A$503,385))=0,"",INDEX('Providers'!$A$4:$A$503,385))</f>
        <v/>
      </c>
      <c r="E388">
        <f>IF(ISNUMBER(INDEX('Providers'!$G$4:$G$503,385)),TEXT(INDEX('Providers'!$G$4:$G$503,385),"yyyy-mm-dd"),"")</f>
        <v/>
      </c>
      <c r="F388">
        <f>"License"</f>
        <v/>
      </c>
      <c r="G388">
        <f>""</f>
        <v/>
      </c>
      <c r="H388">
        <f>"High"</f>
        <v/>
      </c>
      <c r="I388">
        <f>TRIM(IF(LEN(IF(LEN(INDEX('Providers'!$F$4:$F$503,385))=0,"",INDEX('Providers'!$F$4:$F$503,385)))=0,"","License no.: "&amp;IF(LEN(INDEX('Providers'!$F$4:$F$503,385))=0,"",INDEX('Providers'!$F$4:$F$503,385))&amp;". ")&amp;IF(LEN(IF(LEN(INDEX('Providers'!$C$4:$C$503,385))=0,"",INDEX('Providers'!$C$4:$C$503,385)))=0,"","NPI: "&amp;IF(LEN(INDEX('Providers'!$C$4:$C$503,385))=0,"",INDEX('Providers'!$C$4:$C$503,385))&amp;". ")&amp;IF(LEN(IF(LEN(INDEX('Providers'!$D$4:$D$503,385))=0,"",INDEX('Providers'!$D$4:$D$503,385)))=0,"","Specialty: "&amp;IF(LEN(INDEX('Providers'!$D$4:$D$503,385))=0,"",INDEX('Providers'!$D$4:$D$503,385))&amp;". ")&amp;IF(LEN(IF(LEN(INDEX('Providers'!$AK$4:$AK$503,385))=0,"",INDEX('Providers'!$AK$4:$AK$503,385)))=0,"",IF(LEN(INDEX('Providers'!$AK$4:$AK$503,385))=0,"",INDEX('Providers'!$AK$4:$AK$503,385))))</f>
        <v/>
      </c>
      <c r="J388">
        <f>IF(LEN(INDEX('Providers'!$AJ$4:$AJ$503,385))=0,"",INDEX('Providers'!$AJ$4:$AJ$503,385))</f>
        <v/>
      </c>
      <c r="K388">
        <f>IF(LEN(INDEX('Providers'!$AI$4:$AI$503,385))=0,"",INDEX('Providers'!$AI$4:$AI$503,385))</f>
        <v/>
      </c>
    </row>
    <row r="389">
      <c r="A389">
        <f>IF(AND(LEN('Providers'!A389)&gt;0,ISNUMBER('Providers'!G389)),1,0)</f>
        <v/>
      </c>
      <c r="B389">
        <f>B388+A389</f>
        <v/>
      </c>
      <c r="C389">
        <f>IF(386&gt;$B$4503,"",MATCH(386-0.5,$B$3:$B$4503,1))</f>
        <v/>
      </c>
      <c r="D389">
        <f>"State license ("&amp;IF(LEN(INDEX('Providers'!$E$4:$E$503,386))=0,"",INDEX('Providers'!$E$4:$E$503,386))&amp;") – "&amp;IF(LEN(INDEX('Providers'!$A$4:$A$503,386))=0,"",INDEX('Providers'!$A$4:$A$503,386))</f>
        <v/>
      </c>
      <c r="E389">
        <f>IF(ISNUMBER(INDEX('Providers'!$G$4:$G$503,386)),TEXT(INDEX('Providers'!$G$4:$G$503,386),"yyyy-mm-dd"),"")</f>
        <v/>
      </c>
      <c r="F389">
        <f>"License"</f>
        <v/>
      </c>
      <c r="G389">
        <f>""</f>
        <v/>
      </c>
      <c r="H389">
        <f>"High"</f>
        <v/>
      </c>
      <c r="I389">
        <f>TRIM(IF(LEN(IF(LEN(INDEX('Providers'!$F$4:$F$503,386))=0,"",INDEX('Providers'!$F$4:$F$503,386)))=0,"","License no.: "&amp;IF(LEN(INDEX('Providers'!$F$4:$F$503,386))=0,"",INDEX('Providers'!$F$4:$F$503,386))&amp;". ")&amp;IF(LEN(IF(LEN(INDEX('Providers'!$C$4:$C$503,386))=0,"",INDEX('Providers'!$C$4:$C$503,386)))=0,"","NPI: "&amp;IF(LEN(INDEX('Providers'!$C$4:$C$503,386))=0,"",INDEX('Providers'!$C$4:$C$503,386))&amp;". ")&amp;IF(LEN(IF(LEN(INDEX('Providers'!$D$4:$D$503,386))=0,"",INDEX('Providers'!$D$4:$D$503,386)))=0,"","Specialty: "&amp;IF(LEN(INDEX('Providers'!$D$4:$D$503,386))=0,"",INDEX('Providers'!$D$4:$D$503,386))&amp;". ")&amp;IF(LEN(IF(LEN(INDEX('Providers'!$AK$4:$AK$503,386))=0,"",INDEX('Providers'!$AK$4:$AK$503,386)))=0,"",IF(LEN(INDEX('Providers'!$AK$4:$AK$503,386))=0,"",INDEX('Providers'!$AK$4:$AK$503,386))))</f>
        <v/>
      </c>
      <c r="J389">
        <f>IF(LEN(INDEX('Providers'!$AJ$4:$AJ$503,386))=0,"",INDEX('Providers'!$AJ$4:$AJ$503,386))</f>
        <v/>
      </c>
      <c r="K389">
        <f>IF(LEN(INDEX('Providers'!$AI$4:$AI$503,386))=0,"",INDEX('Providers'!$AI$4:$AI$503,386))</f>
        <v/>
      </c>
    </row>
    <row r="390">
      <c r="A390">
        <f>IF(AND(LEN('Providers'!A390)&gt;0,ISNUMBER('Providers'!G390)),1,0)</f>
        <v/>
      </c>
      <c r="B390">
        <f>B389+A390</f>
        <v/>
      </c>
      <c r="C390">
        <f>IF(387&gt;$B$4503,"",MATCH(387-0.5,$B$3:$B$4503,1))</f>
        <v/>
      </c>
      <c r="D390">
        <f>"State license ("&amp;IF(LEN(INDEX('Providers'!$E$4:$E$503,387))=0,"",INDEX('Providers'!$E$4:$E$503,387))&amp;") – "&amp;IF(LEN(INDEX('Providers'!$A$4:$A$503,387))=0,"",INDEX('Providers'!$A$4:$A$503,387))</f>
        <v/>
      </c>
      <c r="E390">
        <f>IF(ISNUMBER(INDEX('Providers'!$G$4:$G$503,387)),TEXT(INDEX('Providers'!$G$4:$G$503,387),"yyyy-mm-dd"),"")</f>
        <v/>
      </c>
      <c r="F390">
        <f>"License"</f>
        <v/>
      </c>
      <c r="G390">
        <f>""</f>
        <v/>
      </c>
      <c r="H390">
        <f>"High"</f>
        <v/>
      </c>
      <c r="I390">
        <f>TRIM(IF(LEN(IF(LEN(INDEX('Providers'!$F$4:$F$503,387))=0,"",INDEX('Providers'!$F$4:$F$503,387)))=0,"","License no.: "&amp;IF(LEN(INDEX('Providers'!$F$4:$F$503,387))=0,"",INDEX('Providers'!$F$4:$F$503,387))&amp;". ")&amp;IF(LEN(IF(LEN(INDEX('Providers'!$C$4:$C$503,387))=0,"",INDEX('Providers'!$C$4:$C$503,387)))=0,"","NPI: "&amp;IF(LEN(INDEX('Providers'!$C$4:$C$503,387))=0,"",INDEX('Providers'!$C$4:$C$503,387))&amp;". ")&amp;IF(LEN(IF(LEN(INDEX('Providers'!$D$4:$D$503,387))=0,"",INDEX('Providers'!$D$4:$D$503,387)))=0,"","Specialty: "&amp;IF(LEN(INDEX('Providers'!$D$4:$D$503,387))=0,"",INDEX('Providers'!$D$4:$D$503,387))&amp;". ")&amp;IF(LEN(IF(LEN(INDEX('Providers'!$AK$4:$AK$503,387))=0,"",INDEX('Providers'!$AK$4:$AK$503,387)))=0,"",IF(LEN(INDEX('Providers'!$AK$4:$AK$503,387))=0,"",INDEX('Providers'!$AK$4:$AK$503,387))))</f>
        <v/>
      </c>
      <c r="J390">
        <f>IF(LEN(INDEX('Providers'!$AJ$4:$AJ$503,387))=0,"",INDEX('Providers'!$AJ$4:$AJ$503,387))</f>
        <v/>
      </c>
      <c r="K390">
        <f>IF(LEN(INDEX('Providers'!$AI$4:$AI$503,387))=0,"",INDEX('Providers'!$AI$4:$AI$503,387))</f>
        <v/>
      </c>
    </row>
    <row r="391">
      <c r="A391">
        <f>IF(AND(LEN('Providers'!A391)&gt;0,ISNUMBER('Providers'!G391)),1,0)</f>
        <v/>
      </c>
      <c r="B391">
        <f>B390+A391</f>
        <v/>
      </c>
      <c r="C391">
        <f>IF(388&gt;$B$4503,"",MATCH(388-0.5,$B$3:$B$4503,1))</f>
        <v/>
      </c>
      <c r="D391">
        <f>"State license ("&amp;IF(LEN(INDEX('Providers'!$E$4:$E$503,388))=0,"",INDEX('Providers'!$E$4:$E$503,388))&amp;") – "&amp;IF(LEN(INDEX('Providers'!$A$4:$A$503,388))=0,"",INDEX('Providers'!$A$4:$A$503,388))</f>
        <v/>
      </c>
      <c r="E391">
        <f>IF(ISNUMBER(INDEX('Providers'!$G$4:$G$503,388)),TEXT(INDEX('Providers'!$G$4:$G$503,388),"yyyy-mm-dd"),"")</f>
        <v/>
      </c>
      <c r="F391">
        <f>"License"</f>
        <v/>
      </c>
      <c r="G391">
        <f>""</f>
        <v/>
      </c>
      <c r="H391">
        <f>"High"</f>
        <v/>
      </c>
      <c r="I391">
        <f>TRIM(IF(LEN(IF(LEN(INDEX('Providers'!$F$4:$F$503,388))=0,"",INDEX('Providers'!$F$4:$F$503,388)))=0,"","License no.: "&amp;IF(LEN(INDEX('Providers'!$F$4:$F$503,388))=0,"",INDEX('Providers'!$F$4:$F$503,388))&amp;". ")&amp;IF(LEN(IF(LEN(INDEX('Providers'!$C$4:$C$503,388))=0,"",INDEX('Providers'!$C$4:$C$503,388)))=0,"","NPI: "&amp;IF(LEN(INDEX('Providers'!$C$4:$C$503,388))=0,"",INDEX('Providers'!$C$4:$C$503,388))&amp;". ")&amp;IF(LEN(IF(LEN(INDEX('Providers'!$D$4:$D$503,388))=0,"",INDEX('Providers'!$D$4:$D$503,388)))=0,"","Specialty: "&amp;IF(LEN(INDEX('Providers'!$D$4:$D$503,388))=0,"",INDEX('Providers'!$D$4:$D$503,388))&amp;". ")&amp;IF(LEN(IF(LEN(INDEX('Providers'!$AK$4:$AK$503,388))=0,"",INDEX('Providers'!$AK$4:$AK$503,388)))=0,"",IF(LEN(INDEX('Providers'!$AK$4:$AK$503,388))=0,"",INDEX('Providers'!$AK$4:$AK$503,388))))</f>
        <v/>
      </c>
      <c r="J391">
        <f>IF(LEN(INDEX('Providers'!$AJ$4:$AJ$503,388))=0,"",INDEX('Providers'!$AJ$4:$AJ$503,388))</f>
        <v/>
      </c>
      <c r="K391">
        <f>IF(LEN(INDEX('Providers'!$AI$4:$AI$503,388))=0,"",INDEX('Providers'!$AI$4:$AI$503,388))</f>
        <v/>
      </c>
    </row>
    <row r="392">
      <c r="A392">
        <f>IF(AND(LEN('Providers'!A392)&gt;0,ISNUMBER('Providers'!G392)),1,0)</f>
        <v/>
      </c>
      <c r="B392">
        <f>B391+A392</f>
        <v/>
      </c>
      <c r="C392">
        <f>IF(389&gt;$B$4503,"",MATCH(389-0.5,$B$3:$B$4503,1))</f>
        <v/>
      </c>
      <c r="D392">
        <f>"State license ("&amp;IF(LEN(INDEX('Providers'!$E$4:$E$503,389))=0,"",INDEX('Providers'!$E$4:$E$503,389))&amp;") – "&amp;IF(LEN(INDEX('Providers'!$A$4:$A$503,389))=0,"",INDEX('Providers'!$A$4:$A$503,389))</f>
        <v/>
      </c>
      <c r="E392">
        <f>IF(ISNUMBER(INDEX('Providers'!$G$4:$G$503,389)),TEXT(INDEX('Providers'!$G$4:$G$503,389),"yyyy-mm-dd"),"")</f>
        <v/>
      </c>
      <c r="F392">
        <f>"License"</f>
        <v/>
      </c>
      <c r="G392">
        <f>""</f>
        <v/>
      </c>
      <c r="H392">
        <f>"High"</f>
        <v/>
      </c>
      <c r="I392">
        <f>TRIM(IF(LEN(IF(LEN(INDEX('Providers'!$F$4:$F$503,389))=0,"",INDEX('Providers'!$F$4:$F$503,389)))=0,"","License no.: "&amp;IF(LEN(INDEX('Providers'!$F$4:$F$503,389))=0,"",INDEX('Providers'!$F$4:$F$503,389))&amp;". ")&amp;IF(LEN(IF(LEN(INDEX('Providers'!$C$4:$C$503,389))=0,"",INDEX('Providers'!$C$4:$C$503,389)))=0,"","NPI: "&amp;IF(LEN(INDEX('Providers'!$C$4:$C$503,389))=0,"",INDEX('Providers'!$C$4:$C$503,389))&amp;". ")&amp;IF(LEN(IF(LEN(INDEX('Providers'!$D$4:$D$503,389))=0,"",INDEX('Providers'!$D$4:$D$503,389)))=0,"","Specialty: "&amp;IF(LEN(INDEX('Providers'!$D$4:$D$503,389))=0,"",INDEX('Providers'!$D$4:$D$503,389))&amp;". ")&amp;IF(LEN(IF(LEN(INDEX('Providers'!$AK$4:$AK$503,389))=0,"",INDEX('Providers'!$AK$4:$AK$503,389)))=0,"",IF(LEN(INDEX('Providers'!$AK$4:$AK$503,389))=0,"",INDEX('Providers'!$AK$4:$AK$503,389))))</f>
        <v/>
      </c>
      <c r="J392">
        <f>IF(LEN(INDEX('Providers'!$AJ$4:$AJ$503,389))=0,"",INDEX('Providers'!$AJ$4:$AJ$503,389))</f>
        <v/>
      </c>
      <c r="K392">
        <f>IF(LEN(INDEX('Providers'!$AI$4:$AI$503,389))=0,"",INDEX('Providers'!$AI$4:$AI$503,389))</f>
        <v/>
      </c>
    </row>
    <row r="393">
      <c r="A393">
        <f>IF(AND(LEN('Providers'!A393)&gt;0,ISNUMBER('Providers'!G393)),1,0)</f>
        <v/>
      </c>
      <c r="B393">
        <f>B392+A393</f>
        <v/>
      </c>
      <c r="C393">
        <f>IF(390&gt;$B$4503,"",MATCH(390-0.5,$B$3:$B$4503,1))</f>
        <v/>
      </c>
      <c r="D393">
        <f>"State license ("&amp;IF(LEN(INDEX('Providers'!$E$4:$E$503,390))=0,"",INDEX('Providers'!$E$4:$E$503,390))&amp;") – "&amp;IF(LEN(INDEX('Providers'!$A$4:$A$503,390))=0,"",INDEX('Providers'!$A$4:$A$503,390))</f>
        <v/>
      </c>
      <c r="E393">
        <f>IF(ISNUMBER(INDEX('Providers'!$G$4:$G$503,390)),TEXT(INDEX('Providers'!$G$4:$G$503,390),"yyyy-mm-dd"),"")</f>
        <v/>
      </c>
      <c r="F393">
        <f>"License"</f>
        <v/>
      </c>
      <c r="G393">
        <f>""</f>
        <v/>
      </c>
      <c r="H393">
        <f>"High"</f>
        <v/>
      </c>
      <c r="I393">
        <f>TRIM(IF(LEN(IF(LEN(INDEX('Providers'!$F$4:$F$503,390))=0,"",INDEX('Providers'!$F$4:$F$503,390)))=0,"","License no.: "&amp;IF(LEN(INDEX('Providers'!$F$4:$F$503,390))=0,"",INDEX('Providers'!$F$4:$F$503,390))&amp;". ")&amp;IF(LEN(IF(LEN(INDEX('Providers'!$C$4:$C$503,390))=0,"",INDEX('Providers'!$C$4:$C$503,390)))=0,"","NPI: "&amp;IF(LEN(INDEX('Providers'!$C$4:$C$503,390))=0,"",INDEX('Providers'!$C$4:$C$503,390))&amp;". ")&amp;IF(LEN(IF(LEN(INDEX('Providers'!$D$4:$D$503,390))=0,"",INDEX('Providers'!$D$4:$D$503,390)))=0,"","Specialty: "&amp;IF(LEN(INDEX('Providers'!$D$4:$D$503,390))=0,"",INDEX('Providers'!$D$4:$D$503,390))&amp;". ")&amp;IF(LEN(IF(LEN(INDEX('Providers'!$AK$4:$AK$503,390))=0,"",INDEX('Providers'!$AK$4:$AK$503,390)))=0,"",IF(LEN(INDEX('Providers'!$AK$4:$AK$503,390))=0,"",INDEX('Providers'!$AK$4:$AK$503,390))))</f>
        <v/>
      </c>
      <c r="J393">
        <f>IF(LEN(INDEX('Providers'!$AJ$4:$AJ$503,390))=0,"",INDEX('Providers'!$AJ$4:$AJ$503,390))</f>
        <v/>
      </c>
      <c r="K393">
        <f>IF(LEN(INDEX('Providers'!$AI$4:$AI$503,390))=0,"",INDEX('Providers'!$AI$4:$AI$503,390))</f>
        <v/>
      </c>
    </row>
    <row r="394">
      <c r="A394">
        <f>IF(AND(LEN('Providers'!A394)&gt;0,ISNUMBER('Providers'!G394)),1,0)</f>
        <v/>
      </c>
      <c r="B394">
        <f>B393+A394</f>
        <v/>
      </c>
      <c r="C394">
        <f>IF(391&gt;$B$4503,"",MATCH(391-0.5,$B$3:$B$4503,1))</f>
        <v/>
      </c>
      <c r="D394">
        <f>"State license ("&amp;IF(LEN(INDEX('Providers'!$E$4:$E$503,391))=0,"",INDEX('Providers'!$E$4:$E$503,391))&amp;") – "&amp;IF(LEN(INDEX('Providers'!$A$4:$A$503,391))=0,"",INDEX('Providers'!$A$4:$A$503,391))</f>
        <v/>
      </c>
      <c r="E394">
        <f>IF(ISNUMBER(INDEX('Providers'!$G$4:$G$503,391)),TEXT(INDEX('Providers'!$G$4:$G$503,391),"yyyy-mm-dd"),"")</f>
        <v/>
      </c>
      <c r="F394">
        <f>"License"</f>
        <v/>
      </c>
      <c r="G394">
        <f>""</f>
        <v/>
      </c>
      <c r="H394">
        <f>"High"</f>
        <v/>
      </c>
      <c r="I394">
        <f>TRIM(IF(LEN(IF(LEN(INDEX('Providers'!$F$4:$F$503,391))=0,"",INDEX('Providers'!$F$4:$F$503,391)))=0,"","License no.: "&amp;IF(LEN(INDEX('Providers'!$F$4:$F$503,391))=0,"",INDEX('Providers'!$F$4:$F$503,391))&amp;". ")&amp;IF(LEN(IF(LEN(INDEX('Providers'!$C$4:$C$503,391))=0,"",INDEX('Providers'!$C$4:$C$503,391)))=0,"","NPI: "&amp;IF(LEN(INDEX('Providers'!$C$4:$C$503,391))=0,"",INDEX('Providers'!$C$4:$C$503,391))&amp;". ")&amp;IF(LEN(IF(LEN(INDEX('Providers'!$D$4:$D$503,391))=0,"",INDEX('Providers'!$D$4:$D$503,391)))=0,"","Specialty: "&amp;IF(LEN(INDEX('Providers'!$D$4:$D$503,391))=0,"",INDEX('Providers'!$D$4:$D$503,391))&amp;". ")&amp;IF(LEN(IF(LEN(INDEX('Providers'!$AK$4:$AK$503,391))=0,"",INDEX('Providers'!$AK$4:$AK$503,391)))=0,"",IF(LEN(INDEX('Providers'!$AK$4:$AK$503,391))=0,"",INDEX('Providers'!$AK$4:$AK$503,391))))</f>
        <v/>
      </c>
      <c r="J394">
        <f>IF(LEN(INDEX('Providers'!$AJ$4:$AJ$503,391))=0,"",INDEX('Providers'!$AJ$4:$AJ$503,391))</f>
        <v/>
      </c>
      <c r="K394">
        <f>IF(LEN(INDEX('Providers'!$AI$4:$AI$503,391))=0,"",INDEX('Providers'!$AI$4:$AI$503,391))</f>
        <v/>
      </c>
    </row>
    <row r="395">
      <c r="A395">
        <f>IF(AND(LEN('Providers'!A395)&gt;0,ISNUMBER('Providers'!G395)),1,0)</f>
        <v/>
      </c>
      <c r="B395">
        <f>B394+A395</f>
        <v/>
      </c>
      <c r="C395">
        <f>IF(392&gt;$B$4503,"",MATCH(392-0.5,$B$3:$B$4503,1))</f>
        <v/>
      </c>
      <c r="D395">
        <f>"State license ("&amp;IF(LEN(INDEX('Providers'!$E$4:$E$503,392))=0,"",INDEX('Providers'!$E$4:$E$503,392))&amp;") – "&amp;IF(LEN(INDEX('Providers'!$A$4:$A$503,392))=0,"",INDEX('Providers'!$A$4:$A$503,392))</f>
        <v/>
      </c>
      <c r="E395">
        <f>IF(ISNUMBER(INDEX('Providers'!$G$4:$G$503,392)),TEXT(INDEX('Providers'!$G$4:$G$503,392),"yyyy-mm-dd"),"")</f>
        <v/>
      </c>
      <c r="F395">
        <f>"License"</f>
        <v/>
      </c>
      <c r="G395">
        <f>""</f>
        <v/>
      </c>
      <c r="H395">
        <f>"High"</f>
        <v/>
      </c>
      <c r="I395">
        <f>TRIM(IF(LEN(IF(LEN(INDEX('Providers'!$F$4:$F$503,392))=0,"",INDEX('Providers'!$F$4:$F$503,392)))=0,"","License no.: "&amp;IF(LEN(INDEX('Providers'!$F$4:$F$503,392))=0,"",INDEX('Providers'!$F$4:$F$503,392))&amp;". ")&amp;IF(LEN(IF(LEN(INDEX('Providers'!$C$4:$C$503,392))=0,"",INDEX('Providers'!$C$4:$C$503,392)))=0,"","NPI: "&amp;IF(LEN(INDEX('Providers'!$C$4:$C$503,392))=0,"",INDEX('Providers'!$C$4:$C$503,392))&amp;". ")&amp;IF(LEN(IF(LEN(INDEX('Providers'!$D$4:$D$503,392))=0,"",INDEX('Providers'!$D$4:$D$503,392)))=0,"","Specialty: "&amp;IF(LEN(INDEX('Providers'!$D$4:$D$503,392))=0,"",INDEX('Providers'!$D$4:$D$503,392))&amp;". ")&amp;IF(LEN(IF(LEN(INDEX('Providers'!$AK$4:$AK$503,392))=0,"",INDEX('Providers'!$AK$4:$AK$503,392)))=0,"",IF(LEN(INDEX('Providers'!$AK$4:$AK$503,392))=0,"",INDEX('Providers'!$AK$4:$AK$503,392))))</f>
        <v/>
      </c>
      <c r="J395">
        <f>IF(LEN(INDEX('Providers'!$AJ$4:$AJ$503,392))=0,"",INDEX('Providers'!$AJ$4:$AJ$503,392))</f>
        <v/>
      </c>
      <c r="K395">
        <f>IF(LEN(INDEX('Providers'!$AI$4:$AI$503,392))=0,"",INDEX('Providers'!$AI$4:$AI$503,392))</f>
        <v/>
      </c>
    </row>
    <row r="396">
      <c r="A396">
        <f>IF(AND(LEN('Providers'!A396)&gt;0,ISNUMBER('Providers'!G396)),1,0)</f>
        <v/>
      </c>
      <c r="B396">
        <f>B395+A396</f>
        <v/>
      </c>
      <c r="C396">
        <f>IF(393&gt;$B$4503,"",MATCH(393-0.5,$B$3:$B$4503,1))</f>
        <v/>
      </c>
      <c r="D396">
        <f>"State license ("&amp;IF(LEN(INDEX('Providers'!$E$4:$E$503,393))=0,"",INDEX('Providers'!$E$4:$E$503,393))&amp;") – "&amp;IF(LEN(INDEX('Providers'!$A$4:$A$503,393))=0,"",INDEX('Providers'!$A$4:$A$503,393))</f>
        <v/>
      </c>
      <c r="E396">
        <f>IF(ISNUMBER(INDEX('Providers'!$G$4:$G$503,393)),TEXT(INDEX('Providers'!$G$4:$G$503,393),"yyyy-mm-dd"),"")</f>
        <v/>
      </c>
      <c r="F396">
        <f>"License"</f>
        <v/>
      </c>
      <c r="G396">
        <f>""</f>
        <v/>
      </c>
      <c r="H396">
        <f>"High"</f>
        <v/>
      </c>
      <c r="I396">
        <f>TRIM(IF(LEN(IF(LEN(INDEX('Providers'!$F$4:$F$503,393))=0,"",INDEX('Providers'!$F$4:$F$503,393)))=0,"","License no.: "&amp;IF(LEN(INDEX('Providers'!$F$4:$F$503,393))=0,"",INDEX('Providers'!$F$4:$F$503,393))&amp;". ")&amp;IF(LEN(IF(LEN(INDEX('Providers'!$C$4:$C$503,393))=0,"",INDEX('Providers'!$C$4:$C$503,393)))=0,"","NPI: "&amp;IF(LEN(INDEX('Providers'!$C$4:$C$503,393))=0,"",INDEX('Providers'!$C$4:$C$503,393))&amp;". ")&amp;IF(LEN(IF(LEN(INDEX('Providers'!$D$4:$D$503,393))=0,"",INDEX('Providers'!$D$4:$D$503,393)))=0,"","Specialty: "&amp;IF(LEN(INDEX('Providers'!$D$4:$D$503,393))=0,"",INDEX('Providers'!$D$4:$D$503,393))&amp;". ")&amp;IF(LEN(IF(LEN(INDEX('Providers'!$AK$4:$AK$503,393))=0,"",INDEX('Providers'!$AK$4:$AK$503,393)))=0,"",IF(LEN(INDEX('Providers'!$AK$4:$AK$503,393))=0,"",INDEX('Providers'!$AK$4:$AK$503,393))))</f>
        <v/>
      </c>
      <c r="J396">
        <f>IF(LEN(INDEX('Providers'!$AJ$4:$AJ$503,393))=0,"",INDEX('Providers'!$AJ$4:$AJ$503,393))</f>
        <v/>
      </c>
      <c r="K396">
        <f>IF(LEN(INDEX('Providers'!$AI$4:$AI$503,393))=0,"",INDEX('Providers'!$AI$4:$AI$503,393))</f>
        <v/>
      </c>
    </row>
    <row r="397">
      <c r="A397">
        <f>IF(AND(LEN('Providers'!A397)&gt;0,ISNUMBER('Providers'!G397)),1,0)</f>
        <v/>
      </c>
      <c r="B397">
        <f>B396+A397</f>
        <v/>
      </c>
      <c r="C397">
        <f>IF(394&gt;$B$4503,"",MATCH(394-0.5,$B$3:$B$4503,1))</f>
        <v/>
      </c>
      <c r="D397">
        <f>"State license ("&amp;IF(LEN(INDEX('Providers'!$E$4:$E$503,394))=0,"",INDEX('Providers'!$E$4:$E$503,394))&amp;") – "&amp;IF(LEN(INDEX('Providers'!$A$4:$A$503,394))=0,"",INDEX('Providers'!$A$4:$A$503,394))</f>
        <v/>
      </c>
      <c r="E397">
        <f>IF(ISNUMBER(INDEX('Providers'!$G$4:$G$503,394)),TEXT(INDEX('Providers'!$G$4:$G$503,394),"yyyy-mm-dd"),"")</f>
        <v/>
      </c>
      <c r="F397">
        <f>"License"</f>
        <v/>
      </c>
      <c r="G397">
        <f>""</f>
        <v/>
      </c>
      <c r="H397">
        <f>"High"</f>
        <v/>
      </c>
      <c r="I397">
        <f>TRIM(IF(LEN(IF(LEN(INDEX('Providers'!$F$4:$F$503,394))=0,"",INDEX('Providers'!$F$4:$F$503,394)))=0,"","License no.: "&amp;IF(LEN(INDEX('Providers'!$F$4:$F$503,394))=0,"",INDEX('Providers'!$F$4:$F$503,394))&amp;". ")&amp;IF(LEN(IF(LEN(INDEX('Providers'!$C$4:$C$503,394))=0,"",INDEX('Providers'!$C$4:$C$503,394)))=0,"","NPI: "&amp;IF(LEN(INDEX('Providers'!$C$4:$C$503,394))=0,"",INDEX('Providers'!$C$4:$C$503,394))&amp;". ")&amp;IF(LEN(IF(LEN(INDEX('Providers'!$D$4:$D$503,394))=0,"",INDEX('Providers'!$D$4:$D$503,394)))=0,"","Specialty: "&amp;IF(LEN(INDEX('Providers'!$D$4:$D$503,394))=0,"",INDEX('Providers'!$D$4:$D$503,394))&amp;". ")&amp;IF(LEN(IF(LEN(INDEX('Providers'!$AK$4:$AK$503,394))=0,"",INDEX('Providers'!$AK$4:$AK$503,394)))=0,"",IF(LEN(INDEX('Providers'!$AK$4:$AK$503,394))=0,"",INDEX('Providers'!$AK$4:$AK$503,394))))</f>
        <v/>
      </c>
      <c r="J397">
        <f>IF(LEN(INDEX('Providers'!$AJ$4:$AJ$503,394))=0,"",INDEX('Providers'!$AJ$4:$AJ$503,394))</f>
        <v/>
      </c>
      <c r="K397">
        <f>IF(LEN(INDEX('Providers'!$AI$4:$AI$503,394))=0,"",INDEX('Providers'!$AI$4:$AI$503,394))</f>
        <v/>
      </c>
    </row>
    <row r="398">
      <c r="A398">
        <f>IF(AND(LEN('Providers'!A398)&gt;0,ISNUMBER('Providers'!G398)),1,0)</f>
        <v/>
      </c>
      <c r="B398">
        <f>B397+A398</f>
        <v/>
      </c>
      <c r="C398">
        <f>IF(395&gt;$B$4503,"",MATCH(395-0.5,$B$3:$B$4503,1))</f>
        <v/>
      </c>
      <c r="D398">
        <f>"State license ("&amp;IF(LEN(INDEX('Providers'!$E$4:$E$503,395))=0,"",INDEX('Providers'!$E$4:$E$503,395))&amp;") – "&amp;IF(LEN(INDEX('Providers'!$A$4:$A$503,395))=0,"",INDEX('Providers'!$A$4:$A$503,395))</f>
        <v/>
      </c>
      <c r="E398">
        <f>IF(ISNUMBER(INDEX('Providers'!$G$4:$G$503,395)),TEXT(INDEX('Providers'!$G$4:$G$503,395),"yyyy-mm-dd"),"")</f>
        <v/>
      </c>
      <c r="F398">
        <f>"License"</f>
        <v/>
      </c>
      <c r="G398">
        <f>""</f>
        <v/>
      </c>
      <c r="H398">
        <f>"High"</f>
        <v/>
      </c>
      <c r="I398">
        <f>TRIM(IF(LEN(IF(LEN(INDEX('Providers'!$F$4:$F$503,395))=0,"",INDEX('Providers'!$F$4:$F$503,395)))=0,"","License no.: "&amp;IF(LEN(INDEX('Providers'!$F$4:$F$503,395))=0,"",INDEX('Providers'!$F$4:$F$503,395))&amp;". ")&amp;IF(LEN(IF(LEN(INDEX('Providers'!$C$4:$C$503,395))=0,"",INDEX('Providers'!$C$4:$C$503,395)))=0,"","NPI: "&amp;IF(LEN(INDEX('Providers'!$C$4:$C$503,395))=0,"",INDEX('Providers'!$C$4:$C$503,395))&amp;". ")&amp;IF(LEN(IF(LEN(INDEX('Providers'!$D$4:$D$503,395))=0,"",INDEX('Providers'!$D$4:$D$503,395)))=0,"","Specialty: "&amp;IF(LEN(INDEX('Providers'!$D$4:$D$503,395))=0,"",INDEX('Providers'!$D$4:$D$503,395))&amp;". ")&amp;IF(LEN(IF(LEN(INDEX('Providers'!$AK$4:$AK$503,395))=0,"",INDEX('Providers'!$AK$4:$AK$503,395)))=0,"",IF(LEN(INDEX('Providers'!$AK$4:$AK$503,395))=0,"",INDEX('Providers'!$AK$4:$AK$503,395))))</f>
        <v/>
      </c>
      <c r="J398">
        <f>IF(LEN(INDEX('Providers'!$AJ$4:$AJ$503,395))=0,"",INDEX('Providers'!$AJ$4:$AJ$503,395))</f>
        <v/>
      </c>
      <c r="K398">
        <f>IF(LEN(INDEX('Providers'!$AI$4:$AI$503,395))=0,"",INDEX('Providers'!$AI$4:$AI$503,395))</f>
        <v/>
      </c>
    </row>
    <row r="399">
      <c r="A399">
        <f>IF(AND(LEN('Providers'!A399)&gt;0,ISNUMBER('Providers'!G399)),1,0)</f>
        <v/>
      </c>
      <c r="B399">
        <f>B398+A399</f>
        <v/>
      </c>
      <c r="C399">
        <f>IF(396&gt;$B$4503,"",MATCH(396-0.5,$B$3:$B$4503,1))</f>
        <v/>
      </c>
      <c r="D399">
        <f>"State license ("&amp;IF(LEN(INDEX('Providers'!$E$4:$E$503,396))=0,"",INDEX('Providers'!$E$4:$E$503,396))&amp;") – "&amp;IF(LEN(INDEX('Providers'!$A$4:$A$503,396))=0,"",INDEX('Providers'!$A$4:$A$503,396))</f>
        <v/>
      </c>
      <c r="E399">
        <f>IF(ISNUMBER(INDEX('Providers'!$G$4:$G$503,396)),TEXT(INDEX('Providers'!$G$4:$G$503,396),"yyyy-mm-dd"),"")</f>
        <v/>
      </c>
      <c r="F399">
        <f>"License"</f>
        <v/>
      </c>
      <c r="G399">
        <f>""</f>
        <v/>
      </c>
      <c r="H399">
        <f>"High"</f>
        <v/>
      </c>
      <c r="I399">
        <f>TRIM(IF(LEN(IF(LEN(INDEX('Providers'!$F$4:$F$503,396))=0,"",INDEX('Providers'!$F$4:$F$503,396)))=0,"","License no.: "&amp;IF(LEN(INDEX('Providers'!$F$4:$F$503,396))=0,"",INDEX('Providers'!$F$4:$F$503,396))&amp;". ")&amp;IF(LEN(IF(LEN(INDEX('Providers'!$C$4:$C$503,396))=0,"",INDEX('Providers'!$C$4:$C$503,396)))=0,"","NPI: "&amp;IF(LEN(INDEX('Providers'!$C$4:$C$503,396))=0,"",INDEX('Providers'!$C$4:$C$503,396))&amp;". ")&amp;IF(LEN(IF(LEN(INDEX('Providers'!$D$4:$D$503,396))=0,"",INDEX('Providers'!$D$4:$D$503,396)))=0,"","Specialty: "&amp;IF(LEN(INDEX('Providers'!$D$4:$D$503,396))=0,"",INDEX('Providers'!$D$4:$D$503,396))&amp;". ")&amp;IF(LEN(IF(LEN(INDEX('Providers'!$AK$4:$AK$503,396))=0,"",INDEX('Providers'!$AK$4:$AK$503,396)))=0,"",IF(LEN(INDEX('Providers'!$AK$4:$AK$503,396))=0,"",INDEX('Providers'!$AK$4:$AK$503,396))))</f>
        <v/>
      </c>
      <c r="J399">
        <f>IF(LEN(INDEX('Providers'!$AJ$4:$AJ$503,396))=0,"",INDEX('Providers'!$AJ$4:$AJ$503,396))</f>
        <v/>
      </c>
      <c r="K399">
        <f>IF(LEN(INDEX('Providers'!$AI$4:$AI$503,396))=0,"",INDEX('Providers'!$AI$4:$AI$503,396))</f>
        <v/>
      </c>
    </row>
    <row r="400">
      <c r="A400">
        <f>IF(AND(LEN('Providers'!A400)&gt;0,ISNUMBER('Providers'!G400)),1,0)</f>
        <v/>
      </c>
      <c r="B400">
        <f>B399+A400</f>
        <v/>
      </c>
      <c r="C400">
        <f>IF(397&gt;$B$4503,"",MATCH(397-0.5,$B$3:$B$4503,1))</f>
        <v/>
      </c>
      <c r="D400">
        <f>"State license ("&amp;IF(LEN(INDEX('Providers'!$E$4:$E$503,397))=0,"",INDEX('Providers'!$E$4:$E$503,397))&amp;") – "&amp;IF(LEN(INDEX('Providers'!$A$4:$A$503,397))=0,"",INDEX('Providers'!$A$4:$A$503,397))</f>
        <v/>
      </c>
      <c r="E400">
        <f>IF(ISNUMBER(INDEX('Providers'!$G$4:$G$503,397)),TEXT(INDEX('Providers'!$G$4:$G$503,397),"yyyy-mm-dd"),"")</f>
        <v/>
      </c>
      <c r="F400">
        <f>"License"</f>
        <v/>
      </c>
      <c r="G400">
        <f>""</f>
        <v/>
      </c>
      <c r="H400">
        <f>"High"</f>
        <v/>
      </c>
      <c r="I400">
        <f>TRIM(IF(LEN(IF(LEN(INDEX('Providers'!$F$4:$F$503,397))=0,"",INDEX('Providers'!$F$4:$F$503,397)))=0,"","License no.: "&amp;IF(LEN(INDEX('Providers'!$F$4:$F$503,397))=0,"",INDEX('Providers'!$F$4:$F$503,397))&amp;". ")&amp;IF(LEN(IF(LEN(INDEX('Providers'!$C$4:$C$503,397))=0,"",INDEX('Providers'!$C$4:$C$503,397)))=0,"","NPI: "&amp;IF(LEN(INDEX('Providers'!$C$4:$C$503,397))=0,"",INDEX('Providers'!$C$4:$C$503,397))&amp;". ")&amp;IF(LEN(IF(LEN(INDEX('Providers'!$D$4:$D$503,397))=0,"",INDEX('Providers'!$D$4:$D$503,397)))=0,"","Specialty: "&amp;IF(LEN(INDEX('Providers'!$D$4:$D$503,397))=0,"",INDEX('Providers'!$D$4:$D$503,397))&amp;". ")&amp;IF(LEN(IF(LEN(INDEX('Providers'!$AK$4:$AK$503,397))=0,"",INDEX('Providers'!$AK$4:$AK$503,397)))=0,"",IF(LEN(INDEX('Providers'!$AK$4:$AK$503,397))=0,"",INDEX('Providers'!$AK$4:$AK$503,397))))</f>
        <v/>
      </c>
      <c r="J400">
        <f>IF(LEN(INDEX('Providers'!$AJ$4:$AJ$503,397))=0,"",INDEX('Providers'!$AJ$4:$AJ$503,397))</f>
        <v/>
      </c>
      <c r="K400">
        <f>IF(LEN(INDEX('Providers'!$AI$4:$AI$503,397))=0,"",INDEX('Providers'!$AI$4:$AI$503,397))</f>
        <v/>
      </c>
    </row>
    <row r="401">
      <c r="A401">
        <f>IF(AND(LEN('Providers'!A401)&gt;0,ISNUMBER('Providers'!G401)),1,0)</f>
        <v/>
      </c>
      <c r="B401">
        <f>B400+A401</f>
        <v/>
      </c>
      <c r="C401">
        <f>IF(398&gt;$B$4503,"",MATCH(398-0.5,$B$3:$B$4503,1))</f>
        <v/>
      </c>
      <c r="D401">
        <f>"State license ("&amp;IF(LEN(INDEX('Providers'!$E$4:$E$503,398))=0,"",INDEX('Providers'!$E$4:$E$503,398))&amp;") – "&amp;IF(LEN(INDEX('Providers'!$A$4:$A$503,398))=0,"",INDEX('Providers'!$A$4:$A$503,398))</f>
        <v/>
      </c>
      <c r="E401">
        <f>IF(ISNUMBER(INDEX('Providers'!$G$4:$G$503,398)),TEXT(INDEX('Providers'!$G$4:$G$503,398),"yyyy-mm-dd"),"")</f>
        <v/>
      </c>
      <c r="F401">
        <f>"License"</f>
        <v/>
      </c>
      <c r="G401">
        <f>""</f>
        <v/>
      </c>
      <c r="H401">
        <f>"High"</f>
        <v/>
      </c>
      <c r="I401">
        <f>TRIM(IF(LEN(IF(LEN(INDEX('Providers'!$F$4:$F$503,398))=0,"",INDEX('Providers'!$F$4:$F$503,398)))=0,"","License no.: "&amp;IF(LEN(INDEX('Providers'!$F$4:$F$503,398))=0,"",INDEX('Providers'!$F$4:$F$503,398))&amp;". ")&amp;IF(LEN(IF(LEN(INDEX('Providers'!$C$4:$C$503,398))=0,"",INDEX('Providers'!$C$4:$C$503,398)))=0,"","NPI: "&amp;IF(LEN(INDEX('Providers'!$C$4:$C$503,398))=0,"",INDEX('Providers'!$C$4:$C$503,398))&amp;". ")&amp;IF(LEN(IF(LEN(INDEX('Providers'!$D$4:$D$503,398))=0,"",INDEX('Providers'!$D$4:$D$503,398)))=0,"","Specialty: "&amp;IF(LEN(INDEX('Providers'!$D$4:$D$503,398))=0,"",INDEX('Providers'!$D$4:$D$503,398))&amp;". ")&amp;IF(LEN(IF(LEN(INDEX('Providers'!$AK$4:$AK$503,398))=0,"",INDEX('Providers'!$AK$4:$AK$503,398)))=0,"",IF(LEN(INDEX('Providers'!$AK$4:$AK$503,398))=0,"",INDEX('Providers'!$AK$4:$AK$503,398))))</f>
        <v/>
      </c>
      <c r="J401">
        <f>IF(LEN(INDEX('Providers'!$AJ$4:$AJ$503,398))=0,"",INDEX('Providers'!$AJ$4:$AJ$503,398))</f>
        <v/>
      </c>
      <c r="K401">
        <f>IF(LEN(INDEX('Providers'!$AI$4:$AI$503,398))=0,"",INDEX('Providers'!$AI$4:$AI$503,398))</f>
        <v/>
      </c>
    </row>
    <row r="402">
      <c r="A402">
        <f>IF(AND(LEN('Providers'!A402)&gt;0,ISNUMBER('Providers'!G402)),1,0)</f>
        <v/>
      </c>
      <c r="B402">
        <f>B401+A402</f>
        <v/>
      </c>
      <c r="C402">
        <f>IF(399&gt;$B$4503,"",MATCH(399-0.5,$B$3:$B$4503,1))</f>
        <v/>
      </c>
      <c r="D402">
        <f>"State license ("&amp;IF(LEN(INDEX('Providers'!$E$4:$E$503,399))=0,"",INDEX('Providers'!$E$4:$E$503,399))&amp;") – "&amp;IF(LEN(INDEX('Providers'!$A$4:$A$503,399))=0,"",INDEX('Providers'!$A$4:$A$503,399))</f>
        <v/>
      </c>
      <c r="E402">
        <f>IF(ISNUMBER(INDEX('Providers'!$G$4:$G$503,399)),TEXT(INDEX('Providers'!$G$4:$G$503,399),"yyyy-mm-dd"),"")</f>
        <v/>
      </c>
      <c r="F402">
        <f>"License"</f>
        <v/>
      </c>
      <c r="G402">
        <f>""</f>
        <v/>
      </c>
      <c r="H402">
        <f>"High"</f>
        <v/>
      </c>
      <c r="I402">
        <f>TRIM(IF(LEN(IF(LEN(INDEX('Providers'!$F$4:$F$503,399))=0,"",INDEX('Providers'!$F$4:$F$503,399)))=0,"","License no.: "&amp;IF(LEN(INDEX('Providers'!$F$4:$F$503,399))=0,"",INDEX('Providers'!$F$4:$F$503,399))&amp;". ")&amp;IF(LEN(IF(LEN(INDEX('Providers'!$C$4:$C$503,399))=0,"",INDEX('Providers'!$C$4:$C$503,399)))=0,"","NPI: "&amp;IF(LEN(INDEX('Providers'!$C$4:$C$503,399))=0,"",INDEX('Providers'!$C$4:$C$503,399))&amp;". ")&amp;IF(LEN(IF(LEN(INDEX('Providers'!$D$4:$D$503,399))=0,"",INDEX('Providers'!$D$4:$D$503,399)))=0,"","Specialty: "&amp;IF(LEN(INDEX('Providers'!$D$4:$D$503,399))=0,"",INDEX('Providers'!$D$4:$D$503,399))&amp;". ")&amp;IF(LEN(IF(LEN(INDEX('Providers'!$AK$4:$AK$503,399))=0,"",INDEX('Providers'!$AK$4:$AK$503,399)))=0,"",IF(LEN(INDEX('Providers'!$AK$4:$AK$503,399))=0,"",INDEX('Providers'!$AK$4:$AK$503,399))))</f>
        <v/>
      </c>
      <c r="J402">
        <f>IF(LEN(INDEX('Providers'!$AJ$4:$AJ$503,399))=0,"",INDEX('Providers'!$AJ$4:$AJ$503,399))</f>
        <v/>
      </c>
      <c r="K402">
        <f>IF(LEN(INDEX('Providers'!$AI$4:$AI$503,399))=0,"",INDEX('Providers'!$AI$4:$AI$503,399))</f>
        <v/>
      </c>
    </row>
    <row r="403">
      <c r="A403">
        <f>IF(AND(LEN('Providers'!A403)&gt;0,ISNUMBER('Providers'!G403)),1,0)</f>
        <v/>
      </c>
      <c r="B403">
        <f>B402+A403</f>
        <v/>
      </c>
      <c r="C403">
        <f>IF(400&gt;$B$4503,"",MATCH(400-0.5,$B$3:$B$4503,1))</f>
        <v/>
      </c>
      <c r="D403">
        <f>"State license ("&amp;IF(LEN(INDEX('Providers'!$E$4:$E$503,400))=0,"",INDEX('Providers'!$E$4:$E$503,400))&amp;") – "&amp;IF(LEN(INDEX('Providers'!$A$4:$A$503,400))=0,"",INDEX('Providers'!$A$4:$A$503,400))</f>
        <v/>
      </c>
      <c r="E403">
        <f>IF(ISNUMBER(INDEX('Providers'!$G$4:$G$503,400)),TEXT(INDEX('Providers'!$G$4:$G$503,400),"yyyy-mm-dd"),"")</f>
        <v/>
      </c>
      <c r="F403">
        <f>"License"</f>
        <v/>
      </c>
      <c r="G403">
        <f>""</f>
        <v/>
      </c>
      <c r="H403">
        <f>"High"</f>
        <v/>
      </c>
      <c r="I403">
        <f>TRIM(IF(LEN(IF(LEN(INDEX('Providers'!$F$4:$F$503,400))=0,"",INDEX('Providers'!$F$4:$F$503,400)))=0,"","License no.: "&amp;IF(LEN(INDEX('Providers'!$F$4:$F$503,400))=0,"",INDEX('Providers'!$F$4:$F$503,400))&amp;". ")&amp;IF(LEN(IF(LEN(INDEX('Providers'!$C$4:$C$503,400))=0,"",INDEX('Providers'!$C$4:$C$503,400)))=0,"","NPI: "&amp;IF(LEN(INDEX('Providers'!$C$4:$C$503,400))=0,"",INDEX('Providers'!$C$4:$C$503,400))&amp;". ")&amp;IF(LEN(IF(LEN(INDEX('Providers'!$D$4:$D$503,400))=0,"",INDEX('Providers'!$D$4:$D$503,400)))=0,"","Specialty: "&amp;IF(LEN(INDEX('Providers'!$D$4:$D$503,400))=0,"",INDEX('Providers'!$D$4:$D$503,400))&amp;". ")&amp;IF(LEN(IF(LEN(INDEX('Providers'!$AK$4:$AK$503,400))=0,"",INDEX('Providers'!$AK$4:$AK$503,400)))=0,"",IF(LEN(INDEX('Providers'!$AK$4:$AK$503,400))=0,"",INDEX('Providers'!$AK$4:$AK$503,400))))</f>
        <v/>
      </c>
      <c r="J403">
        <f>IF(LEN(INDEX('Providers'!$AJ$4:$AJ$503,400))=0,"",INDEX('Providers'!$AJ$4:$AJ$503,400))</f>
        <v/>
      </c>
      <c r="K403">
        <f>IF(LEN(INDEX('Providers'!$AI$4:$AI$503,400))=0,"",INDEX('Providers'!$AI$4:$AI$503,400))</f>
        <v/>
      </c>
    </row>
    <row r="404">
      <c r="A404">
        <f>IF(AND(LEN('Providers'!A404)&gt;0,ISNUMBER('Providers'!G404)),1,0)</f>
        <v/>
      </c>
      <c r="B404">
        <f>B403+A404</f>
        <v/>
      </c>
      <c r="C404">
        <f>IF(401&gt;$B$4503,"",MATCH(401-0.5,$B$3:$B$4503,1))</f>
        <v/>
      </c>
      <c r="D404">
        <f>"State license ("&amp;IF(LEN(INDEX('Providers'!$E$4:$E$503,401))=0,"",INDEX('Providers'!$E$4:$E$503,401))&amp;") – "&amp;IF(LEN(INDEX('Providers'!$A$4:$A$503,401))=0,"",INDEX('Providers'!$A$4:$A$503,401))</f>
        <v/>
      </c>
      <c r="E404">
        <f>IF(ISNUMBER(INDEX('Providers'!$G$4:$G$503,401)),TEXT(INDEX('Providers'!$G$4:$G$503,401),"yyyy-mm-dd"),"")</f>
        <v/>
      </c>
      <c r="F404">
        <f>"License"</f>
        <v/>
      </c>
      <c r="G404">
        <f>""</f>
        <v/>
      </c>
      <c r="H404">
        <f>"High"</f>
        <v/>
      </c>
      <c r="I404">
        <f>TRIM(IF(LEN(IF(LEN(INDEX('Providers'!$F$4:$F$503,401))=0,"",INDEX('Providers'!$F$4:$F$503,401)))=0,"","License no.: "&amp;IF(LEN(INDEX('Providers'!$F$4:$F$503,401))=0,"",INDEX('Providers'!$F$4:$F$503,401))&amp;". ")&amp;IF(LEN(IF(LEN(INDEX('Providers'!$C$4:$C$503,401))=0,"",INDEX('Providers'!$C$4:$C$503,401)))=0,"","NPI: "&amp;IF(LEN(INDEX('Providers'!$C$4:$C$503,401))=0,"",INDEX('Providers'!$C$4:$C$503,401))&amp;". ")&amp;IF(LEN(IF(LEN(INDEX('Providers'!$D$4:$D$503,401))=0,"",INDEX('Providers'!$D$4:$D$503,401)))=0,"","Specialty: "&amp;IF(LEN(INDEX('Providers'!$D$4:$D$503,401))=0,"",INDEX('Providers'!$D$4:$D$503,401))&amp;". ")&amp;IF(LEN(IF(LEN(INDEX('Providers'!$AK$4:$AK$503,401))=0,"",INDEX('Providers'!$AK$4:$AK$503,401)))=0,"",IF(LEN(INDEX('Providers'!$AK$4:$AK$503,401))=0,"",INDEX('Providers'!$AK$4:$AK$503,401))))</f>
        <v/>
      </c>
      <c r="J404">
        <f>IF(LEN(INDEX('Providers'!$AJ$4:$AJ$503,401))=0,"",INDEX('Providers'!$AJ$4:$AJ$503,401))</f>
        <v/>
      </c>
      <c r="K404">
        <f>IF(LEN(INDEX('Providers'!$AI$4:$AI$503,401))=0,"",INDEX('Providers'!$AI$4:$AI$503,401))</f>
        <v/>
      </c>
    </row>
    <row r="405">
      <c r="A405">
        <f>IF(AND(LEN('Providers'!A405)&gt;0,ISNUMBER('Providers'!G405)),1,0)</f>
        <v/>
      </c>
      <c r="B405">
        <f>B404+A405</f>
        <v/>
      </c>
      <c r="C405">
        <f>IF(402&gt;$B$4503,"",MATCH(402-0.5,$B$3:$B$4503,1))</f>
        <v/>
      </c>
      <c r="D405">
        <f>"State license ("&amp;IF(LEN(INDEX('Providers'!$E$4:$E$503,402))=0,"",INDEX('Providers'!$E$4:$E$503,402))&amp;") – "&amp;IF(LEN(INDEX('Providers'!$A$4:$A$503,402))=0,"",INDEX('Providers'!$A$4:$A$503,402))</f>
        <v/>
      </c>
      <c r="E405">
        <f>IF(ISNUMBER(INDEX('Providers'!$G$4:$G$503,402)),TEXT(INDEX('Providers'!$G$4:$G$503,402),"yyyy-mm-dd"),"")</f>
        <v/>
      </c>
      <c r="F405">
        <f>"License"</f>
        <v/>
      </c>
      <c r="G405">
        <f>""</f>
        <v/>
      </c>
      <c r="H405">
        <f>"High"</f>
        <v/>
      </c>
      <c r="I405">
        <f>TRIM(IF(LEN(IF(LEN(INDEX('Providers'!$F$4:$F$503,402))=0,"",INDEX('Providers'!$F$4:$F$503,402)))=0,"","License no.: "&amp;IF(LEN(INDEX('Providers'!$F$4:$F$503,402))=0,"",INDEX('Providers'!$F$4:$F$503,402))&amp;". ")&amp;IF(LEN(IF(LEN(INDEX('Providers'!$C$4:$C$503,402))=0,"",INDEX('Providers'!$C$4:$C$503,402)))=0,"","NPI: "&amp;IF(LEN(INDEX('Providers'!$C$4:$C$503,402))=0,"",INDEX('Providers'!$C$4:$C$503,402))&amp;". ")&amp;IF(LEN(IF(LEN(INDEX('Providers'!$D$4:$D$503,402))=0,"",INDEX('Providers'!$D$4:$D$503,402)))=0,"","Specialty: "&amp;IF(LEN(INDEX('Providers'!$D$4:$D$503,402))=0,"",INDEX('Providers'!$D$4:$D$503,402))&amp;". ")&amp;IF(LEN(IF(LEN(INDEX('Providers'!$AK$4:$AK$503,402))=0,"",INDEX('Providers'!$AK$4:$AK$503,402)))=0,"",IF(LEN(INDEX('Providers'!$AK$4:$AK$503,402))=0,"",INDEX('Providers'!$AK$4:$AK$503,402))))</f>
        <v/>
      </c>
      <c r="J405">
        <f>IF(LEN(INDEX('Providers'!$AJ$4:$AJ$503,402))=0,"",INDEX('Providers'!$AJ$4:$AJ$503,402))</f>
        <v/>
      </c>
      <c r="K405">
        <f>IF(LEN(INDEX('Providers'!$AI$4:$AI$503,402))=0,"",INDEX('Providers'!$AI$4:$AI$503,402))</f>
        <v/>
      </c>
    </row>
    <row r="406">
      <c r="A406">
        <f>IF(AND(LEN('Providers'!A406)&gt;0,ISNUMBER('Providers'!G406)),1,0)</f>
        <v/>
      </c>
      <c r="B406">
        <f>B405+A406</f>
        <v/>
      </c>
      <c r="C406">
        <f>IF(403&gt;$B$4503,"",MATCH(403-0.5,$B$3:$B$4503,1))</f>
        <v/>
      </c>
      <c r="D406">
        <f>"State license ("&amp;IF(LEN(INDEX('Providers'!$E$4:$E$503,403))=0,"",INDEX('Providers'!$E$4:$E$503,403))&amp;") – "&amp;IF(LEN(INDEX('Providers'!$A$4:$A$503,403))=0,"",INDEX('Providers'!$A$4:$A$503,403))</f>
        <v/>
      </c>
      <c r="E406">
        <f>IF(ISNUMBER(INDEX('Providers'!$G$4:$G$503,403)),TEXT(INDEX('Providers'!$G$4:$G$503,403),"yyyy-mm-dd"),"")</f>
        <v/>
      </c>
      <c r="F406">
        <f>"License"</f>
        <v/>
      </c>
      <c r="G406">
        <f>""</f>
        <v/>
      </c>
      <c r="H406">
        <f>"High"</f>
        <v/>
      </c>
      <c r="I406">
        <f>TRIM(IF(LEN(IF(LEN(INDEX('Providers'!$F$4:$F$503,403))=0,"",INDEX('Providers'!$F$4:$F$503,403)))=0,"","License no.: "&amp;IF(LEN(INDEX('Providers'!$F$4:$F$503,403))=0,"",INDEX('Providers'!$F$4:$F$503,403))&amp;". ")&amp;IF(LEN(IF(LEN(INDEX('Providers'!$C$4:$C$503,403))=0,"",INDEX('Providers'!$C$4:$C$503,403)))=0,"","NPI: "&amp;IF(LEN(INDEX('Providers'!$C$4:$C$503,403))=0,"",INDEX('Providers'!$C$4:$C$503,403))&amp;". ")&amp;IF(LEN(IF(LEN(INDEX('Providers'!$D$4:$D$503,403))=0,"",INDEX('Providers'!$D$4:$D$503,403)))=0,"","Specialty: "&amp;IF(LEN(INDEX('Providers'!$D$4:$D$503,403))=0,"",INDEX('Providers'!$D$4:$D$503,403))&amp;". ")&amp;IF(LEN(IF(LEN(INDEX('Providers'!$AK$4:$AK$503,403))=0,"",INDEX('Providers'!$AK$4:$AK$503,403)))=0,"",IF(LEN(INDEX('Providers'!$AK$4:$AK$503,403))=0,"",INDEX('Providers'!$AK$4:$AK$503,403))))</f>
        <v/>
      </c>
      <c r="J406">
        <f>IF(LEN(INDEX('Providers'!$AJ$4:$AJ$503,403))=0,"",INDEX('Providers'!$AJ$4:$AJ$503,403))</f>
        <v/>
      </c>
      <c r="K406">
        <f>IF(LEN(INDEX('Providers'!$AI$4:$AI$503,403))=0,"",INDEX('Providers'!$AI$4:$AI$503,403))</f>
        <v/>
      </c>
    </row>
    <row r="407">
      <c r="A407">
        <f>IF(AND(LEN('Providers'!A407)&gt;0,ISNUMBER('Providers'!G407)),1,0)</f>
        <v/>
      </c>
      <c r="B407">
        <f>B406+A407</f>
        <v/>
      </c>
      <c r="C407">
        <f>IF(404&gt;$B$4503,"",MATCH(404-0.5,$B$3:$B$4503,1))</f>
        <v/>
      </c>
      <c r="D407">
        <f>"State license ("&amp;IF(LEN(INDEX('Providers'!$E$4:$E$503,404))=0,"",INDEX('Providers'!$E$4:$E$503,404))&amp;") – "&amp;IF(LEN(INDEX('Providers'!$A$4:$A$503,404))=0,"",INDEX('Providers'!$A$4:$A$503,404))</f>
        <v/>
      </c>
      <c r="E407">
        <f>IF(ISNUMBER(INDEX('Providers'!$G$4:$G$503,404)),TEXT(INDEX('Providers'!$G$4:$G$503,404),"yyyy-mm-dd"),"")</f>
        <v/>
      </c>
      <c r="F407">
        <f>"License"</f>
        <v/>
      </c>
      <c r="G407">
        <f>""</f>
        <v/>
      </c>
      <c r="H407">
        <f>"High"</f>
        <v/>
      </c>
      <c r="I407">
        <f>TRIM(IF(LEN(IF(LEN(INDEX('Providers'!$F$4:$F$503,404))=0,"",INDEX('Providers'!$F$4:$F$503,404)))=0,"","License no.: "&amp;IF(LEN(INDEX('Providers'!$F$4:$F$503,404))=0,"",INDEX('Providers'!$F$4:$F$503,404))&amp;". ")&amp;IF(LEN(IF(LEN(INDEX('Providers'!$C$4:$C$503,404))=0,"",INDEX('Providers'!$C$4:$C$503,404)))=0,"","NPI: "&amp;IF(LEN(INDEX('Providers'!$C$4:$C$503,404))=0,"",INDEX('Providers'!$C$4:$C$503,404))&amp;". ")&amp;IF(LEN(IF(LEN(INDEX('Providers'!$D$4:$D$503,404))=0,"",INDEX('Providers'!$D$4:$D$503,404)))=0,"","Specialty: "&amp;IF(LEN(INDEX('Providers'!$D$4:$D$503,404))=0,"",INDEX('Providers'!$D$4:$D$503,404))&amp;". ")&amp;IF(LEN(IF(LEN(INDEX('Providers'!$AK$4:$AK$503,404))=0,"",INDEX('Providers'!$AK$4:$AK$503,404)))=0,"",IF(LEN(INDEX('Providers'!$AK$4:$AK$503,404))=0,"",INDEX('Providers'!$AK$4:$AK$503,404))))</f>
        <v/>
      </c>
      <c r="J407">
        <f>IF(LEN(INDEX('Providers'!$AJ$4:$AJ$503,404))=0,"",INDEX('Providers'!$AJ$4:$AJ$503,404))</f>
        <v/>
      </c>
      <c r="K407">
        <f>IF(LEN(INDEX('Providers'!$AI$4:$AI$503,404))=0,"",INDEX('Providers'!$AI$4:$AI$503,404))</f>
        <v/>
      </c>
    </row>
    <row r="408">
      <c r="A408">
        <f>IF(AND(LEN('Providers'!A408)&gt;0,ISNUMBER('Providers'!G408)),1,0)</f>
        <v/>
      </c>
      <c r="B408">
        <f>B407+A408</f>
        <v/>
      </c>
      <c r="C408">
        <f>IF(405&gt;$B$4503,"",MATCH(405-0.5,$B$3:$B$4503,1))</f>
        <v/>
      </c>
      <c r="D408">
        <f>"State license ("&amp;IF(LEN(INDEX('Providers'!$E$4:$E$503,405))=0,"",INDEX('Providers'!$E$4:$E$503,405))&amp;") – "&amp;IF(LEN(INDEX('Providers'!$A$4:$A$503,405))=0,"",INDEX('Providers'!$A$4:$A$503,405))</f>
        <v/>
      </c>
      <c r="E408">
        <f>IF(ISNUMBER(INDEX('Providers'!$G$4:$G$503,405)),TEXT(INDEX('Providers'!$G$4:$G$503,405),"yyyy-mm-dd"),"")</f>
        <v/>
      </c>
      <c r="F408">
        <f>"License"</f>
        <v/>
      </c>
      <c r="G408">
        <f>""</f>
        <v/>
      </c>
      <c r="H408">
        <f>"High"</f>
        <v/>
      </c>
      <c r="I408">
        <f>TRIM(IF(LEN(IF(LEN(INDEX('Providers'!$F$4:$F$503,405))=0,"",INDEX('Providers'!$F$4:$F$503,405)))=0,"","License no.: "&amp;IF(LEN(INDEX('Providers'!$F$4:$F$503,405))=0,"",INDEX('Providers'!$F$4:$F$503,405))&amp;". ")&amp;IF(LEN(IF(LEN(INDEX('Providers'!$C$4:$C$503,405))=0,"",INDEX('Providers'!$C$4:$C$503,405)))=0,"","NPI: "&amp;IF(LEN(INDEX('Providers'!$C$4:$C$503,405))=0,"",INDEX('Providers'!$C$4:$C$503,405))&amp;". ")&amp;IF(LEN(IF(LEN(INDEX('Providers'!$D$4:$D$503,405))=0,"",INDEX('Providers'!$D$4:$D$503,405)))=0,"","Specialty: "&amp;IF(LEN(INDEX('Providers'!$D$4:$D$503,405))=0,"",INDEX('Providers'!$D$4:$D$503,405))&amp;". ")&amp;IF(LEN(IF(LEN(INDEX('Providers'!$AK$4:$AK$503,405))=0,"",INDEX('Providers'!$AK$4:$AK$503,405)))=0,"",IF(LEN(INDEX('Providers'!$AK$4:$AK$503,405))=0,"",INDEX('Providers'!$AK$4:$AK$503,405))))</f>
        <v/>
      </c>
      <c r="J408">
        <f>IF(LEN(INDEX('Providers'!$AJ$4:$AJ$503,405))=0,"",INDEX('Providers'!$AJ$4:$AJ$503,405))</f>
        <v/>
      </c>
      <c r="K408">
        <f>IF(LEN(INDEX('Providers'!$AI$4:$AI$503,405))=0,"",INDEX('Providers'!$AI$4:$AI$503,405))</f>
        <v/>
      </c>
    </row>
    <row r="409">
      <c r="A409">
        <f>IF(AND(LEN('Providers'!A409)&gt;0,ISNUMBER('Providers'!G409)),1,0)</f>
        <v/>
      </c>
      <c r="B409">
        <f>B408+A409</f>
        <v/>
      </c>
      <c r="C409">
        <f>IF(406&gt;$B$4503,"",MATCH(406-0.5,$B$3:$B$4503,1))</f>
        <v/>
      </c>
      <c r="D409">
        <f>"State license ("&amp;IF(LEN(INDEX('Providers'!$E$4:$E$503,406))=0,"",INDEX('Providers'!$E$4:$E$503,406))&amp;") – "&amp;IF(LEN(INDEX('Providers'!$A$4:$A$503,406))=0,"",INDEX('Providers'!$A$4:$A$503,406))</f>
        <v/>
      </c>
      <c r="E409">
        <f>IF(ISNUMBER(INDEX('Providers'!$G$4:$G$503,406)),TEXT(INDEX('Providers'!$G$4:$G$503,406),"yyyy-mm-dd"),"")</f>
        <v/>
      </c>
      <c r="F409">
        <f>"License"</f>
        <v/>
      </c>
      <c r="G409">
        <f>""</f>
        <v/>
      </c>
      <c r="H409">
        <f>"High"</f>
        <v/>
      </c>
      <c r="I409">
        <f>TRIM(IF(LEN(IF(LEN(INDEX('Providers'!$F$4:$F$503,406))=0,"",INDEX('Providers'!$F$4:$F$503,406)))=0,"","License no.: "&amp;IF(LEN(INDEX('Providers'!$F$4:$F$503,406))=0,"",INDEX('Providers'!$F$4:$F$503,406))&amp;". ")&amp;IF(LEN(IF(LEN(INDEX('Providers'!$C$4:$C$503,406))=0,"",INDEX('Providers'!$C$4:$C$503,406)))=0,"","NPI: "&amp;IF(LEN(INDEX('Providers'!$C$4:$C$503,406))=0,"",INDEX('Providers'!$C$4:$C$503,406))&amp;". ")&amp;IF(LEN(IF(LEN(INDEX('Providers'!$D$4:$D$503,406))=0,"",INDEX('Providers'!$D$4:$D$503,406)))=0,"","Specialty: "&amp;IF(LEN(INDEX('Providers'!$D$4:$D$503,406))=0,"",INDEX('Providers'!$D$4:$D$503,406))&amp;". ")&amp;IF(LEN(IF(LEN(INDEX('Providers'!$AK$4:$AK$503,406))=0,"",INDEX('Providers'!$AK$4:$AK$503,406)))=0,"",IF(LEN(INDEX('Providers'!$AK$4:$AK$503,406))=0,"",INDEX('Providers'!$AK$4:$AK$503,406))))</f>
        <v/>
      </c>
      <c r="J409">
        <f>IF(LEN(INDEX('Providers'!$AJ$4:$AJ$503,406))=0,"",INDEX('Providers'!$AJ$4:$AJ$503,406))</f>
        <v/>
      </c>
      <c r="K409">
        <f>IF(LEN(INDEX('Providers'!$AI$4:$AI$503,406))=0,"",INDEX('Providers'!$AI$4:$AI$503,406))</f>
        <v/>
      </c>
    </row>
    <row r="410">
      <c r="A410">
        <f>IF(AND(LEN('Providers'!A410)&gt;0,ISNUMBER('Providers'!G410)),1,0)</f>
        <v/>
      </c>
      <c r="B410">
        <f>B409+A410</f>
        <v/>
      </c>
      <c r="C410">
        <f>IF(407&gt;$B$4503,"",MATCH(407-0.5,$B$3:$B$4503,1))</f>
        <v/>
      </c>
      <c r="D410">
        <f>"State license ("&amp;IF(LEN(INDEX('Providers'!$E$4:$E$503,407))=0,"",INDEX('Providers'!$E$4:$E$503,407))&amp;") – "&amp;IF(LEN(INDEX('Providers'!$A$4:$A$503,407))=0,"",INDEX('Providers'!$A$4:$A$503,407))</f>
        <v/>
      </c>
      <c r="E410">
        <f>IF(ISNUMBER(INDEX('Providers'!$G$4:$G$503,407)),TEXT(INDEX('Providers'!$G$4:$G$503,407),"yyyy-mm-dd"),"")</f>
        <v/>
      </c>
      <c r="F410">
        <f>"License"</f>
        <v/>
      </c>
      <c r="G410">
        <f>""</f>
        <v/>
      </c>
      <c r="H410">
        <f>"High"</f>
        <v/>
      </c>
      <c r="I410">
        <f>TRIM(IF(LEN(IF(LEN(INDEX('Providers'!$F$4:$F$503,407))=0,"",INDEX('Providers'!$F$4:$F$503,407)))=0,"","License no.: "&amp;IF(LEN(INDEX('Providers'!$F$4:$F$503,407))=0,"",INDEX('Providers'!$F$4:$F$503,407))&amp;". ")&amp;IF(LEN(IF(LEN(INDEX('Providers'!$C$4:$C$503,407))=0,"",INDEX('Providers'!$C$4:$C$503,407)))=0,"","NPI: "&amp;IF(LEN(INDEX('Providers'!$C$4:$C$503,407))=0,"",INDEX('Providers'!$C$4:$C$503,407))&amp;". ")&amp;IF(LEN(IF(LEN(INDEX('Providers'!$D$4:$D$503,407))=0,"",INDEX('Providers'!$D$4:$D$503,407)))=0,"","Specialty: "&amp;IF(LEN(INDEX('Providers'!$D$4:$D$503,407))=0,"",INDEX('Providers'!$D$4:$D$503,407))&amp;". ")&amp;IF(LEN(IF(LEN(INDEX('Providers'!$AK$4:$AK$503,407))=0,"",INDEX('Providers'!$AK$4:$AK$503,407)))=0,"",IF(LEN(INDEX('Providers'!$AK$4:$AK$503,407))=0,"",INDEX('Providers'!$AK$4:$AK$503,407))))</f>
        <v/>
      </c>
      <c r="J410">
        <f>IF(LEN(INDEX('Providers'!$AJ$4:$AJ$503,407))=0,"",INDEX('Providers'!$AJ$4:$AJ$503,407))</f>
        <v/>
      </c>
      <c r="K410">
        <f>IF(LEN(INDEX('Providers'!$AI$4:$AI$503,407))=0,"",INDEX('Providers'!$AI$4:$AI$503,407))</f>
        <v/>
      </c>
    </row>
    <row r="411">
      <c r="A411">
        <f>IF(AND(LEN('Providers'!A411)&gt;0,ISNUMBER('Providers'!G411)),1,0)</f>
        <v/>
      </c>
      <c r="B411">
        <f>B410+A411</f>
        <v/>
      </c>
      <c r="C411">
        <f>IF(408&gt;$B$4503,"",MATCH(408-0.5,$B$3:$B$4503,1))</f>
        <v/>
      </c>
      <c r="D411">
        <f>"State license ("&amp;IF(LEN(INDEX('Providers'!$E$4:$E$503,408))=0,"",INDEX('Providers'!$E$4:$E$503,408))&amp;") – "&amp;IF(LEN(INDEX('Providers'!$A$4:$A$503,408))=0,"",INDEX('Providers'!$A$4:$A$503,408))</f>
        <v/>
      </c>
      <c r="E411">
        <f>IF(ISNUMBER(INDEX('Providers'!$G$4:$G$503,408)),TEXT(INDEX('Providers'!$G$4:$G$503,408),"yyyy-mm-dd"),"")</f>
        <v/>
      </c>
      <c r="F411">
        <f>"License"</f>
        <v/>
      </c>
      <c r="G411">
        <f>""</f>
        <v/>
      </c>
      <c r="H411">
        <f>"High"</f>
        <v/>
      </c>
      <c r="I411">
        <f>TRIM(IF(LEN(IF(LEN(INDEX('Providers'!$F$4:$F$503,408))=0,"",INDEX('Providers'!$F$4:$F$503,408)))=0,"","License no.: "&amp;IF(LEN(INDEX('Providers'!$F$4:$F$503,408))=0,"",INDEX('Providers'!$F$4:$F$503,408))&amp;". ")&amp;IF(LEN(IF(LEN(INDEX('Providers'!$C$4:$C$503,408))=0,"",INDEX('Providers'!$C$4:$C$503,408)))=0,"","NPI: "&amp;IF(LEN(INDEX('Providers'!$C$4:$C$503,408))=0,"",INDEX('Providers'!$C$4:$C$503,408))&amp;". ")&amp;IF(LEN(IF(LEN(INDEX('Providers'!$D$4:$D$503,408))=0,"",INDEX('Providers'!$D$4:$D$503,408)))=0,"","Specialty: "&amp;IF(LEN(INDEX('Providers'!$D$4:$D$503,408))=0,"",INDEX('Providers'!$D$4:$D$503,408))&amp;". ")&amp;IF(LEN(IF(LEN(INDEX('Providers'!$AK$4:$AK$503,408))=0,"",INDEX('Providers'!$AK$4:$AK$503,408)))=0,"",IF(LEN(INDEX('Providers'!$AK$4:$AK$503,408))=0,"",INDEX('Providers'!$AK$4:$AK$503,408))))</f>
        <v/>
      </c>
      <c r="J411">
        <f>IF(LEN(INDEX('Providers'!$AJ$4:$AJ$503,408))=0,"",INDEX('Providers'!$AJ$4:$AJ$503,408))</f>
        <v/>
      </c>
      <c r="K411">
        <f>IF(LEN(INDEX('Providers'!$AI$4:$AI$503,408))=0,"",INDEX('Providers'!$AI$4:$AI$503,408))</f>
        <v/>
      </c>
    </row>
    <row r="412">
      <c r="A412">
        <f>IF(AND(LEN('Providers'!A412)&gt;0,ISNUMBER('Providers'!G412)),1,0)</f>
        <v/>
      </c>
      <c r="B412">
        <f>B411+A412</f>
        <v/>
      </c>
      <c r="C412">
        <f>IF(409&gt;$B$4503,"",MATCH(409-0.5,$B$3:$B$4503,1))</f>
        <v/>
      </c>
      <c r="D412">
        <f>"State license ("&amp;IF(LEN(INDEX('Providers'!$E$4:$E$503,409))=0,"",INDEX('Providers'!$E$4:$E$503,409))&amp;") – "&amp;IF(LEN(INDEX('Providers'!$A$4:$A$503,409))=0,"",INDEX('Providers'!$A$4:$A$503,409))</f>
        <v/>
      </c>
      <c r="E412">
        <f>IF(ISNUMBER(INDEX('Providers'!$G$4:$G$503,409)),TEXT(INDEX('Providers'!$G$4:$G$503,409),"yyyy-mm-dd"),"")</f>
        <v/>
      </c>
      <c r="F412">
        <f>"License"</f>
        <v/>
      </c>
      <c r="G412">
        <f>""</f>
        <v/>
      </c>
      <c r="H412">
        <f>"High"</f>
        <v/>
      </c>
      <c r="I412">
        <f>TRIM(IF(LEN(IF(LEN(INDEX('Providers'!$F$4:$F$503,409))=0,"",INDEX('Providers'!$F$4:$F$503,409)))=0,"","License no.: "&amp;IF(LEN(INDEX('Providers'!$F$4:$F$503,409))=0,"",INDEX('Providers'!$F$4:$F$503,409))&amp;". ")&amp;IF(LEN(IF(LEN(INDEX('Providers'!$C$4:$C$503,409))=0,"",INDEX('Providers'!$C$4:$C$503,409)))=0,"","NPI: "&amp;IF(LEN(INDEX('Providers'!$C$4:$C$503,409))=0,"",INDEX('Providers'!$C$4:$C$503,409))&amp;". ")&amp;IF(LEN(IF(LEN(INDEX('Providers'!$D$4:$D$503,409))=0,"",INDEX('Providers'!$D$4:$D$503,409)))=0,"","Specialty: "&amp;IF(LEN(INDEX('Providers'!$D$4:$D$503,409))=0,"",INDEX('Providers'!$D$4:$D$503,409))&amp;". ")&amp;IF(LEN(IF(LEN(INDEX('Providers'!$AK$4:$AK$503,409))=0,"",INDEX('Providers'!$AK$4:$AK$503,409)))=0,"",IF(LEN(INDEX('Providers'!$AK$4:$AK$503,409))=0,"",INDEX('Providers'!$AK$4:$AK$503,409))))</f>
        <v/>
      </c>
      <c r="J412">
        <f>IF(LEN(INDEX('Providers'!$AJ$4:$AJ$503,409))=0,"",INDEX('Providers'!$AJ$4:$AJ$503,409))</f>
        <v/>
      </c>
      <c r="K412">
        <f>IF(LEN(INDEX('Providers'!$AI$4:$AI$503,409))=0,"",INDEX('Providers'!$AI$4:$AI$503,409))</f>
        <v/>
      </c>
    </row>
    <row r="413">
      <c r="A413">
        <f>IF(AND(LEN('Providers'!A413)&gt;0,ISNUMBER('Providers'!G413)),1,0)</f>
        <v/>
      </c>
      <c r="B413">
        <f>B412+A413</f>
        <v/>
      </c>
      <c r="C413">
        <f>IF(410&gt;$B$4503,"",MATCH(410-0.5,$B$3:$B$4503,1))</f>
        <v/>
      </c>
      <c r="D413">
        <f>"State license ("&amp;IF(LEN(INDEX('Providers'!$E$4:$E$503,410))=0,"",INDEX('Providers'!$E$4:$E$503,410))&amp;") – "&amp;IF(LEN(INDEX('Providers'!$A$4:$A$503,410))=0,"",INDEX('Providers'!$A$4:$A$503,410))</f>
        <v/>
      </c>
      <c r="E413">
        <f>IF(ISNUMBER(INDEX('Providers'!$G$4:$G$503,410)),TEXT(INDEX('Providers'!$G$4:$G$503,410),"yyyy-mm-dd"),"")</f>
        <v/>
      </c>
      <c r="F413">
        <f>"License"</f>
        <v/>
      </c>
      <c r="G413">
        <f>""</f>
        <v/>
      </c>
      <c r="H413">
        <f>"High"</f>
        <v/>
      </c>
      <c r="I413">
        <f>TRIM(IF(LEN(IF(LEN(INDEX('Providers'!$F$4:$F$503,410))=0,"",INDEX('Providers'!$F$4:$F$503,410)))=0,"","License no.: "&amp;IF(LEN(INDEX('Providers'!$F$4:$F$503,410))=0,"",INDEX('Providers'!$F$4:$F$503,410))&amp;". ")&amp;IF(LEN(IF(LEN(INDEX('Providers'!$C$4:$C$503,410))=0,"",INDEX('Providers'!$C$4:$C$503,410)))=0,"","NPI: "&amp;IF(LEN(INDEX('Providers'!$C$4:$C$503,410))=0,"",INDEX('Providers'!$C$4:$C$503,410))&amp;". ")&amp;IF(LEN(IF(LEN(INDEX('Providers'!$D$4:$D$503,410))=0,"",INDEX('Providers'!$D$4:$D$503,410)))=0,"","Specialty: "&amp;IF(LEN(INDEX('Providers'!$D$4:$D$503,410))=0,"",INDEX('Providers'!$D$4:$D$503,410))&amp;". ")&amp;IF(LEN(IF(LEN(INDEX('Providers'!$AK$4:$AK$503,410))=0,"",INDEX('Providers'!$AK$4:$AK$503,410)))=0,"",IF(LEN(INDEX('Providers'!$AK$4:$AK$503,410))=0,"",INDEX('Providers'!$AK$4:$AK$503,410))))</f>
        <v/>
      </c>
      <c r="J413">
        <f>IF(LEN(INDEX('Providers'!$AJ$4:$AJ$503,410))=0,"",INDEX('Providers'!$AJ$4:$AJ$503,410))</f>
        <v/>
      </c>
      <c r="K413">
        <f>IF(LEN(INDEX('Providers'!$AI$4:$AI$503,410))=0,"",INDEX('Providers'!$AI$4:$AI$503,410))</f>
        <v/>
      </c>
    </row>
    <row r="414">
      <c r="A414">
        <f>IF(AND(LEN('Providers'!A414)&gt;0,ISNUMBER('Providers'!G414)),1,0)</f>
        <v/>
      </c>
      <c r="B414">
        <f>B413+A414</f>
        <v/>
      </c>
      <c r="C414">
        <f>IF(411&gt;$B$4503,"",MATCH(411-0.5,$B$3:$B$4503,1))</f>
        <v/>
      </c>
      <c r="D414">
        <f>"State license ("&amp;IF(LEN(INDEX('Providers'!$E$4:$E$503,411))=0,"",INDEX('Providers'!$E$4:$E$503,411))&amp;") – "&amp;IF(LEN(INDEX('Providers'!$A$4:$A$503,411))=0,"",INDEX('Providers'!$A$4:$A$503,411))</f>
        <v/>
      </c>
      <c r="E414">
        <f>IF(ISNUMBER(INDEX('Providers'!$G$4:$G$503,411)),TEXT(INDEX('Providers'!$G$4:$G$503,411),"yyyy-mm-dd"),"")</f>
        <v/>
      </c>
      <c r="F414">
        <f>"License"</f>
        <v/>
      </c>
      <c r="G414">
        <f>""</f>
        <v/>
      </c>
      <c r="H414">
        <f>"High"</f>
        <v/>
      </c>
      <c r="I414">
        <f>TRIM(IF(LEN(IF(LEN(INDEX('Providers'!$F$4:$F$503,411))=0,"",INDEX('Providers'!$F$4:$F$503,411)))=0,"","License no.: "&amp;IF(LEN(INDEX('Providers'!$F$4:$F$503,411))=0,"",INDEX('Providers'!$F$4:$F$503,411))&amp;". ")&amp;IF(LEN(IF(LEN(INDEX('Providers'!$C$4:$C$503,411))=0,"",INDEX('Providers'!$C$4:$C$503,411)))=0,"","NPI: "&amp;IF(LEN(INDEX('Providers'!$C$4:$C$503,411))=0,"",INDEX('Providers'!$C$4:$C$503,411))&amp;". ")&amp;IF(LEN(IF(LEN(INDEX('Providers'!$D$4:$D$503,411))=0,"",INDEX('Providers'!$D$4:$D$503,411)))=0,"","Specialty: "&amp;IF(LEN(INDEX('Providers'!$D$4:$D$503,411))=0,"",INDEX('Providers'!$D$4:$D$503,411))&amp;". ")&amp;IF(LEN(IF(LEN(INDEX('Providers'!$AK$4:$AK$503,411))=0,"",INDEX('Providers'!$AK$4:$AK$503,411)))=0,"",IF(LEN(INDEX('Providers'!$AK$4:$AK$503,411))=0,"",INDEX('Providers'!$AK$4:$AK$503,411))))</f>
        <v/>
      </c>
      <c r="J414">
        <f>IF(LEN(INDEX('Providers'!$AJ$4:$AJ$503,411))=0,"",INDEX('Providers'!$AJ$4:$AJ$503,411))</f>
        <v/>
      </c>
      <c r="K414">
        <f>IF(LEN(INDEX('Providers'!$AI$4:$AI$503,411))=0,"",INDEX('Providers'!$AI$4:$AI$503,411))</f>
        <v/>
      </c>
    </row>
    <row r="415">
      <c r="A415">
        <f>IF(AND(LEN('Providers'!A415)&gt;0,ISNUMBER('Providers'!G415)),1,0)</f>
        <v/>
      </c>
      <c r="B415">
        <f>B414+A415</f>
        <v/>
      </c>
      <c r="C415">
        <f>IF(412&gt;$B$4503,"",MATCH(412-0.5,$B$3:$B$4503,1))</f>
        <v/>
      </c>
      <c r="D415">
        <f>"State license ("&amp;IF(LEN(INDEX('Providers'!$E$4:$E$503,412))=0,"",INDEX('Providers'!$E$4:$E$503,412))&amp;") – "&amp;IF(LEN(INDEX('Providers'!$A$4:$A$503,412))=0,"",INDEX('Providers'!$A$4:$A$503,412))</f>
        <v/>
      </c>
      <c r="E415">
        <f>IF(ISNUMBER(INDEX('Providers'!$G$4:$G$503,412)),TEXT(INDEX('Providers'!$G$4:$G$503,412),"yyyy-mm-dd"),"")</f>
        <v/>
      </c>
      <c r="F415">
        <f>"License"</f>
        <v/>
      </c>
      <c r="G415">
        <f>""</f>
        <v/>
      </c>
      <c r="H415">
        <f>"High"</f>
        <v/>
      </c>
      <c r="I415">
        <f>TRIM(IF(LEN(IF(LEN(INDEX('Providers'!$F$4:$F$503,412))=0,"",INDEX('Providers'!$F$4:$F$503,412)))=0,"","License no.: "&amp;IF(LEN(INDEX('Providers'!$F$4:$F$503,412))=0,"",INDEX('Providers'!$F$4:$F$503,412))&amp;". ")&amp;IF(LEN(IF(LEN(INDEX('Providers'!$C$4:$C$503,412))=0,"",INDEX('Providers'!$C$4:$C$503,412)))=0,"","NPI: "&amp;IF(LEN(INDEX('Providers'!$C$4:$C$503,412))=0,"",INDEX('Providers'!$C$4:$C$503,412))&amp;". ")&amp;IF(LEN(IF(LEN(INDEX('Providers'!$D$4:$D$503,412))=0,"",INDEX('Providers'!$D$4:$D$503,412)))=0,"","Specialty: "&amp;IF(LEN(INDEX('Providers'!$D$4:$D$503,412))=0,"",INDEX('Providers'!$D$4:$D$503,412))&amp;". ")&amp;IF(LEN(IF(LEN(INDEX('Providers'!$AK$4:$AK$503,412))=0,"",INDEX('Providers'!$AK$4:$AK$503,412)))=0,"",IF(LEN(INDEX('Providers'!$AK$4:$AK$503,412))=0,"",INDEX('Providers'!$AK$4:$AK$503,412))))</f>
        <v/>
      </c>
      <c r="J415">
        <f>IF(LEN(INDEX('Providers'!$AJ$4:$AJ$503,412))=0,"",INDEX('Providers'!$AJ$4:$AJ$503,412))</f>
        <v/>
      </c>
      <c r="K415">
        <f>IF(LEN(INDEX('Providers'!$AI$4:$AI$503,412))=0,"",INDEX('Providers'!$AI$4:$AI$503,412))</f>
        <v/>
      </c>
    </row>
    <row r="416">
      <c r="A416">
        <f>IF(AND(LEN('Providers'!A416)&gt;0,ISNUMBER('Providers'!G416)),1,0)</f>
        <v/>
      </c>
      <c r="B416">
        <f>B415+A416</f>
        <v/>
      </c>
      <c r="C416">
        <f>IF(413&gt;$B$4503,"",MATCH(413-0.5,$B$3:$B$4503,1))</f>
        <v/>
      </c>
      <c r="D416">
        <f>"State license ("&amp;IF(LEN(INDEX('Providers'!$E$4:$E$503,413))=0,"",INDEX('Providers'!$E$4:$E$503,413))&amp;") – "&amp;IF(LEN(INDEX('Providers'!$A$4:$A$503,413))=0,"",INDEX('Providers'!$A$4:$A$503,413))</f>
        <v/>
      </c>
      <c r="E416">
        <f>IF(ISNUMBER(INDEX('Providers'!$G$4:$G$503,413)),TEXT(INDEX('Providers'!$G$4:$G$503,413),"yyyy-mm-dd"),"")</f>
        <v/>
      </c>
      <c r="F416">
        <f>"License"</f>
        <v/>
      </c>
      <c r="G416">
        <f>""</f>
        <v/>
      </c>
      <c r="H416">
        <f>"High"</f>
        <v/>
      </c>
      <c r="I416">
        <f>TRIM(IF(LEN(IF(LEN(INDEX('Providers'!$F$4:$F$503,413))=0,"",INDEX('Providers'!$F$4:$F$503,413)))=0,"","License no.: "&amp;IF(LEN(INDEX('Providers'!$F$4:$F$503,413))=0,"",INDEX('Providers'!$F$4:$F$503,413))&amp;". ")&amp;IF(LEN(IF(LEN(INDEX('Providers'!$C$4:$C$503,413))=0,"",INDEX('Providers'!$C$4:$C$503,413)))=0,"","NPI: "&amp;IF(LEN(INDEX('Providers'!$C$4:$C$503,413))=0,"",INDEX('Providers'!$C$4:$C$503,413))&amp;". ")&amp;IF(LEN(IF(LEN(INDEX('Providers'!$D$4:$D$503,413))=0,"",INDEX('Providers'!$D$4:$D$503,413)))=0,"","Specialty: "&amp;IF(LEN(INDEX('Providers'!$D$4:$D$503,413))=0,"",INDEX('Providers'!$D$4:$D$503,413))&amp;". ")&amp;IF(LEN(IF(LEN(INDEX('Providers'!$AK$4:$AK$503,413))=0,"",INDEX('Providers'!$AK$4:$AK$503,413)))=0,"",IF(LEN(INDEX('Providers'!$AK$4:$AK$503,413))=0,"",INDEX('Providers'!$AK$4:$AK$503,413))))</f>
        <v/>
      </c>
      <c r="J416">
        <f>IF(LEN(INDEX('Providers'!$AJ$4:$AJ$503,413))=0,"",INDEX('Providers'!$AJ$4:$AJ$503,413))</f>
        <v/>
      </c>
      <c r="K416">
        <f>IF(LEN(INDEX('Providers'!$AI$4:$AI$503,413))=0,"",INDEX('Providers'!$AI$4:$AI$503,413))</f>
        <v/>
      </c>
    </row>
    <row r="417">
      <c r="A417">
        <f>IF(AND(LEN('Providers'!A417)&gt;0,ISNUMBER('Providers'!G417)),1,0)</f>
        <v/>
      </c>
      <c r="B417">
        <f>B416+A417</f>
        <v/>
      </c>
      <c r="C417">
        <f>IF(414&gt;$B$4503,"",MATCH(414-0.5,$B$3:$B$4503,1))</f>
        <v/>
      </c>
      <c r="D417">
        <f>"State license ("&amp;IF(LEN(INDEX('Providers'!$E$4:$E$503,414))=0,"",INDEX('Providers'!$E$4:$E$503,414))&amp;") – "&amp;IF(LEN(INDEX('Providers'!$A$4:$A$503,414))=0,"",INDEX('Providers'!$A$4:$A$503,414))</f>
        <v/>
      </c>
      <c r="E417">
        <f>IF(ISNUMBER(INDEX('Providers'!$G$4:$G$503,414)),TEXT(INDEX('Providers'!$G$4:$G$503,414),"yyyy-mm-dd"),"")</f>
        <v/>
      </c>
      <c r="F417">
        <f>"License"</f>
        <v/>
      </c>
      <c r="G417">
        <f>""</f>
        <v/>
      </c>
      <c r="H417">
        <f>"High"</f>
        <v/>
      </c>
      <c r="I417">
        <f>TRIM(IF(LEN(IF(LEN(INDEX('Providers'!$F$4:$F$503,414))=0,"",INDEX('Providers'!$F$4:$F$503,414)))=0,"","License no.: "&amp;IF(LEN(INDEX('Providers'!$F$4:$F$503,414))=0,"",INDEX('Providers'!$F$4:$F$503,414))&amp;". ")&amp;IF(LEN(IF(LEN(INDEX('Providers'!$C$4:$C$503,414))=0,"",INDEX('Providers'!$C$4:$C$503,414)))=0,"","NPI: "&amp;IF(LEN(INDEX('Providers'!$C$4:$C$503,414))=0,"",INDEX('Providers'!$C$4:$C$503,414))&amp;". ")&amp;IF(LEN(IF(LEN(INDEX('Providers'!$D$4:$D$503,414))=0,"",INDEX('Providers'!$D$4:$D$503,414)))=0,"","Specialty: "&amp;IF(LEN(INDEX('Providers'!$D$4:$D$503,414))=0,"",INDEX('Providers'!$D$4:$D$503,414))&amp;". ")&amp;IF(LEN(IF(LEN(INDEX('Providers'!$AK$4:$AK$503,414))=0,"",INDEX('Providers'!$AK$4:$AK$503,414)))=0,"",IF(LEN(INDEX('Providers'!$AK$4:$AK$503,414))=0,"",INDEX('Providers'!$AK$4:$AK$503,414))))</f>
        <v/>
      </c>
      <c r="J417">
        <f>IF(LEN(INDEX('Providers'!$AJ$4:$AJ$503,414))=0,"",INDEX('Providers'!$AJ$4:$AJ$503,414))</f>
        <v/>
      </c>
      <c r="K417">
        <f>IF(LEN(INDEX('Providers'!$AI$4:$AI$503,414))=0,"",INDEX('Providers'!$AI$4:$AI$503,414))</f>
        <v/>
      </c>
    </row>
    <row r="418">
      <c r="A418">
        <f>IF(AND(LEN('Providers'!A418)&gt;0,ISNUMBER('Providers'!G418)),1,0)</f>
        <v/>
      </c>
      <c r="B418">
        <f>B417+A418</f>
        <v/>
      </c>
      <c r="C418">
        <f>IF(415&gt;$B$4503,"",MATCH(415-0.5,$B$3:$B$4503,1))</f>
        <v/>
      </c>
      <c r="D418">
        <f>"State license ("&amp;IF(LEN(INDEX('Providers'!$E$4:$E$503,415))=0,"",INDEX('Providers'!$E$4:$E$503,415))&amp;") – "&amp;IF(LEN(INDEX('Providers'!$A$4:$A$503,415))=0,"",INDEX('Providers'!$A$4:$A$503,415))</f>
        <v/>
      </c>
      <c r="E418">
        <f>IF(ISNUMBER(INDEX('Providers'!$G$4:$G$503,415)),TEXT(INDEX('Providers'!$G$4:$G$503,415),"yyyy-mm-dd"),"")</f>
        <v/>
      </c>
      <c r="F418">
        <f>"License"</f>
        <v/>
      </c>
      <c r="G418">
        <f>""</f>
        <v/>
      </c>
      <c r="H418">
        <f>"High"</f>
        <v/>
      </c>
      <c r="I418">
        <f>TRIM(IF(LEN(IF(LEN(INDEX('Providers'!$F$4:$F$503,415))=0,"",INDEX('Providers'!$F$4:$F$503,415)))=0,"","License no.: "&amp;IF(LEN(INDEX('Providers'!$F$4:$F$503,415))=0,"",INDEX('Providers'!$F$4:$F$503,415))&amp;". ")&amp;IF(LEN(IF(LEN(INDEX('Providers'!$C$4:$C$503,415))=0,"",INDEX('Providers'!$C$4:$C$503,415)))=0,"","NPI: "&amp;IF(LEN(INDEX('Providers'!$C$4:$C$503,415))=0,"",INDEX('Providers'!$C$4:$C$503,415))&amp;". ")&amp;IF(LEN(IF(LEN(INDEX('Providers'!$D$4:$D$503,415))=0,"",INDEX('Providers'!$D$4:$D$503,415)))=0,"","Specialty: "&amp;IF(LEN(INDEX('Providers'!$D$4:$D$503,415))=0,"",INDEX('Providers'!$D$4:$D$503,415))&amp;". ")&amp;IF(LEN(IF(LEN(INDEX('Providers'!$AK$4:$AK$503,415))=0,"",INDEX('Providers'!$AK$4:$AK$503,415)))=0,"",IF(LEN(INDEX('Providers'!$AK$4:$AK$503,415))=0,"",INDEX('Providers'!$AK$4:$AK$503,415))))</f>
        <v/>
      </c>
      <c r="J418">
        <f>IF(LEN(INDEX('Providers'!$AJ$4:$AJ$503,415))=0,"",INDEX('Providers'!$AJ$4:$AJ$503,415))</f>
        <v/>
      </c>
      <c r="K418">
        <f>IF(LEN(INDEX('Providers'!$AI$4:$AI$503,415))=0,"",INDEX('Providers'!$AI$4:$AI$503,415))</f>
        <v/>
      </c>
    </row>
    <row r="419">
      <c r="A419">
        <f>IF(AND(LEN('Providers'!A419)&gt;0,ISNUMBER('Providers'!G419)),1,0)</f>
        <v/>
      </c>
      <c r="B419">
        <f>B418+A419</f>
        <v/>
      </c>
      <c r="C419">
        <f>IF(416&gt;$B$4503,"",MATCH(416-0.5,$B$3:$B$4503,1))</f>
        <v/>
      </c>
      <c r="D419">
        <f>"State license ("&amp;IF(LEN(INDEX('Providers'!$E$4:$E$503,416))=0,"",INDEX('Providers'!$E$4:$E$503,416))&amp;") – "&amp;IF(LEN(INDEX('Providers'!$A$4:$A$503,416))=0,"",INDEX('Providers'!$A$4:$A$503,416))</f>
        <v/>
      </c>
      <c r="E419">
        <f>IF(ISNUMBER(INDEX('Providers'!$G$4:$G$503,416)),TEXT(INDEX('Providers'!$G$4:$G$503,416),"yyyy-mm-dd"),"")</f>
        <v/>
      </c>
      <c r="F419">
        <f>"License"</f>
        <v/>
      </c>
      <c r="G419">
        <f>""</f>
        <v/>
      </c>
      <c r="H419">
        <f>"High"</f>
        <v/>
      </c>
      <c r="I419">
        <f>TRIM(IF(LEN(IF(LEN(INDEX('Providers'!$F$4:$F$503,416))=0,"",INDEX('Providers'!$F$4:$F$503,416)))=0,"","License no.: "&amp;IF(LEN(INDEX('Providers'!$F$4:$F$503,416))=0,"",INDEX('Providers'!$F$4:$F$503,416))&amp;". ")&amp;IF(LEN(IF(LEN(INDEX('Providers'!$C$4:$C$503,416))=0,"",INDEX('Providers'!$C$4:$C$503,416)))=0,"","NPI: "&amp;IF(LEN(INDEX('Providers'!$C$4:$C$503,416))=0,"",INDEX('Providers'!$C$4:$C$503,416))&amp;". ")&amp;IF(LEN(IF(LEN(INDEX('Providers'!$D$4:$D$503,416))=0,"",INDEX('Providers'!$D$4:$D$503,416)))=0,"","Specialty: "&amp;IF(LEN(INDEX('Providers'!$D$4:$D$503,416))=0,"",INDEX('Providers'!$D$4:$D$503,416))&amp;". ")&amp;IF(LEN(IF(LEN(INDEX('Providers'!$AK$4:$AK$503,416))=0,"",INDEX('Providers'!$AK$4:$AK$503,416)))=0,"",IF(LEN(INDEX('Providers'!$AK$4:$AK$503,416))=0,"",INDEX('Providers'!$AK$4:$AK$503,416))))</f>
        <v/>
      </c>
      <c r="J419">
        <f>IF(LEN(INDEX('Providers'!$AJ$4:$AJ$503,416))=0,"",INDEX('Providers'!$AJ$4:$AJ$503,416))</f>
        <v/>
      </c>
      <c r="K419">
        <f>IF(LEN(INDEX('Providers'!$AI$4:$AI$503,416))=0,"",INDEX('Providers'!$AI$4:$AI$503,416))</f>
        <v/>
      </c>
    </row>
    <row r="420">
      <c r="A420">
        <f>IF(AND(LEN('Providers'!A420)&gt;0,ISNUMBER('Providers'!G420)),1,0)</f>
        <v/>
      </c>
      <c r="B420">
        <f>B419+A420</f>
        <v/>
      </c>
      <c r="C420">
        <f>IF(417&gt;$B$4503,"",MATCH(417-0.5,$B$3:$B$4503,1))</f>
        <v/>
      </c>
      <c r="D420">
        <f>"State license ("&amp;IF(LEN(INDEX('Providers'!$E$4:$E$503,417))=0,"",INDEX('Providers'!$E$4:$E$503,417))&amp;") – "&amp;IF(LEN(INDEX('Providers'!$A$4:$A$503,417))=0,"",INDEX('Providers'!$A$4:$A$503,417))</f>
        <v/>
      </c>
      <c r="E420">
        <f>IF(ISNUMBER(INDEX('Providers'!$G$4:$G$503,417)),TEXT(INDEX('Providers'!$G$4:$G$503,417),"yyyy-mm-dd"),"")</f>
        <v/>
      </c>
      <c r="F420">
        <f>"License"</f>
        <v/>
      </c>
      <c r="G420">
        <f>""</f>
        <v/>
      </c>
      <c r="H420">
        <f>"High"</f>
        <v/>
      </c>
      <c r="I420">
        <f>TRIM(IF(LEN(IF(LEN(INDEX('Providers'!$F$4:$F$503,417))=0,"",INDEX('Providers'!$F$4:$F$503,417)))=0,"","License no.: "&amp;IF(LEN(INDEX('Providers'!$F$4:$F$503,417))=0,"",INDEX('Providers'!$F$4:$F$503,417))&amp;". ")&amp;IF(LEN(IF(LEN(INDEX('Providers'!$C$4:$C$503,417))=0,"",INDEX('Providers'!$C$4:$C$503,417)))=0,"","NPI: "&amp;IF(LEN(INDEX('Providers'!$C$4:$C$503,417))=0,"",INDEX('Providers'!$C$4:$C$503,417))&amp;". ")&amp;IF(LEN(IF(LEN(INDEX('Providers'!$D$4:$D$503,417))=0,"",INDEX('Providers'!$D$4:$D$503,417)))=0,"","Specialty: "&amp;IF(LEN(INDEX('Providers'!$D$4:$D$503,417))=0,"",INDEX('Providers'!$D$4:$D$503,417))&amp;". ")&amp;IF(LEN(IF(LEN(INDEX('Providers'!$AK$4:$AK$503,417))=0,"",INDEX('Providers'!$AK$4:$AK$503,417)))=0,"",IF(LEN(INDEX('Providers'!$AK$4:$AK$503,417))=0,"",INDEX('Providers'!$AK$4:$AK$503,417))))</f>
        <v/>
      </c>
      <c r="J420">
        <f>IF(LEN(INDEX('Providers'!$AJ$4:$AJ$503,417))=0,"",INDEX('Providers'!$AJ$4:$AJ$503,417))</f>
        <v/>
      </c>
      <c r="K420">
        <f>IF(LEN(INDEX('Providers'!$AI$4:$AI$503,417))=0,"",INDEX('Providers'!$AI$4:$AI$503,417))</f>
        <v/>
      </c>
    </row>
    <row r="421">
      <c r="A421">
        <f>IF(AND(LEN('Providers'!A421)&gt;0,ISNUMBER('Providers'!G421)),1,0)</f>
        <v/>
      </c>
      <c r="B421">
        <f>B420+A421</f>
        <v/>
      </c>
      <c r="C421">
        <f>IF(418&gt;$B$4503,"",MATCH(418-0.5,$B$3:$B$4503,1))</f>
        <v/>
      </c>
      <c r="D421">
        <f>"State license ("&amp;IF(LEN(INDEX('Providers'!$E$4:$E$503,418))=0,"",INDEX('Providers'!$E$4:$E$503,418))&amp;") – "&amp;IF(LEN(INDEX('Providers'!$A$4:$A$503,418))=0,"",INDEX('Providers'!$A$4:$A$503,418))</f>
        <v/>
      </c>
      <c r="E421">
        <f>IF(ISNUMBER(INDEX('Providers'!$G$4:$G$503,418)),TEXT(INDEX('Providers'!$G$4:$G$503,418),"yyyy-mm-dd"),"")</f>
        <v/>
      </c>
      <c r="F421">
        <f>"License"</f>
        <v/>
      </c>
      <c r="G421">
        <f>""</f>
        <v/>
      </c>
      <c r="H421">
        <f>"High"</f>
        <v/>
      </c>
      <c r="I421">
        <f>TRIM(IF(LEN(IF(LEN(INDEX('Providers'!$F$4:$F$503,418))=0,"",INDEX('Providers'!$F$4:$F$503,418)))=0,"","License no.: "&amp;IF(LEN(INDEX('Providers'!$F$4:$F$503,418))=0,"",INDEX('Providers'!$F$4:$F$503,418))&amp;". ")&amp;IF(LEN(IF(LEN(INDEX('Providers'!$C$4:$C$503,418))=0,"",INDEX('Providers'!$C$4:$C$503,418)))=0,"","NPI: "&amp;IF(LEN(INDEX('Providers'!$C$4:$C$503,418))=0,"",INDEX('Providers'!$C$4:$C$503,418))&amp;". ")&amp;IF(LEN(IF(LEN(INDEX('Providers'!$D$4:$D$503,418))=0,"",INDEX('Providers'!$D$4:$D$503,418)))=0,"","Specialty: "&amp;IF(LEN(INDEX('Providers'!$D$4:$D$503,418))=0,"",INDEX('Providers'!$D$4:$D$503,418))&amp;". ")&amp;IF(LEN(IF(LEN(INDEX('Providers'!$AK$4:$AK$503,418))=0,"",INDEX('Providers'!$AK$4:$AK$503,418)))=0,"",IF(LEN(INDEX('Providers'!$AK$4:$AK$503,418))=0,"",INDEX('Providers'!$AK$4:$AK$503,418))))</f>
        <v/>
      </c>
      <c r="J421">
        <f>IF(LEN(INDEX('Providers'!$AJ$4:$AJ$503,418))=0,"",INDEX('Providers'!$AJ$4:$AJ$503,418))</f>
        <v/>
      </c>
      <c r="K421">
        <f>IF(LEN(INDEX('Providers'!$AI$4:$AI$503,418))=0,"",INDEX('Providers'!$AI$4:$AI$503,418))</f>
        <v/>
      </c>
    </row>
    <row r="422">
      <c r="A422">
        <f>IF(AND(LEN('Providers'!A422)&gt;0,ISNUMBER('Providers'!G422)),1,0)</f>
        <v/>
      </c>
      <c r="B422">
        <f>B421+A422</f>
        <v/>
      </c>
      <c r="C422">
        <f>IF(419&gt;$B$4503,"",MATCH(419-0.5,$B$3:$B$4503,1))</f>
        <v/>
      </c>
      <c r="D422">
        <f>"State license ("&amp;IF(LEN(INDEX('Providers'!$E$4:$E$503,419))=0,"",INDEX('Providers'!$E$4:$E$503,419))&amp;") – "&amp;IF(LEN(INDEX('Providers'!$A$4:$A$503,419))=0,"",INDEX('Providers'!$A$4:$A$503,419))</f>
        <v/>
      </c>
      <c r="E422">
        <f>IF(ISNUMBER(INDEX('Providers'!$G$4:$G$503,419)),TEXT(INDEX('Providers'!$G$4:$G$503,419),"yyyy-mm-dd"),"")</f>
        <v/>
      </c>
      <c r="F422">
        <f>"License"</f>
        <v/>
      </c>
      <c r="G422">
        <f>""</f>
        <v/>
      </c>
      <c r="H422">
        <f>"High"</f>
        <v/>
      </c>
      <c r="I422">
        <f>TRIM(IF(LEN(IF(LEN(INDEX('Providers'!$F$4:$F$503,419))=0,"",INDEX('Providers'!$F$4:$F$503,419)))=0,"","License no.: "&amp;IF(LEN(INDEX('Providers'!$F$4:$F$503,419))=0,"",INDEX('Providers'!$F$4:$F$503,419))&amp;". ")&amp;IF(LEN(IF(LEN(INDEX('Providers'!$C$4:$C$503,419))=0,"",INDEX('Providers'!$C$4:$C$503,419)))=0,"","NPI: "&amp;IF(LEN(INDEX('Providers'!$C$4:$C$503,419))=0,"",INDEX('Providers'!$C$4:$C$503,419))&amp;". ")&amp;IF(LEN(IF(LEN(INDEX('Providers'!$D$4:$D$503,419))=0,"",INDEX('Providers'!$D$4:$D$503,419)))=0,"","Specialty: "&amp;IF(LEN(INDEX('Providers'!$D$4:$D$503,419))=0,"",INDEX('Providers'!$D$4:$D$503,419))&amp;". ")&amp;IF(LEN(IF(LEN(INDEX('Providers'!$AK$4:$AK$503,419))=0,"",INDEX('Providers'!$AK$4:$AK$503,419)))=0,"",IF(LEN(INDEX('Providers'!$AK$4:$AK$503,419))=0,"",INDEX('Providers'!$AK$4:$AK$503,419))))</f>
        <v/>
      </c>
      <c r="J422">
        <f>IF(LEN(INDEX('Providers'!$AJ$4:$AJ$503,419))=0,"",INDEX('Providers'!$AJ$4:$AJ$503,419))</f>
        <v/>
      </c>
      <c r="K422">
        <f>IF(LEN(INDEX('Providers'!$AI$4:$AI$503,419))=0,"",INDEX('Providers'!$AI$4:$AI$503,419))</f>
        <v/>
      </c>
    </row>
    <row r="423">
      <c r="A423">
        <f>IF(AND(LEN('Providers'!A423)&gt;0,ISNUMBER('Providers'!G423)),1,0)</f>
        <v/>
      </c>
      <c r="B423">
        <f>B422+A423</f>
        <v/>
      </c>
      <c r="C423">
        <f>IF(420&gt;$B$4503,"",MATCH(420-0.5,$B$3:$B$4503,1))</f>
        <v/>
      </c>
      <c r="D423">
        <f>"State license ("&amp;IF(LEN(INDEX('Providers'!$E$4:$E$503,420))=0,"",INDEX('Providers'!$E$4:$E$503,420))&amp;") – "&amp;IF(LEN(INDEX('Providers'!$A$4:$A$503,420))=0,"",INDEX('Providers'!$A$4:$A$503,420))</f>
        <v/>
      </c>
      <c r="E423">
        <f>IF(ISNUMBER(INDEX('Providers'!$G$4:$G$503,420)),TEXT(INDEX('Providers'!$G$4:$G$503,420),"yyyy-mm-dd"),"")</f>
        <v/>
      </c>
      <c r="F423">
        <f>"License"</f>
        <v/>
      </c>
      <c r="G423">
        <f>""</f>
        <v/>
      </c>
      <c r="H423">
        <f>"High"</f>
        <v/>
      </c>
      <c r="I423">
        <f>TRIM(IF(LEN(IF(LEN(INDEX('Providers'!$F$4:$F$503,420))=0,"",INDEX('Providers'!$F$4:$F$503,420)))=0,"","License no.: "&amp;IF(LEN(INDEX('Providers'!$F$4:$F$503,420))=0,"",INDEX('Providers'!$F$4:$F$503,420))&amp;". ")&amp;IF(LEN(IF(LEN(INDEX('Providers'!$C$4:$C$503,420))=0,"",INDEX('Providers'!$C$4:$C$503,420)))=0,"","NPI: "&amp;IF(LEN(INDEX('Providers'!$C$4:$C$503,420))=0,"",INDEX('Providers'!$C$4:$C$503,420))&amp;". ")&amp;IF(LEN(IF(LEN(INDEX('Providers'!$D$4:$D$503,420))=0,"",INDEX('Providers'!$D$4:$D$503,420)))=0,"","Specialty: "&amp;IF(LEN(INDEX('Providers'!$D$4:$D$503,420))=0,"",INDEX('Providers'!$D$4:$D$503,420))&amp;". ")&amp;IF(LEN(IF(LEN(INDEX('Providers'!$AK$4:$AK$503,420))=0,"",INDEX('Providers'!$AK$4:$AK$503,420)))=0,"",IF(LEN(INDEX('Providers'!$AK$4:$AK$503,420))=0,"",INDEX('Providers'!$AK$4:$AK$503,420))))</f>
        <v/>
      </c>
      <c r="J423">
        <f>IF(LEN(INDEX('Providers'!$AJ$4:$AJ$503,420))=0,"",INDEX('Providers'!$AJ$4:$AJ$503,420))</f>
        <v/>
      </c>
      <c r="K423">
        <f>IF(LEN(INDEX('Providers'!$AI$4:$AI$503,420))=0,"",INDEX('Providers'!$AI$4:$AI$503,420))</f>
        <v/>
      </c>
    </row>
    <row r="424">
      <c r="A424">
        <f>IF(AND(LEN('Providers'!A424)&gt;0,ISNUMBER('Providers'!G424)),1,0)</f>
        <v/>
      </c>
      <c r="B424">
        <f>B423+A424</f>
        <v/>
      </c>
      <c r="C424">
        <f>IF(421&gt;$B$4503,"",MATCH(421-0.5,$B$3:$B$4503,1))</f>
        <v/>
      </c>
      <c r="D424">
        <f>"State license ("&amp;IF(LEN(INDEX('Providers'!$E$4:$E$503,421))=0,"",INDEX('Providers'!$E$4:$E$503,421))&amp;") – "&amp;IF(LEN(INDEX('Providers'!$A$4:$A$503,421))=0,"",INDEX('Providers'!$A$4:$A$503,421))</f>
        <v/>
      </c>
      <c r="E424">
        <f>IF(ISNUMBER(INDEX('Providers'!$G$4:$G$503,421)),TEXT(INDEX('Providers'!$G$4:$G$503,421),"yyyy-mm-dd"),"")</f>
        <v/>
      </c>
      <c r="F424">
        <f>"License"</f>
        <v/>
      </c>
      <c r="G424">
        <f>""</f>
        <v/>
      </c>
      <c r="H424">
        <f>"High"</f>
        <v/>
      </c>
      <c r="I424">
        <f>TRIM(IF(LEN(IF(LEN(INDEX('Providers'!$F$4:$F$503,421))=0,"",INDEX('Providers'!$F$4:$F$503,421)))=0,"","License no.: "&amp;IF(LEN(INDEX('Providers'!$F$4:$F$503,421))=0,"",INDEX('Providers'!$F$4:$F$503,421))&amp;". ")&amp;IF(LEN(IF(LEN(INDEX('Providers'!$C$4:$C$503,421))=0,"",INDEX('Providers'!$C$4:$C$503,421)))=0,"","NPI: "&amp;IF(LEN(INDEX('Providers'!$C$4:$C$503,421))=0,"",INDEX('Providers'!$C$4:$C$503,421))&amp;". ")&amp;IF(LEN(IF(LEN(INDEX('Providers'!$D$4:$D$503,421))=0,"",INDEX('Providers'!$D$4:$D$503,421)))=0,"","Specialty: "&amp;IF(LEN(INDEX('Providers'!$D$4:$D$503,421))=0,"",INDEX('Providers'!$D$4:$D$503,421))&amp;". ")&amp;IF(LEN(IF(LEN(INDEX('Providers'!$AK$4:$AK$503,421))=0,"",INDEX('Providers'!$AK$4:$AK$503,421)))=0,"",IF(LEN(INDEX('Providers'!$AK$4:$AK$503,421))=0,"",INDEX('Providers'!$AK$4:$AK$503,421))))</f>
        <v/>
      </c>
      <c r="J424">
        <f>IF(LEN(INDEX('Providers'!$AJ$4:$AJ$503,421))=0,"",INDEX('Providers'!$AJ$4:$AJ$503,421))</f>
        <v/>
      </c>
      <c r="K424">
        <f>IF(LEN(INDEX('Providers'!$AI$4:$AI$503,421))=0,"",INDEX('Providers'!$AI$4:$AI$503,421))</f>
        <v/>
      </c>
    </row>
    <row r="425">
      <c r="A425">
        <f>IF(AND(LEN('Providers'!A425)&gt;0,ISNUMBER('Providers'!G425)),1,0)</f>
        <v/>
      </c>
      <c r="B425">
        <f>B424+A425</f>
        <v/>
      </c>
      <c r="C425">
        <f>IF(422&gt;$B$4503,"",MATCH(422-0.5,$B$3:$B$4503,1))</f>
        <v/>
      </c>
      <c r="D425">
        <f>"State license ("&amp;IF(LEN(INDEX('Providers'!$E$4:$E$503,422))=0,"",INDEX('Providers'!$E$4:$E$503,422))&amp;") – "&amp;IF(LEN(INDEX('Providers'!$A$4:$A$503,422))=0,"",INDEX('Providers'!$A$4:$A$503,422))</f>
        <v/>
      </c>
      <c r="E425">
        <f>IF(ISNUMBER(INDEX('Providers'!$G$4:$G$503,422)),TEXT(INDEX('Providers'!$G$4:$G$503,422),"yyyy-mm-dd"),"")</f>
        <v/>
      </c>
      <c r="F425">
        <f>"License"</f>
        <v/>
      </c>
      <c r="G425">
        <f>""</f>
        <v/>
      </c>
      <c r="H425">
        <f>"High"</f>
        <v/>
      </c>
      <c r="I425">
        <f>TRIM(IF(LEN(IF(LEN(INDEX('Providers'!$F$4:$F$503,422))=0,"",INDEX('Providers'!$F$4:$F$503,422)))=0,"","License no.: "&amp;IF(LEN(INDEX('Providers'!$F$4:$F$503,422))=0,"",INDEX('Providers'!$F$4:$F$503,422))&amp;". ")&amp;IF(LEN(IF(LEN(INDEX('Providers'!$C$4:$C$503,422))=0,"",INDEX('Providers'!$C$4:$C$503,422)))=0,"","NPI: "&amp;IF(LEN(INDEX('Providers'!$C$4:$C$503,422))=0,"",INDEX('Providers'!$C$4:$C$503,422))&amp;". ")&amp;IF(LEN(IF(LEN(INDEX('Providers'!$D$4:$D$503,422))=0,"",INDEX('Providers'!$D$4:$D$503,422)))=0,"","Specialty: "&amp;IF(LEN(INDEX('Providers'!$D$4:$D$503,422))=0,"",INDEX('Providers'!$D$4:$D$503,422))&amp;". ")&amp;IF(LEN(IF(LEN(INDEX('Providers'!$AK$4:$AK$503,422))=0,"",INDEX('Providers'!$AK$4:$AK$503,422)))=0,"",IF(LEN(INDEX('Providers'!$AK$4:$AK$503,422))=0,"",INDEX('Providers'!$AK$4:$AK$503,422))))</f>
        <v/>
      </c>
      <c r="J425">
        <f>IF(LEN(INDEX('Providers'!$AJ$4:$AJ$503,422))=0,"",INDEX('Providers'!$AJ$4:$AJ$503,422))</f>
        <v/>
      </c>
      <c r="K425">
        <f>IF(LEN(INDEX('Providers'!$AI$4:$AI$503,422))=0,"",INDEX('Providers'!$AI$4:$AI$503,422))</f>
        <v/>
      </c>
    </row>
    <row r="426">
      <c r="A426">
        <f>IF(AND(LEN('Providers'!A426)&gt;0,ISNUMBER('Providers'!G426)),1,0)</f>
        <v/>
      </c>
      <c r="B426">
        <f>B425+A426</f>
        <v/>
      </c>
      <c r="C426">
        <f>IF(423&gt;$B$4503,"",MATCH(423-0.5,$B$3:$B$4503,1))</f>
        <v/>
      </c>
      <c r="D426">
        <f>"State license ("&amp;IF(LEN(INDEX('Providers'!$E$4:$E$503,423))=0,"",INDEX('Providers'!$E$4:$E$503,423))&amp;") – "&amp;IF(LEN(INDEX('Providers'!$A$4:$A$503,423))=0,"",INDEX('Providers'!$A$4:$A$503,423))</f>
        <v/>
      </c>
      <c r="E426">
        <f>IF(ISNUMBER(INDEX('Providers'!$G$4:$G$503,423)),TEXT(INDEX('Providers'!$G$4:$G$503,423),"yyyy-mm-dd"),"")</f>
        <v/>
      </c>
      <c r="F426">
        <f>"License"</f>
        <v/>
      </c>
      <c r="G426">
        <f>""</f>
        <v/>
      </c>
      <c r="H426">
        <f>"High"</f>
        <v/>
      </c>
      <c r="I426">
        <f>TRIM(IF(LEN(IF(LEN(INDEX('Providers'!$F$4:$F$503,423))=0,"",INDEX('Providers'!$F$4:$F$503,423)))=0,"","License no.: "&amp;IF(LEN(INDEX('Providers'!$F$4:$F$503,423))=0,"",INDEX('Providers'!$F$4:$F$503,423))&amp;". ")&amp;IF(LEN(IF(LEN(INDEX('Providers'!$C$4:$C$503,423))=0,"",INDEX('Providers'!$C$4:$C$503,423)))=0,"","NPI: "&amp;IF(LEN(INDEX('Providers'!$C$4:$C$503,423))=0,"",INDEX('Providers'!$C$4:$C$503,423))&amp;". ")&amp;IF(LEN(IF(LEN(INDEX('Providers'!$D$4:$D$503,423))=0,"",INDEX('Providers'!$D$4:$D$503,423)))=0,"","Specialty: "&amp;IF(LEN(INDEX('Providers'!$D$4:$D$503,423))=0,"",INDEX('Providers'!$D$4:$D$503,423))&amp;". ")&amp;IF(LEN(IF(LEN(INDEX('Providers'!$AK$4:$AK$503,423))=0,"",INDEX('Providers'!$AK$4:$AK$503,423)))=0,"",IF(LEN(INDEX('Providers'!$AK$4:$AK$503,423))=0,"",INDEX('Providers'!$AK$4:$AK$503,423))))</f>
        <v/>
      </c>
      <c r="J426">
        <f>IF(LEN(INDEX('Providers'!$AJ$4:$AJ$503,423))=0,"",INDEX('Providers'!$AJ$4:$AJ$503,423))</f>
        <v/>
      </c>
      <c r="K426">
        <f>IF(LEN(INDEX('Providers'!$AI$4:$AI$503,423))=0,"",INDEX('Providers'!$AI$4:$AI$503,423))</f>
        <v/>
      </c>
    </row>
    <row r="427">
      <c r="A427">
        <f>IF(AND(LEN('Providers'!A427)&gt;0,ISNUMBER('Providers'!G427)),1,0)</f>
        <v/>
      </c>
      <c r="B427">
        <f>B426+A427</f>
        <v/>
      </c>
      <c r="C427">
        <f>IF(424&gt;$B$4503,"",MATCH(424-0.5,$B$3:$B$4503,1))</f>
        <v/>
      </c>
      <c r="D427">
        <f>"State license ("&amp;IF(LEN(INDEX('Providers'!$E$4:$E$503,424))=0,"",INDEX('Providers'!$E$4:$E$503,424))&amp;") – "&amp;IF(LEN(INDEX('Providers'!$A$4:$A$503,424))=0,"",INDEX('Providers'!$A$4:$A$503,424))</f>
        <v/>
      </c>
      <c r="E427">
        <f>IF(ISNUMBER(INDEX('Providers'!$G$4:$G$503,424)),TEXT(INDEX('Providers'!$G$4:$G$503,424),"yyyy-mm-dd"),"")</f>
        <v/>
      </c>
      <c r="F427">
        <f>"License"</f>
        <v/>
      </c>
      <c r="G427">
        <f>""</f>
        <v/>
      </c>
      <c r="H427">
        <f>"High"</f>
        <v/>
      </c>
      <c r="I427">
        <f>TRIM(IF(LEN(IF(LEN(INDEX('Providers'!$F$4:$F$503,424))=0,"",INDEX('Providers'!$F$4:$F$503,424)))=0,"","License no.: "&amp;IF(LEN(INDEX('Providers'!$F$4:$F$503,424))=0,"",INDEX('Providers'!$F$4:$F$503,424))&amp;". ")&amp;IF(LEN(IF(LEN(INDEX('Providers'!$C$4:$C$503,424))=0,"",INDEX('Providers'!$C$4:$C$503,424)))=0,"","NPI: "&amp;IF(LEN(INDEX('Providers'!$C$4:$C$503,424))=0,"",INDEX('Providers'!$C$4:$C$503,424))&amp;". ")&amp;IF(LEN(IF(LEN(INDEX('Providers'!$D$4:$D$503,424))=0,"",INDEX('Providers'!$D$4:$D$503,424)))=0,"","Specialty: "&amp;IF(LEN(INDEX('Providers'!$D$4:$D$503,424))=0,"",INDEX('Providers'!$D$4:$D$503,424))&amp;". ")&amp;IF(LEN(IF(LEN(INDEX('Providers'!$AK$4:$AK$503,424))=0,"",INDEX('Providers'!$AK$4:$AK$503,424)))=0,"",IF(LEN(INDEX('Providers'!$AK$4:$AK$503,424))=0,"",INDEX('Providers'!$AK$4:$AK$503,424))))</f>
        <v/>
      </c>
      <c r="J427">
        <f>IF(LEN(INDEX('Providers'!$AJ$4:$AJ$503,424))=0,"",INDEX('Providers'!$AJ$4:$AJ$503,424))</f>
        <v/>
      </c>
      <c r="K427">
        <f>IF(LEN(INDEX('Providers'!$AI$4:$AI$503,424))=0,"",INDEX('Providers'!$AI$4:$AI$503,424))</f>
        <v/>
      </c>
    </row>
    <row r="428">
      <c r="A428">
        <f>IF(AND(LEN('Providers'!A428)&gt;0,ISNUMBER('Providers'!G428)),1,0)</f>
        <v/>
      </c>
      <c r="B428">
        <f>B427+A428</f>
        <v/>
      </c>
      <c r="C428">
        <f>IF(425&gt;$B$4503,"",MATCH(425-0.5,$B$3:$B$4503,1))</f>
        <v/>
      </c>
      <c r="D428">
        <f>"State license ("&amp;IF(LEN(INDEX('Providers'!$E$4:$E$503,425))=0,"",INDEX('Providers'!$E$4:$E$503,425))&amp;") – "&amp;IF(LEN(INDEX('Providers'!$A$4:$A$503,425))=0,"",INDEX('Providers'!$A$4:$A$503,425))</f>
        <v/>
      </c>
      <c r="E428">
        <f>IF(ISNUMBER(INDEX('Providers'!$G$4:$G$503,425)),TEXT(INDEX('Providers'!$G$4:$G$503,425),"yyyy-mm-dd"),"")</f>
        <v/>
      </c>
      <c r="F428">
        <f>"License"</f>
        <v/>
      </c>
      <c r="G428">
        <f>""</f>
        <v/>
      </c>
      <c r="H428">
        <f>"High"</f>
        <v/>
      </c>
      <c r="I428">
        <f>TRIM(IF(LEN(IF(LEN(INDEX('Providers'!$F$4:$F$503,425))=0,"",INDEX('Providers'!$F$4:$F$503,425)))=0,"","License no.: "&amp;IF(LEN(INDEX('Providers'!$F$4:$F$503,425))=0,"",INDEX('Providers'!$F$4:$F$503,425))&amp;". ")&amp;IF(LEN(IF(LEN(INDEX('Providers'!$C$4:$C$503,425))=0,"",INDEX('Providers'!$C$4:$C$503,425)))=0,"","NPI: "&amp;IF(LEN(INDEX('Providers'!$C$4:$C$503,425))=0,"",INDEX('Providers'!$C$4:$C$503,425))&amp;". ")&amp;IF(LEN(IF(LEN(INDEX('Providers'!$D$4:$D$503,425))=0,"",INDEX('Providers'!$D$4:$D$503,425)))=0,"","Specialty: "&amp;IF(LEN(INDEX('Providers'!$D$4:$D$503,425))=0,"",INDEX('Providers'!$D$4:$D$503,425))&amp;". ")&amp;IF(LEN(IF(LEN(INDEX('Providers'!$AK$4:$AK$503,425))=0,"",INDEX('Providers'!$AK$4:$AK$503,425)))=0,"",IF(LEN(INDEX('Providers'!$AK$4:$AK$503,425))=0,"",INDEX('Providers'!$AK$4:$AK$503,425))))</f>
        <v/>
      </c>
      <c r="J428">
        <f>IF(LEN(INDEX('Providers'!$AJ$4:$AJ$503,425))=0,"",INDEX('Providers'!$AJ$4:$AJ$503,425))</f>
        <v/>
      </c>
      <c r="K428">
        <f>IF(LEN(INDEX('Providers'!$AI$4:$AI$503,425))=0,"",INDEX('Providers'!$AI$4:$AI$503,425))</f>
        <v/>
      </c>
    </row>
    <row r="429">
      <c r="A429">
        <f>IF(AND(LEN('Providers'!A429)&gt;0,ISNUMBER('Providers'!G429)),1,0)</f>
        <v/>
      </c>
      <c r="B429">
        <f>B428+A429</f>
        <v/>
      </c>
      <c r="C429">
        <f>IF(426&gt;$B$4503,"",MATCH(426-0.5,$B$3:$B$4503,1))</f>
        <v/>
      </c>
      <c r="D429">
        <f>"State license ("&amp;IF(LEN(INDEX('Providers'!$E$4:$E$503,426))=0,"",INDEX('Providers'!$E$4:$E$503,426))&amp;") – "&amp;IF(LEN(INDEX('Providers'!$A$4:$A$503,426))=0,"",INDEX('Providers'!$A$4:$A$503,426))</f>
        <v/>
      </c>
      <c r="E429">
        <f>IF(ISNUMBER(INDEX('Providers'!$G$4:$G$503,426)),TEXT(INDEX('Providers'!$G$4:$G$503,426),"yyyy-mm-dd"),"")</f>
        <v/>
      </c>
      <c r="F429">
        <f>"License"</f>
        <v/>
      </c>
      <c r="G429">
        <f>""</f>
        <v/>
      </c>
      <c r="H429">
        <f>"High"</f>
        <v/>
      </c>
      <c r="I429">
        <f>TRIM(IF(LEN(IF(LEN(INDEX('Providers'!$F$4:$F$503,426))=0,"",INDEX('Providers'!$F$4:$F$503,426)))=0,"","License no.: "&amp;IF(LEN(INDEX('Providers'!$F$4:$F$503,426))=0,"",INDEX('Providers'!$F$4:$F$503,426))&amp;". ")&amp;IF(LEN(IF(LEN(INDEX('Providers'!$C$4:$C$503,426))=0,"",INDEX('Providers'!$C$4:$C$503,426)))=0,"","NPI: "&amp;IF(LEN(INDEX('Providers'!$C$4:$C$503,426))=0,"",INDEX('Providers'!$C$4:$C$503,426))&amp;". ")&amp;IF(LEN(IF(LEN(INDEX('Providers'!$D$4:$D$503,426))=0,"",INDEX('Providers'!$D$4:$D$503,426)))=0,"","Specialty: "&amp;IF(LEN(INDEX('Providers'!$D$4:$D$503,426))=0,"",INDEX('Providers'!$D$4:$D$503,426))&amp;". ")&amp;IF(LEN(IF(LEN(INDEX('Providers'!$AK$4:$AK$503,426))=0,"",INDEX('Providers'!$AK$4:$AK$503,426)))=0,"",IF(LEN(INDEX('Providers'!$AK$4:$AK$503,426))=0,"",INDEX('Providers'!$AK$4:$AK$503,426))))</f>
        <v/>
      </c>
      <c r="J429">
        <f>IF(LEN(INDEX('Providers'!$AJ$4:$AJ$503,426))=0,"",INDEX('Providers'!$AJ$4:$AJ$503,426))</f>
        <v/>
      </c>
      <c r="K429">
        <f>IF(LEN(INDEX('Providers'!$AI$4:$AI$503,426))=0,"",INDEX('Providers'!$AI$4:$AI$503,426))</f>
        <v/>
      </c>
    </row>
    <row r="430">
      <c r="A430">
        <f>IF(AND(LEN('Providers'!A430)&gt;0,ISNUMBER('Providers'!G430)),1,0)</f>
        <v/>
      </c>
      <c r="B430">
        <f>B429+A430</f>
        <v/>
      </c>
      <c r="C430">
        <f>IF(427&gt;$B$4503,"",MATCH(427-0.5,$B$3:$B$4503,1))</f>
        <v/>
      </c>
      <c r="D430">
        <f>"State license ("&amp;IF(LEN(INDEX('Providers'!$E$4:$E$503,427))=0,"",INDEX('Providers'!$E$4:$E$503,427))&amp;") – "&amp;IF(LEN(INDEX('Providers'!$A$4:$A$503,427))=0,"",INDEX('Providers'!$A$4:$A$503,427))</f>
        <v/>
      </c>
      <c r="E430">
        <f>IF(ISNUMBER(INDEX('Providers'!$G$4:$G$503,427)),TEXT(INDEX('Providers'!$G$4:$G$503,427),"yyyy-mm-dd"),"")</f>
        <v/>
      </c>
      <c r="F430">
        <f>"License"</f>
        <v/>
      </c>
      <c r="G430">
        <f>""</f>
        <v/>
      </c>
      <c r="H430">
        <f>"High"</f>
        <v/>
      </c>
      <c r="I430">
        <f>TRIM(IF(LEN(IF(LEN(INDEX('Providers'!$F$4:$F$503,427))=0,"",INDEX('Providers'!$F$4:$F$503,427)))=0,"","License no.: "&amp;IF(LEN(INDEX('Providers'!$F$4:$F$503,427))=0,"",INDEX('Providers'!$F$4:$F$503,427))&amp;". ")&amp;IF(LEN(IF(LEN(INDEX('Providers'!$C$4:$C$503,427))=0,"",INDEX('Providers'!$C$4:$C$503,427)))=0,"","NPI: "&amp;IF(LEN(INDEX('Providers'!$C$4:$C$503,427))=0,"",INDEX('Providers'!$C$4:$C$503,427))&amp;". ")&amp;IF(LEN(IF(LEN(INDEX('Providers'!$D$4:$D$503,427))=0,"",INDEX('Providers'!$D$4:$D$503,427)))=0,"","Specialty: "&amp;IF(LEN(INDEX('Providers'!$D$4:$D$503,427))=0,"",INDEX('Providers'!$D$4:$D$503,427))&amp;". ")&amp;IF(LEN(IF(LEN(INDEX('Providers'!$AK$4:$AK$503,427))=0,"",INDEX('Providers'!$AK$4:$AK$503,427)))=0,"",IF(LEN(INDEX('Providers'!$AK$4:$AK$503,427))=0,"",INDEX('Providers'!$AK$4:$AK$503,427))))</f>
        <v/>
      </c>
      <c r="J430">
        <f>IF(LEN(INDEX('Providers'!$AJ$4:$AJ$503,427))=0,"",INDEX('Providers'!$AJ$4:$AJ$503,427))</f>
        <v/>
      </c>
      <c r="K430">
        <f>IF(LEN(INDEX('Providers'!$AI$4:$AI$503,427))=0,"",INDEX('Providers'!$AI$4:$AI$503,427))</f>
        <v/>
      </c>
    </row>
    <row r="431">
      <c r="A431">
        <f>IF(AND(LEN('Providers'!A431)&gt;0,ISNUMBER('Providers'!G431)),1,0)</f>
        <v/>
      </c>
      <c r="B431">
        <f>B430+A431</f>
        <v/>
      </c>
      <c r="C431">
        <f>IF(428&gt;$B$4503,"",MATCH(428-0.5,$B$3:$B$4503,1))</f>
        <v/>
      </c>
      <c r="D431">
        <f>"State license ("&amp;IF(LEN(INDEX('Providers'!$E$4:$E$503,428))=0,"",INDEX('Providers'!$E$4:$E$503,428))&amp;") – "&amp;IF(LEN(INDEX('Providers'!$A$4:$A$503,428))=0,"",INDEX('Providers'!$A$4:$A$503,428))</f>
        <v/>
      </c>
      <c r="E431">
        <f>IF(ISNUMBER(INDEX('Providers'!$G$4:$G$503,428)),TEXT(INDEX('Providers'!$G$4:$G$503,428),"yyyy-mm-dd"),"")</f>
        <v/>
      </c>
      <c r="F431">
        <f>"License"</f>
        <v/>
      </c>
      <c r="G431">
        <f>""</f>
        <v/>
      </c>
      <c r="H431">
        <f>"High"</f>
        <v/>
      </c>
      <c r="I431">
        <f>TRIM(IF(LEN(IF(LEN(INDEX('Providers'!$F$4:$F$503,428))=0,"",INDEX('Providers'!$F$4:$F$503,428)))=0,"","License no.: "&amp;IF(LEN(INDEX('Providers'!$F$4:$F$503,428))=0,"",INDEX('Providers'!$F$4:$F$503,428))&amp;". ")&amp;IF(LEN(IF(LEN(INDEX('Providers'!$C$4:$C$503,428))=0,"",INDEX('Providers'!$C$4:$C$503,428)))=0,"","NPI: "&amp;IF(LEN(INDEX('Providers'!$C$4:$C$503,428))=0,"",INDEX('Providers'!$C$4:$C$503,428))&amp;". ")&amp;IF(LEN(IF(LEN(INDEX('Providers'!$D$4:$D$503,428))=0,"",INDEX('Providers'!$D$4:$D$503,428)))=0,"","Specialty: "&amp;IF(LEN(INDEX('Providers'!$D$4:$D$503,428))=0,"",INDEX('Providers'!$D$4:$D$503,428))&amp;". ")&amp;IF(LEN(IF(LEN(INDEX('Providers'!$AK$4:$AK$503,428))=0,"",INDEX('Providers'!$AK$4:$AK$503,428)))=0,"",IF(LEN(INDEX('Providers'!$AK$4:$AK$503,428))=0,"",INDEX('Providers'!$AK$4:$AK$503,428))))</f>
        <v/>
      </c>
      <c r="J431">
        <f>IF(LEN(INDEX('Providers'!$AJ$4:$AJ$503,428))=0,"",INDEX('Providers'!$AJ$4:$AJ$503,428))</f>
        <v/>
      </c>
      <c r="K431">
        <f>IF(LEN(INDEX('Providers'!$AI$4:$AI$503,428))=0,"",INDEX('Providers'!$AI$4:$AI$503,428))</f>
        <v/>
      </c>
    </row>
    <row r="432">
      <c r="A432">
        <f>IF(AND(LEN('Providers'!A432)&gt;0,ISNUMBER('Providers'!G432)),1,0)</f>
        <v/>
      </c>
      <c r="B432">
        <f>B431+A432</f>
        <v/>
      </c>
      <c r="C432">
        <f>IF(429&gt;$B$4503,"",MATCH(429-0.5,$B$3:$B$4503,1))</f>
        <v/>
      </c>
      <c r="D432">
        <f>"State license ("&amp;IF(LEN(INDEX('Providers'!$E$4:$E$503,429))=0,"",INDEX('Providers'!$E$4:$E$503,429))&amp;") – "&amp;IF(LEN(INDEX('Providers'!$A$4:$A$503,429))=0,"",INDEX('Providers'!$A$4:$A$503,429))</f>
        <v/>
      </c>
      <c r="E432">
        <f>IF(ISNUMBER(INDEX('Providers'!$G$4:$G$503,429)),TEXT(INDEX('Providers'!$G$4:$G$503,429),"yyyy-mm-dd"),"")</f>
        <v/>
      </c>
      <c r="F432">
        <f>"License"</f>
        <v/>
      </c>
      <c r="G432">
        <f>""</f>
        <v/>
      </c>
      <c r="H432">
        <f>"High"</f>
        <v/>
      </c>
      <c r="I432">
        <f>TRIM(IF(LEN(IF(LEN(INDEX('Providers'!$F$4:$F$503,429))=0,"",INDEX('Providers'!$F$4:$F$503,429)))=0,"","License no.: "&amp;IF(LEN(INDEX('Providers'!$F$4:$F$503,429))=0,"",INDEX('Providers'!$F$4:$F$503,429))&amp;". ")&amp;IF(LEN(IF(LEN(INDEX('Providers'!$C$4:$C$503,429))=0,"",INDEX('Providers'!$C$4:$C$503,429)))=0,"","NPI: "&amp;IF(LEN(INDEX('Providers'!$C$4:$C$503,429))=0,"",INDEX('Providers'!$C$4:$C$503,429))&amp;". ")&amp;IF(LEN(IF(LEN(INDEX('Providers'!$D$4:$D$503,429))=0,"",INDEX('Providers'!$D$4:$D$503,429)))=0,"","Specialty: "&amp;IF(LEN(INDEX('Providers'!$D$4:$D$503,429))=0,"",INDEX('Providers'!$D$4:$D$503,429))&amp;". ")&amp;IF(LEN(IF(LEN(INDEX('Providers'!$AK$4:$AK$503,429))=0,"",INDEX('Providers'!$AK$4:$AK$503,429)))=0,"",IF(LEN(INDEX('Providers'!$AK$4:$AK$503,429))=0,"",INDEX('Providers'!$AK$4:$AK$503,429))))</f>
        <v/>
      </c>
      <c r="J432">
        <f>IF(LEN(INDEX('Providers'!$AJ$4:$AJ$503,429))=0,"",INDEX('Providers'!$AJ$4:$AJ$503,429))</f>
        <v/>
      </c>
      <c r="K432">
        <f>IF(LEN(INDEX('Providers'!$AI$4:$AI$503,429))=0,"",INDEX('Providers'!$AI$4:$AI$503,429))</f>
        <v/>
      </c>
    </row>
    <row r="433">
      <c r="A433">
        <f>IF(AND(LEN('Providers'!A433)&gt;0,ISNUMBER('Providers'!G433)),1,0)</f>
        <v/>
      </c>
      <c r="B433">
        <f>B432+A433</f>
        <v/>
      </c>
      <c r="C433">
        <f>IF(430&gt;$B$4503,"",MATCH(430-0.5,$B$3:$B$4503,1))</f>
        <v/>
      </c>
      <c r="D433">
        <f>"State license ("&amp;IF(LEN(INDEX('Providers'!$E$4:$E$503,430))=0,"",INDEX('Providers'!$E$4:$E$503,430))&amp;") – "&amp;IF(LEN(INDEX('Providers'!$A$4:$A$503,430))=0,"",INDEX('Providers'!$A$4:$A$503,430))</f>
        <v/>
      </c>
      <c r="E433">
        <f>IF(ISNUMBER(INDEX('Providers'!$G$4:$G$503,430)),TEXT(INDEX('Providers'!$G$4:$G$503,430),"yyyy-mm-dd"),"")</f>
        <v/>
      </c>
      <c r="F433">
        <f>"License"</f>
        <v/>
      </c>
      <c r="G433">
        <f>""</f>
        <v/>
      </c>
      <c r="H433">
        <f>"High"</f>
        <v/>
      </c>
      <c r="I433">
        <f>TRIM(IF(LEN(IF(LEN(INDEX('Providers'!$F$4:$F$503,430))=0,"",INDEX('Providers'!$F$4:$F$503,430)))=0,"","License no.: "&amp;IF(LEN(INDEX('Providers'!$F$4:$F$503,430))=0,"",INDEX('Providers'!$F$4:$F$503,430))&amp;". ")&amp;IF(LEN(IF(LEN(INDEX('Providers'!$C$4:$C$503,430))=0,"",INDEX('Providers'!$C$4:$C$503,430)))=0,"","NPI: "&amp;IF(LEN(INDEX('Providers'!$C$4:$C$503,430))=0,"",INDEX('Providers'!$C$4:$C$503,430))&amp;". ")&amp;IF(LEN(IF(LEN(INDEX('Providers'!$D$4:$D$503,430))=0,"",INDEX('Providers'!$D$4:$D$503,430)))=0,"","Specialty: "&amp;IF(LEN(INDEX('Providers'!$D$4:$D$503,430))=0,"",INDEX('Providers'!$D$4:$D$503,430))&amp;". ")&amp;IF(LEN(IF(LEN(INDEX('Providers'!$AK$4:$AK$503,430))=0,"",INDEX('Providers'!$AK$4:$AK$503,430)))=0,"",IF(LEN(INDEX('Providers'!$AK$4:$AK$503,430))=0,"",INDEX('Providers'!$AK$4:$AK$503,430))))</f>
        <v/>
      </c>
      <c r="J433">
        <f>IF(LEN(INDEX('Providers'!$AJ$4:$AJ$503,430))=0,"",INDEX('Providers'!$AJ$4:$AJ$503,430))</f>
        <v/>
      </c>
      <c r="K433">
        <f>IF(LEN(INDEX('Providers'!$AI$4:$AI$503,430))=0,"",INDEX('Providers'!$AI$4:$AI$503,430))</f>
        <v/>
      </c>
    </row>
    <row r="434">
      <c r="A434">
        <f>IF(AND(LEN('Providers'!A434)&gt;0,ISNUMBER('Providers'!G434)),1,0)</f>
        <v/>
      </c>
      <c r="B434">
        <f>B433+A434</f>
        <v/>
      </c>
      <c r="C434">
        <f>IF(431&gt;$B$4503,"",MATCH(431-0.5,$B$3:$B$4503,1))</f>
        <v/>
      </c>
      <c r="D434">
        <f>"State license ("&amp;IF(LEN(INDEX('Providers'!$E$4:$E$503,431))=0,"",INDEX('Providers'!$E$4:$E$503,431))&amp;") – "&amp;IF(LEN(INDEX('Providers'!$A$4:$A$503,431))=0,"",INDEX('Providers'!$A$4:$A$503,431))</f>
        <v/>
      </c>
      <c r="E434">
        <f>IF(ISNUMBER(INDEX('Providers'!$G$4:$G$503,431)),TEXT(INDEX('Providers'!$G$4:$G$503,431),"yyyy-mm-dd"),"")</f>
        <v/>
      </c>
      <c r="F434">
        <f>"License"</f>
        <v/>
      </c>
      <c r="G434">
        <f>""</f>
        <v/>
      </c>
      <c r="H434">
        <f>"High"</f>
        <v/>
      </c>
      <c r="I434">
        <f>TRIM(IF(LEN(IF(LEN(INDEX('Providers'!$F$4:$F$503,431))=0,"",INDEX('Providers'!$F$4:$F$503,431)))=0,"","License no.: "&amp;IF(LEN(INDEX('Providers'!$F$4:$F$503,431))=0,"",INDEX('Providers'!$F$4:$F$503,431))&amp;". ")&amp;IF(LEN(IF(LEN(INDEX('Providers'!$C$4:$C$503,431))=0,"",INDEX('Providers'!$C$4:$C$503,431)))=0,"","NPI: "&amp;IF(LEN(INDEX('Providers'!$C$4:$C$503,431))=0,"",INDEX('Providers'!$C$4:$C$503,431))&amp;". ")&amp;IF(LEN(IF(LEN(INDEX('Providers'!$D$4:$D$503,431))=0,"",INDEX('Providers'!$D$4:$D$503,431)))=0,"","Specialty: "&amp;IF(LEN(INDEX('Providers'!$D$4:$D$503,431))=0,"",INDEX('Providers'!$D$4:$D$503,431))&amp;". ")&amp;IF(LEN(IF(LEN(INDEX('Providers'!$AK$4:$AK$503,431))=0,"",INDEX('Providers'!$AK$4:$AK$503,431)))=0,"",IF(LEN(INDEX('Providers'!$AK$4:$AK$503,431))=0,"",INDEX('Providers'!$AK$4:$AK$503,431))))</f>
        <v/>
      </c>
      <c r="J434">
        <f>IF(LEN(INDEX('Providers'!$AJ$4:$AJ$503,431))=0,"",INDEX('Providers'!$AJ$4:$AJ$503,431))</f>
        <v/>
      </c>
      <c r="K434">
        <f>IF(LEN(INDEX('Providers'!$AI$4:$AI$503,431))=0,"",INDEX('Providers'!$AI$4:$AI$503,431))</f>
        <v/>
      </c>
    </row>
    <row r="435">
      <c r="A435">
        <f>IF(AND(LEN('Providers'!A435)&gt;0,ISNUMBER('Providers'!G435)),1,0)</f>
        <v/>
      </c>
      <c r="B435">
        <f>B434+A435</f>
        <v/>
      </c>
      <c r="C435">
        <f>IF(432&gt;$B$4503,"",MATCH(432-0.5,$B$3:$B$4503,1))</f>
        <v/>
      </c>
      <c r="D435">
        <f>"State license ("&amp;IF(LEN(INDEX('Providers'!$E$4:$E$503,432))=0,"",INDEX('Providers'!$E$4:$E$503,432))&amp;") – "&amp;IF(LEN(INDEX('Providers'!$A$4:$A$503,432))=0,"",INDEX('Providers'!$A$4:$A$503,432))</f>
        <v/>
      </c>
      <c r="E435">
        <f>IF(ISNUMBER(INDEX('Providers'!$G$4:$G$503,432)),TEXT(INDEX('Providers'!$G$4:$G$503,432),"yyyy-mm-dd"),"")</f>
        <v/>
      </c>
      <c r="F435">
        <f>"License"</f>
        <v/>
      </c>
      <c r="G435">
        <f>""</f>
        <v/>
      </c>
      <c r="H435">
        <f>"High"</f>
        <v/>
      </c>
      <c r="I435">
        <f>TRIM(IF(LEN(IF(LEN(INDEX('Providers'!$F$4:$F$503,432))=0,"",INDEX('Providers'!$F$4:$F$503,432)))=0,"","License no.: "&amp;IF(LEN(INDEX('Providers'!$F$4:$F$503,432))=0,"",INDEX('Providers'!$F$4:$F$503,432))&amp;". ")&amp;IF(LEN(IF(LEN(INDEX('Providers'!$C$4:$C$503,432))=0,"",INDEX('Providers'!$C$4:$C$503,432)))=0,"","NPI: "&amp;IF(LEN(INDEX('Providers'!$C$4:$C$503,432))=0,"",INDEX('Providers'!$C$4:$C$503,432))&amp;". ")&amp;IF(LEN(IF(LEN(INDEX('Providers'!$D$4:$D$503,432))=0,"",INDEX('Providers'!$D$4:$D$503,432)))=0,"","Specialty: "&amp;IF(LEN(INDEX('Providers'!$D$4:$D$503,432))=0,"",INDEX('Providers'!$D$4:$D$503,432))&amp;". ")&amp;IF(LEN(IF(LEN(INDEX('Providers'!$AK$4:$AK$503,432))=0,"",INDEX('Providers'!$AK$4:$AK$503,432)))=0,"",IF(LEN(INDEX('Providers'!$AK$4:$AK$503,432))=0,"",INDEX('Providers'!$AK$4:$AK$503,432))))</f>
        <v/>
      </c>
      <c r="J435">
        <f>IF(LEN(INDEX('Providers'!$AJ$4:$AJ$503,432))=0,"",INDEX('Providers'!$AJ$4:$AJ$503,432))</f>
        <v/>
      </c>
      <c r="K435">
        <f>IF(LEN(INDEX('Providers'!$AI$4:$AI$503,432))=0,"",INDEX('Providers'!$AI$4:$AI$503,432))</f>
        <v/>
      </c>
    </row>
    <row r="436">
      <c r="A436">
        <f>IF(AND(LEN('Providers'!A436)&gt;0,ISNUMBER('Providers'!G436)),1,0)</f>
        <v/>
      </c>
      <c r="B436">
        <f>B435+A436</f>
        <v/>
      </c>
      <c r="C436">
        <f>IF(433&gt;$B$4503,"",MATCH(433-0.5,$B$3:$B$4503,1))</f>
        <v/>
      </c>
      <c r="D436">
        <f>"State license ("&amp;IF(LEN(INDEX('Providers'!$E$4:$E$503,433))=0,"",INDEX('Providers'!$E$4:$E$503,433))&amp;") – "&amp;IF(LEN(INDEX('Providers'!$A$4:$A$503,433))=0,"",INDEX('Providers'!$A$4:$A$503,433))</f>
        <v/>
      </c>
      <c r="E436">
        <f>IF(ISNUMBER(INDEX('Providers'!$G$4:$G$503,433)),TEXT(INDEX('Providers'!$G$4:$G$503,433),"yyyy-mm-dd"),"")</f>
        <v/>
      </c>
      <c r="F436">
        <f>"License"</f>
        <v/>
      </c>
      <c r="G436">
        <f>""</f>
        <v/>
      </c>
      <c r="H436">
        <f>"High"</f>
        <v/>
      </c>
      <c r="I436">
        <f>TRIM(IF(LEN(IF(LEN(INDEX('Providers'!$F$4:$F$503,433))=0,"",INDEX('Providers'!$F$4:$F$503,433)))=0,"","License no.: "&amp;IF(LEN(INDEX('Providers'!$F$4:$F$503,433))=0,"",INDEX('Providers'!$F$4:$F$503,433))&amp;". ")&amp;IF(LEN(IF(LEN(INDEX('Providers'!$C$4:$C$503,433))=0,"",INDEX('Providers'!$C$4:$C$503,433)))=0,"","NPI: "&amp;IF(LEN(INDEX('Providers'!$C$4:$C$503,433))=0,"",INDEX('Providers'!$C$4:$C$503,433))&amp;". ")&amp;IF(LEN(IF(LEN(INDEX('Providers'!$D$4:$D$503,433))=0,"",INDEX('Providers'!$D$4:$D$503,433)))=0,"","Specialty: "&amp;IF(LEN(INDEX('Providers'!$D$4:$D$503,433))=0,"",INDEX('Providers'!$D$4:$D$503,433))&amp;". ")&amp;IF(LEN(IF(LEN(INDEX('Providers'!$AK$4:$AK$503,433))=0,"",INDEX('Providers'!$AK$4:$AK$503,433)))=0,"",IF(LEN(INDEX('Providers'!$AK$4:$AK$503,433))=0,"",INDEX('Providers'!$AK$4:$AK$503,433))))</f>
        <v/>
      </c>
      <c r="J436">
        <f>IF(LEN(INDEX('Providers'!$AJ$4:$AJ$503,433))=0,"",INDEX('Providers'!$AJ$4:$AJ$503,433))</f>
        <v/>
      </c>
      <c r="K436">
        <f>IF(LEN(INDEX('Providers'!$AI$4:$AI$503,433))=0,"",INDEX('Providers'!$AI$4:$AI$503,433))</f>
        <v/>
      </c>
    </row>
    <row r="437">
      <c r="A437">
        <f>IF(AND(LEN('Providers'!A437)&gt;0,ISNUMBER('Providers'!G437)),1,0)</f>
        <v/>
      </c>
      <c r="B437">
        <f>B436+A437</f>
        <v/>
      </c>
      <c r="C437">
        <f>IF(434&gt;$B$4503,"",MATCH(434-0.5,$B$3:$B$4503,1))</f>
        <v/>
      </c>
      <c r="D437">
        <f>"State license ("&amp;IF(LEN(INDEX('Providers'!$E$4:$E$503,434))=0,"",INDEX('Providers'!$E$4:$E$503,434))&amp;") – "&amp;IF(LEN(INDEX('Providers'!$A$4:$A$503,434))=0,"",INDEX('Providers'!$A$4:$A$503,434))</f>
        <v/>
      </c>
      <c r="E437">
        <f>IF(ISNUMBER(INDEX('Providers'!$G$4:$G$503,434)),TEXT(INDEX('Providers'!$G$4:$G$503,434),"yyyy-mm-dd"),"")</f>
        <v/>
      </c>
      <c r="F437">
        <f>"License"</f>
        <v/>
      </c>
      <c r="G437">
        <f>""</f>
        <v/>
      </c>
      <c r="H437">
        <f>"High"</f>
        <v/>
      </c>
      <c r="I437">
        <f>TRIM(IF(LEN(IF(LEN(INDEX('Providers'!$F$4:$F$503,434))=0,"",INDEX('Providers'!$F$4:$F$503,434)))=0,"","License no.: "&amp;IF(LEN(INDEX('Providers'!$F$4:$F$503,434))=0,"",INDEX('Providers'!$F$4:$F$503,434))&amp;". ")&amp;IF(LEN(IF(LEN(INDEX('Providers'!$C$4:$C$503,434))=0,"",INDEX('Providers'!$C$4:$C$503,434)))=0,"","NPI: "&amp;IF(LEN(INDEX('Providers'!$C$4:$C$503,434))=0,"",INDEX('Providers'!$C$4:$C$503,434))&amp;". ")&amp;IF(LEN(IF(LEN(INDEX('Providers'!$D$4:$D$503,434))=0,"",INDEX('Providers'!$D$4:$D$503,434)))=0,"","Specialty: "&amp;IF(LEN(INDEX('Providers'!$D$4:$D$503,434))=0,"",INDEX('Providers'!$D$4:$D$503,434))&amp;". ")&amp;IF(LEN(IF(LEN(INDEX('Providers'!$AK$4:$AK$503,434))=0,"",INDEX('Providers'!$AK$4:$AK$503,434)))=0,"",IF(LEN(INDEX('Providers'!$AK$4:$AK$503,434))=0,"",INDEX('Providers'!$AK$4:$AK$503,434))))</f>
        <v/>
      </c>
      <c r="J437">
        <f>IF(LEN(INDEX('Providers'!$AJ$4:$AJ$503,434))=0,"",INDEX('Providers'!$AJ$4:$AJ$503,434))</f>
        <v/>
      </c>
      <c r="K437">
        <f>IF(LEN(INDEX('Providers'!$AI$4:$AI$503,434))=0,"",INDEX('Providers'!$AI$4:$AI$503,434))</f>
        <v/>
      </c>
    </row>
    <row r="438">
      <c r="A438">
        <f>IF(AND(LEN('Providers'!A438)&gt;0,ISNUMBER('Providers'!G438)),1,0)</f>
        <v/>
      </c>
      <c r="B438">
        <f>B437+A438</f>
        <v/>
      </c>
      <c r="C438">
        <f>IF(435&gt;$B$4503,"",MATCH(435-0.5,$B$3:$B$4503,1))</f>
        <v/>
      </c>
      <c r="D438">
        <f>"State license ("&amp;IF(LEN(INDEX('Providers'!$E$4:$E$503,435))=0,"",INDEX('Providers'!$E$4:$E$503,435))&amp;") – "&amp;IF(LEN(INDEX('Providers'!$A$4:$A$503,435))=0,"",INDEX('Providers'!$A$4:$A$503,435))</f>
        <v/>
      </c>
      <c r="E438">
        <f>IF(ISNUMBER(INDEX('Providers'!$G$4:$G$503,435)),TEXT(INDEX('Providers'!$G$4:$G$503,435),"yyyy-mm-dd"),"")</f>
        <v/>
      </c>
      <c r="F438">
        <f>"License"</f>
        <v/>
      </c>
      <c r="G438">
        <f>""</f>
        <v/>
      </c>
      <c r="H438">
        <f>"High"</f>
        <v/>
      </c>
      <c r="I438">
        <f>TRIM(IF(LEN(IF(LEN(INDEX('Providers'!$F$4:$F$503,435))=0,"",INDEX('Providers'!$F$4:$F$503,435)))=0,"","License no.: "&amp;IF(LEN(INDEX('Providers'!$F$4:$F$503,435))=0,"",INDEX('Providers'!$F$4:$F$503,435))&amp;". ")&amp;IF(LEN(IF(LEN(INDEX('Providers'!$C$4:$C$503,435))=0,"",INDEX('Providers'!$C$4:$C$503,435)))=0,"","NPI: "&amp;IF(LEN(INDEX('Providers'!$C$4:$C$503,435))=0,"",INDEX('Providers'!$C$4:$C$503,435))&amp;". ")&amp;IF(LEN(IF(LEN(INDEX('Providers'!$D$4:$D$503,435))=0,"",INDEX('Providers'!$D$4:$D$503,435)))=0,"","Specialty: "&amp;IF(LEN(INDEX('Providers'!$D$4:$D$503,435))=0,"",INDEX('Providers'!$D$4:$D$503,435))&amp;". ")&amp;IF(LEN(IF(LEN(INDEX('Providers'!$AK$4:$AK$503,435))=0,"",INDEX('Providers'!$AK$4:$AK$503,435)))=0,"",IF(LEN(INDEX('Providers'!$AK$4:$AK$503,435))=0,"",INDEX('Providers'!$AK$4:$AK$503,435))))</f>
        <v/>
      </c>
      <c r="J438">
        <f>IF(LEN(INDEX('Providers'!$AJ$4:$AJ$503,435))=0,"",INDEX('Providers'!$AJ$4:$AJ$503,435))</f>
        <v/>
      </c>
      <c r="K438">
        <f>IF(LEN(INDEX('Providers'!$AI$4:$AI$503,435))=0,"",INDEX('Providers'!$AI$4:$AI$503,435))</f>
        <v/>
      </c>
    </row>
    <row r="439">
      <c r="A439">
        <f>IF(AND(LEN('Providers'!A439)&gt;0,ISNUMBER('Providers'!G439)),1,0)</f>
        <v/>
      </c>
      <c r="B439">
        <f>B438+A439</f>
        <v/>
      </c>
      <c r="C439">
        <f>IF(436&gt;$B$4503,"",MATCH(436-0.5,$B$3:$B$4503,1))</f>
        <v/>
      </c>
      <c r="D439">
        <f>"State license ("&amp;IF(LEN(INDEX('Providers'!$E$4:$E$503,436))=0,"",INDEX('Providers'!$E$4:$E$503,436))&amp;") – "&amp;IF(LEN(INDEX('Providers'!$A$4:$A$503,436))=0,"",INDEX('Providers'!$A$4:$A$503,436))</f>
        <v/>
      </c>
      <c r="E439">
        <f>IF(ISNUMBER(INDEX('Providers'!$G$4:$G$503,436)),TEXT(INDEX('Providers'!$G$4:$G$503,436),"yyyy-mm-dd"),"")</f>
        <v/>
      </c>
      <c r="F439">
        <f>"License"</f>
        <v/>
      </c>
      <c r="G439">
        <f>""</f>
        <v/>
      </c>
      <c r="H439">
        <f>"High"</f>
        <v/>
      </c>
      <c r="I439">
        <f>TRIM(IF(LEN(IF(LEN(INDEX('Providers'!$F$4:$F$503,436))=0,"",INDEX('Providers'!$F$4:$F$503,436)))=0,"","License no.: "&amp;IF(LEN(INDEX('Providers'!$F$4:$F$503,436))=0,"",INDEX('Providers'!$F$4:$F$503,436))&amp;". ")&amp;IF(LEN(IF(LEN(INDEX('Providers'!$C$4:$C$503,436))=0,"",INDEX('Providers'!$C$4:$C$503,436)))=0,"","NPI: "&amp;IF(LEN(INDEX('Providers'!$C$4:$C$503,436))=0,"",INDEX('Providers'!$C$4:$C$503,436))&amp;". ")&amp;IF(LEN(IF(LEN(INDEX('Providers'!$D$4:$D$503,436))=0,"",INDEX('Providers'!$D$4:$D$503,436)))=0,"","Specialty: "&amp;IF(LEN(INDEX('Providers'!$D$4:$D$503,436))=0,"",INDEX('Providers'!$D$4:$D$503,436))&amp;". ")&amp;IF(LEN(IF(LEN(INDEX('Providers'!$AK$4:$AK$503,436))=0,"",INDEX('Providers'!$AK$4:$AK$503,436)))=0,"",IF(LEN(INDEX('Providers'!$AK$4:$AK$503,436))=0,"",INDEX('Providers'!$AK$4:$AK$503,436))))</f>
        <v/>
      </c>
      <c r="J439">
        <f>IF(LEN(INDEX('Providers'!$AJ$4:$AJ$503,436))=0,"",INDEX('Providers'!$AJ$4:$AJ$503,436))</f>
        <v/>
      </c>
      <c r="K439">
        <f>IF(LEN(INDEX('Providers'!$AI$4:$AI$503,436))=0,"",INDEX('Providers'!$AI$4:$AI$503,436))</f>
        <v/>
      </c>
    </row>
    <row r="440">
      <c r="A440">
        <f>IF(AND(LEN('Providers'!A440)&gt;0,ISNUMBER('Providers'!G440)),1,0)</f>
        <v/>
      </c>
      <c r="B440">
        <f>B439+A440</f>
        <v/>
      </c>
      <c r="C440">
        <f>IF(437&gt;$B$4503,"",MATCH(437-0.5,$B$3:$B$4503,1))</f>
        <v/>
      </c>
      <c r="D440">
        <f>"State license ("&amp;IF(LEN(INDEX('Providers'!$E$4:$E$503,437))=0,"",INDEX('Providers'!$E$4:$E$503,437))&amp;") – "&amp;IF(LEN(INDEX('Providers'!$A$4:$A$503,437))=0,"",INDEX('Providers'!$A$4:$A$503,437))</f>
        <v/>
      </c>
      <c r="E440">
        <f>IF(ISNUMBER(INDEX('Providers'!$G$4:$G$503,437)),TEXT(INDEX('Providers'!$G$4:$G$503,437),"yyyy-mm-dd"),"")</f>
        <v/>
      </c>
      <c r="F440">
        <f>"License"</f>
        <v/>
      </c>
      <c r="G440">
        <f>""</f>
        <v/>
      </c>
      <c r="H440">
        <f>"High"</f>
        <v/>
      </c>
      <c r="I440">
        <f>TRIM(IF(LEN(IF(LEN(INDEX('Providers'!$F$4:$F$503,437))=0,"",INDEX('Providers'!$F$4:$F$503,437)))=0,"","License no.: "&amp;IF(LEN(INDEX('Providers'!$F$4:$F$503,437))=0,"",INDEX('Providers'!$F$4:$F$503,437))&amp;". ")&amp;IF(LEN(IF(LEN(INDEX('Providers'!$C$4:$C$503,437))=0,"",INDEX('Providers'!$C$4:$C$503,437)))=0,"","NPI: "&amp;IF(LEN(INDEX('Providers'!$C$4:$C$503,437))=0,"",INDEX('Providers'!$C$4:$C$503,437))&amp;". ")&amp;IF(LEN(IF(LEN(INDEX('Providers'!$D$4:$D$503,437))=0,"",INDEX('Providers'!$D$4:$D$503,437)))=0,"","Specialty: "&amp;IF(LEN(INDEX('Providers'!$D$4:$D$503,437))=0,"",INDEX('Providers'!$D$4:$D$503,437))&amp;". ")&amp;IF(LEN(IF(LEN(INDEX('Providers'!$AK$4:$AK$503,437))=0,"",INDEX('Providers'!$AK$4:$AK$503,437)))=0,"",IF(LEN(INDEX('Providers'!$AK$4:$AK$503,437))=0,"",INDEX('Providers'!$AK$4:$AK$503,437))))</f>
        <v/>
      </c>
      <c r="J440">
        <f>IF(LEN(INDEX('Providers'!$AJ$4:$AJ$503,437))=0,"",INDEX('Providers'!$AJ$4:$AJ$503,437))</f>
        <v/>
      </c>
      <c r="K440">
        <f>IF(LEN(INDEX('Providers'!$AI$4:$AI$503,437))=0,"",INDEX('Providers'!$AI$4:$AI$503,437))</f>
        <v/>
      </c>
    </row>
    <row r="441">
      <c r="A441">
        <f>IF(AND(LEN('Providers'!A441)&gt;0,ISNUMBER('Providers'!G441)),1,0)</f>
        <v/>
      </c>
      <c r="B441">
        <f>B440+A441</f>
        <v/>
      </c>
      <c r="C441">
        <f>IF(438&gt;$B$4503,"",MATCH(438-0.5,$B$3:$B$4503,1))</f>
        <v/>
      </c>
      <c r="D441">
        <f>"State license ("&amp;IF(LEN(INDEX('Providers'!$E$4:$E$503,438))=0,"",INDEX('Providers'!$E$4:$E$503,438))&amp;") – "&amp;IF(LEN(INDEX('Providers'!$A$4:$A$503,438))=0,"",INDEX('Providers'!$A$4:$A$503,438))</f>
        <v/>
      </c>
      <c r="E441">
        <f>IF(ISNUMBER(INDEX('Providers'!$G$4:$G$503,438)),TEXT(INDEX('Providers'!$G$4:$G$503,438),"yyyy-mm-dd"),"")</f>
        <v/>
      </c>
      <c r="F441">
        <f>"License"</f>
        <v/>
      </c>
      <c r="G441">
        <f>""</f>
        <v/>
      </c>
      <c r="H441">
        <f>"High"</f>
        <v/>
      </c>
      <c r="I441">
        <f>TRIM(IF(LEN(IF(LEN(INDEX('Providers'!$F$4:$F$503,438))=0,"",INDEX('Providers'!$F$4:$F$503,438)))=0,"","License no.: "&amp;IF(LEN(INDEX('Providers'!$F$4:$F$503,438))=0,"",INDEX('Providers'!$F$4:$F$503,438))&amp;". ")&amp;IF(LEN(IF(LEN(INDEX('Providers'!$C$4:$C$503,438))=0,"",INDEX('Providers'!$C$4:$C$503,438)))=0,"","NPI: "&amp;IF(LEN(INDEX('Providers'!$C$4:$C$503,438))=0,"",INDEX('Providers'!$C$4:$C$503,438))&amp;". ")&amp;IF(LEN(IF(LEN(INDEX('Providers'!$D$4:$D$503,438))=0,"",INDEX('Providers'!$D$4:$D$503,438)))=0,"","Specialty: "&amp;IF(LEN(INDEX('Providers'!$D$4:$D$503,438))=0,"",INDEX('Providers'!$D$4:$D$503,438))&amp;". ")&amp;IF(LEN(IF(LEN(INDEX('Providers'!$AK$4:$AK$503,438))=0,"",INDEX('Providers'!$AK$4:$AK$503,438)))=0,"",IF(LEN(INDEX('Providers'!$AK$4:$AK$503,438))=0,"",INDEX('Providers'!$AK$4:$AK$503,438))))</f>
        <v/>
      </c>
      <c r="J441">
        <f>IF(LEN(INDEX('Providers'!$AJ$4:$AJ$503,438))=0,"",INDEX('Providers'!$AJ$4:$AJ$503,438))</f>
        <v/>
      </c>
      <c r="K441">
        <f>IF(LEN(INDEX('Providers'!$AI$4:$AI$503,438))=0,"",INDEX('Providers'!$AI$4:$AI$503,438))</f>
        <v/>
      </c>
    </row>
    <row r="442">
      <c r="A442">
        <f>IF(AND(LEN('Providers'!A442)&gt;0,ISNUMBER('Providers'!G442)),1,0)</f>
        <v/>
      </c>
      <c r="B442">
        <f>B441+A442</f>
        <v/>
      </c>
      <c r="C442">
        <f>IF(439&gt;$B$4503,"",MATCH(439-0.5,$B$3:$B$4503,1))</f>
        <v/>
      </c>
      <c r="D442">
        <f>"State license ("&amp;IF(LEN(INDEX('Providers'!$E$4:$E$503,439))=0,"",INDEX('Providers'!$E$4:$E$503,439))&amp;") – "&amp;IF(LEN(INDEX('Providers'!$A$4:$A$503,439))=0,"",INDEX('Providers'!$A$4:$A$503,439))</f>
        <v/>
      </c>
      <c r="E442">
        <f>IF(ISNUMBER(INDEX('Providers'!$G$4:$G$503,439)),TEXT(INDEX('Providers'!$G$4:$G$503,439),"yyyy-mm-dd"),"")</f>
        <v/>
      </c>
      <c r="F442">
        <f>"License"</f>
        <v/>
      </c>
      <c r="G442">
        <f>""</f>
        <v/>
      </c>
      <c r="H442">
        <f>"High"</f>
        <v/>
      </c>
      <c r="I442">
        <f>TRIM(IF(LEN(IF(LEN(INDEX('Providers'!$F$4:$F$503,439))=0,"",INDEX('Providers'!$F$4:$F$503,439)))=0,"","License no.: "&amp;IF(LEN(INDEX('Providers'!$F$4:$F$503,439))=0,"",INDEX('Providers'!$F$4:$F$503,439))&amp;". ")&amp;IF(LEN(IF(LEN(INDEX('Providers'!$C$4:$C$503,439))=0,"",INDEX('Providers'!$C$4:$C$503,439)))=0,"","NPI: "&amp;IF(LEN(INDEX('Providers'!$C$4:$C$503,439))=0,"",INDEX('Providers'!$C$4:$C$503,439))&amp;". ")&amp;IF(LEN(IF(LEN(INDEX('Providers'!$D$4:$D$503,439))=0,"",INDEX('Providers'!$D$4:$D$503,439)))=0,"","Specialty: "&amp;IF(LEN(INDEX('Providers'!$D$4:$D$503,439))=0,"",INDEX('Providers'!$D$4:$D$503,439))&amp;". ")&amp;IF(LEN(IF(LEN(INDEX('Providers'!$AK$4:$AK$503,439))=0,"",INDEX('Providers'!$AK$4:$AK$503,439)))=0,"",IF(LEN(INDEX('Providers'!$AK$4:$AK$503,439))=0,"",INDEX('Providers'!$AK$4:$AK$503,439))))</f>
        <v/>
      </c>
      <c r="J442">
        <f>IF(LEN(INDEX('Providers'!$AJ$4:$AJ$503,439))=0,"",INDEX('Providers'!$AJ$4:$AJ$503,439))</f>
        <v/>
      </c>
      <c r="K442">
        <f>IF(LEN(INDEX('Providers'!$AI$4:$AI$503,439))=0,"",INDEX('Providers'!$AI$4:$AI$503,439))</f>
        <v/>
      </c>
    </row>
    <row r="443">
      <c r="A443">
        <f>IF(AND(LEN('Providers'!A443)&gt;0,ISNUMBER('Providers'!G443)),1,0)</f>
        <v/>
      </c>
      <c r="B443">
        <f>B442+A443</f>
        <v/>
      </c>
      <c r="C443">
        <f>IF(440&gt;$B$4503,"",MATCH(440-0.5,$B$3:$B$4503,1))</f>
        <v/>
      </c>
      <c r="D443">
        <f>"State license ("&amp;IF(LEN(INDEX('Providers'!$E$4:$E$503,440))=0,"",INDEX('Providers'!$E$4:$E$503,440))&amp;") – "&amp;IF(LEN(INDEX('Providers'!$A$4:$A$503,440))=0,"",INDEX('Providers'!$A$4:$A$503,440))</f>
        <v/>
      </c>
      <c r="E443">
        <f>IF(ISNUMBER(INDEX('Providers'!$G$4:$G$503,440)),TEXT(INDEX('Providers'!$G$4:$G$503,440),"yyyy-mm-dd"),"")</f>
        <v/>
      </c>
      <c r="F443">
        <f>"License"</f>
        <v/>
      </c>
      <c r="G443">
        <f>""</f>
        <v/>
      </c>
      <c r="H443">
        <f>"High"</f>
        <v/>
      </c>
      <c r="I443">
        <f>TRIM(IF(LEN(IF(LEN(INDEX('Providers'!$F$4:$F$503,440))=0,"",INDEX('Providers'!$F$4:$F$503,440)))=0,"","License no.: "&amp;IF(LEN(INDEX('Providers'!$F$4:$F$503,440))=0,"",INDEX('Providers'!$F$4:$F$503,440))&amp;". ")&amp;IF(LEN(IF(LEN(INDEX('Providers'!$C$4:$C$503,440))=0,"",INDEX('Providers'!$C$4:$C$503,440)))=0,"","NPI: "&amp;IF(LEN(INDEX('Providers'!$C$4:$C$503,440))=0,"",INDEX('Providers'!$C$4:$C$503,440))&amp;". ")&amp;IF(LEN(IF(LEN(INDEX('Providers'!$D$4:$D$503,440))=0,"",INDEX('Providers'!$D$4:$D$503,440)))=0,"","Specialty: "&amp;IF(LEN(INDEX('Providers'!$D$4:$D$503,440))=0,"",INDEX('Providers'!$D$4:$D$503,440))&amp;". ")&amp;IF(LEN(IF(LEN(INDEX('Providers'!$AK$4:$AK$503,440))=0,"",INDEX('Providers'!$AK$4:$AK$503,440)))=0,"",IF(LEN(INDEX('Providers'!$AK$4:$AK$503,440))=0,"",INDEX('Providers'!$AK$4:$AK$503,440))))</f>
        <v/>
      </c>
      <c r="J443">
        <f>IF(LEN(INDEX('Providers'!$AJ$4:$AJ$503,440))=0,"",INDEX('Providers'!$AJ$4:$AJ$503,440))</f>
        <v/>
      </c>
      <c r="K443">
        <f>IF(LEN(INDEX('Providers'!$AI$4:$AI$503,440))=0,"",INDEX('Providers'!$AI$4:$AI$503,440))</f>
        <v/>
      </c>
    </row>
    <row r="444">
      <c r="A444">
        <f>IF(AND(LEN('Providers'!A444)&gt;0,ISNUMBER('Providers'!G444)),1,0)</f>
        <v/>
      </c>
      <c r="B444">
        <f>B443+A444</f>
        <v/>
      </c>
      <c r="C444">
        <f>IF(441&gt;$B$4503,"",MATCH(441-0.5,$B$3:$B$4503,1))</f>
        <v/>
      </c>
      <c r="D444">
        <f>"State license ("&amp;IF(LEN(INDEX('Providers'!$E$4:$E$503,441))=0,"",INDEX('Providers'!$E$4:$E$503,441))&amp;") – "&amp;IF(LEN(INDEX('Providers'!$A$4:$A$503,441))=0,"",INDEX('Providers'!$A$4:$A$503,441))</f>
        <v/>
      </c>
      <c r="E444">
        <f>IF(ISNUMBER(INDEX('Providers'!$G$4:$G$503,441)),TEXT(INDEX('Providers'!$G$4:$G$503,441),"yyyy-mm-dd"),"")</f>
        <v/>
      </c>
      <c r="F444">
        <f>"License"</f>
        <v/>
      </c>
      <c r="G444">
        <f>""</f>
        <v/>
      </c>
      <c r="H444">
        <f>"High"</f>
        <v/>
      </c>
      <c r="I444">
        <f>TRIM(IF(LEN(IF(LEN(INDEX('Providers'!$F$4:$F$503,441))=0,"",INDEX('Providers'!$F$4:$F$503,441)))=0,"","License no.: "&amp;IF(LEN(INDEX('Providers'!$F$4:$F$503,441))=0,"",INDEX('Providers'!$F$4:$F$503,441))&amp;". ")&amp;IF(LEN(IF(LEN(INDEX('Providers'!$C$4:$C$503,441))=0,"",INDEX('Providers'!$C$4:$C$503,441)))=0,"","NPI: "&amp;IF(LEN(INDEX('Providers'!$C$4:$C$503,441))=0,"",INDEX('Providers'!$C$4:$C$503,441))&amp;". ")&amp;IF(LEN(IF(LEN(INDEX('Providers'!$D$4:$D$503,441))=0,"",INDEX('Providers'!$D$4:$D$503,441)))=0,"","Specialty: "&amp;IF(LEN(INDEX('Providers'!$D$4:$D$503,441))=0,"",INDEX('Providers'!$D$4:$D$503,441))&amp;". ")&amp;IF(LEN(IF(LEN(INDEX('Providers'!$AK$4:$AK$503,441))=0,"",INDEX('Providers'!$AK$4:$AK$503,441)))=0,"",IF(LEN(INDEX('Providers'!$AK$4:$AK$503,441))=0,"",INDEX('Providers'!$AK$4:$AK$503,441))))</f>
        <v/>
      </c>
      <c r="J444">
        <f>IF(LEN(INDEX('Providers'!$AJ$4:$AJ$503,441))=0,"",INDEX('Providers'!$AJ$4:$AJ$503,441))</f>
        <v/>
      </c>
      <c r="K444">
        <f>IF(LEN(INDEX('Providers'!$AI$4:$AI$503,441))=0,"",INDEX('Providers'!$AI$4:$AI$503,441))</f>
        <v/>
      </c>
    </row>
    <row r="445">
      <c r="A445">
        <f>IF(AND(LEN('Providers'!A445)&gt;0,ISNUMBER('Providers'!G445)),1,0)</f>
        <v/>
      </c>
      <c r="B445">
        <f>B444+A445</f>
        <v/>
      </c>
      <c r="C445">
        <f>IF(442&gt;$B$4503,"",MATCH(442-0.5,$B$3:$B$4503,1))</f>
        <v/>
      </c>
      <c r="D445">
        <f>"State license ("&amp;IF(LEN(INDEX('Providers'!$E$4:$E$503,442))=0,"",INDEX('Providers'!$E$4:$E$503,442))&amp;") – "&amp;IF(LEN(INDEX('Providers'!$A$4:$A$503,442))=0,"",INDEX('Providers'!$A$4:$A$503,442))</f>
        <v/>
      </c>
      <c r="E445">
        <f>IF(ISNUMBER(INDEX('Providers'!$G$4:$G$503,442)),TEXT(INDEX('Providers'!$G$4:$G$503,442),"yyyy-mm-dd"),"")</f>
        <v/>
      </c>
      <c r="F445">
        <f>"License"</f>
        <v/>
      </c>
      <c r="G445">
        <f>""</f>
        <v/>
      </c>
      <c r="H445">
        <f>"High"</f>
        <v/>
      </c>
      <c r="I445">
        <f>TRIM(IF(LEN(IF(LEN(INDEX('Providers'!$F$4:$F$503,442))=0,"",INDEX('Providers'!$F$4:$F$503,442)))=0,"","License no.: "&amp;IF(LEN(INDEX('Providers'!$F$4:$F$503,442))=0,"",INDEX('Providers'!$F$4:$F$503,442))&amp;". ")&amp;IF(LEN(IF(LEN(INDEX('Providers'!$C$4:$C$503,442))=0,"",INDEX('Providers'!$C$4:$C$503,442)))=0,"","NPI: "&amp;IF(LEN(INDEX('Providers'!$C$4:$C$503,442))=0,"",INDEX('Providers'!$C$4:$C$503,442))&amp;". ")&amp;IF(LEN(IF(LEN(INDEX('Providers'!$D$4:$D$503,442))=0,"",INDEX('Providers'!$D$4:$D$503,442)))=0,"","Specialty: "&amp;IF(LEN(INDEX('Providers'!$D$4:$D$503,442))=0,"",INDEX('Providers'!$D$4:$D$503,442))&amp;". ")&amp;IF(LEN(IF(LEN(INDEX('Providers'!$AK$4:$AK$503,442))=0,"",INDEX('Providers'!$AK$4:$AK$503,442)))=0,"",IF(LEN(INDEX('Providers'!$AK$4:$AK$503,442))=0,"",INDEX('Providers'!$AK$4:$AK$503,442))))</f>
        <v/>
      </c>
      <c r="J445">
        <f>IF(LEN(INDEX('Providers'!$AJ$4:$AJ$503,442))=0,"",INDEX('Providers'!$AJ$4:$AJ$503,442))</f>
        <v/>
      </c>
      <c r="K445">
        <f>IF(LEN(INDEX('Providers'!$AI$4:$AI$503,442))=0,"",INDEX('Providers'!$AI$4:$AI$503,442))</f>
        <v/>
      </c>
    </row>
    <row r="446">
      <c r="A446">
        <f>IF(AND(LEN('Providers'!A446)&gt;0,ISNUMBER('Providers'!G446)),1,0)</f>
        <v/>
      </c>
      <c r="B446">
        <f>B445+A446</f>
        <v/>
      </c>
      <c r="C446">
        <f>IF(443&gt;$B$4503,"",MATCH(443-0.5,$B$3:$B$4503,1))</f>
        <v/>
      </c>
      <c r="D446">
        <f>"State license ("&amp;IF(LEN(INDEX('Providers'!$E$4:$E$503,443))=0,"",INDEX('Providers'!$E$4:$E$503,443))&amp;") – "&amp;IF(LEN(INDEX('Providers'!$A$4:$A$503,443))=0,"",INDEX('Providers'!$A$4:$A$503,443))</f>
        <v/>
      </c>
      <c r="E446">
        <f>IF(ISNUMBER(INDEX('Providers'!$G$4:$G$503,443)),TEXT(INDEX('Providers'!$G$4:$G$503,443),"yyyy-mm-dd"),"")</f>
        <v/>
      </c>
      <c r="F446">
        <f>"License"</f>
        <v/>
      </c>
      <c r="G446">
        <f>""</f>
        <v/>
      </c>
      <c r="H446">
        <f>"High"</f>
        <v/>
      </c>
      <c r="I446">
        <f>TRIM(IF(LEN(IF(LEN(INDEX('Providers'!$F$4:$F$503,443))=0,"",INDEX('Providers'!$F$4:$F$503,443)))=0,"","License no.: "&amp;IF(LEN(INDEX('Providers'!$F$4:$F$503,443))=0,"",INDEX('Providers'!$F$4:$F$503,443))&amp;". ")&amp;IF(LEN(IF(LEN(INDEX('Providers'!$C$4:$C$503,443))=0,"",INDEX('Providers'!$C$4:$C$503,443)))=0,"","NPI: "&amp;IF(LEN(INDEX('Providers'!$C$4:$C$503,443))=0,"",INDEX('Providers'!$C$4:$C$503,443))&amp;". ")&amp;IF(LEN(IF(LEN(INDEX('Providers'!$D$4:$D$503,443))=0,"",INDEX('Providers'!$D$4:$D$503,443)))=0,"","Specialty: "&amp;IF(LEN(INDEX('Providers'!$D$4:$D$503,443))=0,"",INDEX('Providers'!$D$4:$D$503,443))&amp;". ")&amp;IF(LEN(IF(LEN(INDEX('Providers'!$AK$4:$AK$503,443))=0,"",INDEX('Providers'!$AK$4:$AK$503,443)))=0,"",IF(LEN(INDEX('Providers'!$AK$4:$AK$503,443))=0,"",INDEX('Providers'!$AK$4:$AK$503,443))))</f>
        <v/>
      </c>
      <c r="J446">
        <f>IF(LEN(INDEX('Providers'!$AJ$4:$AJ$503,443))=0,"",INDEX('Providers'!$AJ$4:$AJ$503,443))</f>
        <v/>
      </c>
      <c r="K446">
        <f>IF(LEN(INDEX('Providers'!$AI$4:$AI$503,443))=0,"",INDEX('Providers'!$AI$4:$AI$503,443))</f>
        <v/>
      </c>
    </row>
    <row r="447">
      <c r="A447">
        <f>IF(AND(LEN('Providers'!A447)&gt;0,ISNUMBER('Providers'!G447)),1,0)</f>
        <v/>
      </c>
      <c r="B447">
        <f>B446+A447</f>
        <v/>
      </c>
      <c r="C447">
        <f>IF(444&gt;$B$4503,"",MATCH(444-0.5,$B$3:$B$4503,1))</f>
        <v/>
      </c>
      <c r="D447">
        <f>"State license ("&amp;IF(LEN(INDEX('Providers'!$E$4:$E$503,444))=0,"",INDEX('Providers'!$E$4:$E$503,444))&amp;") – "&amp;IF(LEN(INDEX('Providers'!$A$4:$A$503,444))=0,"",INDEX('Providers'!$A$4:$A$503,444))</f>
        <v/>
      </c>
      <c r="E447">
        <f>IF(ISNUMBER(INDEX('Providers'!$G$4:$G$503,444)),TEXT(INDEX('Providers'!$G$4:$G$503,444),"yyyy-mm-dd"),"")</f>
        <v/>
      </c>
      <c r="F447">
        <f>"License"</f>
        <v/>
      </c>
      <c r="G447">
        <f>""</f>
        <v/>
      </c>
      <c r="H447">
        <f>"High"</f>
        <v/>
      </c>
      <c r="I447">
        <f>TRIM(IF(LEN(IF(LEN(INDEX('Providers'!$F$4:$F$503,444))=0,"",INDEX('Providers'!$F$4:$F$503,444)))=0,"","License no.: "&amp;IF(LEN(INDEX('Providers'!$F$4:$F$503,444))=0,"",INDEX('Providers'!$F$4:$F$503,444))&amp;". ")&amp;IF(LEN(IF(LEN(INDEX('Providers'!$C$4:$C$503,444))=0,"",INDEX('Providers'!$C$4:$C$503,444)))=0,"","NPI: "&amp;IF(LEN(INDEX('Providers'!$C$4:$C$503,444))=0,"",INDEX('Providers'!$C$4:$C$503,444))&amp;". ")&amp;IF(LEN(IF(LEN(INDEX('Providers'!$D$4:$D$503,444))=0,"",INDEX('Providers'!$D$4:$D$503,444)))=0,"","Specialty: "&amp;IF(LEN(INDEX('Providers'!$D$4:$D$503,444))=0,"",INDEX('Providers'!$D$4:$D$503,444))&amp;". ")&amp;IF(LEN(IF(LEN(INDEX('Providers'!$AK$4:$AK$503,444))=0,"",INDEX('Providers'!$AK$4:$AK$503,444)))=0,"",IF(LEN(INDEX('Providers'!$AK$4:$AK$503,444))=0,"",INDEX('Providers'!$AK$4:$AK$503,444))))</f>
        <v/>
      </c>
      <c r="J447">
        <f>IF(LEN(INDEX('Providers'!$AJ$4:$AJ$503,444))=0,"",INDEX('Providers'!$AJ$4:$AJ$503,444))</f>
        <v/>
      </c>
      <c r="K447">
        <f>IF(LEN(INDEX('Providers'!$AI$4:$AI$503,444))=0,"",INDEX('Providers'!$AI$4:$AI$503,444))</f>
        <v/>
      </c>
    </row>
    <row r="448">
      <c r="A448">
        <f>IF(AND(LEN('Providers'!A448)&gt;0,ISNUMBER('Providers'!G448)),1,0)</f>
        <v/>
      </c>
      <c r="B448">
        <f>B447+A448</f>
        <v/>
      </c>
      <c r="C448">
        <f>IF(445&gt;$B$4503,"",MATCH(445-0.5,$B$3:$B$4503,1))</f>
        <v/>
      </c>
      <c r="D448">
        <f>"State license ("&amp;IF(LEN(INDEX('Providers'!$E$4:$E$503,445))=0,"",INDEX('Providers'!$E$4:$E$503,445))&amp;") – "&amp;IF(LEN(INDEX('Providers'!$A$4:$A$503,445))=0,"",INDEX('Providers'!$A$4:$A$503,445))</f>
        <v/>
      </c>
      <c r="E448">
        <f>IF(ISNUMBER(INDEX('Providers'!$G$4:$G$503,445)),TEXT(INDEX('Providers'!$G$4:$G$503,445),"yyyy-mm-dd"),"")</f>
        <v/>
      </c>
      <c r="F448">
        <f>"License"</f>
        <v/>
      </c>
      <c r="G448">
        <f>""</f>
        <v/>
      </c>
      <c r="H448">
        <f>"High"</f>
        <v/>
      </c>
      <c r="I448">
        <f>TRIM(IF(LEN(IF(LEN(INDEX('Providers'!$F$4:$F$503,445))=0,"",INDEX('Providers'!$F$4:$F$503,445)))=0,"","License no.: "&amp;IF(LEN(INDEX('Providers'!$F$4:$F$503,445))=0,"",INDEX('Providers'!$F$4:$F$503,445))&amp;". ")&amp;IF(LEN(IF(LEN(INDEX('Providers'!$C$4:$C$503,445))=0,"",INDEX('Providers'!$C$4:$C$503,445)))=0,"","NPI: "&amp;IF(LEN(INDEX('Providers'!$C$4:$C$503,445))=0,"",INDEX('Providers'!$C$4:$C$503,445))&amp;". ")&amp;IF(LEN(IF(LEN(INDEX('Providers'!$D$4:$D$503,445))=0,"",INDEX('Providers'!$D$4:$D$503,445)))=0,"","Specialty: "&amp;IF(LEN(INDEX('Providers'!$D$4:$D$503,445))=0,"",INDEX('Providers'!$D$4:$D$503,445))&amp;". ")&amp;IF(LEN(IF(LEN(INDEX('Providers'!$AK$4:$AK$503,445))=0,"",INDEX('Providers'!$AK$4:$AK$503,445)))=0,"",IF(LEN(INDEX('Providers'!$AK$4:$AK$503,445))=0,"",INDEX('Providers'!$AK$4:$AK$503,445))))</f>
        <v/>
      </c>
      <c r="J448">
        <f>IF(LEN(INDEX('Providers'!$AJ$4:$AJ$503,445))=0,"",INDEX('Providers'!$AJ$4:$AJ$503,445))</f>
        <v/>
      </c>
      <c r="K448">
        <f>IF(LEN(INDEX('Providers'!$AI$4:$AI$503,445))=0,"",INDEX('Providers'!$AI$4:$AI$503,445))</f>
        <v/>
      </c>
    </row>
    <row r="449">
      <c r="A449">
        <f>IF(AND(LEN('Providers'!A449)&gt;0,ISNUMBER('Providers'!G449)),1,0)</f>
        <v/>
      </c>
      <c r="B449">
        <f>B448+A449</f>
        <v/>
      </c>
      <c r="C449">
        <f>IF(446&gt;$B$4503,"",MATCH(446-0.5,$B$3:$B$4503,1))</f>
        <v/>
      </c>
      <c r="D449">
        <f>"State license ("&amp;IF(LEN(INDEX('Providers'!$E$4:$E$503,446))=0,"",INDEX('Providers'!$E$4:$E$503,446))&amp;") – "&amp;IF(LEN(INDEX('Providers'!$A$4:$A$503,446))=0,"",INDEX('Providers'!$A$4:$A$503,446))</f>
        <v/>
      </c>
      <c r="E449">
        <f>IF(ISNUMBER(INDEX('Providers'!$G$4:$G$503,446)),TEXT(INDEX('Providers'!$G$4:$G$503,446),"yyyy-mm-dd"),"")</f>
        <v/>
      </c>
      <c r="F449">
        <f>"License"</f>
        <v/>
      </c>
      <c r="G449">
        <f>""</f>
        <v/>
      </c>
      <c r="H449">
        <f>"High"</f>
        <v/>
      </c>
      <c r="I449">
        <f>TRIM(IF(LEN(IF(LEN(INDEX('Providers'!$F$4:$F$503,446))=0,"",INDEX('Providers'!$F$4:$F$503,446)))=0,"","License no.: "&amp;IF(LEN(INDEX('Providers'!$F$4:$F$503,446))=0,"",INDEX('Providers'!$F$4:$F$503,446))&amp;". ")&amp;IF(LEN(IF(LEN(INDEX('Providers'!$C$4:$C$503,446))=0,"",INDEX('Providers'!$C$4:$C$503,446)))=0,"","NPI: "&amp;IF(LEN(INDEX('Providers'!$C$4:$C$503,446))=0,"",INDEX('Providers'!$C$4:$C$503,446))&amp;". ")&amp;IF(LEN(IF(LEN(INDEX('Providers'!$D$4:$D$503,446))=0,"",INDEX('Providers'!$D$4:$D$503,446)))=0,"","Specialty: "&amp;IF(LEN(INDEX('Providers'!$D$4:$D$503,446))=0,"",INDEX('Providers'!$D$4:$D$503,446))&amp;". ")&amp;IF(LEN(IF(LEN(INDEX('Providers'!$AK$4:$AK$503,446))=0,"",INDEX('Providers'!$AK$4:$AK$503,446)))=0,"",IF(LEN(INDEX('Providers'!$AK$4:$AK$503,446))=0,"",INDEX('Providers'!$AK$4:$AK$503,446))))</f>
        <v/>
      </c>
      <c r="J449">
        <f>IF(LEN(INDEX('Providers'!$AJ$4:$AJ$503,446))=0,"",INDEX('Providers'!$AJ$4:$AJ$503,446))</f>
        <v/>
      </c>
      <c r="K449">
        <f>IF(LEN(INDEX('Providers'!$AI$4:$AI$503,446))=0,"",INDEX('Providers'!$AI$4:$AI$503,446))</f>
        <v/>
      </c>
    </row>
    <row r="450">
      <c r="A450">
        <f>IF(AND(LEN('Providers'!A450)&gt;0,ISNUMBER('Providers'!G450)),1,0)</f>
        <v/>
      </c>
      <c r="B450">
        <f>B449+A450</f>
        <v/>
      </c>
      <c r="C450">
        <f>IF(447&gt;$B$4503,"",MATCH(447-0.5,$B$3:$B$4503,1))</f>
        <v/>
      </c>
      <c r="D450">
        <f>"State license ("&amp;IF(LEN(INDEX('Providers'!$E$4:$E$503,447))=0,"",INDEX('Providers'!$E$4:$E$503,447))&amp;") – "&amp;IF(LEN(INDEX('Providers'!$A$4:$A$503,447))=0,"",INDEX('Providers'!$A$4:$A$503,447))</f>
        <v/>
      </c>
      <c r="E450">
        <f>IF(ISNUMBER(INDEX('Providers'!$G$4:$G$503,447)),TEXT(INDEX('Providers'!$G$4:$G$503,447),"yyyy-mm-dd"),"")</f>
        <v/>
      </c>
      <c r="F450">
        <f>"License"</f>
        <v/>
      </c>
      <c r="G450">
        <f>""</f>
        <v/>
      </c>
      <c r="H450">
        <f>"High"</f>
        <v/>
      </c>
      <c r="I450">
        <f>TRIM(IF(LEN(IF(LEN(INDEX('Providers'!$F$4:$F$503,447))=0,"",INDEX('Providers'!$F$4:$F$503,447)))=0,"","License no.: "&amp;IF(LEN(INDEX('Providers'!$F$4:$F$503,447))=0,"",INDEX('Providers'!$F$4:$F$503,447))&amp;". ")&amp;IF(LEN(IF(LEN(INDEX('Providers'!$C$4:$C$503,447))=0,"",INDEX('Providers'!$C$4:$C$503,447)))=0,"","NPI: "&amp;IF(LEN(INDEX('Providers'!$C$4:$C$503,447))=0,"",INDEX('Providers'!$C$4:$C$503,447))&amp;". ")&amp;IF(LEN(IF(LEN(INDEX('Providers'!$D$4:$D$503,447))=0,"",INDEX('Providers'!$D$4:$D$503,447)))=0,"","Specialty: "&amp;IF(LEN(INDEX('Providers'!$D$4:$D$503,447))=0,"",INDEX('Providers'!$D$4:$D$503,447))&amp;". ")&amp;IF(LEN(IF(LEN(INDEX('Providers'!$AK$4:$AK$503,447))=0,"",INDEX('Providers'!$AK$4:$AK$503,447)))=0,"",IF(LEN(INDEX('Providers'!$AK$4:$AK$503,447))=0,"",INDEX('Providers'!$AK$4:$AK$503,447))))</f>
        <v/>
      </c>
      <c r="J450">
        <f>IF(LEN(INDEX('Providers'!$AJ$4:$AJ$503,447))=0,"",INDEX('Providers'!$AJ$4:$AJ$503,447))</f>
        <v/>
      </c>
      <c r="K450">
        <f>IF(LEN(INDEX('Providers'!$AI$4:$AI$503,447))=0,"",INDEX('Providers'!$AI$4:$AI$503,447))</f>
        <v/>
      </c>
    </row>
    <row r="451">
      <c r="A451">
        <f>IF(AND(LEN('Providers'!A451)&gt;0,ISNUMBER('Providers'!G451)),1,0)</f>
        <v/>
      </c>
      <c r="B451">
        <f>B450+A451</f>
        <v/>
      </c>
      <c r="C451">
        <f>IF(448&gt;$B$4503,"",MATCH(448-0.5,$B$3:$B$4503,1))</f>
        <v/>
      </c>
      <c r="D451">
        <f>"State license ("&amp;IF(LEN(INDEX('Providers'!$E$4:$E$503,448))=0,"",INDEX('Providers'!$E$4:$E$503,448))&amp;") – "&amp;IF(LEN(INDEX('Providers'!$A$4:$A$503,448))=0,"",INDEX('Providers'!$A$4:$A$503,448))</f>
        <v/>
      </c>
      <c r="E451">
        <f>IF(ISNUMBER(INDEX('Providers'!$G$4:$G$503,448)),TEXT(INDEX('Providers'!$G$4:$G$503,448),"yyyy-mm-dd"),"")</f>
        <v/>
      </c>
      <c r="F451">
        <f>"License"</f>
        <v/>
      </c>
      <c r="G451">
        <f>""</f>
        <v/>
      </c>
      <c r="H451">
        <f>"High"</f>
        <v/>
      </c>
      <c r="I451">
        <f>TRIM(IF(LEN(IF(LEN(INDEX('Providers'!$F$4:$F$503,448))=0,"",INDEX('Providers'!$F$4:$F$503,448)))=0,"","License no.: "&amp;IF(LEN(INDEX('Providers'!$F$4:$F$503,448))=0,"",INDEX('Providers'!$F$4:$F$503,448))&amp;". ")&amp;IF(LEN(IF(LEN(INDEX('Providers'!$C$4:$C$503,448))=0,"",INDEX('Providers'!$C$4:$C$503,448)))=0,"","NPI: "&amp;IF(LEN(INDEX('Providers'!$C$4:$C$503,448))=0,"",INDEX('Providers'!$C$4:$C$503,448))&amp;". ")&amp;IF(LEN(IF(LEN(INDEX('Providers'!$D$4:$D$503,448))=0,"",INDEX('Providers'!$D$4:$D$503,448)))=0,"","Specialty: "&amp;IF(LEN(INDEX('Providers'!$D$4:$D$503,448))=0,"",INDEX('Providers'!$D$4:$D$503,448))&amp;". ")&amp;IF(LEN(IF(LEN(INDEX('Providers'!$AK$4:$AK$503,448))=0,"",INDEX('Providers'!$AK$4:$AK$503,448)))=0,"",IF(LEN(INDEX('Providers'!$AK$4:$AK$503,448))=0,"",INDEX('Providers'!$AK$4:$AK$503,448))))</f>
        <v/>
      </c>
      <c r="J451">
        <f>IF(LEN(INDEX('Providers'!$AJ$4:$AJ$503,448))=0,"",INDEX('Providers'!$AJ$4:$AJ$503,448))</f>
        <v/>
      </c>
      <c r="K451">
        <f>IF(LEN(INDEX('Providers'!$AI$4:$AI$503,448))=0,"",INDEX('Providers'!$AI$4:$AI$503,448))</f>
        <v/>
      </c>
    </row>
    <row r="452">
      <c r="A452">
        <f>IF(AND(LEN('Providers'!A452)&gt;0,ISNUMBER('Providers'!G452)),1,0)</f>
        <v/>
      </c>
      <c r="B452">
        <f>B451+A452</f>
        <v/>
      </c>
      <c r="C452">
        <f>IF(449&gt;$B$4503,"",MATCH(449-0.5,$B$3:$B$4503,1))</f>
        <v/>
      </c>
      <c r="D452">
        <f>"State license ("&amp;IF(LEN(INDEX('Providers'!$E$4:$E$503,449))=0,"",INDEX('Providers'!$E$4:$E$503,449))&amp;") – "&amp;IF(LEN(INDEX('Providers'!$A$4:$A$503,449))=0,"",INDEX('Providers'!$A$4:$A$503,449))</f>
        <v/>
      </c>
      <c r="E452">
        <f>IF(ISNUMBER(INDEX('Providers'!$G$4:$G$503,449)),TEXT(INDEX('Providers'!$G$4:$G$503,449),"yyyy-mm-dd"),"")</f>
        <v/>
      </c>
      <c r="F452">
        <f>"License"</f>
        <v/>
      </c>
      <c r="G452">
        <f>""</f>
        <v/>
      </c>
      <c r="H452">
        <f>"High"</f>
        <v/>
      </c>
      <c r="I452">
        <f>TRIM(IF(LEN(IF(LEN(INDEX('Providers'!$F$4:$F$503,449))=0,"",INDEX('Providers'!$F$4:$F$503,449)))=0,"","License no.: "&amp;IF(LEN(INDEX('Providers'!$F$4:$F$503,449))=0,"",INDEX('Providers'!$F$4:$F$503,449))&amp;". ")&amp;IF(LEN(IF(LEN(INDEX('Providers'!$C$4:$C$503,449))=0,"",INDEX('Providers'!$C$4:$C$503,449)))=0,"","NPI: "&amp;IF(LEN(INDEX('Providers'!$C$4:$C$503,449))=0,"",INDEX('Providers'!$C$4:$C$503,449))&amp;". ")&amp;IF(LEN(IF(LEN(INDEX('Providers'!$D$4:$D$503,449))=0,"",INDEX('Providers'!$D$4:$D$503,449)))=0,"","Specialty: "&amp;IF(LEN(INDEX('Providers'!$D$4:$D$503,449))=0,"",INDEX('Providers'!$D$4:$D$503,449))&amp;". ")&amp;IF(LEN(IF(LEN(INDEX('Providers'!$AK$4:$AK$503,449))=0,"",INDEX('Providers'!$AK$4:$AK$503,449)))=0,"",IF(LEN(INDEX('Providers'!$AK$4:$AK$503,449))=0,"",INDEX('Providers'!$AK$4:$AK$503,449))))</f>
        <v/>
      </c>
      <c r="J452">
        <f>IF(LEN(INDEX('Providers'!$AJ$4:$AJ$503,449))=0,"",INDEX('Providers'!$AJ$4:$AJ$503,449))</f>
        <v/>
      </c>
      <c r="K452">
        <f>IF(LEN(INDEX('Providers'!$AI$4:$AI$503,449))=0,"",INDEX('Providers'!$AI$4:$AI$503,449))</f>
        <v/>
      </c>
    </row>
    <row r="453">
      <c r="A453">
        <f>IF(AND(LEN('Providers'!A453)&gt;0,ISNUMBER('Providers'!G453)),1,0)</f>
        <v/>
      </c>
      <c r="B453">
        <f>B452+A453</f>
        <v/>
      </c>
      <c r="C453">
        <f>IF(450&gt;$B$4503,"",MATCH(450-0.5,$B$3:$B$4503,1))</f>
        <v/>
      </c>
      <c r="D453">
        <f>"State license ("&amp;IF(LEN(INDEX('Providers'!$E$4:$E$503,450))=0,"",INDEX('Providers'!$E$4:$E$503,450))&amp;") – "&amp;IF(LEN(INDEX('Providers'!$A$4:$A$503,450))=0,"",INDEX('Providers'!$A$4:$A$503,450))</f>
        <v/>
      </c>
      <c r="E453">
        <f>IF(ISNUMBER(INDEX('Providers'!$G$4:$G$503,450)),TEXT(INDEX('Providers'!$G$4:$G$503,450),"yyyy-mm-dd"),"")</f>
        <v/>
      </c>
      <c r="F453">
        <f>"License"</f>
        <v/>
      </c>
      <c r="G453">
        <f>""</f>
        <v/>
      </c>
      <c r="H453">
        <f>"High"</f>
        <v/>
      </c>
      <c r="I453">
        <f>TRIM(IF(LEN(IF(LEN(INDEX('Providers'!$F$4:$F$503,450))=0,"",INDEX('Providers'!$F$4:$F$503,450)))=0,"","License no.: "&amp;IF(LEN(INDEX('Providers'!$F$4:$F$503,450))=0,"",INDEX('Providers'!$F$4:$F$503,450))&amp;". ")&amp;IF(LEN(IF(LEN(INDEX('Providers'!$C$4:$C$503,450))=0,"",INDEX('Providers'!$C$4:$C$503,450)))=0,"","NPI: "&amp;IF(LEN(INDEX('Providers'!$C$4:$C$503,450))=0,"",INDEX('Providers'!$C$4:$C$503,450))&amp;". ")&amp;IF(LEN(IF(LEN(INDEX('Providers'!$D$4:$D$503,450))=0,"",INDEX('Providers'!$D$4:$D$503,450)))=0,"","Specialty: "&amp;IF(LEN(INDEX('Providers'!$D$4:$D$503,450))=0,"",INDEX('Providers'!$D$4:$D$503,450))&amp;". ")&amp;IF(LEN(IF(LEN(INDEX('Providers'!$AK$4:$AK$503,450))=0,"",INDEX('Providers'!$AK$4:$AK$503,450)))=0,"",IF(LEN(INDEX('Providers'!$AK$4:$AK$503,450))=0,"",INDEX('Providers'!$AK$4:$AK$503,450))))</f>
        <v/>
      </c>
      <c r="J453">
        <f>IF(LEN(INDEX('Providers'!$AJ$4:$AJ$503,450))=0,"",INDEX('Providers'!$AJ$4:$AJ$503,450))</f>
        <v/>
      </c>
      <c r="K453">
        <f>IF(LEN(INDEX('Providers'!$AI$4:$AI$503,450))=0,"",INDEX('Providers'!$AI$4:$AI$503,450))</f>
        <v/>
      </c>
    </row>
    <row r="454">
      <c r="A454">
        <f>IF(AND(LEN('Providers'!A454)&gt;0,ISNUMBER('Providers'!G454)),1,0)</f>
        <v/>
      </c>
      <c r="B454">
        <f>B453+A454</f>
        <v/>
      </c>
      <c r="C454">
        <f>IF(451&gt;$B$4503,"",MATCH(451-0.5,$B$3:$B$4503,1))</f>
        <v/>
      </c>
      <c r="D454">
        <f>"State license ("&amp;IF(LEN(INDEX('Providers'!$E$4:$E$503,451))=0,"",INDEX('Providers'!$E$4:$E$503,451))&amp;") – "&amp;IF(LEN(INDEX('Providers'!$A$4:$A$503,451))=0,"",INDEX('Providers'!$A$4:$A$503,451))</f>
        <v/>
      </c>
      <c r="E454">
        <f>IF(ISNUMBER(INDEX('Providers'!$G$4:$G$503,451)),TEXT(INDEX('Providers'!$G$4:$G$503,451),"yyyy-mm-dd"),"")</f>
        <v/>
      </c>
      <c r="F454">
        <f>"License"</f>
        <v/>
      </c>
      <c r="G454">
        <f>""</f>
        <v/>
      </c>
      <c r="H454">
        <f>"High"</f>
        <v/>
      </c>
      <c r="I454">
        <f>TRIM(IF(LEN(IF(LEN(INDEX('Providers'!$F$4:$F$503,451))=0,"",INDEX('Providers'!$F$4:$F$503,451)))=0,"","License no.: "&amp;IF(LEN(INDEX('Providers'!$F$4:$F$503,451))=0,"",INDEX('Providers'!$F$4:$F$503,451))&amp;". ")&amp;IF(LEN(IF(LEN(INDEX('Providers'!$C$4:$C$503,451))=0,"",INDEX('Providers'!$C$4:$C$503,451)))=0,"","NPI: "&amp;IF(LEN(INDEX('Providers'!$C$4:$C$503,451))=0,"",INDEX('Providers'!$C$4:$C$503,451))&amp;". ")&amp;IF(LEN(IF(LEN(INDEX('Providers'!$D$4:$D$503,451))=0,"",INDEX('Providers'!$D$4:$D$503,451)))=0,"","Specialty: "&amp;IF(LEN(INDEX('Providers'!$D$4:$D$503,451))=0,"",INDEX('Providers'!$D$4:$D$503,451))&amp;". ")&amp;IF(LEN(IF(LEN(INDEX('Providers'!$AK$4:$AK$503,451))=0,"",INDEX('Providers'!$AK$4:$AK$503,451)))=0,"",IF(LEN(INDEX('Providers'!$AK$4:$AK$503,451))=0,"",INDEX('Providers'!$AK$4:$AK$503,451))))</f>
        <v/>
      </c>
      <c r="J454">
        <f>IF(LEN(INDEX('Providers'!$AJ$4:$AJ$503,451))=0,"",INDEX('Providers'!$AJ$4:$AJ$503,451))</f>
        <v/>
      </c>
      <c r="K454">
        <f>IF(LEN(INDEX('Providers'!$AI$4:$AI$503,451))=0,"",INDEX('Providers'!$AI$4:$AI$503,451))</f>
        <v/>
      </c>
    </row>
    <row r="455">
      <c r="A455">
        <f>IF(AND(LEN('Providers'!A455)&gt;0,ISNUMBER('Providers'!G455)),1,0)</f>
        <v/>
      </c>
      <c r="B455">
        <f>B454+A455</f>
        <v/>
      </c>
      <c r="C455">
        <f>IF(452&gt;$B$4503,"",MATCH(452-0.5,$B$3:$B$4503,1))</f>
        <v/>
      </c>
      <c r="D455">
        <f>"State license ("&amp;IF(LEN(INDEX('Providers'!$E$4:$E$503,452))=0,"",INDEX('Providers'!$E$4:$E$503,452))&amp;") – "&amp;IF(LEN(INDEX('Providers'!$A$4:$A$503,452))=0,"",INDEX('Providers'!$A$4:$A$503,452))</f>
        <v/>
      </c>
      <c r="E455">
        <f>IF(ISNUMBER(INDEX('Providers'!$G$4:$G$503,452)),TEXT(INDEX('Providers'!$G$4:$G$503,452),"yyyy-mm-dd"),"")</f>
        <v/>
      </c>
      <c r="F455">
        <f>"License"</f>
        <v/>
      </c>
      <c r="G455">
        <f>""</f>
        <v/>
      </c>
      <c r="H455">
        <f>"High"</f>
        <v/>
      </c>
      <c r="I455">
        <f>TRIM(IF(LEN(IF(LEN(INDEX('Providers'!$F$4:$F$503,452))=0,"",INDEX('Providers'!$F$4:$F$503,452)))=0,"","License no.: "&amp;IF(LEN(INDEX('Providers'!$F$4:$F$503,452))=0,"",INDEX('Providers'!$F$4:$F$503,452))&amp;". ")&amp;IF(LEN(IF(LEN(INDEX('Providers'!$C$4:$C$503,452))=0,"",INDEX('Providers'!$C$4:$C$503,452)))=0,"","NPI: "&amp;IF(LEN(INDEX('Providers'!$C$4:$C$503,452))=0,"",INDEX('Providers'!$C$4:$C$503,452))&amp;". ")&amp;IF(LEN(IF(LEN(INDEX('Providers'!$D$4:$D$503,452))=0,"",INDEX('Providers'!$D$4:$D$503,452)))=0,"","Specialty: "&amp;IF(LEN(INDEX('Providers'!$D$4:$D$503,452))=0,"",INDEX('Providers'!$D$4:$D$503,452))&amp;". ")&amp;IF(LEN(IF(LEN(INDEX('Providers'!$AK$4:$AK$503,452))=0,"",INDEX('Providers'!$AK$4:$AK$503,452)))=0,"",IF(LEN(INDEX('Providers'!$AK$4:$AK$503,452))=0,"",INDEX('Providers'!$AK$4:$AK$503,452))))</f>
        <v/>
      </c>
      <c r="J455">
        <f>IF(LEN(INDEX('Providers'!$AJ$4:$AJ$503,452))=0,"",INDEX('Providers'!$AJ$4:$AJ$503,452))</f>
        <v/>
      </c>
      <c r="K455">
        <f>IF(LEN(INDEX('Providers'!$AI$4:$AI$503,452))=0,"",INDEX('Providers'!$AI$4:$AI$503,452))</f>
        <v/>
      </c>
    </row>
    <row r="456">
      <c r="A456">
        <f>IF(AND(LEN('Providers'!A456)&gt;0,ISNUMBER('Providers'!G456)),1,0)</f>
        <v/>
      </c>
      <c r="B456">
        <f>B455+A456</f>
        <v/>
      </c>
      <c r="C456">
        <f>IF(453&gt;$B$4503,"",MATCH(453-0.5,$B$3:$B$4503,1))</f>
        <v/>
      </c>
      <c r="D456">
        <f>"State license ("&amp;IF(LEN(INDEX('Providers'!$E$4:$E$503,453))=0,"",INDEX('Providers'!$E$4:$E$503,453))&amp;") – "&amp;IF(LEN(INDEX('Providers'!$A$4:$A$503,453))=0,"",INDEX('Providers'!$A$4:$A$503,453))</f>
        <v/>
      </c>
      <c r="E456">
        <f>IF(ISNUMBER(INDEX('Providers'!$G$4:$G$503,453)),TEXT(INDEX('Providers'!$G$4:$G$503,453),"yyyy-mm-dd"),"")</f>
        <v/>
      </c>
      <c r="F456">
        <f>"License"</f>
        <v/>
      </c>
      <c r="G456">
        <f>""</f>
        <v/>
      </c>
      <c r="H456">
        <f>"High"</f>
        <v/>
      </c>
      <c r="I456">
        <f>TRIM(IF(LEN(IF(LEN(INDEX('Providers'!$F$4:$F$503,453))=0,"",INDEX('Providers'!$F$4:$F$503,453)))=0,"","License no.: "&amp;IF(LEN(INDEX('Providers'!$F$4:$F$503,453))=0,"",INDEX('Providers'!$F$4:$F$503,453))&amp;". ")&amp;IF(LEN(IF(LEN(INDEX('Providers'!$C$4:$C$503,453))=0,"",INDEX('Providers'!$C$4:$C$503,453)))=0,"","NPI: "&amp;IF(LEN(INDEX('Providers'!$C$4:$C$503,453))=0,"",INDEX('Providers'!$C$4:$C$503,453))&amp;". ")&amp;IF(LEN(IF(LEN(INDEX('Providers'!$D$4:$D$503,453))=0,"",INDEX('Providers'!$D$4:$D$503,453)))=0,"","Specialty: "&amp;IF(LEN(INDEX('Providers'!$D$4:$D$503,453))=0,"",INDEX('Providers'!$D$4:$D$503,453))&amp;". ")&amp;IF(LEN(IF(LEN(INDEX('Providers'!$AK$4:$AK$503,453))=0,"",INDEX('Providers'!$AK$4:$AK$503,453)))=0,"",IF(LEN(INDEX('Providers'!$AK$4:$AK$503,453))=0,"",INDEX('Providers'!$AK$4:$AK$503,453))))</f>
        <v/>
      </c>
      <c r="J456">
        <f>IF(LEN(INDEX('Providers'!$AJ$4:$AJ$503,453))=0,"",INDEX('Providers'!$AJ$4:$AJ$503,453))</f>
        <v/>
      </c>
      <c r="K456">
        <f>IF(LEN(INDEX('Providers'!$AI$4:$AI$503,453))=0,"",INDEX('Providers'!$AI$4:$AI$503,453))</f>
        <v/>
      </c>
    </row>
    <row r="457">
      <c r="A457">
        <f>IF(AND(LEN('Providers'!A457)&gt;0,ISNUMBER('Providers'!G457)),1,0)</f>
        <v/>
      </c>
      <c r="B457">
        <f>B456+A457</f>
        <v/>
      </c>
      <c r="C457">
        <f>IF(454&gt;$B$4503,"",MATCH(454-0.5,$B$3:$B$4503,1))</f>
        <v/>
      </c>
      <c r="D457">
        <f>"State license ("&amp;IF(LEN(INDEX('Providers'!$E$4:$E$503,454))=0,"",INDEX('Providers'!$E$4:$E$503,454))&amp;") – "&amp;IF(LEN(INDEX('Providers'!$A$4:$A$503,454))=0,"",INDEX('Providers'!$A$4:$A$503,454))</f>
        <v/>
      </c>
      <c r="E457">
        <f>IF(ISNUMBER(INDEX('Providers'!$G$4:$G$503,454)),TEXT(INDEX('Providers'!$G$4:$G$503,454),"yyyy-mm-dd"),"")</f>
        <v/>
      </c>
      <c r="F457">
        <f>"License"</f>
        <v/>
      </c>
      <c r="G457">
        <f>""</f>
        <v/>
      </c>
      <c r="H457">
        <f>"High"</f>
        <v/>
      </c>
      <c r="I457">
        <f>TRIM(IF(LEN(IF(LEN(INDEX('Providers'!$F$4:$F$503,454))=0,"",INDEX('Providers'!$F$4:$F$503,454)))=0,"","License no.: "&amp;IF(LEN(INDEX('Providers'!$F$4:$F$503,454))=0,"",INDEX('Providers'!$F$4:$F$503,454))&amp;". ")&amp;IF(LEN(IF(LEN(INDEX('Providers'!$C$4:$C$503,454))=0,"",INDEX('Providers'!$C$4:$C$503,454)))=0,"","NPI: "&amp;IF(LEN(INDEX('Providers'!$C$4:$C$503,454))=0,"",INDEX('Providers'!$C$4:$C$503,454))&amp;". ")&amp;IF(LEN(IF(LEN(INDEX('Providers'!$D$4:$D$503,454))=0,"",INDEX('Providers'!$D$4:$D$503,454)))=0,"","Specialty: "&amp;IF(LEN(INDEX('Providers'!$D$4:$D$503,454))=0,"",INDEX('Providers'!$D$4:$D$503,454))&amp;". ")&amp;IF(LEN(IF(LEN(INDEX('Providers'!$AK$4:$AK$503,454))=0,"",INDEX('Providers'!$AK$4:$AK$503,454)))=0,"",IF(LEN(INDEX('Providers'!$AK$4:$AK$503,454))=0,"",INDEX('Providers'!$AK$4:$AK$503,454))))</f>
        <v/>
      </c>
      <c r="J457">
        <f>IF(LEN(INDEX('Providers'!$AJ$4:$AJ$503,454))=0,"",INDEX('Providers'!$AJ$4:$AJ$503,454))</f>
        <v/>
      </c>
      <c r="K457">
        <f>IF(LEN(INDEX('Providers'!$AI$4:$AI$503,454))=0,"",INDEX('Providers'!$AI$4:$AI$503,454))</f>
        <v/>
      </c>
    </row>
    <row r="458">
      <c r="A458">
        <f>IF(AND(LEN('Providers'!A458)&gt;0,ISNUMBER('Providers'!G458)),1,0)</f>
        <v/>
      </c>
      <c r="B458">
        <f>B457+A458</f>
        <v/>
      </c>
      <c r="C458">
        <f>IF(455&gt;$B$4503,"",MATCH(455-0.5,$B$3:$B$4503,1))</f>
        <v/>
      </c>
      <c r="D458">
        <f>"State license ("&amp;IF(LEN(INDEX('Providers'!$E$4:$E$503,455))=0,"",INDEX('Providers'!$E$4:$E$503,455))&amp;") – "&amp;IF(LEN(INDEX('Providers'!$A$4:$A$503,455))=0,"",INDEX('Providers'!$A$4:$A$503,455))</f>
        <v/>
      </c>
      <c r="E458">
        <f>IF(ISNUMBER(INDEX('Providers'!$G$4:$G$503,455)),TEXT(INDEX('Providers'!$G$4:$G$503,455),"yyyy-mm-dd"),"")</f>
        <v/>
      </c>
      <c r="F458">
        <f>"License"</f>
        <v/>
      </c>
      <c r="G458">
        <f>""</f>
        <v/>
      </c>
      <c r="H458">
        <f>"High"</f>
        <v/>
      </c>
      <c r="I458">
        <f>TRIM(IF(LEN(IF(LEN(INDEX('Providers'!$F$4:$F$503,455))=0,"",INDEX('Providers'!$F$4:$F$503,455)))=0,"","License no.: "&amp;IF(LEN(INDEX('Providers'!$F$4:$F$503,455))=0,"",INDEX('Providers'!$F$4:$F$503,455))&amp;". ")&amp;IF(LEN(IF(LEN(INDEX('Providers'!$C$4:$C$503,455))=0,"",INDEX('Providers'!$C$4:$C$503,455)))=0,"","NPI: "&amp;IF(LEN(INDEX('Providers'!$C$4:$C$503,455))=0,"",INDEX('Providers'!$C$4:$C$503,455))&amp;". ")&amp;IF(LEN(IF(LEN(INDEX('Providers'!$D$4:$D$503,455))=0,"",INDEX('Providers'!$D$4:$D$503,455)))=0,"","Specialty: "&amp;IF(LEN(INDEX('Providers'!$D$4:$D$503,455))=0,"",INDEX('Providers'!$D$4:$D$503,455))&amp;". ")&amp;IF(LEN(IF(LEN(INDEX('Providers'!$AK$4:$AK$503,455))=0,"",INDEX('Providers'!$AK$4:$AK$503,455)))=0,"",IF(LEN(INDEX('Providers'!$AK$4:$AK$503,455))=0,"",INDEX('Providers'!$AK$4:$AK$503,455))))</f>
        <v/>
      </c>
      <c r="J458">
        <f>IF(LEN(INDEX('Providers'!$AJ$4:$AJ$503,455))=0,"",INDEX('Providers'!$AJ$4:$AJ$503,455))</f>
        <v/>
      </c>
      <c r="K458">
        <f>IF(LEN(INDEX('Providers'!$AI$4:$AI$503,455))=0,"",INDEX('Providers'!$AI$4:$AI$503,455))</f>
        <v/>
      </c>
    </row>
    <row r="459">
      <c r="A459">
        <f>IF(AND(LEN('Providers'!A459)&gt;0,ISNUMBER('Providers'!G459)),1,0)</f>
        <v/>
      </c>
      <c r="B459">
        <f>B458+A459</f>
        <v/>
      </c>
      <c r="C459">
        <f>IF(456&gt;$B$4503,"",MATCH(456-0.5,$B$3:$B$4503,1))</f>
        <v/>
      </c>
      <c r="D459">
        <f>"State license ("&amp;IF(LEN(INDEX('Providers'!$E$4:$E$503,456))=0,"",INDEX('Providers'!$E$4:$E$503,456))&amp;") – "&amp;IF(LEN(INDEX('Providers'!$A$4:$A$503,456))=0,"",INDEX('Providers'!$A$4:$A$503,456))</f>
        <v/>
      </c>
      <c r="E459">
        <f>IF(ISNUMBER(INDEX('Providers'!$G$4:$G$503,456)),TEXT(INDEX('Providers'!$G$4:$G$503,456),"yyyy-mm-dd"),"")</f>
        <v/>
      </c>
      <c r="F459">
        <f>"License"</f>
        <v/>
      </c>
      <c r="G459">
        <f>""</f>
        <v/>
      </c>
      <c r="H459">
        <f>"High"</f>
        <v/>
      </c>
      <c r="I459">
        <f>TRIM(IF(LEN(IF(LEN(INDEX('Providers'!$F$4:$F$503,456))=0,"",INDEX('Providers'!$F$4:$F$503,456)))=0,"","License no.: "&amp;IF(LEN(INDEX('Providers'!$F$4:$F$503,456))=0,"",INDEX('Providers'!$F$4:$F$503,456))&amp;". ")&amp;IF(LEN(IF(LEN(INDEX('Providers'!$C$4:$C$503,456))=0,"",INDEX('Providers'!$C$4:$C$503,456)))=0,"","NPI: "&amp;IF(LEN(INDEX('Providers'!$C$4:$C$503,456))=0,"",INDEX('Providers'!$C$4:$C$503,456))&amp;". ")&amp;IF(LEN(IF(LEN(INDEX('Providers'!$D$4:$D$503,456))=0,"",INDEX('Providers'!$D$4:$D$503,456)))=0,"","Specialty: "&amp;IF(LEN(INDEX('Providers'!$D$4:$D$503,456))=0,"",INDEX('Providers'!$D$4:$D$503,456))&amp;". ")&amp;IF(LEN(IF(LEN(INDEX('Providers'!$AK$4:$AK$503,456))=0,"",INDEX('Providers'!$AK$4:$AK$503,456)))=0,"",IF(LEN(INDEX('Providers'!$AK$4:$AK$503,456))=0,"",INDEX('Providers'!$AK$4:$AK$503,456))))</f>
        <v/>
      </c>
      <c r="J459">
        <f>IF(LEN(INDEX('Providers'!$AJ$4:$AJ$503,456))=0,"",INDEX('Providers'!$AJ$4:$AJ$503,456))</f>
        <v/>
      </c>
      <c r="K459">
        <f>IF(LEN(INDEX('Providers'!$AI$4:$AI$503,456))=0,"",INDEX('Providers'!$AI$4:$AI$503,456))</f>
        <v/>
      </c>
    </row>
    <row r="460">
      <c r="A460">
        <f>IF(AND(LEN('Providers'!A460)&gt;0,ISNUMBER('Providers'!G460)),1,0)</f>
        <v/>
      </c>
      <c r="B460">
        <f>B459+A460</f>
        <v/>
      </c>
      <c r="C460">
        <f>IF(457&gt;$B$4503,"",MATCH(457-0.5,$B$3:$B$4503,1))</f>
        <v/>
      </c>
      <c r="D460">
        <f>"State license ("&amp;IF(LEN(INDEX('Providers'!$E$4:$E$503,457))=0,"",INDEX('Providers'!$E$4:$E$503,457))&amp;") – "&amp;IF(LEN(INDEX('Providers'!$A$4:$A$503,457))=0,"",INDEX('Providers'!$A$4:$A$503,457))</f>
        <v/>
      </c>
      <c r="E460">
        <f>IF(ISNUMBER(INDEX('Providers'!$G$4:$G$503,457)),TEXT(INDEX('Providers'!$G$4:$G$503,457),"yyyy-mm-dd"),"")</f>
        <v/>
      </c>
      <c r="F460">
        <f>"License"</f>
        <v/>
      </c>
      <c r="G460">
        <f>""</f>
        <v/>
      </c>
      <c r="H460">
        <f>"High"</f>
        <v/>
      </c>
      <c r="I460">
        <f>TRIM(IF(LEN(IF(LEN(INDEX('Providers'!$F$4:$F$503,457))=0,"",INDEX('Providers'!$F$4:$F$503,457)))=0,"","License no.: "&amp;IF(LEN(INDEX('Providers'!$F$4:$F$503,457))=0,"",INDEX('Providers'!$F$4:$F$503,457))&amp;". ")&amp;IF(LEN(IF(LEN(INDEX('Providers'!$C$4:$C$503,457))=0,"",INDEX('Providers'!$C$4:$C$503,457)))=0,"","NPI: "&amp;IF(LEN(INDEX('Providers'!$C$4:$C$503,457))=0,"",INDEX('Providers'!$C$4:$C$503,457))&amp;". ")&amp;IF(LEN(IF(LEN(INDEX('Providers'!$D$4:$D$503,457))=0,"",INDEX('Providers'!$D$4:$D$503,457)))=0,"","Specialty: "&amp;IF(LEN(INDEX('Providers'!$D$4:$D$503,457))=0,"",INDEX('Providers'!$D$4:$D$503,457))&amp;". ")&amp;IF(LEN(IF(LEN(INDEX('Providers'!$AK$4:$AK$503,457))=0,"",INDEX('Providers'!$AK$4:$AK$503,457)))=0,"",IF(LEN(INDEX('Providers'!$AK$4:$AK$503,457))=0,"",INDEX('Providers'!$AK$4:$AK$503,457))))</f>
        <v/>
      </c>
      <c r="J460">
        <f>IF(LEN(INDEX('Providers'!$AJ$4:$AJ$503,457))=0,"",INDEX('Providers'!$AJ$4:$AJ$503,457))</f>
        <v/>
      </c>
      <c r="K460">
        <f>IF(LEN(INDEX('Providers'!$AI$4:$AI$503,457))=0,"",INDEX('Providers'!$AI$4:$AI$503,457))</f>
        <v/>
      </c>
    </row>
    <row r="461">
      <c r="A461">
        <f>IF(AND(LEN('Providers'!A461)&gt;0,ISNUMBER('Providers'!G461)),1,0)</f>
        <v/>
      </c>
      <c r="B461">
        <f>B460+A461</f>
        <v/>
      </c>
      <c r="C461">
        <f>IF(458&gt;$B$4503,"",MATCH(458-0.5,$B$3:$B$4503,1))</f>
        <v/>
      </c>
      <c r="D461">
        <f>"State license ("&amp;IF(LEN(INDEX('Providers'!$E$4:$E$503,458))=0,"",INDEX('Providers'!$E$4:$E$503,458))&amp;") – "&amp;IF(LEN(INDEX('Providers'!$A$4:$A$503,458))=0,"",INDEX('Providers'!$A$4:$A$503,458))</f>
        <v/>
      </c>
      <c r="E461">
        <f>IF(ISNUMBER(INDEX('Providers'!$G$4:$G$503,458)),TEXT(INDEX('Providers'!$G$4:$G$503,458),"yyyy-mm-dd"),"")</f>
        <v/>
      </c>
      <c r="F461">
        <f>"License"</f>
        <v/>
      </c>
      <c r="G461">
        <f>""</f>
        <v/>
      </c>
      <c r="H461">
        <f>"High"</f>
        <v/>
      </c>
      <c r="I461">
        <f>TRIM(IF(LEN(IF(LEN(INDEX('Providers'!$F$4:$F$503,458))=0,"",INDEX('Providers'!$F$4:$F$503,458)))=0,"","License no.: "&amp;IF(LEN(INDEX('Providers'!$F$4:$F$503,458))=0,"",INDEX('Providers'!$F$4:$F$503,458))&amp;". ")&amp;IF(LEN(IF(LEN(INDEX('Providers'!$C$4:$C$503,458))=0,"",INDEX('Providers'!$C$4:$C$503,458)))=0,"","NPI: "&amp;IF(LEN(INDEX('Providers'!$C$4:$C$503,458))=0,"",INDEX('Providers'!$C$4:$C$503,458))&amp;". ")&amp;IF(LEN(IF(LEN(INDEX('Providers'!$D$4:$D$503,458))=0,"",INDEX('Providers'!$D$4:$D$503,458)))=0,"","Specialty: "&amp;IF(LEN(INDEX('Providers'!$D$4:$D$503,458))=0,"",INDEX('Providers'!$D$4:$D$503,458))&amp;". ")&amp;IF(LEN(IF(LEN(INDEX('Providers'!$AK$4:$AK$503,458))=0,"",INDEX('Providers'!$AK$4:$AK$503,458)))=0,"",IF(LEN(INDEX('Providers'!$AK$4:$AK$503,458))=0,"",INDEX('Providers'!$AK$4:$AK$503,458))))</f>
        <v/>
      </c>
      <c r="J461">
        <f>IF(LEN(INDEX('Providers'!$AJ$4:$AJ$503,458))=0,"",INDEX('Providers'!$AJ$4:$AJ$503,458))</f>
        <v/>
      </c>
      <c r="K461">
        <f>IF(LEN(INDEX('Providers'!$AI$4:$AI$503,458))=0,"",INDEX('Providers'!$AI$4:$AI$503,458))</f>
        <v/>
      </c>
    </row>
    <row r="462">
      <c r="A462">
        <f>IF(AND(LEN('Providers'!A462)&gt;0,ISNUMBER('Providers'!G462)),1,0)</f>
        <v/>
      </c>
      <c r="B462">
        <f>B461+A462</f>
        <v/>
      </c>
      <c r="C462">
        <f>IF(459&gt;$B$4503,"",MATCH(459-0.5,$B$3:$B$4503,1))</f>
        <v/>
      </c>
      <c r="D462">
        <f>"State license ("&amp;IF(LEN(INDEX('Providers'!$E$4:$E$503,459))=0,"",INDEX('Providers'!$E$4:$E$503,459))&amp;") – "&amp;IF(LEN(INDEX('Providers'!$A$4:$A$503,459))=0,"",INDEX('Providers'!$A$4:$A$503,459))</f>
        <v/>
      </c>
      <c r="E462">
        <f>IF(ISNUMBER(INDEX('Providers'!$G$4:$G$503,459)),TEXT(INDEX('Providers'!$G$4:$G$503,459),"yyyy-mm-dd"),"")</f>
        <v/>
      </c>
      <c r="F462">
        <f>"License"</f>
        <v/>
      </c>
      <c r="G462">
        <f>""</f>
        <v/>
      </c>
      <c r="H462">
        <f>"High"</f>
        <v/>
      </c>
      <c r="I462">
        <f>TRIM(IF(LEN(IF(LEN(INDEX('Providers'!$F$4:$F$503,459))=0,"",INDEX('Providers'!$F$4:$F$503,459)))=0,"","License no.: "&amp;IF(LEN(INDEX('Providers'!$F$4:$F$503,459))=0,"",INDEX('Providers'!$F$4:$F$503,459))&amp;". ")&amp;IF(LEN(IF(LEN(INDEX('Providers'!$C$4:$C$503,459))=0,"",INDEX('Providers'!$C$4:$C$503,459)))=0,"","NPI: "&amp;IF(LEN(INDEX('Providers'!$C$4:$C$503,459))=0,"",INDEX('Providers'!$C$4:$C$503,459))&amp;". ")&amp;IF(LEN(IF(LEN(INDEX('Providers'!$D$4:$D$503,459))=0,"",INDEX('Providers'!$D$4:$D$503,459)))=0,"","Specialty: "&amp;IF(LEN(INDEX('Providers'!$D$4:$D$503,459))=0,"",INDEX('Providers'!$D$4:$D$503,459))&amp;". ")&amp;IF(LEN(IF(LEN(INDEX('Providers'!$AK$4:$AK$503,459))=0,"",INDEX('Providers'!$AK$4:$AK$503,459)))=0,"",IF(LEN(INDEX('Providers'!$AK$4:$AK$503,459))=0,"",INDEX('Providers'!$AK$4:$AK$503,459))))</f>
        <v/>
      </c>
      <c r="J462">
        <f>IF(LEN(INDEX('Providers'!$AJ$4:$AJ$503,459))=0,"",INDEX('Providers'!$AJ$4:$AJ$503,459))</f>
        <v/>
      </c>
      <c r="K462">
        <f>IF(LEN(INDEX('Providers'!$AI$4:$AI$503,459))=0,"",INDEX('Providers'!$AI$4:$AI$503,459))</f>
        <v/>
      </c>
    </row>
    <row r="463">
      <c r="A463">
        <f>IF(AND(LEN('Providers'!A463)&gt;0,ISNUMBER('Providers'!G463)),1,0)</f>
        <v/>
      </c>
      <c r="B463">
        <f>B462+A463</f>
        <v/>
      </c>
      <c r="C463">
        <f>IF(460&gt;$B$4503,"",MATCH(460-0.5,$B$3:$B$4503,1))</f>
        <v/>
      </c>
      <c r="D463">
        <f>"State license ("&amp;IF(LEN(INDEX('Providers'!$E$4:$E$503,460))=0,"",INDEX('Providers'!$E$4:$E$503,460))&amp;") – "&amp;IF(LEN(INDEX('Providers'!$A$4:$A$503,460))=0,"",INDEX('Providers'!$A$4:$A$503,460))</f>
        <v/>
      </c>
      <c r="E463">
        <f>IF(ISNUMBER(INDEX('Providers'!$G$4:$G$503,460)),TEXT(INDEX('Providers'!$G$4:$G$503,460),"yyyy-mm-dd"),"")</f>
        <v/>
      </c>
      <c r="F463">
        <f>"License"</f>
        <v/>
      </c>
      <c r="G463">
        <f>""</f>
        <v/>
      </c>
      <c r="H463">
        <f>"High"</f>
        <v/>
      </c>
      <c r="I463">
        <f>TRIM(IF(LEN(IF(LEN(INDEX('Providers'!$F$4:$F$503,460))=0,"",INDEX('Providers'!$F$4:$F$503,460)))=0,"","License no.: "&amp;IF(LEN(INDEX('Providers'!$F$4:$F$503,460))=0,"",INDEX('Providers'!$F$4:$F$503,460))&amp;". ")&amp;IF(LEN(IF(LEN(INDEX('Providers'!$C$4:$C$503,460))=0,"",INDEX('Providers'!$C$4:$C$503,460)))=0,"","NPI: "&amp;IF(LEN(INDEX('Providers'!$C$4:$C$503,460))=0,"",INDEX('Providers'!$C$4:$C$503,460))&amp;". ")&amp;IF(LEN(IF(LEN(INDEX('Providers'!$D$4:$D$503,460))=0,"",INDEX('Providers'!$D$4:$D$503,460)))=0,"","Specialty: "&amp;IF(LEN(INDEX('Providers'!$D$4:$D$503,460))=0,"",INDEX('Providers'!$D$4:$D$503,460))&amp;". ")&amp;IF(LEN(IF(LEN(INDEX('Providers'!$AK$4:$AK$503,460))=0,"",INDEX('Providers'!$AK$4:$AK$503,460)))=0,"",IF(LEN(INDEX('Providers'!$AK$4:$AK$503,460))=0,"",INDEX('Providers'!$AK$4:$AK$503,460))))</f>
        <v/>
      </c>
      <c r="J463">
        <f>IF(LEN(INDEX('Providers'!$AJ$4:$AJ$503,460))=0,"",INDEX('Providers'!$AJ$4:$AJ$503,460))</f>
        <v/>
      </c>
      <c r="K463">
        <f>IF(LEN(INDEX('Providers'!$AI$4:$AI$503,460))=0,"",INDEX('Providers'!$AI$4:$AI$503,460))</f>
        <v/>
      </c>
    </row>
    <row r="464">
      <c r="A464">
        <f>IF(AND(LEN('Providers'!A464)&gt;0,ISNUMBER('Providers'!G464)),1,0)</f>
        <v/>
      </c>
      <c r="B464">
        <f>B463+A464</f>
        <v/>
      </c>
      <c r="C464">
        <f>IF(461&gt;$B$4503,"",MATCH(461-0.5,$B$3:$B$4503,1))</f>
        <v/>
      </c>
      <c r="D464">
        <f>"State license ("&amp;IF(LEN(INDEX('Providers'!$E$4:$E$503,461))=0,"",INDEX('Providers'!$E$4:$E$503,461))&amp;") – "&amp;IF(LEN(INDEX('Providers'!$A$4:$A$503,461))=0,"",INDEX('Providers'!$A$4:$A$503,461))</f>
        <v/>
      </c>
      <c r="E464">
        <f>IF(ISNUMBER(INDEX('Providers'!$G$4:$G$503,461)),TEXT(INDEX('Providers'!$G$4:$G$503,461),"yyyy-mm-dd"),"")</f>
        <v/>
      </c>
      <c r="F464">
        <f>"License"</f>
        <v/>
      </c>
      <c r="G464">
        <f>""</f>
        <v/>
      </c>
      <c r="H464">
        <f>"High"</f>
        <v/>
      </c>
      <c r="I464">
        <f>TRIM(IF(LEN(IF(LEN(INDEX('Providers'!$F$4:$F$503,461))=0,"",INDEX('Providers'!$F$4:$F$503,461)))=0,"","License no.: "&amp;IF(LEN(INDEX('Providers'!$F$4:$F$503,461))=0,"",INDEX('Providers'!$F$4:$F$503,461))&amp;". ")&amp;IF(LEN(IF(LEN(INDEX('Providers'!$C$4:$C$503,461))=0,"",INDEX('Providers'!$C$4:$C$503,461)))=0,"","NPI: "&amp;IF(LEN(INDEX('Providers'!$C$4:$C$503,461))=0,"",INDEX('Providers'!$C$4:$C$503,461))&amp;". ")&amp;IF(LEN(IF(LEN(INDEX('Providers'!$D$4:$D$503,461))=0,"",INDEX('Providers'!$D$4:$D$503,461)))=0,"","Specialty: "&amp;IF(LEN(INDEX('Providers'!$D$4:$D$503,461))=0,"",INDEX('Providers'!$D$4:$D$503,461))&amp;". ")&amp;IF(LEN(IF(LEN(INDEX('Providers'!$AK$4:$AK$503,461))=0,"",INDEX('Providers'!$AK$4:$AK$503,461)))=0,"",IF(LEN(INDEX('Providers'!$AK$4:$AK$503,461))=0,"",INDEX('Providers'!$AK$4:$AK$503,461))))</f>
        <v/>
      </c>
      <c r="J464">
        <f>IF(LEN(INDEX('Providers'!$AJ$4:$AJ$503,461))=0,"",INDEX('Providers'!$AJ$4:$AJ$503,461))</f>
        <v/>
      </c>
      <c r="K464">
        <f>IF(LEN(INDEX('Providers'!$AI$4:$AI$503,461))=0,"",INDEX('Providers'!$AI$4:$AI$503,461))</f>
        <v/>
      </c>
    </row>
    <row r="465">
      <c r="A465">
        <f>IF(AND(LEN('Providers'!A465)&gt;0,ISNUMBER('Providers'!G465)),1,0)</f>
        <v/>
      </c>
      <c r="B465">
        <f>B464+A465</f>
        <v/>
      </c>
      <c r="C465">
        <f>IF(462&gt;$B$4503,"",MATCH(462-0.5,$B$3:$B$4503,1))</f>
        <v/>
      </c>
      <c r="D465">
        <f>"State license ("&amp;IF(LEN(INDEX('Providers'!$E$4:$E$503,462))=0,"",INDEX('Providers'!$E$4:$E$503,462))&amp;") – "&amp;IF(LEN(INDEX('Providers'!$A$4:$A$503,462))=0,"",INDEX('Providers'!$A$4:$A$503,462))</f>
        <v/>
      </c>
      <c r="E465">
        <f>IF(ISNUMBER(INDEX('Providers'!$G$4:$G$503,462)),TEXT(INDEX('Providers'!$G$4:$G$503,462),"yyyy-mm-dd"),"")</f>
        <v/>
      </c>
      <c r="F465">
        <f>"License"</f>
        <v/>
      </c>
      <c r="G465">
        <f>""</f>
        <v/>
      </c>
      <c r="H465">
        <f>"High"</f>
        <v/>
      </c>
      <c r="I465">
        <f>TRIM(IF(LEN(IF(LEN(INDEX('Providers'!$F$4:$F$503,462))=0,"",INDEX('Providers'!$F$4:$F$503,462)))=0,"","License no.: "&amp;IF(LEN(INDEX('Providers'!$F$4:$F$503,462))=0,"",INDEX('Providers'!$F$4:$F$503,462))&amp;". ")&amp;IF(LEN(IF(LEN(INDEX('Providers'!$C$4:$C$503,462))=0,"",INDEX('Providers'!$C$4:$C$503,462)))=0,"","NPI: "&amp;IF(LEN(INDEX('Providers'!$C$4:$C$503,462))=0,"",INDEX('Providers'!$C$4:$C$503,462))&amp;". ")&amp;IF(LEN(IF(LEN(INDEX('Providers'!$D$4:$D$503,462))=0,"",INDEX('Providers'!$D$4:$D$503,462)))=0,"","Specialty: "&amp;IF(LEN(INDEX('Providers'!$D$4:$D$503,462))=0,"",INDEX('Providers'!$D$4:$D$503,462))&amp;". ")&amp;IF(LEN(IF(LEN(INDEX('Providers'!$AK$4:$AK$503,462))=0,"",INDEX('Providers'!$AK$4:$AK$503,462)))=0,"",IF(LEN(INDEX('Providers'!$AK$4:$AK$503,462))=0,"",INDEX('Providers'!$AK$4:$AK$503,462))))</f>
        <v/>
      </c>
      <c r="J465">
        <f>IF(LEN(INDEX('Providers'!$AJ$4:$AJ$503,462))=0,"",INDEX('Providers'!$AJ$4:$AJ$503,462))</f>
        <v/>
      </c>
      <c r="K465">
        <f>IF(LEN(INDEX('Providers'!$AI$4:$AI$503,462))=0,"",INDEX('Providers'!$AI$4:$AI$503,462))</f>
        <v/>
      </c>
    </row>
    <row r="466">
      <c r="A466">
        <f>IF(AND(LEN('Providers'!A466)&gt;0,ISNUMBER('Providers'!G466)),1,0)</f>
        <v/>
      </c>
      <c r="B466">
        <f>B465+A466</f>
        <v/>
      </c>
      <c r="C466">
        <f>IF(463&gt;$B$4503,"",MATCH(463-0.5,$B$3:$B$4503,1))</f>
        <v/>
      </c>
      <c r="D466">
        <f>"State license ("&amp;IF(LEN(INDEX('Providers'!$E$4:$E$503,463))=0,"",INDEX('Providers'!$E$4:$E$503,463))&amp;") – "&amp;IF(LEN(INDEX('Providers'!$A$4:$A$503,463))=0,"",INDEX('Providers'!$A$4:$A$503,463))</f>
        <v/>
      </c>
      <c r="E466">
        <f>IF(ISNUMBER(INDEX('Providers'!$G$4:$G$503,463)),TEXT(INDEX('Providers'!$G$4:$G$503,463),"yyyy-mm-dd"),"")</f>
        <v/>
      </c>
      <c r="F466">
        <f>"License"</f>
        <v/>
      </c>
      <c r="G466">
        <f>""</f>
        <v/>
      </c>
      <c r="H466">
        <f>"High"</f>
        <v/>
      </c>
      <c r="I466">
        <f>TRIM(IF(LEN(IF(LEN(INDEX('Providers'!$F$4:$F$503,463))=0,"",INDEX('Providers'!$F$4:$F$503,463)))=0,"","License no.: "&amp;IF(LEN(INDEX('Providers'!$F$4:$F$503,463))=0,"",INDEX('Providers'!$F$4:$F$503,463))&amp;". ")&amp;IF(LEN(IF(LEN(INDEX('Providers'!$C$4:$C$503,463))=0,"",INDEX('Providers'!$C$4:$C$503,463)))=0,"","NPI: "&amp;IF(LEN(INDEX('Providers'!$C$4:$C$503,463))=0,"",INDEX('Providers'!$C$4:$C$503,463))&amp;". ")&amp;IF(LEN(IF(LEN(INDEX('Providers'!$D$4:$D$503,463))=0,"",INDEX('Providers'!$D$4:$D$503,463)))=0,"","Specialty: "&amp;IF(LEN(INDEX('Providers'!$D$4:$D$503,463))=0,"",INDEX('Providers'!$D$4:$D$503,463))&amp;". ")&amp;IF(LEN(IF(LEN(INDEX('Providers'!$AK$4:$AK$503,463))=0,"",INDEX('Providers'!$AK$4:$AK$503,463)))=0,"",IF(LEN(INDEX('Providers'!$AK$4:$AK$503,463))=0,"",INDEX('Providers'!$AK$4:$AK$503,463))))</f>
        <v/>
      </c>
      <c r="J466">
        <f>IF(LEN(INDEX('Providers'!$AJ$4:$AJ$503,463))=0,"",INDEX('Providers'!$AJ$4:$AJ$503,463))</f>
        <v/>
      </c>
      <c r="K466">
        <f>IF(LEN(INDEX('Providers'!$AI$4:$AI$503,463))=0,"",INDEX('Providers'!$AI$4:$AI$503,463))</f>
        <v/>
      </c>
    </row>
    <row r="467">
      <c r="A467">
        <f>IF(AND(LEN('Providers'!A467)&gt;0,ISNUMBER('Providers'!G467)),1,0)</f>
        <v/>
      </c>
      <c r="B467">
        <f>B466+A467</f>
        <v/>
      </c>
      <c r="C467">
        <f>IF(464&gt;$B$4503,"",MATCH(464-0.5,$B$3:$B$4503,1))</f>
        <v/>
      </c>
      <c r="D467">
        <f>"State license ("&amp;IF(LEN(INDEX('Providers'!$E$4:$E$503,464))=0,"",INDEX('Providers'!$E$4:$E$503,464))&amp;") – "&amp;IF(LEN(INDEX('Providers'!$A$4:$A$503,464))=0,"",INDEX('Providers'!$A$4:$A$503,464))</f>
        <v/>
      </c>
      <c r="E467">
        <f>IF(ISNUMBER(INDEX('Providers'!$G$4:$G$503,464)),TEXT(INDEX('Providers'!$G$4:$G$503,464),"yyyy-mm-dd"),"")</f>
        <v/>
      </c>
      <c r="F467">
        <f>"License"</f>
        <v/>
      </c>
      <c r="G467">
        <f>""</f>
        <v/>
      </c>
      <c r="H467">
        <f>"High"</f>
        <v/>
      </c>
      <c r="I467">
        <f>TRIM(IF(LEN(IF(LEN(INDEX('Providers'!$F$4:$F$503,464))=0,"",INDEX('Providers'!$F$4:$F$503,464)))=0,"","License no.: "&amp;IF(LEN(INDEX('Providers'!$F$4:$F$503,464))=0,"",INDEX('Providers'!$F$4:$F$503,464))&amp;". ")&amp;IF(LEN(IF(LEN(INDEX('Providers'!$C$4:$C$503,464))=0,"",INDEX('Providers'!$C$4:$C$503,464)))=0,"","NPI: "&amp;IF(LEN(INDEX('Providers'!$C$4:$C$503,464))=0,"",INDEX('Providers'!$C$4:$C$503,464))&amp;". ")&amp;IF(LEN(IF(LEN(INDEX('Providers'!$D$4:$D$503,464))=0,"",INDEX('Providers'!$D$4:$D$503,464)))=0,"","Specialty: "&amp;IF(LEN(INDEX('Providers'!$D$4:$D$503,464))=0,"",INDEX('Providers'!$D$4:$D$503,464))&amp;". ")&amp;IF(LEN(IF(LEN(INDEX('Providers'!$AK$4:$AK$503,464))=0,"",INDEX('Providers'!$AK$4:$AK$503,464)))=0,"",IF(LEN(INDEX('Providers'!$AK$4:$AK$503,464))=0,"",INDEX('Providers'!$AK$4:$AK$503,464))))</f>
        <v/>
      </c>
      <c r="J467">
        <f>IF(LEN(INDEX('Providers'!$AJ$4:$AJ$503,464))=0,"",INDEX('Providers'!$AJ$4:$AJ$503,464))</f>
        <v/>
      </c>
      <c r="K467">
        <f>IF(LEN(INDEX('Providers'!$AI$4:$AI$503,464))=0,"",INDEX('Providers'!$AI$4:$AI$503,464))</f>
        <v/>
      </c>
    </row>
    <row r="468">
      <c r="A468">
        <f>IF(AND(LEN('Providers'!A468)&gt;0,ISNUMBER('Providers'!G468)),1,0)</f>
        <v/>
      </c>
      <c r="B468">
        <f>B467+A468</f>
        <v/>
      </c>
      <c r="C468">
        <f>IF(465&gt;$B$4503,"",MATCH(465-0.5,$B$3:$B$4503,1))</f>
        <v/>
      </c>
      <c r="D468">
        <f>"State license ("&amp;IF(LEN(INDEX('Providers'!$E$4:$E$503,465))=0,"",INDEX('Providers'!$E$4:$E$503,465))&amp;") – "&amp;IF(LEN(INDEX('Providers'!$A$4:$A$503,465))=0,"",INDEX('Providers'!$A$4:$A$503,465))</f>
        <v/>
      </c>
      <c r="E468">
        <f>IF(ISNUMBER(INDEX('Providers'!$G$4:$G$503,465)),TEXT(INDEX('Providers'!$G$4:$G$503,465),"yyyy-mm-dd"),"")</f>
        <v/>
      </c>
      <c r="F468">
        <f>"License"</f>
        <v/>
      </c>
      <c r="G468">
        <f>""</f>
        <v/>
      </c>
      <c r="H468">
        <f>"High"</f>
        <v/>
      </c>
      <c r="I468">
        <f>TRIM(IF(LEN(IF(LEN(INDEX('Providers'!$F$4:$F$503,465))=0,"",INDEX('Providers'!$F$4:$F$503,465)))=0,"","License no.: "&amp;IF(LEN(INDEX('Providers'!$F$4:$F$503,465))=0,"",INDEX('Providers'!$F$4:$F$503,465))&amp;". ")&amp;IF(LEN(IF(LEN(INDEX('Providers'!$C$4:$C$503,465))=0,"",INDEX('Providers'!$C$4:$C$503,465)))=0,"","NPI: "&amp;IF(LEN(INDEX('Providers'!$C$4:$C$503,465))=0,"",INDEX('Providers'!$C$4:$C$503,465))&amp;". ")&amp;IF(LEN(IF(LEN(INDEX('Providers'!$D$4:$D$503,465))=0,"",INDEX('Providers'!$D$4:$D$503,465)))=0,"","Specialty: "&amp;IF(LEN(INDEX('Providers'!$D$4:$D$503,465))=0,"",INDEX('Providers'!$D$4:$D$503,465))&amp;". ")&amp;IF(LEN(IF(LEN(INDEX('Providers'!$AK$4:$AK$503,465))=0,"",INDEX('Providers'!$AK$4:$AK$503,465)))=0,"",IF(LEN(INDEX('Providers'!$AK$4:$AK$503,465))=0,"",INDEX('Providers'!$AK$4:$AK$503,465))))</f>
        <v/>
      </c>
      <c r="J468">
        <f>IF(LEN(INDEX('Providers'!$AJ$4:$AJ$503,465))=0,"",INDEX('Providers'!$AJ$4:$AJ$503,465))</f>
        <v/>
      </c>
      <c r="K468">
        <f>IF(LEN(INDEX('Providers'!$AI$4:$AI$503,465))=0,"",INDEX('Providers'!$AI$4:$AI$503,465))</f>
        <v/>
      </c>
    </row>
    <row r="469">
      <c r="A469">
        <f>IF(AND(LEN('Providers'!A469)&gt;0,ISNUMBER('Providers'!G469)),1,0)</f>
        <v/>
      </c>
      <c r="B469">
        <f>B468+A469</f>
        <v/>
      </c>
      <c r="C469">
        <f>IF(466&gt;$B$4503,"",MATCH(466-0.5,$B$3:$B$4503,1))</f>
        <v/>
      </c>
      <c r="D469">
        <f>"State license ("&amp;IF(LEN(INDEX('Providers'!$E$4:$E$503,466))=0,"",INDEX('Providers'!$E$4:$E$503,466))&amp;") – "&amp;IF(LEN(INDEX('Providers'!$A$4:$A$503,466))=0,"",INDEX('Providers'!$A$4:$A$503,466))</f>
        <v/>
      </c>
      <c r="E469">
        <f>IF(ISNUMBER(INDEX('Providers'!$G$4:$G$503,466)),TEXT(INDEX('Providers'!$G$4:$G$503,466),"yyyy-mm-dd"),"")</f>
        <v/>
      </c>
      <c r="F469">
        <f>"License"</f>
        <v/>
      </c>
      <c r="G469">
        <f>""</f>
        <v/>
      </c>
      <c r="H469">
        <f>"High"</f>
        <v/>
      </c>
      <c r="I469">
        <f>TRIM(IF(LEN(IF(LEN(INDEX('Providers'!$F$4:$F$503,466))=0,"",INDEX('Providers'!$F$4:$F$503,466)))=0,"","License no.: "&amp;IF(LEN(INDEX('Providers'!$F$4:$F$503,466))=0,"",INDEX('Providers'!$F$4:$F$503,466))&amp;". ")&amp;IF(LEN(IF(LEN(INDEX('Providers'!$C$4:$C$503,466))=0,"",INDEX('Providers'!$C$4:$C$503,466)))=0,"","NPI: "&amp;IF(LEN(INDEX('Providers'!$C$4:$C$503,466))=0,"",INDEX('Providers'!$C$4:$C$503,466))&amp;". ")&amp;IF(LEN(IF(LEN(INDEX('Providers'!$D$4:$D$503,466))=0,"",INDEX('Providers'!$D$4:$D$503,466)))=0,"","Specialty: "&amp;IF(LEN(INDEX('Providers'!$D$4:$D$503,466))=0,"",INDEX('Providers'!$D$4:$D$503,466))&amp;". ")&amp;IF(LEN(IF(LEN(INDEX('Providers'!$AK$4:$AK$503,466))=0,"",INDEX('Providers'!$AK$4:$AK$503,466)))=0,"",IF(LEN(INDEX('Providers'!$AK$4:$AK$503,466))=0,"",INDEX('Providers'!$AK$4:$AK$503,466))))</f>
        <v/>
      </c>
      <c r="J469">
        <f>IF(LEN(INDEX('Providers'!$AJ$4:$AJ$503,466))=0,"",INDEX('Providers'!$AJ$4:$AJ$503,466))</f>
        <v/>
      </c>
      <c r="K469">
        <f>IF(LEN(INDEX('Providers'!$AI$4:$AI$503,466))=0,"",INDEX('Providers'!$AI$4:$AI$503,466))</f>
        <v/>
      </c>
    </row>
    <row r="470">
      <c r="A470">
        <f>IF(AND(LEN('Providers'!A470)&gt;0,ISNUMBER('Providers'!G470)),1,0)</f>
        <v/>
      </c>
      <c r="B470">
        <f>B469+A470</f>
        <v/>
      </c>
      <c r="C470">
        <f>IF(467&gt;$B$4503,"",MATCH(467-0.5,$B$3:$B$4503,1))</f>
        <v/>
      </c>
      <c r="D470">
        <f>"State license ("&amp;IF(LEN(INDEX('Providers'!$E$4:$E$503,467))=0,"",INDEX('Providers'!$E$4:$E$503,467))&amp;") – "&amp;IF(LEN(INDEX('Providers'!$A$4:$A$503,467))=0,"",INDEX('Providers'!$A$4:$A$503,467))</f>
        <v/>
      </c>
      <c r="E470">
        <f>IF(ISNUMBER(INDEX('Providers'!$G$4:$G$503,467)),TEXT(INDEX('Providers'!$G$4:$G$503,467),"yyyy-mm-dd"),"")</f>
        <v/>
      </c>
      <c r="F470">
        <f>"License"</f>
        <v/>
      </c>
      <c r="G470">
        <f>""</f>
        <v/>
      </c>
      <c r="H470">
        <f>"High"</f>
        <v/>
      </c>
      <c r="I470">
        <f>TRIM(IF(LEN(IF(LEN(INDEX('Providers'!$F$4:$F$503,467))=0,"",INDEX('Providers'!$F$4:$F$503,467)))=0,"","License no.: "&amp;IF(LEN(INDEX('Providers'!$F$4:$F$503,467))=0,"",INDEX('Providers'!$F$4:$F$503,467))&amp;". ")&amp;IF(LEN(IF(LEN(INDEX('Providers'!$C$4:$C$503,467))=0,"",INDEX('Providers'!$C$4:$C$503,467)))=0,"","NPI: "&amp;IF(LEN(INDEX('Providers'!$C$4:$C$503,467))=0,"",INDEX('Providers'!$C$4:$C$503,467))&amp;". ")&amp;IF(LEN(IF(LEN(INDEX('Providers'!$D$4:$D$503,467))=0,"",INDEX('Providers'!$D$4:$D$503,467)))=0,"","Specialty: "&amp;IF(LEN(INDEX('Providers'!$D$4:$D$503,467))=0,"",INDEX('Providers'!$D$4:$D$503,467))&amp;". ")&amp;IF(LEN(IF(LEN(INDEX('Providers'!$AK$4:$AK$503,467))=0,"",INDEX('Providers'!$AK$4:$AK$503,467)))=0,"",IF(LEN(INDEX('Providers'!$AK$4:$AK$503,467))=0,"",INDEX('Providers'!$AK$4:$AK$503,467))))</f>
        <v/>
      </c>
      <c r="J470">
        <f>IF(LEN(INDEX('Providers'!$AJ$4:$AJ$503,467))=0,"",INDEX('Providers'!$AJ$4:$AJ$503,467))</f>
        <v/>
      </c>
      <c r="K470">
        <f>IF(LEN(INDEX('Providers'!$AI$4:$AI$503,467))=0,"",INDEX('Providers'!$AI$4:$AI$503,467))</f>
        <v/>
      </c>
    </row>
    <row r="471">
      <c r="A471">
        <f>IF(AND(LEN('Providers'!A471)&gt;0,ISNUMBER('Providers'!G471)),1,0)</f>
        <v/>
      </c>
      <c r="B471">
        <f>B470+A471</f>
        <v/>
      </c>
      <c r="C471">
        <f>IF(468&gt;$B$4503,"",MATCH(468-0.5,$B$3:$B$4503,1))</f>
        <v/>
      </c>
      <c r="D471">
        <f>"State license ("&amp;IF(LEN(INDEX('Providers'!$E$4:$E$503,468))=0,"",INDEX('Providers'!$E$4:$E$503,468))&amp;") – "&amp;IF(LEN(INDEX('Providers'!$A$4:$A$503,468))=0,"",INDEX('Providers'!$A$4:$A$503,468))</f>
        <v/>
      </c>
      <c r="E471">
        <f>IF(ISNUMBER(INDEX('Providers'!$G$4:$G$503,468)),TEXT(INDEX('Providers'!$G$4:$G$503,468),"yyyy-mm-dd"),"")</f>
        <v/>
      </c>
      <c r="F471">
        <f>"License"</f>
        <v/>
      </c>
      <c r="G471">
        <f>""</f>
        <v/>
      </c>
      <c r="H471">
        <f>"High"</f>
        <v/>
      </c>
      <c r="I471">
        <f>TRIM(IF(LEN(IF(LEN(INDEX('Providers'!$F$4:$F$503,468))=0,"",INDEX('Providers'!$F$4:$F$503,468)))=0,"","License no.: "&amp;IF(LEN(INDEX('Providers'!$F$4:$F$503,468))=0,"",INDEX('Providers'!$F$4:$F$503,468))&amp;". ")&amp;IF(LEN(IF(LEN(INDEX('Providers'!$C$4:$C$503,468))=0,"",INDEX('Providers'!$C$4:$C$503,468)))=0,"","NPI: "&amp;IF(LEN(INDEX('Providers'!$C$4:$C$503,468))=0,"",INDEX('Providers'!$C$4:$C$503,468))&amp;". ")&amp;IF(LEN(IF(LEN(INDEX('Providers'!$D$4:$D$503,468))=0,"",INDEX('Providers'!$D$4:$D$503,468)))=0,"","Specialty: "&amp;IF(LEN(INDEX('Providers'!$D$4:$D$503,468))=0,"",INDEX('Providers'!$D$4:$D$503,468))&amp;". ")&amp;IF(LEN(IF(LEN(INDEX('Providers'!$AK$4:$AK$503,468))=0,"",INDEX('Providers'!$AK$4:$AK$503,468)))=0,"",IF(LEN(INDEX('Providers'!$AK$4:$AK$503,468))=0,"",INDEX('Providers'!$AK$4:$AK$503,468))))</f>
        <v/>
      </c>
      <c r="J471">
        <f>IF(LEN(INDEX('Providers'!$AJ$4:$AJ$503,468))=0,"",INDEX('Providers'!$AJ$4:$AJ$503,468))</f>
        <v/>
      </c>
      <c r="K471">
        <f>IF(LEN(INDEX('Providers'!$AI$4:$AI$503,468))=0,"",INDEX('Providers'!$AI$4:$AI$503,468))</f>
        <v/>
      </c>
    </row>
    <row r="472">
      <c r="A472">
        <f>IF(AND(LEN('Providers'!A472)&gt;0,ISNUMBER('Providers'!G472)),1,0)</f>
        <v/>
      </c>
      <c r="B472">
        <f>B471+A472</f>
        <v/>
      </c>
      <c r="C472">
        <f>IF(469&gt;$B$4503,"",MATCH(469-0.5,$B$3:$B$4503,1))</f>
        <v/>
      </c>
      <c r="D472">
        <f>"State license ("&amp;IF(LEN(INDEX('Providers'!$E$4:$E$503,469))=0,"",INDEX('Providers'!$E$4:$E$503,469))&amp;") – "&amp;IF(LEN(INDEX('Providers'!$A$4:$A$503,469))=0,"",INDEX('Providers'!$A$4:$A$503,469))</f>
        <v/>
      </c>
      <c r="E472">
        <f>IF(ISNUMBER(INDEX('Providers'!$G$4:$G$503,469)),TEXT(INDEX('Providers'!$G$4:$G$503,469),"yyyy-mm-dd"),"")</f>
        <v/>
      </c>
      <c r="F472">
        <f>"License"</f>
        <v/>
      </c>
      <c r="G472">
        <f>""</f>
        <v/>
      </c>
      <c r="H472">
        <f>"High"</f>
        <v/>
      </c>
      <c r="I472">
        <f>TRIM(IF(LEN(IF(LEN(INDEX('Providers'!$F$4:$F$503,469))=0,"",INDEX('Providers'!$F$4:$F$503,469)))=0,"","License no.: "&amp;IF(LEN(INDEX('Providers'!$F$4:$F$503,469))=0,"",INDEX('Providers'!$F$4:$F$503,469))&amp;". ")&amp;IF(LEN(IF(LEN(INDEX('Providers'!$C$4:$C$503,469))=0,"",INDEX('Providers'!$C$4:$C$503,469)))=0,"","NPI: "&amp;IF(LEN(INDEX('Providers'!$C$4:$C$503,469))=0,"",INDEX('Providers'!$C$4:$C$503,469))&amp;". ")&amp;IF(LEN(IF(LEN(INDEX('Providers'!$D$4:$D$503,469))=0,"",INDEX('Providers'!$D$4:$D$503,469)))=0,"","Specialty: "&amp;IF(LEN(INDEX('Providers'!$D$4:$D$503,469))=0,"",INDEX('Providers'!$D$4:$D$503,469))&amp;". ")&amp;IF(LEN(IF(LEN(INDEX('Providers'!$AK$4:$AK$503,469))=0,"",INDEX('Providers'!$AK$4:$AK$503,469)))=0,"",IF(LEN(INDEX('Providers'!$AK$4:$AK$503,469))=0,"",INDEX('Providers'!$AK$4:$AK$503,469))))</f>
        <v/>
      </c>
      <c r="J472">
        <f>IF(LEN(INDEX('Providers'!$AJ$4:$AJ$503,469))=0,"",INDEX('Providers'!$AJ$4:$AJ$503,469))</f>
        <v/>
      </c>
      <c r="K472">
        <f>IF(LEN(INDEX('Providers'!$AI$4:$AI$503,469))=0,"",INDEX('Providers'!$AI$4:$AI$503,469))</f>
        <v/>
      </c>
    </row>
    <row r="473">
      <c r="A473">
        <f>IF(AND(LEN('Providers'!A473)&gt;0,ISNUMBER('Providers'!G473)),1,0)</f>
        <v/>
      </c>
      <c r="B473">
        <f>B472+A473</f>
        <v/>
      </c>
      <c r="C473">
        <f>IF(470&gt;$B$4503,"",MATCH(470-0.5,$B$3:$B$4503,1))</f>
        <v/>
      </c>
      <c r="D473">
        <f>"State license ("&amp;IF(LEN(INDEX('Providers'!$E$4:$E$503,470))=0,"",INDEX('Providers'!$E$4:$E$503,470))&amp;") – "&amp;IF(LEN(INDEX('Providers'!$A$4:$A$503,470))=0,"",INDEX('Providers'!$A$4:$A$503,470))</f>
        <v/>
      </c>
      <c r="E473">
        <f>IF(ISNUMBER(INDEX('Providers'!$G$4:$G$503,470)),TEXT(INDEX('Providers'!$G$4:$G$503,470),"yyyy-mm-dd"),"")</f>
        <v/>
      </c>
      <c r="F473">
        <f>"License"</f>
        <v/>
      </c>
      <c r="G473">
        <f>""</f>
        <v/>
      </c>
      <c r="H473">
        <f>"High"</f>
        <v/>
      </c>
      <c r="I473">
        <f>TRIM(IF(LEN(IF(LEN(INDEX('Providers'!$F$4:$F$503,470))=0,"",INDEX('Providers'!$F$4:$F$503,470)))=0,"","License no.: "&amp;IF(LEN(INDEX('Providers'!$F$4:$F$503,470))=0,"",INDEX('Providers'!$F$4:$F$503,470))&amp;". ")&amp;IF(LEN(IF(LEN(INDEX('Providers'!$C$4:$C$503,470))=0,"",INDEX('Providers'!$C$4:$C$503,470)))=0,"","NPI: "&amp;IF(LEN(INDEX('Providers'!$C$4:$C$503,470))=0,"",INDEX('Providers'!$C$4:$C$503,470))&amp;". ")&amp;IF(LEN(IF(LEN(INDEX('Providers'!$D$4:$D$503,470))=0,"",INDEX('Providers'!$D$4:$D$503,470)))=0,"","Specialty: "&amp;IF(LEN(INDEX('Providers'!$D$4:$D$503,470))=0,"",INDEX('Providers'!$D$4:$D$503,470))&amp;". ")&amp;IF(LEN(IF(LEN(INDEX('Providers'!$AK$4:$AK$503,470))=0,"",INDEX('Providers'!$AK$4:$AK$503,470)))=0,"",IF(LEN(INDEX('Providers'!$AK$4:$AK$503,470))=0,"",INDEX('Providers'!$AK$4:$AK$503,470))))</f>
        <v/>
      </c>
      <c r="J473">
        <f>IF(LEN(INDEX('Providers'!$AJ$4:$AJ$503,470))=0,"",INDEX('Providers'!$AJ$4:$AJ$503,470))</f>
        <v/>
      </c>
      <c r="K473">
        <f>IF(LEN(INDEX('Providers'!$AI$4:$AI$503,470))=0,"",INDEX('Providers'!$AI$4:$AI$503,470))</f>
        <v/>
      </c>
    </row>
    <row r="474">
      <c r="A474">
        <f>IF(AND(LEN('Providers'!A474)&gt;0,ISNUMBER('Providers'!G474)),1,0)</f>
        <v/>
      </c>
      <c r="B474">
        <f>B473+A474</f>
        <v/>
      </c>
      <c r="C474">
        <f>IF(471&gt;$B$4503,"",MATCH(471-0.5,$B$3:$B$4503,1))</f>
        <v/>
      </c>
      <c r="D474">
        <f>"State license ("&amp;IF(LEN(INDEX('Providers'!$E$4:$E$503,471))=0,"",INDEX('Providers'!$E$4:$E$503,471))&amp;") – "&amp;IF(LEN(INDEX('Providers'!$A$4:$A$503,471))=0,"",INDEX('Providers'!$A$4:$A$503,471))</f>
        <v/>
      </c>
      <c r="E474">
        <f>IF(ISNUMBER(INDEX('Providers'!$G$4:$G$503,471)),TEXT(INDEX('Providers'!$G$4:$G$503,471),"yyyy-mm-dd"),"")</f>
        <v/>
      </c>
      <c r="F474">
        <f>"License"</f>
        <v/>
      </c>
      <c r="G474">
        <f>""</f>
        <v/>
      </c>
      <c r="H474">
        <f>"High"</f>
        <v/>
      </c>
      <c r="I474">
        <f>TRIM(IF(LEN(IF(LEN(INDEX('Providers'!$F$4:$F$503,471))=0,"",INDEX('Providers'!$F$4:$F$503,471)))=0,"","License no.: "&amp;IF(LEN(INDEX('Providers'!$F$4:$F$503,471))=0,"",INDEX('Providers'!$F$4:$F$503,471))&amp;". ")&amp;IF(LEN(IF(LEN(INDEX('Providers'!$C$4:$C$503,471))=0,"",INDEX('Providers'!$C$4:$C$503,471)))=0,"","NPI: "&amp;IF(LEN(INDEX('Providers'!$C$4:$C$503,471))=0,"",INDEX('Providers'!$C$4:$C$503,471))&amp;". ")&amp;IF(LEN(IF(LEN(INDEX('Providers'!$D$4:$D$503,471))=0,"",INDEX('Providers'!$D$4:$D$503,471)))=0,"","Specialty: "&amp;IF(LEN(INDEX('Providers'!$D$4:$D$503,471))=0,"",INDEX('Providers'!$D$4:$D$503,471))&amp;". ")&amp;IF(LEN(IF(LEN(INDEX('Providers'!$AK$4:$AK$503,471))=0,"",INDEX('Providers'!$AK$4:$AK$503,471)))=0,"",IF(LEN(INDEX('Providers'!$AK$4:$AK$503,471))=0,"",INDEX('Providers'!$AK$4:$AK$503,471))))</f>
        <v/>
      </c>
      <c r="J474">
        <f>IF(LEN(INDEX('Providers'!$AJ$4:$AJ$503,471))=0,"",INDEX('Providers'!$AJ$4:$AJ$503,471))</f>
        <v/>
      </c>
      <c r="K474">
        <f>IF(LEN(INDEX('Providers'!$AI$4:$AI$503,471))=0,"",INDEX('Providers'!$AI$4:$AI$503,471))</f>
        <v/>
      </c>
    </row>
    <row r="475">
      <c r="A475">
        <f>IF(AND(LEN('Providers'!A475)&gt;0,ISNUMBER('Providers'!G475)),1,0)</f>
        <v/>
      </c>
      <c r="B475">
        <f>B474+A475</f>
        <v/>
      </c>
      <c r="C475">
        <f>IF(472&gt;$B$4503,"",MATCH(472-0.5,$B$3:$B$4503,1))</f>
        <v/>
      </c>
      <c r="D475">
        <f>"State license ("&amp;IF(LEN(INDEX('Providers'!$E$4:$E$503,472))=0,"",INDEX('Providers'!$E$4:$E$503,472))&amp;") – "&amp;IF(LEN(INDEX('Providers'!$A$4:$A$503,472))=0,"",INDEX('Providers'!$A$4:$A$503,472))</f>
        <v/>
      </c>
      <c r="E475">
        <f>IF(ISNUMBER(INDEX('Providers'!$G$4:$G$503,472)),TEXT(INDEX('Providers'!$G$4:$G$503,472),"yyyy-mm-dd"),"")</f>
        <v/>
      </c>
      <c r="F475">
        <f>"License"</f>
        <v/>
      </c>
      <c r="G475">
        <f>""</f>
        <v/>
      </c>
      <c r="H475">
        <f>"High"</f>
        <v/>
      </c>
      <c r="I475">
        <f>TRIM(IF(LEN(IF(LEN(INDEX('Providers'!$F$4:$F$503,472))=0,"",INDEX('Providers'!$F$4:$F$503,472)))=0,"","License no.: "&amp;IF(LEN(INDEX('Providers'!$F$4:$F$503,472))=0,"",INDEX('Providers'!$F$4:$F$503,472))&amp;". ")&amp;IF(LEN(IF(LEN(INDEX('Providers'!$C$4:$C$503,472))=0,"",INDEX('Providers'!$C$4:$C$503,472)))=0,"","NPI: "&amp;IF(LEN(INDEX('Providers'!$C$4:$C$503,472))=0,"",INDEX('Providers'!$C$4:$C$503,472))&amp;". ")&amp;IF(LEN(IF(LEN(INDEX('Providers'!$D$4:$D$503,472))=0,"",INDEX('Providers'!$D$4:$D$503,472)))=0,"","Specialty: "&amp;IF(LEN(INDEX('Providers'!$D$4:$D$503,472))=0,"",INDEX('Providers'!$D$4:$D$503,472))&amp;". ")&amp;IF(LEN(IF(LEN(INDEX('Providers'!$AK$4:$AK$503,472))=0,"",INDEX('Providers'!$AK$4:$AK$503,472)))=0,"",IF(LEN(INDEX('Providers'!$AK$4:$AK$503,472))=0,"",INDEX('Providers'!$AK$4:$AK$503,472))))</f>
        <v/>
      </c>
      <c r="J475">
        <f>IF(LEN(INDEX('Providers'!$AJ$4:$AJ$503,472))=0,"",INDEX('Providers'!$AJ$4:$AJ$503,472))</f>
        <v/>
      </c>
      <c r="K475">
        <f>IF(LEN(INDEX('Providers'!$AI$4:$AI$503,472))=0,"",INDEX('Providers'!$AI$4:$AI$503,472))</f>
        <v/>
      </c>
    </row>
    <row r="476">
      <c r="A476">
        <f>IF(AND(LEN('Providers'!A476)&gt;0,ISNUMBER('Providers'!G476)),1,0)</f>
        <v/>
      </c>
      <c r="B476">
        <f>B475+A476</f>
        <v/>
      </c>
      <c r="C476">
        <f>IF(473&gt;$B$4503,"",MATCH(473-0.5,$B$3:$B$4503,1))</f>
        <v/>
      </c>
      <c r="D476">
        <f>"State license ("&amp;IF(LEN(INDEX('Providers'!$E$4:$E$503,473))=0,"",INDEX('Providers'!$E$4:$E$503,473))&amp;") – "&amp;IF(LEN(INDEX('Providers'!$A$4:$A$503,473))=0,"",INDEX('Providers'!$A$4:$A$503,473))</f>
        <v/>
      </c>
      <c r="E476">
        <f>IF(ISNUMBER(INDEX('Providers'!$G$4:$G$503,473)),TEXT(INDEX('Providers'!$G$4:$G$503,473),"yyyy-mm-dd"),"")</f>
        <v/>
      </c>
      <c r="F476">
        <f>"License"</f>
        <v/>
      </c>
      <c r="G476">
        <f>""</f>
        <v/>
      </c>
      <c r="H476">
        <f>"High"</f>
        <v/>
      </c>
      <c r="I476">
        <f>TRIM(IF(LEN(IF(LEN(INDEX('Providers'!$F$4:$F$503,473))=0,"",INDEX('Providers'!$F$4:$F$503,473)))=0,"","License no.: "&amp;IF(LEN(INDEX('Providers'!$F$4:$F$503,473))=0,"",INDEX('Providers'!$F$4:$F$503,473))&amp;". ")&amp;IF(LEN(IF(LEN(INDEX('Providers'!$C$4:$C$503,473))=0,"",INDEX('Providers'!$C$4:$C$503,473)))=0,"","NPI: "&amp;IF(LEN(INDEX('Providers'!$C$4:$C$503,473))=0,"",INDEX('Providers'!$C$4:$C$503,473))&amp;". ")&amp;IF(LEN(IF(LEN(INDEX('Providers'!$D$4:$D$503,473))=0,"",INDEX('Providers'!$D$4:$D$503,473)))=0,"","Specialty: "&amp;IF(LEN(INDEX('Providers'!$D$4:$D$503,473))=0,"",INDEX('Providers'!$D$4:$D$503,473))&amp;". ")&amp;IF(LEN(IF(LEN(INDEX('Providers'!$AK$4:$AK$503,473))=0,"",INDEX('Providers'!$AK$4:$AK$503,473)))=0,"",IF(LEN(INDEX('Providers'!$AK$4:$AK$503,473))=0,"",INDEX('Providers'!$AK$4:$AK$503,473))))</f>
        <v/>
      </c>
      <c r="J476">
        <f>IF(LEN(INDEX('Providers'!$AJ$4:$AJ$503,473))=0,"",INDEX('Providers'!$AJ$4:$AJ$503,473))</f>
        <v/>
      </c>
      <c r="K476">
        <f>IF(LEN(INDEX('Providers'!$AI$4:$AI$503,473))=0,"",INDEX('Providers'!$AI$4:$AI$503,473))</f>
        <v/>
      </c>
    </row>
    <row r="477">
      <c r="A477">
        <f>IF(AND(LEN('Providers'!A477)&gt;0,ISNUMBER('Providers'!G477)),1,0)</f>
        <v/>
      </c>
      <c r="B477">
        <f>B476+A477</f>
        <v/>
      </c>
      <c r="C477">
        <f>IF(474&gt;$B$4503,"",MATCH(474-0.5,$B$3:$B$4503,1))</f>
        <v/>
      </c>
      <c r="D477">
        <f>"State license ("&amp;IF(LEN(INDEX('Providers'!$E$4:$E$503,474))=0,"",INDEX('Providers'!$E$4:$E$503,474))&amp;") – "&amp;IF(LEN(INDEX('Providers'!$A$4:$A$503,474))=0,"",INDEX('Providers'!$A$4:$A$503,474))</f>
        <v/>
      </c>
      <c r="E477">
        <f>IF(ISNUMBER(INDEX('Providers'!$G$4:$G$503,474)),TEXT(INDEX('Providers'!$G$4:$G$503,474),"yyyy-mm-dd"),"")</f>
        <v/>
      </c>
      <c r="F477">
        <f>"License"</f>
        <v/>
      </c>
      <c r="G477">
        <f>""</f>
        <v/>
      </c>
      <c r="H477">
        <f>"High"</f>
        <v/>
      </c>
      <c r="I477">
        <f>TRIM(IF(LEN(IF(LEN(INDEX('Providers'!$F$4:$F$503,474))=0,"",INDEX('Providers'!$F$4:$F$503,474)))=0,"","License no.: "&amp;IF(LEN(INDEX('Providers'!$F$4:$F$503,474))=0,"",INDEX('Providers'!$F$4:$F$503,474))&amp;". ")&amp;IF(LEN(IF(LEN(INDEX('Providers'!$C$4:$C$503,474))=0,"",INDEX('Providers'!$C$4:$C$503,474)))=0,"","NPI: "&amp;IF(LEN(INDEX('Providers'!$C$4:$C$503,474))=0,"",INDEX('Providers'!$C$4:$C$503,474))&amp;". ")&amp;IF(LEN(IF(LEN(INDEX('Providers'!$D$4:$D$503,474))=0,"",INDEX('Providers'!$D$4:$D$503,474)))=0,"","Specialty: "&amp;IF(LEN(INDEX('Providers'!$D$4:$D$503,474))=0,"",INDEX('Providers'!$D$4:$D$503,474))&amp;". ")&amp;IF(LEN(IF(LEN(INDEX('Providers'!$AK$4:$AK$503,474))=0,"",INDEX('Providers'!$AK$4:$AK$503,474)))=0,"",IF(LEN(INDEX('Providers'!$AK$4:$AK$503,474))=0,"",INDEX('Providers'!$AK$4:$AK$503,474))))</f>
        <v/>
      </c>
      <c r="J477">
        <f>IF(LEN(INDEX('Providers'!$AJ$4:$AJ$503,474))=0,"",INDEX('Providers'!$AJ$4:$AJ$503,474))</f>
        <v/>
      </c>
      <c r="K477">
        <f>IF(LEN(INDEX('Providers'!$AI$4:$AI$503,474))=0,"",INDEX('Providers'!$AI$4:$AI$503,474))</f>
        <v/>
      </c>
    </row>
    <row r="478">
      <c r="A478">
        <f>IF(AND(LEN('Providers'!A478)&gt;0,ISNUMBER('Providers'!G478)),1,0)</f>
        <v/>
      </c>
      <c r="B478">
        <f>B477+A478</f>
        <v/>
      </c>
      <c r="C478">
        <f>IF(475&gt;$B$4503,"",MATCH(475-0.5,$B$3:$B$4503,1))</f>
        <v/>
      </c>
      <c r="D478">
        <f>"State license ("&amp;IF(LEN(INDEX('Providers'!$E$4:$E$503,475))=0,"",INDEX('Providers'!$E$4:$E$503,475))&amp;") – "&amp;IF(LEN(INDEX('Providers'!$A$4:$A$503,475))=0,"",INDEX('Providers'!$A$4:$A$503,475))</f>
        <v/>
      </c>
      <c r="E478">
        <f>IF(ISNUMBER(INDEX('Providers'!$G$4:$G$503,475)),TEXT(INDEX('Providers'!$G$4:$G$503,475),"yyyy-mm-dd"),"")</f>
        <v/>
      </c>
      <c r="F478">
        <f>"License"</f>
        <v/>
      </c>
      <c r="G478">
        <f>""</f>
        <v/>
      </c>
      <c r="H478">
        <f>"High"</f>
        <v/>
      </c>
      <c r="I478">
        <f>TRIM(IF(LEN(IF(LEN(INDEX('Providers'!$F$4:$F$503,475))=0,"",INDEX('Providers'!$F$4:$F$503,475)))=0,"","License no.: "&amp;IF(LEN(INDEX('Providers'!$F$4:$F$503,475))=0,"",INDEX('Providers'!$F$4:$F$503,475))&amp;". ")&amp;IF(LEN(IF(LEN(INDEX('Providers'!$C$4:$C$503,475))=0,"",INDEX('Providers'!$C$4:$C$503,475)))=0,"","NPI: "&amp;IF(LEN(INDEX('Providers'!$C$4:$C$503,475))=0,"",INDEX('Providers'!$C$4:$C$503,475))&amp;". ")&amp;IF(LEN(IF(LEN(INDEX('Providers'!$D$4:$D$503,475))=0,"",INDEX('Providers'!$D$4:$D$503,475)))=0,"","Specialty: "&amp;IF(LEN(INDEX('Providers'!$D$4:$D$503,475))=0,"",INDEX('Providers'!$D$4:$D$503,475))&amp;". ")&amp;IF(LEN(IF(LEN(INDEX('Providers'!$AK$4:$AK$503,475))=0,"",INDEX('Providers'!$AK$4:$AK$503,475)))=0,"",IF(LEN(INDEX('Providers'!$AK$4:$AK$503,475))=0,"",INDEX('Providers'!$AK$4:$AK$503,475))))</f>
        <v/>
      </c>
      <c r="J478">
        <f>IF(LEN(INDEX('Providers'!$AJ$4:$AJ$503,475))=0,"",INDEX('Providers'!$AJ$4:$AJ$503,475))</f>
        <v/>
      </c>
      <c r="K478">
        <f>IF(LEN(INDEX('Providers'!$AI$4:$AI$503,475))=0,"",INDEX('Providers'!$AI$4:$AI$503,475))</f>
        <v/>
      </c>
    </row>
    <row r="479">
      <c r="A479">
        <f>IF(AND(LEN('Providers'!A479)&gt;0,ISNUMBER('Providers'!G479)),1,0)</f>
        <v/>
      </c>
      <c r="B479">
        <f>B478+A479</f>
        <v/>
      </c>
      <c r="C479">
        <f>IF(476&gt;$B$4503,"",MATCH(476-0.5,$B$3:$B$4503,1))</f>
        <v/>
      </c>
      <c r="D479">
        <f>"State license ("&amp;IF(LEN(INDEX('Providers'!$E$4:$E$503,476))=0,"",INDEX('Providers'!$E$4:$E$503,476))&amp;") – "&amp;IF(LEN(INDEX('Providers'!$A$4:$A$503,476))=0,"",INDEX('Providers'!$A$4:$A$503,476))</f>
        <v/>
      </c>
      <c r="E479">
        <f>IF(ISNUMBER(INDEX('Providers'!$G$4:$G$503,476)),TEXT(INDEX('Providers'!$G$4:$G$503,476),"yyyy-mm-dd"),"")</f>
        <v/>
      </c>
      <c r="F479">
        <f>"License"</f>
        <v/>
      </c>
      <c r="G479">
        <f>""</f>
        <v/>
      </c>
      <c r="H479">
        <f>"High"</f>
        <v/>
      </c>
      <c r="I479">
        <f>TRIM(IF(LEN(IF(LEN(INDEX('Providers'!$F$4:$F$503,476))=0,"",INDEX('Providers'!$F$4:$F$503,476)))=0,"","License no.: "&amp;IF(LEN(INDEX('Providers'!$F$4:$F$503,476))=0,"",INDEX('Providers'!$F$4:$F$503,476))&amp;". ")&amp;IF(LEN(IF(LEN(INDEX('Providers'!$C$4:$C$503,476))=0,"",INDEX('Providers'!$C$4:$C$503,476)))=0,"","NPI: "&amp;IF(LEN(INDEX('Providers'!$C$4:$C$503,476))=0,"",INDEX('Providers'!$C$4:$C$503,476))&amp;". ")&amp;IF(LEN(IF(LEN(INDEX('Providers'!$D$4:$D$503,476))=0,"",INDEX('Providers'!$D$4:$D$503,476)))=0,"","Specialty: "&amp;IF(LEN(INDEX('Providers'!$D$4:$D$503,476))=0,"",INDEX('Providers'!$D$4:$D$503,476))&amp;". ")&amp;IF(LEN(IF(LEN(INDEX('Providers'!$AK$4:$AK$503,476))=0,"",INDEX('Providers'!$AK$4:$AK$503,476)))=0,"",IF(LEN(INDEX('Providers'!$AK$4:$AK$503,476))=0,"",INDEX('Providers'!$AK$4:$AK$503,476))))</f>
        <v/>
      </c>
      <c r="J479">
        <f>IF(LEN(INDEX('Providers'!$AJ$4:$AJ$503,476))=0,"",INDEX('Providers'!$AJ$4:$AJ$503,476))</f>
        <v/>
      </c>
      <c r="K479">
        <f>IF(LEN(INDEX('Providers'!$AI$4:$AI$503,476))=0,"",INDEX('Providers'!$AI$4:$AI$503,476))</f>
        <v/>
      </c>
    </row>
    <row r="480">
      <c r="A480">
        <f>IF(AND(LEN('Providers'!A480)&gt;0,ISNUMBER('Providers'!G480)),1,0)</f>
        <v/>
      </c>
      <c r="B480">
        <f>B479+A480</f>
        <v/>
      </c>
      <c r="C480">
        <f>IF(477&gt;$B$4503,"",MATCH(477-0.5,$B$3:$B$4503,1))</f>
        <v/>
      </c>
      <c r="D480">
        <f>"State license ("&amp;IF(LEN(INDEX('Providers'!$E$4:$E$503,477))=0,"",INDEX('Providers'!$E$4:$E$503,477))&amp;") – "&amp;IF(LEN(INDEX('Providers'!$A$4:$A$503,477))=0,"",INDEX('Providers'!$A$4:$A$503,477))</f>
        <v/>
      </c>
      <c r="E480">
        <f>IF(ISNUMBER(INDEX('Providers'!$G$4:$G$503,477)),TEXT(INDEX('Providers'!$G$4:$G$503,477),"yyyy-mm-dd"),"")</f>
        <v/>
      </c>
      <c r="F480">
        <f>"License"</f>
        <v/>
      </c>
      <c r="G480">
        <f>""</f>
        <v/>
      </c>
      <c r="H480">
        <f>"High"</f>
        <v/>
      </c>
      <c r="I480">
        <f>TRIM(IF(LEN(IF(LEN(INDEX('Providers'!$F$4:$F$503,477))=0,"",INDEX('Providers'!$F$4:$F$503,477)))=0,"","License no.: "&amp;IF(LEN(INDEX('Providers'!$F$4:$F$503,477))=0,"",INDEX('Providers'!$F$4:$F$503,477))&amp;". ")&amp;IF(LEN(IF(LEN(INDEX('Providers'!$C$4:$C$503,477))=0,"",INDEX('Providers'!$C$4:$C$503,477)))=0,"","NPI: "&amp;IF(LEN(INDEX('Providers'!$C$4:$C$503,477))=0,"",INDEX('Providers'!$C$4:$C$503,477))&amp;". ")&amp;IF(LEN(IF(LEN(INDEX('Providers'!$D$4:$D$503,477))=0,"",INDEX('Providers'!$D$4:$D$503,477)))=0,"","Specialty: "&amp;IF(LEN(INDEX('Providers'!$D$4:$D$503,477))=0,"",INDEX('Providers'!$D$4:$D$503,477))&amp;". ")&amp;IF(LEN(IF(LEN(INDEX('Providers'!$AK$4:$AK$503,477))=0,"",INDEX('Providers'!$AK$4:$AK$503,477)))=0,"",IF(LEN(INDEX('Providers'!$AK$4:$AK$503,477))=0,"",INDEX('Providers'!$AK$4:$AK$503,477))))</f>
        <v/>
      </c>
      <c r="J480">
        <f>IF(LEN(INDEX('Providers'!$AJ$4:$AJ$503,477))=0,"",INDEX('Providers'!$AJ$4:$AJ$503,477))</f>
        <v/>
      </c>
      <c r="K480">
        <f>IF(LEN(INDEX('Providers'!$AI$4:$AI$503,477))=0,"",INDEX('Providers'!$AI$4:$AI$503,477))</f>
        <v/>
      </c>
    </row>
    <row r="481">
      <c r="A481">
        <f>IF(AND(LEN('Providers'!A481)&gt;0,ISNUMBER('Providers'!G481)),1,0)</f>
        <v/>
      </c>
      <c r="B481">
        <f>B480+A481</f>
        <v/>
      </c>
      <c r="C481">
        <f>IF(478&gt;$B$4503,"",MATCH(478-0.5,$B$3:$B$4503,1))</f>
        <v/>
      </c>
      <c r="D481">
        <f>"State license ("&amp;IF(LEN(INDEX('Providers'!$E$4:$E$503,478))=0,"",INDEX('Providers'!$E$4:$E$503,478))&amp;") – "&amp;IF(LEN(INDEX('Providers'!$A$4:$A$503,478))=0,"",INDEX('Providers'!$A$4:$A$503,478))</f>
        <v/>
      </c>
      <c r="E481">
        <f>IF(ISNUMBER(INDEX('Providers'!$G$4:$G$503,478)),TEXT(INDEX('Providers'!$G$4:$G$503,478),"yyyy-mm-dd"),"")</f>
        <v/>
      </c>
      <c r="F481">
        <f>"License"</f>
        <v/>
      </c>
      <c r="G481">
        <f>""</f>
        <v/>
      </c>
      <c r="H481">
        <f>"High"</f>
        <v/>
      </c>
      <c r="I481">
        <f>TRIM(IF(LEN(IF(LEN(INDEX('Providers'!$F$4:$F$503,478))=0,"",INDEX('Providers'!$F$4:$F$503,478)))=0,"","License no.: "&amp;IF(LEN(INDEX('Providers'!$F$4:$F$503,478))=0,"",INDEX('Providers'!$F$4:$F$503,478))&amp;". ")&amp;IF(LEN(IF(LEN(INDEX('Providers'!$C$4:$C$503,478))=0,"",INDEX('Providers'!$C$4:$C$503,478)))=0,"","NPI: "&amp;IF(LEN(INDEX('Providers'!$C$4:$C$503,478))=0,"",INDEX('Providers'!$C$4:$C$503,478))&amp;". ")&amp;IF(LEN(IF(LEN(INDEX('Providers'!$D$4:$D$503,478))=0,"",INDEX('Providers'!$D$4:$D$503,478)))=0,"","Specialty: "&amp;IF(LEN(INDEX('Providers'!$D$4:$D$503,478))=0,"",INDEX('Providers'!$D$4:$D$503,478))&amp;". ")&amp;IF(LEN(IF(LEN(INDEX('Providers'!$AK$4:$AK$503,478))=0,"",INDEX('Providers'!$AK$4:$AK$503,478)))=0,"",IF(LEN(INDEX('Providers'!$AK$4:$AK$503,478))=0,"",INDEX('Providers'!$AK$4:$AK$503,478))))</f>
        <v/>
      </c>
      <c r="J481">
        <f>IF(LEN(INDEX('Providers'!$AJ$4:$AJ$503,478))=0,"",INDEX('Providers'!$AJ$4:$AJ$503,478))</f>
        <v/>
      </c>
      <c r="K481">
        <f>IF(LEN(INDEX('Providers'!$AI$4:$AI$503,478))=0,"",INDEX('Providers'!$AI$4:$AI$503,478))</f>
        <v/>
      </c>
    </row>
    <row r="482">
      <c r="A482">
        <f>IF(AND(LEN('Providers'!A482)&gt;0,ISNUMBER('Providers'!G482)),1,0)</f>
        <v/>
      </c>
      <c r="B482">
        <f>B481+A482</f>
        <v/>
      </c>
      <c r="C482">
        <f>IF(479&gt;$B$4503,"",MATCH(479-0.5,$B$3:$B$4503,1))</f>
        <v/>
      </c>
      <c r="D482">
        <f>"State license ("&amp;IF(LEN(INDEX('Providers'!$E$4:$E$503,479))=0,"",INDEX('Providers'!$E$4:$E$503,479))&amp;") – "&amp;IF(LEN(INDEX('Providers'!$A$4:$A$503,479))=0,"",INDEX('Providers'!$A$4:$A$503,479))</f>
        <v/>
      </c>
      <c r="E482">
        <f>IF(ISNUMBER(INDEX('Providers'!$G$4:$G$503,479)),TEXT(INDEX('Providers'!$G$4:$G$503,479),"yyyy-mm-dd"),"")</f>
        <v/>
      </c>
      <c r="F482">
        <f>"License"</f>
        <v/>
      </c>
      <c r="G482">
        <f>""</f>
        <v/>
      </c>
      <c r="H482">
        <f>"High"</f>
        <v/>
      </c>
      <c r="I482">
        <f>TRIM(IF(LEN(IF(LEN(INDEX('Providers'!$F$4:$F$503,479))=0,"",INDEX('Providers'!$F$4:$F$503,479)))=0,"","License no.: "&amp;IF(LEN(INDEX('Providers'!$F$4:$F$503,479))=0,"",INDEX('Providers'!$F$4:$F$503,479))&amp;". ")&amp;IF(LEN(IF(LEN(INDEX('Providers'!$C$4:$C$503,479))=0,"",INDEX('Providers'!$C$4:$C$503,479)))=0,"","NPI: "&amp;IF(LEN(INDEX('Providers'!$C$4:$C$503,479))=0,"",INDEX('Providers'!$C$4:$C$503,479))&amp;". ")&amp;IF(LEN(IF(LEN(INDEX('Providers'!$D$4:$D$503,479))=0,"",INDEX('Providers'!$D$4:$D$503,479)))=0,"","Specialty: "&amp;IF(LEN(INDEX('Providers'!$D$4:$D$503,479))=0,"",INDEX('Providers'!$D$4:$D$503,479))&amp;". ")&amp;IF(LEN(IF(LEN(INDEX('Providers'!$AK$4:$AK$503,479))=0,"",INDEX('Providers'!$AK$4:$AK$503,479)))=0,"",IF(LEN(INDEX('Providers'!$AK$4:$AK$503,479))=0,"",INDEX('Providers'!$AK$4:$AK$503,479))))</f>
        <v/>
      </c>
      <c r="J482">
        <f>IF(LEN(INDEX('Providers'!$AJ$4:$AJ$503,479))=0,"",INDEX('Providers'!$AJ$4:$AJ$503,479))</f>
        <v/>
      </c>
      <c r="K482">
        <f>IF(LEN(INDEX('Providers'!$AI$4:$AI$503,479))=0,"",INDEX('Providers'!$AI$4:$AI$503,479))</f>
        <v/>
      </c>
    </row>
    <row r="483">
      <c r="A483">
        <f>IF(AND(LEN('Providers'!A483)&gt;0,ISNUMBER('Providers'!G483)),1,0)</f>
        <v/>
      </c>
      <c r="B483">
        <f>B482+A483</f>
        <v/>
      </c>
      <c r="C483">
        <f>IF(480&gt;$B$4503,"",MATCH(480-0.5,$B$3:$B$4503,1))</f>
        <v/>
      </c>
      <c r="D483">
        <f>"State license ("&amp;IF(LEN(INDEX('Providers'!$E$4:$E$503,480))=0,"",INDEX('Providers'!$E$4:$E$503,480))&amp;") – "&amp;IF(LEN(INDEX('Providers'!$A$4:$A$503,480))=0,"",INDEX('Providers'!$A$4:$A$503,480))</f>
        <v/>
      </c>
      <c r="E483">
        <f>IF(ISNUMBER(INDEX('Providers'!$G$4:$G$503,480)),TEXT(INDEX('Providers'!$G$4:$G$503,480),"yyyy-mm-dd"),"")</f>
        <v/>
      </c>
      <c r="F483">
        <f>"License"</f>
        <v/>
      </c>
      <c r="G483">
        <f>""</f>
        <v/>
      </c>
      <c r="H483">
        <f>"High"</f>
        <v/>
      </c>
      <c r="I483">
        <f>TRIM(IF(LEN(IF(LEN(INDEX('Providers'!$F$4:$F$503,480))=0,"",INDEX('Providers'!$F$4:$F$503,480)))=0,"","License no.: "&amp;IF(LEN(INDEX('Providers'!$F$4:$F$503,480))=0,"",INDEX('Providers'!$F$4:$F$503,480))&amp;". ")&amp;IF(LEN(IF(LEN(INDEX('Providers'!$C$4:$C$503,480))=0,"",INDEX('Providers'!$C$4:$C$503,480)))=0,"","NPI: "&amp;IF(LEN(INDEX('Providers'!$C$4:$C$503,480))=0,"",INDEX('Providers'!$C$4:$C$503,480))&amp;". ")&amp;IF(LEN(IF(LEN(INDEX('Providers'!$D$4:$D$503,480))=0,"",INDEX('Providers'!$D$4:$D$503,480)))=0,"","Specialty: "&amp;IF(LEN(INDEX('Providers'!$D$4:$D$503,480))=0,"",INDEX('Providers'!$D$4:$D$503,480))&amp;". ")&amp;IF(LEN(IF(LEN(INDEX('Providers'!$AK$4:$AK$503,480))=0,"",INDEX('Providers'!$AK$4:$AK$503,480)))=0,"",IF(LEN(INDEX('Providers'!$AK$4:$AK$503,480))=0,"",INDEX('Providers'!$AK$4:$AK$503,480))))</f>
        <v/>
      </c>
      <c r="J483">
        <f>IF(LEN(INDEX('Providers'!$AJ$4:$AJ$503,480))=0,"",INDEX('Providers'!$AJ$4:$AJ$503,480))</f>
        <v/>
      </c>
      <c r="K483">
        <f>IF(LEN(INDEX('Providers'!$AI$4:$AI$503,480))=0,"",INDEX('Providers'!$AI$4:$AI$503,480))</f>
        <v/>
      </c>
    </row>
    <row r="484">
      <c r="A484">
        <f>IF(AND(LEN('Providers'!A484)&gt;0,ISNUMBER('Providers'!G484)),1,0)</f>
        <v/>
      </c>
      <c r="B484">
        <f>B483+A484</f>
        <v/>
      </c>
      <c r="C484">
        <f>IF(481&gt;$B$4503,"",MATCH(481-0.5,$B$3:$B$4503,1))</f>
        <v/>
      </c>
      <c r="D484">
        <f>"State license ("&amp;IF(LEN(INDEX('Providers'!$E$4:$E$503,481))=0,"",INDEX('Providers'!$E$4:$E$503,481))&amp;") – "&amp;IF(LEN(INDEX('Providers'!$A$4:$A$503,481))=0,"",INDEX('Providers'!$A$4:$A$503,481))</f>
        <v/>
      </c>
      <c r="E484">
        <f>IF(ISNUMBER(INDEX('Providers'!$G$4:$G$503,481)),TEXT(INDEX('Providers'!$G$4:$G$503,481),"yyyy-mm-dd"),"")</f>
        <v/>
      </c>
      <c r="F484">
        <f>"License"</f>
        <v/>
      </c>
      <c r="G484">
        <f>""</f>
        <v/>
      </c>
      <c r="H484">
        <f>"High"</f>
        <v/>
      </c>
      <c r="I484">
        <f>TRIM(IF(LEN(IF(LEN(INDEX('Providers'!$F$4:$F$503,481))=0,"",INDEX('Providers'!$F$4:$F$503,481)))=0,"","License no.: "&amp;IF(LEN(INDEX('Providers'!$F$4:$F$503,481))=0,"",INDEX('Providers'!$F$4:$F$503,481))&amp;". ")&amp;IF(LEN(IF(LEN(INDEX('Providers'!$C$4:$C$503,481))=0,"",INDEX('Providers'!$C$4:$C$503,481)))=0,"","NPI: "&amp;IF(LEN(INDEX('Providers'!$C$4:$C$503,481))=0,"",INDEX('Providers'!$C$4:$C$503,481))&amp;". ")&amp;IF(LEN(IF(LEN(INDEX('Providers'!$D$4:$D$503,481))=0,"",INDEX('Providers'!$D$4:$D$503,481)))=0,"","Specialty: "&amp;IF(LEN(INDEX('Providers'!$D$4:$D$503,481))=0,"",INDEX('Providers'!$D$4:$D$503,481))&amp;". ")&amp;IF(LEN(IF(LEN(INDEX('Providers'!$AK$4:$AK$503,481))=0,"",INDEX('Providers'!$AK$4:$AK$503,481)))=0,"",IF(LEN(INDEX('Providers'!$AK$4:$AK$503,481))=0,"",INDEX('Providers'!$AK$4:$AK$503,481))))</f>
        <v/>
      </c>
      <c r="J484">
        <f>IF(LEN(INDEX('Providers'!$AJ$4:$AJ$503,481))=0,"",INDEX('Providers'!$AJ$4:$AJ$503,481))</f>
        <v/>
      </c>
      <c r="K484">
        <f>IF(LEN(INDEX('Providers'!$AI$4:$AI$503,481))=0,"",INDEX('Providers'!$AI$4:$AI$503,481))</f>
        <v/>
      </c>
    </row>
    <row r="485">
      <c r="A485">
        <f>IF(AND(LEN('Providers'!A485)&gt;0,ISNUMBER('Providers'!G485)),1,0)</f>
        <v/>
      </c>
      <c r="B485">
        <f>B484+A485</f>
        <v/>
      </c>
      <c r="C485">
        <f>IF(482&gt;$B$4503,"",MATCH(482-0.5,$B$3:$B$4503,1))</f>
        <v/>
      </c>
      <c r="D485">
        <f>"State license ("&amp;IF(LEN(INDEX('Providers'!$E$4:$E$503,482))=0,"",INDEX('Providers'!$E$4:$E$503,482))&amp;") – "&amp;IF(LEN(INDEX('Providers'!$A$4:$A$503,482))=0,"",INDEX('Providers'!$A$4:$A$503,482))</f>
        <v/>
      </c>
      <c r="E485">
        <f>IF(ISNUMBER(INDEX('Providers'!$G$4:$G$503,482)),TEXT(INDEX('Providers'!$G$4:$G$503,482),"yyyy-mm-dd"),"")</f>
        <v/>
      </c>
      <c r="F485">
        <f>"License"</f>
        <v/>
      </c>
      <c r="G485">
        <f>""</f>
        <v/>
      </c>
      <c r="H485">
        <f>"High"</f>
        <v/>
      </c>
      <c r="I485">
        <f>TRIM(IF(LEN(IF(LEN(INDEX('Providers'!$F$4:$F$503,482))=0,"",INDEX('Providers'!$F$4:$F$503,482)))=0,"","License no.: "&amp;IF(LEN(INDEX('Providers'!$F$4:$F$503,482))=0,"",INDEX('Providers'!$F$4:$F$503,482))&amp;". ")&amp;IF(LEN(IF(LEN(INDEX('Providers'!$C$4:$C$503,482))=0,"",INDEX('Providers'!$C$4:$C$503,482)))=0,"","NPI: "&amp;IF(LEN(INDEX('Providers'!$C$4:$C$503,482))=0,"",INDEX('Providers'!$C$4:$C$503,482))&amp;". ")&amp;IF(LEN(IF(LEN(INDEX('Providers'!$D$4:$D$503,482))=0,"",INDEX('Providers'!$D$4:$D$503,482)))=0,"","Specialty: "&amp;IF(LEN(INDEX('Providers'!$D$4:$D$503,482))=0,"",INDEX('Providers'!$D$4:$D$503,482))&amp;". ")&amp;IF(LEN(IF(LEN(INDEX('Providers'!$AK$4:$AK$503,482))=0,"",INDEX('Providers'!$AK$4:$AK$503,482)))=0,"",IF(LEN(INDEX('Providers'!$AK$4:$AK$503,482))=0,"",INDEX('Providers'!$AK$4:$AK$503,482))))</f>
        <v/>
      </c>
      <c r="J485">
        <f>IF(LEN(INDEX('Providers'!$AJ$4:$AJ$503,482))=0,"",INDEX('Providers'!$AJ$4:$AJ$503,482))</f>
        <v/>
      </c>
      <c r="K485">
        <f>IF(LEN(INDEX('Providers'!$AI$4:$AI$503,482))=0,"",INDEX('Providers'!$AI$4:$AI$503,482))</f>
        <v/>
      </c>
    </row>
    <row r="486">
      <c r="A486">
        <f>IF(AND(LEN('Providers'!A486)&gt;0,ISNUMBER('Providers'!G486)),1,0)</f>
        <v/>
      </c>
      <c r="B486">
        <f>B485+A486</f>
        <v/>
      </c>
      <c r="C486">
        <f>IF(483&gt;$B$4503,"",MATCH(483-0.5,$B$3:$B$4503,1))</f>
        <v/>
      </c>
      <c r="D486">
        <f>"State license ("&amp;IF(LEN(INDEX('Providers'!$E$4:$E$503,483))=0,"",INDEX('Providers'!$E$4:$E$503,483))&amp;") – "&amp;IF(LEN(INDEX('Providers'!$A$4:$A$503,483))=0,"",INDEX('Providers'!$A$4:$A$503,483))</f>
        <v/>
      </c>
      <c r="E486">
        <f>IF(ISNUMBER(INDEX('Providers'!$G$4:$G$503,483)),TEXT(INDEX('Providers'!$G$4:$G$503,483),"yyyy-mm-dd"),"")</f>
        <v/>
      </c>
      <c r="F486">
        <f>"License"</f>
        <v/>
      </c>
      <c r="G486">
        <f>""</f>
        <v/>
      </c>
      <c r="H486">
        <f>"High"</f>
        <v/>
      </c>
      <c r="I486">
        <f>TRIM(IF(LEN(IF(LEN(INDEX('Providers'!$F$4:$F$503,483))=0,"",INDEX('Providers'!$F$4:$F$503,483)))=0,"","License no.: "&amp;IF(LEN(INDEX('Providers'!$F$4:$F$503,483))=0,"",INDEX('Providers'!$F$4:$F$503,483))&amp;". ")&amp;IF(LEN(IF(LEN(INDEX('Providers'!$C$4:$C$503,483))=0,"",INDEX('Providers'!$C$4:$C$503,483)))=0,"","NPI: "&amp;IF(LEN(INDEX('Providers'!$C$4:$C$503,483))=0,"",INDEX('Providers'!$C$4:$C$503,483))&amp;". ")&amp;IF(LEN(IF(LEN(INDEX('Providers'!$D$4:$D$503,483))=0,"",INDEX('Providers'!$D$4:$D$503,483)))=0,"","Specialty: "&amp;IF(LEN(INDEX('Providers'!$D$4:$D$503,483))=0,"",INDEX('Providers'!$D$4:$D$503,483))&amp;". ")&amp;IF(LEN(IF(LEN(INDEX('Providers'!$AK$4:$AK$503,483))=0,"",INDEX('Providers'!$AK$4:$AK$503,483)))=0,"",IF(LEN(INDEX('Providers'!$AK$4:$AK$503,483))=0,"",INDEX('Providers'!$AK$4:$AK$503,483))))</f>
        <v/>
      </c>
      <c r="J486">
        <f>IF(LEN(INDEX('Providers'!$AJ$4:$AJ$503,483))=0,"",INDEX('Providers'!$AJ$4:$AJ$503,483))</f>
        <v/>
      </c>
      <c r="K486">
        <f>IF(LEN(INDEX('Providers'!$AI$4:$AI$503,483))=0,"",INDEX('Providers'!$AI$4:$AI$503,483))</f>
        <v/>
      </c>
    </row>
    <row r="487">
      <c r="A487">
        <f>IF(AND(LEN('Providers'!A487)&gt;0,ISNUMBER('Providers'!G487)),1,0)</f>
        <v/>
      </c>
      <c r="B487">
        <f>B486+A487</f>
        <v/>
      </c>
      <c r="C487">
        <f>IF(484&gt;$B$4503,"",MATCH(484-0.5,$B$3:$B$4503,1))</f>
        <v/>
      </c>
      <c r="D487">
        <f>"State license ("&amp;IF(LEN(INDEX('Providers'!$E$4:$E$503,484))=0,"",INDEX('Providers'!$E$4:$E$503,484))&amp;") – "&amp;IF(LEN(INDEX('Providers'!$A$4:$A$503,484))=0,"",INDEX('Providers'!$A$4:$A$503,484))</f>
        <v/>
      </c>
      <c r="E487">
        <f>IF(ISNUMBER(INDEX('Providers'!$G$4:$G$503,484)),TEXT(INDEX('Providers'!$G$4:$G$503,484),"yyyy-mm-dd"),"")</f>
        <v/>
      </c>
      <c r="F487">
        <f>"License"</f>
        <v/>
      </c>
      <c r="G487">
        <f>""</f>
        <v/>
      </c>
      <c r="H487">
        <f>"High"</f>
        <v/>
      </c>
      <c r="I487">
        <f>TRIM(IF(LEN(IF(LEN(INDEX('Providers'!$F$4:$F$503,484))=0,"",INDEX('Providers'!$F$4:$F$503,484)))=0,"","License no.: "&amp;IF(LEN(INDEX('Providers'!$F$4:$F$503,484))=0,"",INDEX('Providers'!$F$4:$F$503,484))&amp;". ")&amp;IF(LEN(IF(LEN(INDEX('Providers'!$C$4:$C$503,484))=0,"",INDEX('Providers'!$C$4:$C$503,484)))=0,"","NPI: "&amp;IF(LEN(INDEX('Providers'!$C$4:$C$503,484))=0,"",INDEX('Providers'!$C$4:$C$503,484))&amp;". ")&amp;IF(LEN(IF(LEN(INDEX('Providers'!$D$4:$D$503,484))=0,"",INDEX('Providers'!$D$4:$D$503,484)))=0,"","Specialty: "&amp;IF(LEN(INDEX('Providers'!$D$4:$D$503,484))=0,"",INDEX('Providers'!$D$4:$D$503,484))&amp;". ")&amp;IF(LEN(IF(LEN(INDEX('Providers'!$AK$4:$AK$503,484))=0,"",INDEX('Providers'!$AK$4:$AK$503,484)))=0,"",IF(LEN(INDEX('Providers'!$AK$4:$AK$503,484))=0,"",INDEX('Providers'!$AK$4:$AK$503,484))))</f>
        <v/>
      </c>
      <c r="J487">
        <f>IF(LEN(INDEX('Providers'!$AJ$4:$AJ$503,484))=0,"",INDEX('Providers'!$AJ$4:$AJ$503,484))</f>
        <v/>
      </c>
      <c r="K487">
        <f>IF(LEN(INDEX('Providers'!$AI$4:$AI$503,484))=0,"",INDEX('Providers'!$AI$4:$AI$503,484))</f>
        <v/>
      </c>
    </row>
    <row r="488">
      <c r="A488">
        <f>IF(AND(LEN('Providers'!A488)&gt;0,ISNUMBER('Providers'!G488)),1,0)</f>
        <v/>
      </c>
      <c r="B488">
        <f>B487+A488</f>
        <v/>
      </c>
      <c r="C488">
        <f>IF(485&gt;$B$4503,"",MATCH(485-0.5,$B$3:$B$4503,1))</f>
        <v/>
      </c>
      <c r="D488">
        <f>"State license ("&amp;IF(LEN(INDEX('Providers'!$E$4:$E$503,485))=0,"",INDEX('Providers'!$E$4:$E$503,485))&amp;") – "&amp;IF(LEN(INDEX('Providers'!$A$4:$A$503,485))=0,"",INDEX('Providers'!$A$4:$A$503,485))</f>
        <v/>
      </c>
      <c r="E488">
        <f>IF(ISNUMBER(INDEX('Providers'!$G$4:$G$503,485)),TEXT(INDEX('Providers'!$G$4:$G$503,485),"yyyy-mm-dd"),"")</f>
        <v/>
      </c>
      <c r="F488">
        <f>"License"</f>
        <v/>
      </c>
      <c r="G488">
        <f>""</f>
        <v/>
      </c>
      <c r="H488">
        <f>"High"</f>
        <v/>
      </c>
      <c r="I488">
        <f>TRIM(IF(LEN(IF(LEN(INDEX('Providers'!$F$4:$F$503,485))=0,"",INDEX('Providers'!$F$4:$F$503,485)))=0,"","License no.: "&amp;IF(LEN(INDEX('Providers'!$F$4:$F$503,485))=0,"",INDEX('Providers'!$F$4:$F$503,485))&amp;". ")&amp;IF(LEN(IF(LEN(INDEX('Providers'!$C$4:$C$503,485))=0,"",INDEX('Providers'!$C$4:$C$503,485)))=0,"","NPI: "&amp;IF(LEN(INDEX('Providers'!$C$4:$C$503,485))=0,"",INDEX('Providers'!$C$4:$C$503,485))&amp;". ")&amp;IF(LEN(IF(LEN(INDEX('Providers'!$D$4:$D$503,485))=0,"",INDEX('Providers'!$D$4:$D$503,485)))=0,"","Specialty: "&amp;IF(LEN(INDEX('Providers'!$D$4:$D$503,485))=0,"",INDEX('Providers'!$D$4:$D$503,485))&amp;". ")&amp;IF(LEN(IF(LEN(INDEX('Providers'!$AK$4:$AK$503,485))=0,"",INDEX('Providers'!$AK$4:$AK$503,485)))=0,"",IF(LEN(INDEX('Providers'!$AK$4:$AK$503,485))=0,"",INDEX('Providers'!$AK$4:$AK$503,485))))</f>
        <v/>
      </c>
      <c r="J488">
        <f>IF(LEN(INDEX('Providers'!$AJ$4:$AJ$503,485))=0,"",INDEX('Providers'!$AJ$4:$AJ$503,485))</f>
        <v/>
      </c>
      <c r="K488">
        <f>IF(LEN(INDEX('Providers'!$AI$4:$AI$503,485))=0,"",INDEX('Providers'!$AI$4:$AI$503,485))</f>
        <v/>
      </c>
    </row>
    <row r="489">
      <c r="A489">
        <f>IF(AND(LEN('Providers'!A489)&gt;0,ISNUMBER('Providers'!G489)),1,0)</f>
        <v/>
      </c>
      <c r="B489">
        <f>B488+A489</f>
        <v/>
      </c>
      <c r="C489">
        <f>IF(486&gt;$B$4503,"",MATCH(486-0.5,$B$3:$B$4503,1))</f>
        <v/>
      </c>
      <c r="D489">
        <f>"State license ("&amp;IF(LEN(INDEX('Providers'!$E$4:$E$503,486))=0,"",INDEX('Providers'!$E$4:$E$503,486))&amp;") – "&amp;IF(LEN(INDEX('Providers'!$A$4:$A$503,486))=0,"",INDEX('Providers'!$A$4:$A$503,486))</f>
        <v/>
      </c>
      <c r="E489">
        <f>IF(ISNUMBER(INDEX('Providers'!$G$4:$G$503,486)),TEXT(INDEX('Providers'!$G$4:$G$503,486),"yyyy-mm-dd"),"")</f>
        <v/>
      </c>
      <c r="F489">
        <f>"License"</f>
        <v/>
      </c>
      <c r="G489">
        <f>""</f>
        <v/>
      </c>
      <c r="H489">
        <f>"High"</f>
        <v/>
      </c>
      <c r="I489">
        <f>TRIM(IF(LEN(IF(LEN(INDEX('Providers'!$F$4:$F$503,486))=0,"",INDEX('Providers'!$F$4:$F$503,486)))=0,"","License no.: "&amp;IF(LEN(INDEX('Providers'!$F$4:$F$503,486))=0,"",INDEX('Providers'!$F$4:$F$503,486))&amp;". ")&amp;IF(LEN(IF(LEN(INDEX('Providers'!$C$4:$C$503,486))=0,"",INDEX('Providers'!$C$4:$C$503,486)))=0,"","NPI: "&amp;IF(LEN(INDEX('Providers'!$C$4:$C$503,486))=0,"",INDEX('Providers'!$C$4:$C$503,486))&amp;". ")&amp;IF(LEN(IF(LEN(INDEX('Providers'!$D$4:$D$503,486))=0,"",INDEX('Providers'!$D$4:$D$503,486)))=0,"","Specialty: "&amp;IF(LEN(INDEX('Providers'!$D$4:$D$503,486))=0,"",INDEX('Providers'!$D$4:$D$503,486))&amp;". ")&amp;IF(LEN(IF(LEN(INDEX('Providers'!$AK$4:$AK$503,486))=0,"",INDEX('Providers'!$AK$4:$AK$503,486)))=0,"",IF(LEN(INDEX('Providers'!$AK$4:$AK$503,486))=0,"",INDEX('Providers'!$AK$4:$AK$503,486))))</f>
        <v/>
      </c>
      <c r="J489">
        <f>IF(LEN(INDEX('Providers'!$AJ$4:$AJ$503,486))=0,"",INDEX('Providers'!$AJ$4:$AJ$503,486))</f>
        <v/>
      </c>
      <c r="K489">
        <f>IF(LEN(INDEX('Providers'!$AI$4:$AI$503,486))=0,"",INDEX('Providers'!$AI$4:$AI$503,486))</f>
        <v/>
      </c>
    </row>
    <row r="490">
      <c r="A490">
        <f>IF(AND(LEN('Providers'!A490)&gt;0,ISNUMBER('Providers'!G490)),1,0)</f>
        <v/>
      </c>
      <c r="B490">
        <f>B489+A490</f>
        <v/>
      </c>
      <c r="C490">
        <f>IF(487&gt;$B$4503,"",MATCH(487-0.5,$B$3:$B$4503,1))</f>
        <v/>
      </c>
      <c r="D490">
        <f>"State license ("&amp;IF(LEN(INDEX('Providers'!$E$4:$E$503,487))=0,"",INDEX('Providers'!$E$4:$E$503,487))&amp;") – "&amp;IF(LEN(INDEX('Providers'!$A$4:$A$503,487))=0,"",INDEX('Providers'!$A$4:$A$503,487))</f>
        <v/>
      </c>
      <c r="E490">
        <f>IF(ISNUMBER(INDEX('Providers'!$G$4:$G$503,487)),TEXT(INDEX('Providers'!$G$4:$G$503,487),"yyyy-mm-dd"),"")</f>
        <v/>
      </c>
      <c r="F490">
        <f>"License"</f>
        <v/>
      </c>
      <c r="G490">
        <f>""</f>
        <v/>
      </c>
      <c r="H490">
        <f>"High"</f>
        <v/>
      </c>
      <c r="I490">
        <f>TRIM(IF(LEN(IF(LEN(INDEX('Providers'!$F$4:$F$503,487))=0,"",INDEX('Providers'!$F$4:$F$503,487)))=0,"","License no.: "&amp;IF(LEN(INDEX('Providers'!$F$4:$F$503,487))=0,"",INDEX('Providers'!$F$4:$F$503,487))&amp;". ")&amp;IF(LEN(IF(LEN(INDEX('Providers'!$C$4:$C$503,487))=0,"",INDEX('Providers'!$C$4:$C$503,487)))=0,"","NPI: "&amp;IF(LEN(INDEX('Providers'!$C$4:$C$503,487))=0,"",INDEX('Providers'!$C$4:$C$503,487))&amp;". ")&amp;IF(LEN(IF(LEN(INDEX('Providers'!$D$4:$D$503,487))=0,"",INDEX('Providers'!$D$4:$D$503,487)))=0,"","Specialty: "&amp;IF(LEN(INDEX('Providers'!$D$4:$D$503,487))=0,"",INDEX('Providers'!$D$4:$D$503,487))&amp;". ")&amp;IF(LEN(IF(LEN(INDEX('Providers'!$AK$4:$AK$503,487))=0,"",INDEX('Providers'!$AK$4:$AK$503,487)))=0,"",IF(LEN(INDEX('Providers'!$AK$4:$AK$503,487))=0,"",INDEX('Providers'!$AK$4:$AK$503,487))))</f>
        <v/>
      </c>
      <c r="J490">
        <f>IF(LEN(INDEX('Providers'!$AJ$4:$AJ$503,487))=0,"",INDEX('Providers'!$AJ$4:$AJ$503,487))</f>
        <v/>
      </c>
      <c r="K490">
        <f>IF(LEN(INDEX('Providers'!$AI$4:$AI$503,487))=0,"",INDEX('Providers'!$AI$4:$AI$503,487))</f>
        <v/>
      </c>
    </row>
    <row r="491">
      <c r="A491">
        <f>IF(AND(LEN('Providers'!A491)&gt;0,ISNUMBER('Providers'!G491)),1,0)</f>
        <v/>
      </c>
      <c r="B491">
        <f>B490+A491</f>
        <v/>
      </c>
      <c r="C491">
        <f>IF(488&gt;$B$4503,"",MATCH(488-0.5,$B$3:$B$4503,1))</f>
        <v/>
      </c>
      <c r="D491">
        <f>"State license ("&amp;IF(LEN(INDEX('Providers'!$E$4:$E$503,488))=0,"",INDEX('Providers'!$E$4:$E$503,488))&amp;") – "&amp;IF(LEN(INDEX('Providers'!$A$4:$A$503,488))=0,"",INDEX('Providers'!$A$4:$A$503,488))</f>
        <v/>
      </c>
      <c r="E491">
        <f>IF(ISNUMBER(INDEX('Providers'!$G$4:$G$503,488)),TEXT(INDEX('Providers'!$G$4:$G$503,488),"yyyy-mm-dd"),"")</f>
        <v/>
      </c>
      <c r="F491">
        <f>"License"</f>
        <v/>
      </c>
      <c r="G491">
        <f>""</f>
        <v/>
      </c>
      <c r="H491">
        <f>"High"</f>
        <v/>
      </c>
      <c r="I491">
        <f>TRIM(IF(LEN(IF(LEN(INDEX('Providers'!$F$4:$F$503,488))=0,"",INDEX('Providers'!$F$4:$F$503,488)))=0,"","License no.: "&amp;IF(LEN(INDEX('Providers'!$F$4:$F$503,488))=0,"",INDEX('Providers'!$F$4:$F$503,488))&amp;". ")&amp;IF(LEN(IF(LEN(INDEX('Providers'!$C$4:$C$503,488))=0,"",INDEX('Providers'!$C$4:$C$503,488)))=0,"","NPI: "&amp;IF(LEN(INDEX('Providers'!$C$4:$C$503,488))=0,"",INDEX('Providers'!$C$4:$C$503,488))&amp;". ")&amp;IF(LEN(IF(LEN(INDEX('Providers'!$D$4:$D$503,488))=0,"",INDEX('Providers'!$D$4:$D$503,488)))=0,"","Specialty: "&amp;IF(LEN(INDEX('Providers'!$D$4:$D$503,488))=0,"",INDEX('Providers'!$D$4:$D$503,488))&amp;". ")&amp;IF(LEN(IF(LEN(INDEX('Providers'!$AK$4:$AK$503,488))=0,"",INDEX('Providers'!$AK$4:$AK$503,488)))=0,"",IF(LEN(INDEX('Providers'!$AK$4:$AK$503,488))=0,"",INDEX('Providers'!$AK$4:$AK$503,488))))</f>
        <v/>
      </c>
      <c r="J491">
        <f>IF(LEN(INDEX('Providers'!$AJ$4:$AJ$503,488))=0,"",INDEX('Providers'!$AJ$4:$AJ$503,488))</f>
        <v/>
      </c>
      <c r="K491">
        <f>IF(LEN(INDEX('Providers'!$AI$4:$AI$503,488))=0,"",INDEX('Providers'!$AI$4:$AI$503,488))</f>
        <v/>
      </c>
    </row>
    <row r="492">
      <c r="A492">
        <f>IF(AND(LEN('Providers'!A492)&gt;0,ISNUMBER('Providers'!G492)),1,0)</f>
        <v/>
      </c>
      <c r="B492">
        <f>B491+A492</f>
        <v/>
      </c>
      <c r="C492">
        <f>IF(489&gt;$B$4503,"",MATCH(489-0.5,$B$3:$B$4503,1))</f>
        <v/>
      </c>
      <c r="D492">
        <f>"State license ("&amp;IF(LEN(INDEX('Providers'!$E$4:$E$503,489))=0,"",INDEX('Providers'!$E$4:$E$503,489))&amp;") – "&amp;IF(LEN(INDEX('Providers'!$A$4:$A$503,489))=0,"",INDEX('Providers'!$A$4:$A$503,489))</f>
        <v/>
      </c>
      <c r="E492">
        <f>IF(ISNUMBER(INDEX('Providers'!$G$4:$G$503,489)),TEXT(INDEX('Providers'!$G$4:$G$503,489),"yyyy-mm-dd"),"")</f>
        <v/>
      </c>
      <c r="F492">
        <f>"License"</f>
        <v/>
      </c>
      <c r="G492">
        <f>""</f>
        <v/>
      </c>
      <c r="H492">
        <f>"High"</f>
        <v/>
      </c>
      <c r="I492">
        <f>TRIM(IF(LEN(IF(LEN(INDEX('Providers'!$F$4:$F$503,489))=0,"",INDEX('Providers'!$F$4:$F$503,489)))=0,"","License no.: "&amp;IF(LEN(INDEX('Providers'!$F$4:$F$503,489))=0,"",INDEX('Providers'!$F$4:$F$503,489))&amp;". ")&amp;IF(LEN(IF(LEN(INDEX('Providers'!$C$4:$C$503,489))=0,"",INDEX('Providers'!$C$4:$C$503,489)))=0,"","NPI: "&amp;IF(LEN(INDEX('Providers'!$C$4:$C$503,489))=0,"",INDEX('Providers'!$C$4:$C$503,489))&amp;". ")&amp;IF(LEN(IF(LEN(INDEX('Providers'!$D$4:$D$503,489))=0,"",INDEX('Providers'!$D$4:$D$503,489)))=0,"","Specialty: "&amp;IF(LEN(INDEX('Providers'!$D$4:$D$503,489))=0,"",INDEX('Providers'!$D$4:$D$503,489))&amp;". ")&amp;IF(LEN(IF(LEN(INDEX('Providers'!$AK$4:$AK$503,489))=0,"",INDEX('Providers'!$AK$4:$AK$503,489)))=0,"",IF(LEN(INDEX('Providers'!$AK$4:$AK$503,489))=0,"",INDEX('Providers'!$AK$4:$AK$503,489))))</f>
        <v/>
      </c>
      <c r="J492">
        <f>IF(LEN(INDEX('Providers'!$AJ$4:$AJ$503,489))=0,"",INDEX('Providers'!$AJ$4:$AJ$503,489))</f>
        <v/>
      </c>
      <c r="K492">
        <f>IF(LEN(INDEX('Providers'!$AI$4:$AI$503,489))=0,"",INDEX('Providers'!$AI$4:$AI$503,489))</f>
        <v/>
      </c>
    </row>
    <row r="493">
      <c r="A493">
        <f>IF(AND(LEN('Providers'!A493)&gt;0,ISNUMBER('Providers'!G493)),1,0)</f>
        <v/>
      </c>
      <c r="B493">
        <f>B492+A493</f>
        <v/>
      </c>
      <c r="C493">
        <f>IF(490&gt;$B$4503,"",MATCH(490-0.5,$B$3:$B$4503,1))</f>
        <v/>
      </c>
      <c r="D493">
        <f>"State license ("&amp;IF(LEN(INDEX('Providers'!$E$4:$E$503,490))=0,"",INDEX('Providers'!$E$4:$E$503,490))&amp;") – "&amp;IF(LEN(INDEX('Providers'!$A$4:$A$503,490))=0,"",INDEX('Providers'!$A$4:$A$503,490))</f>
        <v/>
      </c>
      <c r="E493">
        <f>IF(ISNUMBER(INDEX('Providers'!$G$4:$G$503,490)),TEXT(INDEX('Providers'!$G$4:$G$503,490),"yyyy-mm-dd"),"")</f>
        <v/>
      </c>
      <c r="F493">
        <f>"License"</f>
        <v/>
      </c>
      <c r="G493">
        <f>""</f>
        <v/>
      </c>
      <c r="H493">
        <f>"High"</f>
        <v/>
      </c>
      <c r="I493">
        <f>TRIM(IF(LEN(IF(LEN(INDEX('Providers'!$F$4:$F$503,490))=0,"",INDEX('Providers'!$F$4:$F$503,490)))=0,"","License no.: "&amp;IF(LEN(INDEX('Providers'!$F$4:$F$503,490))=0,"",INDEX('Providers'!$F$4:$F$503,490))&amp;". ")&amp;IF(LEN(IF(LEN(INDEX('Providers'!$C$4:$C$503,490))=0,"",INDEX('Providers'!$C$4:$C$503,490)))=0,"","NPI: "&amp;IF(LEN(INDEX('Providers'!$C$4:$C$503,490))=0,"",INDEX('Providers'!$C$4:$C$503,490))&amp;". ")&amp;IF(LEN(IF(LEN(INDEX('Providers'!$D$4:$D$503,490))=0,"",INDEX('Providers'!$D$4:$D$503,490)))=0,"","Specialty: "&amp;IF(LEN(INDEX('Providers'!$D$4:$D$503,490))=0,"",INDEX('Providers'!$D$4:$D$503,490))&amp;". ")&amp;IF(LEN(IF(LEN(INDEX('Providers'!$AK$4:$AK$503,490))=0,"",INDEX('Providers'!$AK$4:$AK$503,490)))=0,"",IF(LEN(INDEX('Providers'!$AK$4:$AK$503,490))=0,"",INDEX('Providers'!$AK$4:$AK$503,490))))</f>
        <v/>
      </c>
      <c r="J493">
        <f>IF(LEN(INDEX('Providers'!$AJ$4:$AJ$503,490))=0,"",INDEX('Providers'!$AJ$4:$AJ$503,490))</f>
        <v/>
      </c>
      <c r="K493">
        <f>IF(LEN(INDEX('Providers'!$AI$4:$AI$503,490))=0,"",INDEX('Providers'!$AI$4:$AI$503,490))</f>
        <v/>
      </c>
    </row>
    <row r="494">
      <c r="A494">
        <f>IF(AND(LEN('Providers'!A494)&gt;0,ISNUMBER('Providers'!G494)),1,0)</f>
        <v/>
      </c>
      <c r="B494">
        <f>B493+A494</f>
        <v/>
      </c>
      <c r="C494">
        <f>IF(491&gt;$B$4503,"",MATCH(491-0.5,$B$3:$B$4503,1))</f>
        <v/>
      </c>
      <c r="D494">
        <f>"State license ("&amp;IF(LEN(INDEX('Providers'!$E$4:$E$503,491))=0,"",INDEX('Providers'!$E$4:$E$503,491))&amp;") – "&amp;IF(LEN(INDEX('Providers'!$A$4:$A$503,491))=0,"",INDEX('Providers'!$A$4:$A$503,491))</f>
        <v/>
      </c>
      <c r="E494">
        <f>IF(ISNUMBER(INDEX('Providers'!$G$4:$G$503,491)),TEXT(INDEX('Providers'!$G$4:$G$503,491),"yyyy-mm-dd"),"")</f>
        <v/>
      </c>
      <c r="F494">
        <f>"License"</f>
        <v/>
      </c>
      <c r="G494">
        <f>""</f>
        <v/>
      </c>
      <c r="H494">
        <f>"High"</f>
        <v/>
      </c>
      <c r="I494">
        <f>TRIM(IF(LEN(IF(LEN(INDEX('Providers'!$F$4:$F$503,491))=0,"",INDEX('Providers'!$F$4:$F$503,491)))=0,"","License no.: "&amp;IF(LEN(INDEX('Providers'!$F$4:$F$503,491))=0,"",INDEX('Providers'!$F$4:$F$503,491))&amp;". ")&amp;IF(LEN(IF(LEN(INDEX('Providers'!$C$4:$C$503,491))=0,"",INDEX('Providers'!$C$4:$C$503,491)))=0,"","NPI: "&amp;IF(LEN(INDEX('Providers'!$C$4:$C$503,491))=0,"",INDEX('Providers'!$C$4:$C$503,491))&amp;". ")&amp;IF(LEN(IF(LEN(INDEX('Providers'!$D$4:$D$503,491))=0,"",INDEX('Providers'!$D$4:$D$503,491)))=0,"","Specialty: "&amp;IF(LEN(INDEX('Providers'!$D$4:$D$503,491))=0,"",INDEX('Providers'!$D$4:$D$503,491))&amp;". ")&amp;IF(LEN(IF(LEN(INDEX('Providers'!$AK$4:$AK$503,491))=0,"",INDEX('Providers'!$AK$4:$AK$503,491)))=0,"",IF(LEN(INDEX('Providers'!$AK$4:$AK$503,491))=0,"",INDEX('Providers'!$AK$4:$AK$503,491))))</f>
        <v/>
      </c>
      <c r="J494">
        <f>IF(LEN(INDEX('Providers'!$AJ$4:$AJ$503,491))=0,"",INDEX('Providers'!$AJ$4:$AJ$503,491))</f>
        <v/>
      </c>
      <c r="K494">
        <f>IF(LEN(INDEX('Providers'!$AI$4:$AI$503,491))=0,"",INDEX('Providers'!$AI$4:$AI$503,491))</f>
        <v/>
      </c>
    </row>
    <row r="495">
      <c r="A495">
        <f>IF(AND(LEN('Providers'!A495)&gt;0,ISNUMBER('Providers'!G495)),1,0)</f>
        <v/>
      </c>
      <c r="B495">
        <f>B494+A495</f>
        <v/>
      </c>
      <c r="C495">
        <f>IF(492&gt;$B$4503,"",MATCH(492-0.5,$B$3:$B$4503,1))</f>
        <v/>
      </c>
      <c r="D495">
        <f>"State license ("&amp;IF(LEN(INDEX('Providers'!$E$4:$E$503,492))=0,"",INDEX('Providers'!$E$4:$E$503,492))&amp;") – "&amp;IF(LEN(INDEX('Providers'!$A$4:$A$503,492))=0,"",INDEX('Providers'!$A$4:$A$503,492))</f>
        <v/>
      </c>
      <c r="E495">
        <f>IF(ISNUMBER(INDEX('Providers'!$G$4:$G$503,492)),TEXT(INDEX('Providers'!$G$4:$G$503,492),"yyyy-mm-dd"),"")</f>
        <v/>
      </c>
      <c r="F495">
        <f>"License"</f>
        <v/>
      </c>
      <c r="G495">
        <f>""</f>
        <v/>
      </c>
      <c r="H495">
        <f>"High"</f>
        <v/>
      </c>
      <c r="I495">
        <f>TRIM(IF(LEN(IF(LEN(INDEX('Providers'!$F$4:$F$503,492))=0,"",INDEX('Providers'!$F$4:$F$503,492)))=0,"","License no.: "&amp;IF(LEN(INDEX('Providers'!$F$4:$F$503,492))=0,"",INDEX('Providers'!$F$4:$F$503,492))&amp;". ")&amp;IF(LEN(IF(LEN(INDEX('Providers'!$C$4:$C$503,492))=0,"",INDEX('Providers'!$C$4:$C$503,492)))=0,"","NPI: "&amp;IF(LEN(INDEX('Providers'!$C$4:$C$503,492))=0,"",INDEX('Providers'!$C$4:$C$503,492))&amp;". ")&amp;IF(LEN(IF(LEN(INDEX('Providers'!$D$4:$D$503,492))=0,"",INDEX('Providers'!$D$4:$D$503,492)))=0,"","Specialty: "&amp;IF(LEN(INDEX('Providers'!$D$4:$D$503,492))=0,"",INDEX('Providers'!$D$4:$D$503,492))&amp;". ")&amp;IF(LEN(IF(LEN(INDEX('Providers'!$AK$4:$AK$503,492))=0,"",INDEX('Providers'!$AK$4:$AK$503,492)))=0,"",IF(LEN(INDEX('Providers'!$AK$4:$AK$503,492))=0,"",INDEX('Providers'!$AK$4:$AK$503,492))))</f>
        <v/>
      </c>
      <c r="J495">
        <f>IF(LEN(INDEX('Providers'!$AJ$4:$AJ$503,492))=0,"",INDEX('Providers'!$AJ$4:$AJ$503,492))</f>
        <v/>
      </c>
      <c r="K495">
        <f>IF(LEN(INDEX('Providers'!$AI$4:$AI$503,492))=0,"",INDEX('Providers'!$AI$4:$AI$503,492))</f>
        <v/>
      </c>
    </row>
    <row r="496">
      <c r="A496">
        <f>IF(AND(LEN('Providers'!A496)&gt;0,ISNUMBER('Providers'!G496)),1,0)</f>
        <v/>
      </c>
      <c r="B496">
        <f>B495+A496</f>
        <v/>
      </c>
      <c r="C496">
        <f>IF(493&gt;$B$4503,"",MATCH(493-0.5,$B$3:$B$4503,1))</f>
        <v/>
      </c>
      <c r="D496">
        <f>"State license ("&amp;IF(LEN(INDEX('Providers'!$E$4:$E$503,493))=0,"",INDEX('Providers'!$E$4:$E$503,493))&amp;") – "&amp;IF(LEN(INDEX('Providers'!$A$4:$A$503,493))=0,"",INDEX('Providers'!$A$4:$A$503,493))</f>
        <v/>
      </c>
      <c r="E496">
        <f>IF(ISNUMBER(INDEX('Providers'!$G$4:$G$503,493)),TEXT(INDEX('Providers'!$G$4:$G$503,493),"yyyy-mm-dd"),"")</f>
        <v/>
      </c>
      <c r="F496">
        <f>"License"</f>
        <v/>
      </c>
      <c r="G496">
        <f>""</f>
        <v/>
      </c>
      <c r="H496">
        <f>"High"</f>
        <v/>
      </c>
      <c r="I496">
        <f>TRIM(IF(LEN(IF(LEN(INDEX('Providers'!$F$4:$F$503,493))=0,"",INDEX('Providers'!$F$4:$F$503,493)))=0,"","License no.: "&amp;IF(LEN(INDEX('Providers'!$F$4:$F$503,493))=0,"",INDEX('Providers'!$F$4:$F$503,493))&amp;". ")&amp;IF(LEN(IF(LEN(INDEX('Providers'!$C$4:$C$503,493))=0,"",INDEX('Providers'!$C$4:$C$503,493)))=0,"","NPI: "&amp;IF(LEN(INDEX('Providers'!$C$4:$C$503,493))=0,"",INDEX('Providers'!$C$4:$C$503,493))&amp;". ")&amp;IF(LEN(IF(LEN(INDEX('Providers'!$D$4:$D$503,493))=0,"",INDEX('Providers'!$D$4:$D$503,493)))=0,"","Specialty: "&amp;IF(LEN(INDEX('Providers'!$D$4:$D$503,493))=0,"",INDEX('Providers'!$D$4:$D$503,493))&amp;". ")&amp;IF(LEN(IF(LEN(INDEX('Providers'!$AK$4:$AK$503,493))=0,"",INDEX('Providers'!$AK$4:$AK$503,493)))=0,"",IF(LEN(INDEX('Providers'!$AK$4:$AK$503,493))=0,"",INDEX('Providers'!$AK$4:$AK$503,493))))</f>
        <v/>
      </c>
      <c r="J496">
        <f>IF(LEN(INDEX('Providers'!$AJ$4:$AJ$503,493))=0,"",INDEX('Providers'!$AJ$4:$AJ$503,493))</f>
        <v/>
      </c>
      <c r="K496">
        <f>IF(LEN(INDEX('Providers'!$AI$4:$AI$503,493))=0,"",INDEX('Providers'!$AI$4:$AI$503,493))</f>
        <v/>
      </c>
    </row>
    <row r="497">
      <c r="A497">
        <f>IF(AND(LEN('Providers'!A497)&gt;0,ISNUMBER('Providers'!G497)),1,0)</f>
        <v/>
      </c>
      <c r="B497">
        <f>B496+A497</f>
        <v/>
      </c>
      <c r="C497">
        <f>IF(494&gt;$B$4503,"",MATCH(494-0.5,$B$3:$B$4503,1))</f>
        <v/>
      </c>
      <c r="D497">
        <f>"State license ("&amp;IF(LEN(INDEX('Providers'!$E$4:$E$503,494))=0,"",INDEX('Providers'!$E$4:$E$503,494))&amp;") – "&amp;IF(LEN(INDEX('Providers'!$A$4:$A$503,494))=0,"",INDEX('Providers'!$A$4:$A$503,494))</f>
        <v/>
      </c>
      <c r="E497">
        <f>IF(ISNUMBER(INDEX('Providers'!$G$4:$G$503,494)),TEXT(INDEX('Providers'!$G$4:$G$503,494),"yyyy-mm-dd"),"")</f>
        <v/>
      </c>
      <c r="F497">
        <f>"License"</f>
        <v/>
      </c>
      <c r="G497">
        <f>""</f>
        <v/>
      </c>
      <c r="H497">
        <f>"High"</f>
        <v/>
      </c>
      <c r="I497">
        <f>TRIM(IF(LEN(IF(LEN(INDEX('Providers'!$F$4:$F$503,494))=0,"",INDEX('Providers'!$F$4:$F$503,494)))=0,"","License no.: "&amp;IF(LEN(INDEX('Providers'!$F$4:$F$503,494))=0,"",INDEX('Providers'!$F$4:$F$503,494))&amp;". ")&amp;IF(LEN(IF(LEN(INDEX('Providers'!$C$4:$C$503,494))=0,"",INDEX('Providers'!$C$4:$C$503,494)))=0,"","NPI: "&amp;IF(LEN(INDEX('Providers'!$C$4:$C$503,494))=0,"",INDEX('Providers'!$C$4:$C$503,494))&amp;". ")&amp;IF(LEN(IF(LEN(INDEX('Providers'!$D$4:$D$503,494))=0,"",INDEX('Providers'!$D$4:$D$503,494)))=0,"","Specialty: "&amp;IF(LEN(INDEX('Providers'!$D$4:$D$503,494))=0,"",INDEX('Providers'!$D$4:$D$503,494))&amp;". ")&amp;IF(LEN(IF(LEN(INDEX('Providers'!$AK$4:$AK$503,494))=0,"",INDEX('Providers'!$AK$4:$AK$503,494)))=0,"",IF(LEN(INDEX('Providers'!$AK$4:$AK$503,494))=0,"",INDEX('Providers'!$AK$4:$AK$503,494))))</f>
        <v/>
      </c>
      <c r="J497">
        <f>IF(LEN(INDEX('Providers'!$AJ$4:$AJ$503,494))=0,"",INDEX('Providers'!$AJ$4:$AJ$503,494))</f>
        <v/>
      </c>
      <c r="K497">
        <f>IF(LEN(INDEX('Providers'!$AI$4:$AI$503,494))=0,"",INDEX('Providers'!$AI$4:$AI$503,494))</f>
        <v/>
      </c>
    </row>
    <row r="498">
      <c r="A498">
        <f>IF(AND(LEN('Providers'!A498)&gt;0,ISNUMBER('Providers'!G498)),1,0)</f>
        <v/>
      </c>
      <c r="B498">
        <f>B497+A498</f>
        <v/>
      </c>
      <c r="C498">
        <f>IF(495&gt;$B$4503,"",MATCH(495-0.5,$B$3:$B$4503,1))</f>
        <v/>
      </c>
      <c r="D498">
        <f>"State license ("&amp;IF(LEN(INDEX('Providers'!$E$4:$E$503,495))=0,"",INDEX('Providers'!$E$4:$E$503,495))&amp;") – "&amp;IF(LEN(INDEX('Providers'!$A$4:$A$503,495))=0,"",INDEX('Providers'!$A$4:$A$503,495))</f>
        <v/>
      </c>
      <c r="E498">
        <f>IF(ISNUMBER(INDEX('Providers'!$G$4:$G$503,495)),TEXT(INDEX('Providers'!$G$4:$G$503,495),"yyyy-mm-dd"),"")</f>
        <v/>
      </c>
      <c r="F498">
        <f>"License"</f>
        <v/>
      </c>
      <c r="G498">
        <f>""</f>
        <v/>
      </c>
      <c r="H498">
        <f>"High"</f>
        <v/>
      </c>
      <c r="I498">
        <f>TRIM(IF(LEN(IF(LEN(INDEX('Providers'!$F$4:$F$503,495))=0,"",INDEX('Providers'!$F$4:$F$503,495)))=0,"","License no.: "&amp;IF(LEN(INDEX('Providers'!$F$4:$F$503,495))=0,"",INDEX('Providers'!$F$4:$F$503,495))&amp;". ")&amp;IF(LEN(IF(LEN(INDEX('Providers'!$C$4:$C$503,495))=0,"",INDEX('Providers'!$C$4:$C$503,495)))=0,"","NPI: "&amp;IF(LEN(INDEX('Providers'!$C$4:$C$503,495))=0,"",INDEX('Providers'!$C$4:$C$503,495))&amp;". ")&amp;IF(LEN(IF(LEN(INDEX('Providers'!$D$4:$D$503,495))=0,"",INDEX('Providers'!$D$4:$D$503,495)))=0,"","Specialty: "&amp;IF(LEN(INDEX('Providers'!$D$4:$D$503,495))=0,"",INDEX('Providers'!$D$4:$D$503,495))&amp;". ")&amp;IF(LEN(IF(LEN(INDEX('Providers'!$AK$4:$AK$503,495))=0,"",INDEX('Providers'!$AK$4:$AK$503,495)))=0,"",IF(LEN(INDEX('Providers'!$AK$4:$AK$503,495))=0,"",INDEX('Providers'!$AK$4:$AK$503,495))))</f>
        <v/>
      </c>
      <c r="J498">
        <f>IF(LEN(INDEX('Providers'!$AJ$4:$AJ$503,495))=0,"",INDEX('Providers'!$AJ$4:$AJ$503,495))</f>
        <v/>
      </c>
      <c r="K498">
        <f>IF(LEN(INDEX('Providers'!$AI$4:$AI$503,495))=0,"",INDEX('Providers'!$AI$4:$AI$503,495))</f>
        <v/>
      </c>
    </row>
    <row r="499">
      <c r="A499">
        <f>IF(AND(LEN('Providers'!A499)&gt;0,ISNUMBER('Providers'!G499)),1,0)</f>
        <v/>
      </c>
      <c r="B499">
        <f>B498+A499</f>
        <v/>
      </c>
      <c r="C499">
        <f>IF(496&gt;$B$4503,"",MATCH(496-0.5,$B$3:$B$4503,1))</f>
        <v/>
      </c>
      <c r="D499">
        <f>"State license ("&amp;IF(LEN(INDEX('Providers'!$E$4:$E$503,496))=0,"",INDEX('Providers'!$E$4:$E$503,496))&amp;") – "&amp;IF(LEN(INDEX('Providers'!$A$4:$A$503,496))=0,"",INDEX('Providers'!$A$4:$A$503,496))</f>
        <v/>
      </c>
      <c r="E499">
        <f>IF(ISNUMBER(INDEX('Providers'!$G$4:$G$503,496)),TEXT(INDEX('Providers'!$G$4:$G$503,496),"yyyy-mm-dd"),"")</f>
        <v/>
      </c>
      <c r="F499">
        <f>"License"</f>
        <v/>
      </c>
      <c r="G499">
        <f>""</f>
        <v/>
      </c>
      <c r="H499">
        <f>"High"</f>
        <v/>
      </c>
      <c r="I499">
        <f>TRIM(IF(LEN(IF(LEN(INDEX('Providers'!$F$4:$F$503,496))=0,"",INDEX('Providers'!$F$4:$F$503,496)))=0,"","License no.: "&amp;IF(LEN(INDEX('Providers'!$F$4:$F$503,496))=0,"",INDEX('Providers'!$F$4:$F$503,496))&amp;". ")&amp;IF(LEN(IF(LEN(INDEX('Providers'!$C$4:$C$503,496))=0,"",INDEX('Providers'!$C$4:$C$503,496)))=0,"","NPI: "&amp;IF(LEN(INDEX('Providers'!$C$4:$C$503,496))=0,"",INDEX('Providers'!$C$4:$C$503,496))&amp;". ")&amp;IF(LEN(IF(LEN(INDEX('Providers'!$D$4:$D$503,496))=0,"",INDEX('Providers'!$D$4:$D$503,496)))=0,"","Specialty: "&amp;IF(LEN(INDEX('Providers'!$D$4:$D$503,496))=0,"",INDEX('Providers'!$D$4:$D$503,496))&amp;". ")&amp;IF(LEN(IF(LEN(INDEX('Providers'!$AK$4:$AK$503,496))=0,"",INDEX('Providers'!$AK$4:$AK$503,496)))=0,"",IF(LEN(INDEX('Providers'!$AK$4:$AK$503,496))=0,"",INDEX('Providers'!$AK$4:$AK$503,496))))</f>
        <v/>
      </c>
      <c r="J499">
        <f>IF(LEN(INDEX('Providers'!$AJ$4:$AJ$503,496))=0,"",INDEX('Providers'!$AJ$4:$AJ$503,496))</f>
        <v/>
      </c>
      <c r="K499">
        <f>IF(LEN(INDEX('Providers'!$AI$4:$AI$503,496))=0,"",INDEX('Providers'!$AI$4:$AI$503,496))</f>
        <v/>
      </c>
    </row>
    <row r="500">
      <c r="A500">
        <f>IF(AND(LEN('Providers'!A500)&gt;0,ISNUMBER('Providers'!G500)),1,0)</f>
        <v/>
      </c>
      <c r="B500">
        <f>B499+A500</f>
        <v/>
      </c>
      <c r="C500">
        <f>IF(497&gt;$B$4503,"",MATCH(497-0.5,$B$3:$B$4503,1))</f>
        <v/>
      </c>
      <c r="D500">
        <f>"State license ("&amp;IF(LEN(INDEX('Providers'!$E$4:$E$503,497))=0,"",INDEX('Providers'!$E$4:$E$503,497))&amp;") – "&amp;IF(LEN(INDEX('Providers'!$A$4:$A$503,497))=0,"",INDEX('Providers'!$A$4:$A$503,497))</f>
        <v/>
      </c>
      <c r="E500">
        <f>IF(ISNUMBER(INDEX('Providers'!$G$4:$G$503,497)),TEXT(INDEX('Providers'!$G$4:$G$503,497),"yyyy-mm-dd"),"")</f>
        <v/>
      </c>
      <c r="F500">
        <f>"License"</f>
        <v/>
      </c>
      <c r="G500">
        <f>""</f>
        <v/>
      </c>
      <c r="H500">
        <f>"High"</f>
        <v/>
      </c>
      <c r="I500">
        <f>TRIM(IF(LEN(IF(LEN(INDEX('Providers'!$F$4:$F$503,497))=0,"",INDEX('Providers'!$F$4:$F$503,497)))=0,"","License no.: "&amp;IF(LEN(INDEX('Providers'!$F$4:$F$503,497))=0,"",INDEX('Providers'!$F$4:$F$503,497))&amp;". ")&amp;IF(LEN(IF(LEN(INDEX('Providers'!$C$4:$C$503,497))=0,"",INDEX('Providers'!$C$4:$C$503,497)))=0,"","NPI: "&amp;IF(LEN(INDEX('Providers'!$C$4:$C$503,497))=0,"",INDEX('Providers'!$C$4:$C$503,497))&amp;". ")&amp;IF(LEN(IF(LEN(INDEX('Providers'!$D$4:$D$503,497))=0,"",INDEX('Providers'!$D$4:$D$503,497)))=0,"","Specialty: "&amp;IF(LEN(INDEX('Providers'!$D$4:$D$503,497))=0,"",INDEX('Providers'!$D$4:$D$503,497))&amp;". ")&amp;IF(LEN(IF(LEN(INDEX('Providers'!$AK$4:$AK$503,497))=0,"",INDEX('Providers'!$AK$4:$AK$503,497)))=0,"",IF(LEN(INDEX('Providers'!$AK$4:$AK$503,497))=0,"",INDEX('Providers'!$AK$4:$AK$503,497))))</f>
        <v/>
      </c>
      <c r="J500">
        <f>IF(LEN(INDEX('Providers'!$AJ$4:$AJ$503,497))=0,"",INDEX('Providers'!$AJ$4:$AJ$503,497))</f>
        <v/>
      </c>
      <c r="K500">
        <f>IF(LEN(INDEX('Providers'!$AI$4:$AI$503,497))=0,"",INDEX('Providers'!$AI$4:$AI$503,497))</f>
        <v/>
      </c>
    </row>
    <row r="501">
      <c r="A501">
        <f>IF(AND(LEN('Providers'!A501)&gt;0,ISNUMBER('Providers'!G501)),1,0)</f>
        <v/>
      </c>
      <c r="B501">
        <f>B500+A501</f>
        <v/>
      </c>
      <c r="C501">
        <f>IF(498&gt;$B$4503,"",MATCH(498-0.5,$B$3:$B$4503,1))</f>
        <v/>
      </c>
      <c r="D501">
        <f>"State license ("&amp;IF(LEN(INDEX('Providers'!$E$4:$E$503,498))=0,"",INDEX('Providers'!$E$4:$E$503,498))&amp;") – "&amp;IF(LEN(INDEX('Providers'!$A$4:$A$503,498))=0,"",INDEX('Providers'!$A$4:$A$503,498))</f>
        <v/>
      </c>
      <c r="E501">
        <f>IF(ISNUMBER(INDEX('Providers'!$G$4:$G$503,498)),TEXT(INDEX('Providers'!$G$4:$G$503,498),"yyyy-mm-dd"),"")</f>
        <v/>
      </c>
      <c r="F501">
        <f>"License"</f>
        <v/>
      </c>
      <c r="G501">
        <f>""</f>
        <v/>
      </c>
      <c r="H501">
        <f>"High"</f>
        <v/>
      </c>
      <c r="I501">
        <f>TRIM(IF(LEN(IF(LEN(INDEX('Providers'!$F$4:$F$503,498))=0,"",INDEX('Providers'!$F$4:$F$503,498)))=0,"","License no.: "&amp;IF(LEN(INDEX('Providers'!$F$4:$F$503,498))=0,"",INDEX('Providers'!$F$4:$F$503,498))&amp;". ")&amp;IF(LEN(IF(LEN(INDEX('Providers'!$C$4:$C$503,498))=0,"",INDEX('Providers'!$C$4:$C$503,498)))=0,"","NPI: "&amp;IF(LEN(INDEX('Providers'!$C$4:$C$503,498))=0,"",INDEX('Providers'!$C$4:$C$503,498))&amp;". ")&amp;IF(LEN(IF(LEN(INDEX('Providers'!$D$4:$D$503,498))=0,"",INDEX('Providers'!$D$4:$D$503,498)))=0,"","Specialty: "&amp;IF(LEN(INDEX('Providers'!$D$4:$D$503,498))=0,"",INDEX('Providers'!$D$4:$D$503,498))&amp;". ")&amp;IF(LEN(IF(LEN(INDEX('Providers'!$AK$4:$AK$503,498))=0,"",INDEX('Providers'!$AK$4:$AK$503,498)))=0,"",IF(LEN(INDEX('Providers'!$AK$4:$AK$503,498))=0,"",INDEX('Providers'!$AK$4:$AK$503,498))))</f>
        <v/>
      </c>
      <c r="J501">
        <f>IF(LEN(INDEX('Providers'!$AJ$4:$AJ$503,498))=0,"",INDEX('Providers'!$AJ$4:$AJ$503,498))</f>
        <v/>
      </c>
      <c r="K501">
        <f>IF(LEN(INDEX('Providers'!$AI$4:$AI$503,498))=0,"",INDEX('Providers'!$AI$4:$AI$503,498))</f>
        <v/>
      </c>
    </row>
    <row r="502">
      <c r="A502">
        <f>IF(AND(LEN('Providers'!A502)&gt;0,ISNUMBER('Providers'!G502)),1,0)</f>
        <v/>
      </c>
      <c r="B502">
        <f>B501+A502</f>
        <v/>
      </c>
      <c r="C502">
        <f>IF(499&gt;$B$4503,"",MATCH(499-0.5,$B$3:$B$4503,1))</f>
        <v/>
      </c>
      <c r="D502">
        <f>"State license ("&amp;IF(LEN(INDEX('Providers'!$E$4:$E$503,499))=0,"",INDEX('Providers'!$E$4:$E$503,499))&amp;") – "&amp;IF(LEN(INDEX('Providers'!$A$4:$A$503,499))=0,"",INDEX('Providers'!$A$4:$A$503,499))</f>
        <v/>
      </c>
      <c r="E502">
        <f>IF(ISNUMBER(INDEX('Providers'!$G$4:$G$503,499)),TEXT(INDEX('Providers'!$G$4:$G$503,499),"yyyy-mm-dd"),"")</f>
        <v/>
      </c>
      <c r="F502">
        <f>"License"</f>
        <v/>
      </c>
      <c r="G502">
        <f>""</f>
        <v/>
      </c>
      <c r="H502">
        <f>"High"</f>
        <v/>
      </c>
      <c r="I502">
        <f>TRIM(IF(LEN(IF(LEN(INDEX('Providers'!$F$4:$F$503,499))=0,"",INDEX('Providers'!$F$4:$F$503,499)))=0,"","License no.: "&amp;IF(LEN(INDEX('Providers'!$F$4:$F$503,499))=0,"",INDEX('Providers'!$F$4:$F$503,499))&amp;". ")&amp;IF(LEN(IF(LEN(INDEX('Providers'!$C$4:$C$503,499))=0,"",INDEX('Providers'!$C$4:$C$503,499)))=0,"","NPI: "&amp;IF(LEN(INDEX('Providers'!$C$4:$C$503,499))=0,"",INDEX('Providers'!$C$4:$C$503,499))&amp;". ")&amp;IF(LEN(IF(LEN(INDEX('Providers'!$D$4:$D$503,499))=0,"",INDEX('Providers'!$D$4:$D$503,499)))=0,"","Specialty: "&amp;IF(LEN(INDEX('Providers'!$D$4:$D$503,499))=0,"",INDEX('Providers'!$D$4:$D$503,499))&amp;". ")&amp;IF(LEN(IF(LEN(INDEX('Providers'!$AK$4:$AK$503,499))=0,"",INDEX('Providers'!$AK$4:$AK$503,499)))=0,"",IF(LEN(INDEX('Providers'!$AK$4:$AK$503,499))=0,"",INDEX('Providers'!$AK$4:$AK$503,499))))</f>
        <v/>
      </c>
      <c r="J502">
        <f>IF(LEN(INDEX('Providers'!$AJ$4:$AJ$503,499))=0,"",INDEX('Providers'!$AJ$4:$AJ$503,499))</f>
        <v/>
      </c>
      <c r="K502">
        <f>IF(LEN(INDEX('Providers'!$AI$4:$AI$503,499))=0,"",INDEX('Providers'!$AI$4:$AI$503,499))</f>
        <v/>
      </c>
    </row>
    <row r="503">
      <c r="A503">
        <f>IF(AND(LEN('Providers'!A503)&gt;0,ISNUMBER('Providers'!G503)),1,0)</f>
        <v/>
      </c>
      <c r="B503">
        <f>B502+A503</f>
        <v/>
      </c>
      <c r="C503">
        <f>IF(500&gt;$B$4503,"",MATCH(500-0.5,$B$3:$B$4503,1))</f>
        <v/>
      </c>
      <c r="D503">
        <f>"State license ("&amp;IF(LEN(INDEX('Providers'!$E$4:$E$503,500))=0,"",INDEX('Providers'!$E$4:$E$503,500))&amp;") – "&amp;IF(LEN(INDEX('Providers'!$A$4:$A$503,500))=0,"",INDEX('Providers'!$A$4:$A$503,500))</f>
        <v/>
      </c>
      <c r="E503">
        <f>IF(ISNUMBER(INDEX('Providers'!$G$4:$G$503,500)),TEXT(INDEX('Providers'!$G$4:$G$503,500),"yyyy-mm-dd"),"")</f>
        <v/>
      </c>
      <c r="F503">
        <f>"License"</f>
        <v/>
      </c>
      <c r="G503">
        <f>""</f>
        <v/>
      </c>
      <c r="H503">
        <f>"High"</f>
        <v/>
      </c>
      <c r="I503">
        <f>TRIM(IF(LEN(IF(LEN(INDEX('Providers'!$F$4:$F$503,500))=0,"",INDEX('Providers'!$F$4:$F$503,500)))=0,"","License no.: "&amp;IF(LEN(INDEX('Providers'!$F$4:$F$503,500))=0,"",INDEX('Providers'!$F$4:$F$503,500))&amp;". ")&amp;IF(LEN(IF(LEN(INDEX('Providers'!$C$4:$C$503,500))=0,"",INDEX('Providers'!$C$4:$C$503,500)))=0,"","NPI: "&amp;IF(LEN(INDEX('Providers'!$C$4:$C$503,500))=0,"",INDEX('Providers'!$C$4:$C$503,500))&amp;". ")&amp;IF(LEN(IF(LEN(INDEX('Providers'!$D$4:$D$503,500))=0,"",INDEX('Providers'!$D$4:$D$503,500)))=0,"","Specialty: "&amp;IF(LEN(INDEX('Providers'!$D$4:$D$503,500))=0,"",INDEX('Providers'!$D$4:$D$503,500))&amp;". ")&amp;IF(LEN(IF(LEN(INDEX('Providers'!$AK$4:$AK$503,500))=0,"",INDEX('Providers'!$AK$4:$AK$503,500)))=0,"",IF(LEN(INDEX('Providers'!$AK$4:$AK$503,500))=0,"",INDEX('Providers'!$AK$4:$AK$503,500))))</f>
        <v/>
      </c>
      <c r="J503">
        <f>IF(LEN(INDEX('Providers'!$AJ$4:$AJ$503,500))=0,"",INDEX('Providers'!$AJ$4:$AJ$503,500))</f>
        <v/>
      </c>
      <c r="K503">
        <f>IF(LEN(INDEX('Providers'!$AI$4:$AI$503,500))=0,"",INDEX('Providers'!$AI$4:$AI$503,500))</f>
        <v/>
      </c>
    </row>
    <row r="504">
      <c r="A504">
        <f>IF(AND(LEN('Providers'!A4)&gt;0,ISNUMBER('Providers'!I4)),1,0)</f>
        <v/>
      </c>
      <c r="B504">
        <f>B503+A504</f>
        <v/>
      </c>
      <c r="C504">
        <f>IF(501&gt;$B$4503,"",MATCH(501-0.5,$B$3:$B$4503,1))</f>
        <v/>
      </c>
      <c r="D504">
        <f>"DEA registration ("&amp;IF(LEN(INDEX('Providers'!$E$4:$E$503,1))=0,"",INDEX('Providers'!$E$4:$E$503,1))&amp;") – "&amp;IF(LEN(INDEX('Providers'!$A$4:$A$503,1))=0,"",INDEX('Providers'!$A$4:$A$503,1))</f>
        <v/>
      </c>
      <c r="E504">
        <f>IF(ISNUMBER(INDEX('Providers'!$I$4:$I$503,1)),TEXT(INDEX('Providers'!$I$4:$I$503,1),"yyyy-mm-dd"),"")</f>
        <v/>
      </c>
      <c r="F504">
        <f>"Registration"</f>
        <v/>
      </c>
      <c r="G504">
        <f>""</f>
        <v/>
      </c>
      <c r="H504">
        <f>"High"</f>
        <v/>
      </c>
      <c r="I504">
        <f>TRIM(IF(LEN(IF(LEN(INDEX('Providers'!$H$4:$H$503,1))=0,"",INDEX('Providers'!$H$4:$H$503,1)))=0,"","DEA no.: "&amp;IF(LEN(INDEX('Providers'!$H$4:$H$503,1))=0,"",INDEX('Providers'!$H$4:$H$503,1))&amp;". ")&amp;IF(LEN(IF(LEN(INDEX('Providers'!$C$4:$C$503,1))=0,"",INDEX('Providers'!$C$4:$C$503,1)))=0,"","NPI: "&amp;IF(LEN(INDEX('Providers'!$C$4:$C$503,1))=0,"",INDEX('Providers'!$C$4:$C$503,1))&amp;". "))</f>
        <v/>
      </c>
      <c r="J504">
        <f>IF(LEN(INDEX('Providers'!$AJ$4:$AJ$503,1))=0,"",INDEX('Providers'!$AJ$4:$AJ$503,1))</f>
        <v/>
      </c>
      <c r="K504">
        <f>IF(LEN(INDEX('Providers'!$AI$4:$AI$503,1))=0,"",INDEX('Providers'!$AI$4:$AI$503,1))</f>
        <v/>
      </c>
    </row>
    <row r="505">
      <c r="A505">
        <f>IF(AND(LEN('Providers'!A5)&gt;0,ISNUMBER('Providers'!I5)),1,0)</f>
        <v/>
      </c>
      <c r="B505">
        <f>B504+A505</f>
        <v/>
      </c>
      <c r="C505">
        <f>IF(502&gt;$B$4503,"",MATCH(502-0.5,$B$3:$B$4503,1))</f>
        <v/>
      </c>
      <c r="D505">
        <f>"DEA registration ("&amp;IF(LEN(INDEX('Providers'!$E$4:$E$503,2))=0,"",INDEX('Providers'!$E$4:$E$503,2))&amp;") – "&amp;IF(LEN(INDEX('Providers'!$A$4:$A$503,2))=0,"",INDEX('Providers'!$A$4:$A$503,2))</f>
        <v/>
      </c>
      <c r="E505">
        <f>IF(ISNUMBER(INDEX('Providers'!$I$4:$I$503,2)),TEXT(INDEX('Providers'!$I$4:$I$503,2),"yyyy-mm-dd"),"")</f>
        <v/>
      </c>
      <c r="F505">
        <f>"Registration"</f>
        <v/>
      </c>
      <c r="G505">
        <f>""</f>
        <v/>
      </c>
      <c r="H505">
        <f>"High"</f>
        <v/>
      </c>
      <c r="I505">
        <f>TRIM(IF(LEN(IF(LEN(INDEX('Providers'!$H$4:$H$503,2))=0,"",INDEX('Providers'!$H$4:$H$503,2)))=0,"","DEA no.: "&amp;IF(LEN(INDEX('Providers'!$H$4:$H$503,2))=0,"",INDEX('Providers'!$H$4:$H$503,2))&amp;". ")&amp;IF(LEN(IF(LEN(INDEX('Providers'!$C$4:$C$503,2))=0,"",INDEX('Providers'!$C$4:$C$503,2)))=0,"","NPI: "&amp;IF(LEN(INDEX('Providers'!$C$4:$C$503,2))=0,"",INDEX('Providers'!$C$4:$C$503,2))&amp;". "))</f>
        <v/>
      </c>
      <c r="J505">
        <f>IF(LEN(INDEX('Providers'!$AJ$4:$AJ$503,2))=0,"",INDEX('Providers'!$AJ$4:$AJ$503,2))</f>
        <v/>
      </c>
      <c r="K505">
        <f>IF(LEN(INDEX('Providers'!$AI$4:$AI$503,2))=0,"",INDEX('Providers'!$AI$4:$AI$503,2))</f>
        <v/>
      </c>
    </row>
    <row r="506">
      <c r="A506">
        <f>IF(AND(LEN('Providers'!A6)&gt;0,ISNUMBER('Providers'!I6)),1,0)</f>
        <v/>
      </c>
      <c r="B506">
        <f>B505+A506</f>
        <v/>
      </c>
      <c r="C506">
        <f>IF(503&gt;$B$4503,"",MATCH(503-0.5,$B$3:$B$4503,1))</f>
        <v/>
      </c>
      <c r="D506">
        <f>"DEA registration ("&amp;IF(LEN(INDEX('Providers'!$E$4:$E$503,3))=0,"",INDEX('Providers'!$E$4:$E$503,3))&amp;") – "&amp;IF(LEN(INDEX('Providers'!$A$4:$A$503,3))=0,"",INDEX('Providers'!$A$4:$A$503,3))</f>
        <v/>
      </c>
      <c r="E506">
        <f>IF(ISNUMBER(INDEX('Providers'!$I$4:$I$503,3)),TEXT(INDEX('Providers'!$I$4:$I$503,3),"yyyy-mm-dd"),"")</f>
        <v/>
      </c>
      <c r="F506">
        <f>"Registration"</f>
        <v/>
      </c>
      <c r="G506">
        <f>""</f>
        <v/>
      </c>
      <c r="H506">
        <f>"High"</f>
        <v/>
      </c>
      <c r="I506">
        <f>TRIM(IF(LEN(IF(LEN(INDEX('Providers'!$H$4:$H$503,3))=0,"",INDEX('Providers'!$H$4:$H$503,3)))=0,"","DEA no.: "&amp;IF(LEN(INDEX('Providers'!$H$4:$H$503,3))=0,"",INDEX('Providers'!$H$4:$H$503,3))&amp;". ")&amp;IF(LEN(IF(LEN(INDEX('Providers'!$C$4:$C$503,3))=0,"",INDEX('Providers'!$C$4:$C$503,3)))=0,"","NPI: "&amp;IF(LEN(INDEX('Providers'!$C$4:$C$503,3))=0,"",INDEX('Providers'!$C$4:$C$503,3))&amp;". "))</f>
        <v/>
      </c>
      <c r="J506">
        <f>IF(LEN(INDEX('Providers'!$AJ$4:$AJ$503,3))=0,"",INDEX('Providers'!$AJ$4:$AJ$503,3))</f>
        <v/>
      </c>
      <c r="K506">
        <f>IF(LEN(INDEX('Providers'!$AI$4:$AI$503,3))=0,"",INDEX('Providers'!$AI$4:$AI$503,3))</f>
        <v/>
      </c>
    </row>
    <row r="507">
      <c r="A507">
        <f>IF(AND(LEN('Providers'!A7)&gt;0,ISNUMBER('Providers'!I7)),1,0)</f>
        <v/>
      </c>
      <c r="B507">
        <f>B506+A507</f>
        <v/>
      </c>
      <c r="C507">
        <f>IF(504&gt;$B$4503,"",MATCH(504-0.5,$B$3:$B$4503,1))</f>
        <v/>
      </c>
      <c r="D507">
        <f>"DEA registration ("&amp;IF(LEN(INDEX('Providers'!$E$4:$E$503,4))=0,"",INDEX('Providers'!$E$4:$E$503,4))&amp;") – "&amp;IF(LEN(INDEX('Providers'!$A$4:$A$503,4))=0,"",INDEX('Providers'!$A$4:$A$503,4))</f>
        <v/>
      </c>
      <c r="E507">
        <f>IF(ISNUMBER(INDEX('Providers'!$I$4:$I$503,4)),TEXT(INDEX('Providers'!$I$4:$I$503,4),"yyyy-mm-dd"),"")</f>
        <v/>
      </c>
      <c r="F507">
        <f>"Registration"</f>
        <v/>
      </c>
      <c r="G507">
        <f>""</f>
        <v/>
      </c>
      <c r="H507">
        <f>"High"</f>
        <v/>
      </c>
      <c r="I507">
        <f>TRIM(IF(LEN(IF(LEN(INDEX('Providers'!$H$4:$H$503,4))=0,"",INDEX('Providers'!$H$4:$H$503,4)))=0,"","DEA no.: "&amp;IF(LEN(INDEX('Providers'!$H$4:$H$503,4))=0,"",INDEX('Providers'!$H$4:$H$503,4))&amp;". ")&amp;IF(LEN(IF(LEN(INDEX('Providers'!$C$4:$C$503,4))=0,"",INDEX('Providers'!$C$4:$C$503,4)))=0,"","NPI: "&amp;IF(LEN(INDEX('Providers'!$C$4:$C$503,4))=0,"",INDEX('Providers'!$C$4:$C$503,4))&amp;". "))</f>
        <v/>
      </c>
      <c r="J507">
        <f>IF(LEN(INDEX('Providers'!$AJ$4:$AJ$503,4))=0,"",INDEX('Providers'!$AJ$4:$AJ$503,4))</f>
        <v/>
      </c>
      <c r="K507">
        <f>IF(LEN(INDEX('Providers'!$AI$4:$AI$503,4))=0,"",INDEX('Providers'!$AI$4:$AI$503,4))</f>
        <v/>
      </c>
    </row>
    <row r="508">
      <c r="A508">
        <f>IF(AND(LEN('Providers'!A8)&gt;0,ISNUMBER('Providers'!I8)),1,0)</f>
        <v/>
      </c>
      <c r="B508">
        <f>B507+A508</f>
        <v/>
      </c>
      <c r="C508">
        <f>IF(505&gt;$B$4503,"",MATCH(505-0.5,$B$3:$B$4503,1))</f>
        <v/>
      </c>
      <c r="D508">
        <f>"DEA registration ("&amp;IF(LEN(INDEX('Providers'!$E$4:$E$503,5))=0,"",INDEX('Providers'!$E$4:$E$503,5))&amp;") – "&amp;IF(LEN(INDEX('Providers'!$A$4:$A$503,5))=0,"",INDEX('Providers'!$A$4:$A$503,5))</f>
        <v/>
      </c>
      <c r="E508">
        <f>IF(ISNUMBER(INDEX('Providers'!$I$4:$I$503,5)),TEXT(INDEX('Providers'!$I$4:$I$503,5),"yyyy-mm-dd"),"")</f>
        <v/>
      </c>
      <c r="F508">
        <f>"Registration"</f>
        <v/>
      </c>
      <c r="G508">
        <f>""</f>
        <v/>
      </c>
      <c r="H508">
        <f>"High"</f>
        <v/>
      </c>
      <c r="I508">
        <f>TRIM(IF(LEN(IF(LEN(INDEX('Providers'!$H$4:$H$503,5))=0,"",INDEX('Providers'!$H$4:$H$503,5)))=0,"","DEA no.: "&amp;IF(LEN(INDEX('Providers'!$H$4:$H$503,5))=0,"",INDEX('Providers'!$H$4:$H$503,5))&amp;". ")&amp;IF(LEN(IF(LEN(INDEX('Providers'!$C$4:$C$503,5))=0,"",INDEX('Providers'!$C$4:$C$503,5)))=0,"","NPI: "&amp;IF(LEN(INDEX('Providers'!$C$4:$C$503,5))=0,"",INDEX('Providers'!$C$4:$C$503,5))&amp;". "))</f>
        <v/>
      </c>
      <c r="J508">
        <f>IF(LEN(INDEX('Providers'!$AJ$4:$AJ$503,5))=0,"",INDEX('Providers'!$AJ$4:$AJ$503,5))</f>
        <v/>
      </c>
      <c r="K508">
        <f>IF(LEN(INDEX('Providers'!$AI$4:$AI$503,5))=0,"",INDEX('Providers'!$AI$4:$AI$503,5))</f>
        <v/>
      </c>
    </row>
    <row r="509">
      <c r="A509">
        <f>IF(AND(LEN('Providers'!A9)&gt;0,ISNUMBER('Providers'!I9)),1,0)</f>
        <v/>
      </c>
      <c r="B509">
        <f>B508+A509</f>
        <v/>
      </c>
      <c r="C509">
        <f>IF(506&gt;$B$4503,"",MATCH(506-0.5,$B$3:$B$4503,1))</f>
        <v/>
      </c>
      <c r="D509">
        <f>"DEA registration ("&amp;IF(LEN(INDEX('Providers'!$E$4:$E$503,6))=0,"",INDEX('Providers'!$E$4:$E$503,6))&amp;") – "&amp;IF(LEN(INDEX('Providers'!$A$4:$A$503,6))=0,"",INDEX('Providers'!$A$4:$A$503,6))</f>
        <v/>
      </c>
      <c r="E509">
        <f>IF(ISNUMBER(INDEX('Providers'!$I$4:$I$503,6)),TEXT(INDEX('Providers'!$I$4:$I$503,6),"yyyy-mm-dd"),"")</f>
        <v/>
      </c>
      <c r="F509">
        <f>"Registration"</f>
        <v/>
      </c>
      <c r="G509">
        <f>""</f>
        <v/>
      </c>
      <c r="H509">
        <f>"High"</f>
        <v/>
      </c>
      <c r="I509">
        <f>TRIM(IF(LEN(IF(LEN(INDEX('Providers'!$H$4:$H$503,6))=0,"",INDEX('Providers'!$H$4:$H$503,6)))=0,"","DEA no.: "&amp;IF(LEN(INDEX('Providers'!$H$4:$H$503,6))=0,"",INDEX('Providers'!$H$4:$H$503,6))&amp;". ")&amp;IF(LEN(IF(LEN(INDEX('Providers'!$C$4:$C$503,6))=0,"",INDEX('Providers'!$C$4:$C$503,6)))=0,"","NPI: "&amp;IF(LEN(INDEX('Providers'!$C$4:$C$503,6))=0,"",INDEX('Providers'!$C$4:$C$503,6))&amp;". "))</f>
        <v/>
      </c>
      <c r="J509">
        <f>IF(LEN(INDEX('Providers'!$AJ$4:$AJ$503,6))=0,"",INDEX('Providers'!$AJ$4:$AJ$503,6))</f>
        <v/>
      </c>
      <c r="K509">
        <f>IF(LEN(INDEX('Providers'!$AI$4:$AI$503,6))=0,"",INDEX('Providers'!$AI$4:$AI$503,6))</f>
        <v/>
      </c>
    </row>
    <row r="510">
      <c r="A510">
        <f>IF(AND(LEN('Providers'!A10)&gt;0,ISNUMBER('Providers'!I10)),1,0)</f>
        <v/>
      </c>
      <c r="B510">
        <f>B509+A510</f>
        <v/>
      </c>
      <c r="C510">
        <f>IF(507&gt;$B$4503,"",MATCH(507-0.5,$B$3:$B$4503,1))</f>
        <v/>
      </c>
      <c r="D510">
        <f>"DEA registration ("&amp;IF(LEN(INDEX('Providers'!$E$4:$E$503,7))=0,"",INDEX('Providers'!$E$4:$E$503,7))&amp;") – "&amp;IF(LEN(INDEX('Providers'!$A$4:$A$503,7))=0,"",INDEX('Providers'!$A$4:$A$503,7))</f>
        <v/>
      </c>
      <c r="E510">
        <f>IF(ISNUMBER(INDEX('Providers'!$I$4:$I$503,7)),TEXT(INDEX('Providers'!$I$4:$I$503,7),"yyyy-mm-dd"),"")</f>
        <v/>
      </c>
      <c r="F510">
        <f>"Registration"</f>
        <v/>
      </c>
      <c r="G510">
        <f>""</f>
        <v/>
      </c>
      <c r="H510">
        <f>"High"</f>
        <v/>
      </c>
      <c r="I510">
        <f>TRIM(IF(LEN(IF(LEN(INDEX('Providers'!$H$4:$H$503,7))=0,"",INDEX('Providers'!$H$4:$H$503,7)))=0,"","DEA no.: "&amp;IF(LEN(INDEX('Providers'!$H$4:$H$503,7))=0,"",INDEX('Providers'!$H$4:$H$503,7))&amp;". ")&amp;IF(LEN(IF(LEN(INDEX('Providers'!$C$4:$C$503,7))=0,"",INDEX('Providers'!$C$4:$C$503,7)))=0,"","NPI: "&amp;IF(LEN(INDEX('Providers'!$C$4:$C$503,7))=0,"",INDEX('Providers'!$C$4:$C$503,7))&amp;". "))</f>
        <v/>
      </c>
      <c r="J510">
        <f>IF(LEN(INDEX('Providers'!$AJ$4:$AJ$503,7))=0,"",INDEX('Providers'!$AJ$4:$AJ$503,7))</f>
        <v/>
      </c>
      <c r="K510">
        <f>IF(LEN(INDEX('Providers'!$AI$4:$AI$503,7))=0,"",INDEX('Providers'!$AI$4:$AI$503,7))</f>
        <v/>
      </c>
    </row>
    <row r="511">
      <c r="A511">
        <f>IF(AND(LEN('Providers'!A11)&gt;0,ISNUMBER('Providers'!I11)),1,0)</f>
        <v/>
      </c>
      <c r="B511">
        <f>B510+A511</f>
        <v/>
      </c>
      <c r="C511">
        <f>IF(508&gt;$B$4503,"",MATCH(508-0.5,$B$3:$B$4503,1))</f>
        <v/>
      </c>
      <c r="D511">
        <f>"DEA registration ("&amp;IF(LEN(INDEX('Providers'!$E$4:$E$503,8))=0,"",INDEX('Providers'!$E$4:$E$503,8))&amp;") – "&amp;IF(LEN(INDEX('Providers'!$A$4:$A$503,8))=0,"",INDEX('Providers'!$A$4:$A$503,8))</f>
        <v/>
      </c>
      <c r="E511">
        <f>IF(ISNUMBER(INDEX('Providers'!$I$4:$I$503,8)),TEXT(INDEX('Providers'!$I$4:$I$503,8),"yyyy-mm-dd"),"")</f>
        <v/>
      </c>
      <c r="F511">
        <f>"Registration"</f>
        <v/>
      </c>
      <c r="G511">
        <f>""</f>
        <v/>
      </c>
      <c r="H511">
        <f>"High"</f>
        <v/>
      </c>
      <c r="I511">
        <f>TRIM(IF(LEN(IF(LEN(INDEX('Providers'!$H$4:$H$503,8))=0,"",INDEX('Providers'!$H$4:$H$503,8)))=0,"","DEA no.: "&amp;IF(LEN(INDEX('Providers'!$H$4:$H$503,8))=0,"",INDEX('Providers'!$H$4:$H$503,8))&amp;". ")&amp;IF(LEN(IF(LEN(INDEX('Providers'!$C$4:$C$503,8))=0,"",INDEX('Providers'!$C$4:$C$503,8)))=0,"","NPI: "&amp;IF(LEN(INDEX('Providers'!$C$4:$C$503,8))=0,"",INDEX('Providers'!$C$4:$C$503,8))&amp;". "))</f>
        <v/>
      </c>
      <c r="J511">
        <f>IF(LEN(INDEX('Providers'!$AJ$4:$AJ$503,8))=0,"",INDEX('Providers'!$AJ$4:$AJ$503,8))</f>
        <v/>
      </c>
      <c r="K511">
        <f>IF(LEN(INDEX('Providers'!$AI$4:$AI$503,8))=0,"",INDEX('Providers'!$AI$4:$AI$503,8))</f>
        <v/>
      </c>
    </row>
    <row r="512">
      <c r="A512">
        <f>IF(AND(LEN('Providers'!A12)&gt;0,ISNUMBER('Providers'!I12)),1,0)</f>
        <v/>
      </c>
      <c r="B512">
        <f>B511+A512</f>
        <v/>
      </c>
      <c r="C512">
        <f>IF(509&gt;$B$4503,"",MATCH(509-0.5,$B$3:$B$4503,1))</f>
        <v/>
      </c>
      <c r="D512">
        <f>"DEA registration ("&amp;IF(LEN(INDEX('Providers'!$E$4:$E$503,9))=0,"",INDEX('Providers'!$E$4:$E$503,9))&amp;") – "&amp;IF(LEN(INDEX('Providers'!$A$4:$A$503,9))=0,"",INDEX('Providers'!$A$4:$A$503,9))</f>
        <v/>
      </c>
      <c r="E512">
        <f>IF(ISNUMBER(INDEX('Providers'!$I$4:$I$503,9)),TEXT(INDEX('Providers'!$I$4:$I$503,9),"yyyy-mm-dd"),"")</f>
        <v/>
      </c>
      <c r="F512">
        <f>"Registration"</f>
        <v/>
      </c>
      <c r="G512">
        <f>""</f>
        <v/>
      </c>
      <c r="H512">
        <f>"High"</f>
        <v/>
      </c>
      <c r="I512">
        <f>TRIM(IF(LEN(IF(LEN(INDEX('Providers'!$H$4:$H$503,9))=0,"",INDEX('Providers'!$H$4:$H$503,9)))=0,"","DEA no.: "&amp;IF(LEN(INDEX('Providers'!$H$4:$H$503,9))=0,"",INDEX('Providers'!$H$4:$H$503,9))&amp;". ")&amp;IF(LEN(IF(LEN(INDEX('Providers'!$C$4:$C$503,9))=0,"",INDEX('Providers'!$C$4:$C$503,9)))=0,"","NPI: "&amp;IF(LEN(INDEX('Providers'!$C$4:$C$503,9))=0,"",INDEX('Providers'!$C$4:$C$503,9))&amp;". "))</f>
        <v/>
      </c>
      <c r="J512">
        <f>IF(LEN(INDEX('Providers'!$AJ$4:$AJ$503,9))=0,"",INDEX('Providers'!$AJ$4:$AJ$503,9))</f>
        <v/>
      </c>
      <c r="K512">
        <f>IF(LEN(INDEX('Providers'!$AI$4:$AI$503,9))=0,"",INDEX('Providers'!$AI$4:$AI$503,9))</f>
        <v/>
      </c>
    </row>
    <row r="513">
      <c r="A513">
        <f>IF(AND(LEN('Providers'!A13)&gt;0,ISNUMBER('Providers'!I13)),1,0)</f>
        <v/>
      </c>
      <c r="B513">
        <f>B512+A513</f>
        <v/>
      </c>
      <c r="C513">
        <f>IF(510&gt;$B$4503,"",MATCH(510-0.5,$B$3:$B$4503,1))</f>
        <v/>
      </c>
      <c r="D513">
        <f>"DEA registration ("&amp;IF(LEN(INDEX('Providers'!$E$4:$E$503,10))=0,"",INDEX('Providers'!$E$4:$E$503,10))&amp;") – "&amp;IF(LEN(INDEX('Providers'!$A$4:$A$503,10))=0,"",INDEX('Providers'!$A$4:$A$503,10))</f>
        <v/>
      </c>
      <c r="E513">
        <f>IF(ISNUMBER(INDEX('Providers'!$I$4:$I$503,10)),TEXT(INDEX('Providers'!$I$4:$I$503,10),"yyyy-mm-dd"),"")</f>
        <v/>
      </c>
      <c r="F513">
        <f>"Registration"</f>
        <v/>
      </c>
      <c r="G513">
        <f>""</f>
        <v/>
      </c>
      <c r="H513">
        <f>"High"</f>
        <v/>
      </c>
      <c r="I513">
        <f>TRIM(IF(LEN(IF(LEN(INDEX('Providers'!$H$4:$H$503,10))=0,"",INDEX('Providers'!$H$4:$H$503,10)))=0,"","DEA no.: "&amp;IF(LEN(INDEX('Providers'!$H$4:$H$503,10))=0,"",INDEX('Providers'!$H$4:$H$503,10))&amp;". ")&amp;IF(LEN(IF(LEN(INDEX('Providers'!$C$4:$C$503,10))=0,"",INDEX('Providers'!$C$4:$C$503,10)))=0,"","NPI: "&amp;IF(LEN(INDEX('Providers'!$C$4:$C$503,10))=0,"",INDEX('Providers'!$C$4:$C$503,10))&amp;". "))</f>
        <v/>
      </c>
      <c r="J513">
        <f>IF(LEN(INDEX('Providers'!$AJ$4:$AJ$503,10))=0,"",INDEX('Providers'!$AJ$4:$AJ$503,10))</f>
        <v/>
      </c>
      <c r="K513">
        <f>IF(LEN(INDEX('Providers'!$AI$4:$AI$503,10))=0,"",INDEX('Providers'!$AI$4:$AI$503,10))</f>
        <v/>
      </c>
    </row>
    <row r="514">
      <c r="A514">
        <f>IF(AND(LEN('Providers'!A14)&gt;0,ISNUMBER('Providers'!I14)),1,0)</f>
        <v/>
      </c>
      <c r="B514">
        <f>B513+A514</f>
        <v/>
      </c>
      <c r="C514">
        <f>IF(511&gt;$B$4503,"",MATCH(511-0.5,$B$3:$B$4503,1))</f>
        <v/>
      </c>
      <c r="D514">
        <f>"DEA registration ("&amp;IF(LEN(INDEX('Providers'!$E$4:$E$503,11))=0,"",INDEX('Providers'!$E$4:$E$503,11))&amp;") – "&amp;IF(LEN(INDEX('Providers'!$A$4:$A$503,11))=0,"",INDEX('Providers'!$A$4:$A$503,11))</f>
        <v/>
      </c>
      <c r="E514">
        <f>IF(ISNUMBER(INDEX('Providers'!$I$4:$I$503,11)),TEXT(INDEX('Providers'!$I$4:$I$503,11),"yyyy-mm-dd"),"")</f>
        <v/>
      </c>
      <c r="F514">
        <f>"Registration"</f>
        <v/>
      </c>
      <c r="G514">
        <f>""</f>
        <v/>
      </c>
      <c r="H514">
        <f>"High"</f>
        <v/>
      </c>
      <c r="I514">
        <f>TRIM(IF(LEN(IF(LEN(INDEX('Providers'!$H$4:$H$503,11))=0,"",INDEX('Providers'!$H$4:$H$503,11)))=0,"","DEA no.: "&amp;IF(LEN(INDEX('Providers'!$H$4:$H$503,11))=0,"",INDEX('Providers'!$H$4:$H$503,11))&amp;". ")&amp;IF(LEN(IF(LEN(INDEX('Providers'!$C$4:$C$503,11))=0,"",INDEX('Providers'!$C$4:$C$503,11)))=0,"","NPI: "&amp;IF(LEN(INDEX('Providers'!$C$4:$C$503,11))=0,"",INDEX('Providers'!$C$4:$C$503,11))&amp;". "))</f>
        <v/>
      </c>
      <c r="J514">
        <f>IF(LEN(INDEX('Providers'!$AJ$4:$AJ$503,11))=0,"",INDEX('Providers'!$AJ$4:$AJ$503,11))</f>
        <v/>
      </c>
      <c r="K514">
        <f>IF(LEN(INDEX('Providers'!$AI$4:$AI$503,11))=0,"",INDEX('Providers'!$AI$4:$AI$503,11))</f>
        <v/>
      </c>
    </row>
    <row r="515">
      <c r="A515">
        <f>IF(AND(LEN('Providers'!A15)&gt;0,ISNUMBER('Providers'!I15)),1,0)</f>
        <v/>
      </c>
      <c r="B515">
        <f>B514+A515</f>
        <v/>
      </c>
      <c r="C515">
        <f>IF(512&gt;$B$4503,"",MATCH(512-0.5,$B$3:$B$4503,1))</f>
        <v/>
      </c>
      <c r="D515">
        <f>"DEA registration ("&amp;IF(LEN(INDEX('Providers'!$E$4:$E$503,12))=0,"",INDEX('Providers'!$E$4:$E$503,12))&amp;") – "&amp;IF(LEN(INDEX('Providers'!$A$4:$A$503,12))=0,"",INDEX('Providers'!$A$4:$A$503,12))</f>
        <v/>
      </c>
      <c r="E515">
        <f>IF(ISNUMBER(INDEX('Providers'!$I$4:$I$503,12)),TEXT(INDEX('Providers'!$I$4:$I$503,12),"yyyy-mm-dd"),"")</f>
        <v/>
      </c>
      <c r="F515">
        <f>"Registration"</f>
        <v/>
      </c>
      <c r="G515">
        <f>""</f>
        <v/>
      </c>
      <c r="H515">
        <f>"High"</f>
        <v/>
      </c>
      <c r="I515">
        <f>TRIM(IF(LEN(IF(LEN(INDEX('Providers'!$H$4:$H$503,12))=0,"",INDEX('Providers'!$H$4:$H$503,12)))=0,"","DEA no.: "&amp;IF(LEN(INDEX('Providers'!$H$4:$H$503,12))=0,"",INDEX('Providers'!$H$4:$H$503,12))&amp;". ")&amp;IF(LEN(IF(LEN(INDEX('Providers'!$C$4:$C$503,12))=0,"",INDEX('Providers'!$C$4:$C$503,12)))=0,"","NPI: "&amp;IF(LEN(INDEX('Providers'!$C$4:$C$503,12))=0,"",INDEX('Providers'!$C$4:$C$503,12))&amp;". "))</f>
        <v/>
      </c>
      <c r="J515">
        <f>IF(LEN(INDEX('Providers'!$AJ$4:$AJ$503,12))=0,"",INDEX('Providers'!$AJ$4:$AJ$503,12))</f>
        <v/>
      </c>
      <c r="K515">
        <f>IF(LEN(INDEX('Providers'!$AI$4:$AI$503,12))=0,"",INDEX('Providers'!$AI$4:$AI$503,12))</f>
        <v/>
      </c>
    </row>
    <row r="516">
      <c r="A516">
        <f>IF(AND(LEN('Providers'!A16)&gt;0,ISNUMBER('Providers'!I16)),1,0)</f>
        <v/>
      </c>
      <c r="B516">
        <f>B515+A516</f>
        <v/>
      </c>
      <c r="C516">
        <f>IF(513&gt;$B$4503,"",MATCH(513-0.5,$B$3:$B$4503,1))</f>
        <v/>
      </c>
      <c r="D516">
        <f>"DEA registration ("&amp;IF(LEN(INDEX('Providers'!$E$4:$E$503,13))=0,"",INDEX('Providers'!$E$4:$E$503,13))&amp;") – "&amp;IF(LEN(INDEX('Providers'!$A$4:$A$503,13))=0,"",INDEX('Providers'!$A$4:$A$503,13))</f>
        <v/>
      </c>
      <c r="E516">
        <f>IF(ISNUMBER(INDEX('Providers'!$I$4:$I$503,13)),TEXT(INDEX('Providers'!$I$4:$I$503,13),"yyyy-mm-dd"),"")</f>
        <v/>
      </c>
      <c r="F516">
        <f>"Registration"</f>
        <v/>
      </c>
      <c r="G516">
        <f>""</f>
        <v/>
      </c>
      <c r="H516">
        <f>"High"</f>
        <v/>
      </c>
      <c r="I516">
        <f>TRIM(IF(LEN(IF(LEN(INDEX('Providers'!$H$4:$H$503,13))=0,"",INDEX('Providers'!$H$4:$H$503,13)))=0,"","DEA no.: "&amp;IF(LEN(INDEX('Providers'!$H$4:$H$503,13))=0,"",INDEX('Providers'!$H$4:$H$503,13))&amp;". ")&amp;IF(LEN(IF(LEN(INDEX('Providers'!$C$4:$C$503,13))=0,"",INDEX('Providers'!$C$4:$C$503,13)))=0,"","NPI: "&amp;IF(LEN(INDEX('Providers'!$C$4:$C$503,13))=0,"",INDEX('Providers'!$C$4:$C$503,13))&amp;". "))</f>
        <v/>
      </c>
      <c r="J516">
        <f>IF(LEN(INDEX('Providers'!$AJ$4:$AJ$503,13))=0,"",INDEX('Providers'!$AJ$4:$AJ$503,13))</f>
        <v/>
      </c>
      <c r="K516">
        <f>IF(LEN(INDEX('Providers'!$AI$4:$AI$503,13))=0,"",INDEX('Providers'!$AI$4:$AI$503,13))</f>
        <v/>
      </c>
    </row>
    <row r="517">
      <c r="A517">
        <f>IF(AND(LEN('Providers'!A17)&gt;0,ISNUMBER('Providers'!I17)),1,0)</f>
        <v/>
      </c>
      <c r="B517">
        <f>B516+A517</f>
        <v/>
      </c>
      <c r="C517">
        <f>IF(514&gt;$B$4503,"",MATCH(514-0.5,$B$3:$B$4503,1))</f>
        <v/>
      </c>
      <c r="D517">
        <f>"DEA registration ("&amp;IF(LEN(INDEX('Providers'!$E$4:$E$503,14))=0,"",INDEX('Providers'!$E$4:$E$503,14))&amp;") – "&amp;IF(LEN(INDEX('Providers'!$A$4:$A$503,14))=0,"",INDEX('Providers'!$A$4:$A$503,14))</f>
        <v/>
      </c>
      <c r="E517">
        <f>IF(ISNUMBER(INDEX('Providers'!$I$4:$I$503,14)),TEXT(INDEX('Providers'!$I$4:$I$503,14),"yyyy-mm-dd"),"")</f>
        <v/>
      </c>
      <c r="F517">
        <f>"Registration"</f>
        <v/>
      </c>
      <c r="G517">
        <f>""</f>
        <v/>
      </c>
      <c r="H517">
        <f>"High"</f>
        <v/>
      </c>
      <c r="I517">
        <f>TRIM(IF(LEN(IF(LEN(INDEX('Providers'!$H$4:$H$503,14))=0,"",INDEX('Providers'!$H$4:$H$503,14)))=0,"","DEA no.: "&amp;IF(LEN(INDEX('Providers'!$H$4:$H$503,14))=0,"",INDEX('Providers'!$H$4:$H$503,14))&amp;". ")&amp;IF(LEN(IF(LEN(INDEX('Providers'!$C$4:$C$503,14))=0,"",INDEX('Providers'!$C$4:$C$503,14)))=0,"","NPI: "&amp;IF(LEN(INDEX('Providers'!$C$4:$C$503,14))=0,"",INDEX('Providers'!$C$4:$C$503,14))&amp;". "))</f>
        <v/>
      </c>
      <c r="J517">
        <f>IF(LEN(INDEX('Providers'!$AJ$4:$AJ$503,14))=0,"",INDEX('Providers'!$AJ$4:$AJ$503,14))</f>
        <v/>
      </c>
      <c r="K517">
        <f>IF(LEN(INDEX('Providers'!$AI$4:$AI$503,14))=0,"",INDEX('Providers'!$AI$4:$AI$503,14))</f>
        <v/>
      </c>
    </row>
    <row r="518">
      <c r="A518">
        <f>IF(AND(LEN('Providers'!A18)&gt;0,ISNUMBER('Providers'!I18)),1,0)</f>
        <v/>
      </c>
      <c r="B518">
        <f>B517+A518</f>
        <v/>
      </c>
      <c r="C518">
        <f>IF(515&gt;$B$4503,"",MATCH(515-0.5,$B$3:$B$4503,1))</f>
        <v/>
      </c>
      <c r="D518">
        <f>"DEA registration ("&amp;IF(LEN(INDEX('Providers'!$E$4:$E$503,15))=0,"",INDEX('Providers'!$E$4:$E$503,15))&amp;") – "&amp;IF(LEN(INDEX('Providers'!$A$4:$A$503,15))=0,"",INDEX('Providers'!$A$4:$A$503,15))</f>
        <v/>
      </c>
      <c r="E518">
        <f>IF(ISNUMBER(INDEX('Providers'!$I$4:$I$503,15)),TEXT(INDEX('Providers'!$I$4:$I$503,15),"yyyy-mm-dd"),"")</f>
        <v/>
      </c>
      <c r="F518">
        <f>"Registration"</f>
        <v/>
      </c>
      <c r="G518">
        <f>""</f>
        <v/>
      </c>
      <c r="H518">
        <f>"High"</f>
        <v/>
      </c>
      <c r="I518">
        <f>TRIM(IF(LEN(IF(LEN(INDEX('Providers'!$H$4:$H$503,15))=0,"",INDEX('Providers'!$H$4:$H$503,15)))=0,"","DEA no.: "&amp;IF(LEN(INDEX('Providers'!$H$4:$H$503,15))=0,"",INDEX('Providers'!$H$4:$H$503,15))&amp;". ")&amp;IF(LEN(IF(LEN(INDEX('Providers'!$C$4:$C$503,15))=0,"",INDEX('Providers'!$C$4:$C$503,15)))=0,"","NPI: "&amp;IF(LEN(INDEX('Providers'!$C$4:$C$503,15))=0,"",INDEX('Providers'!$C$4:$C$503,15))&amp;". "))</f>
        <v/>
      </c>
      <c r="J518">
        <f>IF(LEN(INDEX('Providers'!$AJ$4:$AJ$503,15))=0,"",INDEX('Providers'!$AJ$4:$AJ$503,15))</f>
        <v/>
      </c>
      <c r="K518">
        <f>IF(LEN(INDEX('Providers'!$AI$4:$AI$503,15))=0,"",INDEX('Providers'!$AI$4:$AI$503,15))</f>
        <v/>
      </c>
    </row>
    <row r="519">
      <c r="A519">
        <f>IF(AND(LEN('Providers'!A19)&gt;0,ISNUMBER('Providers'!I19)),1,0)</f>
        <v/>
      </c>
      <c r="B519">
        <f>B518+A519</f>
        <v/>
      </c>
      <c r="C519">
        <f>IF(516&gt;$B$4503,"",MATCH(516-0.5,$B$3:$B$4503,1))</f>
        <v/>
      </c>
      <c r="D519">
        <f>"DEA registration ("&amp;IF(LEN(INDEX('Providers'!$E$4:$E$503,16))=0,"",INDEX('Providers'!$E$4:$E$503,16))&amp;") – "&amp;IF(LEN(INDEX('Providers'!$A$4:$A$503,16))=0,"",INDEX('Providers'!$A$4:$A$503,16))</f>
        <v/>
      </c>
      <c r="E519">
        <f>IF(ISNUMBER(INDEX('Providers'!$I$4:$I$503,16)),TEXT(INDEX('Providers'!$I$4:$I$503,16),"yyyy-mm-dd"),"")</f>
        <v/>
      </c>
      <c r="F519">
        <f>"Registration"</f>
        <v/>
      </c>
      <c r="G519">
        <f>""</f>
        <v/>
      </c>
      <c r="H519">
        <f>"High"</f>
        <v/>
      </c>
      <c r="I519">
        <f>TRIM(IF(LEN(IF(LEN(INDEX('Providers'!$H$4:$H$503,16))=0,"",INDEX('Providers'!$H$4:$H$503,16)))=0,"","DEA no.: "&amp;IF(LEN(INDEX('Providers'!$H$4:$H$503,16))=0,"",INDEX('Providers'!$H$4:$H$503,16))&amp;". ")&amp;IF(LEN(IF(LEN(INDEX('Providers'!$C$4:$C$503,16))=0,"",INDEX('Providers'!$C$4:$C$503,16)))=0,"","NPI: "&amp;IF(LEN(INDEX('Providers'!$C$4:$C$503,16))=0,"",INDEX('Providers'!$C$4:$C$503,16))&amp;". "))</f>
        <v/>
      </c>
      <c r="J519">
        <f>IF(LEN(INDEX('Providers'!$AJ$4:$AJ$503,16))=0,"",INDEX('Providers'!$AJ$4:$AJ$503,16))</f>
        <v/>
      </c>
      <c r="K519">
        <f>IF(LEN(INDEX('Providers'!$AI$4:$AI$503,16))=0,"",INDEX('Providers'!$AI$4:$AI$503,16))</f>
        <v/>
      </c>
    </row>
    <row r="520">
      <c r="A520">
        <f>IF(AND(LEN('Providers'!A20)&gt;0,ISNUMBER('Providers'!I20)),1,0)</f>
        <v/>
      </c>
      <c r="B520">
        <f>B519+A520</f>
        <v/>
      </c>
      <c r="C520">
        <f>IF(517&gt;$B$4503,"",MATCH(517-0.5,$B$3:$B$4503,1))</f>
        <v/>
      </c>
      <c r="D520">
        <f>"DEA registration ("&amp;IF(LEN(INDEX('Providers'!$E$4:$E$503,17))=0,"",INDEX('Providers'!$E$4:$E$503,17))&amp;") – "&amp;IF(LEN(INDEX('Providers'!$A$4:$A$503,17))=0,"",INDEX('Providers'!$A$4:$A$503,17))</f>
        <v/>
      </c>
      <c r="E520">
        <f>IF(ISNUMBER(INDEX('Providers'!$I$4:$I$503,17)),TEXT(INDEX('Providers'!$I$4:$I$503,17),"yyyy-mm-dd"),"")</f>
        <v/>
      </c>
      <c r="F520">
        <f>"Registration"</f>
        <v/>
      </c>
      <c r="G520">
        <f>""</f>
        <v/>
      </c>
      <c r="H520">
        <f>"High"</f>
        <v/>
      </c>
      <c r="I520">
        <f>TRIM(IF(LEN(IF(LEN(INDEX('Providers'!$H$4:$H$503,17))=0,"",INDEX('Providers'!$H$4:$H$503,17)))=0,"","DEA no.: "&amp;IF(LEN(INDEX('Providers'!$H$4:$H$503,17))=0,"",INDEX('Providers'!$H$4:$H$503,17))&amp;". ")&amp;IF(LEN(IF(LEN(INDEX('Providers'!$C$4:$C$503,17))=0,"",INDEX('Providers'!$C$4:$C$503,17)))=0,"","NPI: "&amp;IF(LEN(INDEX('Providers'!$C$4:$C$503,17))=0,"",INDEX('Providers'!$C$4:$C$503,17))&amp;". "))</f>
        <v/>
      </c>
      <c r="J520">
        <f>IF(LEN(INDEX('Providers'!$AJ$4:$AJ$503,17))=0,"",INDEX('Providers'!$AJ$4:$AJ$503,17))</f>
        <v/>
      </c>
      <c r="K520">
        <f>IF(LEN(INDEX('Providers'!$AI$4:$AI$503,17))=0,"",INDEX('Providers'!$AI$4:$AI$503,17))</f>
        <v/>
      </c>
    </row>
    <row r="521">
      <c r="A521">
        <f>IF(AND(LEN('Providers'!A21)&gt;0,ISNUMBER('Providers'!I21)),1,0)</f>
        <v/>
      </c>
      <c r="B521">
        <f>B520+A521</f>
        <v/>
      </c>
      <c r="C521">
        <f>IF(518&gt;$B$4503,"",MATCH(518-0.5,$B$3:$B$4503,1))</f>
        <v/>
      </c>
      <c r="D521">
        <f>"DEA registration ("&amp;IF(LEN(INDEX('Providers'!$E$4:$E$503,18))=0,"",INDEX('Providers'!$E$4:$E$503,18))&amp;") – "&amp;IF(LEN(INDEX('Providers'!$A$4:$A$503,18))=0,"",INDEX('Providers'!$A$4:$A$503,18))</f>
        <v/>
      </c>
      <c r="E521">
        <f>IF(ISNUMBER(INDEX('Providers'!$I$4:$I$503,18)),TEXT(INDEX('Providers'!$I$4:$I$503,18),"yyyy-mm-dd"),"")</f>
        <v/>
      </c>
      <c r="F521">
        <f>"Registration"</f>
        <v/>
      </c>
      <c r="G521">
        <f>""</f>
        <v/>
      </c>
      <c r="H521">
        <f>"High"</f>
        <v/>
      </c>
      <c r="I521">
        <f>TRIM(IF(LEN(IF(LEN(INDEX('Providers'!$H$4:$H$503,18))=0,"",INDEX('Providers'!$H$4:$H$503,18)))=0,"","DEA no.: "&amp;IF(LEN(INDEX('Providers'!$H$4:$H$503,18))=0,"",INDEX('Providers'!$H$4:$H$503,18))&amp;". ")&amp;IF(LEN(IF(LEN(INDEX('Providers'!$C$4:$C$503,18))=0,"",INDEX('Providers'!$C$4:$C$503,18)))=0,"","NPI: "&amp;IF(LEN(INDEX('Providers'!$C$4:$C$503,18))=0,"",INDEX('Providers'!$C$4:$C$503,18))&amp;". "))</f>
        <v/>
      </c>
      <c r="J521">
        <f>IF(LEN(INDEX('Providers'!$AJ$4:$AJ$503,18))=0,"",INDEX('Providers'!$AJ$4:$AJ$503,18))</f>
        <v/>
      </c>
      <c r="K521">
        <f>IF(LEN(INDEX('Providers'!$AI$4:$AI$503,18))=0,"",INDEX('Providers'!$AI$4:$AI$503,18))</f>
        <v/>
      </c>
    </row>
    <row r="522">
      <c r="A522">
        <f>IF(AND(LEN('Providers'!A22)&gt;0,ISNUMBER('Providers'!I22)),1,0)</f>
        <v/>
      </c>
      <c r="B522">
        <f>B521+A522</f>
        <v/>
      </c>
      <c r="C522">
        <f>IF(519&gt;$B$4503,"",MATCH(519-0.5,$B$3:$B$4503,1))</f>
        <v/>
      </c>
      <c r="D522">
        <f>"DEA registration ("&amp;IF(LEN(INDEX('Providers'!$E$4:$E$503,19))=0,"",INDEX('Providers'!$E$4:$E$503,19))&amp;") – "&amp;IF(LEN(INDEX('Providers'!$A$4:$A$503,19))=0,"",INDEX('Providers'!$A$4:$A$503,19))</f>
        <v/>
      </c>
      <c r="E522">
        <f>IF(ISNUMBER(INDEX('Providers'!$I$4:$I$503,19)),TEXT(INDEX('Providers'!$I$4:$I$503,19),"yyyy-mm-dd"),"")</f>
        <v/>
      </c>
      <c r="F522">
        <f>"Registration"</f>
        <v/>
      </c>
      <c r="G522">
        <f>""</f>
        <v/>
      </c>
      <c r="H522">
        <f>"High"</f>
        <v/>
      </c>
      <c r="I522">
        <f>TRIM(IF(LEN(IF(LEN(INDEX('Providers'!$H$4:$H$503,19))=0,"",INDEX('Providers'!$H$4:$H$503,19)))=0,"","DEA no.: "&amp;IF(LEN(INDEX('Providers'!$H$4:$H$503,19))=0,"",INDEX('Providers'!$H$4:$H$503,19))&amp;". ")&amp;IF(LEN(IF(LEN(INDEX('Providers'!$C$4:$C$503,19))=0,"",INDEX('Providers'!$C$4:$C$503,19)))=0,"","NPI: "&amp;IF(LEN(INDEX('Providers'!$C$4:$C$503,19))=0,"",INDEX('Providers'!$C$4:$C$503,19))&amp;". "))</f>
        <v/>
      </c>
      <c r="J522">
        <f>IF(LEN(INDEX('Providers'!$AJ$4:$AJ$503,19))=0,"",INDEX('Providers'!$AJ$4:$AJ$503,19))</f>
        <v/>
      </c>
      <c r="K522">
        <f>IF(LEN(INDEX('Providers'!$AI$4:$AI$503,19))=0,"",INDEX('Providers'!$AI$4:$AI$503,19))</f>
        <v/>
      </c>
    </row>
    <row r="523">
      <c r="A523">
        <f>IF(AND(LEN('Providers'!A23)&gt;0,ISNUMBER('Providers'!I23)),1,0)</f>
        <v/>
      </c>
      <c r="B523">
        <f>B522+A523</f>
        <v/>
      </c>
      <c r="C523">
        <f>IF(520&gt;$B$4503,"",MATCH(520-0.5,$B$3:$B$4503,1))</f>
        <v/>
      </c>
      <c r="D523">
        <f>"DEA registration ("&amp;IF(LEN(INDEX('Providers'!$E$4:$E$503,20))=0,"",INDEX('Providers'!$E$4:$E$503,20))&amp;") – "&amp;IF(LEN(INDEX('Providers'!$A$4:$A$503,20))=0,"",INDEX('Providers'!$A$4:$A$503,20))</f>
        <v/>
      </c>
      <c r="E523">
        <f>IF(ISNUMBER(INDEX('Providers'!$I$4:$I$503,20)),TEXT(INDEX('Providers'!$I$4:$I$503,20),"yyyy-mm-dd"),"")</f>
        <v/>
      </c>
      <c r="F523">
        <f>"Registration"</f>
        <v/>
      </c>
      <c r="G523">
        <f>""</f>
        <v/>
      </c>
      <c r="H523">
        <f>"High"</f>
        <v/>
      </c>
      <c r="I523">
        <f>TRIM(IF(LEN(IF(LEN(INDEX('Providers'!$H$4:$H$503,20))=0,"",INDEX('Providers'!$H$4:$H$503,20)))=0,"","DEA no.: "&amp;IF(LEN(INDEX('Providers'!$H$4:$H$503,20))=0,"",INDEX('Providers'!$H$4:$H$503,20))&amp;". ")&amp;IF(LEN(IF(LEN(INDEX('Providers'!$C$4:$C$503,20))=0,"",INDEX('Providers'!$C$4:$C$503,20)))=0,"","NPI: "&amp;IF(LEN(INDEX('Providers'!$C$4:$C$503,20))=0,"",INDEX('Providers'!$C$4:$C$503,20))&amp;". "))</f>
        <v/>
      </c>
      <c r="J523">
        <f>IF(LEN(INDEX('Providers'!$AJ$4:$AJ$503,20))=0,"",INDEX('Providers'!$AJ$4:$AJ$503,20))</f>
        <v/>
      </c>
      <c r="K523">
        <f>IF(LEN(INDEX('Providers'!$AI$4:$AI$503,20))=0,"",INDEX('Providers'!$AI$4:$AI$503,20))</f>
        <v/>
      </c>
    </row>
    <row r="524">
      <c r="A524">
        <f>IF(AND(LEN('Providers'!A24)&gt;0,ISNUMBER('Providers'!I24)),1,0)</f>
        <v/>
      </c>
      <c r="B524">
        <f>B523+A524</f>
        <v/>
      </c>
      <c r="C524">
        <f>IF(521&gt;$B$4503,"",MATCH(521-0.5,$B$3:$B$4503,1))</f>
        <v/>
      </c>
      <c r="D524">
        <f>"DEA registration ("&amp;IF(LEN(INDEX('Providers'!$E$4:$E$503,21))=0,"",INDEX('Providers'!$E$4:$E$503,21))&amp;") – "&amp;IF(LEN(INDEX('Providers'!$A$4:$A$503,21))=0,"",INDEX('Providers'!$A$4:$A$503,21))</f>
        <v/>
      </c>
      <c r="E524">
        <f>IF(ISNUMBER(INDEX('Providers'!$I$4:$I$503,21)),TEXT(INDEX('Providers'!$I$4:$I$503,21),"yyyy-mm-dd"),"")</f>
        <v/>
      </c>
      <c r="F524">
        <f>"Registration"</f>
        <v/>
      </c>
      <c r="G524">
        <f>""</f>
        <v/>
      </c>
      <c r="H524">
        <f>"High"</f>
        <v/>
      </c>
      <c r="I524">
        <f>TRIM(IF(LEN(IF(LEN(INDEX('Providers'!$H$4:$H$503,21))=0,"",INDEX('Providers'!$H$4:$H$503,21)))=0,"","DEA no.: "&amp;IF(LEN(INDEX('Providers'!$H$4:$H$503,21))=0,"",INDEX('Providers'!$H$4:$H$503,21))&amp;". ")&amp;IF(LEN(IF(LEN(INDEX('Providers'!$C$4:$C$503,21))=0,"",INDEX('Providers'!$C$4:$C$503,21)))=0,"","NPI: "&amp;IF(LEN(INDEX('Providers'!$C$4:$C$503,21))=0,"",INDEX('Providers'!$C$4:$C$503,21))&amp;". "))</f>
        <v/>
      </c>
      <c r="J524">
        <f>IF(LEN(INDEX('Providers'!$AJ$4:$AJ$503,21))=0,"",INDEX('Providers'!$AJ$4:$AJ$503,21))</f>
        <v/>
      </c>
      <c r="K524">
        <f>IF(LEN(INDEX('Providers'!$AI$4:$AI$503,21))=0,"",INDEX('Providers'!$AI$4:$AI$503,21))</f>
        <v/>
      </c>
    </row>
    <row r="525">
      <c r="A525">
        <f>IF(AND(LEN('Providers'!A25)&gt;0,ISNUMBER('Providers'!I25)),1,0)</f>
        <v/>
      </c>
      <c r="B525">
        <f>B524+A525</f>
        <v/>
      </c>
      <c r="C525">
        <f>IF(522&gt;$B$4503,"",MATCH(522-0.5,$B$3:$B$4503,1))</f>
        <v/>
      </c>
      <c r="D525">
        <f>"DEA registration ("&amp;IF(LEN(INDEX('Providers'!$E$4:$E$503,22))=0,"",INDEX('Providers'!$E$4:$E$503,22))&amp;") – "&amp;IF(LEN(INDEX('Providers'!$A$4:$A$503,22))=0,"",INDEX('Providers'!$A$4:$A$503,22))</f>
        <v/>
      </c>
      <c r="E525">
        <f>IF(ISNUMBER(INDEX('Providers'!$I$4:$I$503,22)),TEXT(INDEX('Providers'!$I$4:$I$503,22),"yyyy-mm-dd"),"")</f>
        <v/>
      </c>
      <c r="F525">
        <f>"Registration"</f>
        <v/>
      </c>
      <c r="G525">
        <f>""</f>
        <v/>
      </c>
      <c r="H525">
        <f>"High"</f>
        <v/>
      </c>
      <c r="I525">
        <f>TRIM(IF(LEN(IF(LEN(INDEX('Providers'!$H$4:$H$503,22))=0,"",INDEX('Providers'!$H$4:$H$503,22)))=0,"","DEA no.: "&amp;IF(LEN(INDEX('Providers'!$H$4:$H$503,22))=0,"",INDEX('Providers'!$H$4:$H$503,22))&amp;". ")&amp;IF(LEN(IF(LEN(INDEX('Providers'!$C$4:$C$503,22))=0,"",INDEX('Providers'!$C$4:$C$503,22)))=0,"","NPI: "&amp;IF(LEN(INDEX('Providers'!$C$4:$C$503,22))=0,"",INDEX('Providers'!$C$4:$C$503,22))&amp;". "))</f>
        <v/>
      </c>
      <c r="J525">
        <f>IF(LEN(INDEX('Providers'!$AJ$4:$AJ$503,22))=0,"",INDEX('Providers'!$AJ$4:$AJ$503,22))</f>
        <v/>
      </c>
      <c r="K525">
        <f>IF(LEN(INDEX('Providers'!$AI$4:$AI$503,22))=0,"",INDEX('Providers'!$AI$4:$AI$503,22))</f>
        <v/>
      </c>
    </row>
    <row r="526">
      <c r="A526">
        <f>IF(AND(LEN('Providers'!A26)&gt;0,ISNUMBER('Providers'!I26)),1,0)</f>
        <v/>
      </c>
      <c r="B526">
        <f>B525+A526</f>
        <v/>
      </c>
      <c r="C526">
        <f>IF(523&gt;$B$4503,"",MATCH(523-0.5,$B$3:$B$4503,1))</f>
        <v/>
      </c>
      <c r="D526">
        <f>"DEA registration ("&amp;IF(LEN(INDEX('Providers'!$E$4:$E$503,23))=0,"",INDEX('Providers'!$E$4:$E$503,23))&amp;") – "&amp;IF(LEN(INDEX('Providers'!$A$4:$A$503,23))=0,"",INDEX('Providers'!$A$4:$A$503,23))</f>
        <v/>
      </c>
      <c r="E526">
        <f>IF(ISNUMBER(INDEX('Providers'!$I$4:$I$503,23)),TEXT(INDEX('Providers'!$I$4:$I$503,23),"yyyy-mm-dd"),"")</f>
        <v/>
      </c>
      <c r="F526">
        <f>"Registration"</f>
        <v/>
      </c>
      <c r="G526">
        <f>""</f>
        <v/>
      </c>
      <c r="H526">
        <f>"High"</f>
        <v/>
      </c>
      <c r="I526">
        <f>TRIM(IF(LEN(IF(LEN(INDEX('Providers'!$H$4:$H$503,23))=0,"",INDEX('Providers'!$H$4:$H$503,23)))=0,"","DEA no.: "&amp;IF(LEN(INDEX('Providers'!$H$4:$H$503,23))=0,"",INDEX('Providers'!$H$4:$H$503,23))&amp;". ")&amp;IF(LEN(IF(LEN(INDEX('Providers'!$C$4:$C$503,23))=0,"",INDEX('Providers'!$C$4:$C$503,23)))=0,"","NPI: "&amp;IF(LEN(INDEX('Providers'!$C$4:$C$503,23))=0,"",INDEX('Providers'!$C$4:$C$503,23))&amp;". "))</f>
        <v/>
      </c>
      <c r="J526">
        <f>IF(LEN(INDEX('Providers'!$AJ$4:$AJ$503,23))=0,"",INDEX('Providers'!$AJ$4:$AJ$503,23))</f>
        <v/>
      </c>
      <c r="K526">
        <f>IF(LEN(INDEX('Providers'!$AI$4:$AI$503,23))=0,"",INDEX('Providers'!$AI$4:$AI$503,23))</f>
        <v/>
      </c>
    </row>
    <row r="527">
      <c r="A527">
        <f>IF(AND(LEN('Providers'!A27)&gt;0,ISNUMBER('Providers'!I27)),1,0)</f>
        <v/>
      </c>
      <c r="B527">
        <f>B526+A527</f>
        <v/>
      </c>
      <c r="C527">
        <f>IF(524&gt;$B$4503,"",MATCH(524-0.5,$B$3:$B$4503,1))</f>
        <v/>
      </c>
      <c r="D527">
        <f>"DEA registration ("&amp;IF(LEN(INDEX('Providers'!$E$4:$E$503,24))=0,"",INDEX('Providers'!$E$4:$E$503,24))&amp;") – "&amp;IF(LEN(INDEX('Providers'!$A$4:$A$503,24))=0,"",INDEX('Providers'!$A$4:$A$503,24))</f>
        <v/>
      </c>
      <c r="E527">
        <f>IF(ISNUMBER(INDEX('Providers'!$I$4:$I$503,24)),TEXT(INDEX('Providers'!$I$4:$I$503,24),"yyyy-mm-dd"),"")</f>
        <v/>
      </c>
      <c r="F527">
        <f>"Registration"</f>
        <v/>
      </c>
      <c r="G527">
        <f>""</f>
        <v/>
      </c>
      <c r="H527">
        <f>"High"</f>
        <v/>
      </c>
      <c r="I527">
        <f>TRIM(IF(LEN(IF(LEN(INDEX('Providers'!$H$4:$H$503,24))=0,"",INDEX('Providers'!$H$4:$H$503,24)))=0,"","DEA no.: "&amp;IF(LEN(INDEX('Providers'!$H$4:$H$503,24))=0,"",INDEX('Providers'!$H$4:$H$503,24))&amp;". ")&amp;IF(LEN(IF(LEN(INDEX('Providers'!$C$4:$C$503,24))=0,"",INDEX('Providers'!$C$4:$C$503,24)))=0,"","NPI: "&amp;IF(LEN(INDEX('Providers'!$C$4:$C$503,24))=0,"",INDEX('Providers'!$C$4:$C$503,24))&amp;". "))</f>
        <v/>
      </c>
      <c r="J527">
        <f>IF(LEN(INDEX('Providers'!$AJ$4:$AJ$503,24))=0,"",INDEX('Providers'!$AJ$4:$AJ$503,24))</f>
        <v/>
      </c>
      <c r="K527">
        <f>IF(LEN(INDEX('Providers'!$AI$4:$AI$503,24))=0,"",INDEX('Providers'!$AI$4:$AI$503,24))</f>
        <v/>
      </c>
    </row>
    <row r="528">
      <c r="A528">
        <f>IF(AND(LEN('Providers'!A28)&gt;0,ISNUMBER('Providers'!I28)),1,0)</f>
        <v/>
      </c>
      <c r="B528">
        <f>B527+A528</f>
        <v/>
      </c>
      <c r="C528">
        <f>IF(525&gt;$B$4503,"",MATCH(525-0.5,$B$3:$B$4503,1))</f>
        <v/>
      </c>
      <c r="D528">
        <f>"DEA registration ("&amp;IF(LEN(INDEX('Providers'!$E$4:$E$503,25))=0,"",INDEX('Providers'!$E$4:$E$503,25))&amp;") – "&amp;IF(LEN(INDEX('Providers'!$A$4:$A$503,25))=0,"",INDEX('Providers'!$A$4:$A$503,25))</f>
        <v/>
      </c>
      <c r="E528">
        <f>IF(ISNUMBER(INDEX('Providers'!$I$4:$I$503,25)),TEXT(INDEX('Providers'!$I$4:$I$503,25),"yyyy-mm-dd"),"")</f>
        <v/>
      </c>
      <c r="F528">
        <f>"Registration"</f>
        <v/>
      </c>
      <c r="G528">
        <f>""</f>
        <v/>
      </c>
      <c r="H528">
        <f>"High"</f>
        <v/>
      </c>
      <c r="I528">
        <f>TRIM(IF(LEN(IF(LEN(INDEX('Providers'!$H$4:$H$503,25))=0,"",INDEX('Providers'!$H$4:$H$503,25)))=0,"","DEA no.: "&amp;IF(LEN(INDEX('Providers'!$H$4:$H$503,25))=0,"",INDEX('Providers'!$H$4:$H$503,25))&amp;". ")&amp;IF(LEN(IF(LEN(INDEX('Providers'!$C$4:$C$503,25))=0,"",INDEX('Providers'!$C$4:$C$503,25)))=0,"","NPI: "&amp;IF(LEN(INDEX('Providers'!$C$4:$C$503,25))=0,"",INDEX('Providers'!$C$4:$C$503,25))&amp;". "))</f>
        <v/>
      </c>
      <c r="J528">
        <f>IF(LEN(INDEX('Providers'!$AJ$4:$AJ$503,25))=0,"",INDEX('Providers'!$AJ$4:$AJ$503,25))</f>
        <v/>
      </c>
      <c r="K528">
        <f>IF(LEN(INDEX('Providers'!$AI$4:$AI$503,25))=0,"",INDEX('Providers'!$AI$4:$AI$503,25))</f>
        <v/>
      </c>
    </row>
    <row r="529">
      <c r="A529">
        <f>IF(AND(LEN('Providers'!A29)&gt;0,ISNUMBER('Providers'!I29)),1,0)</f>
        <v/>
      </c>
      <c r="B529">
        <f>B528+A529</f>
        <v/>
      </c>
      <c r="C529">
        <f>IF(526&gt;$B$4503,"",MATCH(526-0.5,$B$3:$B$4503,1))</f>
        <v/>
      </c>
      <c r="D529">
        <f>"DEA registration ("&amp;IF(LEN(INDEX('Providers'!$E$4:$E$503,26))=0,"",INDEX('Providers'!$E$4:$E$503,26))&amp;") – "&amp;IF(LEN(INDEX('Providers'!$A$4:$A$503,26))=0,"",INDEX('Providers'!$A$4:$A$503,26))</f>
        <v/>
      </c>
      <c r="E529">
        <f>IF(ISNUMBER(INDEX('Providers'!$I$4:$I$503,26)),TEXT(INDEX('Providers'!$I$4:$I$503,26),"yyyy-mm-dd"),"")</f>
        <v/>
      </c>
      <c r="F529">
        <f>"Registration"</f>
        <v/>
      </c>
      <c r="G529">
        <f>""</f>
        <v/>
      </c>
      <c r="H529">
        <f>"High"</f>
        <v/>
      </c>
      <c r="I529">
        <f>TRIM(IF(LEN(IF(LEN(INDEX('Providers'!$H$4:$H$503,26))=0,"",INDEX('Providers'!$H$4:$H$503,26)))=0,"","DEA no.: "&amp;IF(LEN(INDEX('Providers'!$H$4:$H$503,26))=0,"",INDEX('Providers'!$H$4:$H$503,26))&amp;". ")&amp;IF(LEN(IF(LEN(INDEX('Providers'!$C$4:$C$503,26))=0,"",INDEX('Providers'!$C$4:$C$503,26)))=0,"","NPI: "&amp;IF(LEN(INDEX('Providers'!$C$4:$C$503,26))=0,"",INDEX('Providers'!$C$4:$C$503,26))&amp;". "))</f>
        <v/>
      </c>
      <c r="J529">
        <f>IF(LEN(INDEX('Providers'!$AJ$4:$AJ$503,26))=0,"",INDEX('Providers'!$AJ$4:$AJ$503,26))</f>
        <v/>
      </c>
      <c r="K529">
        <f>IF(LEN(INDEX('Providers'!$AI$4:$AI$503,26))=0,"",INDEX('Providers'!$AI$4:$AI$503,26))</f>
        <v/>
      </c>
    </row>
    <row r="530">
      <c r="A530">
        <f>IF(AND(LEN('Providers'!A30)&gt;0,ISNUMBER('Providers'!I30)),1,0)</f>
        <v/>
      </c>
      <c r="B530">
        <f>B529+A530</f>
        <v/>
      </c>
      <c r="C530">
        <f>IF(527&gt;$B$4503,"",MATCH(527-0.5,$B$3:$B$4503,1))</f>
        <v/>
      </c>
      <c r="D530">
        <f>"DEA registration ("&amp;IF(LEN(INDEX('Providers'!$E$4:$E$503,27))=0,"",INDEX('Providers'!$E$4:$E$503,27))&amp;") – "&amp;IF(LEN(INDEX('Providers'!$A$4:$A$503,27))=0,"",INDEX('Providers'!$A$4:$A$503,27))</f>
        <v/>
      </c>
      <c r="E530">
        <f>IF(ISNUMBER(INDEX('Providers'!$I$4:$I$503,27)),TEXT(INDEX('Providers'!$I$4:$I$503,27),"yyyy-mm-dd"),"")</f>
        <v/>
      </c>
      <c r="F530">
        <f>"Registration"</f>
        <v/>
      </c>
      <c r="G530">
        <f>""</f>
        <v/>
      </c>
      <c r="H530">
        <f>"High"</f>
        <v/>
      </c>
      <c r="I530">
        <f>TRIM(IF(LEN(IF(LEN(INDEX('Providers'!$H$4:$H$503,27))=0,"",INDEX('Providers'!$H$4:$H$503,27)))=0,"","DEA no.: "&amp;IF(LEN(INDEX('Providers'!$H$4:$H$503,27))=0,"",INDEX('Providers'!$H$4:$H$503,27))&amp;". ")&amp;IF(LEN(IF(LEN(INDEX('Providers'!$C$4:$C$503,27))=0,"",INDEX('Providers'!$C$4:$C$503,27)))=0,"","NPI: "&amp;IF(LEN(INDEX('Providers'!$C$4:$C$503,27))=0,"",INDEX('Providers'!$C$4:$C$503,27))&amp;". "))</f>
        <v/>
      </c>
      <c r="J530">
        <f>IF(LEN(INDEX('Providers'!$AJ$4:$AJ$503,27))=0,"",INDEX('Providers'!$AJ$4:$AJ$503,27))</f>
        <v/>
      </c>
      <c r="K530">
        <f>IF(LEN(INDEX('Providers'!$AI$4:$AI$503,27))=0,"",INDEX('Providers'!$AI$4:$AI$503,27))</f>
        <v/>
      </c>
    </row>
    <row r="531">
      <c r="A531">
        <f>IF(AND(LEN('Providers'!A31)&gt;0,ISNUMBER('Providers'!I31)),1,0)</f>
        <v/>
      </c>
      <c r="B531">
        <f>B530+A531</f>
        <v/>
      </c>
      <c r="C531">
        <f>IF(528&gt;$B$4503,"",MATCH(528-0.5,$B$3:$B$4503,1))</f>
        <v/>
      </c>
      <c r="D531">
        <f>"DEA registration ("&amp;IF(LEN(INDEX('Providers'!$E$4:$E$503,28))=0,"",INDEX('Providers'!$E$4:$E$503,28))&amp;") – "&amp;IF(LEN(INDEX('Providers'!$A$4:$A$503,28))=0,"",INDEX('Providers'!$A$4:$A$503,28))</f>
        <v/>
      </c>
      <c r="E531">
        <f>IF(ISNUMBER(INDEX('Providers'!$I$4:$I$503,28)),TEXT(INDEX('Providers'!$I$4:$I$503,28),"yyyy-mm-dd"),"")</f>
        <v/>
      </c>
      <c r="F531">
        <f>"Registration"</f>
        <v/>
      </c>
      <c r="G531">
        <f>""</f>
        <v/>
      </c>
      <c r="H531">
        <f>"High"</f>
        <v/>
      </c>
      <c r="I531">
        <f>TRIM(IF(LEN(IF(LEN(INDEX('Providers'!$H$4:$H$503,28))=0,"",INDEX('Providers'!$H$4:$H$503,28)))=0,"","DEA no.: "&amp;IF(LEN(INDEX('Providers'!$H$4:$H$503,28))=0,"",INDEX('Providers'!$H$4:$H$503,28))&amp;". ")&amp;IF(LEN(IF(LEN(INDEX('Providers'!$C$4:$C$503,28))=0,"",INDEX('Providers'!$C$4:$C$503,28)))=0,"","NPI: "&amp;IF(LEN(INDEX('Providers'!$C$4:$C$503,28))=0,"",INDEX('Providers'!$C$4:$C$503,28))&amp;". "))</f>
        <v/>
      </c>
      <c r="J531">
        <f>IF(LEN(INDEX('Providers'!$AJ$4:$AJ$503,28))=0,"",INDEX('Providers'!$AJ$4:$AJ$503,28))</f>
        <v/>
      </c>
      <c r="K531">
        <f>IF(LEN(INDEX('Providers'!$AI$4:$AI$503,28))=0,"",INDEX('Providers'!$AI$4:$AI$503,28))</f>
        <v/>
      </c>
    </row>
    <row r="532">
      <c r="A532">
        <f>IF(AND(LEN('Providers'!A32)&gt;0,ISNUMBER('Providers'!I32)),1,0)</f>
        <v/>
      </c>
      <c r="B532">
        <f>B531+A532</f>
        <v/>
      </c>
      <c r="C532">
        <f>IF(529&gt;$B$4503,"",MATCH(529-0.5,$B$3:$B$4503,1))</f>
        <v/>
      </c>
      <c r="D532">
        <f>"DEA registration ("&amp;IF(LEN(INDEX('Providers'!$E$4:$E$503,29))=0,"",INDEX('Providers'!$E$4:$E$503,29))&amp;") – "&amp;IF(LEN(INDEX('Providers'!$A$4:$A$503,29))=0,"",INDEX('Providers'!$A$4:$A$503,29))</f>
        <v/>
      </c>
      <c r="E532">
        <f>IF(ISNUMBER(INDEX('Providers'!$I$4:$I$503,29)),TEXT(INDEX('Providers'!$I$4:$I$503,29),"yyyy-mm-dd"),"")</f>
        <v/>
      </c>
      <c r="F532">
        <f>"Registration"</f>
        <v/>
      </c>
      <c r="G532">
        <f>""</f>
        <v/>
      </c>
      <c r="H532">
        <f>"High"</f>
        <v/>
      </c>
      <c r="I532">
        <f>TRIM(IF(LEN(IF(LEN(INDEX('Providers'!$H$4:$H$503,29))=0,"",INDEX('Providers'!$H$4:$H$503,29)))=0,"","DEA no.: "&amp;IF(LEN(INDEX('Providers'!$H$4:$H$503,29))=0,"",INDEX('Providers'!$H$4:$H$503,29))&amp;". ")&amp;IF(LEN(IF(LEN(INDEX('Providers'!$C$4:$C$503,29))=0,"",INDEX('Providers'!$C$4:$C$503,29)))=0,"","NPI: "&amp;IF(LEN(INDEX('Providers'!$C$4:$C$503,29))=0,"",INDEX('Providers'!$C$4:$C$503,29))&amp;". "))</f>
        <v/>
      </c>
      <c r="J532">
        <f>IF(LEN(INDEX('Providers'!$AJ$4:$AJ$503,29))=0,"",INDEX('Providers'!$AJ$4:$AJ$503,29))</f>
        <v/>
      </c>
      <c r="K532">
        <f>IF(LEN(INDEX('Providers'!$AI$4:$AI$503,29))=0,"",INDEX('Providers'!$AI$4:$AI$503,29))</f>
        <v/>
      </c>
    </row>
    <row r="533">
      <c r="A533">
        <f>IF(AND(LEN('Providers'!A33)&gt;0,ISNUMBER('Providers'!I33)),1,0)</f>
        <v/>
      </c>
      <c r="B533">
        <f>B532+A533</f>
        <v/>
      </c>
      <c r="C533">
        <f>IF(530&gt;$B$4503,"",MATCH(530-0.5,$B$3:$B$4503,1))</f>
        <v/>
      </c>
      <c r="D533">
        <f>"DEA registration ("&amp;IF(LEN(INDEX('Providers'!$E$4:$E$503,30))=0,"",INDEX('Providers'!$E$4:$E$503,30))&amp;") – "&amp;IF(LEN(INDEX('Providers'!$A$4:$A$503,30))=0,"",INDEX('Providers'!$A$4:$A$503,30))</f>
        <v/>
      </c>
      <c r="E533">
        <f>IF(ISNUMBER(INDEX('Providers'!$I$4:$I$503,30)),TEXT(INDEX('Providers'!$I$4:$I$503,30),"yyyy-mm-dd"),"")</f>
        <v/>
      </c>
      <c r="F533">
        <f>"Registration"</f>
        <v/>
      </c>
      <c r="G533">
        <f>""</f>
        <v/>
      </c>
      <c r="H533">
        <f>"High"</f>
        <v/>
      </c>
      <c r="I533">
        <f>TRIM(IF(LEN(IF(LEN(INDEX('Providers'!$H$4:$H$503,30))=0,"",INDEX('Providers'!$H$4:$H$503,30)))=0,"","DEA no.: "&amp;IF(LEN(INDEX('Providers'!$H$4:$H$503,30))=0,"",INDEX('Providers'!$H$4:$H$503,30))&amp;". ")&amp;IF(LEN(IF(LEN(INDEX('Providers'!$C$4:$C$503,30))=0,"",INDEX('Providers'!$C$4:$C$503,30)))=0,"","NPI: "&amp;IF(LEN(INDEX('Providers'!$C$4:$C$503,30))=0,"",INDEX('Providers'!$C$4:$C$503,30))&amp;". "))</f>
        <v/>
      </c>
      <c r="J533">
        <f>IF(LEN(INDEX('Providers'!$AJ$4:$AJ$503,30))=0,"",INDEX('Providers'!$AJ$4:$AJ$503,30))</f>
        <v/>
      </c>
      <c r="K533">
        <f>IF(LEN(INDEX('Providers'!$AI$4:$AI$503,30))=0,"",INDEX('Providers'!$AI$4:$AI$503,30))</f>
        <v/>
      </c>
    </row>
    <row r="534">
      <c r="A534">
        <f>IF(AND(LEN('Providers'!A34)&gt;0,ISNUMBER('Providers'!I34)),1,0)</f>
        <v/>
      </c>
      <c r="B534">
        <f>B533+A534</f>
        <v/>
      </c>
      <c r="C534">
        <f>IF(531&gt;$B$4503,"",MATCH(531-0.5,$B$3:$B$4503,1))</f>
        <v/>
      </c>
      <c r="D534">
        <f>"DEA registration ("&amp;IF(LEN(INDEX('Providers'!$E$4:$E$503,31))=0,"",INDEX('Providers'!$E$4:$E$503,31))&amp;") – "&amp;IF(LEN(INDEX('Providers'!$A$4:$A$503,31))=0,"",INDEX('Providers'!$A$4:$A$503,31))</f>
        <v/>
      </c>
      <c r="E534">
        <f>IF(ISNUMBER(INDEX('Providers'!$I$4:$I$503,31)),TEXT(INDEX('Providers'!$I$4:$I$503,31),"yyyy-mm-dd"),"")</f>
        <v/>
      </c>
      <c r="F534">
        <f>"Registration"</f>
        <v/>
      </c>
      <c r="G534">
        <f>""</f>
        <v/>
      </c>
      <c r="H534">
        <f>"High"</f>
        <v/>
      </c>
      <c r="I534">
        <f>TRIM(IF(LEN(IF(LEN(INDEX('Providers'!$H$4:$H$503,31))=0,"",INDEX('Providers'!$H$4:$H$503,31)))=0,"","DEA no.: "&amp;IF(LEN(INDEX('Providers'!$H$4:$H$503,31))=0,"",INDEX('Providers'!$H$4:$H$503,31))&amp;". ")&amp;IF(LEN(IF(LEN(INDEX('Providers'!$C$4:$C$503,31))=0,"",INDEX('Providers'!$C$4:$C$503,31)))=0,"","NPI: "&amp;IF(LEN(INDEX('Providers'!$C$4:$C$503,31))=0,"",INDEX('Providers'!$C$4:$C$503,31))&amp;". "))</f>
        <v/>
      </c>
      <c r="J534">
        <f>IF(LEN(INDEX('Providers'!$AJ$4:$AJ$503,31))=0,"",INDEX('Providers'!$AJ$4:$AJ$503,31))</f>
        <v/>
      </c>
      <c r="K534">
        <f>IF(LEN(INDEX('Providers'!$AI$4:$AI$503,31))=0,"",INDEX('Providers'!$AI$4:$AI$503,31))</f>
        <v/>
      </c>
    </row>
    <row r="535">
      <c r="A535">
        <f>IF(AND(LEN('Providers'!A35)&gt;0,ISNUMBER('Providers'!I35)),1,0)</f>
        <v/>
      </c>
      <c r="B535">
        <f>B534+A535</f>
        <v/>
      </c>
      <c r="C535">
        <f>IF(532&gt;$B$4503,"",MATCH(532-0.5,$B$3:$B$4503,1))</f>
        <v/>
      </c>
      <c r="D535">
        <f>"DEA registration ("&amp;IF(LEN(INDEX('Providers'!$E$4:$E$503,32))=0,"",INDEX('Providers'!$E$4:$E$503,32))&amp;") – "&amp;IF(LEN(INDEX('Providers'!$A$4:$A$503,32))=0,"",INDEX('Providers'!$A$4:$A$503,32))</f>
        <v/>
      </c>
      <c r="E535">
        <f>IF(ISNUMBER(INDEX('Providers'!$I$4:$I$503,32)),TEXT(INDEX('Providers'!$I$4:$I$503,32),"yyyy-mm-dd"),"")</f>
        <v/>
      </c>
      <c r="F535">
        <f>"Registration"</f>
        <v/>
      </c>
      <c r="G535">
        <f>""</f>
        <v/>
      </c>
      <c r="H535">
        <f>"High"</f>
        <v/>
      </c>
      <c r="I535">
        <f>TRIM(IF(LEN(IF(LEN(INDEX('Providers'!$H$4:$H$503,32))=0,"",INDEX('Providers'!$H$4:$H$503,32)))=0,"","DEA no.: "&amp;IF(LEN(INDEX('Providers'!$H$4:$H$503,32))=0,"",INDEX('Providers'!$H$4:$H$503,32))&amp;". ")&amp;IF(LEN(IF(LEN(INDEX('Providers'!$C$4:$C$503,32))=0,"",INDEX('Providers'!$C$4:$C$503,32)))=0,"","NPI: "&amp;IF(LEN(INDEX('Providers'!$C$4:$C$503,32))=0,"",INDEX('Providers'!$C$4:$C$503,32))&amp;". "))</f>
        <v/>
      </c>
      <c r="J535">
        <f>IF(LEN(INDEX('Providers'!$AJ$4:$AJ$503,32))=0,"",INDEX('Providers'!$AJ$4:$AJ$503,32))</f>
        <v/>
      </c>
      <c r="K535">
        <f>IF(LEN(INDEX('Providers'!$AI$4:$AI$503,32))=0,"",INDEX('Providers'!$AI$4:$AI$503,32))</f>
        <v/>
      </c>
    </row>
    <row r="536">
      <c r="A536">
        <f>IF(AND(LEN('Providers'!A36)&gt;0,ISNUMBER('Providers'!I36)),1,0)</f>
        <v/>
      </c>
      <c r="B536">
        <f>B535+A536</f>
        <v/>
      </c>
      <c r="C536">
        <f>IF(533&gt;$B$4503,"",MATCH(533-0.5,$B$3:$B$4503,1))</f>
        <v/>
      </c>
      <c r="D536">
        <f>"DEA registration ("&amp;IF(LEN(INDEX('Providers'!$E$4:$E$503,33))=0,"",INDEX('Providers'!$E$4:$E$503,33))&amp;") – "&amp;IF(LEN(INDEX('Providers'!$A$4:$A$503,33))=0,"",INDEX('Providers'!$A$4:$A$503,33))</f>
        <v/>
      </c>
      <c r="E536">
        <f>IF(ISNUMBER(INDEX('Providers'!$I$4:$I$503,33)),TEXT(INDEX('Providers'!$I$4:$I$503,33),"yyyy-mm-dd"),"")</f>
        <v/>
      </c>
      <c r="F536">
        <f>"Registration"</f>
        <v/>
      </c>
      <c r="G536">
        <f>""</f>
        <v/>
      </c>
      <c r="H536">
        <f>"High"</f>
        <v/>
      </c>
      <c r="I536">
        <f>TRIM(IF(LEN(IF(LEN(INDEX('Providers'!$H$4:$H$503,33))=0,"",INDEX('Providers'!$H$4:$H$503,33)))=0,"","DEA no.: "&amp;IF(LEN(INDEX('Providers'!$H$4:$H$503,33))=0,"",INDEX('Providers'!$H$4:$H$503,33))&amp;". ")&amp;IF(LEN(IF(LEN(INDEX('Providers'!$C$4:$C$503,33))=0,"",INDEX('Providers'!$C$4:$C$503,33)))=0,"","NPI: "&amp;IF(LEN(INDEX('Providers'!$C$4:$C$503,33))=0,"",INDEX('Providers'!$C$4:$C$503,33))&amp;". "))</f>
        <v/>
      </c>
      <c r="J536">
        <f>IF(LEN(INDEX('Providers'!$AJ$4:$AJ$503,33))=0,"",INDEX('Providers'!$AJ$4:$AJ$503,33))</f>
        <v/>
      </c>
      <c r="K536">
        <f>IF(LEN(INDEX('Providers'!$AI$4:$AI$503,33))=0,"",INDEX('Providers'!$AI$4:$AI$503,33))</f>
        <v/>
      </c>
    </row>
    <row r="537">
      <c r="A537">
        <f>IF(AND(LEN('Providers'!A37)&gt;0,ISNUMBER('Providers'!I37)),1,0)</f>
        <v/>
      </c>
      <c r="B537">
        <f>B536+A537</f>
        <v/>
      </c>
      <c r="C537">
        <f>IF(534&gt;$B$4503,"",MATCH(534-0.5,$B$3:$B$4503,1))</f>
        <v/>
      </c>
      <c r="D537">
        <f>"DEA registration ("&amp;IF(LEN(INDEX('Providers'!$E$4:$E$503,34))=0,"",INDEX('Providers'!$E$4:$E$503,34))&amp;") – "&amp;IF(LEN(INDEX('Providers'!$A$4:$A$503,34))=0,"",INDEX('Providers'!$A$4:$A$503,34))</f>
        <v/>
      </c>
      <c r="E537">
        <f>IF(ISNUMBER(INDEX('Providers'!$I$4:$I$503,34)),TEXT(INDEX('Providers'!$I$4:$I$503,34),"yyyy-mm-dd"),"")</f>
        <v/>
      </c>
      <c r="F537">
        <f>"Registration"</f>
        <v/>
      </c>
      <c r="G537">
        <f>""</f>
        <v/>
      </c>
      <c r="H537">
        <f>"High"</f>
        <v/>
      </c>
      <c r="I537">
        <f>TRIM(IF(LEN(IF(LEN(INDEX('Providers'!$H$4:$H$503,34))=0,"",INDEX('Providers'!$H$4:$H$503,34)))=0,"","DEA no.: "&amp;IF(LEN(INDEX('Providers'!$H$4:$H$503,34))=0,"",INDEX('Providers'!$H$4:$H$503,34))&amp;". ")&amp;IF(LEN(IF(LEN(INDEX('Providers'!$C$4:$C$503,34))=0,"",INDEX('Providers'!$C$4:$C$503,34)))=0,"","NPI: "&amp;IF(LEN(INDEX('Providers'!$C$4:$C$503,34))=0,"",INDEX('Providers'!$C$4:$C$503,34))&amp;". "))</f>
        <v/>
      </c>
      <c r="J537">
        <f>IF(LEN(INDEX('Providers'!$AJ$4:$AJ$503,34))=0,"",INDEX('Providers'!$AJ$4:$AJ$503,34))</f>
        <v/>
      </c>
      <c r="K537">
        <f>IF(LEN(INDEX('Providers'!$AI$4:$AI$503,34))=0,"",INDEX('Providers'!$AI$4:$AI$503,34))</f>
        <v/>
      </c>
    </row>
    <row r="538">
      <c r="A538">
        <f>IF(AND(LEN('Providers'!A38)&gt;0,ISNUMBER('Providers'!I38)),1,0)</f>
        <v/>
      </c>
      <c r="B538">
        <f>B537+A538</f>
        <v/>
      </c>
      <c r="C538">
        <f>IF(535&gt;$B$4503,"",MATCH(535-0.5,$B$3:$B$4503,1))</f>
        <v/>
      </c>
      <c r="D538">
        <f>"DEA registration ("&amp;IF(LEN(INDEX('Providers'!$E$4:$E$503,35))=0,"",INDEX('Providers'!$E$4:$E$503,35))&amp;") – "&amp;IF(LEN(INDEX('Providers'!$A$4:$A$503,35))=0,"",INDEX('Providers'!$A$4:$A$503,35))</f>
        <v/>
      </c>
      <c r="E538">
        <f>IF(ISNUMBER(INDEX('Providers'!$I$4:$I$503,35)),TEXT(INDEX('Providers'!$I$4:$I$503,35),"yyyy-mm-dd"),"")</f>
        <v/>
      </c>
      <c r="F538">
        <f>"Registration"</f>
        <v/>
      </c>
      <c r="G538">
        <f>""</f>
        <v/>
      </c>
      <c r="H538">
        <f>"High"</f>
        <v/>
      </c>
      <c r="I538">
        <f>TRIM(IF(LEN(IF(LEN(INDEX('Providers'!$H$4:$H$503,35))=0,"",INDEX('Providers'!$H$4:$H$503,35)))=0,"","DEA no.: "&amp;IF(LEN(INDEX('Providers'!$H$4:$H$503,35))=0,"",INDEX('Providers'!$H$4:$H$503,35))&amp;". ")&amp;IF(LEN(IF(LEN(INDEX('Providers'!$C$4:$C$503,35))=0,"",INDEX('Providers'!$C$4:$C$503,35)))=0,"","NPI: "&amp;IF(LEN(INDEX('Providers'!$C$4:$C$503,35))=0,"",INDEX('Providers'!$C$4:$C$503,35))&amp;". "))</f>
        <v/>
      </c>
      <c r="J538">
        <f>IF(LEN(INDEX('Providers'!$AJ$4:$AJ$503,35))=0,"",INDEX('Providers'!$AJ$4:$AJ$503,35))</f>
        <v/>
      </c>
      <c r="K538">
        <f>IF(LEN(INDEX('Providers'!$AI$4:$AI$503,35))=0,"",INDEX('Providers'!$AI$4:$AI$503,35))</f>
        <v/>
      </c>
    </row>
    <row r="539">
      <c r="A539">
        <f>IF(AND(LEN('Providers'!A39)&gt;0,ISNUMBER('Providers'!I39)),1,0)</f>
        <v/>
      </c>
      <c r="B539">
        <f>B538+A539</f>
        <v/>
      </c>
      <c r="C539">
        <f>IF(536&gt;$B$4503,"",MATCH(536-0.5,$B$3:$B$4503,1))</f>
        <v/>
      </c>
      <c r="D539">
        <f>"DEA registration ("&amp;IF(LEN(INDEX('Providers'!$E$4:$E$503,36))=0,"",INDEX('Providers'!$E$4:$E$503,36))&amp;") – "&amp;IF(LEN(INDEX('Providers'!$A$4:$A$503,36))=0,"",INDEX('Providers'!$A$4:$A$503,36))</f>
        <v/>
      </c>
      <c r="E539">
        <f>IF(ISNUMBER(INDEX('Providers'!$I$4:$I$503,36)),TEXT(INDEX('Providers'!$I$4:$I$503,36),"yyyy-mm-dd"),"")</f>
        <v/>
      </c>
      <c r="F539">
        <f>"Registration"</f>
        <v/>
      </c>
      <c r="G539">
        <f>""</f>
        <v/>
      </c>
      <c r="H539">
        <f>"High"</f>
        <v/>
      </c>
      <c r="I539">
        <f>TRIM(IF(LEN(IF(LEN(INDEX('Providers'!$H$4:$H$503,36))=0,"",INDEX('Providers'!$H$4:$H$503,36)))=0,"","DEA no.: "&amp;IF(LEN(INDEX('Providers'!$H$4:$H$503,36))=0,"",INDEX('Providers'!$H$4:$H$503,36))&amp;". ")&amp;IF(LEN(IF(LEN(INDEX('Providers'!$C$4:$C$503,36))=0,"",INDEX('Providers'!$C$4:$C$503,36)))=0,"","NPI: "&amp;IF(LEN(INDEX('Providers'!$C$4:$C$503,36))=0,"",INDEX('Providers'!$C$4:$C$503,36))&amp;". "))</f>
        <v/>
      </c>
      <c r="J539">
        <f>IF(LEN(INDEX('Providers'!$AJ$4:$AJ$503,36))=0,"",INDEX('Providers'!$AJ$4:$AJ$503,36))</f>
        <v/>
      </c>
      <c r="K539">
        <f>IF(LEN(INDEX('Providers'!$AI$4:$AI$503,36))=0,"",INDEX('Providers'!$AI$4:$AI$503,36))</f>
        <v/>
      </c>
    </row>
    <row r="540">
      <c r="A540">
        <f>IF(AND(LEN('Providers'!A40)&gt;0,ISNUMBER('Providers'!I40)),1,0)</f>
        <v/>
      </c>
      <c r="B540">
        <f>B539+A540</f>
        <v/>
      </c>
      <c r="C540">
        <f>IF(537&gt;$B$4503,"",MATCH(537-0.5,$B$3:$B$4503,1))</f>
        <v/>
      </c>
      <c r="D540">
        <f>"DEA registration ("&amp;IF(LEN(INDEX('Providers'!$E$4:$E$503,37))=0,"",INDEX('Providers'!$E$4:$E$503,37))&amp;") – "&amp;IF(LEN(INDEX('Providers'!$A$4:$A$503,37))=0,"",INDEX('Providers'!$A$4:$A$503,37))</f>
        <v/>
      </c>
      <c r="E540">
        <f>IF(ISNUMBER(INDEX('Providers'!$I$4:$I$503,37)),TEXT(INDEX('Providers'!$I$4:$I$503,37),"yyyy-mm-dd"),"")</f>
        <v/>
      </c>
      <c r="F540">
        <f>"Registration"</f>
        <v/>
      </c>
      <c r="G540">
        <f>""</f>
        <v/>
      </c>
      <c r="H540">
        <f>"High"</f>
        <v/>
      </c>
      <c r="I540">
        <f>TRIM(IF(LEN(IF(LEN(INDEX('Providers'!$H$4:$H$503,37))=0,"",INDEX('Providers'!$H$4:$H$503,37)))=0,"","DEA no.: "&amp;IF(LEN(INDEX('Providers'!$H$4:$H$503,37))=0,"",INDEX('Providers'!$H$4:$H$503,37))&amp;". ")&amp;IF(LEN(IF(LEN(INDEX('Providers'!$C$4:$C$503,37))=0,"",INDEX('Providers'!$C$4:$C$503,37)))=0,"","NPI: "&amp;IF(LEN(INDEX('Providers'!$C$4:$C$503,37))=0,"",INDEX('Providers'!$C$4:$C$503,37))&amp;". "))</f>
        <v/>
      </c>
      <c r="J540">
        <f>IF(LEN(INDEX('Providers'!$AJ$4:$AJ$503,37))=0,"",INDEX('Providers'!$AJ$4:$AJ$503,37))</f>
        <v/>
      </c>
      <c r="K540">
        <f>IF(LEN(INDEX('Providers'!$AI$4:$AI$503,37))=0,"",INDEX('Providers'!$AI$4:$AI$503,37))</f>
        <v/>
      </c>
    </row>
    <row r="541">
      <c r="A541">
        <f>IF(AND(LEN('Providers'!A41)&gt;0,ISNUMBER('Providers'!I41)),1,0)</f>
        <v/>
      </c>
      <c r="B541">
        <f>B540+A541</f>
        <v/>
      </c>
      <c r="C541">
        <f>IF(538&gt;$B$4503,"",MATCH(538-0.5,$B$3:$B$4503,1))</f>
        <v/>
      </c>
      <c r="D541">
        <f>"DEA registration ("&amp;IF(LEN(INDEX('Providers'!$E$4:$E$503,38))=0,"",INDEX('Providers'!$E$4:$E$503,38))&amp;") – "&amp;IF(LEN(INDEX('Providers'!$A$4:$A$503,38))=0,"",INDEX('Providers'!$A$4:$A$503,38))</f>
        <v/>
      </c>
      <c r="E541">
        <f>IF(ISNUMBER(INDEX('Providers'!$I$4:$I$503,38)),TEXT(INDEX('Providers'!$I$4:$I$503,38),"yyyy-mm-dd"),"")</f>
        <v/>
      </c>
      <c r="F541">
        <f>"Registration"</f>
        <v/>
      </c>
      <c r="G541">
        <f>""</f>
        <v/>
      </c>
      <c r="H541">
        <f>"High"</f>
        <v/>
      </c>
      <c r="I541">
        <f>TRIM(IF(LEN(IF(LEN(INDEX('Providers'!$H$4:$H$503,38))=0,"",INDEX('Providers'!$H$4:$H$503,38)))=0,"","DEA no.: "&amp;IF(LEN(INDEX('Providers'!$H$4:$H$503,38))=0,"",INDEX('Providers'!$H$4:$H$503,38))&amp;". ")&amp;IF(LEN(IF(LEN(INDEX('Providers'!$C$4:$C$503,38))=0,"",INDEX('Providers'!$C$4:$C$503,38)))=0,"","NPI: "&amp;IF(LEN(INDEX('Providers'!$C$4:$C$503,38))=0,"",INDEX('Providers'!$C$4:$C$503,38))&amp;". "))</f>
        <v/>
      </c>
      <c r="J541">
        <f>IF(LEN(INDEX('Providers'!$AJ$4:$AJ$503,38))=0,"",INDEX('Providers'!$AJ$4:$AJ$503,38))</f>
        <v/>
      </c>
      <c r="K541">
        <f>IF(LEN(INDEX('Providers'!$AI$4:$AI$503,38))=0,"",INDEX('Providers'!$AI$4:$AI$503,38))</f>
        <v/>
      </c>
    </row>
    <row r="542">
      <c r="A542">
        <f>IF(AND(LEN('Providers'!A42)&gt;0,ISNUMBER('Providers'!I42)),1,0)</f>
        <v/>
      </c>
      <c r="B542">
        <f>B541+A542</f>
        <v/>
      </c>
      <c r="C542">
        <f>IF(539&gt;$B$4503,"",MATCH(539-0.5,$B$3:$B$4503,1))</f>
        <v/>
      </c>
      <c r="D542">
        <f>"DEA registration ("&amp;IF(LEN(INDEX('Providers'!$E$4:$E$503,39))=0,"",INDEX('Providers'!$E$4:$E$503,39))&amp;") – "&amp;IF(LEN(INDEX('Providers'!$A$4:$A$503,39))=0,"",INDEX('Providers'!$A$4:$A$503,39))</f>
        <v/>
      </c>
      <c r="E542">
        <f>IF(ISNUMBER(INDEX('Providers'!$I$4:$I$503,39)),TEXT(INDEX('Providers'!$I$4:$I$503,39),"yyyy-mm-dd"),"")</f>
        <v/>
      </c>
      <c r="F542">
        <f>"Registration"</f>
        <v/>
      </c>
      <c r="G542">
        <f>""</f>
        <v/>
      </c>
      <c r="H542">
        <f>"High"</f>
        <v/>
      </c>
      <c r="I542">
        <f>TRIM(IF(LEN(IF(LEN(INDEX('Providers'!$H$4:$H$503,39))=0,"",INDEX('Providers'!$H$4:$H$503,39)))=0,"","DEA no.: "&amp;IF(LEN(INDEX('Providers'!$H$4:$H$503,39))=0,"",INDEX('Providers'!$H$4:$H$503,39))&amp;". ")&amp;IF(LEN(IF(LEN(INDEX('Providers'!$C$4:$C$503,39))=0,"",INDEX('Providers'!$C$4:$C$503,39)))=0,"","NPI: "&amp;IF(LEN(INDEX('Providers'!$C$4:$C$503,39))=0,"",INDEX('Providers'!$C$4:$C$503,39))&amp;". "))</f>
        <v/>
      </c>
      <c r="J542">
        <f>IF(LEN(INDEX('Providers'!$AJ$4:$AJ$503,39))=0,"",INDEX('Providers'!$AJ$4:$AJ$503,39))</f>
        <v/>
      </c>
      <c r="K542">
        <f>IF(LEN(INDEX('Providers'!$AI$4:$AI$503,39))=0,"",INDEX('Providers'!$AI$4:$AI$503,39))</f>
        <v/>
      </c>
    </row>
    <row r="543">
      <c r="A543">
        <f>IF(AND(LEN('Providers'!A43)&gt;0,ISNUMBER('Providers'!I43)),1,0)</f>
        <v/>
      </c>
      <c r="B543">
        <f>B542+A543</f>
        <v/>
      </c>
      <c r="C543">
        <f>IF(540&gt;$B$4503,"",MATCH(540-0.5,$B$3:$B$4503,1))</f>
        <v/>
      </c>
      <c r="D543">
        <f>"DEA registration ("&amp;IF(LEN(INDEX('Providers'!$E$4:$E$503,40))=0,"",INDEX('Providers'!$E$4:$E$503,40))&amp;") – "&amp;IF(LEN(INDEX('Providers'!$A$4:$A$503,40))=0,"",INDEX('Providers'!$A$4:$A$503,40))</f>
        <v/>
      </c>
      <c r="E543">
        <f>IF(ISNUMBER(INDEX('Providers'!$I$4:$I$503,40)),TEXT(INDEX('Providers'!$I$4:$I$503,40),"yyyy-mm-dd"),"")</f>
        <v/>
      </c>
      <c r="F543">
        <f>"Registration"</f>
        <v/>
      </c>
      <c r="G543">
        <f>""</f>
        <v/>
      </c>
      <c r="H543">
        <f>"High"</f>
        <v/>
      </c>
      <c r="I543">
        <f>TRIM(IF(LEN(IF(LEN(INDEX('Providers'!$H$4:$H$503,40))=0,"",INDEX('Providers'!$H$4:$H$503,40)))=0,"","DEA no.: "&amp;IF(LEN(INDEX('Providers'!$H$4:$H$503,40))=0,"",INDEX('Providers'!$H$4:$H$503,40))&amp;". ")&amp;IF(LEN(IF(LEN(INDEX('Providers'!$C$4:$C$503,40))=0,"",INDEX('Providers'!$C$4:$C$503,40)))=0,"","NPI: "&amp;IF(LEN(INDEX('Providers'!$C$4:$C$503,40))=0,"",INDEX('Providers'!$C$4:$C$503,40))&amp;". "))</f>
        <v/>
      </c>
      <c r="J543">
        <f>IF(LEN(INDEX('Providers'!$AJ$4:$AJ$503,40))=0,"",INDEX('Providers'!$AJ$4:$AJ$503,40))</f>
        <v/>
      </c>
      <c r="K543">
        <f>IF(LEN(INDEX('Providers'!$AI$4:$AI$503,40))=0,"",INDEX('Providers'!$AI$4:$AI$503,40))</f>
        <v/>
      </c>
    </row>
    <row r="544">
      <c r="A544">
        <f>IF(AND(LEN('Providers'!A44)&gt;0,ISNUMBER('Providers'!I44)),1,0)</f>
        <v/>
      </c>
      <c r="B544">
        <f>B543+A544</f>
        <v/>
      </c>
      <c r="C544">
        <f>IF(541&gt;$B$4503,"",MATCH(541-0.5,$B$3:$B$4503,1))</f>
        <v/>
      </c>
      <c r="D544">
        <f>"DEA registration ("&amp;IF(LEN(INDEX('Providers'!$E$4:$E$503,41))=0,"",INDEX('Providers'!$E$4:$E$503,41))&amp;") – "&amp;IF(LEN(INDEX('Providers'!$A$4:$A$503,41))=0,"",INDEX('Providers'!$A$4:$A$503,41))</f>
        <v/>
      </c>
      <c r="E544">
        <f>IF(ISNUMBER(INDEX('Providers'!$I$4:$I$503,41)),TEXT(INDEX('Providers'!$I$4:$I$503,41),"yyyy-mm-dd"),"")</f>
        <v/>
      </c>
      <c r="F544">
        <f>"Registration"</f>
        <v/>
      </c>
      <c r="G544">
        <f>""</f>
        <v/>
      </c>
      <c r="H544">
        <f>"High"</f>
        <v/>
      </c>
      <c r="I544">
        <f>TRIM(IF(LEN(IF(LEN(INDEX('Providers'!$H$4:$H$503,41))=0,"",INDEX('Providers'!$H$4:$H$503,41)))=0,"","DEA no.: "&amp;IF(LEN(INDEX('Providers'!$H$4:$H$503,41))=0,"",INDEX('Providers'!$H$4:$H$503,41))&amp;". ")&amp;IF(LEN(IF(LEN(INDEX('Providers'!$C$4:$C$503,41))=0,"",INDEX('Providers'!$C$4:$C$503,41)))=0,"","NPI: "&amp;IF(LEN(INDEX('Providers'!$C$4:$C$503,41))=0,"",INDEX('Providers'!$C$4:$C$503,41))&amp;". "))</f>
        <v/>
      </c>
      <c r="J544">
        <f>IF(LEN(INDEX('Providers'!$AJ$4:$AJ$503,41))=0,"",INDEX('Providers'!$AJ$4:$AJ$503,41))</f>
        <v/>
      </c>
      <c r="K544">
        <f>IF(LEN(INDEX('Providers'!$AI$4:$AI$503,41))=0,"",INDEX('Providers'!$AI$4:$AI$503,41))</f>
        <v/>
      </c>
    </row>
    <row r="545">
      <c r="A545">
        <f>IF(AND(LEN('Providers'!A45)&gt;0,ISNUMBER('Providers'!I45)),1,0)</f>
        <v/>
      </c>
      <c r="B545">
        <f>B544+A545</f>
        <v/>
      </c>
      <c r="C545">
        <f>IF(542&gt;$B$4503,"",MATCH(542-0.5,$B$3:$B$4503,1))</f>
        <v/>
      </c>
      <c r="D545">
        <f>"DEA registration ("&amp;IF(LEN(INDEX('Providers'!$E$4:$E$503,42))=0,"",INDEX('Providers'!$E$4:$E$503,42))&amp;") – "&amp;IF(LEN(INDEX('Providers'!$A$4:$A$503,42))=0,"",INDEX('Providers'!$A$4:$A$503,42))</f>
        <v/>
      </c>
      <c r="E545">
        <f>IF(ISNUMBER(INDEX('Providers'!$I$4:$I$503,42)),TEXT(INDEX('Providers'!$I$4:$I$503,42),"yyyy-mm-dd"),"")</f>
        <v/>
      </c>
      <c r="F545">
        <f>"Registration"</f>
        <v/>
      </c>
      <c r="G545">
        <f>""</f>
        <v/>
      </c>
      <c r="H545">
        <f>"High"</f>
        <v/>
      </c>
      <c r="I545">
        <f>TRIM(IF(LEN(IF(LEN(INDEX('Providers'!$H$4:$H$503,42))=0,"",INDEX('Providers'!$H$4:$H$503,42)))=0,"","DEA no.: "&amp;IF(LEN(INDEX('Providers'!$H$4:$H$503,42))=0,"",INDEX('Providers'!$H$4:$H$503,42))&amp;". ")&amp;IF(LEN(IF(LEN(INDEX('Providers'!$C$4:$C$503,42))=0,"",INDEX('Providers'!$C$4:$C$503,42)))=0,"","NPI: "&amp;IF(LEN(INDEX('Providers'!$C$4:$C$503,42))=0,"",INDEX('Providers'!$C$4:$C$503,42))&amp;". "))</f>
        <v/>
      </c>
      <c r="J545">
        <f>IF(LEN(INDEX('Providers'!$AJ$4:$AJ$503,42))=0,"",INDEX('Providers'!$AJ$4:$AJ$503,42))</f>
        <v/>
      </c>
      <c r="K545">
        <f>IF(LEN(INDEX('Providers'!$AI$4:$AI$503,42))=0,"",INDEX('Providers'!$AI$4:$AI$503,42))</f>
        <v/>
      </c>
    </row>
    <row r="546">
      <c r="A546">
        <f>IF(AND(LEN('Providers'!A46)&gt;0,ISNUMBER('Providers'!I46)),1,0)</f>
        <v/>
      </c>
      <c r="B546">
        <f>B545+A546</f>
        <v/>
      </c>
      <c r="C546">
        <f>IF(543&gt;$B$4503,"",MATCH(543-0.5,$B$3:$B$4503,1))</f>
        <v/>
      </c>
      <c r="D546">
        <f>"DEA registration ("&amp;IF(LEN(INDEX('Providers'!$E$4:$E$503,43))=0,"",INDEX('Providers'!$E$4:$E$503,43))&amp;") – "&amp;IF(LEN(INDEX('Providers'!$A$4:$A$503,43))=0,"",INDEX('Providers'!$A$4:$A$503,43))</f>
        <v/>
      </c>
      <c r="E546">
        <f>IF(ISNUMBER(INDEX('Providers'!$I$4:$I$503,43)),TEXT(INDEX('Providers'!$I$4:$I$503,43),"yyyy-mm-dd"),"")</f>
        <v/>
      </c>
      <c r="F546">
        <f>"Registration"</f>
        <v/>
      </c>
      <c r="G546">
        <f>""</f>
        <v/>
      </c>
      <c r="H546">
        <f>"High"</f>
        <v/>
      </c>
      <c r="I546">
        <f>TRIM(IF(LEN(IF(LEN(INDEX('Providers'!$H$4:$H$503,43))=0,"",INDEX('Providers'!$H$4:$H$503,43)))=0,"","DEA no.: "&amp;IF(LEN(INDEX('Providers'!$H$4:$H$503,43))=0,"",INDEX('Providers'!$H$4:$H$503,43))&amp;". ")&amp;IF(LEN(IF(LEN(INDEX('Providers'!$C$4:$C$503,43))=0,"",INDEX('Providers'!$C$4:$C$503,43)))=0,"","NPI: "&amp;IF(LEN(INDEX('Providers'!$C$4:$C$503,43))=0,"",INDEX('Providers'!$C$4:$C$503,43))&amp;". "))</f>
        <v/>
      </c>
      <c r="J546">
        <f>IF(LEN(INDEX('Providers'!$AJ$4:$AJ$503,43))=0,"",INDEX('Providers'!$AJ$4:$AJ$503,43))</f>
        <v/>
      </c>
      <c r="K546">
        <f>IF(LEN(INDEX('Providers'!$AI$4:$AI$503,43))=0,"",INDEX('Providers'!$AI$4:$AI$503,43))</f>
        <v/>
      </c>
    </row>
    <row r="547">
      <c r="A547">
        <f>IF(AND(LEN('Providers'!A47)&gt;0,ISNUMBER('Providers'!I47)),1,0)</f>
        <v/>
      </c>
      <c r="B547">
        <f>B546+A547</f>
        <v/>
      </c>
      <c r="C547">
        <f>IF(544&gt;$B$4503,"",MATCH(544-0.5,$B$3:$B$4503,1))</f>
        <v/>
      </c>
      <c r="D547">
        <f>"DEA registration ("&amp;IF(LEN(INDEX('Providers'!$E$4:$E$503,44))=0,"",INDEX('Providers'!$E$4:$E$503,44))&amp;") – "&amp;IF(LEN(INDEX('Providers'!$A$4:$A$503,44))=0,"",INDEX('Providers'!$A$4:$A$503,44))</f>
        <v/>
      </c>
      <c r="E547">
        <f>IF(ISNUMBER(INDEX('Providers'!$I$4:$I$503,44)),TEXT(INDEX('Providers'!$I$4:$I$503,44),"yyyy-mm-dd"),"")</f>
        <v/>
      </c>
      <c r="F547">
        <f>"Registration"</f>
        <v/>
      </c>
      <c r="G547">
        <f>""</f>
        <v/>
      </c>
      <c r="H547">
        <f>"High"</f>
        <v/>
      </c>
      <c r="I547">
        <f>TRIM(IF(LEN(IF(LEN(INDEX('Providers'!$H$4:$H$503,44))=0,"",INDEX('Providers'!$H$4:$H$503,44)))=0,"","DEA no.: "&amp;IF(LEN(INDEX('Providers'!$H$4:$H$503,44))=0,"",INDEX('Providers'!$H$4:$H$503,44))&amp;". ")&amp;IF(LEN(IF(LEN(INDEX('Providers'!$C$4:$C$503,44))=0,"",INDEX('Providers'!$C$4:$C$503,44)))=0,"","NPI: "&amp;IF(LEN(INDEX('Providers'!$C$4:$C$503,44))=0,"",INDEX('Providers'!$C$4:$C$503,44))&amp;". "))</f>
        <v/>
      </c>
      <c r="J547">
        <f>IF(LEN(INDEX('Providers'!$AJ$4:$AJ$503,44))=0,"",INDEX('Providers'!$AJ$4:$AJ$503,44))</f>
        <v/>
      </c>
      <c r="K547">
        <f>IF(LEN(INDEX('Providers'!$AI$4:$AI$503,44))=0,"",INDEX('Providers'!$AI$4:$AI$503,44))</f>
        <v/>
      </c>
    </row>
    <row r="548">
      <c r="A548">
        <f>IF(AND(LEN('Providers'!A48)&gt;0,ISNUMBER('Providers'!I48)),1,0)</f>
        <v/>
      </c>
      <c r="B548">
        <f>B547+A548</f>
        <v/>
      </c>
      <c r="C548">
        <f>IF(545&gt;$B$4503,"",MATCH(545-0.5,$B$3:$B$4503,1))</f>
        <v/>
      </c>
      <c r="D548">
        <f>"DEA registration ("&amp;IF(LEN(INDEX('Providers'!$E$4:$E$503,45))=0,"",INDEX('Providers'!$E$4:$E$503,45))&amp;") – "&amp;IF(LEN(INDEX('Providers'!$A$4:$A$503,45))=0,"",INDEX('Providers'!$A$4:$A$503,45))</f>
        <v/>
      </c>
      <c r="E548">
        <f>IF(ISNUMBER(INDEX('Providers'!$I$4:$I$503,45)),TEXT(INDEX('Providers'!$I$4:$I$503,45),"yyyy-mm-dd"),"")</f>
        <v/>
      </c>
      <c r="F548">
        <f>"Registration"</f>
        <v/>
      </c>
      <c r="G548">
        <f>""</f>
        <v/>
      </c>
      <c r="H548">
        <f>"High"</f>
        <v/>
      </c>
      <c r="I548">
        <f>TRIM(IF(LEN(IF(LEN(INDEX('Providers'!$H$4:$H$503,45))=0,"",INDEX('Providers'!$H$4:$H$503,45)))=0,"","DEA no.: "&amp;IF(LEN(INDEX('Providers'!$H$4:$H$503,45))=0,"",INDEX('Providers'!$H$4:$H$503,45))&amp;". ")&amp;IF(LEN(IF(LEN(INDEX('Providers'!$C$4:$C$503,45))=0,"",INDEX('Providers'!$C$4:$C$503,45)))=0,"","NPI: "&amp;IF(LEN(INDEX('Providers'!$C$4:$C$503,45))=0,"",INDEX('Providers'!$C$4:$C$503,45))&amp;". "))</f>
        <v/>
      </c>
      <c r="J548">
        <f>IF(LEN(INDEX('Providers'!$AJ$4:$AJ$503,45))=0,"",INDEX('Providers'!$AJ$4:$AJ$503,45))</f>
        <v/>
      </c>
      <c r="K548">
        <f>IF(LEN(INDEX('Providers'!$AI$4:$AI$503,45))=0,"",INDEX('Providers'!$AI$4:$AI$503,45))</f>
        <v/>
      </c>
    </row>
    <row r="549">
      <c r="A549">
        <f>IF(AND(LEN('Providers'!A49)&gt;0,ISNUMBER('Providers'!I49)),1,0)</f>
        <v/>
      </c>
      <c r="B549">
        <f>B548+A549</f>
        <v/>
      </c>
      <c r="C549">
        <f>IF(546&gt;$B$4503,"",MATCH(546-0.5,$B$3:$B$4503,1))</f>
        <v/>
      </c>
      <c r="D549">
        <f>"DEA registration ("&amp;IF(LEN(INDEX('Providers'!$E$4:$E$503,46))=0,"",INDEX('Providers'!$E$4:$E$503,46))&amp;") – "&amp;IF(LEN(INDEX('Providers'!$A$4:$A$503,46))=0,"",INDEX('Providers'!$A$4:$A$503,46))</f>
        <v/>
      </c>
      <c r="E549">
        <f>IF(ISNUMBER(INDEX('Providers'!$I$4:$I$503,46)),TEXT(INDEX('Providers'!$I$4:$I$503,46),"yyyy-mm-dd"),"")</f>
        <v/>
      </c>
      <c r="F549">
        <f>"Registration"</f>
        <v/>
      </c>
      <c r="G549">
        <f>""</f>
        <v/>
      </c>
      <c r="H549">
        <f>"High"</f>
        <v/>
      </c>
      <c r="I549">
        <f>TRIM(IF(LEN(IF(LEN(INDEX('Providers'!$H$4:$H$503,46))=0,"",INDEX('Providers'!$H$4:$H$503,46)))=0,"","DEA no.: "&amp;IF(LEN(INDEX('Providers'!$H$4:$H$503,46))=0,"",INDEX('Providers'!$H$4:$H$503,46))&amp;". ")&amp;IF(LEN(IF(LEN(INDEX('Providers'!$C$4:$C$503,46))=0,"",INDEX('Providers'!$C$4:$C$503,46)))=0,"","NPI: "&amp;IF(LEN(INDEX('Providers'!$C$4:$C$503,46))=0,"",INDEX('Providers'!$C$4:$C$503,46))&amp;". "))</f>
        <v/>
      </c>
      <c r="J549">
        <f>IF(LEN(INDEX('Providers'!$AJ$4:$AJ$503,46))=0,"",INDEX('Providers'!$AJ$4:$AJ$503,46))</f>
        <v/>
      </c>
      <c r="K549">
        <f>IF(LEN(INDEX('Providers'!$AI$4:$AI$503,46))=0,"",INDEX('Providers'!$AI$4:$AI$503,46))</f>
        <v/>
      </c>
    </row>
    <row r="550">
      <c r="A550">
        <f>IF(AND(LEN('Providers'!A50)&gt;0,ISNUMBER('Providers'!I50)),1,0)</f>
        <v/>
      </c>
      <c r="B550">
        <f>B549+A550</f>
        <v/>
      </c>
      <c r="C550">
        <f>IF(547&gt;$B$4503,"",MATCH(547-0.5,$B$3:$B$4503,1))</f>
        <v/>
      </c>
      <c r="D550">
        <f>"DEA registration ("&amp;IF(LEN(INDEX('Providers'!$E$4:$E$503,47))=0,"",INDEX('Providers'!$E$4:$E$503,47))&amp;") – "&amp;IF(LEN(INDEX('Providers'!$A$4:$A$503,47))=0,"",INDEX('Providers'!$A$4:$A$503,47))</f>
        <v/>
      </c>
      <c r="E550">
        <f>IF(ISNUMBER(INDEX('Providers'!$I$4:$I$503,47)),TEXT(INDEX('Providers'!$I$4:$I$503,47),"yyyy-mm-dd"),"")</f>
        <v/>
      </c>
      <c r="F550">
        <f>"Registration"</f>
        <v/>
      </c>
      <c r="G550">
        <f>""</f>
        <v/>
      </c>
      <c r="H550">
        <f>"High"</f>
        <v/>
      </c>
      <c r="I550">
        <f>TRIM(IF(LEN(IF(LEN(INDEX('Providers'!$H$4:$H$503,47))=0,"",INDEX('Providers'!$H$4:$H$503,47)))=0,"","DEA no.: "&amp;IF(LEN(INDEX('Providers'!$H$4:$H$503,47))=0,"",INDEX('Providers'!$H$4:$H$503,47))&amp;". ")&amp;IF(LEN(IF(LEN(INDEX('Providers'!$C$4:$C$503,47))=0,"",INDEX('Providers'!$C$4:$C$503,47)))=0,"","NPI: "&amp;IF(LEN(INDEX('Providers'!$C$4:$C$503,47))=0,"",INDEX('Providers'!$C$4:$C$503,47))&amp;". "))</f>
        <v/>
      </c>
      <c r="J550">
        <f>IF(LEN(INDEX('Providers'!$AJ$4:$AJ$503,47))=0,"",INDEX('Providers'!$AJ$4:$AJ$503,47))</f>
        <v/>
      </c>
      <c r="K550">
        <f>IF(LEN(INDEX('Providers'!$AI$4:$AI$503,47))=0,"",INDEX('Providers'!$AI$4:$AI$503,47))</f>
        <v/>
      </c>
    </row>
    <row r="551">
      <c r="A551">
        <f>IF(AND(LEN('Providers'!A51)&gt;0,ISNUMBER('Providers'!I51)),1,0)</f>
        <v/>
      </c>
      <c r="B551">
        <f>B550+A551</f>
        <v/>
      </c>
      <c r="C551">
        <f>IF(548&gt;$B$4503,"",MATCH(548-0.5,$B$3:$B$4503,1))</f>
        <v/>
      </c>
      <c r="D551">
        <f>"DEA registration ("&amp;IF(LEN(INDEX('Providers'!$E$4:$E$503,48))=0,"",INDEX('Providers'!$E$4:$E$503,48))&amp;") – "&amp;IF(LEN(INDEX('Providers'!$A$4:$A$503,48))=0,"",INDEX('Providers'!$A$4:$A$503,48))</f>
        <v/>
      </c>
      <c r="E551">
        <f>IF(ISNUMBER(INDEX('Providers'!$I$4:$I$503,48)),TEXT(INDEX('Providers'!$I$4:$I$503,48),"yyyy-mm-dd"),"")</f>
        <v/>
      </c>
      <c r="F551">
        <f>"Registration"</f>
        <v/>
      </c>
      <c r="G551">
        <f>""</f>
        <v/>
      </c>
      <c r="H551">
        <f>"High"</f>
        <v/>
      </c>
      <c r="I551">
        <f>TRIM(IF(LEN(IF(LEN(INDEX('Providers'!$H$4:$H$503,48))=0,"",INDEX('Providers'!$H$4:$H$503,48)))=0,"","DEA no.: "&amp;IF(LEN(INDEX('Providers'!$H$4:$H$503,48))=0,"",INDEX('Providers'!$H$4:$H$503,48))&amp;". ")&amp;IF(LEN(IF(LEN(INDEX('Providers'!$C$4:$C$503,48))=0,"",INDEX('Providers'!$C$4:$C$503,48)))=0,"","NPI: "&amp;IF(LEN(INDEX('Providers'!$C$4:$C$503,48))=0,"",INDEX('Providers'!$C$4:$C$503,48))&amp;". "))</f>
        <v/>
      </c>
      <c r="J551">
        <f>IF(LEN(INDEX('Providers'!$AJ$4:$AJ$503,48))=0,"",INDEX('Providers'!$AJ$4:$AJ$503,48))</f>
        <v/>
      </c>
      <c r="K551">
        <f>IF(LEN(INDEX('Providers'!$AI$4:$AI$503,48))=0,"",INDEX('Providers'!$AI$4:$AI$503,48))</f>
        <v/>
      </c>
    </row>
    <row r="552">
      <c r="A552">
        <f>IF(AND(LEN('Providers'!A52)&gt;0,ISNUMBER('Providers'!I52)),1,0)</f>
        <v/>
      </c>
      <c r="B552">
        <f>B551+A552</f>
        <v/>
      </c>
      <c r="C552">
        <f>IF(549&gt;$B$4503,"",MATCH(549-0.5,$B$3:$B$4503,1))</f>
        <v/>
      </c>
      <c r="D552">
        <f>"DEA registration ("&amp;IF(LEN(INDEX('Providers'!$E$4:$E$503,49))=0,"",INDEX('Providers'!$E$4:$E$503,49))&amp;") – "&amp;IF(LEN(INDEX('Providers'!$A$4:$A$503,49))=0,"",INDEX('Providers'!$A$4:$A$503,49))</f>
        <v/>
      </c>
      <c r="E552">
        <f>IF(ISNUMBER(INDEX('Providers'!$I$4:$I$503,49)),TEXT(INDEX('Providers'!$I$4:$I$503,49),"yyyy-mm-dd"),"")</f>
        <v/>
      </c>
      <c r="F552">
        <f>"Registration"</f>
        <v/>
      </c>
      <c r="G552">
        <f>""</f>
        <v/>
      </c>
      <c r="H552">
        <f>"High"</f>
        <v/>
      </c>
      <c r="I552">
        <f>TRIM(IF(LEN(IF(LEN(INDEX('Providers'!$H$4:$H$503,49))=0,"",INDEX('Providers'!$H$4:$H$503,49)))=0,"","DEA no.: "&amp;IF(LEN(INDEX('Providers'!$H$4:$H$503,49))=0,"",INDEX('Providers'!$H$4:$H$503,49))&amp;". ")&amp;IF(LEN(IF(LEN(INDEX('Providers'!$C$4:$C$503,49))=0,"",INDEX('Providers'!$C$4:$C$503,49)))=0,"","NPI: "&amp;IF(LEN(INDEX('Providers'!$C$4:$C$503,49))=0,"",INDEX('Providers'!$C$4:$C$503,49))&amp;". "))</f>
        <v/>
      </c>
      <c r="J552">
        <f>IF(LEN(INDEX('Providers'!$AJ$4:$AJ$503,49))=0,"",INDEX('Providers'!$AJ$4:$AJ$503,49))</f>
        <v/>
      </c>
      <c r="K552">
        <f>IF(LEN(INDEX('Providers'!$AI$4:$AI$503,49))=0,"",INDEX('Providers'!$AI$4:$AI$503,49))</f>
        <v/>
      </c>
    </row>
    <row r="553">
      <c r="A553">
        <f>IF(AND(LEN('Providers'!A53)&gt;0,ISNUMBER('Providers'!I53)),1,0)</f>
        <v/>
      </c>
      <c r="B553">
        <f>B552+A553</f>
        <v/>
      </c>
      <c r="C553">
        <f>IF(550&gt;$B$4503,"",MATCH(550-0.5,$B$3:$B$4503,1))</f>
        <v/>
      </c>
      <c r="D553">
        <f>"DEA registration ("&amp;IF(LEN(INDEX('Providers'!$E$4:$E$503,50))=0,"",INDEX('Providers'!$E$4:$E$503,50))&amp;") – "&amp;IF(LEN(INDEX('Providers'!$A$4:$A$503,50))=0,"",INDEX('Providers'!$A$4:$A$503,50))</f>
        <v/>
      </c>
      <c r="E553">
        <f>IF(ISNUMBER(INDEX('Providers'!$I$4:$I$503,50)),TEXT(INDEX('Providers'!$I$4:$I$503,50),"yyyy-mm-dd"),"")</f>
        <v/>
      </c>
      <c r="F553">
        <f>"Registration"</f>
        <v/>
      </c>
      <c r="G553">
        <f>""</f>
        <v/>
      </c>
      <c r="H553">
        <f>"High"</f>
        <v/>
      </c>
      <c r="I553">
        <f>TRIM(IF(LEN(IF(LEN(INDEX('Providers'!$H$4:$H$503,50))=0,"",INDEX('Providers'!$H$4:$H$503,50)))=0,"","DEA no.: "&amp;IF(LEN(INDEX('Providers'!$H$4:$H$503,50))=0,"",INDEX('Providers'!$H$4:$H$503,50))&amp;". ")&amp;IF(LEN(IF(LEN(INDEX('Providers'!$C$4:$C$503,50))=0,"",INDEX('Providers'!$C$4:$C$503,50)))=0,"","NPI: "&amp;IF(LEN(INDEX('Providers'!$C$4:$C$503,50))=0,"",INDEX('Providers'!$C$4:$C$503,50))&amp;". "))</f>
        <v/>
      </c>
      <c r="J553">
        <f>IF(LEN(INDEX('Providers'!$AJ$4:$AJ$503,50))=0,"",INDEX('Providers'!$AJ$4:$AJ$503,50))</f>
        <v/>
      </c>
      <c r="K553">
        <f>IF(LEN(INDEX('Providers'!$AI$4:$AI$503,50))=0,"",INDEX('Providers'!$AI$4:$AI$503,50))</f>
        <v/>
      </c>
    </row>
    <row r="554">
      <c r="A554">
        <f>IF(AND(LEN('Providers'!A54)&gt;0,ISNUMBER('Providers'!I54)),1,0)</f>
        <v/>
      </c>
      <c r="B554">
        <f>B553+A554</f>
        <v/>
      </c>
      <c r="C554">
        <f>IF(551&gt;$B$4503,"",MATCH(551-0.5,$B$3:$B$4503,1))</f>
        <v/>
      </c>
      <c r="D554">
        <f>"DEA registration ("&amp;IF(LEN(INDEX('Providers'!$E$4:$E$503,51))=0,"",INDEX('Providers'!$E$4:$E$503,51))&amp;") – "&amp;IF(LEN(INDEX('Providers'!$A$4:$A$503,51))=0,"",INDEX('Providers'!$A$4:$A$503,51))</f>
        <v/>
      </c>
      <c r="E554">
        <f>IF(ISNUMBER(INDEX('Providers'!$I$4:$I$503,51)),TEXT(INDEX('Providers'!$I$4:$I$503,51),"yyyy-mm-dd"),"")</f>
        <v/>
      </c>
      <c r="F554">
        <f>"Registration"</f>
        <v/>
      </c>
      <c r="G554">
        <f>""</f>
        <v/>
      </c>
      <c r="H554">
        <f>"High"</f>
        <v/>
      </c>
      <c r="I554">
        <f>TRIM(IF(LEN(IF(LEN(INDEX('Providers'!$H$4:$H$503,51))=0,"",INDEX('Providers'!$H$4:$H$503,51)))=0,"","DEA no.: "&amp;IF(LEN(INDEX('Providers'!$H$4:$H$503,51))=0,"",INDEX('Providers'!$H$4:$H$503,51))&amp;". ")&amp;IF(LEN(IF(LEN(INDEX('Providers'!$C$4:$C$503,51))=0,"",INDEX('Providers'!$C$4:$C$503,51)))=0,"","NPI: "&amp;IF(LEN(INDEX('Providers'!$C$4:$C$503,51))=0,"",INDEX('Providers'!$C$4:$C$503,51))&amp;". "))</f>
        <v/>
      </c>
      <c r="J554">
        <f>IF(LEN(INDEX('Providers'!$AJ$4:$AJ$503,51))=0,"",INDEX('Providers'!$AJ$4:$AJ$503,51))</f>
        <v/>
      </c>
      <c r="K554">
        <f>IF(LEN(INDEX('Providers'!$AI$4:$AI$503,51))=0,"",INDEX('Providers'!$AI$4:$AI$503,51))</f>
        <v/>
      </c>
    </row>
    <row r="555">
      <c r="A555">
        <f>IF(AND(LEN('Providers'!A55)&gt;0,ISNUMBER('Providers'!I55)),1,0)</f>
        <v/>
      </c>
      <c r="B555">
        <f>B554+A555</f>
        <v/>
      </c>
      <c r="C555">
        <f>IF(552&gt;$B$4503,"",MATCH(552-0.5,$B$3:$B$4503,1))</f>
        <v/>
      </c>
      <c r="D555">
        <f>"DEA registration ("&amp;IF(LEN(INDEX('Providers'!$E$4:$E$503,52))=0,"",INDEX('Providers'!$E$4:$E$503,52))&amp;") – "&amp;IF(LEN(INDEX('Providers'!$A$4:$A$503,52))=0,"",INDEX('Providers'!$A$4:$A$503,52))</f>
        <v/>
      </c>
      <c r="E555">
        <f>IF(ISNUMBER(INDEX('Providers'!$I$4:$I$503,52)),TEXT(INDEX('Providers'!$I$4:$I$503,52),"yyyy-mm-dd"),"")</f>
        <v/>
      </c>
      <c r="F555">
        <f>"Registration"</f>
        <v/>
      </c>
      <c r="G555">
        <f>""</f>
        <v/>
      </c>
      <c r="H555">
        <f>"High"</f>
        <v/>
      </c>
      <c r="I555">
        <f>TRIM(IF(LEN(IF(LEN(INDEX('Providers'!$H$4:$H$503,52))=0,"",INDEX('Providers'!$H$4:$H$503,52)))=0,"","DEA no.: "&amp;IF(LEN(INDEX('Providers'!$H$4:$H$503,52))=0,"",INDEX('Providers'!$H$4:$H$503,52))&amp;". ")&amp;IF(LEN(IF(LEN(INDEX('Providers'!$C$4:$C$503,52))=0,"",INDEX('Providers'!$C$4:$C$503,52)))=0,"","NPI: "&amp;IF(LEN(INDEX('Providers'!$C$4:$C$503,52))=0,"",INDEX('Providers'!$C$4:$C$503,52))&amp;". "))</f>
        <v/>
      </c>
      <c r="J555">
        <f>IF(LEN(INDEX('Providers'!$AJ$4:$AJ$503,52))=0,"",INDEX('Providers'!$AJ$4:$AJ$503,52))</f>
        <v/>
      </c>
      <c r="K555">
        <f>IF(LEN(INDEX('Providers'!$AI$4:$AI$503,52))=0,"",INDEX('Providers'!$AI$4:$AI$503,52))</f>
        <v/>
      </c>
    </row>
    <row r="556">
      <c r="A556">
        <f>IF(AND(LEN('Providers'!A56)&gt;0,ISNUMBER('Providers'!I56)),1,0)</f>
        <v/>
      </c>
      <c r="B556">
        <f>B555+A556</f>
        <v/>
      </c>
      <c r="C556">
        <f>IF(553&gt;$B$4503,"",MATCH(553-0.5,$B$3:$B$4503,1))</f>
        <v/>
      </c>
      <c r="D556">
        <f>"DEA registration ("&amp;IF(LEN(INDEX('Providers'!$E$4:$E$503,53))=0,"",INDEX('Providers'!$E$4:$E$503,53))&amp;") – "&amp;IF(LEN(INDEX('Providers'!$A$4:$A$503,53))=0,"",INDEX('Providers'!$A$4:$A$503,53))</f>
        <v/>
      </c>
      <c r="E556">
        <f>IF(ISNUMBER(INDEX('Providers'!$I$4:$I$503,53)),TEXT(INDEX('Providers'!$I$4:$I$503,53),"yyyy-mm-dd"),"")</f>
        <v/>
      </c>
      <c r="F556">
        <f>"Registration"</f>
        <v/>
      </c>
      <c r="G556">
        <f>""</f>
        <v/>
      </c>
      <c r="H556">
        <f>"High"</f>
        <v/>
      </c>
      <c r="I556">
        <f>TRIM(IF(LEN(IF(LEN(INDEX('Providers'!$H$4:$H$503,53))=0,"",INDEX('Providers'!$H$4:$H$503,53)))=0,"","DEA no.: "&amp;IF(LEN(INDEX('Providers'!$H$4:$H$503,53))=0,"",INDEX('Providers'!$H$4:$H$503,53))&amp;". ")&amp;IF(LEN(IF(LEN(INDEX('Providers'!$C$4:$C$503,53))=0,"",INDEX('Providers'!$C$4:$C$503,53)))=0,"","NPI: "&amp;IF(LEN(INDEX('Providers'!$C$4:$C$503,53))=0,"",INDEX('Providers'!$C$4:$C$503,53))&amp;". "))</f>
        <v/>
      </c>
      <c r="J556">
        <f>IF(LEN(INDEX('Providers'!$AJ$4:$AJ$503,53))=0,"",INDEX('Providers'!$AJ$4:$AJ$503,53))</f>
        <v/>
      </c>
      <c r="K556">
        <f>IF(LEN(INDEX('Providers'!$AI$4:$AI$503,53))=0,"",INDEX('Providers'!$AI$4:$AI$503,53))</f>
        <v/>
      </c>
    </row>
    <row r="557">
      <c r="A557">
        <f>IF(AND(LEN('Providers'!A57)&gt;0,ISNUMBER('Providers'!I57)),1,0)</f>
        <v/>
      </c>
      <c r="B557">
        <f>B556+A557</f>
        <v/>
      </c>
      <c r="C557">
        <f>IF(554&gt;$B$4503,"",MATCH(554-0.5,$B$3:$B$4503,1))</f>
        <v/>
      </c>
      <c r="D557">
        <f>"DEA registration ("&amp;IF(LEN(INDEX('Providers'!$E$4:$E$503,54))=0,"",INDEX('Providers'!$E$4:$E$503,54))&amp;") – "&amp;IF(LEN(INDEX('Providers'!$A$4:$A$503,54))=0,"",INDEX('Providers'!$A$4:$A$503,54))</f>
        <v/>
      </c>
      <c r="E557">
        <f>IF(ISNUMBER(INDEX('Providers'!$I$4:$I$503,54)),TEXT(INDEX('Providers'!$I$4:$I$503,54),"yyyy-mm-dd"),"")</f>
        <v/>
      </c>
      <c r="F557">
        <f>"Registration"</f>
        <v/>
      </c>
      <c r="G557">
        <f>""</f>
        <v/>
      </c>
      <c r="H557">
        <f>"High"</f>
        <v/>
      </c>
      <c r="I557">
        <f>TRIM(IF(LEN(IF(LEN(INDEX('Providers'!$H$4:$H$503,54))=0,"",INDEX('Providers'!$H$4:$H$503,54)))=0,"","DEA no.: "&amp;IF(LEN(INDEX('Providers'!$H$4:$H$503,54))=0,"",INDEX('Providers'!$H$4:$H$503,54))&amp;". ")&amp;IF(LEN(IF(LEN(INDEX('Providers'!$C$4:$C$503,54))=0,"",INDEX('Providers'!$C$4:$C$503,54)))=0,"","NPI: "&amp;IF(LEN(INDEX('Providers'!$C$4:$C$503,54))=0,"",INDEX('Providers'!$C$4:$C$503,54))&amp;". "))</f>
        <v/>
      </c>
      <c r="J557">
        <f>IF(LEN(INDEX('Providers'!$AJ$4:$AJ$503,54))=0,"",INDEX('Providers'!$AJ$4:$AJ$503,54))</f>
        <v/>
      </c>
      <c r="K557">
        <f>IF(LEN(INDEX('Providers'!$AI$4:$AI$503,54))=0,"",INDEX('Providers'!$AI$4:$AI$503,54))</f>
        <v/>
      </c>
    </row>
    <row r="558">
      <c r="A558">
        <f>IF(AND(LEN('Providers'!A58)&gt;0,ISNUMBER('Providers'!I58)),1,0)</f>
        <v/>
      </c>
      <c r="B558">
        <f>B557+A558</f>
        <v/>
      </c>
      <c r="C558">
        <f>IF(555&gt;$B$4503,"",MATCH(555-0.5,$B$3:$B$4503,1))</f>
        <v/>
      </c>
      <c r="D558">
        <f>"DEA registration ("&amp;IF(LEN(INDEX('Providers'!$E$4:$E$503,55))=0,"",INDEX('Providers'!$E$4:$E$503,55))&amp;") – "&amp;IF(LEN(INDEX('Providers'!$A$4:$A$503,55))=0,"",INDEX('Providers'!$A$4:$A$503,55))</f>
        <v/>
      </c>
      <c r="E558">
        <f>IF(ISNUMBER(INDEX('Providers'!$I$4:$I$503,55)),TEXT(INDEX('Providers'!$I$4:$I$503,55),"yyyy-mm-dd"),"")</f>
        <v/>
      </c>
      <c r="F558">
        <f>"Registration"</f>
        <v/>
      </c>
      <c r="G558">
        <f>""</f>
        <v/>
      </c>
      <c r="H558">
        <f>"High"</f>
        <v/>
      </c>
      <c r="I558">
        <f>TRIM(IF(LEN(IF(LEN(INDEX('Providers'!$H$4:$H$503,55))=0,"",INDEX('Providers'!$H$4:$H$503,55)))=0,"","DEA no.: "&amp;IF(LEN(INDEX('Providers'!$H$4:$H$503,55))=0,"",INDEX('Providers'!$H$4:$H$503,55))&amp;". ")&amp;IF(LEN(IF(LEN(INDEX('Providers'!$C$4:$C$503,55))=0,"",INDEX('Providers'!$C$4:$C$503,55)))=0,"","NPI: "&amp;IF(LEN(INDEX('Providers'!$C$4:$C$503,55))=0,"",INDEX('Providers'!$C$4:$C$503,55))&amp;". "))</f>
        <v/>
      </c>
      <c r="J558">
        <f>IF(LEN(INDEX('Providers'!$AJ$4:$AJ$503,55))=0,"",INDEX('Providers'!$AJ$4:$AJ$503,55))</f>
        <v/>
      </c>
      <c r="K558">
        <f>IF(LEN(INDEX('Providers'!$AI$4:$AI$503,55))=0,"",INDEX('Providers'!$AI$4:$AI$503,55))</f>
        <v/>
      </c>
    </row>
    <row r="559">
      <c r="A559">
        <f>IF(AND(LEN('Providers'!A59)&gt;0,ISNUMBER('Providers'!I59)),1,0)</f>
        <v/>
      </c>
      <c r="B559">
        <f>B558+A559</f>
        <v/>
      </c>
      <c r="C559">
        <f>IF(556&gt;$B$4503,"",MATCH(556-0.5,$B$3:$B$4503,1))</f>
        <v/>
      </c>
      <c r="D559">
        <f>"DEA registration ("&amp;IF(LEN(INDEX('Providers'!$E$4:$E$503,56))=0,"",INDEX('Providers'!$E$4:$E$503,56))&amp;") – "&amp;IF(LEN(INDEX('Providers'!$A$4:$A$503,56))=0,"",INDEX('Providers'!$A$4:$A$503,56))</f>
        <v/>
      </c>
      <c r="E559">
        <f>IF(ISNUMBER(INDEX('Providers'!$I$4:$I$503,56)),TEXT(INDEX('Providers'!$I$4:$I$503,56),"yyyy-mm-dd"),"")</f>
        <v/>
      </c>
      <c r="F559">
        <f>"Registration"</f>
        <v/>
      </c>
      <c r="G559">
        <f>""</f>
        <v/>
      </c>
      <c r="H559">
        <f>"High"</f>
        <v/>
      </c>
      <c r="I559">
        <f>TRIM(IF(LEN(IF(LEN(INDEX('Providers'!$H$4:$H$503,56))=0,"",INDEX('Providers'!$H$4:$H$503,56)))=0,"","DEA no.: "&amp;IF(LEN(INDEX('Providers'!$H$4:$H$503,56))=0,"",INDEX('Providers'!$H$4:$H$503,56))&amp;". ")&amp;IF(LEN(IF(LEN(INDEX('Providers'!$C$4:$C$503,56))=0,"",INDEX('Providers'!$C$4:$C$503,56)))=0,"","NPI: "&amp;IF(LEN(INDEX('Providers'!$C$4:$C$503,56))=0,"",INDEX('Providers'!$C$4:$C$503,56))&amp;". "))</f>
        <v/>
      </c>
      <c r="J559">
        <f>IF(LEN(INDEX('Providers'!$AJ$4:$AJ$503,56))=0,"",INDEX('Providers'!$AJ$4:$AJ$503,56))</f>
        <v/>
      </c>
      <c r="K559">
        <f>IF(LEN(INDEX('Providers'!$AI$4:$AI$503,56))=0,"",INDEX('Providers'!$AI$4:$AI$503,56))</f>
        <v/>
      </c>
    </row>
    <row r="560">
      <c r="A560">
        <f>IF(AND(LEN('Providers'!A60)&gt;0,ISNUMBER('Providers'!I60)),1,0)</f>
        <v/>
      </c>
      <c r="B560">
        <f>B559+A560</f>
        <v/>
      </c>
      <c r="C560">
        <f>IF(557&gt;$B$4503,"",MATCH(557-0.5,$B$3:$B$4503,1))</f>
        <v/>
      </c>
      <c r="D560">
        <f>"DEA registration ("&amp;IF(LEN(INDEX('Providers'!$E$4:$E$503,57))=0,"",INDEX('Providers'!$E$4:$E$503,57))&amp;") – "&amp;IF(LEN(INDEX('Providers'!$A$4:$A$503,57))=0,"",INDEX('Providers'!$A$4:$A$503,57))</f>
        <v/>
      </c>
      <c r="E560">
        <f>IF(ISNUMBER(INDEX('Providers'!$I$4:$I$503,57)),TEXT(INDEX('Providers'!$I$4:$I$503,57),"yyyy-mm-dd"),"")</f>
        <v/>
      </c>
      <c r="F560">
        <f>"Registration"</f>
        <v/>
      </c>
      <c r="G560">
        <f>""</f>
        <v/>
      </c>
      <c r="H560">
        <f>"High"</f>
        <v/>
      </c>
      <c r="I560">
        <f>TRIM(IF(LEN(IF(LEN(INDEX('Providers'!$H$4:$H$503,57))=0,"",INDEX('Providers'!$H$4:$H$503,57)))=0,"","DEA no.: "&amp;IF(LEN(INDEX('Providers'!$H$4:$H$503,57))=0,"",INDEX('Providers'!$H$4:$H$503,57))&amp;". ")&amp;IF(LEN(IF(LEN(INDEX('Providers'!$C$4:$C$503,57))=0,"",INDEX('Providers'!$C$4:$C$503,57)))=0,"","NPI: "&amp;IF(LEN(INDEX('Providers'!$C$4:$C$503,57))=0,"",INDEX('Providers'!$C$4:$C$503,57))&amp;". "))</f>
        <v/>
      </c>
      <c r="J560">
        <f>IF(LEN(INDEX('Providers'!$AJ$4:$AJ$503,57))=0,"",INDEX('Providers'!$AJ$4:$AJ$503,57))</f>
        <v/>
      </c>
      <c r="K560">
        <f>IF(LEN(INDEX('Providers'!$AI$4:$AI$503,57))=0,"",INDEX('Providers'!$AI$4:$AI$503,57))</f>
        <v/>
      </c>
    </row>
    <row r="561">
      <c r="A561">
        <f>IF(AND(LEN('Providers'!A61)&gt;0,ISNUMBER('Providers'!I61)),1,0)</f>
        <v/>
      </c>
      <c r="B561">
        <f>B560+A561</f>
        <v/>
      </c>
      <c r="C561">
        <f>IF(558&gt;$B$4503,"",MATCH(558-0.5,$B$3:$B$4503,1))</f>
        <v/>
      </c>
      <c r="D561">
        <f>"DEA registration ("&amp;IF(LEN(INDEX('Providers'!$E$4:$E$503,58))=0,"",INDEX('Providers'!$E$4:$E$503,58))&amp;") – "&amp;IF(LEN(INDEX('Providers'!$A$4:$A$503,58))=0,"",INDEX('Providers'!$A$4:$A$503,58))</f>
        <v/>
      </c>
      <c r="E561">
        <f>IF(ISNUMBER(INDEX('Providers'!$I$4:$I$503,58)),TEXT(INDEX('Providers'!$I$4:$I$503,58),"yyyy-mm-dd"),"")</f>
        <v/>
      </c>
      <c r="F561">
        <f>"Registration"</f>
        <v/>
      </c>
      <c r="G561">
        <f>""</f>
        <v/>
      </c>
      <c r="H561">
        <f>"High"</f>
        <v/>
      </c>
      <c r="I561">
        <f>TRIM(IF(LEN(IF(LEN(INDEX('Providers'!$H$4:$H$503,58))=0,"",INDEX('Providers'!$H$4:$H$503,58)))=0,"","DEA no.: "&amp;IF(LEN(INDEX('Providers'!$H$4:$H$503,58))=0,"",INDEX('Providers'!$H$4:$H$503,58))&amp;". ")&amp;IF(LEN(IF(LEN(INDEX('Providers'!$C$4:$C$503,58))=0,"",INDEX('Providers'!$C$4:$C$503,58)))=0,"","NPI: "&amp;IF(LEN(INDEX('Providers'!$C$4:$C$503,58))=0,"",INDEX('Providers'!$C$4:$C$503,58))&amp;". "))</f>
        <v/>
      </c>
      <c r="J561">
        <f>IF(LEN(INDEX('Providers'!$AJ$4:$AJ$503,58))=0,"",INDEX('Providers'!$AJ$4:$AJ$503,58))</f>
        <v/>
      </c>
      <c r="K561">
        <f>IF(LEN(INDEX('Providers'!$AI$4:$AI$503,58))=0,"",INDEX('Providers'!$AI$4:$AI$503,58))</f>
        <v/>
      </c>
    </row>
    <row r="562">
      <c r="A562">
        <f>IF(AND(LEN('Providers'!A62)&gt;0,ISNUMBER('Providers'!I62)),1,0)</f>
        <v/>
      </c>
      <c r="B562">
        <f>B561+A562</f>
        <v/>
      </c>
      <c r="C562">
        <f>IF(559&gt;$B$4503,"",MATCH(559-0.5,$B$3:$B$4503,1))</f>
        <v/>
      </c>
      <c r="D562">
        <f>"DEA registration ("&amp;IF(LEN(INDEX('Providers'!$E$4:$E$503,59))=0,"",INDEX('Providers'!$E$4:$E$503,59))&amp;") – "&amp;IF(LEN(INDEX('Providers'!$A$4:$A$503,59))=0,"",INDEX('Providers'!$A$4:$A$503,59))</f>
        <v/>
      </c>
      <c r="E562">
        <f>IF(ISNUMBER(INDEX('Providers'!$I$4:$I$503,59)),TEXT(INDEX('Providers'!$I$4:$I$503,59),"yyyy-mm-dd"),"")</f>
        <v/>
      </c>
      <c r="F562">
        <f>"Registration"</f>
        <v/>
      </c>
      <c r="G562">
        <f>""</f>
        <v/>
      </c>
      <c r="H562">
        <f>"High"</f>
        <v/>
      </c>
      <c r="I562">
        <f>TRIM(IF(LEN(IF(LEN(INDEX('Providers'!$H$4:$H$503,59))=0,"",INDEX('Providers'!$H$4:$H$503,59)))=0,"","DEA no.: "&amp;IF(LEN(INDEX('Providers'!$H$4:$H$503,59))=0,"",INDEX('Providers'!$H$4:$H$503,59))&amp;". ")&amp;IF(LEN(IF(LEN(INDEX('Providers'!$C$4:$C$503,59))=0,"",INDEX('Providers'!$C$4:$C$503,59)))=0,"","NPI: "&amp;IF(LEN(INDEX('Providers'!$C$4:$C$503,59))=0,"",INDEX('Providers'!$C$4:$C$503,59))&amp;". "))</f>
        <v/>
      </c>
      <c r="J562">
        <f>IF(LEN(INDEX('Providers'!$AJ$4:$AJ$503,59))=0,"",INDEX('Providers'!$AJ$4:$AJ$503,59))</f>
        <v/>
      </c>
      <c r="K562">
        <f>IF(LEN(INDEX('Providers'!$AI$4:$AI$503,59))=0,"",INDEX('Providers'!$AI$4:$AI$503,59))</f>
        <v/>
      </c>
    </row>
    <row r="563">
      <c r="A563">
        <f>IF(AND(LEN('Providers'!A63)&gt;0,ISNUMBER('Providers'!I63)),1,0)</f>
        <v/>
      </c>
      <c r="B563">
        <f>B562+A563</f>
        <v/>
      </c>
      <c r="C563">
        <f>IF(560&gt;$B$4503,"",MATCH(560-0.5,$B$3:$B$4503,1))</f>
        <v/>
      </c>
      <c r="D563">
        <f>"DEA registration ("&amp;IF(LEN(INDEX('Providers'!$E$4:$E$503,60))=0,"",INDEX('Providers'!$E$4:$E$503,60))&amp;") – "&amp;IF(LEN(INDEX('Providers'!$A$4:$A$503,60))=0,"",INDEX('Providers'!$A$4:$A$503,60))</f>
        <v/>
      </c>
      <c r="E563">
        <f>IF(ISNUMBER(INDEX('Providers'!$I$4:$I$503,60)),TEXT(INDEX('Providers'!$I$4:$I$503,60),"yyyy-mm-dd"),"")</f>
        <v/>
      </c>
      <c r="F563">
        <f>"Registration"</f>
        <v/>
      </c>
      <c r="G563">
        <f>""</f>
        <v/>
      </c>
      <c r="H563">
        <f>"High"</f>
        <v/>
      </c>
      <c r="I563">
        <f>TRIM(IF(LEN(IF(LEN(INDEX('Providers'!$H$4:$H$503,60))=0,"",INDEX('Providers'!$H$4:$H$503,60)))=0,"","DEA no.: "&amp;IF(LEN(INDEX('Providers'!$H$4:$H$503,60))=0,"",INDEX('Providers'!$H$4:$H$503,60))&amp;". ")&amp;IF(LEN(IF(LEN(INDEX('Providers'!$C$4:$C$503,60))=0,"",INDEX('Providers'!$C$4:$C$503,60)))=0,"","NPI: "&amp;IF(LEN(INDEX('Providers'!$C$4:$C$503,60))=0,"",INDEX('Providers'!$C$4:$C$503,60))&amp;". "))</f>
        <v/>
      </c>
      <c r="J563">
        <f>IF(LEN(INDEX('Providers'!$AJ$4:$AJ$503,60))=0,"",INDEX('Providers'!$AJ$4:$AJ$503,60))</f>
        <v/>
      </c>
      <c r="K563">
        <f>IF(LEN(INDEX('Providers'!$AI$4:$AI$503,60))=0,"",INDEX('Providers'!$AI$4:$AI$503,60))</f>
        <v/>
      </c>
    </row>
    <row r="564">
      <c r="A564">
        <f>IF(AND(LEN('Providers'!A64)&gt;0,ISNUMBER('Providers'!I64)),1,0)</f>
        <v/>
      </c>
      <c r="B564">
        <f>B563+A564</f>
        <v/>
      </c>
      <c r="C564">
        <f>IF(561&gt;$B$4503,"",MATCH(561-0.5,$B$3:$B$4503,1))</f>
        <v/>
      </c>
      <c r="D564">
        <f>"DEA registration ("&amp;IF(LEN(INDEX('Providers'!$E$4:$E$503,61))=0,"",INDEX('Providers'!$E$4:$E$503,61))&amp;") – "&amp;IF(LEN(INDEX('Providers'!$A$4:$A$503,61))=0,"",INDEX('Providers'!$A$4:$A$503,61))</f>
        <v/>
      </c>
      <c r="E564">
        <f>IF(ISNUMBER(INDEX('Providers'!$I$4:$I$503,61)),TEXT(INDEX('Providers'!$I$4:$I$503,61),"yyyy-mm-dd"),"")</f>
        <v/>
      </c>
      <c r="F564">
        <f>"Registration"</f>
        <v/>
      </c>
      <c r="G564">
        <f>""</f>
        <v/>
      </c>
      <c r="H564">
        <f>"High"</f>
        <v/>
      </c>
      <c r="I564">
        <f>TRIM(IF(LEN(IF(LEN(INDEX('Providers'!$H$4:$H$503,61))=0,"",INDEX('Providers'!$H$4:$H$503,61)))=0,"","DEA no.: "&amp;IF(LEN(INDEX('Providers'!$H$4:$H$503,61))=0,"",INDEX('Providers'!$H$4:$H$503,61))&amp;". ")&amp;IF(LEN(IF(LEN(INDEX('Providers'!$C$4:$C$503,61))=0,"",INDEX('Providers'!$C$4:$C$503,61)))=0,"","NPI: "&amp;IF(LEN(INDEX('Providers'!$C$4:$C$503,61))=0,"",INDEX('Providers'!$C$4:$C$503,61))&amp;". "))</f>
        <v/>
      </c>
      <c r="J564">
        <f>IF(LEN(INDEX('Providers'!$AJ$4:$AJ$503,61))=0,"",INDEX('Providers'!$AJ$4:$AJ$503,61))</f>
        <v/>
      </c>
      <c r="K564">
        <f>IF(LEN(INDEX('Providers'!$AI$4:$AI$503,61))=0,"",INDEX('Providers'!$AI$4:$AI$503,61))</f>
        <v/>
      </c>
    </row>
    <row r="565">
      <c r="A565">
        <f>IF(AND(LEN('Providers'!A65)&gt;0,ISNUMBER('Providers'!I65)),1,0)</f>
        <v/>
      </c>
      <c r="B565">
        <f>B564+A565</f>
        <v/>
      </c>
      <c r="C565">
        <f>IF(562&gt;$B$4503,"",MATCH(562-0.5,$B$3:$B$4503,1))</f>
        <v/>
      </c>
      <c r="D565">
        <f>"DEA registration ("&amp;IF(LEN(INDEX('Providers'!$E$4:$E$503,62))=0,"",INDEX('Providers'!$E$4:$E$503,62))&amp;") – "&amp;IF(LEN(INDEX('Providers'!$A$4:$A$503,62))=0,"",INDEX('Providers'!$A$4:$A$503,62))</f>
        <v/>
      </c>
      <c r="E565">
        <f>IF(ISNUMBER(INDEX('Providers'!$I$4:$I$503,62)),TEXT(INDEX('Providers'!$I$4:$I$503,62),"yyyy-mm-dd"),"")</f>
        <v/>
      </c>
      <c r="F565">
        <f>"Registration"</f>
        <v/>
      </c>
      <c r="G565">
        <f>""</f>
        <v/>
      </c>
      <c r="H565">
        <f>"High"</f>
        <v/>
      </c>
      <c r="I565">
        <f>TRIM(IF(LEN(IF(LEN(INDEX('Providers'!$H$4:$H$503,62))=0,"",INDEX('Providers'!$H$4:$H$503,62)))=0,"","DEA no.: "&amp;IF(LEN(INDEX('Providers'!$H$4:$H$503,62))=0,"",INDEX('Providers'!$H$4:$H$503,62))&amp;". ")&amp;IF(LEN(IF(LEN(INDEX('Providers'!$C$4:$C$503,62))=0,"",INDEX('Providers'!$C$4:$C$503,62)))=0,"","NPI: "&amp;IF(LEN(INDEX('Providers'!$C$4:$C$503,62))=0,"",INDEX('Providers'!$C$4:$C$503,62))&amp;". "))</f>
        <v/>
      </c>
      <c r="J565">
        <f>IF(LEN(INDEX('Providers'!$AJ$4:$AJ$503,62))=0,"",INDEX('Providers'!$AJ$4:$AJ$503,62))</f>
        <v/>
      </c>
      <c r="K565">
        <f>IF(LEN(INDEX('Providers'!$AI$4:$AI$503,62))=0,"",INDEX('Providers'!$AI$4:$AI$503,62))</f>
        <v/>
      </c>
    </row>
    <row r="566">
      <c r="A566">
        <f>IF(AND(LEN('Providers'!A66)&gt;0,ISNUMBER('Providers'!I66)),1,0)</f>
        <v/>
      </c>
      <c r="B566">
        <f>B565+A566</f>
        <v/>
      </c>
      <c r="C566">
        <f>IF(563&gt;$B$4503,"",MATCH(563-0.5,$B$3:$B$4503,1))</f>
        <v/>
      </c>
      <c r="D566">
        <f>"DEA registration ("&amp;IF(LEN(INDEX('Providers'!$E$4:$E$503,63))=0,"",INDEX('Providers'!$E$4:$E$503,63))&amp;") – "&amp;IF(LEN(INDEX('Providers'!$A$4:$A$503,63))=0,"",INDEX('Providers'!$A$4:$A$503,63))</f>
        <v/>
      </c>
      <c r="E566">
        <f>IF(ISNUMBER(INDEX('Providers'!$I$4:$I$503,63)),TEXT(INDEX('Providers'!$I$4:$I$503,63),"yyyy-mm-dd"),"")</f>
        <v/>
      </c>
      <c r="F566">
        <f>"Registration"</f>
        <v/>
      </c>
      <c r="G566">
        <f>""</f>
        <v/>
      </c>
      <c r="H566">
        <f>"High"</f>
        <v/>
      </c>
      <c r="I566">
        <f>TRIM(IF(LEN(IF(LEN(INDEX('Providers'!$H$4:$H$503,63))=0,"",INDEX('Providers'!$H$4:$H$503,63)))=0,"","DEA no.: "&amp;IF(LEN(INDEX('Providers'!$H$4:$H$503,63))=0,"",INDEX('Providers'!$H$4:$H$503,63))&amp;". ")&amp;IF(LEN(IF(LEN(INDEX('Providers'!$C$4:$C$503,63))=0,"",INDEX('Providers'!$C$4:$C$503,63)))=0,"","NPI: "&amp;IF(LEN(INDEX('Providers'!$C$4:$C$503,63))=0,"",INDEX('Providers'!$C$4:$C$503,63))&amp;". "))</f>
        <v/>
      </c>
      <c r="J566">
        <f>IF(LEN(INDEX('Providers'!$AJ$4:$AJ$503,63))=0,"",INDEX('Providers'!$AJ$4:$AJ$503,63))</f>
        <v/>
      </c>
      <c r="K566">
        <f>IF(LEN(INDEX('Providers'!$AI$4:$AI$503,63))=0,"",INDEX('Providers'!$AI$4:$AI$503,63))</f>
        <v/>
      </c>
    </row>
    <row r="567">
      <c r="A567">
        <f>IF(AND(LEN('Providers'!A67)&gt;0,ISNUMBER('Providers'!I67)),1,0)</f>
        <v/>
      </c>
      <c r="B567">
        <f>B566+A567</f>
        <v/>
      </c>
      <c r="C567">
        <f>IF(564&gt;$B$4503,"",MATCH(564-0.5,$B$3:$B$4503,1))</f>
        <v/>
      </c>
      <c r="D567">
        <f>"DEA registration ("&amp;IF(LEN(INDEX('Providers'!$E$4:$E$503,64))=0,"",INDEX('Providers'!$E$4:$E$503,64))&amp;") – "&amp;IF(LEN(INDEX('Providers'!$A$4:$A$503,64))=0,"",INDEX('Providers'!$A$4:$A$503,64))</f>
        <v/>
      </c>
      <c r="E567">
        <f>IF(ISNUMBER(INDEX('Providers'!$I$4:$I$503,64)),TEXT(INDEX('Providers'!$I$4:$I$503,64),"yyyy-mm-dd"),"")</f>
        <v/>
      </c>
      <c r="F567">
        <f>"Registration"</f>
        <v/>
      </c>
      <c r="G567">
        <f>""</f>
        <v/>
      </c>
      <c r="H567">
        <f>"High"</f>
        <v/>
      </c>
      <c r="I567">
        <f>TRIM(IF(LEN(IF(LEN(INDEX('Providers'!$H$4:$H$503,64))=0,"",INDEX('Providers'!$H$4:$H$503,64)))=0,"","DEA no.: "&amp;IF(LEN(INDEX('Providers'!$H$4:$H$503,64))=0,"",INDEX('Providers'!$H$4:$H$503,64))&amp;". ")&amp;IF(LEN(IF(LEN(INDEX('Providers'!$C$4:$C$503,64))=0,"",INDEX('Providers'!$C$4:$C$503,64)))=0,"","NPI: "&amp;IF(LEN(INDEX('Providers'!$C$4:$C$503,64))=0,"",INDEX('Providers'!$C$4:$C$503,64))&amp;". "))</f>
        <v/>
      </c>
      <c r="J567">
        <f>IF(LEN(INDEX('Providers'!$AJ$4:$AJ$503,64))=0,"",INDEX('Providers'!$AJ$4:$AJ$503,64))</f>
        <v/>
      </c>
      <c r="K567">
        <f>IF(LEN(INDEX('Providers'!$AI$4:$AI$503,64))=0,"",INDEX('Providers'!$AI$4:$AI$503,64))</f>
        <v/>
      </c>
    </row>
    <row r="568">
      <c r="A568">
        <f>IF(AND(LEN('Providers'!A68)&gt;0,ISNUMBER('Providers'!I68)),1,0)</f>
        <v/>
      </c>
      <c r="B568">
        <f>B567+A568</f>
        <v/>
      </c>
      <c r="C568">
        <f>IF(565&gt;$B$4503,"",MATCH(565-0.5,$B$3:$B$4503,1))</f>
        <v/>
      </c>
      <c r="D568">
        <f>"DEA registration ("&amp;IF(LEN(INDEX('Providers'!$E$4:$E$503,65))=0,"",INDEX('Providers'!$E$4:$E$503,65))&amp;") – "&amp;IF(LEN(INDEX('Providers'!$A$4:$A$503,65))=0,"",INDEX('Providers'!$A$4:$A$503,65))</f>
        <v/>
      </c>
      <c r="E568">
        <f>IF(ISNUMBER(INDEX('Providers'!$I$4:$I$503,65)),TEXT(INDEX('Providers'!$I$4:$I$503,65),"yyyy-mm-dd"),"")</f>
        <v/>
      </c>
      <c r="F568">
        <f>"Registration"</f>
        <v/>
      </c>
      <c r="G568">
        <f>""</f>
        <v/>
      </c>
      <c r="H568">
        <f>"High"</f>
        <v/>
      </c>
      <c r="I568">
        <f>TRIM(IF(LEN(IF(LEN(INDEX('Providers'!$H$4:$H$503,65))=0,"",INDEX('Providers'!$H$4:$H$503,65)))=0,"","DEA no.: "&amp;IF(LEN(INDEX('Providers'!$H$4:$H$503,65))=0,"",INDEX('Providers'!$H$4:$H$503,65))&amp;". ")&amp;IF(LEN(IF(LEN(INDEX('Providers'!$C$4:$C$503,65))=0,"",INDEX('Providers'!$C$4:$C$503,65)))=0,"","NPI: "&amp;IF(LEN(INDEX('Providers'!$C$4:$C$503,65))=0,"",INDEX('Providers'!$C$4:$C$503,65))&amp;". "))</f>
        <v/>
      </c>
      <c r="J568">
        <f>IF(LEN(INDEX('Providers'!$AJ$4:$AJ$503,65))=0,"",INDEX('Providers'!$AJ$4:$AJ$503,65))</f>
        <v/>
      </c>
      <c r="K568">
        <f>IF(LEN(INDEX('Providers'!$AI$4:$AI$503,65))=0,"",INDEX('Providers'!$AI$4:$AI$503,65))</f>
        <v/>
      </c>
    </row>
    <row r="569">
      <c r="A569">
        <f>IF(AND(LEN('Providers'!A69)&gt;0,ISNUMBER('Providers'!I69)),1,0)</f>
        <v/>
      </c>
      <c r="B569">
        <f>B568+A569</f>
        <v/>
      </c>
      <c r="C569">
        <f>IF(566&gt;$B$4503,"",MATCH(566-0.5,$B$3:$B$4503,1))</f>
        <v/>
      </c>
      <c r="D569">
        <f>"DEA registration ("&amp;IF(LEN(INDEX('Providers'!$E$4:$E$503,66))=0,"",INDEX('Providers'!$E$4:$E$503,66))&amp;") – "&amp;IF(LEN(INDEX('Providers'!$A$4:$A$503,66))=0,"",INDEX('Providers'!$A$4:$A$503,66))</f>
        <v/>
      </c>
      <c r="E569">
        <f>IF(ISNUMBER(INDEX('Providers'!$I$4:$I$503,66)),TEXT(INDEX('Providers'!$I$4:$I$503,66),"yyyy-mm-dd"),"")</f>
        <v/>
      </c>
      <c r="F569">
        <f>"Registration"</f>
        <v/>
      </c>
      <c r="G569">
        <f>""</f>
        <v/>
      </c>
      <c r="H569">
        <f>"High"</f>
        <v/>
      </c>
      <c r="I569">
        <f>TRIM(IF(LEN(IF(LEN(INDEX('Providers'!$H$4:$H$503,66))=0,"",INDEX('Providers'!$H$4:$H$503,66)))=0,"","DEA no.: "&amp;IF(LEN(INDEX('Providers'!$H$4:$H$503,66))=0,"",INDEX('Providers'!$H$4:$H$503,66))&amp;". ")&amp;IF(LEN(IF(LEN(INDEX('Providers'!$C$4:$C$503,66))=0,"",INDEX('Providers'!$C$4:$C$503,66)))=0,"","NPI: "&amp;IF(LEN(INDEX('Providers'!$C$4:$C$503,66))=0,"",INDEX('Providers'!$C$4:$C$503,66))&amp;". "))</f>
        <v/>
      </c>
      <c r="J569">
        <f>IF(LEN(INDEX('Providers'!$AJ$4:$AJ$503,66))=0,"",INDEX('Providers'!$AJ$4:$AJ$503,66))</f>
        <v/>
      </c>
      <c r="K569">
        <f>IF(LEN(INDEX('Providers'!$AI$4:$AI$503,66))=0,"",INDEX('Providers'!$AI$4:$AI$503,66))</f>
        <v/>
      </c>
    </row>
    <row r="570">
      <c r="A570">
        <f>IF(AND(LEN('Providers'!A70)&gt;0,ISNUMBER('Providers'!I70)),1,0)</f>
        <v/>
      </c>
      <c r="B570">
        <f>B569+A570</f>
        <v/>
      </c>
      <c r="C570">
        <f>IF(567&gt;$B$4503,"",MATCH(567-0.5,$B$3:$B$4503,1))</f>
        <v/>
      </c>
      <c r="D570">
        <f>"DEA registration ("&amp;IF(LEN(INDEX('Providers'!$E$4:$E$503,67))=0,"",INDEX('Providers'!$E$4:$E$503,67))&amp;") – "&amp;IF(LEN(INDEX('Providers'!$A$4:$A$503,67))=0,"",INDEX('Providers'!$A$4:$A$503,67))</f>
        <v/>
      </c>
      <c r="E570">
        <f>IF(ISNUMBER(INDEX('Providers'!$I$4:$I$503,67)),TEXT(INDEX('Providers'!$I$4:$I$503,67),"yyyy-mm-dd"),"")</f>
        <v/>
      </c>
      <c r="F570">
        <f>"Registration"</f>
        <v/>
      </c>
      <c r="G570">
        <f>""</f>
        <v/>
      </c>
      <c r="H570">
        <f>"High"</f>
        <v/>
      </c>
      <c r="I570">
        <f>TRIM(IF(LEN(IF(LEN(INDEX('Providers'!$H$4:$H$503,67))=0,"",INDEX('Providers'!$H$4:$H$503,67)))=0,"","DEA no.: "&amp;IF(LEN(INDEX('Providers'!$H$4:$H$503,67))=0,"",INDEX('Providers'!$H$4:$H$503,67))&amp;". ")&amp;IF(LEN(IF(LEN(INDEX('Providers'!$C$4:$C$503,67))=0,"",INDEX('Providers'!$C$4:$C$503,67)))=0,"","NPI: "&amp;IF(LEN(INDEX('Providers'!$C$4:$C$503,67))=0,"",INDEX('Providers'!$C$4:$C$503,67))&amp;". "))</f>
        <v/>
      </c>
      <c r="J570">
        <f>IF(LEN(INDEX('Providers'!$AJ$4:$AJ$503,67))=0,"",INDEX('Providers'!$AJ$4:$AJ$503,67))</f>
        <v/>
      </c>
      <c r="K570">
        <f>IF(LEN(INDEX('Providers'!$AI$4:$AI$503,67))=0,"",INDEX('Providers'!$AI$4:$AI$503,67))</f>
        <v/>
      </c>
    </row>
    <row r="571">
      <c r="A571">
        <f>IF(AND(LEN('Providers'!A71)&gt;0,ISNUMBER('Providers'!I71)),1,0)</f>
        <v/>
      </c>
      <c r="B571">
        <f>B570+A571</f>
        <v/>
      </c>
      <c r="C571">
        <f>IF(568&gt;$B$4503,"",MATCH(568-0.5,$B$3:$B$4503,1))</f>
        <v/>
      </c>
      <c r="D571">
        <f>"DEA registration ("&amp;IF(LEN(INDEX('Providers'!$E$4:$E$503,68))=0,"",INDEX('Providers'!$E$4:$E$503,68))&amp;") – "&amp;IF(LEN(INDEX('Providers'!$A$4:$A$503,68))=0,"",INDEX('Providers'!$A$4:$A$503,68))</f>
        <v/>
      </c>
      <c r="E571">
        <f>IF(ISNUMBER(INDEX('Providers'!$I$4:$I$503,68)),TEXT(INDEX('Providers'!$I$4:$I$503,68),"yyyy-mm-dd"),"")</f>
        <v/>
      </c>
      <c r="F571">
        <f>"Registration"</f>
        <v/>
      </c>
      <c r="G571">
        <f>""</f>
        <v/>
      </c>
      <c r="H571">
        <f>"High"</f>
        <v/>
      </c>
      <c r="I571">
        <f>TRIM(IF(LEN(IF(LEN(INDEX('Providers'!$H$4:$H$503,68))=0,"",INDEX('Providers'!$H$4:$H$503,68)))=0,"","DEA no.: "&amp;IF(LEN(INDEX('Providers'!$H$4:$H$503,68))=0,"",INDEX('Providers'!$H$4:$H$503,68))&amp;". ")&amp;IF(LEN(IF(LEN(INDEX('Providers'!$C$4:$C$503,68))=0,"",INDEX('Providers'!$C$4:$C$503,68)))=0,"","NPI: "&amp;IF(LEN(INDEX('Providers'!$C$4:$C$503,68))=0,"",INDEX('Providers'!$C$4:$C$503,68))&amp;". "))</f>
        <v/>
      </c>
      <c r="J571">
        <f>IF(LEN(INDEX('Providers'!$AJ$4:$AJ$503,68))=0,"",INDEX('Providers'!$AJ$4:$AJ$503,68))</f>
        <v/>
      </c>
      <c r="K571">
        <f>IF(LEN(INDEX('Providers'!$AI$4:$AI$503,68))=0,"",INDEX('Providers'!$AI$4:$AI$503,68))</f>
        <v/>
      </c>
    </row>
    <row r="572">
      <c r="A572">
        <f>IF(AND(LEN('Providers'!A72)&gt;0,ISNUMBER('Providers'!I72)),1,0)</f>
        <v/>
      </c>
      <c r="B572">
        <f>B571+A572</f>
        <v/>
      </c>
      <c r="C572">
        <f>IF(569&gt;$B$4503,"",MATCH(569-0.5,$B$3:$B$4503,1))</f>
        <v/>
      </c>
      <c r="D572">
        <f>"DEA registration ("&amp;IF(LEN(INDEX('Providers'!$E$4:$E$503,69))=0,"",INDEX('Providers'!$E$4:$E$503,69))&amp;") – "&amp;IF(LEN(INDEX('Providers'!$A$4:$A$503,69))=0,"",INDEX('Providers'!$A$4:$A$503,69))</f>
        <v/>
      </c>
      <c r="E572">
        <f>IF(ISNUMBER(INDEX('Providers'!$I$4:$I$503,69)),TEXT(INDEX('Providers'!$I$4:$I$503,69),"yyyy-mm-dd"),"")</f>
        <v/>
      </c>
      <c r="F572">
        <f>"Registration"</f>
        <v/>
      </c>
      <c r="G572">
        <f>""</f>
        <v/>
      </c>
      <c r="H572">
        <f>"High"</f>
        <v/>
      </c>
      <c r="I572">
        <f>TRIM(IF(LEN(IF(LEN(INDEX('Providers'!$H$4:$H$503,69))=0,"",INDEX('Providers'!$H$4:$H$503,69)))=0,"","DEA no.: "&amp;IF(LEN(INDEX('Providers'!$H$4:$H$503,69))=0,"",INDEX('Providers'!$H$4:$H$503,69))&amp;". ")&amp;IF(LEN(IF(LEN(INDEX('Providers'!$C$4:$C$503,69))=0,"",INDEX('Providers'!$C$4:$C$503,69)))=0,"","NPI: "&amp;IF(LEN(INDEX('Providers'!$C$4:$C$503,69))=0,"",INDEX('Providers'!$C$4:$C$503,69))&amp;". "))</f>
        <v/>
      </c>
      <c r="J572">
        <f>IF(LEN(INDEX('Providers'!$AJ$4:$AJ$503,69))=0,"",INDEX('Providers'!$AJ$4:$AJ$503,69))</f>
        <v/>
      </c>
      <c r="K572">
        <f>IF(LEN(INDEX('Providers'!$AI$4:$AI$503,69))=0,"",INDEX('Providers'!$AI$4:$AI$503,69))</f>
        <v/>
      </c>
    </row>
    <row r="573">
      <c r="A573">
        <f>IF(AND(LEN('Providers'!A73)&gt;0,ISNUMBER('Providers'!I73)),1,0)</f>
        <v/>
      </c>
      <c r="B573">
        <f>B572+A573</f>
        <v/>
      </c>
      <c r="C573">
        <f>IF(570&gt;$B$4503,"",MATCH(570-0.5,$B$3:$B$4503,1))</f>
        <v/>
      </c>
      <c r="D573">
        <f>"DEA registration ("&amp;IF(LEN(INDEX('Providers'!$E$4:$E$503,70))=0,"",INDEX('Providers'!$E$4:$E$503,70))&amp;") – "&amp;IF(LEN(INDEX('Providers'!$A$4:$A$503,70))=0,"",INDEX('Providers'!$A$4:$A$503,70))</f>
        <v/>
      </c>
      <c r="E573">
        <f>IF(ISNUMBER(INDEX('Providers'!$I$4:$I$503,70)),TEXT(INDEX('Providers'!$I$4:$I$503,70),"yyyy-mm-dd"),"")</f>
        <v/>
      </c>
      <c r="F573">
        <f>"Registration"</f>
        <v/>
      </c>
      <c r="G573">
        <f>""</f>
        <v/>
      </c>
      <c r="H573">
        <f>"High"</f>
        <v/>
      </c>
      <c r="I573">
        <f>TRIM(IF(LEN(IF(LEN(INDEX('Providers'!$H$4:$H$503,70))=0,"",INDEX('Providers'!$H$4:$H$503,70)))=0,"","DEA no.: "&amp;IF(LEN(INDEX('Providers'!$H$4:$H$503,70))=0,"",INDEX('Providers'!$H$4:$H$503,70))&amp;". ")&amp;IF(LEN(IF(LEN(INDEX('Providers'!$C$4:$C$503,70))=0,"",INDEX('Providers'!$C$4:$C$503,70)))=0,"","NPI: "&amp;IF(LEN(INDEX('Providers'!$C$4:$C$503,70))=0,"",INDEX('Providers'!$C$4:$C$503,70))&amp;". "))</f>
        <v/>
      </c>
      <c r="J573">
        <f>IF(LEN(INDEX('Providers'!$AJ$4:$AJ$503,70))=0,"",INDEX('Providers'!$AJ$4:$AJ$503,70))</f>
        <v/>
      </c>
      <c r="K573">
        <f>IF(LEN(INDEX('Providers'!$AI$4:$AI$503,70))=0,"",INDEX('Providers'!$AI$4:$AI$503,70))</f>
        <v/>
      </c>
    </row>
    <row r="574">
      <c r="A574">
        <f>IF(AND(LEN('Providers'!A74)&gt;0,ISNUMBER('Providers'!I74)),1,0)</f>
        <v/>
      </c>
      <c r="B574">
        <f>B573+A574</f>
        <v/>
      </c>
      <c r="C574">
        <f>IF(571&gt;$B$4503,"",MATCH(571-0.5,$B$3:$B$4503,1))</f>
        <v/>
      </c>
      <c r="D574">
        <f>"DEA registration ("&amp;IF(LEN(INDEX('Providers'!$E$4:$E$503,71))=0,"",INDEX('Providers'!$E$4:$E$503,71))&amp;") – "&amp;IF(LEN(INDEX('Providers'!$A$4:$A$503,71))=0,"",INDEX('Providers'!$A$4:$A$503,71))</f>
        <v/>
      </c>
      <c r="E574">
        <f>IF(ISNUMBER(INDEX('Providers'!$I$4:$I$503,71)),TEXT(INDEX('Providers'!$I$4:$I$503,71),"yyyy-mm-dd"),"")</f>
        <v/>
      </c>
      <c r="F574">
        <f>"Registration"</f>
        <v/>
      </c>
      <c r="G574">
        <f>""</f>
        <v/>
      </c>
      <c r="H574">
        <f>"High"</f>
        <v/>
      </c>
      <c r="I574">
        <f>TRIM(IF(LEN(IF(LEN(INDEX('Providers'!$H$4:$H$503,71))=0,"",INDEX('Providers'!$H$4:$H$503,71)))=0,"","DEA no.: "&amp;IF(LEN(INDEX('Providers'!$H$4:$H$503,71))=0,"",INDEX('Providers'!$H$4:$H$503,71))&amp;". ")&amp;IF(LEN(IF(LEN(INDEX('Providers'!$C$4:$C$503,71))=0,"",INDEX('Providers'!$C$4:$C$503,71)))=0,"","NPI: "&amp;IF(LEN(INDEX('Providers'!$C$4:$C$503,71))=0,"",INDEX('Providers'!$C$4:$C$503,71))&amp;". "))</f>
        <v/>
      </c>
      <c r="J574">
        <f>IF(LEN(INDEX('Providers'!$AJ$4:$AJ$503,71))=0,"",INDEX('Providers'!$AJ$4:$AJ$503,71))</f>
        <v/>
      </c>
      <c r="K574">
        <f>IF(LEN(INDEX('Providers'!$AI$4:$AI$503,71))=0,"",INDEX('Providers'!$AI$4:$AI$503,71))</f>
        <v/>
      </c>
    </row>
    <row r="575">
      <c r="A575">
        <f>IF(AND(LEN('Providers'!A75)&gt;0,ISNUMBER('Providers'!I75)),1,0)</f>
        <v/>
      </c>
      <c r="B575">
        <f>B574+A575</f>
        <v/>
      </c>
      <c r="C575">
        <f>IF(572&gt;$B$4503,"",MATCH(572-0.5,$B$3:$B$4503,1))</f>
        <v/>
      </c>
      <c r="D575">
        <f>"DEA registration ("&amp;IF(LEN(INDEX('Providers'!$E$4:$E$503,72))=0,"",INDEX('Providers'!$E$4:$E$503,72))&amp;") – "&amp;IF(LEN(INDEX('Providers'!$A$4:$A$503,72))=0,"",INDEX('Providers'!$A$4:$A$503,72))</f>
        <v/>
      </c>
      <c r="E575">
        <f>IF(ISNUMBER(INDEX('Providers'!$I$4:$I$503,72)),TEXT(INDEX('Providers'!$I$4:$I$503,72),"yyyy-mm-dd"),"")</f>
        <v/>
      </c>
      <c r="F575">
        <f>"Registration"</f>
        <v/>
      </c>
      <c r="G575">
        <f>""</f>
        <v/>
      </c>
      <c r="H575">
        <f>"High"</f>
        <v/>
      </c>
      <c r="I575">
        <f>TRIM(IF(LEN(IF(LEN(INDEX('Providers'!$H$4:$H$503,72))=0,"",INDEX('Providers'!$H$4:$H$503,72)))=0,"","DEA no.: "&amp;IF(LEN(INDEX('Providers'!$H$4:$H$503,72))=0,"",INDEX('Providers'!$H$4:$H$503,72))&amp;". ")&amp;IF(LEN(IF(LEN(INDEX('Providers'!$C$4:$C$503,72))=0,"",INDEX('Providers'!$C$4:$C$503,72)))=0,"","NPI: "&amp;IF(LEN(INDEX('Providers'!$C$4:$C$503,72))=0,"",INDEX('Providers'!$C$4:$C$503,72))&amp;". "))</f>
        <v/>
      </c>
      <c r="J575">
        <f>IF(LEN(INDEX('Providers'!$AJ$4:$AJ$503,72))=0,"",INDEX('Providers'!$AJ$4:$AJ$503,72))</f>
        <v/>
      </c>
      <c r="K575">
        <f>IF(LEN(INDEX('Providers'!$AI$4:$AI$503,72))=0,"",INDEX('Providers'!$AI$4:$AI$503,72))</f>
        <v/>
      </c>
    </row>
    <row r="576">
      <c r="A576">
        <f>IF(AND(LEN('Providers'!A76)&gt;0,ISNUMBER('Providers'!I76)),1,0)</f>
        <v/>
      </c>
      <c r="B576">
        <f>B575+A576</f>
        <v/>
      </c>
      <c r="C576">
        <f>IF(573&gt;$B$4503,"",MATCH(573-0.5,$B$3:$B$4503,1))</f>
        <v/>
      </c>
      <c r="D576">
        <f>"DEA registration ("&amp;IF(LEN(INDEX('Providers'!$E$4:$E$503,73))=0,"",INDEX('Providers'!$E$4:$E$503,73))&amp;") – "&amp;IF(LEN(INDEX('Providers'!$A$4:$A$503,73))=0,"",INDEX('Providers'!$A$4:$A$503,73))</f>
        <v/>
      </c>
      <c r="E576">
        <f>IF(ISNUMBER(INDEX('Providers'!$I$4:$I$503,73)),TEXT(INDEX('Providers'!$I$4:$I$503,73),"yyyy-mm-dd"),"")</f>
        <v/>
      </c>
      <c r="F576">
        <f>"Registration"</f>
        <v/>
      </c>
      <c r="G576">
        <f>""</f>
        <v/>
      </c>
      <c r="H576">
        <f>"High"</f>
        <v/>
      </c>
      <c r="I576">
        <f>TRIM(IF(LEN(IF(LEN(INDEX('Providers'!$H$4:$H$503,73))=0,"",INDEX('Providers'!$H$4:$H$503,73)))=0,"","DEA no.: "&amp;IF(LEN(INDEX('Providers'!$H$4:$H$503,73))=0,"",INDEX('Providers'!$H$4:$H$503,73))&amp;". ")&amp;IF(LEN(IF(LEN(INDEX('Providers'!$C$4:$C$503,73))=0,"",INDEX('Providers'!$C$4:$C$503,73)))=0,"","NPI: "&amp;IF(LEN(INDEX('Providers'!$C$4:$C$503,73))=0,"",INDEX('Providers'!$C$4:$C$503,73))&amp;". "))</f>
        <v/>
      </c>
      <c r="J576">
        <f>IF(LEN(INDEX('Providers'!$AJ$4:$AJ$503,73))=0,"",INDEX('Providers'!$AJ$4:$AJ$503,73))</f>
        <v/>
      </c>
      <c r="K576">
        <f>IF(LEN(INDEX('Providers'!$AI$4:$AI$503,73))=0,"",INDEX('Providers'!$AI$4:$AI$503,73))</f>
        <v/>
      </c>
    </row>
    <row r="577">
      <c r="A577">
        <f>IF(AND(LEN('Providers'!A77)&gt;0,ISNUMBER('Providers'!I77)),1,0)</f>
        <v/>
      </c>
      <c r="B577">
        <f>B576+A577</f>
        <v/>
      </c>
      <c r="C577">
        <f>IF(574&gt;$B$4503,"",MATCH(574-0.5,$B$3:$B$4503,1))</f>
        <v/>
      </c>
      <c r="D577">
        <f>"DEA registration ("&amp;IF(LEN(INDEX('Providers'!$E$4:$E$503,74))=0,"",INDEX('Providers'!$E$4:$E$503,74))&amp;") – "&amp;IF(LEN(INDEX('Providers'!$A$4:$A$503,74))=0,"",INDEX('Providers'!$A$4:$A$503,74))</f>
        <v/>
      </c>
      <c r="E577">
        <f>IF(ISNUMBER(INDEX('Providers'!$I$4:$I$503,74)),TEXT(INDEX('Providers'!$I$4:$I$503,74),"yyyy-mm-dd"),"")</f>
        <v/>
      </c>
      <c r="F577">
        <f>"Registration"</f>
        <v/>
      </c>
      <c r="G577">
        <f>""</f>
        <v/>
      </c>
      <c r="H577">
        <f>"High"</f>
        <v/>
      </c>
      <c r="I577">
        <f>TRIM(IF(LEN(IF(LEN(INDEX('Providers'!$H$4:$H$503,74))=0,"",INDEX('Providers'!$H$4:$H$503,74)))=0,"","DEA no.: "&amp;IF(LEN(INDEX('Providers'!$H$4:$H$503,74))=0,"",INDEX('Providers'!$H$4:$H$503,74))&amp;". ")&amp;IF(LEN(IF(LEN(INDEX('Providers'!$C$4:$C$503,74))=0,"",INDEX('Providers'!$C$4:$C$503,74)))=0,"","NPI: "&amp;IF(LEN(INDEX('Providers'!$C$4:$C$503,74))=0,"",INDEX('Providers'!$C$4:$C$503,74))&amp;". "))</f>
        <v/>
      </c>
      <c r="J577">
        <f>IF(LEN(INDEX('Providers'!$AJ$4:$AJ$503,74))=0,"",INDEX('Providers'!$AJ$4:$AJ$503,74))</f>
        <v/>
      </c>
      <c r="K577">
        <f>IF(LEN(INDEX('Providers'!$AI$4:$AI$503,74))=0,"",INDEX('Providers'!$AI$4:$AI$503,74))</f>
        <v/>
      </c>
    </row>
    <row r="578">
      <c r="A578">
        <f>IF(AND(LEN('Providers'!A78)&gt;0,ISNUMBER('Providers'!I78)),1,0)</f>
        <v/>
      </c>
      <c r="B578">
        <f>B577+A578</f>
        <v/>
      </c>
      <c r="C578">
        <f>IF(575&gt;$B$4503,"",MATCH(575-0.5,$B$3:$B$4503,1))</f>
        <v/>
      </c>
      <c r="D578">
        <f>"DEA registration ("&amp;IF(LEN(INDEX('Providers'!$E$4:$E$503,75))=0,"",INDEX('Providers'!$E$4:$E$503,75))&amp;") – "&amp;IF(LEN(INDEX('Providers'!$A$4:$A$503,75))=0,"",INDEX('Providers'!$A$4:$A$503,75))</f>
        <v/>
      </c>
      <c r="E578">
        <f>IF(ISNUMBER(INDEX('Providers'!$I$4:$I$503,75)),TEXT(INDEX('Providers'!$I$4:$I$503,75),"yyyy-mm-dd"),"")</f>
        <v/>
      </c>
      <c r="F578">
        <f>"Registration"</f>
        <v/>
      </c>
      <c r="G578">
        <f>""</f>
        <v/>
      </c>
      <c r="H578">
        <f>"High"</f>
        <v/>
      </c>
      <c r="I578">
        <f>TRIM(IF(LEN(IF(LEN(INDEX('Providers'!$H$4:$H$503,75))=0,"",INDEX('Providers'!$H$4:$H$503,75)))=0,"","DEA no.: "&amp;IF(LEN(INDEX('Providers'!$H$4:$H$503,75))=0,"",INDEX('Providers'!$H$4:$H$503,75))&amp;". ")&amp;IF(LEN(IF(LEN(INDEX('Providers'!$C$4:$C$503,75))=0,"",INDEX('Providers'!$C$4:$C$503,75)))=0,"","NPI: "&amp;IF(LEN(INDEX('Providers'!$C$4:$C$503,75))=0,"",INDEX('Providers'!$C$4:$C$503,75))&amp;". "))</f>
        <v/>
      </c>
      <c r="J578">
        <f>IF(LEN(INDEX('Providers'!$AJ$4:$AJ$503,75))=0,"",INDEX('Providers'!$AJ$4:$AJ$503,75))</f>
        <v/>
      </c>
      <c r="K578">
        <f>IF(LEN(INDEX('Providers'!$AI$4:$AI$503,75))=0,"",INDEX('Providers'!$AI$4:$AI$503,75))</f>
        <v/>
      </c>
    </row>
    <row r="579">
      <c r="A579">
        <f>IF(AND(LEN('Providers'!A79)&gt;0,ISNUMBER('Providers'!I79)),1,0)</f>
        <v/>
      </c>
      <c r="B579">
        <f>B578+A579</f>
        <v/>
      </c>
      <c r="C579">
        <f>IF(576&gt;$B$4503,"",MATCH(576-0.5,$B$3:$B$4503,1))</f>
        <v/>
      </c>
      <c r="D579">
        <f>"DEA registration ("&amp;IF(LEN(INDEX('Providers'!$E$4:$E$503,76))=0,"",INDEX('Providers'!$E$4:$E$503,76))&amp;") – "&amp;IF(LEN(INDEX('Providers'!$A$4:$A$503,76))=0,"",INDEX('Providers'!$A$4:$A$503,76))</f>
        <v/>
      </c>
      <c r="E579">
        <f>IF(ISNUMBER(INDEX('Providers'!$I$4:$I$503,76)),TEXT(INDEX('Providers'!$I$4:$I$503,76),"yyyy-mm-dd"),"")</f>
        <v/>
      </c>
      <c r="F579">
        <f>"Registration"</f>
        <v/>
      </c>
      <c r="G579">
        <f>""</f>
        <v/>
      </c>
      <c r="H579">
        <f>"High"</f>
        <v/>
      </c>
      <c r="I579">
        <f>TRIM(IF(LEN(IF(LEN(INDEX('Providers'!$H$4:$H$503,76))=0,"",INDEX('Providers'!$H$4:$H$503,76)))=0,"","DEA no.: "&amp;IF(LEN(INDEX('Providers'!$H$4:$H$503,76))=0,"",INDEX('Providers'!$H$4:$H$503,76))&amp;". ")&amp;IF(LEN(IF(LEN(INDEX('Providers'!$C$4:$C$503,76))=0,"",INDEX('Providers'!$C$4:$C$503,76)))=0,"","NPI: "&amp;IF(LEN(INDEX('Providers'!$C$4:$C$503,76))=0,"",INDEX('Providers'!$C$4:$C$503,76))&amp;". "))</f>
        <v/>
      </c>
      <c r="J579">
        <f>IF(LEN(INDEX('Providers'!$AJ$4:$AJ$503,76))=0,"",INDEX('Providers'!$AJ$4:$AJ$503,76))</f>
        <v/>
      </c>
      <c r="K579">
        <f>IF(LEN(INDEX('Providers'!$AI$4:$AI$503,76))=0,"",INDEX('Providers'!$AI$4:$AI$503,76))</f>
        <v/>
      </c>
    </row>
    <row r="580">
      <c r="A580">
        <f>IF(AND(LEN('Providers'!A80)&gt;0,ISNUMBER('Providers'!I80)),1,0)</f>
        <v/>
      </c>
      <c r="B580">
        <f>B579+A580</f>
        <v/>
      </c>
      <c r="C580">
        <f>IF(577&gt;$B$4503,"",MATCH(577-0.5,$B$3:$B$4503,1))</f>
        <v/>
      </c>
      <c r="D580">
        <f>"DEA registration ("&amp;IF(LEN(INDEX('Providers'!$E$4:$E$503,77))=0,"",INDEX('Providers'!$E$4:$E$503,77))&amp;") – "&amp;IF(LEN(INDEX('Providers'!$A$4:$A$503,77))=0,"",INDEX('Providers'!$A$4:$A$503,77))</f>
        <v/>
      </c>
      <c r="E580">
        <f>IF(ISNUMBER(INDEX('Providers'!$I$4:$I$503,77)),TEXT(INDEX('Providers'!$I$4:$I$503,77),"yyyy-mm-dd"),"")</f>
        <v/>
      </c>
      <c r="F580">
        <f>"Registration"</f>
        <v/>
      </c>
      <c r="G580">
        <f>""</f>
        <v/>
      </c>
      <c r="H580">
        <f>"High"</f>
        <v/>
      </c>
      <c r="I580">
        <f>TRIM(IF(LEN(IF(LEN(INDEX('Providers'!$H$4:$H$503,77))=0,"",INDEX('Providers'!$H$4:$H$503,77)))=0,"","DEA no.: "&amp;IF(LEN(INDEX('Providers'!$H$4:$H$503,77))=0,"",INDEX('Providers'!$H$4:$H$503,77))&amp;". ")&amp;IF(LEN(IF(LEN(INDEX('Providers'!$C$4:$C$503,77))=0,"",INDEX('Providers'!$C$4:$C$503,77)))=0,"","NPI: "&amp;IF(LEN(INDEX('Providers'!$C$4:$C$503,77))=0,"",INDEX('Providers'!$C$4:$C$503,77))&amp;". "))</f>
        <v/>
      </c>
      <c r="J580">
        <f>IF(LEN(INDEX('Providers'!$AJ$4:$AJ$503,77))=0,"",INDEX('Providers'!$AJ$4:$AJ$503,77))</f>
        <v/>
      </c>
      <c r="K580">
        <f>IF(LEN(INDEX('Providers'!$AI$4:$AI$503,77))=0,"",INDEX('Providers'!$AI$4:$AI$503,77))</f>
        <v/>
      </c>
    </row>
    <row r="581">
      <c r="A581">
        <f>IF(AND(LEN('Providers'!A81)&gt;0,ISNUMBER('Providers'!I81)),1,0)</f>
        <v/>
      </c>
      <c r="B581">
        <f>B580+A581</f>
        <v/>
      </c>
      <c r="C581">
        <f>IF(578&gt;$B$4503,"",MATCH(578-0.5,$B$3:$B$4503,1))</f>
        <v/>
      </c>
      <c r="D581">
        <f>"DEA registration ("&amp;IF(LEN(INDEX('Providers'!$E$4:$E$503,78))=0,"",INDEX('Providers'!$E$4:$E$503,78))&amp;") – "&amp;IF(LEN(INDEX('Providers'!$A$4:$A$503,78))=0,"",INDEX('Providers'!$A$4:$A$503,78))</f>
        <v/>
      </c>
      <c r="E581">
        <f>IF(ISNUMBER(INDEX('Providers'!$I$4:$I$503,78)),TEXT(INDEX('Providers'!$I$4:$I$503,78),"yyyy-mm-dd"),"")</f>
        <v/>
      </c>
      <c r="F581">
        <f>"Registration"</f>
        <v/>
      </c>
      <c r="G581">
        <f>""</f>
        <v/>
      </c>
      <c r="H581">
        <f>"High"</f>
        <v/>
      </c>
      <c r="I581">
        <f>TRIM(IF(LEN(IF(LEN(INDEX('Providers'!$H$4:$H$503,78))=0,"",INDEX('Providers'!$H$4:$H$503,78)))=0,"","DEA no.: "&amp;IF(LEN(INDEX('Providers'!$H$4:$H$503,78))=0,"",INDEX('Providers'!$H$4:$H$503,78))&amp;". ")&amp;IF(LEN(IF(LEN(INDEX('Providers'!$C$4:$C$503,78))=0,"",INDEX('Providers'!$C$4:$C$503,78)))=0,"","NPI: "&amp;IF(LEN(INDEX('Providers'!$C$4:$C$503,78))=0,"",INDEX('Providers'!$C$4:$C$503,78))&amp;". "))</f>
        <v/>
      </c>
      <c r="J581">
        <f>IF(LEN(INDEX('Providers'!$AJ$4:$AJ$503,78))=0,"",INDEX('Providers'!$AJ$4:$AJ$503,78))</f>
        <v/>
      </c>
      <c r="K581">
        <f>IF(LEN(INDEX('Providers'!$AI$4:$AI$503,78))=0,"",INDEX('Providers'!$AI$4:$AI$503,78))</f>
        <v/>
      </c>
    </row>
    <row r="582">
      <c r="A582">
        <f>IF(AND(LEN('Providers'!A82)&gt;0,ISNUMBER('Providers'!I82)),1,0)</f>
        <v/>
      </c>
      <c r="B582">
        <f>B581+A582</f>
        <v/>
      </c>
      <c r="C582">
        <f>IF(579&gt;$B$4503,"",MATCH(579-0.5,$B$3:$B$4503,1))</f>
        <v/>
      </c>
      <c r="D582">
        <f>"DEA registration ("&amp;IF(LEN(INDEX('Providers'!$E$4:$E$503,79))=0,"",INDEX('Providers'!$E$4:$E$503,79))&amp;") – "&amp;IF(LEN(INDEX('Providers'!$A$4:$A$503,79))=0,"",INDEX('Providers'!$A$4:$A$503,79))</f>
        <v/>
      </c>
      <c r="E582">
        <f>IF(ISNUMBER(INDEX('Providers'!$I$4:$I$503,79)),TEXT(INDEX('Providers'!$I$4:$I$503,79),"yyyy-mm-dd"),"")</f>
        <v/>
      </c>
      <c r="F582">
        <f>"Registration"</f>
        <v/>
      </c>
      <c r="G582">
        <f>""</f>
        <v/>
      </c>
      <c r="H582">
        <f>"High"</f>
        <v/>
      </c>
      <c r="I582">
        <f>TRIM(IF(LEN(IF(LEN(INDEX('Providers'!$H$4:$H$503,79))=0,"",INDEX('Providers'!$H$4:$H$503,79)))=0,"","DEA no.: "&amp;IF(LEN(INDEX('Providers'!$H$4:$H$503,79))=0,"",INDEX('Providers'!$H$4:$H$503,79))&amp;". ")&amp;IF(LEN(IF(LEN(INDEX('Providers'!$C$4:$C$503,79))=0,"",INDEX('Providers'!$C$4:$C$503,79)))=0,"","NPI: "&amp;IF(LEN(INDEX('Providers'!$C$4:$C$503,79))=0,"",INDEX('Providers'!$C$4:$C$503,79))&amp;". "))</f>
        <v/>
      </c>
      <c r="J582">
        <f>IF(LEN(INDEX('Providers'!$AJ$4:$AJ$503,79))=0,"",INDEX('Providers'!$AJ$4:$AJ$503,79))</f>
        <v/>
      </c>
      <c r="K582">
        <f>IF(LEN(INDEX('Providers'!$AI$4:$AI$503,79))=0,"",INDEX('Providers'!$AI$4:$AI$503,79))</f>
        <v/>
      </c>
    </row>
    <row r="583">
      <c r="A583">
        <f>IF(AND(LEN('Providers'!A83)&gt;0,ISNUMBER('Providers'!I83)),1,0)</f>
        <v/>
      </c>
      <c r="B583">
        <f>B582+A583</f>
        <v/>
      </c>
      <c r="C583">
        <f>IF(580&gt;$B$4503,"",MATCH(580-0.5,$B$3:$B$4503,1))</f>
        <v/>
      </c>
      <c r="D583">
        <f>"DEA registration ("&amp;IF(LEN(INDEX('Providers'!$E$4:$E$503,80))=0,"",INDEX('Providers'!$E$4:$E$503,80))&amp;") – "&amp;IF(LEN(INDEX('Providers'!$A$4:$A$503,80))=0,"",INDEX('Providers'!$A$4:$A$503,80))</f>
        <v/>
      </c>
      <c r="E583">
        <f>IF(ISNUMBER(INDEX('Providers'!$I$4:$I$503,80)),TEXT(INDEX('Providers'!$I$4:$I$503,80),"yyyy-mm-dd"),"")</f>
        <v/>
      </c>
      <c r="F583">
        <f>"Registration"</f>
        <v/>
      </c>
      <c r="G583">
        <f>""</f>
        <v/>
      </c>
      <c r="H583">
        <f>"High"</f>
        <v/>
      </c>
      <c r="I583">
        <f>TRIM(IF(LEN(IF(LEN(INDEX('Providers'!$H$4:$H$503,80))=0,"",INDEX('Providers'!$H$4:$H$503,80)))=0,"","DEA no.: "&amp;IF(LEN(INDEX('Providers'!$H$4:$H$503,80))=0,"",INDEX('Providers'!$H$4:$H$503,80))&amp;". ")&amp;IF(LEN(IF(LEN(INDEX('Providers'!$C$4:$C$503,80))=0,"",INDEX('Providers'!$C$4:$C$503,80)))=0,"","NPI: "&amp;IF(LEN(INDEX('Providers'!$C$4:$C$503,80))=0,"",INDEX('Providers'!$C$4:$C$503,80))&amp;". "))</f>
        <v/>
      </c>
      <c r="J583">
        <f>IF(LEN(INDEX('Providers'!$AJ$4:$AJ$503,80))=0,"",INDEX('Providers'!$AJ$4:$AJ$503,80))</f>
        <v/>
      </c>
      <c r="K583">
        <f>IF(LEN(INDEX('Providers'!$AI$4:$AI$503,80))=0,"",INDEX('Providers'!$AI$4:$AI$503,80))</f>
        <v/>
      </c>
    </row>
    <row r="584">
      <c r="A584">
        <f>IF(AND(LEN('Providers'!A84)&gt;0,ISNUMBER('Providers'!I84)),1,0)</f>
        <v/>
      </c>
      <c r="B584">
        <f>B583+A584</f>
        <v/>
      </c>
      <c r="C584">
        <f>IF(581&gt;$B$4503,"",MATCH(581-0.5,$B$3:$B$4503,1))</f>
        <v/>
      </c>
      <c r="D584">
        <f>"DEA registration ("&amp;IF(LEN(INDEX('Providers'!$E$4:$E$503,81))=0,"",INDEX('Providers'!$E$4:$E$503,81))&amp;") – "&amp;IF(LEN(INDEX('Providers'!$A$4:$A$503,81))=0,"",INDEX('Providers'!$A$4:$A$503,81))</f>
        <v/>
      </c>
      <c r="E584">
        <f>IF(ISNUMBER(INDEX('Providers'!$I$4:$I$503,81)),TEXT(INDEX('Providers'!$I$4:$I$503,81),"yyyy-mm-dd"),"")</f>
        <v/>
      </c>
      <c r="F584">
        <f>"Registration"</f>
        <v/>
      </c>
      <c r="G584">
        <f>""</f>
        <v/>
      </c>
      <c r="H584">
        <f>"High"</f>
        <v/>
      </c>
      <c r="I584">
        <f>TRIM(IF(LEN(IF(LEN(INDEX('Providers'!$H$4:$H$503,81))=0,"",INDEX('Providers'!$H$4:$H$503,81)))=0,"","DEA no.: "&amp;IF(LEN(INDEX('Providers'!$H$4:$H$503,81))=0,"",INDEX('Providers'!$H$4:$H$503,81))&amp;". ")&amp;IF(LEN(IF(LEN(INDEX('Providers'!$C$4:$C$503,81))=0,"",INDEX('Providers'!$C$4:$C$503,81)))=0,"","NPI: "&amp;IF(LEN(INDEX('Providers'!$C$4:$C$503,81))=0,"",INDEX('Providers'!$C$4:$C$503,81))&amp;". "))</f>
        <v/>
      </c>
      <c r="J584">
        <f>IF(LEN(INDEX('Providers'!$AJ$4:$AJ$503,81))=0,"",INDEX('Providers'!$AJ$4:$AJ$503,81))</f>
        <v/>
      </c>
      <c r="K584">
        <f>IF(LEN(INDEX('Providers'!$AI$4:$AI$503,81))=0,"",INDEX('Providers'!$AI$4:$AI$503,81))</f>
        <v/>
      </c>
    </row>
    <row r="585">
      <c r="A585">
        <f>IF(AND(LEN('Providers'!A85)&gt;0,ISNUMBER('Providers'!I85)),1,0)</f>
        <v/>
      </c>
      <c r="B585">
        <f>B584+A585</f>
        <v/>
      </c>
      <c r="C585">
        <f>IF(582&gt;$B$4503,"",MATCH(582-0.5,$B$3:$B$4503,1))</f>
        <v/>
      </c>
      <c r="D585">
        <f>"DEA registration ("&amp;IF(LEN(INDEX('Providers'!$E$4:$E$503,82))=0,"",INDEX('Providers'!$E$4:$E$503,82))&amp;") – "&amp;IF(LEN(INDEX('Providers'!$A$4:$A$503,82))=0,"",INDEX('Providers'!$A$4:$A$503,82))</f>
        <v/>
      </c>
      <c r="E585">
        <f>IF(ISNUMBER(INDEX('Providers'!$I$4:$I$503,82)),TEXT(INDEX('Providers'!$I$4:$I$503,82),"yyyy-mm-dd"),"")</f>
        <v/>
      </c>
      <c r="F585">
        <f>"Registration"</f>
        <v/>
      </c>
      <c r="G585">
        <f>""</f>
        <v/>
      </c>
      <c r="H585">
        <f>"High"</f>
        <v/>
      </c>
      <c r="I585">
        <f>TRIM(IF(LEN(IF(LEN(INDEX('Providers'!$H$4:$H$503,82))=0,"",INDEX('Providers'!$H$4:$H$503,82)))=0,"","DEA no.: "&amp;IF(LEN(INDEX('Providers'!$H$4:$H$503,82))=0,"",INDEX('Providers'!$H$4:$H$503,82))&amp;". ")&amp;IF(LEN(IF(LEN(INDEX('Providers'!$C$4:$C$503,82))=0,"",INDEX('Providers'!$C$4:$C$503,82)))=0,"","NPI: "&amp;IF(LEN(INDEX('Providers'!$C$4:$C$503,82))=0,"",INDEX('Providers'!$C$4:$C$503,82))&amp;". "))</f>
        <v/>
      </c>
      <c r="J585">
        <f>IF(LEN(INDEX('Providers'!$AJ$4:$AJ$503,82))=0,"",INDEX('Providers'!$AJ$4:$AJ$503,82))</f>
        <v/>
      </c>
      <c r="K585">
        <f>IF(LEN(INDEX('Providers'!$AI$4:$AI$503,82))=0,"",INDEX('Providers'!$AI$4:$AI$503,82))</f>
        <v/>
      </c>
    </row>
    <row r="586">
      <c r="A586">
        <f>IF(AND(LEN('Providers'!A86)&gt;0,ISNUMBER('Providers'!I86)),1,0)</f>
        <v/>
      </c>
      <c r="B586">
        <f>B585+A586</f>
        <v/>
      </c>
      <c r="C586">
        <f>IF(583&gt;$B$4503,"",MATCH(583-0.5,$B$3:$B$4503,1))</f>
        <v/>
      </c>
      <c r="D586">
        <f>"DEA registration ("&amp;IF(LEN(INDEX('Providers'!$E$4:$E$503,83))=0,"",INDEX('Providers'!$E$4:$E$503,83))&amp;") – "&amp;IF(LEN(INDEX('Providers'!$A$4:$A$503,83))=0,"",INDEX('Providers'!$A$4:$A$503,83))</f>
        <v/>
      </c>
      <c r="E586">
        <f>IF(ISNUMBER(INDEX('Providers'!$I$4:$I$503,83)),TEXT(INDEX('Providers'!$I$4:$I$503,83),"yyyy-mm-dd"),"")</f>
        <v/>
      </c>
      <c r="F586">
        <f>"Registration"</f>
        <v/>
      </c>
      <c r="G586">
        <f>""</f>
        <v/>
      </c>
      <c r="H586">
        <f>"High"</f>
        <v/>
      </c>
      <c r="I586">
        <f>TRIM(IF(LEN(IF(LEN(INDEX('Providers'!$H$4:$H$503,83))=0,"",INDEX('Providers'!$H$4:$H$503,83)))=0,"","DEA no.: "&amp;IF(LEN(INDEX('Providers'!$H$4:$H$503,83))=0,"",INDEX('Providers'!$H$4:$H$503,83))&amp;". ")&amp;IF(LEN(IF(LEN(INDEX('Providers'!$C$4:$C$503,83))=0,"",INDEX('Providers'!$C$4:$C$503,83)))=0,"","NPI: "&amp;IF(LEN(INDEX('Providers'!$C$4:$C$503,83))=0,"",INDEX('Providers'!$C$4:$C$503,83))&amp;". "))</f>
        <v/>
      </c>
      <c r="J586">
        <f>IF(LEN(INDEX('Providers'!$AJ$4:$AJ$503,83))=0,"",INDEX('Providers'!$AJ$4:$AJ$503,83))</f>
        <v/>
      </c>
      <c r="K586">
        <f>IF(LEN(INDEX('Providers'!$AI$4:$AI$503,83))=0,"",INDEX('Providers'!$AI$4:$AI$503,83))</f>
        <v/>
      </c>
    </row>
    <row r="587">
      <c r="A587">
        <f>IF(AND(LEN('Providers'!A87)&gt;0,ISNUMBER('Providers'!I87)),1,0)</f>
        <v/>
      </c>
      <c r="B587">
        <f>B586+A587</f>
        <v/>
      </c>
      <c r="C587">
        <f>IF(584&gt;$B$4503,"",MATCH(584-0.5,$B$3:$B$4503,1))</f>
        <v/>
      </c>
      <c r="D587">
        <f>"DEA registration ("&amp;IF(LEN(INDEX('Providers'!$E$4:$E$503,84))=0,"",INDEX('Providers'!$E$4:$E$503,84))&amp;") – "&amp;IF(LEN(INDEX('Providers'!$A$4:$A$503,84))=0,"",INDEX('Providers'!$A$4:$A$503,84))</f>
        <v/>
      </c>
      <c r="E587">
        <f>IF(ISNUMBER(INDEX('Providers'!$I$4:$I$503,84)),TEXT(INDEX('Providers'!$I$4:$I$503,84),"yyyy-mm-dd"),"")</f>
        <v/>
      </c>
      <c r="F587">
        <f>"Registration"</f>
        <v/>
      </c>
      <c r="G587">
        <f>""</f>
        <v/>
      </c>
      <c r="H587">
        <f>"High"</f>
        <v/>
      </c>
      <c r="I587">
        <f>TRIM(IF(LEN(IF(LEN(INDEX('Providers'!$H$4:$H$503,84))=0,"",INDEX('Providers'!$H$4:$H$503,84)))=0,"","DEA no.: "&amp;IF(LEN(INDEX('Providers'!$H$4:$H$503,84))=0,"",INDEX('Providers'!$H$4:$H$503,84))&amp;". ")&amp;IF(LEN(IF(LEN(INDEX('Providers'!$C$4:$C$503,84))=0,"",INDEX('Providers'!$C$4:$C$503,84)))=0,"","NPI: "&amp;IF(LEN(INDEX('Providers'!$C$4:$C$503,84))=0,"",INDEX('Providers'!$C$4:$C$503,84))&amp;". "))</f>
        <v/>
      </c>
      <c r="J587">
        <f>IF(LEN(INDEX('Providers'!$AJ$4:$AJ$503,84))=0,"",INDEX('Providers'!$AJ$4:$AJ$503,84))</f>
        <v/>
      </c>
      <c r="K587">
        <f>IF(LEN(INDEX('Providers'!$AI$4:$AI$503,84))=0,"",INDEX('Providers'!$AI$4:$AI$503,84))</f>
        <v/>
      </c>
    </row>
    <row r="588">
      <c r="A588">
        <f>IF(AND(LEN('Providers'!A88)&gt;0,ISNUMBER('Providers'!I88)),1,0)</f>
        <v/>
      </c>
      <c r="B588">
        <f>B587+A588</f>
        <v/>
      </c>
      <c r="C588">
        <f>IF(585&gt;$B$4503,"",MATCH(585-0.5,$B$3:$B$4503,1))</f>
        <v/>
      </c>
      <c r="D588">
        <f>"DEA registration ("&amp;IF(LEN(INDEX('Providers'!$E$4:$E$503,85))=0,"",INDEX('Providers'!$E$4:$E$503,85))&amp;") – "&amp;IF(LEN(INDEX('Providers'!$A$4:$A$503,85))=0,"",INDEX('Providers'!$A$4:$A$503,85))</f>
        <v/>
      </c>
      <c r="E588">
        <f>IF(ISNUMBER(INDEX('Providers'!$I$4:$I$503,85)),TEXT(INDEX('Providers'!$I$4:$I$503,85),"yyyy-mm-dd"),"")</f>
        <v/>
      </c>
      <c r="F588">
        <f>"Registration"</f>
        <v/>
      </c>
      <c r="G588">
        <f>""</f>
        <v/>
      </c>
      <c r="H588">
        <f>"High"</f>
        <v/>
      </c>
      <c r="I588">
        <f>TRIM(IF(LEN(IF(LEN(INDEX('Providers'!$H$4:$H$503,85))=0,"",INDEX('Providers'!$H$4:$H$503,85)))=0,"","DEA no.: "&amp;IF(LEN(INDEX('Providers'!$H$4:$H$503,85))=0,"",INDEX('Providers'!$H$4:$H$503,85))&amp;". ")&amp;IF(LEN(IF(LEN(INDEX('Providers'!$C$4:$C$503,85))=0,"",INDEX('Providers'!$C$4:$C$503,85)))=0,"","NPI: "&amp;IF(LEN(INDEX('Providers'!$C$4:$C$503,85))=0,"",INDEX('Providers'!$C$4:$C$503,85))&amp;". "))</f>
        <v/>
      </c>
      <c r="J588">
        <f>IF(LEN(INDEX('Providers'!$AJ$4:$AJ$503,85))=0,"",INDEX('Providers'!$AJ$4:$AJ$503,85))</f>
        <v/>
      </c>
      <c r="K588">
        <f>IF(LEN(INDEX('Providers'!$AI$4:$AI$503,85))=0,"",INDEX('Providers'!$AI$4:$AI$503,85))</f>
        <v/>
      </c>
    </row>
    <row r="589">
      <c r="A589">
        <f>IF(AND(LEN('Providers'!A89)&gt;0,ISNUMBER('Providers'!I89)),1,0)</f>
        <v/>
      </c>
      <c r="B589">
        <f>B588+A589</f>
        <v/>
      </c>
      <c r="C589">
        <f>IF(586&gt;$B$4503,"",MATCH(586-0.5,$B$3:$B$4503,1))</f>
        <v/>
      </c>
      <c r="D589">
        <f>"DEA registration ("&amp;IF(LEN(INDEX('Providers'!$E$4:$E$503,86))=0,"",INDEX('Providers'!$E$4:$E$503,86))&amp;") – "&amp;IF(LEN(INDEX('Providers'!$A$4:$A$503,86))=0,"",INDEX('Providers'!$A$4:$A$503,86))</f>
        <v/>
      </c>
      <c r="E589">
        <f>IF(ISNUMBER(INDEX('Providers'!$I$4:$I$503,86)),TEXT(INDEX('Providers'!$I$4:$I$503,86),"yyyy-mm-dd"),"")</f>
        <v/>
      </c>
      <c r="F589">
        <f>"Registration"</f>
        <v/>
      </c>
      <c r="G589">
        <f>""</f>
        <v/>
      </c>
      <c r="H589">
        <f>"High"</f>
        <v/>
      </c>
      <c r="I589">
        <f>TRIM(IF(LEN(IF(LEN(INDEX('Providers'!$H$4:$H$503,86))=0,"",INDEX('Providers'!$H$4:$H$503,86)))=0,"","DEA no.: "&amp;IF(LEN(INDEX('Providers'!$H$4:$H$503,86))=0,"",INDEX('Providers'!$H$4:$H$503,86))&amp;". ")&amp;IF(LEN(IF(LEN(INDEX('Providers'!$C$4:$C$503,86))=0,"",INDEX('Providers'!$C$4:$C$503,86)))=0,"","NPI: "&amp;IF(LEN(INDEX('Providers'!$C$4:$C$503,86))=0,"",INDEX('Providers'!$C$4:$C$503,86))&amp;". "))</f>
        <v/>
      </c>
      <c r="J589">
        <f>IF(LEN(INDEX('Providers'!$AJ$4:$AJ$503,86))=0,"",INDEX('Providers'!$AJ$4:$AJ$503,86))</f>
        <v/>
      </c>
      <c r="K589">
        <f>IF(LEN(INDEX('Providers'!$AI$4:$AI$503,86))=0,"",INDEX('Providers'!$AI$4:$AI$503,86))</f>
        <v/>
      </c>
    </row>
    <row r="590">
      <c r="A590">
        <f>IF(AND(LEN('Providers'!A90)&gt;0,ISNUMBER('Providers'!I90)),1,0)</f>
        <v/>
      </c>
      <c r="B590">
        <f>B589+A590</f>
        <v/>
      </c>
      <c r="C590">
        <f>IF(587&gt;$B$4503,"",MATCH(587-0.5,$B$3:$B$4503,1))</f>
        <v/>
      </c>
      <c r="D590">
        <f>"DEA registration ("&amp;IF(LEN(INDEX('Providers'!$E$4:$E$503,87))=0,"",INDEX('Providers'!$E$4:$E$503,87))&amp;") – "&amp;IF(LEN(INDEX('Providers'!$A$4:$A$503,87))=0,"",INDEX('Providers'!$A$4:$A$503,87))</f>
        <v/>
      </c>
      <c r="E590">
        <f>IF(ISNUMBER(INDEX('Providers'!$I$4:$I$503,87)),TEXT(INDEX('Providers'!$I$4:$I$503,87),"yyyy-mm-dd"),"")</f>
        <v/>
      </c>
      <c r="F590">
        <f>"Registration"</f>
        <v/>
      </c>
      <c r="G590">
        <f>""</f>
        <v/>
      </c>
      <c r="H590">
        <f>"High"</f>
        <v/>
      </c>
      <c r="I590">
        <f>TRIM(IF(LEN(IF(LEN(INDEX('Providers'!$H$4:$H$503,87))=0,"",INDEX('Providers'!$H$4:$H$503,87)))=0,"","DEA no.: "&amp;IF(LEN(INDEX('Providers'!$H$4:$H$503,87))=0,"",INDEX('Providers'!$H$4:$H$503,87))&amp;". ")&amp;IF(LEN(IF(LEN(INDEX('Providers'!$C$4:$C$503,87))=0,"",INDEX('Providers'!$C$4:$C$503,87)))=0,"","NPI: "&amp;IF(LEN(INDEX('Providers'!$C$4:$C$503,87))=0,"",INDEX('Providers'!$C$4:$C$503,87))&amp;". "))</f>
        <v/>
      </c>
      <c r="J590">
        <f>IF(LEN(INDEX('Providers'!$AJ$4:$AJ$503,87))=0,"",INDEX('Providers'!$AJ$4:$AJ$503,87))</f>
        <v/>
      </c>
      <c r="K590">
        <f>IF(LEN(INDEX('Providers'!$AI$4:$AI$503,87))=0,"",INDEX('Providers'!$AI$4:$AI$503,87))</f>
        <v/>
      </c>
    </row>
    <row r="591">
      <c r="A591">
        <f>IF(AND(LEN('Providers'!A91)&gt;0,ISNUMBER('Providers'!I91)),1,0)</f>
        <v/>
      </c>
      <c r="B591">
        <f>B590+A591</f>
        <v/>
      </c>
      <c r="C591">
        <f>IF(588&gt;$B$4503,"",MATCH(588-0.5,$B$3:$B$4503,1))</f>
        <v/>
      </c>
      <c r="D591">
        <f>"DEA registration ("&amp;IF(LEN(INDEX('Providers'!$E$4:$E$503,88))=0,"",INDEX('Providers'!$E$4:$E$503,88))&amp;") – "&amp;IF(LEN(INDEX('Providers'!$A$4:$A$503,88))=0,"",INDEX('Providers'!$A$4:$A$503,88))</f>
        <v/>
      </c>
      <c r="E591">
        <f>IF(ISNUMBER(INDEX('Providers'!$I$4:$I$503,88)),TEXT(INDEX('Providers'!$I$4:$I$503,88),"yyyy-mm-dd"),"")</f>
        <v/>
      </c>
      <c r="F591">
        <f>"Registration"</f>
        <v/>
      </c>
      <c r="G591">
        <f>""</f>
        <v/>
      </c>
      <c r="H591">
        <f>"High"</f>
        <v/>
      </c>
      <c r="I591">
        <f>TRIM(IF(LEN(IF(LEN(INDEX('Providers'!$H$4:$H$503,88))=0,"",INDEX('Providers'!$H$4:$H$503,88)))=0,"","DEA no.: "&amp;IF(LEN(INDEX('Providers'!$H$4:$H$503,88))=0,"",INDEX('Providers'!$H$4:$H$503,88))&amp;". ")&amp;IF(LEN(IF(LEN(INDEX('Providers'!$C$4:$C$503,88))=0,"",INDEX('Providers'!$C$4:$C$503,88)))=0,"","NPI: "&amp;IF(LEN(INDEX('Providers'!$C$4:$C$503,88))=0,"",INDEX('Providers'!$C$4:$C$503,88))&amp;". "))</f>
        <v/>
      </c>
      <c r="J591">
        <f>IF(LEN(INDEX('Providers'!$AJ$4:$AJ$503,88))=0,"",INDEX('Providers'!$AJ$4:$AJ$503,88))</f>
        <v/>
      </c>
      <c r="K591">
        <f>IF(LEN(INDEX('Providers'!$AI$4:$AI$503,88))=0,"",INDEX('Providers'!$AI$4:$AI$503,88))</f>
        <v/>
      </c>
    </row>
    <row r="592">
      <c r="A592">
        <f>IF(AND(LEN('Providers'!A92)&gt;0,ISNUMBER('Providers'!I92)),1,0)</f>
        <v/>
      </c>
      <c r="B592">
        <f>B591+A592</f>
        <v/>
      </c>
      <c r="C592">
        <f>IF(589&gt;$B$4503,"",MATCH(589-0.5,$B$3:$B$4503,1))</f>
        <v/>
      </c>
      <c r="D592">
        <f>"DEA registration ("&amp;IF(LEN(INDEX('Providers'!$E$4:$E$503,89))=0,"",INDEX('Providers'!$E$4:$E$503,89))&amp;") – "&amp;IF(LEN(INDEX('Providers'!$A$4:$A$503,89))=0,"",INDEX('Providers'!$A$4:$A$503,89))</f>
        <v/>
      </c>
      <c r="E592">
        <f>IF(ISNUMBER(INDEX('Providers'!$I$4:$I$503,89)),TEXT(INDEX('Providers'!$I$4:$I$503,89),"yyyy-mm-dd"),"")</f>
        <v/>
      </c>
      <c r="F592">
        <f>"Registration"</f>
        <v/>
      </c>
      <c r="G592">
        <f>""</f>
        <v/>
      </c>
      <c r="H592">
        <f>"High"</f>
        <v/>
      </c>
      <c r="I592">
        <f>TRIM(IF(LEN(IF(LEN(INDEX('Providers'!$H$4:$H$503,89))=0,"",INDEX('Providers'!$H$4:$H$503,89)))=0,"","DEA no.: "&amp;IF(LEN(INDEX('Providers'!$H$4:$H$503,89))=0,"",INDEX('Providers'!$H$4:$H$503,89))&amp;". ")&amp;IF(LEN(IF(LEN(INDEX('Providers'!$C$4:$C$503,89))=0,"",INDEX('Providers'!$C$4:$C$503,89)))=0,"","NPI: "&amp;IF(LEN(INDEX('Providers'!$C$4:$C$503,89))=0,"",INDEX('Providers'!$C$4:$C$503,89))&amp;". "))</f>
        <v/>
      </c>
      <c r="J592">
        <f>IF(LEN(INDEX('Providers'!$AJ$4:$AJ$503,89))=0,"",INDEX('Providers'!$AJ$4:$AJ$503,89))</f>
        <v/>
      </c>
      <c r="K592">
        <f>IF(LEN(INDEX('Providers'!$AI$4:$AI$503,89))=0,"",INDEX('Providers'!$AI$4:$AI$503,89))</f>
        <v/>
      </c>
    </row>
    <row r="593">
      <c r="A593">
        <f>IF(AND(LEN('Providers'!A93)&gt;0,ISNUMBER('Providers'!I93)),1,0)</f>
        <v/>
      </c>
      <c r="B593">
        <f>B592+A593</f>
        <v/>
      </c>
      <c r="C593">
        <f>IF(590&gt;$B$4503,"",MATCH(590-0.5,$B$3:$B$4503,1))</f>
        <v/>
      </c>
      <c r="D593">
        <f>"DEA registration ("&amp;IF(LEN(INDEX('Providers'!$E$4:$E$503,90))=0,"",INDEX('Providers'!$E$4:$E$503,90))&amp;") – "&amp;IF(LEN(INDEX('Providers'!$A$4:$A$503,90))=0,"",INDEX('Providers'!$A$4:$A$503,90))</f>
        <v/>
      </c>
      <c r="E593">
        <f>IF(ISNUMBER(INDEX('Providers'!$I$4:$I$503,90)),TEXT(INDEX('Providers'!$I$4:$I$503,90),"yyyy-mm-dd"),"")</f>
        <v/>
      </c>
      <c r="F593">
        <f>"Registration"</f>
        <v/>
      </c>
      <c r="G593">
        <f>""</f>
        <v/>
      </c>
      <c r="H593">
        <f>"High"</f>
        <v/>
      </c>
      <c r="I593">
        <f>TRIM(IF(LEN(IF(LEN(INDEX('Providers'!$H$4:$H$503,90))=0,"",INDEX('Providers'!$H$4:$H$503,90)))=0,"","DEA no.: "&amp;IF(LEN(INDEX('Providers'!$H$4:$H$503,90))=0,"",INDEX('Providers'!$H$4:$H$503,90))&amp;". ")&amp;IF(LEN(IF(LEN(INDEX('Providers'!$C$4:$C$503,90))=0,"",INDEX('Providers'!$C$4:$C$503,90)))=0,"","NPI: "&amp;IF(LEN(INDEX('Providers'!$C$4:$C$503,90))=0,"",INDEX('Providers'!$C$4:$C$503,90))&amp;". "))</f>
        <v/>
      </c>
      <c r="J593">
        <f>IF(LEN(INDEX('Providers'!$AJ$4:$AJ$503,90))=0,"",INDEX('Providers'!$AJ$4:$AJ$503,90))</f>
        <v/>
      </c>
      <c r="K593">
        <f>IF(LEN(INDEX('Providers'!$AI$4:$AI$503,90))=0,"",INDEX('Providers'!$AI$4:$AI$503,90))</f>
        <v/>
      </c>
    </row>
    <row r="594">
      <c r="A594">
        <f>IF(AND(LEN('Providers'!A94)&gt;0,ISNUMBER('Providers'!I94)),1,0)</f>
        <v/>
      </c>
      <c r="B594">
        <f>B593+A594</f>
        <v/>
      </c>
      <c r="C594">
        <f>IF(591&gt;$B$4503,"",MATCH(591-0.5,$B$3:$B$4503,1))</f>
        <v/>
      </c>
      <c r="D594">
        <f>"DEA registration ("&amp;IF(LEN(INDEX('Providers'!$E$4:$E$503,91))=0,"",INDEX('Providers'!$E$4:$E$503,91))&amp;") – "&amp;IF(LEN(INDEX('Providers'!$A$4:$A$503,91))=0,"",INDEX('Providers'!$A$4:$A$503,91))</f>
        <v/>
      </c>
      <c r="E594">
        <f>IF(ISNUMBER(INDEX('Providers'!$I$4:$I$503,91)),TEXT(INDEX('Providers'!$I$4:$I$503,91),"yyyy-mm-dd"),"")</f>
        <v/>
      </c>
      <c r="F594">
        <f>"Registration"</f>
        <v/>
      </c>
      <c r="G594">
        <f>""</f>
        <v/>
      </c>
      <c r="H594">
        <f>"High"</f>
        <v/>
      </c>
      <c r="I594">
        <f>TRIM(IF(LEN(IF(LEN(INDEX('Providers'!$H$4:$H$503,91))=0,"",INDEX('Providers'!$H$4:$H$503,91)))=0,"","DEA no.: "&amp;IF(LEN(INDEX('Providers'!$H$4:$H$503,91))=0,"",INDEX('Providers'!$H$4:$H$503,91))&amp;". ")&amp;IF(LEN(IF(LEN(INDEX('Providers'!$C$4:$C$503,91))=0,"",INDEX('Providers'!$C$4:$C$503,91)))=0,"","NPI: "&amp;IF(LEN(INDEX('Providers'!$C$4:$C$503,91))=0,"",INDEX('Providers'!$C$4:$C$503,91))&amp;". "))</f>
        <v/>
      </c>
      <c r="J594">
        <f>IF(LEN(INDEX('Providers'!$AJ$4:$AJ$503,91))=0,"",INDEX('Providers'!$AJ$4:$AJ$503,91))</f>
        <v/>
      </c>
      <c r="K594">
        <f>IF(LEN(INDEX('Providers'!$AI$4:$AI$503,91))=0,"",INDEX('Providers'!$AI$4:$AI$503,91))</f>
        <v/>
      </c>
    </row>
    <row r="595">
      <c r="A595">
        <f>IF(AND(LEN('Providers'!A95)&gt;0,ISNUMBER('Providers'!I95)),1,0)</f>
        <v/>
      </c>
      <c r="B595">
        <f>B594+A595</f>
        <v/>
      </c>
      <c r="C595">
        <f>IF(592&gt;$B$4503,"",MATCH(592-0.5,$B$3:$B$4503,1))</f>
        <v/>
      </c>
      <c r="D595">
        <f>"DEA registration ("&amp;IF(LEN(INDEX('Providers'!$E$4:$E$503,92))=0,"",INDEX('Providers'!$E$4:$E$503,92))&amp;") – "&amp;IF(LEN(INDEX('Providers'!$A$4:$A$503,92))=0,"",INDEX('Providers'!$A$4:$A$503,92))</f>
        <v/>
      </c>
      <c r="E595">
        <f>IF(ISNUMBER(INDEX('Providers'!$I$4:$I$503,92)),TEXT(INDEX('Providers'!$I$4:$I$503,92),"yyyy-mm-dd"),"")</f>
        <v/>
      </c>
      <c r="F595">
        <f>"Registration"</f>
        <v/>
      </c>
      <c r="G595">
        <f>""</f>
        <v/>
      </c>
      <c r="H595">
        <f>"High"</f>
        <v/>
      </c>
      <c r="I595">
        <f>TRIM(IF(LEN(IF(LEN(INDEX('Providers'!$H$4:$H$503,92))=0,"",INDEX('Providers'!$H$4:$H$503,92)))=0,"","DEA no.: "&amp;IF(LEN(INDEX('Providers'!$H$4:$H$503,92))=0,"",INDEX('Providers'!$H$4:$H$503,92))&amp;". ")&amp;IF(LEN(IF(LEN(INDEX('Providers'!$C$4:$C$503,92))=0,"",INDEX('Providers'!$C$4:$C$503,92)))=0,"","NPI: "&amp;IF(LEN(INDEX('Providers'!$C$4:$C$503,92))=0,"",INDEX('Providers'!$C$4:$C$503,92))&amp;". "))</f>
        <v/>
      </c>
      <c r="J595">
        <f>IF(LEN(INDEX('Providers'!$AJ$4:$AJ$503,92))=0,"",INDEX('Providers'!$AJ$4:$AJ$503,92))</f>
        <v/>
      </c>
      <c r="K595">
        <f>IF(LEN(INDEX('Providers'!$AI$4:$AI$503,92))=0,"",INDEX('Providers'!$AI$4:$AI$503,92))</f>
        <v/>
      </c>
    </row>
    <row r="596">
      <c r="A596">
        <f>IF(AND(LEN('Providers'!A96)&gt;0,ISNUMBER('Providers'!I96)),1,0)</f>
        <v/>
      </c>
      <c r="B596">
        <f>B595+A596</f>
        <v/>
      </c>
      <c r="C596">
        <f>IF(593&gt;$B$4503,"",MATCH(593-0.5,$B$3:$B$4503,1))</f>
        <v/>
      </c>
      <c r="D596">
        <f>"DEA registration ("&amp;IF(LEN(INDEX('Providers'!$E$4:$E$503,93))=0,"",INDEX('Providers'!$E$4:$E$503,93))&amp;") – "&amp;IF(LEN(INDEX('Providers'!$A$4:$A$503,93))=0,"",INDEX('Providers'!$A$4:$A$503,93))</f>
        <v/>
      </c>
      <c r="E596">
        <f>IF(ISNUMBER(INDEX('Providers'!$I$4:$I$503,93)),TEXT(INDEX('Providers'!$I$4:$I$503,93),"yyyy-mm-dd"),"")</f>
        <v/>
      </c>
      <c r="F596">
        <f>"Registration"</f>
        <v/>
      </c>
      <c r="G596">
        <f>""</f>
        <v/>
      </c>
      <c r="H596">
        <f>"High"</f>
        <v/>
      </c>
      <c r="I596">
        <f>TRIM(IF(LEN(IF(LEN(INDEX('Providers'!$H$4:$H$503,93))=0,"",INDEX('Providers'!$H$4:$H$503,93)))=0,"","DEA no.: "&amp;IF(LEN(INDEX('Providers'!$H$4:$H$503,93))=0,"",INDEX('Providers'!$H$4:$H$503,93))&amp;". ")&amp;IF(LEN(IF(LEN(INDEX('Providers'!$C$4:$C$503,93))=0,"",INDEX('Providers'!$C$4:$C$503,93)))=0,"","NPI: "&amp;IF(LEN(INDEX('Providers'!$C$4:$C$503,93))=0,"",INDEX('Providers'!$C$4:$C$503,93))&amp;". "))</f>
        <v/>
      </c>
      <c r="J596">
        <f>IF(LEN(INDEX('Providers'!$AJ$4:$AJ$503,93))=0,"",INDEX('Providers'!$AJ$4:$AJ$503,93))</f>
        <v/>
      </c>
      <c r="K596">
        <f>IF(LEN(INDEX('Providers'!$AI$4:$AI$503,93))=0,"",INDEX('Providers'!$AI$4:$AI$503,93))</f>
        <v/>
      </c>
    </row>
    <row r="597">
      <c r="A597">
        <f>IF(AND(LEN('Providers'!A97)&gt;0,ISNUMBER('Providers'!I97)),1,0)</f>
        <v/>
      </c>
      <c r="B597">
        <f>B596+A597</f>
        <v/>
      </c>
      <c r="C597">
        <f>IF(594&gt;$B$4503,"",MATCH(594-0.5,$B$3:$B$4503,1))</f>
        <v/>
      </c>
      <c r="D597">
        <f>"DEA registration ("&amp;IF(LEN(INDEX('Providers'!$E$4:$E$503,94))=0,"",INDEX('Providers'!$E$4:$E$503,94))&amp;") – "&amp;IF(LEN(INDEX('Providers'!$A$4:$A$503,94))=0,"",INDEX('Providers'!$A$4:$A$503,94))</f>
        <v/>
      </c>
      <c r="E597">
        <f>IF(ISNUMBER(INDEX('Providers'!$I$4:$I$503,94)),TEXT(INDEX('Providers'!$I$4:$I$503,94),"yyyy-mm-dd"),"")</f>
        <v/>
      </c>
      <c r="F597">
        <f>"Registration"</f>
        <v/>
      </c>
      <c r="G597">
        <f>""</f>
        <v/>
      </c>
      <c r="H597">
        <f>"High"</f>
        <v/>
      </c>
      <c r="I597">
        <f>TRIM(IF(LEN(IF(LEN(INDEX('Providers'!$H$4:$H$503,94))=0,"",INDEX('Providers'!$H$4:$H$503,94)))=0,"","DEA no.: "&amp;IF(LEN(INDEX('Providers'!$H$4:$H$503,94))=0,"",INDEX('Providers'!$H$4:$H$503,94))&amp;". ")&amp;IF(LEN(IF(LEN(INDEX('Providers'!$C$4:$C$503,94))=0,"",INDEX('Providers'!$C$4:$C$503,94)))=0,"","NPI: "&amp;IF(LEN(INDEX('Providers'!$C$4:$C$503,94))=0,"",INDEX('Providers'!$C$4:$C$503,94))&amp;". "))</f>
        <v/>
      </c>
      <c r="J597">
        <f>IF(LEN(INDEX('Providers'!$AJ$4:$AJ$503,94))=0,"",INDEX('Providers'!$AJ$4:$AJ$503,94))</f>
        <v/>
      </c>
      <c r="K597">
        <f>IF(LEN(INDEX('Providers'!$AI$4:$AI$503,94))=0,"",INDEX('Providers'!$AI$4:$AI$503,94))</f>
        <v/>
      </c>
    </row>
    <row r="598">
      <c r="A598">
        <f>IF(AND(LEN('Providers'!A98)&gt;0,ISNUMBER('Providers'!I98)),1,0)</f>
        <v/>
      </c>
      <c r="B598">
        <f>B597+A598</f>
        <v/>
      </c>
      <c r="C598">
        <f>IF(595&gt;$B$4503,"",MATCH(595-0.5,$B$3:$B$4503,1))</f>
        <v/>
      </c>
      <c r="D598">
        <f>"DEA registration ("&amp;IF(LEN(INDEX('Providers'!$E$4:$E$503,95))=0,"",INDEX('Providers'!$E$4:$E$503,95))&amp;") – "&amp;IF(LEN(INDEX('Providers'!$A$4:$A$503,95))=0,"",INDEX('Providers'!$A$4:$A$503,95))</f>
        <v/>
      </c>
      <c r="E598">
        <f>IF(ISNUMBER(INDEX('Providers'!$I$4:$I$503,95)),TEXT(INDEX('Providers'!$I$4:$I$503,95),"yyyy-mm-dd"),"")</f>
        <v/>
      </c>
      <c r="F598">
        <f>"Registration"</f>
        <v/>
      </c>
      <c r="G598">
        <f>""</f>
        <v/>
      </c>
      <c r="H598">
        <f>"High"</f>
        <v/>
      </c>
      <c r="I598">
        <f>TRIM(IF(LEN(IF(LEN(INDEX('Providers'!$H$4:$H$503,95))=0,"",INDEX('Providers'!$H$4:$H$503,95)))=0,"","DEA no.: "&amp;IF(LEN(INDEX('Providers'!$H$4:$H$503,95))=0,"",INDEX('Providers'!$H$4:$H$503,95))&amp;". ")&amp;IF(LEN(IF(LEN(INDEX('Providers'!$C$4:$C$503,95))=0,"",INDEX('Providers'!$C$4:$C$503,95)))=0,"","NPI: "&amp;IF(LEN(INDEX('Providers'!$C$4:$C$503,95))=0,"",INDEX('Providers'!$C$4:$C$503,95))&amp;". "))</f>
        <v/>
      </c>
      <c r="J598">
        <f>IF(LEN(INDEX('Providers'!$AJ$4:$AJ$503,95))=0,"",INDEX('Providers'!$AJ$4:$AJ$503,95))</f>
        <v/>
      </c>
      <c r="K598">
        <f>IF(LEN(INDEX('Providers'!$AI$4:$AI$503,95))=0,"",INDEX('Providers'!$AI$4:$AI$503,95))</f>
        <v/>
      </c>
    </row>
    <row r="599">
      <c r="A599">
        <f>IF(AND(LEN('Providers'!A99)&gt;0,ISNUMBER('Providers'!I99)),1,0)</f>
        <v/>
      </c>
      <c r="B599">
        <f>B598+A599</f>
        <v/>
      </c>
      <c r="C599">
        <f>IF(596&gt;$B$4503,"",MATCH(596-0.5,$B$3:$B$4503,1))</f>
        <v/>
      </c>
      <c r="D599">
        <f>"DEA registration ("&amp;IF(LEN(INDEX('Providers'!$E$4:$E$503,96))=0,"",INDEX('Providers'!$E$4:$E$503,96))&amp;") – "&amp;IF(LEN(INDEX('Providers'!$A$4:$A$503,96))=0,"",INDEX('Providers'!$A$4:$A$503,96))</f>
        <v/>
      </c>
      <c r="E599">
        <f>IF(ISNUMBER(INDEX('Providers'!$I$4:$I$503,96)),TEXT(INDEX('Providers'!$I$4:$I$503,96),"yyyy-mm-dd"),"")</f>
        <v/>
      </c>
      <c r="F599">
        <f>"Registration"</f>
        <v/>
      </c>
      <c r="G599">
        <f>""</f>
        <v/>
      </c>
      <c r="H599">
        <f>"High"</f>
        <v/>
      </c>
      <c r="I599">
        <f>TRIM(IF(LEN(IF(LEN(INDEX('Providers'!$H$4:$H$503,96))=0,"",INDEX('Providers'!$H$4:$H$503,96)))=0,"","DEA no.: "&amp;IF(LEN(INDEX('Providers'!$H$4:$H$503,96))=0,"",INDEX('Providers'!$H$4:$H$503,96))&amp;". ")&amp;IF(LEN(IF(LEN(INDEX('Providers'!$C$4:$C$503,96))=0,"",INDEX('Providers'!$C$4:$C$503,96)))=0,"","NPI: "&amp;IF(LEN(INDEX('Providers'!$C$4:$C$503,96))=0,"",INDEX('Providers'!$C$4:$C$503,96))&amp;". "))</f>
        <v/>
      </c>
      <c r="J599">
        <f>IF(LEN(INDEX('Providers'!$AJ$4:$AJ$503,96))=0,"",INDEX('Providers'!$AJ$4:$AJ$503,96))</f>
        <v/>
      </c>
      <c r="K599">
        <f>IF(LEN(INDEX('Providers'!$AI$4:$AI$503,96))=0,"",INDEX('Providers'!$AI$4:$AI$503,96))</f>
        <v/>
      </c>
    </row>
    <row r="600">
      <c r="A600">
        <f>IF(AND(LEN('Providers'!A100)&gt;0,ISNUMBER('Providers'!I100)),1,0)</f>
        <v/>
      </c>
      <c r="B600">
        <f>B599+A600</f>
        <v/>
      </c>
      <c r="C600">
        <f>IF(597&gt;$B$4503,"",MATCH(597-0.5,$B$3:$B$4503,1))</f>
        <v/>
      </c>
      <c r="D600">
        <f>"DEA registration ("&amp;IF(LEN(INDEX('Providers'!$E$4:$E$503,97))=0,"",INDEX('Providers'!$E$4:$E$503,97))&amp;") – "&amp;IF(LEN(INDEX('Providers'!$A$4:$A$503,97))=0,"",INDEX('Providers'!$A$4:$A$503,97))</f>
        <v/>
      </c>
      <c r="E600">
        <f>IF(ISNUMBER(INDEX('Providers'!$I$4:$I$503,97)),TEXT(INDEX('Providers'!$I$4:$I$503,97),"yyyy-mm-dd"),"")</f>
        <v/>
      </c>
      <c r="F600">
        <f>"Registration"</f>
        <v/>
      </c>
      <c r="G600">
        <f>""</f>
        <v/>
      </c>
      <c r="H600">
        <f>"High"</f>
        <v/>
      </c>
      <c r="I600">
        <f>TRIM(IF(LEN(IF(LEN(INDEX('Providers'!$H$4:$H$503,97))=0,"",INDEX('Providers'!$H$4:$H$503,97)))=0,"","DEA no.: "&amp;IF(LEN(INDEX('Providers'!$H$4:$H$503,97))=0,"",INDEX('Providers'!$H$4:$H$503,97))&amp;". ")&amp;IF(LEN(IF(LEN(INDEX('Providers'!$C$4:$C$503,97))=0,"",INDEX('Providers'!$C$4:$C$503,97)))=0,"","NPI: "&amp;IF(LEN(INDEX('Providers'!$C$4:$C$503,97))=0,"",INDEX('Providers'!$C$4:$C$503,97))&amp;". "))</f>
        <v/>
      </c>
      <c r="J600">
        <f>IF(LEN(INDEX('Providers'!$AJ$4:$AJ$503,97))=0,"",INDEX('Providers'!$AJ$4:$AJ$503,97))</f>
        <v/>
      </c>
      <c r="K600">
        <f>IF(LEN(INDEX('Providers'!$AI$4:$AI$503,97))=0,"",INDEX('Providers'!$AI$4:$AI$503,97))</f>
        <v/>
      </c>
    </row>
    <row r="601">
      <c r="A601">
        <f>IF(AND(LEN('Providers'!A101)&gt;0,ISNUMBER('Providers'!I101)),1,0)</f>
        <v/>
      </c>
      <c r="B601">
        <f>B600+A601</f>
        <v/>
      </c>
      <c r="C601">
        <f>IF(598&gt;$B$4503,"",MATCH(598-0.5,$B$3:$B$4503,1))</f>
        <v/>
      </c>
      <c r="D601">
        <f>"DEA registration ("&amp;IF(LEN(INDEX('Providers'!$E$4:$E$503,98))=0,"",INDEX('Providers'!$E$4:$E$503,98))&amp;") – "&amp;IF(LEN(INDEX('Providers'!$A$4:$A$503,98))=0,"",INDEX('Providers'!$A$4:$A$503,98))</f>
        <v/>
      </c>
      <c r="E601">
        <f>IF(ISNUMBER(INDEX('Providers'!$I$4:$I$503,98)),TEXT(INDEX('Providers'!$I$4:$I$503,98),"yyyy-mm-dd"),"")</f>
        <v/>
      </c>
      <c r="F601">
        <f>"Registration"</f>
        <v/>
      </c>
      <c r="G601">
        <f>""</f>
        <v/>
      </c>
      <c r="H601">
        <f>"High"</f>
        <v/>
      </c>
      <c r="I601">
        <f>TRIM(IF(LEN(IF(LEN(INDEX('Providers'!$H$4:$H$503,98))=0,"",INDEX('Providers'!$H$4:$H$503,98)))=0,"","DEA no.: "&amp;IF(LEN(INDEX('Providers'!$H$4:$H$503,98))=0,"",INDEX('Providers'!$H$4:$H$503,98))&amp;". ")&amp;IF(LEN(IF(LEN(INDEX('Providers'!$C$4:$C$503,98))=0,"",INDEX('Providers'!$C$4:$C$503,98)))=0,"","NPI: "&amp;IF(LEN(INDEX('Providers'!$C$4:$C$503,98))=0,"",INDEX('Providers'!$C$4:$C$503,98))&amp;". "))</f>
        <v/>
      </c>
      <c r="J601">
        <f>IF(LEN(INDEX('Providers'!$AJ$4:$AJ$503,98))=0,"",INDEX('Providers'!$AJ$4:$AJ$503,98))</f>
        <v/>
      </c>
      <c r="K601">
        <f>IF(LEN(INDEX('Providers'!$AI$4:$AI$503,98))=0,"",INDEX('Providers'!$AI$4:$AI$503,98))</f>
        <v/>
      </c>
    </row>
    <row r="602">
      <c r="A602">
        <f>IF(AND(LEN('Providers'!A102)&gt;0,ISNUMBER('Providers'!I102)),1,0)</f>
        <v/>
      </c>
      <c r="B602">
        <f>B601+A602</f>
        <v/>
      </c>
      <c r="C602">
        <f>IF(599&gt;$B$4503,"",MATCH(599-0.5,$B$3:$B$4503,1))</f>
        <v/>
      </c>
      <c r="D602">
        <f>"DEA registration ("&amp;IF(LEN(INDEX('Providers'!$E$4:$E$503,99))=0,"",INDEX('Providers'!$E$4:$E$503,99))&amp;") – "&amp;IF(LEN(INDEX('Providers'!$A$4:$A$503,99))=0,"",INDEX('Providers'!$A$4:$A$503,99))</f>
        <v/>
      </c>
      <c r="E602">
        <f>IF(ISNUMBER(INDEX('Providers'!$I$4:$I$503,99)),TEXT(INDEX('Providers'!$I$4:$I$503,99),"yyyy-mm-dd"),"")</f>
        <v/>
      </c>
      <c r="F602">
        <f>"Registration"</f>
        <v/>
      </c>
      <c r="G602">
        <f>""</f>
        <v/>
      </c>
      <c r="H602">
        <f>"High"</f>
        <v/>
      </c>
      <c r="I602">
        <f>TRIM(IF(LEN(IF(LEN(INDEX('Providers'!$H$4:$H$503,99))=0,"",INDEX('Providers'!$H$4:$H$503,99)))=0,"","DEA no.: "&amp;IF(LEN(INDEX('Providers'!$H$4:$H$503,99))=0,"",INDEX('Providers'!$H$4:$H$503,99))&amp;". ")&amp;IF(LEN(IF(LEN(INDEX('Providers'!$C$4:$C$503,99))=0,"",INDEX('Providers'!$C$4:$C$503,99)))=0,"","NPI: "&amp;IF(LEN(INDEX('Providers'!$C$4:$C$503,99))=0,"",INDEX('Providers'!$C$4:$C$503,99))&amp;". "))</f>
        <v/>
      </c>
      <c r="J602">
        <f>IF(LEN(INDEX('Providers'!$AJ$4:$AJ$503,99))=0,"",INDEX('Providers'!$AJ$4:$AJ$503,99))</f>
        <v/>
      </c>
      <c r="K602">
        <f>IF(LEN(INDEX('Providers'!$AI$4:$AI$503,99))=0,"",INDEX('Providers'!$AI$4:$AI$503,99))</f>
        <v/>
      </c>
    </row>
    <row r="603">
      <c r="A603">
        <f>IF(AND(LEN('Providers'!A103)&gt;0,ISNUMBER('Providers'!I103)),1,0)</f>
        <v/>
      </c>
      <c r="B603">
        <f>B602+A603</f>
        <v/>
      </c>
      <c r="C603">
        <f>IF(600&gt;$B$4503,"",MATCH(600-0.5,$B$3:$B$4503,1))</f>
        <v/>
      </c>
      <c r="D603">
        <f>"DEA registration ("&amp;IF(LEN(INDEX('Providers'!$E$4:$E$503,100))=0,"",INDEX('Providers'!$E$4:$E$503,100))&amp;") – "&amp;IF(LEN(INDEX('Providers'!$A$4:$A$503,100))=0,"",INDEX('Providers'!$A$4:$A$503,100))</f>
        <v/>
      </c>
      <c r="E603">
        <f>IF(ISNUMBER(INDEX('Providers'!$I$4:$I$503,100)),TEXT(INDEX('Providers'!$I$4:$I$503,100),"yyyy-mm-dd"),"")</f>
        <v/>
      </c>
      <c r="F603">
        <f>"Registration"</f>
        <v/>
      </c>
      <c r="G603">
        <f>""</f>
        <v/>
      </c>
      <c r="H603">
        <f>"High"</f>
        <v/>
      </c>
      <c r="I603">
        <f>TRIM(IF(LEN(IF(LEN(INDEX('Providers'!$H$4:$H$503,100))=0,"",INDEX('Providers'!$H$4:$H$503,100)))=0,"","DEA no.: "&amp;IF(LEN(INDEX('Providers'!$H$4:$H$503,100))=0,"",INDEX('Providers'!$H$4:$H$503,100))&amp;". ")&amp;IF(LEN(IF(LEN(INDEX('Providers'!$C$4:$C$503,100))=0,"",INDEX('Providers'!$C$4:$C$503,100)))=0,"","NPI: "&amp;IF(LEN(INDEX('Providers'!$C$4:$C$503,100))=0,"",INDEX('Providers'!$C$4:$C$503,100))&amp;". "))</f>
        <v/>
      </c>
      <c r="J603">
        <f>IF(LEN(INDEX('Providers'!$AJ$4:$AJ$503,100))=0,"",INDEX('Providers'!$AJ$4:$AJ$503,100))</f>
        <v/>
      </c>
      <c r="K603">
        <f>IF(LEN(INDEX('Providers'!$AI$4:$AI$503,100))=0,"",INDEX('Providers'!$AI$4:$AI$503,100))</f>
        <v/>
      </c>
    </row>
    <row r="604">
      <c r="A604">
        <f>IF(AND(LEN('Providers'!A104)&gt;0,ISNUMBER('Providers'!I104)),1,0)</f>
        <v/>
      </c>
      <c r="B604">
        <f>B603+A604</f>
        <v/>
      </c>
      <c r="C604">
        <f>IF(601&gt;$B$4503,"",MATCH(601-0.5,$B$3:$B$4503,1))</f>
        <v/>
      </c>
      <c r="D604">
        <f>"DEA registration ("&amp;IF(LEN(INDEX('Providers'!$E$4:$E$503,101))=0,"",INDEX('Providers'!$E$4:$E$503,101))&amp;") – "&amp;IF(LEN(INDEX('Providers'!$A$4:$A$503,101))=0,"",INDEX('Providers'!$A$4:$A$503,101))</f>
        <v/>
      </c>
      <c r="E604">
        <f>IF(ISNUMBER(INDEX('Providers'!$I$4:$I$503,101)),TEXT(INDEX('Providers'!$I$4:$I$503,101),"yyyy-mm-dd"),"")</f>
        <v/>
      </c>
      <c r="F604">
        <f>"Registration"</f>
        <v/>
      </c>
      <c r="G604">
        <f>""</f>
        <v/>
      </c>
      <c r="H604">
        <f>"High"</f>
        <v/>
      </c>
      <c r="I604">
        <f>TRIM(IF(LEN(IF(LEN(INDEX('Providers'!$H$4:$H$503,101))=0,"",INDEX('Providers'!$H$4:$H$503,101)))=0,"","DEA no.: "&amp;IF(LEN(INDEX('Providers'!$H$4:$H$503,101))=0,"",INDEX('Providers'!$H$4:$H$503,101))&amp;". ")&amp;IF(LEN(IF(LEN(INDEX('Providers'!$C$4:$C$503,101))=0,"",INDEX('Providers'!$C$4:$C$503,101)))=0,"","NPI: "&amp;IF(LEN(INDEX('Providers'!$C$4:$C$503,101))=0,"",INDEX('Providers'!$C$4:$C$503,101))&amp;". "))</f>
        <v/>
      </c>
      <c r="J604">
        <f>IF(LEN(INDEX('Providers'!$AJ$4:$AJ$503,101))=0,"",INDEX('Providers'!$AJ$4:$AJ$503,101))</f>
        <v/>
      </c>
      <c r="K604">
        <f>IF(LEN(INDEX('Providers'!$AI$4:$AI$503,101))=0,"",INDEX('Providers'!$AI$4:$AI$503,101))</f>
        <v/>
      </c>
    </row>
    <row r="605">
      <c r="A605">
        <f>IF(AND(LEN('Providers'!A105)&gt;0,ISNUMBER('Providers'!I105)),1,0)</f>
        <v/>
      </c>
      <c r="B605">
        <f>B604+A605</f>
        <v/>
      </c>
      <c r="C605">
        <f>IF(602&gt;$B$4503,"",MATCH(602-0.5,$B$3:$B$4503,1))</f>
        <v/>
      </c>
      <c r="D605">
        <f>"DEA registration ("&amp;IF(LEN(INDEX('Providers'!$E$4:$E$503,102))=0,"",INDEX('Providers'!$E$4:$E$503,102))&amp;") – "&amp;IF(LEN(INDEX('Providers'!$A$4:$A$503,102))=0,"",INDEX('Providers'!$A$4:$A$503,102))</f>
        <v/>
      </c>
      <c r="E605">
        <f>IF(ISNUMBER(INDEX('Providers'!$I$4:$I$503,102)),TEXT(INDEX('Providers'!$I$4:$I$503,102),"yyyy-mm-dd"),"")</f>
        <v/>
      </c>
      <c r="F605">
        <f>"Registration"</f>
        <v/>
      </c>
      <c r="G605">
        <f>""</f>
        <v/>
      </c>
      <c r="H605">
        <f>"High"</f>
        <v/>
      </c>
      <c r="I605">
        <f>TRIM(IF(LEN(IF(LEN(INDEX('Providers'!$H$4:$H$503,102))=0,"",INDEX('Providers'!$H$4:$H$503,102)))=0,"","DEA no.: "&amp;IF(LEN(INDEX('Providers'!$H$4:$H$503,102))=0,"",INDEX('Providers'!$H$4:$H$503,102))&amp;". ")&amp;IF(LEN(IF(LEN(INDEX('Providers'!$C$4:$C$503,102))=0,"",INDEX('Providers'!$C$4:$C$503,102)))=0,"","NPI: "&amp;IF(LEN(INDEX('Providers'!$C$4:$C$503,102))=0,"",INDEX('Providers'!$C$4:$C$503,102))&amp;". "))</f>
        <v/>
      </c>
      <c r="J605">
        <f>IF(LEN(INDEX('Providers'!$AJ$4:$AJ$503,102))=0,"",INDEX('Providers'!$AJ$4:$AJ$503,102))</f>
        <v/>
      </c>
      <c r="K605">
        <f>IF(LEN(INDEX('Providers'!$AI$4:$AI$503,102))=0,"",INDEX('Providers'!$AI$4:$AI$503,102))</f>
        <v/>
      </c>
    </row>
    <row r="606">
      <c r="A606">
        <f>IF(AND(LEN('Providers'!A106)&gt;0,ISNUMBER('Providers'!I106)),1,0)</f>
        <v/>
      </c>
      <c r="B606">
        <f>B605+A606</f>
        <v/>
      </c>
      <c r="C606">
        <f>IF(603&gt;$B$4503,"",MATCH(603-0.5,$B$3:$B$4503,1))</f>
        <v/>
      </c>
      <c r="D606">
        <f>"DEA registration ("&amp;IF(LEN(INDEX('Providers'!$E$4:$E$503,103))=0,"",INDEX('Providers'!$E$4:$E$503,103))&amp;") – "&amp;IF(LEN(INDEX('Providers'!$A$4:$A$503,103))=0,"",INDEX('Providers'!$A$4:$A$503,103))</f>
        <v/>
      </c>
      <c r="E606">
        <f>IF(ISNUMBER(INDEX('Providers'!$I$4:$I$503,103)),TEXT(INDEX('Providers'!$I$4:$I$503,103),"yyyy-mm-dd"),"")</f>
        <v/>
      </c>
      <c r="F606">
        <f>"Registration"</f>
        <v/>
      </c>
      <c r="G606">
        <f>""</f>
        <v/>
      </c>
      <c r="H606">
        <f>"High"</f>
        <v/>
      </c>
      <c r="I606">
        <f>TRIM(IF(LEN(IF(LEN(INDEX('Providers'!$H$4:$H$503,103))=0,"",INDEX('Providers'!$H$4:$H$503,103)))=0,"","DEA no.: "&amp;IF(LEN(INDEX('Providers'!$H$4:$H$503,103))=0,"",INDEX('Providers'!$H$4:$H$503,103))&amp;". ")&amp;IF(LEN(IF(LEN(INDEX('Providers'!$C$4:$C$503,103))=0,"",INDEX('Providers'!$C$4:$C$503,103)))=0,"","NPI: "&amp;IF(LEN(INDEX('Providers'!$C$4:$C$503,103))=0,"",INDEX('Providers'!$C$4:$C$503,103))&amp;". "))</f>
        <v/>
      </c>
      <c r="J606">
        <f>IF(LEN(INDEX('Providers'!$AJ$4:$AJ$503,103))=0,"",INDEX('Providers'!$AJ$4:$AJ$503,103))</f>
        <v/>
      </c>
      <c r="K606">
        <f>IF(LEN(INDEX('Providers'!$AI$4:$AI$503,103))=0,"",INDEX('Providers'!$AI$4:$AI$503,103))</f>
        <v/>
      </c>
    </row>
    <row r="607">
      <c r="A607">
        <f>IF(AND(LEN('Providers'!A107)&gt;0,ISNUMBER('Providers'!I107)),1,0)</f>
        <v/>
      </c>
      <c r="B607">
        <f>B606+A607</f>
        <v/>
      </c>
      <c r="C607">
        <f>IF(604&gt;$B$4503,"",MATCH(604-0.5,$B$3:$B$4503,1))</f>
        <v/>
      </c>
      <c r="D607">
        <f>"DEA registration ("&amp;IF(LEN(INDEX('Providers'!$E$4:$E$503,104))=0,"",INDEX('Providers'!$E$4:$E$503,104))&amp;") – "&amp;IF(LEN(INDEX('Providers'!$A$4:$A$503,104))=0,"",INDEX('Providers'!$A$4:$A$503,104))</f>
        <v/>
      </c>
      <c r="E607">
        <f>IF(ISNUMBER(INDEX('Providers'!$I$4:$I$503,104)),TEXT(INDEX('Providers'!$I$4:$I$503,104),"yyyy-mm-dd"),"")</f>
        <v/>
      </c>
      <c r="F607">
        <f>"Registration"</f>
        <v/>
      </c>
      <c r="G607">
        <f>""</f>
        <v/>
      </c>
      <c r="H607">
        <f>"High"</f>
        <v/>
      </c>
      <c r="I607">
        <f>TRIM(IF(LEN(IF(LEN(INDEX('Providers'!$H$4:$H$503,104))=0,"",INDEX('Providers'!$H$4:$H$503,104)))=0,"","DEA no.: "&amp;IF(LEN(INDEX('Providers'!$H$4:$H$503,104))=0,"",INDEX('Providers'!$H$4:$H$503,104))&amp;". ")&amp;IF(LEN(IF(LEN(INDEX('Providers'!$C$4:$C$503,104))=0,"",INDEX('Providers'!$C$4:$C$503,104)))=0,"","NPI: "&amp;IF(LEN(INDEX('Providers'!$C$4:$C$503,104))=0,"",INDEX('Providers'!$C$4:$C$503,104))&amp;". "))</f>
        <v/>
      </c>
      <c r="J607">
        <f>IF(LEN(INDEX('Providers'!$AJ$4:$AJ$503,104))=0,"",INDEX('Providers'!$AJ$4:$AJ$503,104))</f>
        <v/>
      </c>
      <c r="K607">
        <f>IF(LEN(INDEX('Providers'!$AI$4:$AI$503,104))=0,"",INDEX('Providers'!$AI$4:$AI$503,104))</f>
        <v/>
      </c>
    </row>
    <row r="608">
      <c r="A608">
        <f>IF(AND(LEN('Providers'!A108)&gt;0,ISNUMBER('Providers'!I108)),1,0)</f>
        <v/>
      </c>
      <c r="B608">
        <f>B607+A608</f>
        <v/>
      </c>
      <c r="C608">
        <f>IF(605&gt;$B$4503,"",MATCH(605-0.5,$B$3:$B$4503,1))</f>
        <v/>
      </c>
      <c r="D608">
        <f>"DEA registration ("&amp;IF(LEN(INDEX('Providers'!$E$4:$E$503,105))=0,"",INDEX('Providers'!$E$4:$E$503,105))&amp;") – "&amp;IF(LEN(INDEX('Providers'!$A$4:$A$503,105))=0,"",INDEX('Providers'!$A$4:$A$503,105))</f>
        <v/>
      </c>
      <c r="E608">
        <f>IF(ISNUMBER(INDEX('Providers'!$I$4:$I$503,105)),TEXT(INDEX('Providers'!$I$4:$I$503,105),"yyyy-mm-dd"),"")</f>
        <v/>
      </c>
      <c r="F608">
        <f>"Registration"</f>
        <v/>
      </c>
      <c r="G608">
        <f>""</f>
        <v/>
      </c>
      <c r="H608">
        <f>"High"</f>
        <v/>
      </c>
      <c r="I608">
        <f>TRIM(IF(LEN(IF(LEN(INDEX('Providers'!$H$4:$H$503,105))=0,"",INDEX('Providers'!$H$4:$H$503,105)))=0,"","DEA no.: "&amp;IF(LEN(INDEX('Providers'!$H$4:$H$503,105))=0,"",INDEX('Providers'!$H$4:$H$503,105))&amp;". ")&amp;IF(LEN(IF(LEN(INDEX('Providers'!$C$4:$C$503,105))=0,"",INDEX('Providers'!$C$4:$C$503,105)))=0,"","NPI: "&amp;IF(LEN(INDEX('Providers'!$C$4:$C$503,105))=0,"",INDEX('Providers'!$C$4:$C$503,105))&amp;". "))</f>
        <v/>
      </c>
      <c r="J608">
        <f>IF(LEN(INDEX('Providers'!$AJ$4:$AJ$503,105))=0,"",INDEX('Providers'!$AJ$4:$AJ$503,105))</f>
        <v/>
      </c>
      <c r="K608">
        <f>IF(LEN(INDEX('Providers'!$AI$4:$AI$503,105))=0,"",INDEX('Providers'!$AI$4:$AI$503,105))</f>
        <v/>
      </c>
    </row>
    <row r="609">
      <c r="A609">
        <f>IF(AND(LEN('Providers'!A109)&gt;0,ISNUMBER('Providers'!I109)),1,0)</f>
        <v/>
      </c>
      <c r="B609">
        <f>B608+A609</f>
        <v/>
      </c>
      <c r="C609">
        <f>IF(606&gt;$B$4503,"",MATCH(606-0.5,$B$3:$B$4503,1))</f>
        <v/>
      </c>
      <c r="D609">
        <f>"DEA registration ("&amp;IF(LEN(INDEX('Providers'!$E$4:$E$503,106))=0,"",INDEX('Providers'!$E$4:$E$503,106))&amp;") – "&amp;IF(LEN(INDEX('Providers'!$A$4:$A$503,106))=0,"",INDEX('Providers'!$A$4:$A$503,106))</f>
        <v/>
      </c>
      <c r="E609">
        <f>IF(ISNUMBER(INDEX('Providers'!$I$4:$I$503,106)),TEXT(INDEX('Providers'!$I$4:$I$503,106),"yyyy-mm-dd"),"")</f>
        <v/>
      </c>
      <c r="F609">
        <f>"Registration"</f>
        <v/>
      </c>
      <c r="G609">
        <f>""</f>
        <v/>
      </c>
      <c r="H609">
        <f>"High"</f>
        <v/>
      </c>
      <c r="I609">
        <f>TRIM(IF(LEN(IF(LEN(INDEX('Providers'!$H$4:$H$503,106))=0,"",INDEX('Providers'!$H$4:$H$503,106)))=0,"","DEA no.: "&amp;IF(LEN(INDEX('Providers'!$H$4:$H$503,106))=0,"",INDEX('Providers'!$H$4:$H$503,106))&amp;". ")&amp;IF(LEN(IF(LEN(INDEX('Providers'!$C$4:$C$503,106))=0,"",INDEX('Providers'!$C$4:$C$503,106)))=0,"","NPI: "&amp;IF(LEN(INDEX('Providers'!$C$4:$C$503,106))=0,"",INDEX('Providers'!$C$4:$C$503,106))&amp;". "))</f>
        <v/>
      </c>
      <c r="J609">
        <f>IF(LEN(INDEX('Providers'!$AJ$4:$AJ$503,106))=0,"",INDEX('Providers'!$AJ$4:$AJ$503,106))</f>
        <v/>
      </c>
      <c r="K609">
        <f>IF(LEN(INDEX('Providers'!$AI$4:$AI$503,106))=0,"",INDEX('Providers'!$AI$4:$AI$503,106))</f>
        <v/>
      </c>
    </row>
    <row r="610">
      <c r="A610">
        <f>IF(AND(LEN('Providers'!A110)&gt;0,ISNUMBER('Providers'!I110)),1,0)</f>
        <v/>
      </c>
      <c r="B610">
        <f>B609+A610</f>
        <v/>
      </c>
      <c r="C610">
        <f>IF(607&gt;$B$4503,"",MATCH(607-0.5,$B$3:$B$4503,1))</f>
        <v/>
      </c>
      <c r="D610">
        <f>"DEA registration ("&amp;IF(LEN(INDEX('Providers'!$E$4:$E$503,107))=0,"",INDEX('Providers'!$E$4:$E$503,107))&amp;") – "&amp;IF(LEN(INDEX('Providers'!$A$4:$A$503,107))=0,"",INDEX('Providers'!$A$4:$A$503,107))</f>
        <v/>
      </c>
      <c r="E610">
        <f>IF(ISNUMBER(INDEX('Providers'!$I$4:$I$503,107)),TEXT(INDEX('Providers'!$I$4:$I$503,107),"yyyy-mm-dd"),"")</f>
        <v/>
      </c>
      <c r="F610">
        <f>"Registration"</f>
        <v/>
      </c>
      <c r="G610">
        <f>""</f>
        <v/>
      </c>
      <c r="H610">
        <f>"High"</f>
        <v/>
      </c>
      <c r="I610">
        <f>TRIM(IF(LEN(IF(LEN(INDEX('Providers'!$H$4:$H$503,107))=0,"",INDEX('Providers'!$H$4:$H$503,107)))=0,"","DEA no.: "&amp;IF(LEN(INDEX('Providers'!$H$4:$H$503,107))=0,"",INDEX('Providers'!$H$4:$H$503,107))&amp;". ")&amp;IF(LEN(IF(LEN(INDEX('Providers'!$C$4:$C$503,107))=0,"",INDEX('Providers'!$C$4:$C$503,107)))=0,"","NPI: "&amp;IF(LEN(INDEX('Providers'!$C$4:$C$503,107))=0,"",INDEX('Providers'!$C$4:$C$503,107))&amp;". "))</f>
        <v/>
      </c>
      <c r="J610">
        <f>IF(LEN(INDEX('Providers'!$AJ$4:$AJ$503,107))=0,"",INDEX('Providers'!$AJ$4:$AJ$503,107))</f>
        <v/>
      </c>
      <c r="K610">
        <f>IF(LEN(INDEX('Providers'!$AI$4:$AI$503,107))=0,"",INDEX('Providers'!$AI$4:$AI$503,107))</f>
        <v/>
      </c>
    </row>
    <row r="611">
      <c r="A611">
        <f>IF(AND(LEN('Providers'!A111)&gt;0,ISNUMBER('Providers'!I111)),1,0)</f>
        <v/>
      </c>
      <c r="B611">
        <f>B610+A611</f>
        <v/>
      </c>
      <c r="C611">
        <f>IF(608&gt;$B$4503,"",MATCH(608-0.5,$B$3:$B$4503,1))</f>
        <v/>
      </c>
      <c r="D611">
        <f>"DEA registration ("&amp;IF(LEN(INDEX('Providers'!$E$4:$E$503,108))=0,"",INDEX('Providers'!$E$4:$E$503,108))&amp;") – "&amp;IF(LEN(INDEX('Providers'!$A$4:$A$503,108))=0,"",INDEX('Providers'!$A$4:$A$503,108))</f>
        <v/>
      </c>
      <c r="E611">
        <f>IF(ISNUMBER(INDEX('Providers'!$I$4:$I$503,108)),TEXT(INDEX('Providers'!$I$4:$I$503,108),"yyyy-mm-dd"),"")</f>
        <v/>
      </c>
      <c r="F611">
        <f>"Registration"</f>
        <v/>
      </c>
      <c r="G611">
        <f>""</f>
        <v/>
      </c>
      <c r="H611">
        <f>"High"</f>
        <v/>
      </c>
      <c r="I611">
        <f>TRIM(IF(LEN(IF(LEN(INDEX('Providers'!$H$4:$H$503,108))=0,"",INDEX('Providers'!$H$4:$H$503,108)))=0,"","DEA no.: "&amp;IF(LEN(INDEX('Providers'!$H$4:$H$503,108))=0,"",INDEX('Providers'!$H$4:$H$503,108))&amp;". ")&amp;IF(LEN(IF(LEN(INDEX('Providers'!$C$4:$C$503,108))=0,"",INDEX('Providers'!$C$4:$C$503,108)))=0,"","NPI: "&amp;IF(LEN(INDEX('Providers'!$C$4:$C$503,108))=0,"",INDEX('Providers'!$C$4:$C$503,108))&amp;". "))</f>
        <v/>
      </c>
      <c r="J611">
        <f>IF(LEN(INDEX('Providers'!$AJ$4:$AJ$503,108))=0,"",INDEX('Providers'!$AJ$4:$AJ$503,108))</f>
        <v/>
      </c>
      <c r="K611">
        <f>IF(LEN(INDEX('Providers'!$AI$4:$AI$503,108))=0,"",INDEX('Providers'!$AI$4:$AI$503,108))</f>
        <v/>
      </c>
    </row>
    <row r="612">
      <c r="A612">
        <f>IF(AND(LEN('Providers'!A112)&gt;0,ISNUMBER('Providers'!I112)),1,0)</f>
        <v/>
      </c>
      <c r="B612">
        <f>B611+A612</f>
        <v/>
      </c>
      <c r="C612">
        <f>IF(609&gt;$B$4503,"",MATCH(609-0.5,$B$3:$B$4503,1))</f>
        <v/>
      </c>
      <c r="D612">
        <f>"DEA registration ("&amp;IF(LEN(INDEX('Providers'!$E$4:$E$503,109))=0,"",INDEX('Providers'!$E$4:$E$503,109))&amp;") – "&amp;IF(LEN(INDEX('Providers'!$A$4:$A$503,109))=0,"",INDEX('Providers'!$A$4:$A$503,109))</f>
        <v/>
      </c>
      <c r="E612">
        <f>IF(ISNUMBER(INDEX('Providers'!$I$4:$I$503,109)),TEXT(INDEX('Providers'!$I$4:$I$503,109),"yyyy-mm-dd"),"")</f>
        <v/>
      </c>
      <c r="F612">
        <f>"Registration"</f>
        <v/>
      </c>
      <c r="G612">
        <f>""</f>
        <v/>
      </c>
      <c r="H612">
        <f>"High"</f>
        <v/>
      </c>
      <c r="I612">
        <f>TRIM(IF(LEN(IF(LEN(INDEX('Providers'!$H$4:$H$503,109))=0,"",INDEX('Providers'!$H$4:$H$503,109)))=0,"","DEA no.: "&amp;IF(LEN(INDEX('Providers'!$H$4:$H$503,109))=0,"",INDEX('Providers'!$H$4:$H$503,109))&amp;". ")&amp;IF(LEN(IF(LEN(INDEX('Providers'!$C$4:$C$503,109))=0,"",INDEX('Providers'!$C$4:$C$503,109)))=0,"","NPI: "&amp;IF(LEN(INDEX('Providers'!$C$4:$C$503,109))=0,"",INDEX('Providers'!$C$4:$C$503,109))&amp;". "))</f>
        <v/>
      </c>
      <c r="J612">
        <f>IF(LEN(INDEX('Providers'!$AJ$4:$AJ$503,109))=0,"",INDEX('Providers'!$AJ$4:$AJ$503,109))</f>
        <v/>
      </c>
      <c r="K612">
        <f>IF(LEN(INDEX('Providers'!$AI$4:$AI$503,109))=0,"",INDEX('Providers'!$AI$4:$AI$503,109))</f>
        <v/>
      </c>
    </row>
    <row r="613">
      <c r="A613">
        <f>IF(AND(LEN('Providers'!A113)&gt;0,ISNUMBER('Providers'!I113)),1,0)</f>
        <v/>
      </c>
      <c r="B613">
        <f>B612+A613</f>
        <v/>
      </c>
      <c r="C613">
        <f>IF(610&gt;$B$4503,"",MATCH(610-0.5,$B$3:$B$4503,1))</f>
        <v/>
      </c>
      <c r="D613">
        <f>"DEA registration ("&amp;IF(LEN(INDEX('Providers'!$E$4:$E$503,110))=0,"",INDEX('Providers'!$E$4:$E$503,110))&amp;") – "&amp;IF(LEN(INDEX('Providers'!$A$4:$A$503,110))=0,"",INDEX('Providers'!$A$4:$A$503,110))</f>
        <v/>
      </c>
      <c r="E613">
        <f>IF(ISNUMBER(INDEX('Providers'!$I$4:$I$503,110)),TEXT(INDEX('Providers'!$I$4:$I$503,110),"yyyy-mm-dd"),"")</f>
        <v/>
      </c>
      <c r="F613">
        <f>"Registration"</f>
        <v/>
      </c>
      <c r="G613">
        <f>""</f>
        <v/>
      </c>
      <c r="H613">
        <f>"High"</f>
        <v/>
      </c>
      <c r="I613">
        <f>TRIM(IF(LEN(IF(LEN(INDEX('Providers'!$H$4:$H$503,110))=0,"",INDEX('Providers'!$H$4:$H$503,110)))=0,"","DEA no.: "&amp;IF(LEN(INDEX('Providers'!$H$4:$H$503,110))=0,"",INDEX('Providers'!$H$4:$H$503,110))&amp;". ")&amp;IF(LEN(IF(LEN(INDEX('Providers'!$C$4:$C$503,110))=0,"",INDEX('Providers'!$C$4:$C$503,110)))=0,"","NPI: "&amp;IF(LEN(INDEX('Providers'!$C$4:$C$503,110))=0,"",INDEX('Providers'!$C$4:$C$503,110))&amp;". "))</f>
        <v/>
      </c>
      <c r="J613">
        <f>IF(LEN(INDEX('Providers'!$AJ$4:$AJ$503,110))=0,"",INDEX('Providers'!$AJ$4:$AJ$503,110))</f>
        <v/>
      </c>
      <c r="K613">
        <f>IF(LEN(INDEX('Providers'!$AI$4:$AI$503,110))=0,"",INDEX('Providers'!$AI$4:$AI$503,110))</f>
        <v/>
      </c>
    </row>
    <row r="614">
      <c r="A614">
        <f>IF(AND(LEN('Providers'!A114)&gt;0,ISNUMBER('Providers'!I114)),1,0)</f>
        <v/>
      </c>
      <c r="B614">
        <f>B613+A614</f>
        <v/>
      </c>
      <c r="C614">
        <f>IF(611&gt;$B$4503,"",MATCH(611-0.5,$B$3:$B$4503,1))</f>
        <v/>
      </c>
      <c r="D614">
        <f>"DEA registration ("&amp;IF(LEN(INDEX('Providers'!$E$4:$E$503,111))=0,"",INDEX('Providers'!$E$4:$E$503,111))&amp;") – "&amp;IF(LEN(INDEX('Providers'!$A$4:$A$503,111))=0,"",INDEX('Providers'!$A$4:$A$503,111))</f>
        <v/>
      </c>
      <c r="E614">
        <f>IF(ISNUMBER(INDEX('Providers'!$I$4:$I$503,111)),TEXT(INDEX('Providers'!$I$4:$I$503,111),"yyyy-mm-dd"),"")</f>
        <v/>
      </c>
      <c r="F614">
        <f>"Registration"</f>
        <v/>
      </c>
      <c r="G614">
        <f>""</f>
        <v/>
      </c>
      <c r="H614">
        <f>"High"</f>
        <v/>
      </c>
      <c r="I614">
        <f>TRIM(IF(LEN(IF(LEN(INDEX('Providers'!$H$4:$H$503,111))=0,"",INDEX('Providers'!$H$4:$H$503,111)))=0,"","DEA no.: "&amp;IF(LEN(INDEX('Providers'!$H$4:$H$503,111))=0,"",INDEX('Providers'!$H$4:$H$503,111))&amp;". ")&amp;IF(LEN(IF(LEN(INDEX('Providers'!$C$4:$C$503,111))=0,"",INDEX('Providers'!$C$4:$C$503,111)))=0,"","NPI: "&amp;IF(LEN(INDEX('Providers'!$C$4:$C$503,111))=0,"",INDEX('Providers'!$C$4:$C$503,111))&amp;". "))</f>
        <v/>
      </c>
      <c r="J614">
        <f>IF(LEN(INDEX('Providers'!$AJ$4:$AJ$503,111))=0,"",INDEX('Providers'!$AJ$4:$AJ$503,111))</f>
        <v/>
      </c>
      <c r="K614">
        <f>IF(LEN(INDEX('Providers'!$AI$4:$AI$503,111))=0,"",INDEX('Providers'!$AI$4:$AI$503,111))</f>
        <v/>
      </c>
    </row>
    <row r="615">
      <c r="A615">
        <f>IF(AND(LEN('Providers'!A115)&gt;0,ISNUMBER('Providers'!I115)),1,0)</f>
        <v/>
      </c>
      <c r="B615">
        <f>B614+A615</f>
        <v/>
      </c>
      <c r="C615">
        <f>IF(612&gt;$B$4503,"",MATCH(612-0.5,$B$3:$B$4503,1))</f>
        <v/>
      </c>
      <c r="D615">
        <f>"DEA registration ("&amp;IF(LEN(INDEX('Providers'!$E$4:$E$503,112))=0,"",INDEX('Providers'!$E$4:$E$503,112))&amp;") – "&amp;IF(LEN(INDEX('Providers'!$A$4:$A$503,112))=0,"",INDEX('Providers'!$A$4:$A$503,112))</f>
        <v/>
      </c>
      <c r="E615">
        <f>IF(ISNUMBER(INDEX('Providers'!$I$4:$I$503,112)),TEXT(INDEX('Providers'!$I$4:$I$503,112),"yyyy-mm-dd"),"")</f>
        <v/>
      </c>
      <c r="F615">
        <f>"Registration"</f>
        <v/>
      </c>
      <c r="G615">
        <f>""</f>
        <v/>
      </c>
      <c r="H615">
        <f>"High"</f>
        <v/>
      </c>
      <c r="I615">
        <f>TRIM(IF(LEN(IF(LEN(INDEX('Providers'!$H$4:$H$503,112))=0,"",INDEX('Providers'!$H$4:$H$503,112)))=0,"","DEA no.: "&amp;IF(LEN(INDEX('Providers'!$H$4:$H$503,112))=0,"",INDEX('Providers'!$H$4:$H$503,112))&amp;". ")&amp;IF(LEN(IF(LEN(INDEX('Providers'!$C$4:$C$503,112))=0,"",INDEX('Providers'!$C$4:$C$503,112)))=0,"","NPI: "&amp;IF(LEN(INDEX('Providers'!$C$4:$C$503,112))=0,"",INDEX('Providers'!$C$4:$C$503,112))&amp;". "))</f>
        <v/>
      </c>
      <c r="J615">
        <f>IF(LEN(INDEX('Providers'!$AJ$4:$AJ$503,112))=0,"",INDEX('Providers'!$AJ$4:$AJ$503,112))</f>
        <v/>
      </c>
      <c r="K615">
        <f>IF(LEN(INDEX('Providers'!$AI$4:$AI$503,112))=0,"",INDEX('Providers'!$AI$4:$AI$503,112))</f>
        <v/>
      </c>
    </row>
    <row r="616">
      <c r="A616">
        <f>IF(AND(LEN('Providers'!A116)&gt;0,ISNUMBER('Providers'!I116)),1,0)</f>
        <v/>
      </c>
      <c r="B616">
        <f>B615+A616</f>
        <v/>
      </c>
      <c r="C616">
        <f>IF(613&gt;$B$4503,"",MATCH(613-0.5,$B$3:$B$4503,1))</f>
        <v/>
      </c>
      <c r="D616">
        <f>"DEA registration ("&amp;IF(LEN(INDEX('Providers'!$E$4:$E$503,113))=0,"",INDEX('Providers'!$E$4:$E$503,113))&amp;") – "&amp;IF(LEN(INDEX('Providers'!$A$4:$A$503,113))=0,"",INDEX('Providers'!$A$4:$A$503,113))</f>
        <v/>
      </c>
      <c r="E616">
        <f>IF(ISNUMBER(INDEX('Providers'!$I$4:$I$503,113)),TEXT(INDEX('Providers'!$I$4:$I$503,113),"yyyy-mm-dd"),"")</f>
        <v/>
      </c>
      <c r="F616">
        <f>"Registration"</f>
        <v/>
      </c>
      <c r="G616">
        <f>""</f>
        <v/>
      </c>
      <c r="H616">
        <f>"High"</f>
        <v/>
      </c>
      <c r="I616">
        <f>TRIM(IF(LEN(IF(LEN(INDEX('Providers'!$H$4:$H$503,113))=0,"",INDEX('Providers'!$H$4:$H$503,113)))=0,"","DEA no.: "&amp;IF(LEN(INDEX('Providers'!$H$4:$H$503,113))=0,"",INDEX('Providers'!$H$4:$H$503,113))&amp;". ")&amp;IF(LEN(IF(LEN(INDEX('Providers'!$C$4:$C$503,113))=0,"",INDEX('Providers'!$C$4:$C$503,113)))=0,"","NPI: "&amp;IF(LEN(INDEX('Providers'!$C$4:$C$503,113))=0,"",INDEX('Providers'!$C$4:$C$503,113))&amp;". "))</f>
        <v/>
      </c>
      <c r="J616">
        <f>IF(LEN(INDEX('Providers'!$AJ$4:$AJ$503,113))=0,"",INDEX('Providers'!$AJ$4:$AJ$503,113))</f>
        <v/>
      </c>
      <c r="K616">
        <f>IF(LEN(INDEX('Providers'!$AI$4:$AI$503,113))=0,"",INDEX('Providers'!$AI$4:$AI$503,113))</f>
        <v/>
      </c>
    </row>
    <row r="617">
      <c r="A617">
        <f>IF(AND(LEN('Providers'!A117)&gt;0,ISNUMBER('Providers'!I117)),1,0)</f>
        <v/>
      </c>
      <c r="B617">
        <f>B616+A617</f>
        <v/>
      </c>
      <c r="C617">
        <f>IF(614&gt;$B$4503,"",MATCH(614-0.5,$B$3:$B$4503,1))</f>
        <v/>
      </c>
      <c r="D617">
        <f>"DEA registration ("&amp;IF(LEN(INDEX('Providers'!$E$4:$E$503,114))=0,"",INDEX('Providers'!$E$4:$E$503,114))&amp;") – "&amp;IF(LEN(INDEX('Providers'!$A$4:$A$503,114))=0,"",INDEX('Providers'!$A$4:$A$503,114))</f>
        <v/>
      </c>
      <c r="E617">
        <f>IF(ISNUMBER(INDEX('Providers'!$I$4:$I$503,114)),TEXT(INDEX('Providers'!$I$4:$I$503,114),"yyyy-mm-dd"),"")</f>
        <v/>
      </c>
      <c r="F617">
        <f>"Registration"</f>
        <v/>
      </c>
      <c r="G617">
        <f>""</f>
        <v/>
      </c>
      <c r="H617">
        <f>"High"</f>
        <v/>
      </c>
      <c r="I617">
        <f>TRIM(IF(LEN(IF(LEN(INDEX('Providers'!$H$4:$H$503,114))=0,"",INDEX('Providers'!$H$4:$H$503,114)))=0,"","DEA no.: "&amp;IF(LEN(INDEX('Providers'!$H$4:$H$503,114))=0,"",INDEX('Providers'!$H$4:$H$503,114))&amp;". ")&amp;IF(LEN(IF(LEN(INDEX('Providers'!$C$4:$C$503,114))=0,"",INDEX('Providers'!$C$4:$C$503,114)))=0,"","NPI: "&amp;IF(LEN(INDEX('Providers'!$C$4:$C$503,114))=0,"",INDEX('Providers'!$C$4:$C$503,114))&amp;". "))</f>
        <v/>
      </c>
      <c r="J617">
        <f>IF(LEN(INDEX('Providers'!$AJ$4:$AJ$503,114))=0,"",INDEX('Providers'!$AJ$4:$AJ$503,114))</f>
        <v/>
      </c>
      <c r="K617">
        <f>IF(LEN(INDEX('Providers'!$AI$4:$AI$503,114))=0,"",INDEX('Providers'!$AI$4:$AI$503,114))</f>
        <v/>
      </c>
    </row>
    <row r="618">
      <c r="A618">
        <f>IF(AND(LEN('Providers'!A118)&gt;0,ISNUMBER('Providers'!I118)),1,0)</f>
        <v/>
      </c>
      <c r="B618">
        <f>B617+A618</f>
        <v/>
      </c>
      <c r="C618">
        <f>IF(615&gt;$B$4503,"",MATCH(615-0.5,$B$3:$B$4503,1))</f>
        <v/>
      </c>
      <c r="D618">
        <f>"DEA registration ("&amp;IF(LEN(INDEX('Providers'!$E$4:$E$503,115))=0,"",INDEX('Providers'!$E$4:$E$503,115))&amp;") – "&amp;IF(LEN(INDEX('Providers'!$A$4:$A$503,115))=0,"",INDEX('Providers'!$A$4:$A$503,115))</f>
        <v/>
      </c>
      <c r="E618">
        <f>IF(ISNUMBER(INDEX('Providers'!$I$4:$I$503,115)),TEXT(INDEX('Providers'!$I$4:$I$503,115),"yyyy-mm-dd"),"")</f>
        <v/>
      </c>
      <c r="F618">
        <f>"Registration"</f>
        <v/>
      </c>
      <c r="G618">
        <f>""</f>
        <v/>
      </c>
      <c r="H618">
        <f>"High"</f>
        <v/>
      </c>
      <c r="I618">
        <f>TRIM(IF(LEN(IF(LEN(INDEX('Providers'!$H$4:$H$503,115))=0,"",INDEX('Providers'!$H$4:$H$503,115)))=0,"","DEA no.: "&amp;IF(LEN(INDEX('Providers'!$H$4:$H$503,115))=0,"",INDEX('Providers'!$H$4:$H$503,115))&amp;". ")&amp;IF(LEN(IF(LEN(INDEX('Providers'!$C$4:$C$503,115))=0,"",INDEX('Providers'!$C$4:$C$503,115)))=0,"","NPI: "&amp;IF(LEN(INDEX('Providers'!$C$4:$C$503,115))=0,"",INDEX('Providers'!$C$4:$C$503,115))&amp;". "))</f>
        <v/>
      </c>
      <c r="J618">
        <f>IF(LEN(INDEX('Providers'!$AJ$4:$AJ$503,115))=0,"",INDEX('Providers'!$AJ$4:$AJ$503,115))</f>
        <v/>
      </c>
      <c r="K618">
        <f>IF(LEN(INDEX('Providers'!$AI$4:$AI$503,115))=0,"",INDEX('Providers'!$AI$4:$AI$503,115))</f>
        <v/>
      </c>
    </row>
    <row r="619">
      <c r="A619">
        <f>IF(AND(LEN('Providers'!A119)&gt;0,ISNUMBER('Providers'!I119)),1,0)</f>
        <v/>
      </c>
      <c r="B619">
        <f>B618+A619</f>
        <v/>
      </c>
      <c r="C619">
        <f>IF(616&gt;$B$4503,"",MATCH(616-0.5,$B$3:$B$4503,1))</f>
        <v/>
      </c>
      <c r="D619">
        <f>"DEA registration ("&amp;IF(LEN(INDEX('Providers'!$E$4:$E$503,116))=0,"",INDEX('Providers'!$E$4:$E$503,116))&amp;") – "&amp;IF(LEN(INDEX('Providers'!$A$4:$A$503,116))=0,"",INDEX('Providers'!$A$4:$A$503,116))</f>
        <v/>
      </c>
      <c r="E619">
        <f>IF(ISNUMBER(INDEX('Providers'!$I$4:$I$503,116)),TEXT(INDEX('Providers'!$I$4:$I$503,116),"yyyy-mm-dd"),"")</f>
        <v/>
      </c>
      <c r="F619">
        <f>"Registration"</f>
        <v/>
      </c>
      <c r="G619">
        <f>""</f>
        <v/>
      </c>
      <c r="H619">
        <f>"High"</f>
        <v/>
      </c>
      <c r="I619">
        <f>TRIM(IF(LEN(IF(LEN(INDEX('Providers'!$H$4:$H$503,116))=0,"",INDEX('Providers'!$H$4:$H$503,116)))=0,"","DEA no.: "&amp;IF(LEN(INDEX('Providers'!$H$4:$H$503,116))=0,"",INDEX('Providers'!$H$4:$H$503,116))&amp;". ")&amp;IF(LEN(IF(LEN(INDEX('Providers'!$C$4:$C$503,116))=0,"",INDEX('Providers'!$C$4:$C$503,116)))=0,"","NPI: "&amp;IF(LEN(INDEX('Providers'!$C$4:$C$503,116))=0,"",INDEX('Providers'!$C$4:$C$503,116))&amp;". "))</f>
        <v/>
      </c>
      <c r="J619">
        <f>IF(LEN(INDEX('Providers'!$AJ$4:$AJ$503,116))=0,"",INDEX('Providers'!$AJ$4:$AJ$503,116))</f>
        <v/>
      </c>
      <c r="K619">
        <f>IF(LEN(INDEX('Providers'!$AI$4:$AI$503,116))=0,"",INDEX('Providers'!$AI$4:$AI$503,116))</f>
        <v/>
      </c>
    </row>
    <row r="620">
      <c r="A620">
        <f>IF(AND(LEN('Providers'!A120)&gt;0,ISNUMBER('Providers'!I120)),1,0)</f>
        <v/>
      </c>
      <c r="B620">
        <f>B619+A620</f>
        <v/>
      </c>
      <c r="C620">
        <f>IF(617&gt;$B$4503,"",MATCH(617-0.5,$B$3:$B$4503,1))</f>
        <v/>
      </c>
      <c r="D620">
        <f>"DEA registration ("&amp;IF(LEN(INDEX('Providers'!$E$4:$E$503,117))=0,"",INDEX('Providers'!$E$4:$E$503,117))&amp;") – "&amp;IF(LEN(INDEX('Providers'!$A$4:$A$503,117))=0,"",INDEX('Providers'!$A$4:$A$503,117))</f>
        <v/>
      </c>
      <c r="E620">
        <f>IF(ISNUMBER(INDEX('Providers'!$I$4:$I$503,117)),TEXT(INDEX('Providers'!$I$4:$I$503,117),"yyyy-mm-dd"),"")</f>
        <v/>
      </c>
      <c r="F620">
        <f>"Registration"</f>
        <v/>
      </c>
      <c r="G620">
        <f>""</f>
        <v/>
      </c>
      <c r="H620">
        <f>"High"</f>
        <v/>
      </c>
      <c r="I620">
        <f>TRIM(IF(LEN(IF(LEN(INDEX('Providers'!$H$4:$H$503,117))=0,"",INDEX('Providers'!$H$4:$H$503,117)))=0,"","DEA no.: "&amp;IF(LEN(INDEX('Providers'!$H$4:$H$503,117))=0,"",INDEX('Providers'!$H$4:$H$503,117))&amp;". ")&amp;IF(LEN(IF(LEN(INDEX('Providers'!$C$4:$C$503,117))=0,"",INDEX('Providers'!$C$4:$C$503,117)))=0,"","NPI: "&amp;IF(LEN(INDEX('Providers'!$C$4:$C$503,117))=0,"",INDEX('Providers'!$C$4:$C$503,117))&amp;". "))</f>
        <v/>
      </c>
      <c r="J620">
        <f>IF(LEN(INDEX('Providers'!$AJ$4:$AJ$503,117))=0,"",INDEX('Providers'!$AJ$4:$AJ$503,117))</f>
        <v/>
      </c>
      <c r="K620">
        <f>IF(LEN(INDEX('Providers'!$AI$4:$AI$503,117))=0,"",INDEX('Providers'!$AI$4:$AI$503,117))</f>
        <v/>
      </c>
    </row>
    <row r="621">
      <c r="A621">
        <f>IF(AND(LEN('Providers'!A121)&gt;0,ISNUMBER('Providers'!I121)),1,0)</f>
        <v/>
      </c>
      <c r="B621">
        <f>B620+A621</f>
        <v/>
      </c>
      <c r="C621">
        <f>IF(618&gt;$B$4503,"",MATCH(618-0.5,$B$3:$B$4503,1))</f>
        <v/>
      </c>
      <c r="D621">
        <f>"DEA registration ("&amp;IF(LEN(INDEX('Providers'!$E$4:$E$503,118))=0,"",INDEX('Providers'!$E$4:$E$503,118))&amp;") – "&amp;IF(LEN(INDEX('Providers'!$A$4:$A$503,118))=0,"",INDEX('Providers'!$A$4:$A$503,118))</f>
        <v/>
      </c>
      <c r="E621">
        <f>IF(ISNUMBER(INDEX('Providers'!$I$4:$I$503,118)),TEXT(INDEX('Providers'!$I$4:$I$503,118),"yyyy-mm-dd"),"")</f>
        <v/>
      </c>
      <c r="F621">
        <f>"Registration"</f>
        <v/>
      </c>
      <c r="G621">
        <f>""</f>
        <v/>
      </c>
      <c r="H621">
        <f>"High"</f>
        <v/>
      </c>
      <c r="I621">
        <f>TRIM(IF(LEN(IF(LEN(INDEX('Providers'!$H$4:$H$503,118))=0,"",INDEX('Providers'!$H$4:$H$503,118)))=0,"","DEA no.: "&amp;IF(LEN(INDEX('Providers'!$H$4:$H$503,118))=0,"",INDEX('Providers'!$H$4:$H$503,118))&amp;". ")&amp;IF(LEN(IF(LEN(INDEX('Providers'!$C$4:$C$503,118))=0,"",INDEX('Providers'!$C$4:$C$503,118)))=0,"","NPI: "&amp;IF(LEN(INDEX('Providers'!$C$4:$C$503,118))=0,"",INDEX('Providers'!$C$4:$C$503,118))&amp;". "))</f>
        <v/>
      </c>
      <c r="J621">
        <f>IF(LEN(INDEX('Providers'!$AJ$4:$AJ$503,118))=0,"",INDEX('Providers'!$AJ$4:$AJ$503,118))</f>
        <v/>
      </c>
      <c r="K621">
        <f>IF(LEN(INDEX('Providers'!$AI$4:$AI$503,118))=0,"",INDEX('Providers'!$AI$4:$AI$503,118))</f>
        <v/>
      </c>
    </row>
    <row r="622">
      <c r="A622">
        <f>IF(AND(LEN('Providers'!A122)&gt;0,ISNUMBER('Providers'!I122)),1,0)</f>
        <v/>
      </c>
      <c r="B622">
        <f>B621+A622</f>
        <v/>
      </c>
      <c r="C622">
        <f>IF(619&gt;$B$4503,"",MATCH(619-0.5,$B$3:$B$4503,1))</f>
        <v/>
      </c>
      <c r="D622">
        <f>"DEA registration ("&amp;IF(LEN(INDEX('Providers'!$E$4:$E$503,119))=0,"",INDEX('Providers'!$E$4:$E$503,119))&amp;") – "&amp;IF(LEN(INDEX('Providers'!$A$4:$A$503,119))=0,"",INDEX('Providers'!$A$4:$A$503,119))</f>
        <v/>
      </c>
      <c r="E622">
        <f>IF(ISNUMBER(INDEX('Providers'!$I$4:$I$503,119)),TEXT(INDEX('Providers'!$I$4:$I$503,119),"yyyy-mm-dd"),"")</f>
        <v/>
      </c>
      <c r="F622">
        <f>"Registration"</f>
        <v/>
      </c>
      <c r="G622">
        <f>""</f>
        <v/>
      </c>
      <c r="H622">
        <f>"High"</f>
        <v/>
      </c>
      <c r="I622">
        <f>TRIM(IF(LEN(IF(LEN(INDEX('Providers'!$H$4:$H$503,119))=0,"",INDEX('Providers'!$H$4:$H$503,119)))=0,"","DEA no.: "&amp;IF(LEN(INDEX('Providers'!$H$4:$H$503,119))=0,"",INDEX('Providers'!$H$4:$H$503,119))&amp;". ")&amp;IF(LEN(IF(LEN(INDEX('Providers'!$C$4:$C$503,119))=0,"",INDEX('Providers'!$C$4:$C$503,119)))=0,"","NPI: "&amp;IF(LEN(INDEX('Providers'!$C$4:$C$503,119))=0,"",INDEX('Providers'!$C$4:$C$503,119))&amp;". "))</f>
        <v/>
      </c>
      <c r="J622">
        <f>IF(LEN(INDEX('Providers'!$AJ$4:$AJ$503,119))=0,"",INDEX('Providers'!$AJ$4:$AJ$503,119))</f>
        <v/>
      </c>
      <c r="K622">
        <f>IF(LEN(INDEX('Providers'!$AI$4:$AI$503,119))=0,"",INDEX('Providers'!$AI$4:$AI$503,119))</f>
        <v/>
      </c>
    </row>
    <row r="623">
      <c r="A623">
        <f>IF(AND(LEN('Providers'!A123)&gt;0,ISNUMBER('Providers'!I123)),1,0)</f>
        <v/>
      </c>
      <c r="B623">
        <f>B622+A623</f>
        <v/>
      </c>
      <c r="C623">
        <f>IF(620&gt;$B$4503,"",MATCH(620-0.5,$B$3:$B$4503,1))</f>
        <v/>
      </c>
      <c r="D623">
        <f>"DEA registration ("&amp;IF(LEN(INDEX('Providers'!$E$4:$E$503,120))=0,"",INDEX('Providers'!$E$4:$E$503,120))&amp;") – "&amp;IF(LEN(INDEX('Providers'!$A$4:$A$503,120))=0,"",INDEX('Providers'!$A$4:$A$503,120))</f>
        <v/>
      </c>
      <c r="E623">
        <f>IF(ISNUMBER(INDEX('Providers'!$I$4:$I$503,120)),TEXT(INDEX('Providers'!$I$4:$I$503,120),"yyyy-mm-dd"),"")</f>
        <v/>
      </c>
      <c r="F623">
        <f>"Registration"</f>
        <v/>
      </c>
      <c r="G623">
        <f>""</f>
        <v/>
      </c>
      <c r="H623">
        <f>"High"</f>
        <v/>
      </c>
      <c r="I623">
        <f>TRIM(IF(LEN(IF(LEN(INDEX('Providers'!$H$4:$H$503,120))=0,"",INDEX('Providers'!$H$4:$H$503,120)))=0,"","DEA no.: "&amp;IF(LEN(INDEX('Providers'!$H$4:$H$503,120))=0,"",INDEX('Providers'!$H$4:$H$503,120))&amp;". ")&amp;IF(LEN(IF(LEN(INDEX('Providers'!$C$4:$C$503,120))=0,"",INDEX('Providers'!$C$4:$C$503,120)))=0,"","NPI: "&amp;IF(LEN(INDEX('Providers'!$C$4:$C$503,120))=0,"",INDEX('Providers'!$C$4:$C$503,120))&amp;". "))</f>
        <v/>
      </c>
      <c r="J623">
        <f>IF(LEN(INDEX('Providers'!$AJ$4:$AJ$503,120))=0,"",INDEX('Providers'!$AJ$4:$AJ$503,120))</f>
        <v/>
      </c>
      <c r="K623">
        <f>IF(LEN(INDEX('Providers'!$AI$4:$AI$503,120))=0,"",INDEX('Providers'!$AI$4:$AI$503,120))</f>
        <v/>
      </c>
    </row>
    <row r="624">
      <c r="A624">
        <f>IF(AND(LEN('Providers'!A124)&gt;0,ISNUMBER('Providers'!I124)),1,0)</f>
        <v/>
      </c>
      <c r="B624">
        <f>B623+A624</f>
        <v/>
      </c>
      <c r="C624">
        <f>IF(621&gt;$B$4503,"",MATCH(621-0.5,$B$3:$B$4503,1))</f>
        <v/>
      </c>
      <c r="D624">
        <f>"DEA registration ("&amp;IF(LEN(INDEX('Providers'!$E$4:$E$503,121))=0,"",INDEX('Providers'!$E$4:$E$503,121))&amp;") – "&amp;IF(LEN(INDEX('Providers'!$A$4:$A$503,121))=0,"",INDEX('Providers'!$A$4:$A$503,121))</f>
        <v/>
      </c>
      <c r="E624">
        <f>IF(ISNUMBER(INDEX('Providers'!$I$4:$I$503,121)),TEXT(INDEX('Providers'!$I$4:$I$503,121),"yyyy-mm-dd"),"")</f>
        <v/>
      </c>
      <c r="F624">
        <f>"Registration"</f>
        <v/>
      </c>
      <c r="G624">
        <f>""</f>
        <v/>
      </c>
      <c r="H624">
        <f>"High"</f>
        <v/>
      </c>
      <c r="I624">
        <f>TRIM(IF(LEN(IF(LEN(INDEX('Providers'!$H$4:$H$503,121))=0,"",INDEX('Providers'!$H$4:$H$503,121)))=0,"","DEA no.: "&amp;IF(LEN(INDEX('Providers'!$H$4:$H$503,121))=0,"",INDEX('Providers'!$H$4:$H$503,121))&amp;". ")&amp;IF(LEN(IF(LEN(INDEX('Providers'!$C$4:$C$503,121))=0,"",INDEX('Providers'!$C$4:$C$503,121)))=0,"","NPI: "&amp;IF(LEN(INDEX('Providers'!$C$4:$C$503,121))=0,"",INDEX('Providers'!$C$4:$C$503,121))&amp;". "))</f>
        <v/>
      </c>
      <c r="J624">
        <f>IF(LEN(INDEX('Providers'!$AJ$4:$AJ$503,121))=0,"",INDEX('Providers'!$AJ$4:$AJ$503,121))</f>
        <v/>
      </c>
      <c r="K624">
        <f>IF(LEN(INDEX('Providers'!$AI$4:$AI$503,121))=0,"",INDEX('Providers'!$AI$4:$AI$503,121))</f>
        <v/>
      </c>
    </row>
    <row r="625">
      <c r="A625">
        <f>IF(AND(LEN('Providers'!A125)&gt;0,ISNUMBER('Providers'!I125)),1,0)</f>
        <v/>
      </c>
      <c r="B625">
        <f>B624+A625</f>
        <v/>
      </c>
      <c r="C625">
        <f>IF(622&gt;$B$4503,"",MATCH(622-0.5,$B$3:$B$4503,1))</f>
        <v/>
      </c>
      <c r="D625">
        <f>"DEA registration ("&amp;IF(LEN(INDEX('Providers'!$E$4:$E$503,122))=0,"",INDEX('Providers'!$E$4:$E$503,122))&amp;") – "&amp;IF(LEN(INDEX('Providers'!$A$4:$A$503,122))=0,"",INDEX('Providers'!$A$4:$A$503,122))</f>
        <v/>
      </c>
      <c r="E625">
        <f>IF(ISNUMBER(INDEX('Providers'!$I$4:$I$503,122)),TEXT(INDEX('Providers'!$I$4:$I$503,122),"yyyy-mm-dd"),"")</f>
        <v/>
      </c>
      <c r="F625">
        <f>"Registration"</f>
        <v/>
      </c>
      <c r="G625">
        <f>""</f>
        <v/>
      </c>
      <c r="H625">
        <f>"High"</f>
        <v/>
      </c>
      <c r="I625">
        <f>TRIM(IF(LEN(IF(LEN(INDEX('Providers'!$H$4:$H$503,122))=0,"",INDEX('Providers'!$H$4:$H$503,122)))=0,"","DEA no.: "&amp;IF(LEN(INDEX('Providers'!$H$4:$H$503,122))=0,"",INDEX('Providers'!$H$4:$H$503,122))&amp;". ")&amp;IF(LEN(IF(LEN(INDEX('Providers'!$C$4:$C$503,122))=0,"",INDEX('Providers'!$C$4:$C$503,122)))=0,"","NPI: "&amp;IF(LEN(INDEX('Providers'!$C$4:$C$503,122))=0,"",INDEX('Providers'!$C$4:$C$503,122))&amp;". "))</f>
        <v/>
      </c>
      <c r="J625">
        <f>IF(LEN(INDEX('Providers'!$AJ$4:$AJ$503,122))=0,"",INDEX('Providers'!$AJ$4:$AJ$503,122))</f>
        <v/>
      </c>
      <c r="K625">
        <f>IF(LEN(INDEX('Providers'!$AI$4:$AI$503,122))=0,"",INDEX('Providers'!$AI$4:$AI$503,122))</f>
        <v/>
      </c>
    </row>
    <row r="626">
      <c r="A626">
        <f>IF(AND(LEN('Providers'!A126)&gt;0,ISNUMBER('Providers'!I126)),1,0)</f>
        <v/>
      </c>
      <c r="B626">
        <f>B625+A626</f>
        <v/>
      </c>
      <c r="C626">
        <f>IF(623&gt;$B$4503,"",MATCH(623-0.5,$B$3:$B$4503,1))</f>
        <v/>
      </c>
      <c r="D626">
        <f>"DEA registration ("&amp;IF(LEN(INDEX('Providers'!$E$4:$E$503,123))=0,"",INDEX('Providers'!$E$4:$E$503,123))&amp;") – "&amp;IF(LEN(INDEX('Providers'!$A$4:$A$503,123))=0,"",INDEX('Providers'!$A$4:$A$503,123))</f>
        <v/>
      </c>
      <c r="E626">
        <f>IF(ISNUMBER(INDEX('Providers'!$I$4:$I$503,123)),TEXT(INDEX('Providers'!$I$4:$I$503,123),"yyyy-mm-dd"),"")</f>
        <v/>
      </c>
      <c r="F626">
        <f>"Registration"</f>
        <v/>
      </c>
      <c r="G626">
        <f>""</f>
        <v/>
      </c>
      <c r="H626">
        <f>"High"</f>
        <v/>
      </c>
      <c r="I626">
        <f>TRIM(IF(LEN(IF(LEN(INDEX('Providers'!$H$4:$H$503,123))=0,"",INDEX('Providers'!$H$4:$H$503,123)))=0,"","DEA no.: "&amp;IF(LEN(INDEX('Providers'!$H$4:$H$503,123))=0,"",INDEX('Providers'!$H$4:$H$503,123))&amp;". ")&amp;IF(LEN(IF(LEN(INDEX('Providers'!$C$4:$C$503,123))=0,"",INDEX('Providers'!$C$4:$C$503,123)))=0,"","NPI: "&amp;IF(LEN(INDEX('Providers'!$C$4:$C$503,123))=0,"",INDEX('Providers'!$C$4:$C$503,123))&amp;". "))</f>
        <v/>
      </c>
      <c r="J626">
        <f>IF(LEN(INDEX('Providers'!$AJ$4:$AJ$503,123))=0,"",INDEX('Providers'!$AJ$4:$AJ$503,123))</f>
        <v/>
      </c>
      <c r="K626">
        <f>IF(LEN(INDEX('Providers'!$AI$4:$AI$503,123))=0,"",INDEX('Providers'!$AI$4:$AI$503,123))</f>
        <v/>
      </c>
    </row>
    <row r="627">
      <c r="A627">
        <f>IF(AND(LEN('Providers'!A127)&gt;0,ISNUMBER('Providers'!I127)),1,0)</f>
        <v/>
      </c>
      <c r="B627">
        <f>B626+A627</f>
        <v/>
      </c>
      <c r="C627">
        <f>IF(624&gt;$B$4503,"",MATCH(624-0.5,$B$3:$B$4503,1))</f>
        <v/>
      </c>
      <c r="D627">
        <f>"DEA registration ("&amp;IF(LEN(INDEX('Providers'!$E$4:$E$503,124))=0,"",INDEX('Providers'!$E$4:$E$503,124))&amp;") – "&amp;IF(LEN(INDEX('Providers'!$A$4:$A$503,124))=0,"",INDEX('Providers'!$A$4:$A$503,124))</f>
        <v/>
      </c>
      <c r="E627">
        <f>IF(ISNUMBER(INDEX('Providers'!$I$4:$I$503,124)),TEXT(INDEX('Providers'!$I$4:$I$503,124),"yyyy-mm-dd"),"")</f>
        <v/>
      </c>
      <c r="F627">
        <f>"Registration"</f>
        <v/>
      </c>
      <c r="G627">
        <f>""</f>
        <v/>
      </c>
      <c r="H627">
        <f>"High"</f>
        <v/>
      </c>
      <c r="I627">
        <f>TRIM(IF(LEN(IF(LEN(INDEX('Providers'!$H$4:$H$503,124))=0,"",INDEX('Providers'!$H$4:$H$503,124)))=0,"","DEA no.: "&amp;IF(LEN(INDEX('Providers'!$H$4:$H$503,124))=0,"",INDEX('Providers'!$H$4:$H$503,124))&amp;". ")&amp;IF(LEN(IF(LEN(INDEX('Providers'!$C$4:$C$503,124))=0,"",INDEX('Providers'!$C$4:$C$503,124)))=0,"","NPI: "&amp;IF(LEN(INDEX('Providers'!$C$4:$C$503,124))=0,"",INDEX('Providers'!$C$4:$C$503,124))&amp;". "))</f>
        <v/>
      </c>
      <c r="J627">
        <f>IF(LEN(INDEX('Providers'!$AJ$4:$AJ$503,124))=0,"",INDEX('Providers'!$AJ$4:$AJ$503,124))</f>
        <v/>
      </c>
      <c r="K627">
        <f>IF(LEN(INDEX('Providers'!$AI$4:$AI$503,124))=0,"",INDEX('Providers'!$AI$4:$AI$503,124))</f>
        <v/>
      </c>
    </row>
    <row r="628">
      <c r="A628">
        <f>IF(AND(LEN('Providers'!A128)&gt;0,ISNUMBER('Providers'!I128)),1,0)</f>
        <v/>
      </c>
      <c r="B628">
        <f>B627+A628</f>
        <v/>
      </c>
      <c r="C628">
        <f>IF(625&gt;$B$4503,"",MATCH(625-0.5,$B$3:$B$4503,1))</f>
        <v/>
      </c>
      <c r="D628">
        <f>"DEA registration ("&amp;IF(LEN(INDEX('Providers'!$E$4:$E$503,125))=0,"",INDEX('Providers'!$E$4:$E$503,125))&amp;") – "&amp;IF(LEN(INDEX('Providers'!$A$4:$A$503,125))=0,"",INDEX('Providers'!$A$4:$A$503,125))</f>
        <v/>
      </c>
      <c r="E628">
        <f>IF(ISNUMBER(INDEX('Providers'!$I$4:$I$503,125)),TEXT(INDEX('Providers'!$I$4:$I$503,125),"yyyy-mm-dd"),"")</f>
        <v/>
      </c>
      <c r="F628">
        <f>"Registration"</f>
        <v/>
      </c>
      <c r="G628">
        <f>""</f>
        <v/>
      </c>
      <c r="H628">
        <f>"High"</f>
        <v/>
      </c>
      <c r="I628">
        <f>TRIM(IF(LEN(IF(LEN(INDEX('Providers'!$H$4:$H$503,125))=0,"",INDEX('Providers'!$H$4:$H$503,125)))=0,"","DEA no.: "&amp;IF(LEN(INDEX('Providers'!$H$4:$H$503,125))=0,"",INDEX('Providers'!$H$4:$H$503,125))&amp;". ")&amp;IF(LEN(IF(LEN(INDEX('Providers'!$C$4:$C$503,125))=0,"",INDEX('Providers'!$C$4:$C$503,125)))=0,"","NPI: "&amp;IF(LEN(INDEX('Providers'!$C$4:$C$503,125))=0,"",INDEX('Providers'!$C$4:$C$503,125))&amp;". "))</f>
        <v/>
      </c>
      <c r="J628">
        <f>IF(LEN(INDEX('Providers'!$AJ$4:$AJ$503,125))=0,"",INDEX('Providers'!$AJ$4:$AJ$503,125))</f>
        <v/>
      </c>
      <c r="K628">
        <f>IF(LEN(INDEX('Providers'!$AI$4:$AI$503,125))=0,"",INDEX('Providers'!$AI$4:$AI$503,125))</f>
        <v/>
      </c>
    </row>
    <row r="629">
      <c r="A629">
        <f>IF(AND(LEN('Providers'!A129)&gt;0,ISNUMBER('Providers'!I129)),1,0)</f>
        <v/>
      </c>
      <c r="B629">
        <f>B628+A629</f>
        <v/>
      </c>
      <c r="C629">
        <f>IF(626&gt;$B$4503,"",MATCH(626-0.5,$B$3:$B$4503,1))</f>
        <v/>
      </c>
      <c r="D629">
        <f>"DEA registration ("&amp;IF(LEN(INDEX('Providers'!$E$4:$E$503,126))=0,"",INDEX('Providers'!$E$4:$E$503,126))&amp;") – "&amp;IF(LEN(INDEX('Providers'!$A$4:$A$503,126))=0,"",INDEX('Providers'!$A$4:$A$503,126))</f>
        <v/>
      </c>
      <c r="E629">
        <f>IF(ISNUMBER(INDEX('Providers'!$I$4:$I$503,126)),TEXT(INDEX('Providers'!$I$4:$I$503,126),"yyyy-mm-dd"),"")</f>
        <v/>
      </c>
      <c r="F629">
        <f>"Registration"</f>
        <v/>
      </c>
      <c r="G629">
        <f>""</f>
        <v/>
      </c>
      <c r="H629">
        <f>"High"</f>
        <v/>
      </c>
      <c r="I629">
        <f>TRIM(IF(LEN(IF(LEN(INDEX('Providers'!$H$4:$H$503,126))=0,"",INDEX('Providers'!$H$4:$H$503,126)))=0,"","DEA no.: "&amp;IF(LEN(INDEX('Providers'!$H$4:$H$503,126))=0,"",INDEX('Providers'!$H$4:$H$503,126))&amp;". ")&amp;IF(LEN(IF(LEN(INDEX('Providers'!$C$4:$C$503,126))=0,"",INDEX('Providers'!$C$4:$C$503,126)))=0,"","NPI: "&amp;IF(LEN(INDEX('Providers'!$C$4:$C$503,126))=0,"",INDEX('Providers'!$C$4:$C$503,126))&amp;". "))</f>
        <v/>
      </c>
      <c r="J629">
        <f>IF(LEN(INDEX('Providers'!$AJ$4:$AJ$503,126))=0,"",INDEX('Providers'!$AJ$4:$AJ$503,126))</f>
        <v/>
      </c>
      <c r="K629">
        <f>IF(LEN(INDEX('Providers'!$AI$4:$AI$503,126))=0,"",INDEX('Providers'!$AI$4:$AI$503,126))</f>
        <v/>
      </c>
    </row>
    <row r="630">
      <c r="A630">
        <f>IF(AND(LEN('Providers'!A130)&gt;0,ISNUMBER('Providers'!I130)),1,0)</f>
        <v/>
      </c>
      <c r="B630">
        <f>B629+A630</f>
        <v/>
      </c>
      <c r="C630">
        <f>IF(627&gt;$B$4503,"",MATCH(627-0.5,$B$3:$B$4503,1))</f>
        <v/>
      </c>
      <c r="D630">
        <f>"DEA registration ("&amp;IF(LEN(INDEX('Providers'!$E$4:$E$503,127))=0,"",INDEX('Providers'!$E$4:$E$503,127))&amp;") – "&amp;IF(LEN(INDEX('Providers'!$A$4:$A$503,127))=0,"",INDEX('Providers'!$A$4:$A$503,127))</f>
        <v/>
      </c>
      <c r="E630">
        <f>IF(ISNUMBER(INDEX('Providers'!$I$4:$I$503,127)),TEXT(INDEX('Providers'!$I$4:$I$503,127),"yyyy-mm-dd"),"")</f>
        <v/>
      </c>
      <c r="F630">
        <f>"Registration"</f>
        <v/>
      </c>
      <c r="G630">
        <f>""</f>
        <v/>
      </c>
      <c r="H630">
        <f>"High"</f>
        <v/>
      </c>
      <c r="I630">
        <f>TRIM(IF(LEN(IF(LEN(INDEX('Providers'!$H$4:$H$503,127))=0,"",INDEX('Providers'!$H$4:$H$503,127)))=0,"","DEA no.: "&amp;IF(LEN(INDEX('Providers'!$H$4:$H$503,127))=0,"",INDEX('Providers'!$H$4:$H$503,127))&amp;". ")&amp;IF(LEN(IF(LEN(INDEX('Providers'!$C$4:$C$503,127))=0,"",INDEX('Providers'!$C$4:$C$503,127)))=0,"","NPI: "&amp;IF(LEN(INDEX('Providers'!$C$4:$C$503,127))=0,"",INDEX('Providers'!$C$4:$C$503,127))&amp;". "))</f>
        <v/>
      </c>
      <c r="J630">
        <f>IF(LEN(INDEX('Providers'!$AJ$4:$AJ$503,127))=0,"",INDEX('Providers'!$AJ$4:$AJ$503,127))</f>
        <v/>
      </c>
      <c r="K630">
        <f>IF(LEN(INDEX('Providers'!$AI$4:$AI$503,127))=0,"",INDEX('Providers'!$AI$4:$AI$503,127))</f>
        <v/>
      </c>
    </row>
    <row r="631">
      <c r="A631">
        <f>IF(AND(LEN('Providers'!A131)&gt;0,ISNUMBER('Providers'!I131)),1,0)</f>
        <v/>
      </c>
      <c r="B631">
        <f>B630+A631</f>
        <v/>
      </c>
      <c r="C631">
        <f>IF(628&gt;$B$4503,"",MATCH(628-0.5,$B$3:$B$4503,1))</f>
        <v/>
      </c>
      <c r="D631">
        <f>"DEA registration ("&amp;IF(LEN(INDEX('Providers'!$E$4:$E$503,128))=0,"",INDEX('Providers'!$E$4:$E$503,128))&amp;") – "&amp;IF(LEN(INDEX('Providers'!$A$4:$A$503,128))=0,"",INDEX('Providers'!$A$4:$A$503,128))</f>
        <v/>
      </c>
      <c r="E631">
        <f>IF(ISNUMBER(INDEX('Providers'!$I$4:$I$503,128)),TEXT(INDEX('Providers'!$I$4:$I$503,128),"yyyy-mm-dd"),"")</f>
        <v/>
      </c>
      <c r="F631">
        <f>"Registration"</f>
        <v/>
      </c>
      <c r="G631">
        <f>""</f>
        <v/>
      </c>
      <c r="H631">
        <f>"High"</f>
        <v/>
      </c>
      <c r="I631">
        <f>TRIM(IF(LEN(IF(LEN(INDEX('Providers'!$H$4:$H$503,128))=0,"",INDEX('Providers'!$H$4:$H$503,128)))=0,"","DEA no.: "&amp;IF(LEN(INDEX('Providers'!$H$4:$H$503,128))=0,"",INDEX('Providers'!$H$4:$H$503,128))&amp;". ")&amp;IF(LEN(IF(LEN(INDEX('Providers'!$C$4:$C$503,128))=0,"",INDEX('Providers'!$C$4:$C$503,128)))=0,"","NPI: "&amp;IF(LEN(INDEX('Providers'!$C$4:$C$503,128))=0,"",INDEX('Providers'!$C$4:$C$503,128))&amp;". "))</f>
        <v/>
      </c>
      <c r="J631">
        <f>IF(LEN(INDEX('Providers'!$AJ$4:$AJ$503,128))=0,"",INDEX('Providers'!$AJ$4:$AJ$503,128))</f>
        <v/>
      </c>
      <c r="K631">
        <f>IF(LEN(INDEX('Providers'!$AI$4:$AI$503,128))=0,"",INDEX('Providers'!$AI$4:$AI$503,128))</f>
        <v/>
      </c>
    </row>
    <row r="632">
      <c r="A632">
        <f>IF(AND(LEN('Providers'!A132)&gt;0,ISNUMBER('Providers'!I132)),1,0)</f>
        <v/>
      </c>
      <c r="B632">
        <f>B631+A632</f>
        <v/>
      </c>
      <c r="C632">
        <f>IF(629&gt;$B$4503,"",MATCH(629-0.5,$B$3:$B$4503,1))</f>
        <v/>
      </c>
      <c r="D632">
        <f>"DEA registration ("&amp;IF(LEN(INDEX('Providers'!$E$4:$E$503,129))=0,"",INDEX('Providers'!$E$4:$E$503,129))&amp;") – "&amp;IF(LEN(INDEX('Providers'!$A$4:$A$503,129))=0,"",INDEX('Providers'!$A$4:$A$503,129))</f>
        <v/>
      </c>
      <c r="E632">
        <f>IF(ISNUMBER(INDEX('Providers'!$I$4:$I$503,129)),TEXT(INDEX('Providers'!$I$4:$I$503,129),"yyyy-mm-dd"),"")</f>
        <v/>
      </c>
      <c r="F632">
        <f>"Registration"</f>
        <v/>
      </c>
      <c r="G632">
        <f>""</f>
        <v/>
      </c>
      <c r="H632">
        <f>"High"</f>
        <v/>
      </c>
      <c r="I632">
        <f>TRIM(IF(LEN(IF(LEN(INDEX('Providers'!$H$4:$H$503,129))=0,"",INDEX('Providers'!$H$4:$H$503,129)))=0,"","DEA no.: "&amp;IF(LEN(INDEX('Providers'!$H$4:$H$503,129))=0,"",INDEX('Providers'!$H$4:$H$503,129))&amp;". ")&amp;IF(LEN(IF(LEN(INDEX('Providers'!$C$4:$C$503,129))=0,"",INDEX('Providers'!$C$4:$C$503,129)))=0,"","NPI: "&amp;IF(LEN(INDEX('Providers'!$C$4:$C$503,129))=0,"",INDEX('Providers'!$C$4:$C$503,129))&amp;". "))</f>
        <v/>
      </c>
      <c r="J632">
        <f>IF(LEN(INDEX('Providers'!$AJ$4:$AJ$503,129))=0,"",INDEX('Providers'!$AJ$4:$AJ$503,129))</f>
        <v/>
      </c>
      <c r="K632">
        <f>IF(LEN(INDEX('Providers'!$AI$4:$AI$503,129))=0,"",INDEX('Providers'!$AI$4:$AI$503,129))</f>
        <v/>
      </c>
    </row>
    <row r="633">
      <c r="A633">
        <f>IF(AND(LEN('Providers'!A133)&gt;0,ISNUMBER('Providers'!I133)),1,0)</f>
        <v/>
      </c>
      <c r="B633">
        <f>B632+A633</f>
        <v/>
      </c>
      <c r="C633">
        <f>IF(630&gt;$B$4503,"",MATCH(630-0.5,$B$3:$B$4503,1))</f>
        <v/>
      </c>
      <c r="D633">
        <f>"DEA registration ("&amp;IF(LEN(INDEX('Providers'!$E$4:$E$503,130))=0,"",INDEX('Providers'!$E$4:$E$503,130))&amp;") – "&amp;IF(LEN(INDEX('Providers'!$A$4:$A$503,130))=0,"",INDEX('Providers'!$A$4:$A$503,130))</f>
        <v/>
      </c>
      <c r="E633">
        <f>IF(ISNUMBER(INDEX('Providers'!$I$4:$I$503,130)),TEXT(INDEX('Providers'!$I$4:$I$503,130),"yyyy-mm-dd"),"")</f>
        <v/>
      </c>
      <c r="F633">
        <f>"Registration"</f>
        <v/>
      </c>
      <c r="G633">
        <f>""</f>
        <v/>
      </c>
      <c r="H633">
        <f>"High"</f>
        <v/>
      </c>
      <c r="I633">
        <f>TRIM(IF(LEN(IF(LEN(INDEX('Providers'!$H$4:$H$503,130))=0,"",INDEX('Providers'!$H$4:$H$503,130)))=0,"","DEA no.: "&amp;IF(LEN(INDEX('Providers'!$H$4:$H$503,130))=0,"",INDEX('Providers'!$H$4:$H$503,130))&amp;". ")&amp;IF(LEN(IF(LEN(INDEX('Providers'!$C$4:$C$503,130))=0,"",INDEX('Providers'!$C$4:$C$503,130)))=0,"","NPI: "&amp;IF(LEN(INDEX('Providers'!$C$4:$C$503,130))=0,"",INDEX('Providers'!$C$4:$C$503,130))&amp;". "))</f>
        <v/>
      </c>
      <c r="J633">
        <f>IF(LEN(INDEX('Providers'!$AJ$4:$AJ$503,130))=0,"",INDEX('Providers'!$AJ$4:$AJ$503,130))</f>
        <v/>
      </c>
      <c r="K633">
        <f>IF(LEN(INDEX('Providers'!$AI$4:$AI$503,130))=0,"",INDEX('Providers'!$AI$4:$AI$503,130))</f>
        <v/>
      </c>
    </row>
    <row r="634">
      <c r="A634">
        <f>IF(AND(LEN('Providers'!A134)&gt;0,ISNUMBER('Providers'!I134)),1,0)</f>
        <v/>
      </c>
      <c r="B634">
        <f>B633+A634</f>
        <v/>
      </c>
      <c r="C634">
        <f>IF(631&gt;$B$4503,"",MATCH(631-0.5,$B$3:$B$4503,1))</f>
        <v/>
      </c>
      <c r="D634">
        <f>"DEA registration ("&amp;IF(LEN(INDEX('Providers'!$E$4:$E$503,131))=0,"",INDEX('Providers'!$E$4:$E$503,131))&amp;") – "&amp;IF(LEN(INDEX('Providers'!$A$4:$A$503,131))=0,"",INDEX('Providers'!$A$4:$A$503,131))</f>
        <v/>
      </c>
      <c r="E634">
        <f>IF(ISNUMBER(INDEX('Providers'!$I$4:$I$503,131)),TEXT(INDEX('Providers'!$I$4:$I$503,131),"yyyy-mm-dd"),"")</f>
        <v/>
      </c>
      <c r="F634">
        <f>"Registration"</f>
        <v/>
      </c>
      <c r="G634">
        <f>""</f>
        <v/>
      </c>
      <c r="H634">
        <f>"High"</f>
        <v/>
      </c>
      <c r="I634">
        <f>TRIM(IF(LEN(IF(LEN(INDEX('Providers'!$H$4:$H$503,131))=0,"",INDEX('Providers'!$H$4:$H$503,131)))=0,"","DEA no.: "&amp;IF(LEN(INDEX('Providers'!$H$4:$H$503,131))=0,"",INDEX('Providers'!$H$4:$H$503,131))&amp;". ")&amp;IF(LEN(IF(LEN(INDEX('Providers'!$C$4:$C$503,131))=0,"",INDEX('Providers'!$C$4:$C$503,131)))=0,"","NPI: "&amp;IF(LEN(INDEX('Providers'!$C$4:$C$503,131))=0,"",INDEX('Providers'!$C$4:$C$503,131))&amp;". "))</f>
        <v/>
      </c>
      <c r="J634">
        <f>IF(LEN(INDEX('Providers'!$AJ$4:$AJ$503,131))=0,"",INDEX('Providers'!$AJ$4:$AJ$503,131))</f>
        <v/>
      </c>
      <c r="K634">
        <f>IF(LEN(INDEX('Providers'!$AI$4:$AI$503,131))=0,"",INDEX('Providers'!$AI$4:$AI$503,131))</f>
        <v/>
      </c>
    </row>
    <row r="635">
      <c r="A635">
        <f>IF(AND(LEN('Providers'!A135)&gt;0,ISNUMBER('Providers'!I135)),1,0)</f>
        <v/>
      </c>
      <c r="B635">
        <f>B634+A635</f>
        <v/>
      </c>
      <c r="C635">
        <f>IF(632&gt;$B$4503,"",MATCH(632-0.5,$B$3:$B$4503,1))</f>
        <v/>
      </c>
      <c r="D635">
        <f>"DEA registration ("&amp;IF(LEN(INDEX('Providers'!$E$4:$E$503,132))=0,"",INDEX('Providers'!$E$4:$E$503,132))&amp;") – "&amp;IF(LEN(INDEX('Providers'!$A$4:$A$503,132))=0,"",INDEX('Providers'!$A$4:$A$503,132))</f>
        <v/>
      </c>
      <c r="E635">
        <f>IF(ISNUMBER(INDEX('Providers'!$I$4:$I$503,132)),TEXT(INDEX('Providers'!$I$4:$I$503,132),"yyyy-mm-dd"),"")</f>
        <v/>
      </c>
      <c r="F635">
        <f>"Registration"</f>
        <v/>
      </c>
      <c r="G635">
        <f>""</f>
        <v/>
      </c>
      <c r="H635">
        <f>"High"</f>
        <v/>
      </c>
      <c r="I635">
        <f>TRIM(IF(LEN(IF(LEN(INDEX('Providers'!$H$4:$H$503,132))=0,"",INDEX('Providers'!$H$4:$H$503,132)))=0,"","DEA no.: "&amp;IF(LEN(INDEX('Providers'!$H$4:$H$503,132))=0,"",INDEX('Providers'!$H$4:$H$503,132))&amp;". ")&amp;IF(LEN(IF(LEN(INDEX('Providers'!$C$4:$C$503,132))=0,"",INDEX('Providers'!$C$4:$C$503,132)))=0,"","NPI: "&amp;IF(LEN(INDEX('Providers'!$C$4:$C$503,132))=0,"",INDEX('Providers'!$C$4:$C$503,132))&amp;". "))</f>
        <v/>
      </c>
      <c r="J635">
        <f>IF(LEN(INDEX('Providers'!$AJ$4:$AJ$503,132))=0,"",INDEX('Providers'!$AJ$4:$AJ$503,132))</f>
        <v/>
      </c>
      <c r="K635">
        <f>IF(LEN(INDEX('Providers'!$AI$4:$AI$503,132))=0,"",INDEX('Providers'!$AI$4:$AI$503,132))</f>
        <v/>
      </c>
    </row>
    <row r="636">
      <c r="A636">
        <f>IF(AND(LEN('Providers'!A136)&gt;0,ISNUMBER('Providers'!I136)),1,0)</f>
        <v/>
      </c>
      <c r="B636">
        <f>B635+A636</f>
        <v/>
      </c>
      <c r="C636">
        <f>IF(633&gt;$B$4503,"",MATCH(633-0.5,$B$3:$B$4503,1))</f>
        <v/>
      </c>
      <c r="D636">
        <f>"DEA registration ("&amp;IF(LEN(INDEX('Providers'!$E$4:$E$503,133))=0,"",INDEX('Providers'!$E$4:$E$503,133))&amp;") – "&amp;IF(LEN(INDEX('Providers'!$A$4:$A$503,133))=0,"",INDEX('Providers'!$A$4:$A$503,133))</f>
        <v/>
      </c>
      <c r="E636">
        <f>IF(ISNUMBER(INDEX('Providers'!$I$4:$I$503,133)),TEXT(INDEX('Providers'!$I$4:$I$503,133),"yyyy-mm-dd"),"")</f>
        <v/>
      </c>
      <c r="F636">
        <f>"Registration"</f>
        <v/>
      </c>
      <c r="G636">
        <f>""</f>
        <v/>
      </c>
      <c r="H636">
        <f>"High"</f>
        <v/>
      </c>
      <c r="I636">
        <f>TRIM(IF(LEN(IF(LEN(INDEX('Providers'!$H$4:$H$503,133))=0,"",INDEX('Providers'!$H$4:$H$503,133)))=0,"","DEA no.: "&amp;IF(LEN(INDEX('Providers'!$H$4:$H$503,133))=0,"",INDEX('Providers'!$H$4:$H$503,133))&amp;". ")&amp;IF(LEN(IF(LEN(INDEX('Providers'!$C$4:$C$503,133))=0,"",INDEX('Providers'!$C$4:$C$503,133)))=0,"","NPI: "&amp;IF(LEN(INDEX('Providers'!$C$4:$C$503,133))=0,"",INDEX('Providers'!$C$4:$C$503,133))&amp;". "))</f>
        <v/>
      </c>
      <c r="J636">
        <f>IF(LEN(INDEX('Providers'!$AJ$4:$AJ$503,133))=0,"",INDEX('Providers'!$AJ$4:$AJ$503,133))</f>
        <v/>
      </c>
      <c r="K636">
        <f>IF(LEN(INDEX('Providers'!$AI$4:$AI$503,133))=0,"",INDEX('Providers'!$AI$4:$AI$503,133))</f>
        <v/>
      </c>
    </row>
    <row r="637">
      <c r="A637">
        <f>IF(AND(LEN('Providers'!A137)&gt;0,ISNUMBER('Providers'!I137)),1,0)</f>
        <v/>
      </c>
      <c r="B637">
        <f>B636+A637</f>
        <v/>
      </c>
      <c r="C637">
        <f>IF(634&gt;$B$4503,"",MATCH(634-0.5,$B$3:$B$4503,1))</f>
        <v/>
      </c>
      <c r="D637">
        <f>"DEA registration ("&amp;IF(LEN(INDEX('Providers'!$E$4:$E$503,134))=0,"",INDEX('Providers'!$E$4:$E$503,134))&amp;") – "&amp;IF(LEN(INDEX('Providers'!$A$4:$A$503,134))=0,"",INDEX('Providers'!$A$4:$A$503,134))</f>
        <v/>
      </c>
      <c r="E637">
        <f>IF(ISNUMBER(INDEX('Providers'!$I$4:$I$503,134)),TEXT(INDEX('Providers'!$I$4:$I$503,134),"yyyy-mm-dd"),"")</f>
        <v/>
      </c>
      <c r="F637">
        <f>"Registration"</f>
        <v/>
      </c>
      <c r="G637">
        <f>""</f>
        <v/>
      </c>
      <c r="H637">
        <f>"High"</f>
        <v/>
      </c>
      <c r="I637">
        <f>TRIM(IF(LEN(IF(LEN(INDEX('Providers'!$H$4:$H$503,134))=0,"",INDEX('Providers'!$H$4:$H$503,134)))=0,"","DEA no.: "&amp;IF(LEN(INDEX('Providers'!$H$4:$H$503,134))=0,"",INDEX('Providers'!$H$4:$H$503,134))&amp;". ")&amp;IF(LEN(IF(LEN(INDEX('Providers'!$C$4:$C$503,134))=0,"",INDEX('Providers'!$C$4:$C$503,134)))=0,"","NPI: "&amp;IF(LEN(INDEX('Providers'!$C$4:$C$503,134))=0,"",INDEX('Providers'!$C$4:$C$503,134))&amp;". "))</f>
        <v/>
      </c>
      <c r="J637">
        <f>IF(LEN(INDEX('Providers'!$AJ$4:$AJ$503,134))=0,"",INDEX('Providers'!$AJ$4:$AJ$503,134))</f>
        <v/>
      </c>
      <c r="K637">
        <f>IF(LEN(INDEX('Providers'!$AI$4:$AI$503,134))=0,"",INDEX('Providers'!$AI$4:$AI$503,134))</f>
        <v/>
      </c>
    </row>
    <row r="638">
      <c r="A638">
        <f>IF(AND(LEN('Providers'!A138)&gt;0,ISNUMBER('Providers'!I138)),1,0)</f>
        <v/>
      </c>
      <c r="B638">
        <f>B637+A638</f>
        <v/>
      </c>
      <c r="C638">
        <f>IF(635&gt;$B$4503,"",MATCH(635-0.5,$B$3:$B$4503,1))</f>
        <v/>
      </c>
      <c r="D638">
        <f>"DEA registration ("&amp;IF(LEN(INDEX('Providers'!$E$4:$E$503,135))=0,"",INDEX('Providers'!$E$4:$E$503,135))&amp;") – "&amp;IF(LEN(INDEX('Providers'!$A$4:$A$503,135))=0,"",INDEX('Providers'!$A$4:$A$503,135))</f>
        <v/>
      </c>
      <c r="E638">
        <f>IF(ISNUMBER(INDEX('Providers'!$I$4:$I$503,135)),TEXT(INDEX('Providers'!$I$4:$I$503,135),"yyyy-mm-dd"),"")</f>
        <v/>
      </c>
      <c r="F638">
        <f>"Registration"</f>
        <v/>
      </c>
      <c r="G638">
        <f>""</f>
        <v/>
      </c>
      <c r="H638">
        <f>"High"</f>
        <v/>
      </c>
      <c r="I638">
        <f>TRIM(IF(LEN(IF(LEN(INDEX('Providers'!$H$4:$H$503,135))=0,"",INDEX('Providers'!$H$4:$H$503,135)))=0,"","DEA no.: "&amp;IF(LEN(INDEX('Providers'!$H$4:$H$503,135))=0,"",INDEX('Providers'!$H$4:$H$503,135))&amp;". ")&amp;IF(LEN(IF(LEN(INDEX('Providers'!$C$4:$C$503,135))=0,"",INDEX('Providers'!$C$4:$C$503,135)))=0,"","NPI: "&amp;IF(LEN(INDEX('Providers'!$C$4:$C$503,135))=0,"",INDEX('Providers'!$C$4:$C$503,135))&amp;". "))</f>
        <v/>
      </c>
      <c r="J638">
        <f>IF(LEN(INDEX('Providers'!$AJ$4:$AJ$503,135))=0,"",INDEX('Providers'!$AJ$4:$AJ$503,135))</f>
        <v/>
      </c>
      <c r="K638">
        <f>IF(LEN(INDEX('Providers'!$AI$4:$AI$503,135))=0,"",INDEX('Providers'!$AI$4:$AI$503,135))</f>
        <v/>
      </c>
    </row>
    <row r="639">
      <c r="A639">
        <f>IF(AND(LEN('Providers'!A139)&gt;0,ISNUMBER('Providers'!I139)),1,0)</f>
        <v/>
      </c>
      <c r="B639">
        <f>B638+A639</f>
        <v/>
      </c>
      <c r="C639">
        <f>IF(636&gt;$B$4503,"",MATCH(636-0.5,$B$3:$B$4503,1))</f>
        <v/>
      </c>
      <c r="D639">
        <f>"DEA registration ("&amp;IF(LEN(INDEX('Providers'!$E$4:$E$503,136))=0,"",INDEX('Providers'!$E$4:$E$503,136))&amp;") – "&amp;IF(LEN(INDEX('Providers'!$A$4:$A$503,136))=0,"",INDEX('Providers'!$A$4:$A$503,136))</f>
        <v/>
      </c>
      <c r="E639">
        <f>IF(ISNUMBER(INDEX('Providers'!$I$4:$I$503,136)),TEXT(INDEX('Providers'!$I$4:$I$503,136),"yyyy-mm-dd"),"")</f>
        <v/>
      </c>
      <c r="F639">
        <f>"Registration"</f>
        <v/>
      </c>
      <c r="G639">
        <f>""</f>
        <v/>
      </c>
      <c r="H639">
        <f>"High"</f>
        <v/>
      </c>
      <c r="I639">
        <f>TRIM(IF(LEN(IF(LEN(INDEX('Providers'!$H$4:$H$503,136))=0,"",INDEX('Providers'!$H$4:$H$503,136)))=0,"","DEA no.: "&amp;IF(LEN(INDEX('Providers'!$H$4:$H$503,136))=0,"",INDEX('Providers'!$H$4:$H$503,136))&amp;". ")&amp;IF(LEN(IF(LEN(INDEX('Providers'!$C$4:$C$503,136))=0,"",INDEX('Providers'!$C$4:$C$503,136)))=0,"","NPI: "&amp;IF(LEN(INDEX('Providers'!$C$4:$C$503,136))=0,"",INDEX('Providers'!$C$4:$C$503,136))&amp;". "))</f>
        <v/>
      </c>
      <c r="J639">
        <f>IF(LEN(INDEX('Providers'!$AJ$4:$AJ$503,136))=0,"",INDEX('Providers'!$AJ$4:$AJ$503,136))</f>
        <v/>
      </c>
      <c r="K639">
        <f>IF(LEN(INDEX('Providers'!$AI$4:$AI$503,136))=0,"",INDEX('Providers'!$AI$4:$AI$503,136))</f>
        <v/>
      </c>
    </row>
    <row r="640">
      <c r="A640">
        <f>IF(AND(LEN('Providers'!A140)&gt;0,ISNUMBER('Providers'!I140)),1,0)</f>
        <v/>
      </c>
      <c r="B640">
        <f>B639+A640</f>
        <v/>
      </c>
      <c r="C640">
        <f>IF(637&gt;$B$4503,"",MATCH(637-0.5,$B$3:$B$4503,1))</f>
        <v/>
      </c>
      <c r="D640">
        <f>"DEA registration ("&amp;IF(LEN(INDEX('Providers'!$E$4:$E$503,137))=0,"",INDEX('Providers'!$E$4:$E$503,137))&amp;") – "&amp;IF(LEN(INDEX('Providers'!$A$4:$A$503,137))=0,"",INDEX('Providers'!$A$4:$A$503,137))</f>
        <v/>
      </c>
      <c r="E640">
        <f>IF(ISNUMBER(INDEX('Providers'!$I$4:$I$503,137)),TEXT(INDEX('Providers'!$I$4:$I$503,137),"yyyy-mm-dd"),"")</f>
        <v/>
      </c>
      <c r="F640">
        <f>"Registration"</f>
        <v/>
      </c>
      <c r="G640">
        <f>""</f>
        <v/>
      </c>
      <c r="H640">
        <f>"High"</f>
        <v/>
      </c>
      <c r="I640">
        <f>TRIM(IF(LEN(IF(LEN(INDEX('Providers'!$H$4:$H$503,137))=0,"",INDEX('Providers'!$H$4:$H$503,137)))=0,"","DEA no.: "&amp;IF(LEN(INDEX('Providers'!$H$4:$H$503,137))=0,"",INDEX('Providers'!$H$4:$H$503,137))&amp;". ")&amp;IF(LEN(IF(LEN(INDEX('Providers'!$C$4:$C$503,137))=0,"",INDEX('Providers'!$C$4:$C$503,137)))=0,"","NPI: "&amp;IF(LEN(INDEX('Providers'!$C$4:$C$503,137))=0,"",INDEX('Providers'!$C$4:$C$503,137))&amp;". "))</f>
        <v/>
      </c>
      <c r="J640">
        <f>IF(LEN(INDEX('Providers'!$AJ$4:$AJ$503,137))=0,"",INDEX('Providers'!$AJ$4:$AJ$503,137))</f>
        <v/>
      </c>
      <c r="K640">
        <f>IF(LEN(INDEX('Providers'!$AI$4:$AI$503,137))=0,"",INDEX('Providers'!$AI$4:$AI$503,137))</f>
        <v/>
      </c>
    </row>
    <row r="641">
      <c r="A641">
        <f>IF(AND(LEN('Providers'!A141)&gt;0,ISNUMBER('Providers'!I141)),1,0)</f>
        <v/>
      </c>
      <c r="B641">
        <f>B640+A641</f>
        <v/>
      </c>
      <c r="C641">
        <f>IF(638&gt;$B$4503,"",MATCH(638-0.5,$B$3:$B$4503,1))</f>
        <v/>
      </c>
      <c r="D641">
        <f>"DEA registration ("&amp;IF(LEN(INDEX('Providers'!$E$4:$E$503,138))=0,"",INDEX('Providers'!$E$4:$E$503,138))&amp;") – "&amp;IF(LEN(INDEX('Providers'!$A$4:$A$503,138))=0,"",INDEX('Providers'!$A$4:$A$503,138))</f>
        <v/>
      </c>
      <c r="E641">
        <f>IF(ISNUMBER(INDEX('Providers'!$I$4:$I$503,138)),TEXT(INDEX('Providers'!$I$4:$I$503,138),"yyyy-mm-dd"),"")</f>
        <v/>
      </c>
      <c r="F641">
        <f>"Registration"</f>
        <v/>
      </c>
      <c r="G641">
        <f>""</f>
        <v/>
      </c>
      <c r="H641">
        <f>"High"</f>
        <v/>
      </c>
      <c r="I641">
        <f>TRIM(IF(LEN(IF(LEN(INDEX('Providers'!$H$4:$H$503,138))=0,"",INDEX('Providers'!$H$4:$H$503,138)))=0,"","DEA no.: "&amp;IF(LEN(INDEX('Providers'!$H$4:$H$503,138))=0,"",INDEX('Providers'!$H$4:$H$503,138))&amp;". ")&amp;IF(LEN(IF(LEN(INDEX('Providers'!$C$4:$C$503,138))=0,"",INDEX('Providers'!$C$4:$C$503,138)))=0,"","NPI: "&amp;IF(LEN(INDEX('Providers'!$C$4:$C$503,138))=0,"",INDEX('Providers'!$C$4:$C$503,138))&amp;". "))</f>
        <v/>
      </c>
      <c r="J641">
        <f>IF(LEN(INDEX('Providers'!$AJ$4:$AJ$503,138))=0,"",INDEX('Providers'!$AJ$4:$AJ$503,138))</f>
        <v/>
      </c>
      <c r="K641">
        <f>IF(LEN(INDEX('Providers'!$AI$4:$AI$503,138))=0,"",INDEX('Providers'!$AI$4:$AI$503,138))</f>
        <v/>
      </c>
    </row>
    <row r="642">
      <c r="A642">
        <f>IF(AND(LEN('Providers'!A142)&gt;0,ISNUMBER('Providers'!I142)),1,0)</f>
        <v/>
      </c>
      <c r="B642">
        <f>B641+A642</f>
        <v/>
      </c>
      <c r="C642">
        <f>IF(639&gt;$B$4503,"",MATCH(639-0.5,$B$3:$B$4503,1))</f>
        <v/>
      </c>
      <c r="D642">
        <f>"DEA registration ("&amp;IF(LEN(INDEX('Providers'!$E$4:$E$503,139))=0,"",INDEX('Providers'!$E$4:$E$503,139))&amp;") – "&amp;IF(LEN(INDEX('Providers'!$A$4:$A$503,139))=0,"",INDEX('Providers'!$A$4:$A$503,139))</f>
        <v/>
      </c>
      <c r="E642">
        <f>IF(ISNUMBER(INDEX('Providers'!$I$4:$I$503,139)),TEXT(INDEX('Providers'!$I$4:$I$503,139),"yyyy-mm-dd"),"")</f>
        <v/>
      </c>
      <c r="F642">
        <f>"Registration"</f>
        <v/>
      </c>
      <c r="G642">
        <f>""</f>
        <v/>
      </c>
      <c r="H642">
        <f>"High"</f>
        <v/>
      </c>
      <c r="I642">
        <f>TRIM(IF(LEN(IF(LEN(INDEX('Providers'!$H$4:$H$503,139))=0,"",INDEX('Providers'!$H$4:$H$503,139)))=0,"","DEA no.: "&amp;IF(LEN(INDEX('Providers'!$H$4:$H$503,139))=0,"",INDEX('Providers'!$H$4:$H$503,139))&amp;". ")&amp;IF(LEN(IF(LEN(INDEX('Providers'!$C$4:$C$503,139))=0,"",INDEX('Providers'!$C$4:$C$503,139)))=0,"","NPI: "&amp;IF(LEN(INDEX('Providers'!$C$4:$C$503,139))=0,"",INDEX('Providers'!$C$4:$C$503,139))&amp;". "))</f>
        <v/>
      </c>
      <c r="J642">
        <f>IF(LEN(INDEX('Providers'!$AJ$4:$AJ$503,139))=0,"",INDEX('Providers'!$AJ$4:$AJ$503,139))</f>
        <v/>
      </c>
      <c r="K642">
        <f>IF(LEN(INDEX('Providers'!$AI$4:$AI$503,139))=0,"",INDEX('Providers'!$AI$4:$AI$503,139))</f>
        <v/>
      </c>
    </row>
    <row r="643">
      <c r="A643">
        <f>IF(AND(LEN('Providers'!A143)&gt;0,ISNUMBER('Providers'!I143)),1,0)</f>
        <v/>
      </c>
      <c r="B643">
        <f>B642+A643</f>
        <v/>
      </c>
      <c r="C643">
        <f>IF(640&gt;$B$4503,"",MATCH(640-0.5,$B$3:$B$4503,1))</f>
        <v/>
      </c>
      <c r="D643">
        <f>"DEA registration ("&amp;IF(LEN(INDEX('Providers'!$E$4:$E$503,140))=0,"",INDEX('Providers'!$E$4:$E$503,140))&amp;") – "&amp;IF(LEN(INDEX('Providers'!$A$4:$A$503,140))=0,"",INDEX('Providers'!$A$4:$A$503,140))</f>
        <v/>
      </c>
      <c r="E643">
        <f>IF(ISNUMBER(INDEX('Providers'!$I$4:$I$503,140)),TEXT(INDEX('Providers'!$I$4:$I$503,140),"yyyy-mm-dd"),"")</f>
        <v/>
      </c>
      <c r="F643">
        <f>"Registration"</f>
        <v/>
      </c>
      <c r="G643">
        <f>""</f>
        <v/>
      </c>
      <c r="H643">
        <f>"High"</f>
        <v/>
      </c>
      <c r="I643">
        <f>TRIM(IF(LEN(IF(LEN(INDEX('Providers'!$H$4:$H$503,140))=0,"",INDEX('Providers'!$H$4:$H$503,140)))=0,"","DEA no.: "&amp;IF(LEN(INDEX('Providers'!$H$4:$H$503,140))=0,"",INDEX('Providers'!$H$4:$H$503,140))&amp;". ")&amp;IF(LEN(IF(LEN(INDEX('Providers'!$C$4:$C$503,140))=0,"",INDEX('Providers'!$C$4:$C$503,140)))=0,"","NPI: "&amp;IF(LEN(INDEX('Providers'!$C$4:$C$503,140))=0,"",INDEX('Providers'!$C$4:$C$503,140))&amp;". "))</f>
        <v/>
      </c>
      <c r="J643">
        <f>IF(LEN(INDEX('Providers'!$AJ$4:$AJ$503,140))=0,"",INDEX('Providers'!$AJ$4:$AJ$503,140))</f>
        <v/>
      </c>
      <c r="K643">
        <f>IF(LEN(INDEX('Providers'!$AI$4:$AI$503,140))=0,"",INDEX('Providers'!$AI$4:$AI$503,140))</f>
        <v/>
      </c>
    </row>
    <row r="644">
      <c r="A644">
        <f>IF(AND(LEN('Providers'!A144)&gt;0,ISNUMBER('Providers'!I144)),1,0)</f>
        <v/>
      </c>
      <c r="B644">
        <f>B643+A644</f>
        <v/>
      </c>
      <c r="C644">
        <f>IF(641&gt;$B$4503,"",MATCH(641-0.5,$B$3:$B$4503,1))</f>
        <v/>
      </c>
      <c r="D644">
        <f>"DEA registration ("&amp;IF(LEN(INDEX('Providers'!$E$4:$E$503,141))=0,"",INDEX('Providers'!$E$4:$E$503,141))&amp;") – "&amp;IF(LEN(INDEX('Providers'!$A$4:$A$503,141))=0,"",INDEX('Providers'!$A$4:$A$503,141))</f>
        <v/>
      </c>
      <c r="E644">
        <f>IF(ISNUMBER(INDEX('Providers'!$I$4:$I$503,141)),TEXT(INDEX('Providers'!$I$4:$I$503,141),"yyyy-mm-dd"),"")</f>
        <v/>
      </c>
      <c r="F644">
        <f>"Registration"</f>
        <v/>
      </c>
      <c r="G644">
        <f>""</f>
        <v/>
      </c>
      <c r="H644">
        <f>"High"</f>
        <v/>
      </c>
      <c r="I644">
        <f>TRIM(IF(LEN(IF(LEN(INDEX('Providers'!$H$4:$H$503,141))=0,"",INDEX('Providers'!$H$4:$H$503,141)))=0,"","DEA no.: "&amp;IF(LEN(INDEX('Providers'!$H$4:$H$503,141))=0,"",INDEX('Providers'!$H$4:$H$503,141))&amp;". ")&amp;IF(LEN(IF(LEN(INDEX('Providers'!$C$4:$C$503,141))=0,"",INDEX('Providers'!$C$4:$C$503,141)))=0,"","NPI: "&amp;IF(LEN(INDEX('Providers'!$C$4:$C$503,141))=0,"",INDEX('Providers'!$C$4:$C$503,141))&amp;". "))</f>
        <v/>
      </c>
      <c r="J644">
        <f>IF(LEN(INDEX('Providers'!$AJ$4:$AJ$503,141))=0,"",INDEX('Providers'!$AJ$4:$AJ$503,141))</f>
        <v/>
      </c>
      <c r="K644">
        <f>IF(LEN(INDEX('Providers'!$AI$4:$AI$503,141))=0,"",INDEX('Providers'!$AI$4:$AI$503,141))</f>
        <v/>
      </c>
    </row>
    <row r="645">
      <c r="A645">
        <f>IF(AND(LEN('Providers'!A145)&gt;0,ISNUMBER('Providers'!I145)),1,0)</f>
        <v/>
      </c>
      <c r="B645">
        <f>B644+A645</f>
        <v/>
      </c>
      <c r="C645">
        <f>IF(642&gt;$B$4503,"",MATCH(642-0.5,$B$3:$B$4503,1))</f>
        <v/>
      </c>
      <c r="D645">
        <f>"DEA registration ("&amp;IF(LEN(INDEX('Providers'!$E$4:$E$503,142))=0,"",INDEX('Providers'!$E$4:$E$503,142))&amp;") – "&amp;IF(LEN(INDEX('Providers'!$A$4:$A$503,142))=0,"",INDEX('Providers'!$A$4:$A$503,142))</f>
        <v/>
      </c>
      <c r="E645">
        <f>IF(ISNUMBER(INDEX('Providers'!$I$4:$I$503,142)),TEXT(INDEX('Providers'!$I$4:$I$503,142),"yyyy-mm-dd"),"")</f>
        <v/>
      </c>
      <c r="F645">
        <f>"Registration"</f>
        <v/>
      </c>
      <c r="G645">
        <f>""</f>
        <v/>
      </c>
      <c r="H645">
        <f>"High"</f>
        <v/>
      </c>
      <c r="I645">
        <f>TRIM(IF(LEN(IF(LEN(INDEX('Providers'!$H$4:$H$503,142))=0,"",INDEX('Providers'!$H$4:$H$503,142)))=0,"","DEA no.: "&amp;IF(LEN(INDEX('Providers'!$H$4:$H$503,142))=0,"",INDEX('Providers'!$H$4:$H$503,142))&amp;". ")&amp;IF(LEN(IF(LEN(INDEX('Providers'!$C$4:$C$503,142))=0,"",INDEX('Providers'!$C$4:$C$503,142)))=0,"","NPI: "&amp;IF(LEN(INDEX('Providers'!$C$4:$C$503,142))=0,"",INDEX('Providers'!$C$4:$C$503,142))&amp;". "))</f>
        <v/>
      </c>
      <c r="J645">
        <f>IF(LEN(INDEX('Providers'!$AJ$4:$AJ$503,142))=0,"",INDEX('Providers'!$AJ$4:$AJ$503,142))</f>
        <v/>
      </c>
      <c r="K645">
        <f>IF(LEN(INDEX('Providers'!$AI$4:$AI$503,142))=0,"",INDEX('Providers'!$AI$4:$AI$503,142))</f>
        <v/>
      </c>
    </row>
    <row r="646">
      <c r="A646">
        <f>IF(AND(LEN('Providers'!A146)&gt;0,ISNUMBER('Providers'!I146)),1,0)</f>
        <v/>
      </c>
      <c r="B646">
        <f>B645+A646</f>
        <v/>
      </c>
      <c r="C646">
        <f>IF(643&gt;$B$4503,"",MATCH(643-0.5,$B$3:$B$4503,1))</f>
        <v/>
      </c>
      <c r="D646">
        <f>"DEA registration ("&amp;IF(LEN(INDEX('Providers'!$E$4:$E$503,143))=0,"",INDEX('Providers'!$E$4:$E$503,143))&amp;") – "&amp;IF(LEN(INDEX('Providers'!$A$4:$A$503,143))=0,"",INDEX('Providers'!$A$4:$A$503,143))</f>
        <v/>
      </c>
      <c r="E646">
        <f>IF(ISNUMBER(INDEX('Providers'!$I$4:$I$503,143)),TEXT(INDEX('Providers'!$I$4:$I$503,143),"yyyy-mm-dd"),"")</f>
        <v/>
      </c>
      <c r="F646">
        <f>"Registration"</f>
        <v/>
      </c>
      <c r="G646">
        <f>""</f>
        <v/>
      </c>
      <c r="H646">
        <f>"High"</f>
        <v/>
      </c>
      <c r="I646">
        <f>TRIM(IF(LEN(IF(LEN(INDEX('Providers'!$H$4:$H$503,143))=0,"",INDEX('Providers'!$H$4:$H$503,143)))=0,"","DEA no.: "&amp;IF(LEN(INDEX('Providers'!$H$4:$H$503,143))=0,"",INDEX('Providers'!$H$4:$H$503,143))&amp;". ")&amp;IF(LEN(IF(LEN(INDEX('Providers'!$C$4:$C$503,143))=0,"",INDEX('Providers'!$C$4:$C$503,143)))=0,"","NPI: "&amp;IF(LEN(INDEX('Providers'!$C$4:$C$503,143))=0,"",INDEX('Providers'!$C$4:$C$503,143))&amp;". "))</f>
        <v/>
      </c>
      <c r="J646">
        <f>IF(LEN(INDEX('Providers'!$AJ$4:$AJ$503,143))=0,"",INDEX('Providers'!$AJ$4:$AJ$503,143))</f>
        <v/>
      </c>
      <c r="K646">
        <f>IF(LEN(INDEX('Providers'!$AI$4:$AI$503,143))=0,"",INDEX('Providers'!$AI$4:$AI$503,143))</f>
        <v/>
      </c>
    </row>
    <row r="647">
      <c r="A647">
        <f>IF(AND(LEN('Providers'!A147)&gt;0,ISNUMBER('Providers'!I147)),1,0)</f>
        <v/>
      </c>
      <c r="B647">
        <f>B646+A647</f>
        <v/>
      </c>
      <c r="C647">
        <f>IF(644&gt;$B$4503,"",MATCH(644-0.5,$B$3:$B$4503,1))</f>
        <v/>
      </c>
      <c r="D647">
        <f>"DEA registration ("&amp;IF(LEN(INDEX('Providers'!$E$4:$E$503,144))=0,"",INDEX('Providers'!$E$4:$E$503,144))&amp;") – "&amp;IF(LEN(INDEX('Providers'!$A$4:$A$503,144))=0,"",INDEX('Providers'!$A$4:$A$503,144))</f>
        <v/>
      </c>
      <c r="E647">
        <f>IF(ISNUMBER(INDEX('Providers'!$I$4:$I$503,144)),TEXT(INDEX('Providers'!$I$4:$I$503,144),"yyyy-mm-dd"),"")</f>
        <v/>
      </c>
      <c r="F647">
        <f>"Registration"</f>
        <v/>
      </c>
      <c r="G647">
        <f>""</f>
        <v/>
      </c>
      <c r="H647">
        <f>"High"</f>
        <v/>
      </c>
      <c r="I647">
        <f>TRIM(IF(LEN(IF(LEN(INDEX('Providers'!$H$4:$H$503,144))=0,"",INDEX('Providers'!$H$4:$H$503,144)))=0,"","DEA no.: "&amp;IF(LEN(INDEX('Providers'!$H$4:$H$503,144))=0,"",INDEX('Providers'!$H$4:$H$503,144))&amp;". ")&amp;IF(LEN(IF(LEN(INDEX('Providers'!$C$4:$C$503,144))=0,"",INDEX('Providers'!$C$4:$C$503,144)))=0,"","NPI: "&amp;IF(LEN(INDEX('Providers'!$C$4:$C$503,144))=0,"",INDEX('Providers'!$C$4:$C$503,144))&amp;". "))</f>
        <v/>
      </c>
      <c r="J647">
        <f>IF(LEN(INDEX('Providers'!$AJ$4:$AJ$503,144))=0,"",INDEX('Providers'!$AJ$4:$AJ$503,144))</f>
        <v/>
      </c>
      <c r="K647">
        <f>IF(LEN(INDEX('Providers'!$AI$4:$AI$503,144))=0,"",INDEX('Providers'!$AI$4:$AI$503,144))</f>
        <v/>
      </c>
    </row>
    <row r="648">
      <c r="A648">
        <f>IF(AND(LEN('Providers'!A148)&gt;0,ISNUMBER('Providers'!I148)),1,0)</f>
        <v/>
      </c>
      <c r="B648">
        <f>B647+A648</f>
        <v/>
      </c>
      <c r="C648">
        <f>IF(645&gt;$B$4503,"",MATCH(645-0.5,$B$3:$B$4503,1))</f>
        <v/>
      </c>
      <c r="D648">
        <f>"DEA registration ("&amp;IF(LEN(INDEX('Providers'!$E$4:$E$503,145))=0,"",INDEX('Providers'!$E$4:$E$503,145))&amp;") – "&amp;IF(LEN(INDEX('Providers'!$A$4:$A$503,145))=0,"",INDEX('Providers'!$A$4:$A$503,145))</f>
        <v/>
      </c>
      <c r="E648">
        <f>IF(ISNUMBER(INDEX('Providers'!$I$4:$I$503,145)),TEXT(INDEX('Providers'!$I$4:$I$503,145),"yyyy-mm-dd"),"")</f>
        <v/>
      </c>
      <c r="F648">
        <f>"Registration"</f>
        <v/>
      </c>
      <c r="G648">
        <f>""</f>
        <v/>
      </c>
      <c r="H648">
        <f>"High"</f>
        <v/>
      </c>
      <c r="I648">
        <f>TRIM(IF(LEN(IF(LEN(INDEX('Providers'!$H$4:$H$503,145))=0,"",INDEX('Providers'!$H$4:$H$503,145)))=0,"","DEA no.: "&amp;IF(LEN(INDEX('Providers'!$H$4:$H$503,145))=0,"",INDEX('Providers'!$H$4:$H$503,145))&amp;". ")&amp;IF(LEN(IF(LEN(INDEX('Providers'!$C$4:$C$503,145))=0,"",INDEX('Providers'!$C$4:$C$503,145)))=0,"","NPI: "&amp;IF(LEN(INDEX('Providers'!$C$4:$C$503,145))=0,"",INDEX('Providers'!$C$4:$C$503,145))&amp;". "))</f>
        <v/>
      </c>
      <c r="J648">
        <f>IF(LEN(INDEX('Providers'!$AJ$4:$AJ$503,145))=0,"",INDEX('Providers'!$AJ$4:$AJ$503,145))</f>
        <v/>
      </c>
      <c r="K648">
        <f>IF(LEN(INDEX('Providers'!$AI$4:$AI$503,145))=0,"",INDEX('Providers'!$AI$4:$AI$503,145))</f>
        <v/>
      </c>
    </row>
    <row r="649">
      <c r="A649">
        <f>IF(AND(LEN('Providers'!A149)&gt;0,ISNUMBER('Providers'!I149)),1,0)</f>
        <v/>
      </c>
      <c r="B649">
        <f>B648+A649</f>
        <v/>
      </c>
      <c r="C649">
        <f>IF(646&gt;$B$4503,"",MATCH(646-0.5,$B$3:$B$4503,1))</f>
        <v/>
      </c>
      <c r="D649">
        <f>"DEA registration ("&amp;IF(LEN(INDEX('Providers'!$E$4:$E$503,146))=0,"",INDEX('Providers'!$E$4:$E$503,146))&amp;") – "&amp;IF(LEN(INDEX('Providers'!$A$4:$A$503,146))=0,"",INDEX('Providers'!$A$4:$A$503,146))</f>
        <v/>
      </c>
      <c r="E649">
        <f>IF(ISNUMBER(INDEX('Providers'!$I$4:$I$503,146)),TEXT(INDEX('Providers'!$I$4:$I$503,146),"yyyy-mm-dd"),"")</f>
        <v/>
      </c>
      <c r="F649">
        <f>"Registration"</f>
        <v/>
      </c>
      <c r="G649">
        <f>""</f>
        <v/>
      </c>
      <c r="H649">
        <f>"High"</f>
        <v/>
      </c>
      <c r="I649">
        <f>TRIM(IF(LEN(IF(LEN(INDEX('Providers'!$H$4:$H$503,146))=0,"",INDEX('Providers'!$H$4:$H$503,146)))=0,"","DEA no.: "&amp;IF(LEN(INDEX('Providers'!$H$4:$H$503,146))=0,"",INDEX('Providers'!$H$4:$H$503,146))&amp;". ")&amp;IF(LEN(IF(LEN(INDEX('Providers'!$C$4:$C$503,146))=0,"",INDEX('Providers'!$C$4:$C$503,146)))=0,"","NPI: "&amp;IF(LEN(INDEX('Providers'!$C$4:$C$503,146))=0,"",INDEX('Providers'!$C$4:$C$503,146))&amp;". "))</f>
        <v/>
      </c>
      <c r="J649">
        <f>IF(LEN(INDEX('Providers'!$AJ$4:$AJ$503,146))=0,"",INDEX('Providers'!$AJ$4:$AJ$503,146))</f>
        <v/>
      </c>
      <c r="K649">
        <f>IF(LEN(INDEX('Providers'!$AI$4:$AI$503,146))=0,"",INDEX('Providers'!$AI$4:$AI$503,146))</f>
        <v/>
      </c>
    </row>
    <row r="650">
      <c r="A650">
        <f>IF(AND(LEN('Providers'!A150)&gt;0,ISNUMBER('Providers'!I150)),1,0)</f>
        <v/>
      </c>
      <c r="B650">
        <f>B649+A650</f>
        <v/>
      </c>
      <c r="C650">
        <f>IF(647&gt;$B$4503,"",MATCH(647-0.5,$B$3:$B$4503,1))</f>
        <v/>
      </c>
      <c r="D650">
        <f>"DEA registration ("&amp;IF(LEN(INDEX('Providers'!$E$4:$E$503,147))=0,"",INDEX('Providers'!$E$4:$E$503,147))&amp;") – "&amp;IF(LEN(INDEX('Providers'!$A$4:$A$503,147))=0,"",INDEX('Providers'!$A$4:$A$503,147))</f>
        <v/>
      </c>
      <c r="E650">
        <f>IF(ISNUMBER(INDEX('Providers'!$I$4:$I$503,147)),TEXT(INDEX('Providers'!$I$4:$I$503,147),"yyyy-mm-dd"),"")</f>
        <v/>
      </c>
      <c r="F650">
        <f>"Registration"</f>
        <v/>
      </c>
      <c r="G650">
        <f>""</f>
        <v/>
      </c>
      <c r="H650">
        <f>"High"</f>
        <v/>
      </c>
      <c r="I650">
        <f>TRIM(IF(LEN(IF(LEN(INDEX('Providers'!$H$4:$H$503,147))=0,"",INDEX('Providers'!$H$4:$H$503,147)))=0,"","DEA no.: "&amp;IF(LEN(INDEX('Providers'!$H$4:$H$503,147))=0,"",INDEX('Providers'!$H$4:$H$503,147))&amp;". ")&amp;IF(LEN(IF(LEN(INDEX('Providers'!$C$4:$C$503,147))=0,"",INDEX('Providers'!$C$4:$C$503,147)))=0,"","NPI: "&amp;IF(LEN(INDEX('Providers'!$C$4:$C$503,147))=0,"",INDEX('Providers'!$C$4:$C$503,147))&amp;". "))</f>
        <v/>
      </c>
      <c r="J650">
        <f>IF(LEN(INDEX('Providers'!$AJ$4:$AJ$503,147))=0,"",INDEX('Providers'!$AJ$4:$AJ$503,147))</f>
        <v/>
      </c>
      <c r="K650">
        <f>IF(LEN(INDEX('Providers'!$AI$4:$AI$503,147))=0,"",INDEX('Providers'!$AI$4:$AI$503,147))</f>
        <v/>
      </c>
    </row>
    <row r="651">
      <c r="A651">
        <f>IF(AND(LEN('Providers'!A151)&gt;0,ISNUMBER('Providers'!I151)),1,0)</f>
        <v/>
      </c>
      <c r="B651">
        <f>B650+A651</f>
        <v/>
      </c>
      <c r="C651">
        <f>IF(648&gt;$B$4503,"",MATCH(648-0.5,$B$3:$B$4503,1))</f>
        <v/>
      </c>
      <c r="D651">
        <f>"DEA registration ("&amp;IF(LEN(INDEX('Providers'!$E$4:$E$503,148))=0,"",INDEX('Providers'!$E$4:$E$503,148))&amp;") – "&amp;IF(LEN(INDEX('Providers'!$A$4:$A$503,148))=0,"",INDEX('Providers'!$A$4:$A$503,148))</f>
        <v/>
      </c>
      <c r="E651">
        <f>IF(ISNUMBER(INDEX('Providers'!$I$4:$I$503,148)),TEXT(INDEX('Providers'!$I$4:$I$503,148),"yyyy-mm-dd"),"")</f>
        <v/>
      </c>
      <c r="F651">
        <f>"Registration"</f>
        <v/>
      </c>
      <c r="G651">
        <f>""</f>
        <v/>
      </c>
      <c r="H651">
        <f>"High"</f>
        <v/>
      </c>
      <c r="I651">
        <f>TRIM(IF(LEN(IF(LEN(INDEX('Providers'!$H$4:$H$503,148))=0,"",INDEX('Providers'!$H$4:$H$503,148)))=0,"","DEA no.: "&amp;IF(LEN(INDEX('Providers'!$H$4:$H$503,148))=0,"",INDEX('Providers'!$H$4:$H$503,148))&amp;". ")&amp;IF(LEN(IF(LEN(INDEX('Providers'!$C$4:$C$503,148))=0,"",INDEX('Providers'!$C$4:$C$503,148)))=0,"","NPI: "&amp;IF(LEN(INDEX('Providers'!$C$4:$C$503,148))=0,"",INDEX('Providers'!$C$4:$C$503,148))&amp;". "))</f>
        <v/>
      </c>
      <c r="J651">
        <f>IF(LEN(INDEX('Providers'!$AJ$4:$AJ$503,148))=0,"",INDEX('Providers'!$AJ$4:$AJ$503,148))</f>
        <v/>
      </c>
      <c r="K651">
        <f>IF(LEN(INDEX('Providers'!$AI$4:$AI$503,148))=0,"",INDEX('Providers'!$AI$4:$AI$503,148))</f>
        <v/>
      </c>
    </row>
    <row r="652">
      <c r="A652">
        <f>IF(AND(LEN('Providers'!A152)&gt;0,ISNUMBER('Providers'!I152)),1,0)</f>
        <v/>
      </c>
      <c r="B652">
        <f>B651+A652</f>
        <v/>
      </c>
      <c r="C652">
        <f>IF(649&gt;$B$4503,"",MATCH(649-0.5,$B$3:$B$4503,1))</f>
        <v/>
      </c>
      <c r="D652">
        <f>"DEA registration ("&amp;IF(LEN(INDEX('Providers'!$E$4:$E$503,149))=0,"",INDEX('Providers'!$E$4:$E$503,149))&amp;") – "&amp;IF(LEN(INDEX('Providers'!$A$4:$A$503,149))=0,"",INDEX('Providers'!$A$4:$A$503,149))</f>
        <v/>
      </c>
      <c r="E652">
        <f>IF(ISNUMBER(INDEX('Providers'!$I$4:$I$503,149)),TEXT(INDEX('Providers'!$I$4:$I$503,149),"yyyy-mm-dd"),"")</f>
        <v/>
      </c>
      <c r="F652">
        <f>"Registration"</f>
        <v/>
      </c>
      <c r="G652">
        <f>""</f>
        <v/>
      </c>
      <c r="H652">
        <f>"High"</f>
        <v/>
      </c>
      <c r="I652">
        <f>TRIM(IF(LEN(IF(LEN(INDEX('Providers'!$H$4:$H$503,149))=0,"",INDEX('Providers'!$H$4:$H$503,149)))=0,"","DEA no.: "&amp;IF(LEN(INDEX('Providers'!$H$4:$H$503,149))=0,"",INDEX('Providers'!$H$4:$H$503,149))&amp;". ")&amp;IF(LEN(IF(LEN(INDEX('Providers'!$C$4:$C$503,149))=0,"",INDEX('Providers'!$C$4:$C$503,149)))=0,"","NPI: "&amp;IF(LEN(INDEX('Providers'!$C$4:$C$503,149))=0,"",INDEX('Providers'!$C$4:$C$503,149))&amp;". "))</f>
        <v/>
      </c>
      <c r="J652">
        <f>IF(LEN(INDEX('Providers'!$AJ$4:$AJ$503,149))=0,"",INDEX('Providers'!$AJ$4:$AJ$503,149))</f>
        <v/>
      </c>
      <c r="K652">
        <f>IF(LEN(INDEX('Providers'!$AI$4:$AI$503,149))=0,"",INDEX('Providers'!$AI$4:$AI$503,149))</f>
        <v/>
      </c>
    </row>
    <row r="653">
      <c r="A653">
        <f>IF(AND(LEN('Providers'!A153)&gt;0,ISNUMBER('Providers'!I153)),1,0)</f>
        <v/>
      </c>
      <c r="B653">
        <f>B652+A653</f>
        <v/>
      </c>
      <c r="C653">
        <f>IF(650&gt;$B$4503,"",MATCH(650-0.5,$B$3:$B$4503,1))</f>
        <v/>
      </c>
      <c r="D653">
        <f>"DEA registration ("&amp;IF(LEN(INDEX('Providers'!$E$4:$E$503,150))=0,"",INDEX('Providers'!$E$4:$E$503,150))&amp;") – "&amp;IF(LEN(INDEX('Providers'!$A$4:$A$503,150))=0,"",INDEX('Providers'!$A$4:$A$503,150))</f>
        <v/>
      </c>
      <c r="E653">
        <f>IF(ISNUMBER(INDEX('Providers'!$I$4:$I$503,150)),TEXT(INDEX('Providers'!$I$4:$I$503,150),"yyyy-mm-dd"),"")</f>
        <v/>
      </c>
      <c r="F653">
        <f>"Registration"</f>
        <v/>
      </c>
      <c r="G653">
        <f>""</f>
        <v/>
      </c>
      <c r="H653">
        <f>"High"</f>
        <v/>
      </c>
      <c r="I653">
        <f>TRIM(IF(LEN(IF(LEN(INDEX('Providers'!$H$4:$H$503,150))=0,"",INDEX('Providers'!$H$4:$H$503,150)))=0,"","DEA no.: "&amp;IF(LEN(INDEX('Providers'!$H$4:$H$503,150))=0,"",INDEX('Providers'!$H$4:$H$503,150))&amp;". ")&amp;IF(LEN(IF(LEN(INDEX('Providers'!$C$4:$C$503,150))=0,"",INDEX('Providers'!$C$4:$C$503,150)))=0,"","NPI: "&amp;IF(LEN(INDEX('Providers'!$C$4:$C$503,150))=0,"",INDEX('Providers'!$C$4:$C$503,150))&amp;". "))</f>
        <v/>
      </c>
      <c r="J653">
        <f>IF(LEN(INDEX('Providers'!$AJ$4:$AJ$503,150))=0,"",INDEX('Providers'!$AJ$4:$AJ$503,150))</f>
        <v/>
      </c>
      <c r="K653">
        <f>IF(LEN(INDEX('Providers'!$AI$4:$AI$503,150))=0,"",INDEX('Providers'!$AI$4:$AI$503,150))</f>
        <v/>
      </c>
    </row>
    <row r="654">
      <c r="A654">
        <f>IF(AND(LEN('Providers'!A154)&gt;0,ISNUMBER('Providers'!I154)),1,0)</f>
        <v/>
      </c>
      <c r="B654">
        <f>B653+A654</f>
        <v/>
      </c>
      <c r="C654">
        <f>IF(651&gt;$B$4503,"",MATCH(651-0.5,$B$3:$B$4503,1))</f>
        <v/>
      </c>
      <c r="D654">
        <f>"DEA registration ("&amp;IF(LEN(INDEX('Providers'!$E$4:$E$503,151))=0,"",INDEX('Providers'!$E$4:$E$503,151))&amp;") – "&amp;IF(LEN(INDEX('Providers'!$A$4:$A$503,151))=0,"",INDEX('Providers'!$A$4:$A$503,151))</f>
        <v/>
      </c>
      <c r="E654">
        <f>IF(ISNUMBER(INDEX('Providers'!$I$4:$I$503,151)),TEXT(INDEX('Providers'!$I$4:$I$503,151),"yyyy-mm-dd"),"")</f>
        <v/>
      </c>
      <c r="F654">
        <f>"Registration"</f>
        <v/>
      </c>
      <c r="G654">
        <f>""</f>
        <v/>
      </c>
      <c r="H654">
        <f>"High"</f>
        <v/>
      </c>
      <c r="I654">
        <f>TRIM(IF(LEN(IF(LEN(INDEX('Providers'!$H$4:$H$503,151))=0,"",INDEX('Providers'!$H$4:$H$503,151)))=0,"","DEA no.: "&amp;IF(LEN(INDEX('Providers'!$H$4:$H$503,151))=0,"",INDEX('Providers'!$H$4:$H$503,151))&amp;". ")&amp;IF(LEN(IF(LEN(INDEX('Providers'!$C$4:$C$503,151))=0,"",INDEX('Providers'!$C$4:$C$503,151)))=0,"","NPI: "&amp;IF(LEN(INDEX('Providers'!$C$4:$C$503,151))=0,"",INDEX('Providers'!$C$4:$C$503,151))&amp;". "))</f>
        <v/>
      </c>
      <c r="J654">
        <f>IF(LEN(INDEX('Providers'!$AJ$4:$AJ$503,151))=0,"",INDEX('Providers'!$AJ$4:$AJ$503,151))</f>
        <v/>
      </c>
      <c r="K654">
        <f>IF(LEN(INDEX('Providers'!$AI$4:$AI$503,151))=0,"",INDEX('Providers'!$AI$4:$AI$503,151))</f>
        <v/>
      </c>
    </row>
    <row r="655">
      <c r="A655">
        <f>IF(AND(LEN('Providers'!A155)&gt;0,ISNUMBER('Providers'!I155)),1,0)</f>
        <v/>
      </c>
      <c r="B655">
        <f>B654+A655</f>
        <v/>
      </c>
      <c r="C655">
        <f>IF(652&gt;$B$4503,"",MATCH(652-0.5,$B$3:$B$4503,1))</f>
        <v/>
      </c>
      <c r="D655">
        <f>"DEA registration ("&amp;IF(LEN(INDEX('Providers'!$E$4:$E$503,152))=0,"",INDEX('Providers'!$E$4:$E$503,152))&amp;") – "&amp;IF(LEN(INDEX('Providers'!$A$4:$A$503,152))=0,"",INDEX('Providers'!$A$4:$A$503,152))</f>
        <v/>
      </c>
      <c r="E655">
        <f>IF(ISNUMBER(INDEX('Providers'!$I$4:$I$503,152)),TEXT(INDEX('Providers'!$I$4:$I$503,152),"yyyy-mm-dd"),"")</f>
        <v/>
      </c>
      <c r="F655">
        <f>"Registration"</f>
        <v/>
      </c>
      <c r="G655">
        <f>""</f>
        <v/>
      </c>
      <c r="H655">
        <f>"High"</f>
        <v/>
      </c>
      <c r="I655">
        <f>TRIM(IF(LEN(IF(LEN(INDEX('Providers'!$H$4:$H$503,152))=0,"",INDEX('Providers'!$H$4:$H$503,152)))=0,"","DEA no.: "&amp;IF(LEN(INDEX('Providers'!$H$4:$H$503,152))=0,"",INDEX('Providers'!$H$4:$H$503,152))&amp;". ")&amp;IF(LEN(IF(LEN(INDEX('Providers'!$C$4:$C$503,152))=0,"",INDEX('Providers'!$C$4:$C$503,152)))=0,"","NPI: "&amp;IF(LEN(INDEX('Providers'!$C$4:$C$503,152))=0,"",INDEX('Providers'!$C$4:$C$503,152))&amp;". "))</f>
        <v/>
      </c>
      <c r="J655">
        <f>IF(LEN(INDEX('Providers'!$AJ$4:$AJ$503,152))=0,"",INDEX('Providers'!$AJ$4:$AJ$503,152))</f>
        <v/>
      </c>
      <c r="K655">
        <f>IF(LEN(INDEX('Providers'!$AI$4:$AI$503,152))=0,"",INDEX('Providers'!$AI$4:$AI$503,152))</f>
        <v/>
      </c>
    </row>
    <row r="656">
      <c r="A656">
        <f>IF(AND(LEN('Providers'!A156)&gt;0,ISNUMBER('Providers'!I156)),1,0)</f>
        <v/>
      </c>
      <c r="B656">
        <f>B655+A656</f>
        <v/>
      </c>
      <c r="C656">
        <f>IF(653&gt;$B$4503,"",MATCH(653-0.5,$B$3:$B$4503,1))</f>
        <v/>
      </c>
      <c r="D656">
        <f>"DEA registration ("&amp;IF(LEN(INDEX('Providers'!$E$4:$E$503,153))=0,"",INDEX('Providers'!$E$4:$E$503,153))&amp;") – "&amp;IF(LEN(INDEX('Providers'!$A$4:$A$503,153))=0,"",INDEX('Providers'!$A$4:$A$503,153))</f>
        <v/>
      </c>
      <c r="E656">
        <f>IF(ISNUMBER(INDEX('Providers'!$I$4:$I$503,153)),TEXT(INDEX('Providers'!$I$4:$I$503,153),"yyyy-mm-dd"),"")</f>
        <v/>
      </c>
      <c r="F656">
        <f>"Registration"</f>
        <v/>
      </c>
      <c r="G656">
        <f>""</f>
        <v/>
      </c>
      <c r="H656">
        <f>"High"</f>
        <v/>
      </c>
      <c r="I656">
        <f>TRIM(IF(LEN(IF(LEN(INDEX('Providers'!$H$4:$H$503,153))=0,"",INDEX('Providers'!$H$4:$H$503,153)))=0,"","DEA no.: "&amp;IF(LEN(INDEX('Providers'!$H$4:$H$503,153))=0,"",INDEX('Providers'!$H$4:$H$503,153))&amp;". ")&amp;IF(LEN(IF(LEN(INDEX('Providers'!$C$4:$C$503,153))=0,"",INDEX('Providers'!$C$4:$C$503,153)))=0,"","NPI: "&amp;IF(LEN(INDEX('Providers'!$C$4:$C$503,153))=0,"",INDEX('Providers'!$C$4:$C$503,153))&amp;". "))</f>
        <v/>
      </c>
      <c r="J656">
        <f>IF(LEN(INDEX('Providers'!$AJ$4:$AJ$503,153))=0,"",INDEX('Providers'!$AJ$4:$AJ$503,153))</f>
        <v/>
      </c>
      <c r="K656">
        <f>IF(LEN(INDEX('Providers'!$AI$4:$AI$503,153))=0,"",INDEX('Providers'!$AI$4:$AI$503,153))</f>
        <v/>
      </c>
    </row>
    <row r="657">
      <c r="A657">
        <f>IF(AND(LEN('Providers'!A157)&gt;0,ISNUMBER('Providers'!I157)),1,0)</f>
        <v/>
      </c>
      <c r="B657">
        <f>B656+A657</f>
        <v/>
      </c>
      <c r="C657">
        <f>IF(654&gt;$B$4503,"",MATCH(654-0.5,$B$3:$B$4503,1))</f>
        <v/>
      </c>
      <c r="D657">
        <f>"DEA registration ("&amp;IF(LEN(INDEX('Providers'!$E$4:$E$503,154))=0,"",INDEX('Providers'!$E$4:$E$503,154))&amp;") – "&amp;IF(LEN(INDEX('Providers'!$A$4:$A$503,154))=0,"",INDEX('Providers'!$A$4:$A$503,154))</f>
        <v/>
      </c>
      <c r="E657">
        <f>IF(ISNUMBER(INDEX('Providers'!$I$4:$I$503,154)),TEXT(INDEX('Providers'!$I$4:$I$503,154),"yyyy-mm-dd"),"")</f>
        <v/>
      </c>
      <c r="F657">
        <f>"Registration"</f>
        <v/>
      </c>
      <c r="G657">
        <f>""</f>
        <v/>
      </c>
      <c r="H657">
        <f>"High"</f>
        <v/>
      </c>
      <c r="I657">
        <f>TRIM(IF(LEN(IF(LEN(INDEX('Providers'!$H$4:$H$503,154))=0,"",INDEX('Providers'!$H$4:$H$503,154)))=0,"","DEA no.: "&amp;IF(LEN(INDEX('Providers'!$H$4:$H$503,154))=0,"",INDEX('Providers'!$H$4:$H$503,154))&amp;". ")&amp;IF(LEN(IF(LEN(INDEX('Providers'!$C$4:$C$503,154))=0,"",INDEX('Providers'!$C$4:$C$503,154)))=0,"","NPI: "&amp;IF(LEN(INDEX('Providers'!$C$4:$C$503,154))=0,"",INDEX('Providers'!$C$4:$C$503,154))&amp;". "))</f>
        <v/>
      </c>
      <c r="J657">
        <f>IF(LEN(INDEX('Providers'!$AJ$4:$AJ$503,154))=0,"",INDEX('Providers'!$AJ$4:$AJ$503,154))</f>
        <v/>
      </c>
      <c r="K657">
        <f>IF(LEN(INDEX('Providers'!$AI$4:$AI$503,154))=0,"",INDEX('Providers'!$AI$4:$AI$503,154))</f>
        <v/>
      </c>
    </row>
    <row r="658">
      <c r="A658">
        <f>IF(AND(LEN('Providers'!A158)&gt;0,ISNUMBER('Providers'!I158)),1,0)</f>
        <v/>
      </c>
      <c r="B658">
        <f>B657+A658</f>
        <v/>
      </c>
      <c r="C658">
        <f>IF(655&gt;$B$4503,"",MATCH(655-0.5,$B$3:$B$4503,1))</f>
        <v/>
      </c>
      <c r="D658">
        <f>"DEA registration ("&amp;IF(LEN(INDEX('Providers'!$E$4:$E$503,155))=0,"",INDEX('Providers'!$E$4:$E$503,155))&amp;") – "&amp;IF(LEN(INDEX('Providers'!$A$4:$A$503,155))=0,"",INDEX('Providers'!$A$4:$A$503,155))</f>
        <v/>
      </c>
      <c r="E658">
        <f>IF(ISNUMBER(INDEX('Providers'!$I$4:$I$503,155)),TEXT(INDEX('Providers'!$I$4:$I$503,155),"yyyy-mm-dd"),"")</f>
        <v/>
      </c>
      <c r="F658">
        <f>"Registration"</f>
        <v/>
      </c>
      <c r="G658">
        <f>""</f>
        <v/>
      </c>
      <c r="H658">
        <f>"High"</f>
        <v/>
      </c>
      <c r="I658">
        <f>TRIM(IF(LEN(IF(LEN(INDEX('Providers'!$H$4:$H$503,155))=0,"",INDEX('Providers'!$H$4:$H$503,155)))=0,"","DEA no.: "&amp;IF(LEN(INDEX('Providers'!$H$4:$H$503,155))=0,"",INDEX('Providers'!$H$4:$H$503,155))&amp;". ")&amp;IF(LEN(IF(LEN(INDEX('Providers'!$C$4:$C$503,155))=0,"",INDEX('Providers'!$C$4:$C$503,155)))=0,"","NPI: "&amp;IF(LEN(INDEX('Providers'!$C$4:$C$503,155))=0,"",INDEX('Providers'!$C$4:$C$503,155))&amp;". "))</f>
        <v/>
      </c>
      <c r="J658">
        <f>IF(LEN(INDEX('Providers'!$AJ$4:$AJ$503,155))=0,"",INDEX('Providers'!$AJ$4:$AJ$503,155))</f>
        <v/>
      </c>
      <c r="K658">
        <f>IF(LEN(INDEX('Providers'!$AI$4:$AI$503,155))=0,"",INDEX('Providers'!$AI$4:$AI$503,155))</f>
        <v/>
      </c>
    </row>
    <row r="659">
      <c r="A659">
        <f>IF(AND(LEN('Providers'!A159)&gt;0,ISNUMBER('Providers'!I159)),1,0)</f>
        <v/>
      </c>
      <c r="B659">
        <f>B658+A659</f>
        <v/>
      </c>
      <c r="C659">
        <f>IF(656&gt;$B$4503,"",MATCH(656-0.5,$B$3:$B$4503,1))</f>
        <v/>
      </c>
      <c r="D659">
        <f>"DEA registration ("&amp;IF(LEN(INDEX('Providers'!$E$4:$E$503,156))=0,"",INDEX('Providers'!$E$4:$E$503,156))&amp;") – "&amp;IF(LEN(INDEX('Providers'!$A$4:$A$503,156))=0,"",INDEX('Providers'!$A$4:$A$503,156))</f>
        <v/>
      </c>
      <c r="E659">
        <f>IF(ISNUMBER(INDEX('Providers'!$I$4:$I$503,156)),TEXT(INDEX('Providers'!$I$4:$I$503,156),"yyyy-mm-dd"),"")</f>
        <v/>
      </c>
      <c r="F659">
        <f>"Registration"</f>
        <v/>
      </c>
      <c r="G659">
        <f>""</f>
        <v/>
      </c>
      <c r="H659">
        <f>"High"</f>
        <v/>
      </c>
      <c r="I659">
        <f>TRIM(IF(LEN(IF(LEN(INDEX('Providers'!$H$4:$H$503,156))=0,"",INDEX('Providers'!$H$4:$H$503,156)))=0,"","DEA no.: "&amp;IF(LEN(INDEX('Providers'!$H$4:$H$503,156))=0,"",INDEX('Providers'!$H$4:$H$503,156))&amp;". ")&amp;IF(LEN(IF(LEN(INDEX('Providers'!$C$4:$C$503,156))=0,"",INDEX('Providers'!$C$4:$C$503,156)))=0,"","NPI: "&amp;IF(LEN(INDEX('Providers'!$C$4:$C$503,156))=0,"",INDEX('Providers'!$C$4:$C$503,156))&amp;". "))</f>
        <v/>
      </c>
      <c r="J659">
        <f>IF(LEN(INDEX('Providers'!$AJ$4:$AJ$503,156))=0,"",INDEX('Providers'!$AJ$4:$AJ$503,156))</f>
        <v/>
      </c>
      <c r="K659">
        <f>IF(LEN(INDEX('Providers'!$AI$4:$AI$503,156))=0,"",INDEX('Providers'!$AI$4:$AI$503,156))</f>
        <v/>
      </c>
    </row>
    <row r="660">
      <c r="A660">
        <f>IF(AND(LEN('Providers'!A160)&gt;0,ISNUMBER('Providers'!I160)),1,0)</f>
        <v/>
      </c>
      <c r="B660">
        <f>B659+A660</f>
        <v/>
      </c>
      <c r="C660">
        <f>IF(657&gt;$B$4503,"",MATCH(657-0.5,$B$3:$B$4503,1))</f>
        <v/>
      </c>
      <c r="D660">
        <f>"DEA registration ("&amp;IF(LEN(INDEX('Providers'!$E$4:$E$503,157))=0,"",INDEX('Providers'!$E$4:$E$503,157))&amp;") – "&amp;IF(LEN(INDEX('Providers'!$A$4:$A$503,157))=0,"",INDEX('Providers'!$A$4:$A$503,157))</f>
        <v/>
      </c>
      <c r="E660">
        <f>IF(ISNUMBER(INDEX('Providers'!$I$4:$I$503,157)),TEXT(INDEX('Providers'!$I$4:$I$503,157),"yyyy-mm-dd"),"")</f>
        <v/>
      </c>
      <c r="F660">
        <f>"Registration"</f>
        <v/>
      </c>
      <c r="G660">
        <f>""</f>
        <v/>
      </c>
      <c r="H660">
        <f>"High"</f>
        <v/>
      </c>
      <c r="I660">
        <f>TRIM(IF(LEN(IF(LEN(INDEX('Providers'!$H$4:$H$503,157))=0,"",INDEX('Providers'!$H$4:$H$503,157)))=0,"","DEA no.: "&amp;IF(LEN(INDEX('Providers'!$H$4:$H$503,157))=0,"",INDEX('Providers'!$H$4:$H$503,157))&amp;". ")&amp;IF(LEN(IF(LEN(INDEX('Providers'!$C$4:$C$503,157))=0,"",INDEX('Providers'!$C$4:$C$503,157)))=0,"","NPI: "&amp;IF(LEN(INDEX('Providers'!$C$4:$C$503,157))=0,"",INDEX('Providers'!$C$4:$C$503,157))&amp;". "))</f>
        <v/>
      </c>
      <c r="J660">
        <f>IF(LEN(INDEX('Providers'!$AJ$4:$AJ$503,157))=0,"",INDEX('Providers'!$AJ$4:$AJ$503,157))</f>
        <v/>
      </c>
      <c r="K660">
        <f>IF(LEN(INDEX('Providers'!$AI$4:$AI$503,157))=0,"",INDEX('Providers'!$AI$4:$AI$503,157))</f>
        <v/>
      </c>
    </row>
    <row r="661">
      <c r="A661">
        <f>IF(AND(LEN('Providers'!A161)&gt;0,ISNUMBER('Providers'!I161)),1,0)</f>
        <v/>
      </c>
      <c r="B661">
        <f>B660+A661</f>
        <v/>
      </c>
      <c r="C661">
        <f>IF(658&gt;$B$4503,"",MATCH(658-0.5,$B$3:$B$4503,1))</f>
        <v/>
      </c>
      <c r="D661">
        <f>"DEA registration ("&amp;IF(LEN(INDEX('Providers'!$E$4:$E$503,158))=0,"",INDEX('Providers'!$E$4:$E$503,158))&amp;") – "&amp;IF(LEN(INDEX('Providers'!$A$4:$A$503,158))=0,"",INDEX('Providers'!$A$4:$A$503,158))</f>
        <v/>
      </c>
      <c r="E661">
        <f>IF(ISNUMBER(INDEX('Providers'!$I$4:$I$503,158)),TEXT(INDEX('Providers'!$I$4:$I$503,158),"yyyy-mm-dd"),"")</f>
        <v/>
      </c>
      <c r="F661">
        <f>"Registration"</f>
        <v/>
      </c>
      <c r="G661">
        <f>""</f>
        <v/>
      </c>
      <c r="H661">
        <f>"High"</f>
        <v/>
      </c>
      <c r="I661">
        <f>TRIM(IF(LEN(IF(LEN(INDEX('Providers'!$H$4:$H$503,158))=0,"",INDEX('Providers'!$H$4:$H$503,158)))=0,"","DEA no.: "&amp;IF(LEN(INDEX('Providers'!$H$4:$H$503,158))=0,"",INDEX('Providers'!$H$4:$H$503,158))&amp;". ")&amp;IF(LEN(IF(LEN(INDEX('Providers'!$C$4:$C$503,158))=0,"",INDEX('Providers'!$C$4:$C$503,158)))=0,"","NPI: "&amp;IF(LEN(INDEX('Providers'!$C$4:$C$503,158))=0,"",INDEX('Providers'!$C$4:$C$503,158))&amp;". "))</f>
        <v/>
      </c>
      <c r="J661">
        <f>IF(LEN(INDEX('Providers'!$AJ$4:$AJ$503,158))=0,"",INDEX('Providers'!$AJ$4:$AJ$503,158))</f>
        <v/>
      </c>
      <c r="K661">
        <f>IF(LEN(INDEX('Providers'!$AI$4:$AI$503,158))=0,"",INDEX('Providers'!$AI$4:$AI$503,158))</f>
        <v/>
      </c>
    </row>
    <row r="662">
      <c r="A662">
        <f>IF(AND(LEN('Providers'!A162)&gt;0,ISNUMBER('Providers'!I162)),1,0)</f>
        <v/>
      </c>
      <c r="B662">
        <f>B661+A662</f>
        <v/>
      </c>
      <c r="C662">
        <f>IF(659&gt;$B$4503,"",MATCH(659-0.5,$B$3:$B$4503,1))</f>
        <v/>
      </c>
      <c r="D662">
        <f>"DEA registration ("&amp;IF(LEN(INDEX('Providers'!$E$4:$E$503,159))=0,"",INDEX('Providers'!$E$4:$E$503,159))&amp;") – "&amp;IF(LEN(INDEX('Providers'!$A$4:$A$503,159))=0,"",INDEX('Providers'!$A$4:$A$503,159))</f>
        <v/>
      </c>
      <c r="E662">
        <f>IF(ISNUMBER(INDEX('Providers'!$I$4:$I$503,159)),TEXT(INDEX('Providers'!$I$4:$I$503,159),"yyyy-mm-dd"),"")</f>
        <v/>
      </c>
      <c r="F662">
        <f>"Registration"</f>
        <v/>
      </c>
      <c r="G662">
        <f>""</f>
        <v/>
      </c>
      <c r="H662">
        <f>"High"</f>
        <v/>
      </c>
      <c r="I662">
        <f>TRIM(IF(LEN(IF(LEN(INDEX('Providers'!$H$4:$H$503,159))=0,"",INDEX('Providers'!$H$4:$H$503,159)))=0,"","DEA no.: "&amp;IF(LEN(INDEX('Providers'!$H$4:$H$503,159))=0,"",INDEX('Providers'!$H$4:$H$503,159))&amp;". ")&amp;IF(LEN(IF(LEN(INDEX('Providers'!$C$4:$C$503,159))=0,"",INDEX('Providers'!$C$4:$C$503,159)))=0,"","NPI: "&amp;IF(LEN(INDEX('Providers'!$C$4:$C$503,159))=0,"",INDEX('Providers'!$C$4:$C$503,159))&amp;". "))</f>
        <v/>
      </c>
      <c r="J662">
        <f>IF(LEN(INDEX('Providers'!$AJ$4:$AJ$503,159))=0,"",INDEX('Providers'!$AJ$4:$AJ$503,159))</f>
        <v/>
      </c>
      <c r="K662">
        <f>IF(LEN(INDEX('Providers'!$AI$4:$AI$503,159))=0,"",INDEX('Providers'!$AI$4:$AI$503,159))</f>
        <v/>
      </c>
    </row>
    <row r="663">
      <c r="A663">
        <f>IF(AND(LEN('Providers'!A163)&gt;0,ISNUMBER('Providers'!I163)),1,0)</f>
        <v/>
      </c>
      <c r="B663">
        <f>B662+A663</f>
        <v/>
      </c>
      <c r="C663">
        <f>IF(660&gt;$B$4503,"",MATCH(660-0.5,$B$3:$B$4503,1))</f>
        <v/>
      </c>
      <c r="D663">
        <f>"DEA registration ("&amp;IF(LEN(INDEX('Providers'!$E$4:$E$503,160))=0,"",INDEX('Providers'!$E$4:$E$503,160))&amp;") – "&amp;IF(LEN(INDEX('Providers'!$A$4:$A$503,160))=0,"",INDEX('Providers'!$A$4:$A$503,160))</f>
        <v/>
      </c>
      <c r="E663">
        <f>IF(ISNUMBER(INDEX('Providers'!$I$4:$I$503,160)),TEXT(INDEX('Providers'!$I$4:$I$503,160),"yyyy-mm-dd"),"")</f>
        <v/>
      </c>
      <c r="F663">
        <f>"Registration"</f>
        <v/>
      </c>
      <c r="G663">
        <f>""</f>
        <v/>
      </c>
      <c r="H663">
        <f>"High"</f>
        <v/>
      </c>
      <c r="I663">
        <f>TRIM(IF(LEN(IF(LEN(INDEX('Providers'!$H$4:$H$503,160))=0,"",INDEX('Providers'!$H$4:$H$503,160)))=0,"","DEA no.: "&amp;IF(LEN(INDEX('Providers'!$H$4:$H$503,160))=0,"",INDEX('Providers'!$H$4:$H$503,160))&amp;". ")&amp;IF(LEN(IF(LEN(INDEX('Providers'!$C$4:$C$503,160))=0,"",INDEX('Providers'!$C$4:$C$503,160)))=0,"","NPI: "&amp;IF(LEN(INDEX('Providers'!$C$4:$C$503,160))=0,"",INDEX('Providers'!$C$4:$C$503,160))&amp;". "))</f>
        <v/>
      </c>
      <c r="J663">
        <f>IF(LEN(INDEX('Providers'!$AJ$4:$AJ$503,160))=0,"",INDEX('Providers'!$AJ$4:$AJ$503,160))</f>
        <v/>
      </c>
      <c r="K663">
        <f>IF(LEN(INDEX('Providers'!$AI$4:$AI$503,160))=0,"",INDEX('Providers'!$AI$4:$AI$503,160))</f>
        <v/>
      </c>
    </row>
    <row r="664">
      <c r="A664">
        <f>IF(AND(LEN('Providers'!A164)&gt;0,ISNUMBER('Providers'!I164)),1,0)</f>
        <v/>
      </c>
      <c r="B664">
        <f>B663+A664</f>
        <v/>
      </c>
      <c r="C664">
        <f>IF(661&gt;$B$4503,"",MATCH(661-0.5,$B$3:$B$4503,1))</f>
        <v/>
      </c>
      <c r="D664">
        <f>"DEA registration ("&amp;IF(LEN(INDEX('Providers'!$E$4:$E$503,161))=0,"",INDEX('Providers'!$E$4:$E$503,161))&amp;") – "&amp;IF(LEN(INDEX('Providers'!$A$4:$A$503,161))=0,"",INDEX('Providers'!$A$4:$A$503,161))</f>
        <v/>
      </c>
      <c r="E664">
        <f>IF(ISNUMBER(INDEX('Providers'!$I$4:$I$503,161)),TEXT(INDEX('Providers'!$I$4:$I$503,161),"yyyy-mm-dd"),"")</f>
        <v/>
      </c>
      <c r="F664">
        <f>"Registration"</f>
        <v/>
      </c>
      <c r="G664">
        <f>""</f>
        <v/>
      </c>
      <c r="H664">
        <f>"High"</f>
        <v/>
      </c>
      <c r="I664">
        <f>TRIM(IF(LEN(IF(LEN(INDEX('Providers'!$H$4:$H$503,161))=0,"",INDEX('Providers'!$H$4:$H$503,161)))=0,"","DEA no.: "&amp;IF(LEN(INDEX('Providers'!$H$4:$H$503,161))=0,"",INDEX('Providers'!$H$4:$H$503,161))&amp;". ")&amp;IF(LEN(IF(LEN(INDEX('Providers'!$C$4:$C$503,161))=0,"",INDEX('Providers'!$C$4:$C$503,161)))=0,"","NPI: "&amp;IF(LEN(INDEX('Providers'!$C$4:$C$503,161))=0,"",INDEX('Providers'!$C$4:$C$503,161))&amp;". "))</f>
        <v/>
      </c>
      <c r="J664">
        <f>IF(LEN(INDEX('Providers'!$AJ$4:$AJ$503,161))=0,"",INDEX('Providers'!$AJ$4:$AJ$503,161))</f>
        <v/>
      </c>
      <c r="K664">
        <f>IF(LEN(INDEX('Providers'!$AI$4:$AI$503,161))=0,"",INDEX('Providers'!$AI$4:$AI$503,161))</f>
        <v/>
      </c>
    </row>
    <row r="665">
      <c r="A665">
        <f>IF(AND(LEN('Providers'!A165)&gt;0,ISNUMBER('Providers'!I165)),1,0)</f>
        <v/>
      </c>
      <c r="B665">
        <f>B664+A665</f>
        <v/>
      </c>
      <c r="C665">
        <f>IF(662&gt;$B$4503,"",MATCH(662-0.5,$B$3:$B$4503,1))</f>
        <v/>
      </c>
      <c r="D665">
        <f>"DEA registration ("&amp;IF(LEN(INDEX('Providers'!$E$4:$E$503,162))=0,"",INDEX('Providers'!$E$4:$E$503,162))&amp;") – "&amp;IF(LEN(INDEX('Providers'!$A$4:$A$503,162))=0,"",INDEX('Providers'!$A$4:$A$503,162))</f>
        <v/>
      </c>
      <c r="E665">
        <f>IF(ISNUMBER(INDEX('Providers'!$I$4:$I$503,162)),TEXT(INDEX('Providers'!$I$4:$I$503,162),"yyyy-mm-dd"),"")</f>
        <v/>
      </c>
      <c r="F665">
        <f>"Registration"</f>
        <v/>
      </c>
      <c r="G665">
        <f>""</f>
        <v/>
      </c>
      <c r="H665">
        <f>"High"</f>
        <v/>
      </c>
      <c r="I665">
        <f>TRIM(IF(LEN(IF(LEN(INDEX('Providers'!$H$4:$H$503,162))=0,"",INDEX('Providers'!$H$4:$H$503,162)))=0,"","DEA no.: "&amp;IF(LEN(INDEX('Providers'!$H$4:$H$503,162))=0,"",INDEX('Providers'!$H$4:$H$503,162))&amp;". ")&amp;IF(LEN(IF(LEN(INDEX('Providers'!$C$4:$C$503,162))=0,"",INDEX('Providers'!$C$4:$C$503,162)))=0,"","NPI: "&amp;IF(LEN(INDEX('Providers'!$C$4:$C$503,162))=0,"",INDEX('Providers'!$C$4:$C$503,162))&amp;". "))</f>
        <v/>
      </c>
      <c r="J665">
        <f>IF(LEN(INDEX('Providers'!$AJ$4:$AJ$503,162))=0,"",INDEX('Providers'!$AJ$4:$AJ$503,162))</f>
        <v/>
      </c>
      <c r="K665">
        <f>IF(LEN(INDEX('Providers'!$AI$4:$AI$503,162))=0,"",INDEX('Providers'!$AI$4:$AI$503,162))</f>
        <v/>
      </c>
    </row>
    <row r="666">
      <c r="A666">
        <f>IF(AND(LEN('Providers'!A166)&gt;0,ISNUMBER('Providers'!I166)),1,0)</f>
        <v/>
      </c>
      <c r="B666">
        <f>B665+A666</f>
        <v/>
      </c>
      <c r="C666">
        <f>IF(663&gt;$B$4503,"",MATCH(663-0.5,$B$3:$B$4503,1))</f>
        <v/>
      </c>
      <c r="D666">
        <f>"DEA registration ("&amp;IF(LEN(INDEX('Providers'!$E$4:$E$503,163))=0,"",INDEX('Providers'!$E$4:$E$503,163))&amp;") – "&amp;IF(LEN(INDEX('Providers'!$A$4:$A$503,163))=0,"",INDEX('Providers'!$A$4:$A$503,163))</f>
        <v/>
      </c>
      <c r="E666">
        <f>IF(ISNUMBER(INDEX('Providers'!$I$4:$I$503,163)),TEXT(INDEX('Providers'!$I$4:$I$503,163),"yyyy-mm-dd"),"")</f>
        <v/>
      </c>
      <c r="F666">
        <f>"Registration"</f>
        <v/>
      </c>
      <c r="G666">
        <f>""</f>
        <v/>
      </c>
      <c r="H666">
        <f>"High"</f>
        <v/>
      </c>
      <c r="I666">
        <f>TRIM(IF(LEN(IF(LEN(INDEX('Providers'!$H$4:$H$503,163))=0,"",INDEX('Providers'!$H$4:$H$503,163)))=0,"","DEA no.: "&amp;IF(LEN(INDEX('Providers'!$H$4:$H$503,163))=0,"",INDEX('Providers'!$H$4:$H$503,163))&amp;". ")&amp;IF(LEN(IF(LEN(INDEX('Providers'!$C$4:$C$503,163))=0,"",INDEX('Providers'!$C$4:$C$503,163)))=0,"","NPI: "&amp;IF(LEN(INDEX('Providers'!$C$4:$C$503,163))=0,"",INDEX('Providers'!$C$4:$C$503,163))&amp;". "))</f>
        <v/>
      </c>
      <c r="J666">
        <f>IF(LEN(INDEX('Providers'!$AJ$4:$AJ$503,163))=0,"",INDEX('Providers'!$AJ$4:$AJ$503,163))</f>
        <v/>
      </c>
      <c r="K666">
        <f>IF(LEN(INDEX('Providers'!$AI$4:$AI$503,163))=0,"",INDEX('Providers'!$AI$4:$AI$503,163))</f>
        <v/>
      </c>
    </row>
    <row r="667">
      <c r="A667">
        <f>IF(AND(LEN('Providers'!A167)&gt;0,ISNUMBER('Providers'!I167)),1,0)</f>
        <v/>
      </c>
      <c r="B667">
        <f>B666+A667</f>
        <v/>
      </c>
      <c r="C667">
        <f>IF(664&gt;$B$4503,"",MATCH(664-0.5,$B$3:$B$4503,1))</f>
        <v/>
      </c>
      <c r="D667">
        <f>"DEA registration ("&amp;IF(LEN(INDEX('Providers'!$E$4:$E$503,164))=0,"",INDEX('Providers'!$E$4:$E$503,164))&amp;") – "&amp;IF(LEN(INDEX('Providers'!$A$4:$A$503,164))=0,"",INDEX('Providers'!$A$4:$A$503,164))</f>
        <v/>
      </c>
      <c r="E667">
        <f>IF(ISNUMBER(INDEX('Providers'!$I$4:$I$503,164)),TEXT(INDEX('Providers'!$I$4:$I$503,164),"yyyy-mm-dd"),"")</f>
        <v/>
      </c>
      <c r="F667">
        <f>"Registration"</f>
        <v/>
      </c>
      <c r="G667">
        <f>""</f>
        <v/>
      </c>
      <c r="H667">
        <f>"High"</f>
        <v/>
      </c>
      <c r="I667">
        <f>TRIM(IF(LEN(IF(LEN(INDEX('Providers'!$H$4:$H$503,164))=0,"",INDEX('Providers'!$H$4:$H$503,164)))=0,"","DEA no.: "&amp;IF(LEN(INDEX('Providers'!$H$4:$H$503,164))=0,"",INDEX('Providers'!$H$4:$H$503,164))&amp;". ")&amp;IF(LEN(IF(LEN(INDEX('Providers'!$C$4:$C$503,164))=0,"",INDEX('Providers'!$C$4:$C$503,164)))=0,"","NPI: "&amp;IF(LEN(INDEX('Providers'!$C$4:$C$503,164))=0,"",INDEX('Providers'!$C$4:$C$503,164))&amp;". "))</f>
        <v/>
      </c>
      <c r="J667">
        <f>IF(LEN(INDEX('Providers'!$AJ$4:$AJ$503,164))=0,"",INDEX('Providers'!$AJ$4:$AJ$503,164))</f>
        <v/>
      </c>
      <c r="K667">
        <f>IF(LEN(INDEX('Providers'!$AI$4:$AI$503,164))=0,"",INDEX('Providers'!$AI$4:$AI$503,164))</f>
        <v/>
      </c>
    </row>
    <row r="668">
      <c r="A668">
        <f>IF(AND(LEN('Providers'!A168)&gt;0,ISNUMBER('Providers'!I168)),1,0)</f>
        <v/>
      </c>
      <c r="B668">
        <f>B667+A668</f>
        <v/>
      </c>
      <c r="C668">
        <f>IF(665&gt;$B$4503,"",MATCH(665-0.5,$B$3:$B$4503,1))</f>
        <v/>
      </c>
      <c r="D668">
        <f>"DEA registration ("&amp;IF(LEN(INDEX('Providers'!$E$4:$E$503,165))=0,"",INDEX('Providers'!$E$4:$E$503,165))&amp;") – "&amp;IF(LEN(INDEX('Providers'!$A$4:$A$503,165))=0,"",INDEX('Providers'!$A$4:$A$503,165))</f>
        <v/>
      </c>
      <c r="E668">
        <f>IF(ISNUMBER(INDEX('Providers'!$I$4:$I$503,165)),TEXT(INDEX('Providers'!$I$4:$I$503,165),"yyyy-mm-dd"),"")</f>
        <v/>
      </c>
      <c r="F668">
        <f>"Registration"</f>
        <v/>
      </c>
      <c r="G668">
        <f>""</f>
        <v/>
      </c>
      <c r="H668">
        <f>"High"</f>
        <v/>
      </c>
      <c r="I668">
        <f>TRIM(IF(LEN(IF(LEN(INDEX('Providers'!$H$4:$H$503,165))=0,"",INDEX('Providers'!$H$4:$H$503,165)))=0,"","DEA no.: "&amp;IF(LEN(INDEX('Providers'!$H$4:$H$503,165))=0,"",INDEX('Providers'!$H$4:$H$503,165))&amp;". ")&amp;IF(LEN(IF(LEN(INDEX('Providers'!$C$4:$C$503,165))=0,"",INDEX('Providers'!$C$4:$C$503,165)))=0,"","NPI: "&amp;IF(LEN(INDEX('Providers'!$C$4:$C$503,165))=0,"",INDEX('Providers'!$C$4:$C$503,165))&amp;". "))</f>
        <v/>
      </c>
      <c r="J668">
        <f>IF(LEN(INDEX('Providers'!$AJ$4:$AJ$503,165))=0,"",INDEX('Providers'!$AJ$4:$AJ$503,165))</f>
        <v/>
      </c>
      <c r="K668">
        <f>IF(LEN(INDEX('Providers'!$AI$4:$AI$503,165))=0,"",INDEX('Providers'!$AI$4:$AI$503,165))</f>
        <v/>
      </c>
    </row>
    <row r="669">
      <c r="A669">
        <f>IF(AND(LEN('Providers'!A169)&gt;0,ISNUMBER('Providers'!I169)),1,0)</f>
        <v/>
      </c>
      <c r="B669">
        <f>B668+A669</f>
        <v/>
      </c>
      <c r="C669">
        <f>IF(666&gt;$B$4503,"",MATCH(666-0.5,$B$3:$B$4503,1))</f>
        <v/>
      </c>
      <c r="D669">
        <f>"DEA registration ("&amp;IF(LEN(INDEX('Providers'!$E$4:$E$503,166))=0,"",INDEX('Providers'!$E$4:$E$503,166))&amp;") – "&amp;IF(LEN(INDEX('Providers'!$A$4:$A$503,166))=0,"",INDEX('Providers'!$A$4:$A$503,166))</f>
        <v/>
      </c>
      <c r="E669">
        <f>IF(ISNUMBER(INDEX('Providers'!$I$4:$I$503,166)),TEXT(INDEX('Providers'!$I$4:$I$503,166),"yyyy-mm-dd"),"")</f>
        <v/>
      </c>
      <c r="F669">
        <f>"Registration"</f>
        <v/>
      </c>
      <c r="G669">
        <f>""</f>
        <v/>
      </c>
      <c r="H669">
        <f>"High"</f>
        <v/>
      </c>
      <c r="I669">
        <f>TRIM(IF(LEN(IF(LEN(INDEX('Providers'!$H$4:$H$503,166))=0,"",INDEX('Providers'!$H$4:$H$503,166)))=0,"","DEA no.: "&amp;IF(LEN(INDEX('Providers'!$H$4:$H$503,166))=0,"",INDEX('Providers'!$H$4:$H$503,166))&amp;". ")&amp;IF(LEN(IF(LEN(INDEX('Providers'!$C$4:$C$503,166))=0,"",INDEX('Providers'!$C$4:$C$503,166)))=0,"","NPI: "&amp;IF(LEN(INDEX('Providers'!$C$4:$C$503,166))=0,"",INDEX('Providers'!$C$4:$C$503,166))&amp;". "))</f>
        <v/>
      </c>
      <c r="J669">
        <f>IF(LEN(INDEX('Providers'!$AJ$4:$AJ$503,166))=0,"",INDEX('Providers'!$AJ$4:$AJ$503,166))</f>
        <v/>
      </c>
      <c r="K669">
        <f>IF(LEN(INDEX('Providers'!$AI$4:$AI$503,166))=0,"",INDEX('Providers'!$AI$4:$AI$503,166))</f>
        <v/>
      </c>
    </row>
    <row r="670">
      <c r="A670">
        <f>IF(AND(LEN('Providers'!A170)&gt;0,ISNUMBER('Providers'!I170)),1,0)</f>
        <v/>
      </c>
      <c r="B670">
        <f>B669+A670</f>
        <v/>
      </c>
      <c r="C670">
        <f>IF(667&gt;$B$4503,"",MATCH(667-0.5,$B$3:$B$4503,1))</f>
        <v/>
      </c>
      <c r="D670">
        <f>"DEA registration ("&amp;IF(LEN(INDEX('Providers'!$E$4:$E$503,167))=0,"",INDEX('Providers'!$E$4:$E$503,167))&amp;") – "&amp;IF(LEN(INDEX('Providers'!$A$4:$A$503,167))=0,"",INDEX('Providers'!$A$4:$A$503,167))</f>
        <v/>
      </c>
      <c r="E670">
        <f>IF(ISNUMBER(INDEX('Providers'!$I$4:$I$503,167)),TEXT(INDEX('Providers'!$I$4:$I$503,167),"yyyy-mm-dd"),"")</f>
        <v/>
      </c>
      <c r="F670">
        <f>"Registration"</f>
        <v/>
      </c>
      <c r="G670">
        <f>""</f>
        <v/>
      </c>
      <c r="H670">
        <f>"High"</f>
        <v/>
      </c>
      <c r="I670">
        <f>TRIM(IF(LEN(IF(LEN(INDEX('Providers'!$H$4:$H$503,167))=0,"",INDEX('Providers'!$H$4:$H$503,167)))=0,"","DEA no.: "&amp;IF(LEN(INDEX('Providers'!$H$4:$H$503,167))=0,"",INDEX('Providers'!$H$4:$H$503,167))&amp;". ")&amp;IF(LEN(IF(LEN(INDEX('Providers'!$C$4:$C$503,167))=0,"",INDEX('Providers'!$C$4:$C$503,167)))=0,"","NPI: "&amp;IF(LEN(INDEX('Providers'!$C$4:$C$503,167))=0,"",INDEX('Providers'!$C$4:$C$503,167))&amp;". "))</f>
        <v/>
      </c>
      <c r="J670">
        <f>IF(LEN(INDEX('Providers'!$AJ$4:$AJ$503,167))=0,"",INDEX('Providers'!$AJ$4:$AJ$503,167))</f>
        <v/>
      </c>
      <c r="K670">
        <f>IF(LEN(INDEX('Providers'!$AI$4:$AI$503,167))=0,"",INDEX('Providers'!$AI$4:$AI$503,167))</f>
        <v/>
      </c>
    </row>
    <row r="671">
      <c r="A671">
        <f>IF(AND(LEN('Providers'!A171)&gt;0,ISNUMBER('Providers'!I171)),1,0)</f>
        <v/>
      </c>
      <c r="B671">
        <f>B670+A671</f>
        <v/>
      </c>
      <c r="C671">
        <f>IF(668&gt;$B$4503,"",MATCH(668-0.5,$B$3:$B$4503,1))</f>
        <v/>
      </c>
      <c r="D671">
        <f>"DEA registration ("&amp;IF(LEN(INDEX('Providers'!$E$4:$E$503,168))=0,"",INDEX('Providers'!$E$4:$E$503,168))&amp;") – "&amp;IF(LEN(INDEX('Providers'!$A$4:$A$503,168))=0,"",INDEX('Providers'!$A$4:$A$503,168))</f>
        <v/>
      </c>
      <c r="E671">
        <f>IF(ISNUMBER(INDEX('Providers'!$I$4:$I$503,168)),TEXT(INDEX('Providers'!$I$4:$I$503,168),"yyyy-mm-dd"),"")</f>
        <v/>
      </c>
      <c r="F671">
        <f>"Registration"</f>
        <v/>
      </c>
      <c r="G671">
        <f>""</f>
        <v/>
      </c>
      <c r="H671">
        <f>"High"</f>
        <v/>
      </c>
      <c r="I671">
        <f>TRIM(IF(LEN(IF(LEN(INDEX('Providers'!$H$4:$H$503,168))=0,"",INDEX('Providers'!$H$4:$H$503,168)))=0,"","DEA no.: "&amp;IF(LEN(INDEX('Providers'!$H$4:$H$503,168))=0,"",INDEX('Providers'!$H$4:$H$503,168))&amp;". ")&amp;IF(LEN(IF(LEN(INDEX('Providers'!$C$4:$C$503,168))=0,"",INDEX('Providers'!$C$4:$C$503,168)))=0,"","NPI: "&amp;IF(LEN(INDEX('Providers'!$C$4:$C$503,168))=0,"",INDEX('Providers'!$C$4:$C$503,168))&amp;". "))</f>
        <v/>
      </c>
      <c r="J671">
        <f>IF(LEN(INDEX('Providers'!$AJ$4:$AJ$503,168))=0,"",INDEX('Providers'!$AJ$4:$AJ$503,168))</f>
        <v/>
      </c>
      <c r="K671">
        <f>IF(LEN(INDEX('Providers'!$AI$4:$AI$503,168))=0,"",INDEX('Providers'!$AI$4:$AI$503,168))</f>
        <v/>
      </c>
    </row>
    <row r="672">
      <c r="A672">
        <f>IF(AND(LEN('Providers'!A172)&gt;0,ISNUMBER('Providers'!I172)),1,0)</f>
        <v/>
      </c>
      <c r="B672">
        <f>B671+A672</f>
        <v/>
      </c>
      <c r="C672">
        <f>IF(669&gt;$B$4503,"",MATCH(669-0.5,$B$3:$B$4503,1))</f>
        <v/>
      </c>
      <c r="D672">
        <f>"DEA registration ("&amp;IF(LEN(INDEX('Providers'!$E$4:$E$503,169))=0,"",INDEX('Providers'!$E$4:$E$503,169))&amp;") – "&amp;IF(LEN(INDEX('Providers'!$A$4:$A$503,169))=0,"",INDEX('Providers'!$A$4:$A$503,169))</f>
        <v/>
      </c>
      <c r="E672">
        <f>IF(ISNUMBER(INDEX('Providers'!$I$4:$I$503,169)),TEXT(INDEX('Providers'!$I$4:$I$503,169),"yyyy-mm-dd"),"")</f>
        <v/>
      </c>
      <c r="F672">
        <f>"Registration"</f>
        <v/>
      </c>
      <c r="G672">
        <f>""</f>
        <v/>
      </c>
      <c r="H672">
        <f>"High"</f>
        <v/>
      </c>
      <c r="I672">
        <f>TRIM(IF(LEN(IF(LEN(INDEX('Providers'!$H$4:$H$503,169))=0,"",INDEX('Providers'!$H$4:$H$503,169)))=0,"","DEA no.: "&amp;IF(LEN(INDEX('Providers'!$H$4:$H$503,169))=0,"",INDEX('Providers'!$H$4:$H$503,169))&amp;". ")&amp;IF(LEN(IF(LEN(INDEX('Providers'!$C$4:$C$503,169))=0,"",INDEX('Providers'!$C$4:$C$503,169)))=0,"","NPI: "&amp;IF(LEN(INDEX('Providers'!$C$4:$C$503,169))=0,"",INDEX('Providers'!$C$4:$C$503,169))&amp;". "))</f>
        <v/>
      </c>
      <c r="J672">
        <f>IF(LEN(INDEX('Providers'!$AJ$4:$AJ$503,169))=0,"",INDEX('Providers'!$AJ$4:$AJ$503,169))</f>
        <v/>
      </c>
      <c r="K672">
        <f>IF(LEN(INDEX('Providers'!$AI$4:$AI$503,169))=0,"",INDEX('Providers'!$AI$4:$AI$503,169))</f>
        <v/>
      </c>
    </row>
    <row r="673">
      <c r="A673">
        <f>IF(AND(LEN('Providers'!A173)&gt;0,ISNUMBER('Providers'!I173)),1,0)</f>
        <v/>
      </c>
      <c r="B673">
        <f>B672+A673</f>
        <v/>
      </c>
      <c r="C673">
        <f>IF(670&gt;$B$4503,"",MATCH(670-0.5,$B$3:$B$4503,1))</f>
        <v/>
      </c>
      <c r="D673">
        <f>"DEA registration ("&amp;IF(LEN(INDEX('Providers'!$E$4:$E$503,170))=0,"",INDEX('Providers'!$E$4:$E$503,170))&amp;") – "&amp;IF(LEN(INDEX('Providers'!$A$4:$A$503,170))=0,"",INDEX('Providers'!$A$4:$A$503,170))</f>
        <v/>
      </c>
      <c r="E673">
        <f>IF(ISNUMBER(INDEX('Providers'!$I$4:$I$503,170)),TEXT(INDEX('Providers'!$I$4:$I$503,170),"yyyy-mm-dd"),"")</f>
        <v/>
      </c>
      <c r="F673">
        <f>"Registration"</f>
        <v/>
      </c>
      <c r="G673">
        <f>""</f>
        <v/>
      </c>
      <c r="H673">
        <f>"High"</f>
        <v/>
      </c>
      <c r="I673">
        <f>TRIM(IF(LEN(IF(LEN(INDEX('Providers'!$H$4:$H$503,170))=0,"",INDEX('Providers'!$H$4:$H$503,170)))=0,"","DEA no.: "&amp;IF(LEN(INDEX('Providers'!$H$4:$H$503,170))=0,"",INDEX('Providers'!$H$4:$H$503,170))&amp;". ")&amp;IF(LEN(IF(LEN(INDEX('Providers'!$C$4:$C$503,170))=0,"",INDEX('Providers'!$C$4:$C$503,170)))=0,"","NPI: "&amp;IF(LEN(INDEX('Providers'!$C$4:$C$503,170))=0,"",INDEX('Providers'!$C$4:$C$503,170))&amp;". "))</f>
        <v/>
      </c>
      <c r="J673">
        <f>IF(LEN(INDEX('Providers'!$AJ$4:$AJ$503,170))=0,"",INDEX('Providers'!$AJ$4:$AJ$503,170))</f>
        <v/>
      </c>
      <c r="K673">
        <f>IF(LEN(INDEX('Providers'!$AI$4:$AI$503,170))=0,"",INDEX('Providers'!$AI$4:$AI$503,170))</f>
        <v/>
      </c>
    </row>
    <row r="674">
      <c r="A674">
        <f>IF(AND(LEN('Providers'!A174)&gt;0,ISNUMBER('Providers'!I174)),1,0)</f>
        <v/>
      </c>
      <c r="B674">
        <f>B673+A674</f>
        <v/>
      </c>
      <c r="C674">
        <f>IF(671&gt;$B$4503,"",MATCH(671-0.5,$B$3:$B$4503,1))</f>
        <v/>
      </c>
      <c r="D674">
        <f>"DEA registration ("&amp;IF(LEN(INDEX('Providers'!$E$4:$E$503,171))=0,"",INDEX('Providers'!$E$4:$E$503,171))&amp;") – "&amp;IF(LEN(INDEX('Providers'!$A$4:$A$503,171))=0,"",INDEX('Providers'!$A$4:$A$503,171))</f>
        <v/>
      </c>
      <c r="E674">
        <f>IF(ISNUMBER(INDEX('Providers'!$I$4:$I$503,171)),TEXT(INDEX('Providers'!$I$4:$I$503,171),"yyyy-mm-dd"),"")</f>
        <v/>
      </c>
      <c r="F674">
        <f>"Registration"</f>
        <v/>
      </c>
      <c r="G674">
        <f>""</f>
        <v/>
      </c>
      <c r="H674">
        <f>"High"</f>
        <v/>
      </c>
      <c r="I674">
        <f>TRIM(IF(LEN(IF(LEN(INDEX('Providers'!$H$4:$H$503,171))=0,"",INDEX('Providers'!$H$4:$H$503,171)))=0,"","DEA no.: "&amp;IF(LEN(INDEX('Providers'!$H$4:$H$503,171))=0,"",INDEX('Providers'!$H$4:$H$503,171))&amp;". ")&amp;IF(LEN(IF(LEN(INDEX('Providers'!$C$4:$C$503,171))=0,"",INDEX('Providers'!$C$4:$C$503,171)))=0,"","NPI: "&amp;IF(LEN(INDEX('Providers'!$C$4:$C$503,171))=0,"",INDEX('Providers'!$C$4:$C$503,171))&amp;". "))</f>
        <v/>
      </c>
      <c r="J674">
        <f>IF(LEN(INDEX('Providers'!$AJ$4:$AJ$503,171))=0,"",INDEX('Providers'!$AJ$4:$AJ$503,171))</f>
        <v/>
      </c>
      <c r="K674">
        <f>IF(LEN(INDEX('Providers'!$AI$4:$AI$503,171))=0,"",INDEX('Providers'!$AI$4:$AI$503,171))</f>
        <v/>
      </c>
    </row>
    <row r="675">
      <c r="A675">
        <f>IF(AND(LEN('Providers'!A175)&gt;0,ISNUMBER('Providers'!I175)),1,0)</f>
        <v/>
      </c>
      <c r="B675">
        <f>B674+A675</f>
        <v/>
      </c>
      <c r="C675">
        <f>IF(672&gt;$B$4503,"",MATCH(672-0.5,$B$3:$B$4503,1))</f>
        <v/>
      </c>
      <c r="D675">
        <f>"DEA registration ("&amp;IF(LEN(INDEX('Providers'!$E$4:$E$503,172))=0,"",INDEX('Providers'!$E$4:$E$503,172))&amp;") – "&amp;IF(LEN(INDEX('Providers'!$A$4:$A$503,172))=0,"",INDEX('Providers'!$A$4:$A$503,172))</f>
        <v/>
      </c>
      <c r="E675">
        <f>IF(ISNUMBER(INDEX('Providers'!$I$4:$I$503,172)),TEXT(INDEX('Providers'!$I$4:$I$503,172),"yyyy-mm-dd"),"")</f>
        <v/>
      </c>
      <c r="F675">
        <f>"Registration"</f>
        <v/>
      </c>
      <c r="G675">
        <f>""</f>
        <v/>
      </c>
      <c r="H675">
        <f>"High"</f>
        <v/>
      </c>
      <c r="I675">
        <f>TRIM(IF(LEN(IF(LEN(INDEX('Providers'!$H$4:$H$503,172))=0,"",INDEX('Providers'!$H$4:$H$503,172)))=0,"","DEA no.: "&amp;IF(LEN(INDEX('Providers'!$H$4:$H$503,172))=0,"",INDEX('Providers'!$H$4:$H$503,172))&amp;". ")&amp;IF(LEN(IF(LEN(INDEX('Providers'!$C$4:$C$503,172))=0,"",INDEX('Providers'!$C$4:$C$503,172)))=0,"","NPI: "&amp;IF(LEN(INDEX('Providers'!$C$4:$C$503,172))=0,"",INDEX('Providers'!$C$4:$C$503,172))&amp;". "))</f>
        <v/>
      </c>
      <c r="J675">
        <f>IF(LEN(INDEX('Providers'!$AJ$4:$AJ$503,172))=0,"",INDEX('Providers'!$AJ$4:$AJ$503,172))</f>
        <v/>
      </c>
      <c r="K675">
        <f>IF(LEN(INDEX('Providers'!$AI$4:$AI$503,172))=0,"",INDEX('Providers'!$AI$4:$AI$503,172))</f>
        <v/>
      </c>
    </row>
    <row r="676">
      <c r="A676">
        <f>IF(AND(LEN('Providers'!A176)&gt;0,ISNUMBER('Providers'!I176)),1,0)</f>
        <v/>
      </c>
      <c r="B676">
        <f>B675+A676</f>
        <v/>
      </c>
      <c r="C676">
        <f>IF(673&gt;$B$4503,"",MATCH(673-0.5,$B$3:$B$4503,1))</f>
        <v/>
      </c>
      <c r="D676">
        <f>"DEA registration ("&amp;IF(LEN(INDEX('Providers'!$E$4:$E$503,173))=0,"",INDEX('Providers'!$E$4:$E$503,173))&amp;") – "&amp;IF(LEN(INDEX('Providers'!$A$4:$A$503,173))=0,"",INDEX('Providers'!$A$4:$A$503,173))</f>
        <v/>
      </c>
      <c r="E676">
        <f>IF(ISNUMBER(INDEX('Providers'!$I$4:$I$503,173)),TEXT(INDEX('Providers'!$I$4:$I$503,173),"yyyy-mm-dd"),"")</f>
        <v/>
      </c>
      <c r="F676">
        <f>"Registration"</f>
        <v/>
      </c>
      <c r="G676">
        <f>""</f>
        <v/>
      </c>
      <c r="H676">
        <f>"High"</f>
        <v/>
      </c>
      <c r="I676">
        <f>TRIM(IF(LEN(IF(LEN(INDEX('Providers'!$H$4:$H$503,173))=0,"",INDEX('Providers'!$H$4:$H$503,173)))=0,"","DEA no.: "&amp;IF(LEN(INDEX('Providers'!$H$4:$H$503,173))=0,"",INDEX('Providers'!$H$4:$H$503,173))&amp;". ")&amp;IF(LEN(IF(LEN(INDEX('Providers'!$C$4:$C$503,173))=0,"",INDEX('Providers'!$C$4:$C$503,173)))=0,"","NPI: "&amp;IF(LEN(INDEX('Providers'!$C$4:$C$503,173))=0,"",INDEX('Providers'!$C$4:$C$503,173))&amp;". "))</f>
        <v/>
      </c>
      <c r="J676">
        <f>IF(LEN(INDEX('Providers'!$AJ$4:$AJ$503,173))=0,"",INDEX('Providers'!$AJ$4:$AJ$503,173))</f>
        <v/>
      </c>
      <c r="K676">
        <f>IF(LEN(INDEX('Providers'!$AI$4:$AI$503,173))=0,"",INDEX('Providers'!$AI$4:$AI$503,173))</f>
        <v/>
      </c>
    </row>
    <row r="677">
      <c r="A677">
        <f>IF(AND(LEN('Providers'!A177)&gt;0,ISNUMBER('Providers'!I177)),1,0)</f>
        <v/>
      </c>
      <c r="B677">
        <f>B676+A677</f>
        <v/>
      </c>
      <c r="C677">
        <f>IF(674&gt;$B$4503,"",MATCH(674-0.5,$B$3:$B$4503,1))</f>
        <v/>
      </c>
      <c r="D677">
        <f>"DEA registration ("&amp;IF(LEN(INDEX('Providers'!$E$4:$E$503,174))=0,"",INDEX('Providers'!$E$4:$E$503,174))&amp;") – "&amp;IF(LEN(INDEX('Providers'!$A$4:$A$503,174))=0,"",INDEX('Providers'!$A$4:$A$503,174))</f>
        <v/>
      </c>
      <c r="E677">
        <f>IF(ISNUMBER(INDEX('Providers'!$I$4:$I$503,174)),TEXT(INDEX('Providers'!$I$4:$I$503,174),"yyyy-mm-dd"),"")</f>
        <v/>
      </c>
      <c r="F677">
        <f>"Registration"</f>
        <v/>
      </c>
      <c r="G677">
        <f>""</f>
        <v/>
      </c>
      <c r="H677">
        <f>"High"</f>
        <v/>
      </c>
      <c r="I677">
        <f>TRIM(IF(LEN(IF(LEN(INDEX('Providers'!$H$4:$H$503,174))=0,"",INDEX('Providers'!$H$4:$H$503,174)))=0,"","DEA no.: "&amp;IF(LEN(INDEX('Providers'!$H$4:$H$503,174))=0,"",INDEX('Providers'!$H$4:$H$503,174))&amp;". ")&amp;IF(LEN(IF(LEN(INDEX('Providers'!$C$4:$C$503,174))=0,"",INDEX('Providers'!$C$4:$C$503,174)))=0,"","NPI: "&amp;IF(LEN(INDEX('Providers'!$C$4:$C$503,174))=0,"",INDEX('Providers'!$C$4:$C$503,174))&amp;". "))</f>
        <v/>
      </c>
      <c r="J677">
        <f>IF(LEN(INDEX('Providers'!$AJ$4:$AJ$503,174))=0,"",INDEX('Providers'!$AJ$4:$AJ$503,174))</f>
        <v/>
      </c>
      <c r="K677">
        <f>IF(LEN(INDEX('Providers'!$AI$4:$AI$503,174))=0,"",INDEX('Providers'!$AI$4:$AI$503,174))</f>
        <v/>
      </c>
    </row>
    <row r="678">
      <c r="A678">
        <f>IF(AND(LEN('Providers'!A178)&gt;0,ISNUMBER('Providers'!I178)),1,0)</f>
        <v/>
      </c>
      <c r="B678">
        <f>B677+A678</f>
        <v/>
      </c>
      <c r="C678">
        <f>IF(675&gt;$B$4503,"",MATCH(675-0.5,$B$3:$B$4503,1))</f>
        <v/>
      </c>
      <c r="D678">
        <f>"DEA registration ("&amp;IF(LEN(INDEX('Providers'!$E$4:$E$503,175))=0,"",INDEX('Providers'!$E$4:$E$503,175))&amp;") – "&amp;IF(LEN(INDEX('Providers'!$A$4:$A$503,175))=0,"",INDEX('Providers'!$A$4:$A$503,175))</f>
        <v/>
      </c>
      <c r="E678">
        <f>IF(ISNUMBER(INDEX('Providers'!$I$4:$I$503,175)),TEXT(INDEX('Providers'!$I$4:$I$503,175),"yyyy-mm-dd"),"")</f>
        <v/>
      </c>
      <c r="F678">
        <f>"Registration"</f>
        <v/>
      </c>
      <c r="G678">
        <f>""</f>
        <v/>
      </c>
      <c r="H678">
        <f>"High"</f>
        <v/>
      </c>
      <c r="I678">
        <f>TRIM(IF(LEN(IF(LEN(INDEX('Providers'!$H$4:$H$503,175))=0,"",INDEX('Providers'!$H$4:$H$503,175)))=0,"","DEA no.: "&amp;IF(LEN(INDEX('Providers'!$H$4:$H$503,175))=0,"",INDEX('Providers'!$H$4:$H$503,175))&amp;". ")&amp;IF(LEN(IF(LEN(INDEX('Providers'!$C$4:$C$503,175))=0,"",INDEX('Providers'!$C$4:$C$503,175)))=0,"","NPI: "&amp;IF(LEN(INDEX('Providers'!$C$4:$C$503,175))=0,"",INDEX('Providers'!$C$4:$C$503,175))&amp;". "))</f>
        <v/>
      </c>
      <c r="J678">
        <f>IF(LEN(INDEX('Providers'!$AJ$4:$AJ$503,175))=0,"",INDEX('Providers'!$AJ$4:$AJ$503,175))</f>
        <v/>
      </c>
      <c r="K678">
        <f>IF(LEN(INDEX('Providers'!$AI$4:$AI$503,175))=0,"",INDEX('Providers'!$AI$4:$AI$503,175))</f>
        <v/>
      </c>
    </row>
    <row r="679">
      <c r="A679">
        <f>IF(AND(LEN('Providers'!A179)&gt;0,ISNUMBER('Providers'!I179)),1,0)</f>
        <v/>
      </c>
      <c r="B679">
        <f>B678+A679</f>
        <v/>
      </c>
      <c r="C679">
        <f>IF(676&gt;$B$4503,"",MATCH(676-0.5,$B$3:$B$4503,1))</f>
        <v/>
      </c>
      <c r="D679">
        <f>"DEA registration ("&amp;IF(LEN(INDEX('Providers'!$E$4:$E$503,176))=0,"",INDEX('Providers'!$E$4:$E$503,176))&amp;") – "&amp;IF(LEN(INDEX('Providers'!$A$4:$A$503,176))=0,"",INDEX('Providers'!$A$4:$A$503,176))</f>
        <v/>
      </c>
      <c r="E679">
        <f>IF(ISNUMBER(INDEX('Providers'!$I$4:$I$503,176)),TEXT(INDEX('Providers'!$I$4:$I$503,176),"yyyy-mm-dd"),"")</f>
        <v/>
      </c>
      <c r="F679">
        <f>"Registration"</f>
        <v/>
      </c>
      <c r="G679">
        <f>""</f>
        <v/>
      </c>
      <c r="H679">
        <f>"High"</f>
        <v/>
      </c>
      <c r="I679">
        <f>TRIM(IF(LEN(IF(LEN(INDEX('Providers'!$H$4:$H$503,176))=0,"",INDEX('Providers'!$H$4:$H$503,176)))=0,"","DEA no.: "&amp;IF(LEN(INDEX('Providers'!$H$4:$H$503,176))=0,"",INDEX('Providers'!$H$4:$H$503,176))&amp;". ")&amp;IF(LEN(IF(LEN(INDEX('Providers'!$C$4:$C$503,176))=0,"",INDEX('Providers'!$C$4:$C$503,176)))=0,"","NPI: "&amp;IF(LEN(INDEX('Providers'!$C$4:$C$503,176))=0,"",INDEX('Providers'!$C$4:$C$503,176))&amp;". "))</f>
        <v/>
      </c>
      <c r="J679">
        <f>IF(LEN(INDEX('Providers'!$AJ$4:$AJ$503,176))=0,"",INDEX('Providers'!$AJ$4:$AJ$503,176))</f>
        <v/>
      </c>
      <c r="K679">
        <f>IF(LEN(INDEX('Providers'!$AI$4:$AI$503,176))=0,"",INDEX('Providers'!$AI$4:$AI$503,176))</f>
        <v/>
      </c>
    </row>
    <row r="680">
      <c r="A680">
        <f>IF(AND(LEN('Providers'!A180)&gt;0,ISNUMBER('Providers'!I180)),1,0)</f>
        <v/>
      </c>
      <c r="B680">
        <f>B679+A680</f>
        <v/>
      </c>
      <c r="C680">
        <f>IF(677&gt;$B$4503,"",MATCH(677-0.5,$B$3:$B$4503,1))</f>
        <v/>
      </c>
      <c r="D680">
        <f>"DEA registration ("&amp;IF(LEN(INDEX('Providers'!$E$4:$E$503,177))=0,"",INDEX('Providers'!$E$4:$E$503,177))&amp;") – "&amp;IF(LEN(INDEX('Providers'!$A$4:$A$503,177))=0,"",INDEX('Providers'!$A$4:$A$503,177))</f>
        <v/>
      </c>
      <c r="E680">
        <f>IF(ISNUMBER(INDEX('Providers'!$I$4:$I$503,177)),TEXT(INDEX('Providers'!$I$4:$I$503,177),"yyyy-mm-dd"),"")</f>
        <v/>
      </c>
      <c r="F680">
        <f>"Registration"</f>
        <v/>
      </c>
      <c r="G680">
        <f>""</f>
        <v/>
      </c>
      <c r="H680">
        <f>"High"</f>
        <v/>
      </c>
      <c r="I680">
        <f>TRIM(IF(LEN(IF(LEN(INDEX('Providers'!$H$4:$H$503,177))=0,"",INDEX('Providers'!$H$4:$H$503,177)))=0,"","DEA no.: "&amp;IF(LEN(INDEX('Providers'!$H$4:$H$503,177))=0,"",INDEX('Providers'!$H$4:$H$503,177))&amp;". ")&amp;IF(LEN(IF(LEN(INDEX('Providers'!$C$4:$C$503,177))=0,"",INDEX('Providers'!$C$4:$C$503,177)))=0,"","NPI: "&amp;IF(LEN(INDEX('Providers'!$C$4:$C$503,177))=0,"",INDEX('Providers'!$C$4:$C$503,177))&amp;". "))</f>
        <v/>
      </c>
      <c r="J680">
        <f>IF(LEN(INDEX('Providers'!$AJ$4:$AJ$503,177))=0,"",INDEX('Providers'!$AJ$4:$AJ$503,177))</f>
        <v/>
      </c>
      <c r="K680">
        <f>IF(LEN(INDEX('Providers'!$AI$4:$AI$503,177))=0,"",INDEX('Providers'!$AI$4:$AI$503,177))</f>
        <v/>
      </c>
    </row>
    <row r="681">
      <c r="A681">
        <f>IF(AND(LEN('Providers'!A181)&gt;0,ISNUMBER('Providers'!I181)),1,0)</f>
        <v/>
      </c>
      <c r="B681">
        <f>B680+A681</f>
        <v/>
      </c>
      <c r="C681">
        <f>IF(678&gt;$B$4503,"",MATCH(678-0.5,$B$3:$B$4503,1))</f>
        <v/>
      </c>
      <c r="D681">
        <f>"DEA registration ("&amp;IF(LEN(INDEX('Providers'!$E$4:$E$503,178))=0,"",INDEX('Providers'!$E$4:$E$503,178))&amp;") – "&amp;IF(LEN(INDEX('Providers'!$A$4:$A$503,178))=0,"",INDEX('Providers'!$A$4:$A$503,178))</f>
        <v/>
      </c>
      <c r="E681">
        <f>IF(ISNUMBER(INDEX('Providers'!$I$4:$I$503,178)),TEXT(INDEX('Providers'!$I$4:$I$503,178),"yyyy-mm-dd"),"")</f>
        <v/>
      </c>
      <c r="F681">
        <f>"Registration"</f>
        <v/>
      </c>
      <c r="G681">
        <f>""</f>
        <v/>
      </c>
      <c r="H681">
        <f>"High"</f>
        <v/>
      </c>
      <c r="I681">
        <f>TRIM(IF(LEN(IF(LEN(INDEX('Providers'!$H$4:$H$503,178))=0,"",INDEX('Providers'!$H$4:$H$503,178)))=0,"","DEA no.: "&amp;IF(LEN(INDEX('Providers'!$H$4:$H$503,178))=0,"",INDEX('Providers'!$H$4:$H$503,178))&amp;". ")&amp;IF(LEN(IF(LEN(INDEX('Providers'!$C$4:$C$503,178))=0,"",INDEX('Providers'!$C$4:$C$503,178)))=0,"","NPI: "&amp;IF(LEN(INDEX('Providers'!$C$4:$C$503,178))=0,"",INDEX('Providers'!$C$4:$C$503,178))&amp;". "))</f>
        <v/>
      </c>
      <c r="J681">
        <f>IF(LEN(INDEX('Providers'!$AJ$4:$AJ$503,178))=0,"",INDEX('Providers'!$AJ$4:$AJ$503,178))</f>
        <v/>
      </c>
      <c r="K681">
        <f>IF(LEN(INDEX('Providers'!$AI$4:$AI$503,178))=0,"",INDEX('Providers'!$AI$4:$AI$503,178))</f>
        <v/>
      </c>
    </row>
    <row r="682">
      <c r="A682">
        <f>IF(AND(LEN('Providers'!A182)&gt;0,ISNUMBER('Providers'!I182)),1,0)</f>
        <v/>
      </c>
      <c r="B682">
        <f>B681+A682</f>
        <v/>
      </c>
      <c r="C682">
        <f>IF(679&gt;$B$4503,"",MATCH(679-0.5,$B$3:$B$4503,1))</f>
        <v/>
      </c>
      <c r="D682">
        <f>"DEA registration ("&amp;IF(LEN(INDEX('Providers'!$E$4:$E$503,179))=0,"",INDEX('Providers'!$E$4:$E$503,179))&amp;") – "&amp;IF(LEN(INDEX('Providers'!$A$4:$A$503,179))=0,"",INDEX('Providers'!$A$4:$A$503,179))</f>
        <v/>
      </c>
      <c r="E682">
        <f>IF(ISNUMBER(INDEX('Providers'!$I$4:$I$503,179)),TEXT(INDEX('Providers'!$I$4:$I$503,179),"yyyy-mm-dd"),"")</f>
        <v/>
      </c>
      <c r="F682">
        <f>"Registration"</f>
        <v/>
      </c>
      <c r="G682">
        <f>""</f>
        <v/>
      </c>
      <c r="H682">
        <f>"High"</f>
        <v/>
      </c>
      <c r="I682">
        <f>TRIM(IF(LEN(IF(LEN(INDEX('Providers'!$H$4:$H$503,179))=0,"",INDEX('Providers'!$H$4:$H$503,179)))=0,"","DEA no.: "&amp;IF(LEN(INDEX('Providers'!$H$4:$H$503,179))=0,"",INDEX('Providers'!$H$4:$H$503,179))&amp;". ")&amp;IF(LEN(IF(LEN(INDEX('Providers'!$C$4:$C$503,179))=0,"",INDEX('Providers'!$C$4:$C$503,179)))=0,"","NPI: "&amp;IF(LEN(INDEX('Providers'!$C$4:$C$503,179))=0,"",INDEX('Providers'!$C$4:$C$503,179))&amp;". "))</f>
        <v/>
      </c>
      <c r="J682">
        <f>IF(LEN(INDEX('Providers'!$AJ$4:$AJ$503,179))=0,"",INDEX('Providers'!$AJ$4:$AJ$503,179))</f>
        <v/>
      </c>
      <c r="K682">
        <f>IF(LEN(INDEX('Providers'!$AI$4:$AI$503,179))=0,"",INDEX('Providers'!$AI$4:$AI$503,179))</f>
        <v/>
      </c>
    </row>
    <row r="683">
      <c r="A683">
        <f>IF(AND(LEN('Providers'!A183)&gt;0,ISNUMBER('Providers'!I183)),1,0)</f>
        <v/>
      </c>
      <c r="B683">
        <f>B682+A683</f>
        <v/>
      </c>
      <c r="C683">
        <f>IF(680&gt;$B$4503,"",MATCH(680-0.5,$B$3:$B$4503,1))</f>
        <v/>
      </c>
      <c r="D683">
        <f>"DEA registration ("&amp;IF(LEN(INDEX('Providers'!$E$4:$E$503,180))=0,"",INDEX('Providers'!$E$4:$E$503,180))&amp;") – "&amp;IF(LEN(INDEX('Providers'!$A$4:$A$503,180))=0,"",INDEX('Providers'!$A$4:$A$503,180))</f>
        <v/>
      </c>
      <c r="E683">
        <f>IF(ISNUMBER(INDEX('Providers'!$I$4:$I$503,180)),TEXT(INDEX('Providers'!$I$4:$I$503,180),"yyyy-mm-dd"),"")</f>
        <v/>
      </c>
      <c r="F683">
        <f>"Registration"</f>
        <v/>
      </c>
      <c r="G683">
        <f>""</f>
        <v/>
      </c>
      <c r="H683">
        <f>"High"</f>
        <v/>
      </c>
      <c r="I683">
        <f>TRIM(IF(LEN(IF(LEN(INDEX('Providers'!$H$4:$H$503,180))=0,"",INDEX('Providers'!$H$4:$H$503,180)))=0,"","DEA no.: "&amp;IF(LEN(INDEX('Providers'!$H$4:$H$503,180))=0,"",INDEX('Providers'!$H$4:$H$503,180))&amp;". ")&amp;IF(LEN(IF(LEN(INDEX('Providers'!$C$4:$C$503,180))=0,"",INDEX('Providers'!$C$4:$C$503,180)))=0,"","NPI: "&amp;IF(LEN(INDEX('Providers'!$C$4:$C$503,180))=0,"",INDEX('Providers'!$C$4:$C$503,180))&amp;". "))</f>
        <v/>
      </c>
      <c r="J683">
        <f>IF(LEN(INDEX('Providers'!$AJ$4:$AJ$503,180))=0,"",INDEX('Providers'!$AJ$4:$AJ$503,180))</f>
        <v/>
      </c>
      <c r="K683">
        <f>IF(LEN(INDEX('Providers'!$AI$4:$AI$503,180))=0,"",INDEX('Providers'!$AI$4:$AI$503,180))</f>
        <v/>
      </c>
    </row>
    <row r="684">
      <c r="A684">
        <f>IF(AND(LEN('Providers'!A184)&gt;0,ISNUMBER('Providers'!I184)),1,0)</f>
        <v/>
      </c>
      <c r="B684">
        <f>B683+A684</f>
        <v/>
      </c>
      <c r="C684">
        <f>IF(681&gt;$B$4503,"",MATCH(681-0.5,$B$3:$B$4503,1))</f>
        <v/>
      </c>
      <c r="D684">
        <f>"DEA registration ("&amp;IF(LEN(INDEX('Providers'!$E$4:$E$503,181))=0,"",INDEX('Providers'!$E$4:$E$503,181))&amp;") – "&amp;IF(LEN(INDEX('Providers'!$A$4:$A$503,181))=0,"",INDEX('Providers'!$A$4:$A$503,181))</f>
        <v/>
      </c>
      <c r="E684">
        <f>IF(ISNUMBER(INDEX('Providers'!$I$4:$I$503,181)),TEXT(INDEX('Providers'!$I$4:$I$503,181),"yyyy-mm-dd"),"")</f>
        <v/>
      </c>
      <c r="F684">
        <f>"Registration"</f>
        <v/>
      </c>
      <c r="G684">
        <f>""</f>
        <v/>
      </c>
      <c r="H684">
        <f>"High"</f>
        <v/>
      </c>
      <c r="I684">
        <f>TRIM(IF(LEN(IF(LEN(INDEX('Providers'!$H$4:$H$503,181))=0,"",INDEX('Providers'!$H$4:$H$503,181)))=0,"","DEA no.: "&amp;IF(LEN(INDEX('Providers'!$H$4:$H$503,181))=0,"",INDEX('Providers'!$H$4:$H$503,181))&amp;". ")&amp;IF(LEN(IF(LEN(INDEX('Providers'!$C$4:$C$503,181))=0,"",INDEX('Providers'!$C$4:$C$503,181)))=0,"","NPI: "&amp;IF(LEN(INDEX('Providers'!$C$4:$C$503,181))=0,"",INDEX('Providers'!$C$4:$C$503,181))&amp;". "))</f>
        <v/>
      </c>
      <c r="J684">
        <f>IF(LEN(INDEX('Providers'!$AJ$4:$AJ$503,181))=0,"",INDEX('Providers'!$AJ$4:$AJ$503,181))</f>
        <v/>
      </c>
      <c r="K684">
        <f>IF(LEN(INDEX('Providers'!$AI$4:$AI$503,181))=0,"",INDEX('Providers'!$AI$4:$AI$503,181))</f>
        <v/>
      </c>
    </row>
    <row r="685">
      <c r="A685">
        <f>IF(AND(LEN('Providers'!A185)&gt;0,ISNUMBER('Providers'!I185)),1,0)</f>
        <v/>
      </c>
      <c r="B685">
        <f>B684+A685</f>
        <v/>
      </c>
      <c r="C685">
        <f>IF(682&gt;$B$4503,"",MATCH(682-0.5,$B$3:$B$4503,1))</f>
        <v/>
      </c>
      <c r="D685">
        <f>"DEA registration ("&amp;IF(LEN(INDEX('Providers'!$E$4:$E$503,182))=0,"",INDEX('Providers'!$E$4:$E$503,182))&amp;") – "&amp;IF(LEN(INDEX('Providers'!$A$4:$A$503,182))=0,"",INDEX('Providers'!$A$4:$A$503,182))</f>
        <v/>
      </c>
      <c r="E685">
        <f>IF(ISNUMBER(INDEX('Providers'!$I$4:$I$503,182)),TEXT(INDEX('Providers'!$I$4:$I$503,182),"yyyy-mm-dd"),"")</f>
        <v/>
      </c>
      <c r="F685">
        <f>"Registration"</f>
        <v/>
      </c>
      <c r="G685">
        <f>""</f>
        <v/>
      </c>
      <c r="H685">
        <f>"High"</f>
        <v/>
      </c>
      <c r="I685">
        <f>TRIM(IF(LEN(IF(LEN(INDEX('Providers'!$H$4:$H$503,182))=0,"",INDEX('Providers'!$H$4:$H$503,182)))=0,"","DEA no.: "&amp;IF(LEN(INDEX('Providers'!$H$4:$H$503,182))=0,"",INDEX('Providers'!$H$4:$H$503,182))&amp;". ")&amp;IF(LEN(IF(LEN(INDEX('Providers'!$C$4:$C$503,182))=0,"",INDEX('Providers'!$C$4:$C$503,182)))=0,"","NPI: "&amp;IF(LEN(INDEX('Providers'!$C$4:$C$503,182))=0,"",INDEX('Providers'!$C$4:$C$503,182))&amp;". "))</f>
        <v/>
      </c>
      <c r="J685">
        <f>IF(LEN(INDEX('Providers'!$AJ$4:$AJ$503,182))=0,"",INDEX('Providers'!$AJ$4:$AJ$503,182))</f>
        <v/>
      </c>
      <c r="K685">
        <f>IF(LEN(INDEX('Providers'!$AI$4:$AI$503,182))=0,"",INDEX('Providers'!$AI$4:$AI$503,182))</f>
        <v/>
      </c>
    </row>
    <row r="686">
      <c r="A686">
        <f>IF(AND(LEN('Providers'!A186)&gt;0,ISNUMBER('Providers'!I186)),1,0)</f>
        <v/>
      </c>
      <c r="B686">
        <f>B685+A686</f>
        <v/>
      </c>
      <c r="C686">
        <f>IF(683&gt;$B$4503,"",MATCH(683-0.5,$B$3:$B$4503,1))</f>
        <v/>
      </c>
      <c r="D686">
        <f>"DEA registration ("&amp;IF(LEN(INDEX('Providers'!$E$4:$E$503,183))=0,"",INDEX('Providers'!$E$4:$E$503,183))&amp;") – "&amp;IF(LEN(INDEX('Providers'!$A$4:$A$503,183))=0,"",INDEX('Providers'!$A$4:$A$503,183))</f>
        <v/>
      </c>
      <c r="E686">
        <f>IF(ISNUMBER(INDEX('Providers'!$I$4:$I$503,183)),TEXT(INDEX('Providers'!$I$4:$I$503,183),"yyyy-mm-dd"),"")</f>
        <v/>
      </c>
      <c r="F686">
        <f>"Registration"</f>
        <v/>
      </c>
      <c r="G686">
        <f>""</f>
        <v/>
      </c>
      <c r="H686">
        <f>"High"</f>
        <v/>
      </c>
      <c r="I686">
        <f>TRIM(IF(LEN(IF(LEN(INDEX('Providers'!$H$4:$H$503,183))=0,"",INDEX('Providers'!$H$4:$H$503,183)))=0,"","DEA no.: "&amp;IF(LEN(INDEX('Providers'!$H$4:$H$503,183))=0,"",INDEX('Providers'!$H$4:$H$503,183))&amp;". ")&amp;IF(LEN(IF(LEN(INDEX('Providers'!$C$4:$C$503,183))=0,"",INDEX('Providers'!$C$4:$C$503,183)))=0,"","NPI: "&amp;IF(LEN(INDEX('Providers'!$C$4:$C$503,183))=0,"",INDEX('Providers'!$C$4:$C$503,183))&amp;". "))</f>
        <v/>
      </c>
      <c r="J686">
        <f>IF(LEN(INDEX('Providers'!$AJ$4:$AJ$503,183))=0,"",INDEX('Providers'!$AJ$4:$AJ$503,183))</f>
        <v/>
      </c>
      <c r="K686">
        <f>IF(LEN(INDEX('Providers'!$AI$4:$AI$503,183))=0,"",INDEX('Providers'!$AI$4:$AI$503,183))</f>
        <v/>
      </c>
    </row>
    <row r="687">
      <c r="A687">
        <f>IF(AND(LEN('Providers'!A187)&gt;0,ISNUMBER('Providers'!I187)),1,0)</f>
        <v/>
      </c>
      <c r="B687">
        <f>B686+A687</f>
        <v/>
      </c>
      <c r="C687">
        <f>IF(684&gt;$B$4503,"",MATCH(684-0.5,$B$3:$B$4503,1))</f>
        <v/>
      </c>
      <c r="D687">
        <f>"DEA registration ("&amp;IF(LEN(INDEX('Providers'!$E$4:$E$503,184))=0,"",INDEX('Providers'!$E$4:$E$503,184))&amp;") – "&amp;IF(LEN(INDEX('Providers'!$A$4:$A$503,184))=0,"",INDEX('Providers'!$A$4:$A$503,184))</f>
        <v/>
      </c>
      <c r="E687">
        <f>IF(ISNUMBER(INDEX('Providers'!$I$4:$I$503,184)),TEXT(INDEX('Providers'!$I$4:$I$503,184),"yyyy-mm-dd"),"")</f>
        <v/>
      </c>
      <c r="F687">
        <f>"Registration"</f>
        <v/>
      </c>
      <c r="G687">
        <f>""</f>
        <v/>
      </c>
      <c r="H687">
        <f>"High"</f>
        <v/>
      </c>
      <c r="I687">
        <f>TRIM(IF(LEN(IF(LEN(INDEX('Providers'!$H$4:$H$503,184))=0,"",INDEX('Providers'!$H$4:$H$503,184)))=0,"","DEA no.: "&amp;IF(LEN(INDEX('Providers'!$H$4:$H$503,184))=0,"",INDEX('Providers'!$H$4:$H$503,184))&amp;". ")&amp;IF(LEN(IF(LEN(INDEX('Providers'!$C$4:$C$503,184))=0,"",INDEX('Providers'!$C$4:$C$503,184)))=0,"","NPI: "&amp;IF(LEN(INDEX('Providers'!$C$4:$C$503,184))=0,"",INDEX('Providers'!$C$4:$C$503,184))&amp;". "))</f>
        <v/>
      </c>
      <c r="J687">
        <f>IF(LEN(INDEX('Providers'!$AJ$4:$AJ$503,184))=0,"",INDEX('Providers'!$AJ$4:$AJ$503,184))</f>
        <v/>
      </c>
      <c r="K687">
        <f>IF(LEN(INDEX('Providers'!$AI$4:$AI$503,184))=0,"",INDEX('Providers'!$AI$4:$AI$503,184))</f>
        <v/>
      </c>
    </row>
    <row r="688">
      <c r="A688">
        <f>IF(AND(LEN('Providers'!A188)&gt;0,ISNUMBER('Providers'!I188)),1,0)</f>
        <v/>
      </c>
      <c r="B688">
        <f>B687+A688</f>
        <v/>
      </c>
      <c r="C688">
        <f>IF(685&gt;$B$4503,"",MATCH(685-0.5,$B$3:$B$4503,1))</f>
        <v/>
      </c>
      <c r="D688">
        <f>"DEA registration ("&amp;IF(LEN(INDEX('Providers'!$E$4:$E$503,185))=0,"",INDEX('Providers'!$E$4:$E$503,185))&amp;") – "&amp;IF(LEN(INDEX('Providers'!$A$4:$A$503,185))=0,"",INDEX('Providers'!$A$4:$A$503,185))</f>
        <v/>
      </c>
      <c r="E688">
        <f>IF(ISNUMBER(INDEX('Providers'!$I$4:$I$503,185)),TEXT(INDEX('Providers'!$I$4:$I$503,185),"yyyy-mm-dd"),"")</f>
        <v/>
      </c>
      <c r="F688">
        <f>"Registration"</f>
        <v/>
      </c>
      <c r="G688">
        <f>""</f>
        <v/>
      </c>
      <c r="H688">
        <f>"High"</f>
        <v/>
      </c>
      <c r="I688">
        <f>TRIM(IF(LEN(IF(LEN(INDEX('Providers'!$H$4:$H$503,185))=0,"",INDEX('Providers'!$H$4:$H$503,185)))=0,"","DEA no.: "&amp;IF(LEN(INDEX('Providers'!$H$4:$H$503,185))=0,"",INDEX('Providers'!$H$4:$H$503,185))&amp;". ")&amp;IF(LEN(IF(LEN(INDEX('Providers'!$C$4:$C$503,185))=0,"",INDEX('Providers'!$C$4:$C$503,185)))=0,"","NPI: "&amp;IF(LEN(INDEX('Providers'!$C$4:$C$503,185))=0,"",INDEX('Providers'!$C$4:$C$503,185))&amp;". "))</f>
        <v/>
      </c>
      <c r="J688">
        <f>IF(LEN(INDEX('Providers'!$AJ$4:$AJ$503,185))=0,"",INDEX('Providers'!$AJ$4:$AJ$503,185))</f>
        <v/>
      </c>
      <c r="K688">
        <f>IF(LEN(INDEX('Providers'!$AI$4:$AI$503,185))=0,"",INDEX('Providers'!$AI$4:$AI$503,185))</f>
        <v/>
      </c>
    </row>
    <row r="689">
      <c r="A689">
        <f>IF(AND(LEN('Providers'!A189)&gt;0,ISNUMBER('Providers'!I189)),1,0)</f>
        <v/>
      </c>
      <c r="B689">
        <f>B688+A689</f>
        <v/>
      </c>
      <c r="C689">
        <f>IF(686&gt;$B$4503,"",MATCH(686-0.5,$B$3:$B$4503,1))</f>
        <v/>
      </c>
      <c r="D689">
        <f>"DEA registration ("&amp;IF(LEN(INDEX('Providers'!$E$4:$E$503,186))=0,"",INDEX('Providers'!$E$4:$E$503,186))&amp;") – "&amp;IF(LEN(INDEX('Providers'!$A$4:$A$503,186))=0,"",INDEX('Providers'!$A$4:$A$503,186))</f>
        <v/>
      </c>
      <c r="E689">
        <f>IF(ISNUMBER(INDEX('Providers'!$I$4:$I$503,186)),TEXT(INDEX('Providers'!$I$4:$I$503,186),"yyyy-mm-dd"),"")</f>
        <v/>
      </c>
      <c r="F689">
        <f>"Registration"</f>
        <v/>
      </c>
      <c r="G689">
        <f>""</f>
        <v/>
      </c>
      <c r="H689">
        <f>"High"</f>
        <v/>
      </c>
      <c r="I689">
        <f>TRIM(IF(LEN(IF(LEN(INDEX('Providers'!$H$4:$H$503,186))=0,"",INDEX('Providers'!$H$4:$H$503,186)))=0,"","DEA no.: "&amp;IF(LEN(INDEX('Providers'!$H$4:$H$503,186))=0,"",INDEX('Providers'!$H$4:$H$503,186))&amp;". ")&amp;IF(LEN(IF(LEN(INDEX('Providers'!$C$4:$C$503,186))=0,"",INDEX('Providers'!$C$4:$C$503,186)))=0,"","NPI: "&amp;IF(LEN(INDEX('Providers'!$C$4:$C$503,186))=0,"",INDEX('Providers'!$C$4:$C$503,186))&amp;". "))</f>
        <v/>
      </c>
      <c r="J689">
        <f>IF(LEN(INDEX('Providers'!$AJ$4:$AJ$503,186))=0,"",INDEX('Providers'!$AJ$4:$AJ$503,186))</f>
        <v/>
      </c>
      <c r="K689">
        <f>IF(LEN(INDEX('Providers'!$AI$4:$AI$503,186))=0,"",INDEX('Providers'!$AI$4:$AI$503,186))</f>
        <v/>
      </c>
    </row>
    <row r="690">
      <c r="A690">
        <f>IF(AND(LEN('Providers'!A190)&gt;0,ISNUMBER('Providers'!I190)),1,0)</f>
        <v/>
      </c>
      <c r="B690">
        <f>B689+A690</f>
        <v/>
      </c>
      <c r="C690">
        <f>IF(687&gt;$B$4503,"",MATCH(687-0.5,$B$3:$B$4503,1))</f>
        <v/>
      </c>
      <c r="D690">
        <f>"DEA registration ("&amp;IF(LEN(INDEX('Providers'!$E$4:$E$503,187))=0,"",INDEX('Providers'!$E$4:$E$503,187))&amp;") – "&amp;IF(LEN(INDEX('Providers'!$A$4:$A$503,187))=0,"",INDEX('Providers'!$A$4:$A$503,187))</f>
        <v/>
      </c>
      <c r="E690">
        <f>IF(ISNUMBER(INDEX('Providers'!$I$4:$I$503,187)),TEXT(INDEX('Providers'!$I$4:$I$503,187),"yyyy-mm-dd"),"")</f>
        <v/>
      </c>
      <c r="F690">
        <f>"Registration"</f>
        <v/>
      </c>
      <c r="G690">
        <f>""</f>
        <v/>
      </c>
      <c r="H690">
        <f>"High"</f>
        <v/>
      </c>
      <c r="I690">
        <f>TRIM(IF(LEN(IF(LEN(INDEX('Providers'!$H$4:$H$503,187))=0,"",INDEX('Providers'!$H$4:$H$503,187)))=0,"","DEA no.: "&amp;IF(LEN(INDEX('Providers'!$H$4:$H$503,187))=0,"",INDEX('Providers'!$H$4:$H$503,187))&amp;". ")&amp;IF(LEN(IF(LEN(INDEX('Providers'!$C$4:$C$503,187))=0,"",INDEX('Providers'!$C$4:$C$503,187)))=0,"","NPI: "&amp;IF(LEN(INDEX('Providers'!$C$4:$C$503,187))=0,"",INDEX('Providers'!$C$4:$C$503,187))&amp;". "))</f>
        <v/>
      </c>
      <c r="J690">
        <f>IF(LEN(INDEX('Providers'!$AJ$4:$AJ$503,187))=0,"",INDEX('Providers'!$AJ$4:$AJ$503,187))</f>
        <v/>
      </c>
      <c r="K690">
        <f>IF(LEN(INDEX('Providers'!$AI$4:$AI$503,187))=0,"",INDEX('Providers'!$AI$4:$AI$503,187))</f>
        <v/>
      </c>
    </row>
    <row r="691">
      <c r="A691">
        <f>IF(AND(LEN('Providers'!A191)&gt;0,ISNUMBER('Providers'!I191)),1,0)</f>
        <v/>
      </c>
      <c r="B691">
        <f>B690+A691</f>
        <v/>
      </c>
      <c r="C691">
        <f>IF(688&gt;$B$4503,"",MATCH(688-0.5,$B$3:$B$4503,1))</f>
        <v/>
      </c>
      <c r="D691">
        <f>"DEA registration ("&amp;IF(LEN(INDEX('Providers'!$E$4:$E$503,188))=0,"",INDEX('Providers'!$E$4:$E$503,188))&amp;") – "&amp;IF(LEN(INDEX('Providers'!$A$4:$A$503,188))=0,"",INDEX('Providers'!$A$4:$A$503,188))</f>
        <v/>
      </c>
      <c r="E691">
        <f>IF(ISNUMBER(INDEX('Providers'!$I$4:$I$503,188)),TEXT(INDEX('Providers'!$I$4:$I$503,188),"yyyy-mm-dd"),"")</f>
        <v/>
      </c>
      <c r="F691">
        <f>"Registration"</f>
        <v/>
      </c>
      <c r="G691">
        <f>""</f>
        <v/>
      </c>
      <c r="H691">
        <f>"High"</f>
        <v/>
      </c>
      <c r="I691">
        <f>TRIM(IF(LEN(IF(LEN(INDEX('Providers'!$H$4:$H$503,188))=0,"",INDEX('Providers'!$H$4:$H$503,188)))=0,"","DEA no.: "&amp;IF(LEN(INDEX('Providers'!$H$4:$H$503,188))=0,"",INDEX('Providers'!$H$4:$H$503,188))&amp;". ")&amp;IF(LEN(IF(LEN(INDEX('Providers'!$C$4:$C$503,188))=0,"",INDEX('Providers'!$C$4:$C$503,188)))=0,"","NPI: "&amp;IF(LEN(INDEX('Providers'!$C$4:$C$503,188))=0,"",INDEX('Providers'!$C$4:$C$503,188))&amp;". "))</f>
        <v/>
      </c>
      <c r="J691">
        <f>IF(LEN(INDEX('Providers'!$AJ$4:$AJ$503,188))=0,"",INDEX('Providers'!$AJ$4:$AJ$503,188))</f>
        <v/>
      </c>
      <c r="K691">
        <f>IF(LEN(INDEX('Providers'!$AI$4:$AI$503,188))=0,"",INDEX('Providers'!$AI$4:$AI$503,188))</f>
        <v/>
      </c>
    </row>
    <row r="692">
      <c r="A692">
        <f>IF(AND(LEN('Providers'!A192)&gt;0,ISNUMBER('Providers'!I192)),1,0)</f>
        <v/>
      </c>
      <c r="B692">
        <f>B691+A692</f>
        <v/>
      </c>
      <c r="C692">
        <f>IF(689&gt;$B$4503,"",MATCH(689-0.5,$B$3:$B$4503,1))</f>
        <v/>
      </c>
      <c r="D692">
        <f>"DEA registration ("&amp;IF(LEN(INDEX('Providers'!$E$4:$E$503,189))=0,"",INDEX('Providers'!$E$4:$E$503,189))&amp;") – "&amp;IF(LEN(INDEX('Providers'!$A$4:$A$503,189))=0,"",INDEX('Providers'!$A$4:$A$503,189))</f>
        <v/>
      </c>
      <c r="E692">
        <f>IF(ISNUMBER(INDEX('Providers'!$I$4:$I$503,189)),TEXT(INDEX('Providers'!$I$4:$I$503,189),"yyyy-mm-dd"),"")</f>
        <v/>
      </c>
      <c r="F692">
        <f>"Registration"</f>
        <v/>
      </c>
      <c r="G692">
        <f>""</f>
        <v/>
      </c>
      <c r="H692">
        <f>"High"</f>
        <v/>
      </c>
      <c r="I692">
        <f>TRIM(IF(LEN(IF(LEN(INDEX('Providers'!$H$4:$H$503,189))=0,"",INDEX('Providers'!$H$4:$H$503,189)))=0,"","DEA no.: "&amp;IF(LEN(INDEX('Providers'!$H$4:$H$503,189))=0,"",INDEX('Providers'!$H$4:$H$503,189))&amp;". ")&amp;IF(LEN(IF(LEN(INDEX('Providers'!$C$4:$C$503,189))=0,"",INDEX('Providers'!$C$4:$C$503,189)))=0,"","NPI: "&amp;IF(LEN(INDEX('Providers'!$C$4:$C$503,189))=0,"",INDEX('Providers'!$C$4:$C$503,189))&amp;". "))</f>
        <v/>
      </c>
      <c r="J692">
        <f>IF(LEN(INDEX('Providers'!$AJ$4:$AJ$503,189))=0,"",INDEX('Providers'!$AJ$4:$AJ$503,189))</f>
        <v/>
      </c>
      <c r="K692">
        <f>IF(LEN(INDEX('Providers'!$AI$4:$AI$503,189))=0,"",INDEX('Providers'!$AI$4:$AI$503,189))</f>
        <v/>
      </c>
    </row>
    <row r="693">
      <c r="A693">
        <f>IF(AND(LEN('Providers'!A193)&gt;0,ISNUMBER('Providers'!I193)),1,0)</f>
        <v/>
      </c>
      <c r="B693">
        <f>B692+A693</f>
        <v/>
      </c>
      <c r="C693">
        <f>IF(690&gt;$B$4503,"",MATCH(690-0.5,$B$3:$B$4503,1))</f>
        <v/>
      </c>
      <c r="D693">
        <f>"DEA registration ("&amp;IF(LEN(INDEX('Providers'!$E$4:$E$503,190))=0,"",INDEX('Providers'!$E$4:$E$503,190))&amp;") – "&amp;IF(LEN(INDEX('Providers'!$A$4:$A$503,190))=0,"",INDEX('Providers'!$A$4:$A$503,190))</f>
        <v/>
      </c>
      <c r="E693">
        <f>IF(ISNUMBER(INDEX('Providers'!$I$4:$I$503,190)),TEXT(INDEX('Providers'!$I$4:$I$503,190),"yyyy-mm-dd"),"")</f>
        <v/>
      </c>
      <c r="F693">
        <f>"Registration"</f>
        <v/>
      </c>
      <c r="G693">
        <f>""</f>
        <v/>
      </c>
      <c r="H693">
        <f>"High"</f>
        <v/>
      </c>
      <c r="I693">
        <f>TRIM(IF(LEN(IF(LEN(INDEX('Providers'!$H$4:$H$503,190))=0,"",INDEX('Providers'!$H$4:$H$503,190)))=0,"","DEA no.: "&amp;IF(LEN(INDEX('Providers'!$H$4:$H$503,190))=0,"",INDEX('Providers'!$H$4:$H$503,190))&amp;". ")&amp;IF(LEN(IF(LEN(INDEX('Providers'!$C$4:$C$503,190))=0,"",INDEX('Providers'!$C$4:$C$503,190)))=0,"","NPI: "&amp;IF(LEN(INDEX('Providers'!$C$4:$C$503,190))=0,"",INDEX('Providers'!$C$4:$C$503,190))&amp;". "))</f>
        <v/>
      </c>
      <c r="J693">
        <f>IF(LEN(INDEX('Providers'!$AJ$4:$AJ$503,190))=0,"",INDEX('Providers'!$AJ$4:$AJ$503,190))</f>
        <v/>
      </c>
      <c r="K693">
        <f>IF(LEN(INDEX('Providers'!$AI$4:$AI$503,190))=0,"",INDEX('Providers'!$AI$4:$AI$503,190))</f>
        <v/>
      </c>
    </row>
    <row r="694">
      <c r="A694">
        <f>IF(AND(LEN('Providers'!A194)&gt;0,ISNUMBER('Providers'!I194)),1,0)</f>
        <v/>
      </c>
      <c r="B694">
        <f>B693+A694</f>
        <v/>
      </c>
      <c r="C694">
        <f>IF(691&gt;$B$4503,"",MATCH(691-0.5,$B$3:$B$4503,1))</f>
        <v/>
      </c>
      <c r="D694">
        <f>"DEA registration ("&amp;IF(LEN(INDEX('Providers'!$E$4:$E$503,191))=0,"",INDEX('Providers'!$E$4:$E$503,191))&amp;") – "&amp;IF(LEN(INDEX('Providers'!$A$4:$A$503,191))=0,"",INDEX('Providers'!$A$4:$A$503,191))</f>
        <v/>
      </c>
      <c r="E694">
        <f>IF(ISNUMBER(INDEX('Providers'!$I$4:$I$503,191)),TEXT(INDEX('Providers'!$I$4:$I$503,191),"yyyy-mm-dd"),"")</f>
        <v/>
      </c>
      <c r="F694">
        <f>"Registration"</f>
        <v/>
      </c>
      <c r="G694">
        <f>""</f>
        <v/>
      </c>
      <c r="H694">
        <f>"High"</f>
        <v/>
      </c>
      <c r="I694">
        <f>TRIM(IF(LEN(IF(LEN(INDEX('Providers'!$H$4:$H$503,191))=0,"",INDEX('Providers'!$H$4:$H$503,191)))=0,"","DEA no.: "&amp;IF(LEN(INDEX('Providers'!$H$4:$H$503,191))=0,"",INDEX('Providers'!$H$4:$H$503,191))&amp;". ")&amp;IF(LEN(IF(LEN(INDEX('Providers'!$C$4:$C$503,191))=0,"",INDEX('Providers'!$C$4:$C$503,191)))=0,"","NPI: "&amp;IF(LEN(INDEX('Providers'!$C$4:$C$503,191))=0,"",INDEX('Providers'!$C$4:$C$503,191))&amp;". "))</f>
        <v/>
      </c>
      <c r="J694">
        <f>IF(LEN(INDEX('Providers'!$AJ$4:$AJ$503,191))=0,"",INDEX('Providers'!$AJ$4:$AJ$503,191))</f>
        <v/>
      </c>
      <c r="K694">
        <f>IF(LEN(INDEX('Providers'!$AI$4:$AI$503,191))=0,"",INDEX('Providers'!$AI$4:$AI$503,191))</f>
        <v/>
      </c>
    </row>
    <row r="695">
      <c r="A695">
        <f>IF(AND(LEN('Providers'!A195)&gt;0,ISNUMBER('Providers'!I195)),1,0)</f>
        <v/>
      </c>
      <c r="B695">
        <f>B694+A695</f>
        <v/>
      </c>
      <c r="C695">
        <f>IF(692&gt;$B$4503,"",MATCH(692-0.5,$B$3:$B$4503,1))</f>
        <v/>
      </c>
      <c r="D695">
        <f>"DEA registration ("&amp;IF(LEN(INDEX('Providers'!$E$4:$E$503,192))=0,"",INDEX('Providers'!$E$4:$E$503,192))&amp;") – "&amp;IF(LEN(INDEX('Providers'!$A$4:$A$503,192))=0,"",INDEX('Providers'!$A$4:$A$503,192))</f>
        <v/>
      </c>
      <c r="E695">
        <f>IF(ISNUMBER(INDEX('Providers'!$I$4:$I$503,192)),TEXT(INDEX('Providers'!$I$4:$I$503,192),"yyyy-mm-dd"),"")</f>
        <v/>
      </c>
      <c r="F695">
        <f>"Registration"</f>
        <v/>
      </c>
      <c r="G695">
        <f>""</f>
        <v/>
      </c>
      <c r="H695">
        <f>"High"</f>
        <v/>
      </c>
      <c r="I695">
        <f>TRIM(IF(LEN(IF(LEN(INDEX('Providers'!$H$4:$H$503,192))=0,"",INDEX('Providers'!$H$4:$H$503,192)))=0,"","DEA no.: "&amp;IF(LEN(INDEX('Providers'!$H$4:$H$503,192))=0,"",INDEX('Providers'!$H$4:$H$503,192))&amp;". ")&amp;IF(LEN(IF(LEN(INDEX('Providers'!$C$4:$C$503,192))=0,"",INDEX('Providers'!$C$4:$C$503,192)))=0,"","NPI: "&amp;IF(LEN(INDEX('Providers'!$C$4:$C$503,192))=0,"",INDEX('Providers'!$C$4:$C$503,192))&amp;". "))</f>
        <v/>
      </c>
      <c r="J695">
        <f>IF(LEN(INDEX('Providers'!$AJ$4:$AJ$503,192))=0,"",INDEX('Providers'!$AJ$4:$AJ$503,192))</f>
        <v/>
      </c>
      <c r="K695">
        <f>IF(LEN(INDEX('Providers'!$AI$4:$AI$503,192))=0,"",INDEX('Providers'!$AI$4:$AI$503,192))</f>
        <v/>
      </c>
    </row>
    <row r="696">
      <c r="A696">
        <f>IF(AND(LEN('Providers'!A196)&gt;0,ISNUMBER('Providers'!I196)),1,0)</f>
        <v/>
      </c>
      <c r="B696">
        <f>B695+A696</f>
        <v/>
      </c>
      <c r="C696">
        <f>IF(693&gt;$B$4503,"",MATCH(693-0.5,$B$3:$B$4503,1))</f>
        <v/>
      </c>
      <c r="D696">
        <f>"DEA registration ("&amp;IF(LEN(INDEX('Providers'!$E$4:$E$503,193))=0,"",INDEX('Providers'!$E$4:$E$503,193))&amp;") – "&amp;IF(LEN(INDEX('Providers'!$A$4:$A$503,193))=0,"",INDEX('Providers'!$A$4:$A$503,193))</f>
        <v/>
      </c>
      <c r="E696">
        <f>IF(ISNUMBER(INDEX('Providers'!$I$4:$I$503,193)),TEXT(INDEX('Providers'!$I$4:$I$503,193),"yyyy-mm-dd"),"")</f>
        <v/>
      </c>
      <c r="F696">
        <f>"Registration"</f>
        <v/>
      </c>
      <c r="G696">
        <f>""</f>
        <v/>
      </c>
      <c r="H696">
        <f>"High"</f>
        <v/>
      </c>
      <c r="I696">
        <f>TRIM(IF(LEN(IF(LEN(INDEX('Providers'!$H$4:$H$503,193))=0,"",INDEX('Providers'!$H$4:$H$503,193)))=0,"","DEA no.: "&amp;IF(LEN(INDEX('Providers'!$H$4:$H$503,193))=0,"",INDEX('Providers'!$H$4:$H$503,193))&amp;". ")&amp;IF(LEN(IF(LEN(INDEX('Providers'!$C$4:$C$503,193))=0,"",INDEX('Providers'!$C$4:$C$503,193)))=0,"","NPI: "&amp;IF(LEN(INDEX('Providers'!$C$4:$C$503,193))=0,"",INDEX('Providers'!$C$4:$C$503,193))&amp;". "))</f>
        <v/>
      </c>
      <c r="J696">
        <f>IF(LEN(INDEX('Providers'!$AJ$4:$AJ$503,193))=0,"",INDEX('Providers'!$AJ$4:$AJ$503,193))</f>
        <v/>
      </c>
      <c r="K696">
        <f>IF(LEN(INDEX('Providers'!$AI$4:$AI$503,193))=0,"",INDEX('Providers'!$AI$4:$AI$503,193))</f>
        <v/>
      </c>
    </row>
    <row r="697">
      <c r="A697">
        <f>IF(AND(LEN('Providers'!A197)&gt;0,ISNUMBER('Providers'!I197)),1,0)</f>
        <v/>
      </c>
      <c r="B697">
        <f>B696+A697</f>
        <v/>
      </c>
      <c r="C697">
        <f>IF(694&gt;$B$4503,"",MATCH(694-0.5,$B$3:$B$4503,1))</f>
        <v/>
      </c>
      <c r="D697">
        <f>"DEA registration ("&amp;IF(LEN(INDEX('Providers'!$E$4:$E$503,194))=0,"",INDEX('Providers'!$E$4:$E$503,194))&amp;") – "&amp;IF(LEN(INDEX('Providers'!$A$4:$A$503,194))=0,"",INDEX('Providers'!$A$4:$A$503,194))</f>
        <v/>
      </c>
      <c r="E697">
        <f>IF(ISNUMBER(INDEX('Providers'!$I$4:$I$503,194)),TEXT(INDEX('Providers'!$I$4:$I$503,194),"yyyy-mm-dd"),"")</f>
        <v/>
      </c>
      <c r="F697">
        <f>"Registration"</f>
        <v/>
      </c>
      <c r="G697">
        <f>""</f>
        <v/>
      </c>
      <c r="H697">
        <f>"High"</f>
        <v/>
      </c>
      <c r="I697">
        <f>TRIM(IF(LEN(IF(LEN(INDEX('Providers'!$H$4:$H$503,194))=0,"",INDEX('Providers'!$H$4:$H$503,194)))=0,"","DEA no.: "&amp;IF(LEN(INDEX('Providers'!$H$4:$H$503,194))=0,"",INDEX('Providers'!$H$4:$H$503,194))&amp;". ")&amp;IF(LEN(IF(LEN(INDEX('Providers'!$C$4:$C$503,194))=0,"",INDEX('Providers'!$C$4:$C$503,194)))=0,"","NPI: "&amp;IF(LEN(INDEX('Providers'!$C$4:$C$503,194))=0,"",INDEX('Providers'!$C$4:$C$503,194))&amp;". "))</f>
        <v/>
      </c>
      <c r="J697">
        <f>IF(LEN(INDEX('Providers'!$AJ$4:$AJ$503,194))=0,"",INDEX('Providers'!$AJ$4:$AJ$503,194))</f>
        <v/>
      </c>
      <c r="K697">
        <f>IF(LEN(INDEX('Providers'!$AI$4:$AI$503,194))=0,"",INDEX('Providers'!$AI$4:$AI$503,194))</f>
        <v/>
      </c>
    </row>
    <row r="698">
      <c r="A698">
        <f>IF(AND(LEN('Providers'!A198)&gt;0,ISNUMBER('Providers'!I198)),1,0)</f>
        <v/>
      </c>
      <c r="B698">
        <f>B697+A698</f>
        <v/>
      </c>
      <c r="C698">
        <f>IF(695&gt;$B$4503,"",MATCH(695-0.5,$B$3:$B$4503,1))</f>
        <v/>
      </c>
      <c r="D698">
        <f>"DEA registration ("&amp;IF(LEN(INDEX('Providers'!$E$4:$E$503,195))=0,"",INDEX('Providers'!$E$4:$E$503,195))&amp;") – "&amp;IF(LEN(INDEX('Providers'!$A$4:$A$503,195))=0,"",INDEX('Providers'!$A$4:$A$503,195))</f>
        <v/>
      </c>
      <c r="E698">
        <f>IF(ISNUMBER(INDEX('Providers'!$I$4:$I$503,195)),TEXT(INDEX('Providers'!$I$4:$I$503,195),"yyyy-mm-dd"),"")</f>
        <v/>
      </c>
      <c r="F698">
        <f>"Registration"</f>
        <v/>
      </c>
      <c r="G698">
        <f>""</f>
        <v/>
      </c>
      <c r="H698">
        <f>"High"</f>
        <v/>
      </c>
      <c r="I698">
        <f>TRIM(IF(LEN(IF(LEN(INDEX('Providers'!$H$4:$H$503,195))=0,"",INDEX('Providers'!$H$4:$H$503,195)))=0,"","DEA no.: "&amp;IF(LEN(INDEX('Providers'!$H$4:$H$503,195))=0,"",INDEX('Providers'!$H$4:$H$503,195))&amp;". ")&amp;IF(LEN(IF(LEN(INDEX('Providers'!$C$4:$C$503,195))=0,"",INDEX('Providers'!$C$4:$C$503,195)))=0,"","NPI: "&amp;IF(LEN(INDEX('Providers'!$C$4:$C$503,195))=0,"",INDEX('Providers'!$C$4:$C$503,195))&amp;". "))</f>
        <v/>
      </c>
      <c r="J698">
        <f>IF(LEN(INDEX('Providers'!$AJ$4:$AJ$503,195))=0,"",INDEX('Providers'!$AJ$4:$AJ$503,195))</f>
        <v/>
      </c>
      <c r="K698">
        <f>IF(LEN(INDEX('Providers'!$AI$4:$AI$503,195))=0,"",INDEX('Providers'!$AI$4:$AI$503,195))</f>
        <v/>
      </c>
    </row>
    <row r="699">
      <c r="A699">
        <f>IF(AND(LEN('Providers'!A199)&gt;0,ISNUMBER('Providers'!I199)),1,0)</f>
        <v/>
      </c>
      <c r="B699">
        <f>B698+A699</f>
        <v/>
      </c>
      <c r="C699">
        <f>IF(696&gt;$B$4503,"",MATCH(696-0.5,$B$3:$B$4503,1))</f>
        <v/>
      </c>
      <c r="D699">
        <f>"DEA registration ("&amp;IF(LEN(INDEX('Providers'!$E$4:$E$503,196))=0,"",INDEX('Providers'!$E$4:$E$503,196))&amp;") – "&amp;IF(LEN(INDEX('Providers'!$A$4:$A$503,196))=0,"",INDEX('Providers'!$A$4:$A$503,196))</f>
        <v/>
      </c>
      <c r="E699">
        <f>IF(ISNUMBER(INDEX('Providers'!$I$4:$I$503,196)),TEXT(INDEX('Providers'!$I$4:$I$503,196),"yyyy-mm-dd"),"")</f>
        <v/>
      </c>
      <c r="F699">
        <f>"Registration"</f>
        <v/>
      </c>
      <c r="G699">
        <f>""</f>
        <v/>
      </c>
      <c r="H699">
        <f>"High"</f>
        <v/>
      </c>
      <c r="I699">
        <f>TRIM(IF(LEN(IF(LEN(INDEX('Providers'!$H$4:$H$503,196))=0,"",INDEX('Providers'!$H$4:$H$503,196)))=0,"","DEA no.: "&amp;IF(LEN(INDEX('Providers'!$H$4:$H$503,196))=0,"",INDEX('Providers'!$H$4:$H$503,196))&amp;". ")&amp;IF(LEN(IF(LEN(INDEX('Providers'!$C$4:$C$503,196))=0,"",INDEX('Providers'!$C$4:$C$503,196)))=0,"","NPI: "&amp;IF(LEN(INDEX('Providers'!$C$4:$C$503,196))=0,"",INDEX('Providers'!$C$4:$C$503,196))&amp;". "))</f>
        <v/>
      </c>
      <c r="J699">
        <f>IF(LEN(INDEX('Providers'!$AJ$4:$AJ$503,196))=0,"",INDEX('Providers'!$AJ$4:$AJ$503,196))</f>
        <v/>
      </c>
      <c r="K699">
        <f>IF(LEN(INDEX('Providers'!$AI$4:$AI$503,196))=0,"",INDEX('Providers'!$AI$4:$AI$503,196))</f>
        <v/>
      </c>
    </row>
    <row r="700">
      <c r="A700">
        <f>IF(AND(LEN('Providers'!A200)&gt;0,ISNUMBER('Providers'!I200)),1,0)</f>
        <v/>
      </c>
      <c r="B700">
        <f>B699+A700</f>
        <v/>
      </c>
      <c r="C700">
        <f>IF(697&gt;$B$4503,"",MATCH(697-0.5,$B$3:$B$4503,1))</f>
        <v/>
      </c>
      <c r="D700">
        <f>"DEA registration ("&amp;IF(LEN(INDEX('Providers'!$E$4:$E$503,197))=0,"",INDEX('Providers'!$E$4:$E$503,197))&amp;") – "&amp;IF(LEN(INDEX('Providers'!$A$4:$A$503,197))=0,"",INDEX('Providers'!$A$4:$A$503,197))</f>
        <v/>
      </c>
      <c r="E700">
        <f>IF(ISNUMBER(INDEX('Providers'!$I$4:$I$503,197)),TEXT(INDEX('Providers'!$I$4:$I$503,197),"yyyy-mm-dd"),"")</f>
        <v/>
      </c>
      <c r="F700">
        <f>"Registration"</f>
        <v/>
      </c>
      <c r="G700">
        <f>""</f>
        <v/>
      </c>
      <c r="H700">
        <f>"High"</f>
        <v/>
      </c>
      <c r="I700">
        <f>TRIM(IF(LEN(IF(LEN(INDEX('Providers'!$H$4:$H$503,197))=0,"",INDEX('Providers'!$H$4:$H$503,197)))=0,"","DEA no.: "&amp;IF(LEN(INDEX('Providers'!$H$4:$H$503,197))=0,"",INDEX('Providers'!$H$4:$H$503,197))&amp;". ")&amp;IF(LEN(IF(LEN(INDEX('Providers'!$C$4:$C$503,197))=0,"",INDEX('Providers'!$C$4:$C$503,197)))=0,"","NPI: "&amp;IF(LEN(INDEX('Providers'!$C$4:$C$503,197))=0,"",INDEX('Providers'!$C$4:$C$503,197))&amp;". "))</f>
        <v/>
      </c>
      <c r="J700">
        <f>IF(LEN(INDEX('Providers'!$AJ$4:$AJ$503,197))=0,"",INDEX('Providers'!$AJ$4:$AJ$503,197))</f>
        <v/>
      </c>
      <c r="K700">
        <f>IF(LEN(INDEX('Providers'!$AI$4:$AI$503,197))=0,"",INDEX('Providers'!$AI$4:$AI$503,197))</f>
        <v/>
      </c>
    </row>
    <row r="701">
      <c r="A701">
        <f>IF(AND(LEN('Providers'!A201)&gt;0,ISNUMBER('Providers'!I201)),1,0)</f>
        <v/>
      </c>
      <c r="B701">
        <f>B700+A701</f>
        <v/>
      </c>
      <c r="C701">
        <f>IF(698&gt;$B$4503,"",MATCH(698-0.5,$B$3:$B$4503,1))</f>
        <v/>
      </c>
      <c r="D701">
        <f>"DEA registration ("&amp;IF(LEN(INDEX('Providers'!$E$4:$E$503,198))=0,"",INDEX('Providers'!$E$4:$E$503,198))&amp;") – "&amp;IF(LEN(INDEX('Providers'!$A$4:$A$503,198))=0,"",INDEX('Providers'!$A$4:$A$503,198))</f>
        <v/>
      </c>
      <c r="E701">
        <f>IF(ISNUMBER(INDEX('Providers'!$I$4:$I$503,198)),TEXT(INDEX('Providers'!$I$4:$I$503,198),"yyyy-mm-dd"),"")</f>
        <v/>
      </c>
      <c r="F701">
        <f>"Registration"</f>
        <v/>
      </c>
      <c r="G701">
        <f>""</f>
        <v/>
      </c>
      <c r="H701">
        <f>"High"</f>
        <v/>
      </c>
      <c r="I701">
        <f>TRIM(IF(LEN(IF(LEN(INDEX('Providers'!$H$4:$H$503,198))=0,"",INDEX('Providers'!$H$4:$H$503,198)))=0,"","DEA no.: "&amp;IF(LEN(INDEX('Providers'!$H$4:$H$503,198))=0,"",INDEX('Providers'!$H$4:$H$503,198))&amp;". ")&amp;IF(LEN(IF(LEN(INDEX('Providers'!$C$4:$C$503,198))=0,"",INDEX('Providers'!$C$4:$C$503,198)))=0,"","NPI: "&amp;IF(LEN(INDEX('Providers'!$C$4:$C$503,198))=0,"",INDEX('Providers'!$C$4:$C$503,198))&amp;". "))</f>
        <v/>
      </c>
      <c r="J701">
        <f>IF(LEN(INDEX('Providers'!$AJ$4:$AJ$503,198))=0,"",INDEX('Providers'!$AJ$4:$AJ$503,198))</f>
        <v/>
      </c>
      <c r="K701">
        <f>IF(LEN(INDEX('Providers'!$AI$4:$AI$503,198))=0,"",INDEX('Providers'!$AI$4:$AI$503,198))</f>
        <v/>
      </c>
    </row>
    <row r="702">
      <c r="A702">
        <f>IF(AND(LEN('Providers'!A202)&gt;0,ISNUMBER('Providers'!I202)),1,0)</f>
        <v/>
      </c>
      <c r="B702">
        <f>B701+A702</f>
        <v/>
      </c>
      <c r="C702">
        <f>IF(699&gt;$B$4503,"",MATCH(699-0.5,$B$3:$B$4503,1))</f>
        <v/>
      </c>
      <c r="D702">
        <f>"DEA registration ("&amp;IF(LEN(INDEX('Providers'!$E$4:$E$503,199))=0,"",INDEX('Providers'!$E$4:$E$503,199))&amp;") – "&amp;IF(LEN(INDEX('Providers'!$A$4:$A$503,199))=0,"",INDEX('Providers'!$A$4:$A$503,199))</f>
        <v/>
      </c>
      <c r="E702">
        <f>IF(ISNUMBER(INDEX('Providers'!$I$4:$I$503,199)),TEXT(INDEX('Providers'!$I$4:$I$503,199),"yyyy-mm-dd"),"")</f>
        <v/>
      </c>
      <c r="F702">
        <f>"Registration"</f>
        <v/>
      </c>
      <c r="G702">
        <f>""</f>
        <v/>
      </c>
      <c r="H702">
        <f>"High"</f>
        <v/>
      </c>
      <c r="I702">
        <f>TRIM(IF(LEN(IF(LEN(INDEX('Providers'!$H$4:$H$503,199))=0,"",INDEX('Providers'!$H$4:$H$503,199)))=0,"","DEA no.: "&amp;IF(LEN(INDEX('Providers'!$H$4:$H$503,199))=0,"",INDEX('Providers'!$H$4:$H$503,199))&amp;". ")&amp;IF(LEN(IF(LEN(INDEX('Providers'!$C$4:$C$503,199))=0,"",INDEX('Providers'!$C$4:$C$503,199)))=0,"","NPI: "&amp;IF(LEN(INDEX('Providers'!$C$4:$C$503,199))=0,"",INDEX('Providers'!$C$4:$C$503,199))&amp;". "))</f>
        <v/>
      </c>
      <c r="J702">
        <f>IF(LEN(INDEX('Providers'!$AJ$4:$AJ$503,199))=0,"",INDEX('Providers'!$AJ$4:$AJ$503,199))</f>
        <v/>
      </c>
      <c r="K702">
        <f>IF(LEN(INDEX('Providers'!$AI$4:$AI$503,199))=0,"",INDEX('Providers'!$AI$4:$AI$503,199))</f>
        <v/>
      </c>
    </row>
    <row r="703">
      <c r="A703">
        <f>IF(AND(LEN('Providers'!A203)&gt;0,ISNUMBER('Providers'!I203)),1,0)</f>
        <v/>
      </c>
      <c r="B703">
        <f>B702+A703</f>
        <v/>
      </c>
      <c r="C703">
        <f>IF(700&gt;$B$4503,"",MATCH(700-0.5,$B$3:$B$4503,1))</f>
        <v/>
      </c>
      <c r="D703">
        <f>"DEA registration ("&amp;IF(LEN(INDEX('Providers'!$E$4:$E$503,200))=0,"",INDEX('Providers'!$E$4:$E$503,200))&amp;") – "&amp;IF(LEN(INDEX('Providers'!$A$4:$A$503,200))=0,"",INDEX('Providers'!$A$4:$A$503,200))</f>
        <v/>
      </c>
      <c r="E703">
        <f>IF(ISNUMBER(INDEX('Providers'!$I$4:$I$503,200)),TEXT(INDEX('Providers'!$I$4:$I$503,200),"yyyy-mm-dd"),"")</f>
        <v/>
      </c>
      <c r="F703">
        <f>"Registration"</f>
        <v/>
      </c>
      <c r="G703">
        <f>""</f>
        <v/>
      </c>
      <c r="H703">
        <f>"High"</f>
        <v/>
      </c>
      <c r="I703">
        <f>TRIM(IF(LEN(IF(LEN(INDEX('Providers'!$H$4:$H$503,200))=0,"",INDEX('Providers'!$H$4:$H$503,200)))=0,"","DEA no.: "&amp;IF(LEN(INDEX('Providers'!$H$4:$H$503,200))=0,"",INDEX('Providers'!$H$4:$H$503,200))&amp;". ")&amp;IF(LEN(IF(LEN(INDEX('Providers'!$C$4:$C$503,200))=0,"",INDEX('Providers'!$C$4:$C$503,200)))=0,"","NPI: "&amp;IF(LEN(INDEX('Providers'!$C$4:$C$503,200))=0,"",INDEX('Providers'!$C$4:$C$503,200))&amp;". "))</f>
        <v/>
      </c>
      <c r="J703">
        <f>IF(LEN(INDEX('Providers'!$AJ$4:$AJ$503,200))=0,"",INDEX('Providers'!$AJ$4:$AJ$503,200))</f>
        <v/>
      </c>
      <c r="K703">
        <f>IF(LEN(INDEX('Providers'!$AI$4:$AI$503,200))=0,"",INDEX('Providers'!$AI$4:$AI$503,200))</f>
        <v/>
      </c>
    </row>
    <row r="704">
      <c r="A704">
        <f>IF(AND(LEN('Providers'!A204)&gt;0,ISNUMBER('Providers'!I204)),1,0)</f>
        <v/>
      </c>
      <c r="B704">
        <f>B703+A704</f>
        <v/>
      </c>
      <c r="C704">
        <f>IF(701&gt;$B$4503,"",MATCH(701-0.5,$B$3:$B$4503,1))</f>
        <v/>
      </c>
      <c r="D704">
        <f>"DEA registration ("&amp;IF(LEN(INDEX('Providers'!$E$4:$E$503,201))=0,"",INDEX('Providers'!$E$4:$E$503,201))&amp;") – "&amp;IF(LEN(INDEX('Providers'!$A$4:$A$503,201))=0,"",INDEX('Providers'!$A$4:$A$503,201))</f>
        <v/>
      </c>
      <c r="E704">
        <f>IF(ISNUMBER(INDEX('Providers'!$I$4:$I$503,201)),TEXT(INDEX('Providers'!$I$4:$I$503,201),"yyyy-mm-dd"),"")</f>
        <v/>
      </c>
      <c r="F704">
        <f>"Registration"</f>
        <v/>
      </c>
      <c r="G704">
        <f>""</f>
        <v/>
      </c>
      <c r="H704">
        <f>"High"</f>
        <v/>
      </c>
      <c r="I704">
        <f>TRIM(IF(LEN(IF(LEN(INDEX('Providers'!$H$4:$H$503,201))=0,"",INDEX('Providers'!$H$4:$H$503,201)))=0,"","DEA no.: "&amp;IF(LEN(INDEX('Providers'!$H$4:$H$503,201))=0,"",INDEX('Providers'!$H$4:$H$503,201))&amp;". ")&amp;IF(LEN(IF(LEN(INDEX('Providers'!$C$4:$C$503,201))=0,"",INDEX('Providers'!$C$4:$C$503,201)))=0,"","NPI: "&amp;IF(LEN(INDEX('Providers'!$C$4:$C$503,201))=0,"",INDEX('Providers'!$C$4:$C$503,201))&amp;". "))</f>
        <v/>
      </c>
      <c r="J704">
        <f>IF(LEN(INDEX('Providers'!$AJ$4:$AJ$503,201))=0,"",INDEX('Providers'!$AJ$4:$AJ$503,201))</f>
        <v/>
      </c>
      <c r="K704">
        <f>IF(LEN(INDEX('Providers'!$AI$4:$AI$503,201))=0,"",INDEX('Providers'!$AI$4:$AI$503,201))</f>
        <v/>
      </c>
    </row>
    <row r="705">
      <c r="A705">
        <f>IF(AND(LEN('Providers'!A205)&gt;0,ISNUMBER('Providers'!I205)),1,0)</f>
        <v/>
      </c>
      <c r="B705">
        <f>B704+A705</f>
        <v/>
      </c>
      <c r="C705">
        <f>IF(702&gt;$B$4503,"",MATCH(702-0.5,$B$3:$B$4503,1))</f>
        <v/>
      </c>
      <c r="D705">
        <f>"DEA registration ("&amp;IF(LEN(INDEX('Providers'!$E$4:$E$503,202))=0,"",INDEX('Providers'!$E$4:$E$503,202))&amp;") – "&amp;IF(LEN(INDEX('Providers'!$A$4:$A$503,202))=0,"",INDEX('Providers'!$A$4:$A$503,202))</f>
        <v/>
      </c>
      <c r="E705">
        <f>IF(ISNUMBER(INDEX('Providers'!$I$4:$I$503,202)),TEXT(INDEX('Providers'!$I$4:$I$503,202),"yyyy-mm-dd"),"")</f>
        <v/>
      </c>
      <c r="F705">
        <f>"Registration"</f>
        <v/>
      </c>
      <c r="G705">
        <f>""</f>
        <v/>
      </c>
      <c r="H705">
        <f>"High"</f>
        <v/>
      </c>
      <c r="I705">
        <f>TRIM(IF(LEN(IF(LEN(INDEX('Providers'!$H$4:$H$503,202))=0,"",INDEX('Providers'!$H$4:$H$503,202)))=0,"","DEA no.: "&amp;IF(LEN(INDEX('Providers'!$H$4:$H$503,202))=0,"",INDEX('Providers'!$H$4:$H$503,202))&amp;". ")&amp;IF(LEN(IF(LEN(INDEX('Providers'!$C$4:$C$503,202))=0,"",INDEX('Providers'!$C$4:$C$503,202)))=0,"","NPI: "&amp;IF(LEN(INDEX('Providers'!$C$4:$C$503,202))=0,"",INDEX('Providers'!$C$4:$C$503,202))&amp;". "))</f>
        <v/>
      </c>
      <c r="J705">
        <f>IF(LEN(INDEX('Providers'!$AJ$4:$AJ$503,202))=0,"",INDEX('Providers'!$AJ$4:$AJ$503,202))</f>
        <v/>
      </c>
      <c r="K705">
        <f>IF(LEN(INDEX('Providers'!$AI$4:$AI$503,202))=0,"",INDEX('Providers'!$AI$4:$AI$503,202))</f>
        <v/>
      </c>
    </row>
    <row r="706">
      <c r="A706">
        <f>IF(AND(LEN('Providers'!A206)&gt;0,ISNUMBER('Providers'!I206)),1,0)</f>
        <v/>
      </c>
      <c r="B706">
        <f>B705+A706</f>
        <v/>
      </c>
      <c r="C706">
        <f>IF(703&gt;$B$4503,"",MATCH(703-0.5,$B$3:$B$4503,1))</f>
        <v/>
      </c>
      <c r="D706">
        <f>"DEA registration ("&amp;IF(LEN(INDEX('Providers'!$E$4:$E$503,203))=0,"",INDEX('Providers'!$E$4:$E$503,203))&amp;") – "&amp;IF(LEN(INDEX('Providers'!$A$4:$A$503,203))=0,"",INDEX('Providers'!$A$4:$A$503,203))</f>
        <v/>
      </c>
      <c r="E706">
        <f>IF(ISNUMBER(INDEX('Providers'!$I$4:$I$503,203)),TEXT(INDEX('Providers'!$I$4:$I$503,203),"yyyy-mm-dd"),"")</f>
        <v/>
      </c>
      <c r="F706">
        <f>"Registration"</f>
        <v/>
      </c>
      <c r="G706">
        <f>""</f>
        <v/>
      </c>
      <c r="H706">
        <f>"High"</f>
        <v/>
      </c>
      <c r="I706">
        <f>TRIM(IF(LEN(IF(LEN(INDEX('Providers'!$H$4:$H$503,203))=0,"",INDEX('Providers'!$H$4:$H$503,203)))=0,"","DEA no.: "&amp;IF(LEN(INDEX('Providers'!$H$4:$H$503,203))=0,"",INDEX('Providers'!$H$4:$H$503,203))&amp;". ")&amp;IF(LEN(IF(LEN(INDEX('Providers'!$C$4:$C$503,203))=0,"",INDEX('Providers'!$C$4:$C$503,203)))=0,"","NPI: "&amp;IF(LEN(INDEX('Providers'!$C$4:$C$503,203))=0,"",INDEX('Providers'!$C$4:$C$503,203))&amp;". "))</f>
        <v/>
      </c>
      <c r="J706">
        <f>IF(LEN(INDEX('Providers'!$AJ$4:$AJ$503,203))=0,"",INDEX('Providers'!$AJ$4:$AJ$503,203))</f>
        <v/>
      </c>
      <c r="K706">
        <f>IF(LEN(INDEX('Providers'!$AI$4:$AI$503,203))=0,"",INDEX('Providers'!$AI$4:$AI$503,203))</f>
        <v/>
      </c>
    </row>
    <row r="707">
      <c r="A707">
        <f>IF(AND(LEN('Providers'!A207)&gt;0,ISNUMBER('Providers'!I207)),1,0)</f>
        <v/>
      </c>
      <c r="B707">
        <f>B706+A707</f>
        <v/>
      </c>
      <c r="C707">
        <f>IF(704&gt;$B$4503,"",MATCH(704-0.5,$B$3:$B$4503,1))</f>
        <v/>
      </c>
      <c r="D707">
        <f>"DEA registration ("&amp;IF(LEN(INDEX('Providers'!$E$4:$E$503,204))=0,"",INDEX('Providers'!$E$4:$E$503,204))&amp;") – "&amp;IF(LEN(INDEX('Providers'!$A$4:$A$503,204))=0,"",INDEX('Providers'!$A$4:$A$503,204))</f>
        <v/>
      </c>
      <c r="E707">
        <f>IF(ISNUMBER(INDEX('Providers'!$I$4:$I$503,204)),TEXT(INDEX('Providers'!$I$4:$I$503,204),"yyyy-mm-dd"),"")</f>
        <v/>
      </c>
      <c r="F707">
        <f>"Registration"</f>
        <v/>
      </c>
      <c r="G707">
        <f>""</f>
        <v/>
      </c>
      <c r="H707">
        <f>"High"</f>
        <v/>
      </c>
      <c r="I707">
        <f>TRIM(IF(LEN(IF(LEN(INDEX('Providers'!$H$4:$H$503,204))=0,"",INDEX('Providers'!$H$4:$H$503,204)))=0,"","DEA no.: "&amp;IF(LEN(INDEX('Providers'!$H$4:$H$503,204))=0,"",INDEX('Providers'!$H$4:$H$503,204))&amp;". ")&amp;IF(LEN(IF(LEN(INDEX('Providers'!$C$4:$C$503,204))=0,"",INDEX('Providers'!$C$4:$C$503,204)))=0,"","NPI: "&amp;IF(LEN(INDEX('Providers'!$C$4:$C$503,204))=0,"",INDEX('Providers'!$C$4:$C$503,204))&amp;". "))</f>
        <v/>
      </c>
      <c r="J707">
        <f>IF(LEN(INDEX('Providers'!$AJ$4:$AJ$503,204))=0,"",INDEX('Providers'!$AJ$4:$AJ$503,204))</f>
        <v/>
      </c>
      <c r="K707">
        <f>IF(LEN(INDEX('Providers'!$AI$4:$AI$503,204))=0,"",INDEX('Providers'!$AI$4:$AI$503,204))</f>
        <v/>
      </c>
    </row>
    <row r="708">
      <c r="A708">
        <f>IF(AND(LEN('Providers'!A208)&gt;0,ISNUMBER('Providers'!I208)),1,0)</f>
        <v/>
      </c>
      <c r="B708">
        <f>B707+A708</f>
        <v/>
      </c>
      <c r="C708">
        <f>IF(705&gt;$B$4503,"",MATCH(705-0.5,$B$3:$B$4503,1))</f>
        <v/>
      </c>
      <c r="D708">
        <f>"DEA registration ("&amp;IF(LEN(INDEX('Providers'!$E$4:$E$503,205))=0,"",INDEX('Providers'!$E$4:$E$503,205))&amp;") – "&amp;IF(LEN(INDEX('Providers'!$A$4:$A$503,205))=0,"",INDEX('Providers'!$A$4:$A$503,205))</f>
        <v/>
      </c>
      <c r="E708">
        <f>IF(ISNUMBER(INDEX('Providers'!$I$4:$I$503,205)),TEXT(INDEX('Providers'!$I$4:$I$503,205),"yyyy-mm-dd"),"")</f>
        <v/>
      </c>
      <c r="F708">
        <f>"Registration"</f>
        <v/>
      </c>
      <c r="G708">
        <f>""</f>
        <v/>
      </c>
      <c r="H708">
        <f>"High"</f>
        <v/>
      </c>
      <c r="I708">
        <f>TRIM(IF(LEN(IF(LEN(INDEX('Providers'!$H$4:$H$503,205))=0,"",INDEX('Providers'!$H$4:$H$503,205)))=0,"","DEA no.: "&amp;IF(LEN(INDEX('Providers'!$H$4:$H$503,205))=0,"",INDEX('Providers'!$H$4:$H$503,205))&amp;". ")&amp;IF(LEN(IF(LEN(INDEX('Providers'!$C$4:$C$503,205))=0,"",INDEX('Providers'!$C$4:$C$503,205)))=0,"","NPI: "&amp;IF(LEN(INDEX('Providers'!$C$4:$C$503,205))=0,"",INDEX('Providers'!$C$4:$C$503,205))&amp;". "))</f>
        <v/>
      </c>
      <c r="J708">
        <f>IF(LEN(INDEX('Providers'!$AJ$4:$AJ$503,205))=0,"",INDEX('Providers'!$AJ$4:$AJ$503,205))</f>
        <v/>
      </c>
      <c r="K708">
        <f>IF(LEN(INDEX('Providers'!$AI$4:$AI$503,205))=0,"",INDEX('Providers'!$AI$4:$AI$503,205))</f>
        <v/>
      </c>
    </row>
    <row r="709">
      <c r="A709">
        <f>IF(AND(LEN('Providers'!A209)&gt;0,ISNUMBER('Providers'!I209)),1,0)</f>
        <v/>
      </c>
      <c r="B709">
        <f>B708+A709</f>
        <v/>
      </c>
      <c r="C709">
        <f>IF(706&gt;$B$4503,"",MATCH(706-0.5,$B$3:$B$4503,1))</f>
        <v/>
      </c>
      <c r="D709">
        <f>"DEA registration ("&amp;IF(LEN(INDEX('Providers'!$E$4:$E$503,206))=0,"",INDEX('Providers'!$E$4:$E$503,206))&amp;") – "&amp;IF(LEN(INDEX('Providers'!$A$4:$A$503,206))=0,"",INDEX('Providers'!$A$4:$A$503,206))</f>
        <v/>
      </c>
      <c r="E709">
        <f>IF(ISNUMBER(INDEX('Providers'!$I$4:$I$503,206)),TEXT(INDEX('Providers'!$I$4:$I$503,206),"yyyy-mm-dd"),"")</f>
        <v/>
      </c>
      <c r="F709">
        <f>"Registration"</f>
        <v/>
      </c>
      <c r="G709">
        <f>""</f>
        <v/>
      </c>
      <c r="H709">
        <f>"High"</f>
        <v/>
      </c>
      <c r="I709">
        <f>TRIM(IF(LEN(IF(LEN(INDEX('Providers'!$H$4:$H$503,206))=0,"",INDEX('Providers'!$H$4:$H$503,206)))=0,"","DEA no.: "&amp;IF(LEN(INDEX('Providers'!$H$4:$H$503,206))=0,"",INDEX('Providers'!$H$4:$H$503,206))&amp;". ")&amp;IF(LEN(IF(LEN(INDEX('Providers'!$C$4:$C$503,206))=0,"",INDEX('Providers'!$C$4:$C$503,206)))=0,"","NPI: "&amp;IF(LEN(INDEX('Providers'!$C$4:$C$503,206))=0,"",INDEX('Providers'!$C$4:$C$503,206))&amp;". "))</f>
        <v/>
      </c>
      <c r="J709">
        <f>IF(LEN(INDEX('Providers'!$AJ$4:$AJ$503,206))=0,"",INDEX('Providers'!$AJ$4:$AJ$503,206))</f>
        <v/>
      </c>
      <c r="K709">
        <f>IF(LEN(INDEX('Providers'!$AI$4:$AI$503,206))=0,"",INDEX('Providers'!$AI$4:$AI$503,206))</f>
        <v/>
      </c>
    </row>
    <row r="710">
      <c r="A710">
        <f>IF(AND(LEN('Providers'!A210)&gt;0,ISNUMBER('Providers'!I210)),1,0)</f>
        <v/>
      </c>
      <c r="B710">
        <f>B709+A710</f>
        <v/>
      </c>
      <c r="C710">
        <f>IF(707&gt;$B$4503,"",MATCH(707-0.5,$B$3:$B$4503,1))</f>
        <v/>
      </c>
      <c r="D710">
        <f>"DEA registration ("&amp;IF(LEN(INDEX('Providers'!$E$4:$E$503,207))=0,"",INDEX('Providers'!$E$4:$E$503,207))&amp;") – "&amp;IF(LEN(INDEX('Providers'!$A$4:$A$503,207))=0,"",INDEX('Providers'!$A$4:$A$503,207))</f>
        <v/>
      </c>
      <c r="E710">
        <f>IF(ISNUMBER(INDEX('Providers'!$I$4:$I$503,207)),TEXT(INDEX('Providers'!$I$4:$I$503,207),"yyyy-mm-dd"),"")</f>
        <v/>
      </c>
      <c r="F710">
        <f>"Registration"</f>
        <v/>
      </c>
      <c r="G710">
        <f>""</f>
        <v/>
      </c>
      <c r="H710">
        <f>"High"</f>
        <v/>
      </c>
      <c r="I710">
        <f>TRIM(IF(LEN(IF(LEN(INDEX('Providers'!$H$4:$H$503,207))=0,"",INDEX('Providers'!$H$4:$H$503,207)))=0,"","DEA no.: "&amp;IF(LEN(INDEX('Providers'!$H$4:$H$503,207))=0,"",INDEX('Providers'!$H$4:$H$503,207))&amp;". ")&amp;IF(LEN(IF(LEN(INDEX('Providers'!$C$4:$C$503,207))=0,"",INDEX('Providers'!$C$4:$C$503,207)))=0,"","NPI: "&amp;IF(LEN(INDEX('Providers'!$C$4:$C$503,207))=0,"",INDEX('Providers'!$C$4:$C$503,207))&amp;". "))</f>
        <v/>
      </c>
      <c r="J710">
        <f>IF(LEN(INDEX('Providers'!$AJ$4:$AJ$503,207))=0,"",INDEX('Providers'!$AJ$4:$AJ$503,207))</f>
        <v/>
      </c>
      <c r="K710">
        <f>IF(LEN(INDEX('Providers'!$AI$4:$AI$503,207))=0,"",INDEX('Providers'!$AI$4:$AI$503,207))</f>
        <v/>
      </c>
    </row>
    <row r="711">
      <c r="A711">
        <f>IF(AND(LEN('Providers'!A211)&gt;0,ISNUMBER('Providers'!I211)),1,0)</f>
        <v/>
      </c>
      <c r="B711">
        <f>B710+A711</f>
        <v/>
      </c>
      <c r="C711">
        <f>IF(708&gt;$B$4503,"",MATCH(708-0.5,$B$3:$B$4503,1))</f>
        <v/>
      </c>
      <c r="D711">
        <f>"DEA registration ("&amp;IF(LEN(INDEX('Providers'!$E$4:$E$503,208))=0,"",INDEX('Providers'!$E$4:$E$503,208))&amp;") – "&amp;IF(LEN(INDEX('Providers'!$A$4:$A$503,208))=0,"",INDEX('Providers'!$A$4:$A$503,208))</f>
        <v/>
      </c>
      <c r="E711">
        <f>IF(ISNUMBER(INDEX('Providers'!$I$4:$I$503,208)),TEXT(INDEX('Providers'!$I$4:$I$503,208),"yyyy-mm-dd"),"")</f>
        <v/>
      </c>
      <c r="F711">
        <f>"Registration"</f>
        <v/>
      </c>
      <c r="G711">
        <f>""</f>
        <v/>
      </c>
      <c r="H711">
        <f>"High"</f>
        <v/>
      </c>
      <c r="I711">
        <f>TRIM(IF(LEN(IF(LEN(INDEX('Providers'!$H$4:$H$503,208))=0,"",INDEX('Providers'!$H$4:$H$503,208)))=0,"","DEA no.: "&amp;IF(LEN(INDEX('Providers'!$H$4:$H$503,208))=0,"",INDEX('Providers'!$H$4:$H$503,208))&amp;". ")&amp;IF(LEN(IF(LEN(INDEX('Providers'!$C$4:$C$503,208))=0,"",INDEX('Providers'!$C$4:$C$503,208)))=0,"","NPI: "&amp;IF(LEN(INDEX('Providers'!$C$4:$C$503,208))=0,"",INDEX('Providers'!$C$4:$C$503,208))&amp;". "))</f>
        <v/>
      </c>
      <c r="J711">
        <f>IF(LEN(INDEX('Providers'!$AJ$4:$AJ$503,208))=0,"",INDEX('Providers'!$AJ$4:$AJ$503,208))</f>
        <v/>
      </c>
      <c r="K711">
        <f>IF(LEN(INDEX('Providers'!$AI$4:$AI$503,208))=0,"",INDEX('Providers'!$AI$4:$AI$503,208))</f>
        <v/>
      </c>
    </row>
    <row r="712">
      <c r="A712">
        <f>IF(AND(LEN('Providers'!A212)&gt;0,ISNUMBER('Providers'!I212)),1,0)</f>
        <v/>
      </c>
      <c r="B712">
        <f>B711+A712</f>
        <v/>
      </c>
      <c r="C712">
        <f>IF(709&gt;$B$4503,"",MATCH(709-0.5,$B$3:$B$4503,1))</f>
        <v/>
      </c>
      <c r="D712">
        <f>"DEA registration ("&amp;IF(LEN(INDEX('Providers'!$E$4:$E$503,209))=0,"",INDEX('Providers'!$E$4:$E$503,209))&amp;") – "&amp;IF(LEN(INDEX('Providers'!$A$4:$A$503,209))=0,"",INDEX('Providers'!$A$4:$A$503,209))</f>
        <v/>
      </c>
      <c r="E712">
        <f>IF(ISNUMBER(INDEX('Providers'!$I$4:$I$503,209)),TEXT(INDEX('Providers'!$I$4:$I$503,209),"yyyy-mm-dd"),"")</f>
        <v/>
      </c>
      <c r="F712">
        <f>"Registration"</f>
        <v/>
      </c>
      <c r="G712">
        <f>""</f>
        <v/>
      </c>
      <c r="H712">
        <f>"High"</f>
        <v/>
      </c>
      <c r="I712">
        <f>TRIM(IF(LEN(IF(LEN(INDEX('Providers'!$H$4:$H$503,209))=0,"",INDEX('Providers'!$H$4:$H$503,209)))=0,"","DEA no.: "&amp;IF(LEN(INDEX('Providers'!$H$4:$H$503,209))=0,"",INDEX('Providers'!$H$4:$H$503,209))&amp;". ")&amp;IF(LEN(IF(LEN(INDEX('Providers'!$C$4:$C$503,209))=0,"",INDEX('Providers'!$C$4:$C$503,209)))=0,"","NPI: "&amp;IF(LEN(INDEX('Providers'!$C$4:$C$503,209))=0,"",INDEX('Providers'!$C$4:$C$503,209))&amp;". "))</f>
        <v/>
      </c>
      <c r="J712">
        <f>IF(LEN(INDEX('Providers'!$AJ$4:$AJ$503,209))=0,"",INDEX('Providers'!$AJ$4:$AJ$503,209))</f>
        <v/>
      </c>
      <c r="K712">
        <f>IF(LEN(INDEX('Providers'!$AI$4:$AI$503,209))=0,"",INDEX('Providers'!$AI$4:$AI$503,209))</f>
        <v/>
      </c>
    </row>
    <row r="713">
      <c r="A713">
        <f>IF(AND(LEN('Providers'!A213)&gt;0,ISNUMBER('Providers'!I213)),1,0)</f>
        <v/>
      </c>
      <c r="B713">
        <f>B712+A713</f>
        <v/>
      </c>
      <c r="C713">
        <f>IF(710&gt;$B$4503,"",MATCH(710-0.5,$B$3:$B$4503,1))</f>
        <v/>
      </c>
      <c r="D713">
        <f>"DEA registration ("&amp;IF(LEN(INDEX('Providers'!$E$4:$E$503,210))=0,"",INDEX('Providers'!$E$4:$E$503,210))&amp;") – "&amp;IF(LEN(INDEX('Providers'!$A$4:$A$503,210))=0,"",INDEX('Providers'!$A$4:$A$503,210))</f>
        <v/>
      </c>
      <c r="E713">
        <f>IF(ISNUMBER(INDEX('Providers'!$I$4:$I$503,210)),TEXT(INDEX('Providers'!$I$4:$I$503,210),"yyyy-mm-dd"),"")</f>
        <v/>
      </c>
      <c r="F713">
        <f>"Registration"</f>
        <v/>
      </c>
      <c r="G713">
        <f>""</f>
        <v/>
      </c>
      <c r="H713">
        <f>"High"</f>
        <v/>
      </c>
      <c r="I713">
        <f>TRIM(IF(LEN(IF(LEN(INDEX('Providers'!$H$4:$H$503,210))=0,"",INDEX('Providers'!$H$4:$H$503,210)))=0,"","DEA no.: "&amp;IF(LEN(INDEX('Providers'!$H$4:$H$503,210))=0,"",INDEX('Providers'!$H$4:$H$503,210))&amp;". ")&amp;IF(LEN(IF(LEN(INDEX('Providers'!$C$4:$C$503,210))=0,"",INDEX('Providers'!$C$4:$C$503,210)))=0,"","NPI: "&amp;IF(LEN(INDEX('Providers'!$C$4:$C$503,210))=0,"",INDEX('Providers'!$C$4:$C$503,210))&amp;". "))</f>
        <v/>
      </c>
      <c r="J713">
        <f>IF(LEN(INDEX('Providers'!$AJ$4:$AJ$503,210))=0,"",INDEX('Providers'!$AJ$4:$AJ$503,210))</f>
        <v/>
      </c>
      <c r="K713">
        <f>IF(LEN(INDEX('Providers'!$AI$4:$AI$503,210))=0,"",INDEX('Providers'!$AI$4:$AI$503,210))</f>
        <v/>
      </c>
    </row>
    <row r="714">
      <c r="A714">
        <f>IF(AND(LEN('Providers'!A214)&gt;0,ISNUMBER('Providers'!I214)),1,0)</f>
        <v/>
      </c>
      <c r="B714">
        <f>B713+A714</f>
        <v/>
      </c>
      <c r="C714">
        <f>IF(711&gt;$B$4503,"",MATCH(711-0.5,$B$3:$B$4503,1))</f>
        <v/>
      </c>
      <c r="D714">
        <f>"DEA registration ("&amp;IF(LEN(INDEX('Providers'!$E$4:$E$503,211))=0,"",INDEX('Providers'!$E$4:$E$503,211))&amp;") – "&amp;IF(LEN(INDEX('Providers'!$A$4:$A$503,211))=0,"",INDEX('Providers'!$A$4:$A$503,211))</f>
        <v/>
      </c>
      <c r="E714">
        <f>IF(ISNUMBER(INDEX('Providers'!$I$4:$I$503,211)),TEXT(INDEX('Providers'!$I$4:$I$503,211),"yyyy-mm-dd"),"")</f>
        <v/>
      </c>
      <c r="F714">
        <f>"Registration"</f>
        <v/>
      </c>
      <c r="G714">
        <f>""</f>
        <v/>
      </c>
      <c r="H714">
        <f>"High"</f>
        <v/>
      </c>
      <c r="I714">
        <f>TRIM(IF(LEN(IF(LEN(INDEX('Providers'!$H$4:$H$503,211))=0,"",INDEX('Providers'!$H$4:$H$503,211)))=0,"","DEA no.: "&amp;IF(LEN(INDEX('Providers'!$H$4:$H$503,211))=0,"",INDEX('Providers'!$H$4:$H$503,211))&amp;". ")&amp;IF(LEN(IF(LEN(INDEX('Providers'!$C$4:$C$503,211))=0,"",INDEX('Providers'!$C$4:$C$503,211)))=0,"","NPI: "&amp;IF(LEN(INDEX('Providers'!$C$4:$C$503,211))=0,"",INDEX('Providers'!$C$4:$C$503,211))&amp;". "))</f>
        <v/>
      </c>
      <c r="J714">
        <f>IF(LEN(INDEX('Providers'!$AJ$4:$AJ$503,211))=0,"",INDEX('Providers'!$AJ$4:$AJ$503,211))</f>
        <v/>
      </c>
      <c r="K714">
        <f>IF(LEN(INDEX('Providers'!$AI$4:$AI$503,211))=0,"",INDEX('Providers'!$AI$4:$AI$503,211))</f>
        <v/>
      </c>
    </row>
    <row r="715">
      <c r="A715">
        <f>IF(AND(LEN('Providers'!A215)&gt;0,ISNUMBER('Providers'!I215)),1,0)</f>
        <v/>
      </c>
      <c r="B715">
        <f>B714+A715</f>
        <v/>
      </c>
      <c r="C715">
        <f>IF(712&gt;$B$4503,"",MATCH(712-0.5,$B$3:$B$4503,1))</f>
        <v/>
      </c>
      <c r="D715">
        <f>"DEA registration ("&amp;IF(LEN(INDEX('Providers'!$E$4:$E$503,212))=0,"",INDEX('Providers'!$E$4:$E$503,212))&amp;") – "&amp;IF(LEN(INDEX('Providers'!$A$4:$A$503,212))=0,"",INDEX('Providers'!$A$4:$A$503,212))</f>
        <v/>
      </c>
      <c r="E715">
        <f>IF(ISNUMBER(INDEX('Providers'!$I$4:$I$503,212)),TEXT(INDEX('Providers'!$I$4:$I$503,212),"yyyy-mm-dd"),"")</f>
        <v/>
      </c>
      <c r="F715">
        <f>"Registration"</f>
        <v/>
      </c>
      <c r="G715">
        <f>""</f>
        <v/>
      </c>
      <c r="H715">
        <f>"High"</f>
        <v/>
      </c>
      <c r="I715">
        <f>TRIM(IF(LEN(IF(LEN(INDEX('Providers'!$H$4:$H$503,212))=0,"",INDEX('Providers'!$H$4:$H$503,212)))=0,"","DEA no.: "&amp;IF(LEN(INDEX('Providers'!$H$4:$H$503,212))=0,"",INDEX('Providers'!$H$4:$H$503,212))&amp;". ")&amp;IF(LEN(IF(LEN(INDEX('Providers'!$C$4:$C$503,212))=0,"",INDEX('Providers'!$C$4:$C$503,212)))=0,"","NPI: "&amp;IF(LEN(INDEX('Providers'!$C$4:$C$503,212))=0,"",INDEX('Providers'!$C$4:$C$503,212))&amp;". "))</f>
        <v/>
      </c>
      <c r="J715">
        <f>IF(LEN(INDEX('Providers'!$AJ$4:$AJ$503,212))=0,"",INDEX('Providers'!$AJ$4:$AJ$503,212))</f>
        <v/>
      </c>
      <c r="K715">
        <f>IF(LEN(INDEX('Providers'!$AI$4:$AI$503,212))=0,"",INDEX('Providers'!$AI$4:$AI$503,212))</f>
        <v/>
      </c>
    </row>
    <row r="716">
      <c r="A716">
        <f>IF(AND(LEN('Providers'!A216)&gt;0,ISNUMBER('Providers'!I216)),1,0)</f>
        <v/>
      </c>
      <c r="B716">
        <f>B715+A716</f>
        <v/>
      </c>
      <c r="C716">
        <f>IF(713&gt;$B$4503,"",MATCH(713-0.5,$B$3:$B$4503,1))</f>
        <v/>
      </c>
      <c r="D716">
        <f>"DEA registration ("&amp;IF(LEN(INDEX('Providers'!$E$4:$E$503,213))=0,"",INDEX('Providers'!$E$4:$E$503,213))&amp;") – "&amp;IF(LEN(INDEX('Providers'!$A$4:$A$503,213))=0,"",INDEX('Providers'!$A$4:$A$503,213))</f>
        <v/>
      </c>
      <c r="E716">
        <f>IF(ISNUMBER(INDEX('Providers'!$I$4:$I$503,213)),TEXT(INDEX('Providers'!$I$4:$I$503,213),"yyyy-mm-dd"),"")</f>
        <v/>
      </c>
      <c r="F716">
        <f>"Registration"</f>
        <v/>
      </c>
      <c r="G716">
        <f>""</f>
        <v/>
      </c>
      <c r="H716">
        <f>"High"</f>
        <v/>
      </c>
      <c r="I716">
        <f>TRIM(IF(LEN(IF(LEN(INDEX('Providers'!$H$4:$H$503,213))=0,"",INDEX('Providers'!$H$4:$H$503,213)))=0,"","DEA no.: "&amp;IF(LEN(INDEX('Providers'!$H$4:$H$503,213))=0,"",INDEX('Providers'!$H$4:$H$503,213))&amp;". ")&amp;IF(LEN(IF(LEN(INDEX('Providers'!$C$4:$C$503,213))=0,"",INDEX('Providers'!$C$4:$C$503,213)))=0,"","NPI: "&amp;IF(LEN(INDEX('Providers'!$C$4:$C$503,213))=0,"",INDEX('Providers'!$C$4:$C$503,213))&amp;". "))</f>
        <v/>
      </c>
      <c r="J716">
        <f>IF(LEN(INDEX('Providers'!$AJ$4:$AJ$503,213))=0,"",INDEX('Providers'!$AJ$4:$AJ$503,213))</f>
        <v/>
      </c>
      <c r="K716">
        <f>IF(LEN(INDEX('Providers'!$AI$4:$AI$503,213))=0,"",INDEX('Providers'!$AI$4:$AI$503,213))</f>
        <v/>
      </c>
    </row>
    <row r="717">
      <c r="A717">
        <f>IF(AND(LEN('Providers'!A217)&gt;0,ISNUMBER('Providers'!I217)),1,0)</f>
        <v/>
      </c>
      <c r="B717">
        <f>B716+A717</f>
        <v/>
      </c>
      <c r="C717">
        <f>IF(714&gt;$B$4503,"",MATCH(714-0.5,$B$3:$B$4503,1))</f>
        <v/>
      </c>
      <c r="D717">
        <f>"DEA registration ("&amp;IF(LEN(INDEX('Providers'!$E$4:$E$503,214))=0,"",INDEX('Providers'!$E$4:$E$503,214))&amp;") – "&amp;IF(LEN(INDEX('Providers'!$A$4:$A$503,214))=0,"",INDEX('Providers'!$A$4:$A$503,214))</f>
        <v/>
      </c>
      <c r="E717">
        <f>IF(ISNUMBER(INDEX('Providers'!$I$4:$I$503,214)),TEXT(INDEX('Providers'!$I$4:$I$503,214),"yyyy-mm-dd"),"")</f>
        <v/>
      </c>
      <c r="F717">
        <f>"Registration"</f>
        <v/>
      </c>
      <c r="G717">
        <f>""</f>
        <v/>
      </c>
      <c r="H717">
        <f>"High"</f>
        <v/>
      </c>
      <c r="I717">
        <f>TRIM(IF(LEN(IF(LEN(INDEX('Providers'!$H$4:$H$503,214))=0,"",INDEX('Providers'!$H$4:$H$503,214)))=0,"","DEA no.: "&amp;IF(LEN(INDEX('Providers'!$H$4:$H$503,214))=0,"",INDEX('Providers'!$H$4:$H$503,214))&amp;". ")&amp;IF(LEN(IF(LEN(INDEX('Providers'!$C$4:$C$503,214))=0,"",INDEX('Providers'!$C$4:$C$503,214)))=0,"","NPI: "&amp;IF(LEN(INDEX('Providers'!$C$4:$C$503,214))=0,"",INDEX('Providers'!$C$4:$C$503,214))&amp;". "))</f>
        <v/>
      </c>
      <c r="J717">
        <f>IF(LEN(INDEX('Providers'!$AJ$4:$AJ$503,214))=0,"",INDEX('Providers'!$AJ$4:$AJ$503,214))</f>
        <v/>
      </c>
      <c r="K717">
        <f>IF(LEN(INDEX('Providers'!$AI$4:$AI$503,214))=0,"",INDEX('Providers'!$AI$4:$AI$503,214))</f>
        <v/>
      </c>
    </row>
    <row r="718">
      <c r="A718">
        <f>IF(AND(LEN('Providers'!A218)&gt;0,ISNUMBER('Providers'!I218)),1,0)</f>
        <v/>
      </c>
      <c r="B718">
        <f>B717+A718</f>
        <v/>
      </c>
      <c r="C718">
        <f>IF(715&gt;$B$4503,"",MATCH(715-0.5,$B$3:$B$4503,1))</f>
        <v/>
      </c>
      <c r="D718">
        <f>"DEA registration ("&amp;IF(LEN(INDEX('Providers'!$E$4:$E$503,215))=0,"",INDEX('Providers'!$E$4:$E$503,215))&amp;") – "&amp;IF(LEN(INDEX('Providers'!$A$4:$A$503,215))=0,"",INDEX('Providers'!$A$4:$A$503,215))</f>
        <v/>
      </c>
      <c r="E718">
        <f>IF(ISNUMBER(INDEX('Providers'!$I$4:$I$503,215)),TEXT(INDEX('Providers'!$I$4:$I$503,215),"yyyy-mm-dd"),"")</f>
        <v/>
      </c>
      <c r="F718">
        <f>"Registration"</f>
        <v/>
      </c>
      <c r="G718">
        <f>""</f>
        <v/>
      </c>
      <c r="H718">
        <f>"High"</f>
        <v/>
      </c>
      <c r="I718">
        <f>TRIM(IF(LEN(IF(LEN(INDEX('Providers'!$H$4:$H$503,215))=0,"",INDEX('Providers'!$H$4:$H$503,215)))=0,"","DEA no.: "&amp;IF(LEN(INDEX('Providers'!$H$4:$H$503,215))=0,"",INDEX('Providers'!$H$4:$H$503,215))&amp;". ")&amp;IF(LEN(IF(LEN(INDEX('Providers'!$C$4:$C$503,215))=0,"",INDEX('Providers'!$C$4:$C$503,215)))=0,"","NPI: "&amp;IF(LEN(INDEX('Providers'!$C$4:$C$503,215))=0,"",INDEX('Providers'!$C$4:$C$503,215))&amp;". "))</f>
        <v/>
      </c>
      <c r="J718">
        <f>IF(LEN(INDEX('Providers'!$AJ$4:$AJ$503,215))=0,"",INDEX('Providers'!$AJ$4:$AJ$503,215))</f>
        <v/>
      </c>
      <c r="K718">
        <f>IF(LEN(INDEX('Providers'!$AI$4:$AI$503,215))=0,"",INDEX('Providers'!$AI$4:$AI$503,215))</f>
        <v/>
      </c>
    </row>
    <row r="719">
      <c r="A719">
        <f>IF(AND(LEN('Providers'!A219)&gt;0,ISNUMBER('Providers'!I219)),1,0)</f>
        <v/>
      </c>
      <c r="B719">
        <f>B718+A719</f>
        <v/>
      </c>
      <c r="C719">
        <f>IF(716&gt;$B$4503,"",MATCH(716-0.5,$B$3:$B$4503,1))</f>
        <v/>
      </c>
      <c r="D719">
        <f>"DEA registration ("&amp;IF(LEN(INDEX('Providers'!$E$4:$E$503,216))=0,"",INDEX('Providers'!$E$4:$E$503,216))&amp;") – "&amp;IF(LEN(INDEX('Providers'!$A$4:$A$503,216))=0,"",INDEX('Providers'!$A$4:$A$503,216))</f>
        <v/>
      </c>
      <c r="E719">
        <f>IF(ISNUMBER(INDEX('Providers'!$I$4:$I$503,216)),TEXT(INDEX('Providers'!$I$4:$I$503,216),"yyyy-mm-dd"),"")</f>
        <v/>
      </c>
      <c r="F719">
        <f>"Registration"</f>
        <v/>
      </c>
      <c r="G719">
        <f>""</f>
        <v/>
      </c>
      <c r="H719">
        <f>"High"</f>
        <v/>
      </c>
      <c r="I719">
        <f>TRIM(IF(LEN(IF(LEN(INDEX('Providers'!$H$4:$H$503,216))=0,"",INDEX('Providers'!$H$4:$H$503,216)))=0,"","DEA no.: "&amp;IF(LEN(INDEX('Providers'!$H$4:$H$503,216))=0,"",INDEX('Providers'!$H$4:$H$503,216))&amp;". ")&amp;IF(LEN(IF(LEN(INDEX('Providers'!$C$4:$C$503,216))=0,"",INDEX('Providers'!$C$4:$C$503,216)))=0,"","NPI: "&amp;IF(LEN(INDEX('Providers'!$C$4:$C$503,216))=0,"",INDEX('Providers'!$C$4:$C$503,216))&amp;". "))</f>
        <v/>
      </c>
      <c r="J719">
        <f>IF(LEN(INDEX('Providers'!$AJ$4:$AJ$503,216))=0,"",INDEX('Providers'!$AJ$4:$AJ$503,216))</f>
        <v/>
      </c>
      <c r="K719">
        <f>IF(LEN(INDEX('Providers'!$AI$4:$AI$503,216))=0,"",INDEX('Providers'!$AI$4:$AI$503,216))</f>
        <v/>
      </c>
    </row>
    <row r="720">
      <c r="A720">
        <f>IF(AND(LEN('Providers'!A220)&gt;0,ISNUMBER('Providers'!I220)),1,0)</f>
        <v/>
      </c>
      <c r="B720">
        <f>B719+A720</f>
        <v/>
      </c>
      <c r="C720">
        <f>IF(717&gt;$B$4503,"",MATCH(717-0.5,$B$3:$B$4503,1))</f>
        <v/>
      </c>
      <c r="D720">
        <f>"DEA registration ("&amp;IF(LEN(INDEX('Providers'!$E$4:$E$503,217))=0,"",INDEX('Providers'!$E$4:$E$503,217))&amp;") – "&amp;IF(LEN(INDEX('Providers'!$A$4:$A$503,217))=0,"",INDEX('Providers'!$A$4:$A$503,217))</f>
        <v/>
      </c>
      <c r="E720">
        <f>IF(ISNUMBER(INDEX('Providers'!$I$4:$I$503,217)),TEXT(INDEX('Providers'!$I$4:$I$503,217),"yyyy-mm-dd"),"")</f>
        <v/>
      </c>
      <c r="F720">
        <f>"Registration"</f>
        <v/>
      </c>
      <c r="G720">
        <f>""</f>
        <v/>
      </c>
      <c r="H720">
        <f>"High"</f>
        <v/>
      </c>
      <c r="I720">
        <f>TRIM(IF(LEN(IF(LEN(INDEX('Providers'!$H$4:$H$503,217))=0,"",INDEX('Providers'!$H$4:$H$503,217)))=0,"","DEA no.: "&amp;IF(LEN(INDEX('Providers'!$H$4:$H$503,217))=0,"",INDEX('Providers'!$H$4:$H$503,217))&amp;". ")&amp;IF(LEN(IF(LEN(INDEX('Providers'!$C$4:$C$503,217))=0,"",INDEX('Providers'!$C$4:$C$503,217)))=0,"","NPI: "&amp;IF(LEN(INDEX('Providers'!$C$4:$C$503,217))=0,"",INDEX('Providers'!$C$4:$C$503,217))&amp;". "))</f>
        <v/>
      </c>
      <c r="J720">
        <f>IF(LEN(INDEX('Providers'!$AJ$4:$AJ$503,217))=0,"",INDEX('Providers'!$AJ$4:$AJ$503,217))</f>
        <v/>
      </c>
      <c r="K720">
        <f>IF(LEN(INDEX('Providers'!$AI$4:$AI$503,217))=0,"",INDEX('Providers'!$AI$4:$AI$503,217))</f>
        <v/>
      </c>
    </row>
    <row r="721">
      <c r="A721">
        <f>IF(AND(LEN('Providers'!A221)&gt;0,ISNUMBER('Providers'!I221)),1,0)</f>
        <v/>
      </c>
      <c r="B721">
        <f>B720+A721</f>
        <v/>
      </c>
      <c r="C721">
        <f>IF(718&gt;$B$4503,"",MATCH(718-0.5,$B$3:$B$4503,1))</f>
        <v/>
      </c>
      <c r="D721">
        <f>"DEA registration ("&amp;IF(LEN(INDEX('Providers'!$E$4:$E$503,218))=0,"",INDEX('Providers'!$E$4:$E$503,218))&amp;") – "&amp;IF(LEN(INDEX('Providers'!$A$4:$A$503,218))=0,"",INDEX('Providers'!$A$4:$A$503,218))</f>
        <v/>
      </c>
      <c r="E721">
        <f>IF(ISNUMBER(INDEX('Providers'!$I$4:$I$503,218)),TEXT(INDEX('Providers'!$I$4:$I$503,218),"yyyy-mm-dd"),"")</f>
        <v/>
      </c>
      <c r="F721">
        <f>"Registration"</f>
        <v/>
      </c>
      <c r="G721">
        <f>""</f>
        <v/>
      </c>
      <c r="H721">
        <f>"High"</f>
        <v/>
      </c>
      <c r="I721">
        <f>TRIM(IF(LEN(IF(LEN(INDEX('Providers'!$H$4:$H$503,218))=0,"",INDEX('Providers'!$H$4:$H$503,218)))=0,"","DEA no.: "&amp;IF(LEN(INDEX('Providers'!$H$4:$H$503,218))=0,"",INDEX('Providers'!$H$4:$H$503,218))&amp;". ")&amp;IF(LEN(IF(LEN(INDEX('Providers'!$C$4:$C$503,218))=0,"",INDEX('Providers'!$C$4:$C$503,218)))=0,"","NPI: "&amp;IF(LEN(INDEX('Providers'!$C$4:$C$503,218))=0,"",INDEX('Providers'!$C$4:$C$503,218))&amp;". "))</f>
        <v/>
      </c>
      <c r="J721">
        <f>IF(LEN(INDEX('Providers'!$AJ$4:$AJ$503,218))=0,"",INDEX('Providers'!$AJ$4:$AJ$503,218))</f>
        <v/>
      </c>
      <c r="K721">
        <f>IF(LEN(INDEX('Providers'!$AI$4:$AI$503,218))=0,"",INDEX('Providers'!$AI$4:$AI$503,218))</f>
        <v/>
      </c>
    </row>
    <row r="722">
      <c r="A722">
        <f>IF(AND(LEN('Providers'!A222)&gt;0,ISNUMBER('Providers'!I222)),1,0)</f>
        <v/>
      </c>
      <c r="B722">
        <f>B721+A722</f>
        <v/>
      </c>
      <c r="C722">
        <f>IF(719&gt;$B$4503,"",MATCH(719-0.5,$B$3:$B$4503,1))</f>
        <v/>
      </c>
      <c r="D722">
        <f>"DEA registration ("&amp;IF(LEN(INDEX('Providers'!$E$4:$E$503,219))=0,"",INDEX('Providers'!$E$4:$E$503,219))&amp;") – "&amp;IF(LEN(INDEX('Providers'!$A$4:$A$503,219))=0,"",INDEX('Providers'!$A$4:$A$503,219))</f>
        <v/>
      </c>
      <c r="E722">
        <f>IF(ISNUMBER(INDEX('Providers'!$I$4:$I$503,219)),TEXT(INDEX('Providers'!$I$4:$I$503,219),"yyyy-mm-dd"),"")</f>
        <v/>
      </c>
      <c r="F722">
        <f>"Registration"</f>
        <v/>
      </c>
      <c r="G722">
        <f>""</f>
        <v/>
      </c>
      <c r="H722">
        <f>"High"</f>
        <v/>
      </c>
      <c r="I722">
        <f>TRIM(IF(LEN(IF(LEN(INDEX('Providers'!$H$4:$H$503,219))=0,"",INDEX('Providers'!$H$4:$H$503,219)))=0,"","DEA no.: "&amp;IF(LEN(INDEX('Providers'!$H$4:$H$503,219))=0,"",INDEX('Providers'!$H$4:$H$503,219))&amp;". ")&amp;IF(LEN(IF(LEN(INDEX('Providers'!$C$4:$C$503,219))=0,"",INDEX('Providers'!$C$4:$C$503,219)))=0,"","NPI: "&amp;IF(LEN(INDEX('Providers'!$C$4:$C$503,219))=0,"",INDEX('Providers'!$C$4:$C$503,219))&amp;". "))</f>
        <v/>
      </c>
      <c r="J722">
        <f>IF(LEN(INDEX('Providers'!$AJ$4:$AJ$503,219))=0,"",INDEX('Providers'!$AJ$4:$AJ$503,219))</f>
        <v/>
      </c>
      <c r="K722">
        <f>IF(LEN(INDEX('Providers'!$AI$4:$AI$503,219))=0,"",INDEX('Providers'!$AI$4:$AI$503,219))</f>
        <v/>
      </c>
    </row>
    <row r="723">
      <c r="A723">
        <f>IF(AND(LEN('Providers'!A223)&gt;0,ISNUMBER('Providers'!I223)),1,0)</f>
        <v/>
      </c>
      <c r="B723">
        <f>B722+A723</f>
        <v/>
      </c>
      <c r="C723">
        <f>IF(720&gt;$B$4503,"",MATCH(720-0.5,$B$3:$B$4503,1))</f>
        <v/>
      </c>
      <c r="D723">
        <f>"DEA registration ("&amp;IF(LEN(INDEX('Providers'!$E$4:$E$503,220))=0,"",INDEX('Providers'!$E$4:$E$503,220))&amp;") – "&amp;IF(LEN(INDEX('Providers'!$A$4:$A$503,220))=0,"",INDEX('Providers'!$A$4:$A$503,220))</f>
        <v/>
      </c>
      <c r="E723">
        <f>IF(ISNUMBER(INDEX('Providers'!$I$4:$I$503,220)),TEXT(INDEX('Providers'!$I$4:$I$503,220),"yyyy-mm-dd"),"")</f>
        <v/>
      </c>
      <c r="F723">
        <f>"Registration"</f>
        <v/>
      </c>
      <c r="G723">
        <f>""</f>
        <v/>
      </c>
      <c r="H723">
        <f>"High"</f>
        <v/>
      </c>
      <c r="I723">
        <f>TRIM(IF(LEN(IF(LEN(INDEX('Providers'!$H$4:$H$503,220))=0,"",INDEX('Providers'!$H$4:$H$503,220)))=0,"","DEA no.: "&amp;IF(LEN(INDEX('Providers'!$H$4:$H$503,220))=0,"",INDEX('Providers'!$H$4:$H$503,220))&amp;". ")&amp;IF(LEN(IF(LEN(INDEX('Providers'!$C$4:$C$503,220))=0,"",INDEX('Providers'!$C$4:$C$503,220)))=0,"","NPI: "&amp;IF(LEN(INDEX('Providers'!$C$4:$C$503,220))=0,"",INDEX('Providers'!$C$4:$C$503,220))&amp;". "))</f>
        <v/>
      </c>
      <c r="J723">
        <f>IF(LEN(INDEX('Providers'!$AJ$4:$AJ$503,220))=0,"",INDEX('Providers'!$AJ$4:$AJ$503,220))</f>
        <v/>
      </c>
      <c r="K723">
        <f>IF(LEN(INDEX('Providers'!$AI$4:$AI$503,220))=0,"",INDEX('Providers'!$AI$4:$AI$503,220))</f>
        <v/>
      </c>
    </row>
    <row r="724">
      <c r="A724">
        <f>IF(AND(LEN('Providers'!A224)&gt;0,ISNUMBER('Providers'!I224)),1,0)</f>
        <v/>
      </c>
      <c r="B724">
        <f>B723+A724</f>
        <v/>
      </c>
      <c r="C724">
        <f>IF(721&gt;$B$4503,"",MATCH(721-0.5,$B$3:$B$4503,1))</f>
        <v/>
      </c>
      <c r="D724">
        <f>"DEA registration ("&amp;IF(LEN(INDEX('Providers'!$E$4:$E$503,221))=0,"",INDEX('Providers'!$E$4:$E$503,221))&amp;") – "&amp;IF(LEN(INDEX('Providers'!$A$4:$A$503,221))=0,"",INDEX('Providers'!$A$4:$A$503,221))</f>
        <v/>
      </c>
      <c r="E724">
        <f>IF(ISNUMBER(INDEX('Providers'!$I$4:$I$503,221)),TEXT(INDEX('Providers'!$I$4:$I$503,221),"yyyy-mm-dd"),"")</f>
        <v/>
      </c>
      <c r="F724">
        <f>"Registration"</f>
        <v/>
      </c>
      <c r="G724">
        <f>""</f>
        <v/>
      </c>
      <c r="H724">
        <f>"High"</f>
        <v/>
      </c>
      <c r="I724">
        <f>TRIM(IF(LEN(IF(LEN(INDEX('Providers'!$H$4:$H$503,221))=0,"",INDEX('Providers'!$H$4:$H$503,221)))=0,"","DEA no.: "&amp;IF(LEN(INDEX('Providers'!$H$4:$H$503,221))=0,"",INDEX('Providers'!$H$4:$H$503,221))&amp;". ")&amp;IF(LEN(IF(LEN(INDEX('Providers'!$C$4:$C$503,221))=0,"",INDEX('Providers'!$C$4:$C$503,221)))=0,"","NPI: "&amp;IF(LEN(INDEX('Providers'!$C$4:$C$503,221))=0,"",INDEX('Providers'!$C$4:$C$503,221))&amp;". "))</f>
        <v/>
      </c>
      <c r="J724">
        <f>IF(LEN(INDEX('Providers'!$AJ$4:$AJ$503,221))=0,"",INDEX('Providers'!$AJ$4:$AJ$503,221))</f>
        <v/>
      </c>
      <c r="K724">
        <f>IF(LEN(INDEX('Providers'!$AI$4:$AI$503,221))=0,"",INDEX('Providers'!$AI$4:$AI$503,221))</f>
        <v/>
      </c>
    </row>
    <row r="725">
      <c r="A725">
        <f>IF(AND(LEN('Providers'!A225)&gt;0,ISNUMBER('Providers'!I225)),1,0)</f>
        <v/>
      </c>
      <c r="B725">
        <f>B724+A725</f>
        <v/>
      </c>
      <c r="C725">
        <f>IF(722&gt;$B$4503,"",MATCH(722-0.5,$B$3:$B$4503,1))</f>
        <v/>
      </c>
      <c r="D725">
        <f>"DEA registration ("&amp;IF(LEN(INDEX('Providers'!$E$4:$E$503,222))=0,"",INDEX('Providers'!$E$4:$E$503,222))&amp;") – "&amp;IF(LEN(INDEX('Providers'!$A$4:$A$503,222))=0,"",INDEX('Providers'!$A$4:$A$503,222))</f>
        <v/>
      </c>
      <c r="E725">
        <f>IF(ISNUMBER(INDEX('Providers'!$I$4:$I$503,222)),TEXT(INDEX('Providers'!$I$4:$I$503,222),"yyyy-mm-dd"),"")</f>
        <v/>
      </c>
      <c r="F725">
        <f>"Registration"</f>
        <v/>
      </c>
      <c r="G725">
        <f>""</f>
        <v/>
      </c>
      <c r="H725">
        <f>"High"</f>
        <v/>
      </c>
      <c r="I725">
        <f>TRIM(IF(LEN(IF(LEN(INDEX('Providers'!$H$4:$H$503,222))=0,"",INDEX('Providers'!$H$4:$H$503,222)))=0,"","DEA no.: "&amp;IF(LEN(INDEX('Providers'!$H$4:$H$503,222))=0,"",INDEX('Providers'!$H$4:$H$503,222))&amp;". ")&amp;IF(LEN(IF(LEN(INDEX('Providers'!$C$4:$C$503,222))=0,"",INDEX('Providers'!$C$4:$C$503,222)))=0,"","NPI: "&amp;IF(LEN(INDEX('Providers'!$C$4:$C$503,222))=0,"",INDEX('Providers'!$C$4:$C$503,222))&amp;". "))</f>
        <v/>
      </c>
      <c r="J725">
        <f>IF(LEN(INDEX('Providers'!$AJ$4:$AJ$503,222))=0,"",INDEX('Providers'!$AJ$4:$AJ$503,222))</f>
        <v/>
      </c>
      <c r="K725">
        <f>IF(LEN(INDEX('Providers'!$AI$4:$AI$503,222))=0,"",INDEX('Providers'!$AI$4:$AI$503,222))</f>
        <v/>
      </c>
    </row>
    <row r="726">
      <c r="A726">
        <f>IF(AND(LEN('Providers'!A226)&gt;0,ISNUMBER('Providers'!I226)),1,0)</f>
        <v/>
      </c>
      <c r="B726">
        <f>B725+A726</f>
        <v/>
      </c>
      <c r="C726">
        <f>IF(723&gt;$B$4503,"",MATCH(723-0.5,$B$3:$B$4503,1))</f>
        <v/>
      </c>
      <c r="D726">
        <f>"DEA registration ("&amp;IF(LEN(INDEX('Providers'!$E$4:$E$503,223))=0,"",INDEX('Providers'!$E$4:$E$503,223))&amp;") – "&amp;IF(LEN(INDEX('Providers'!$A$4:$A$503,223))=0,"",INDEX('Providers'!$A$4:$A$503,223))</f>
        <v/>
      </c>
      <c r="E726">
        <f>IF(ISNUMBER(INDEX('Providers'!$I$4:$I$503,223)),TEXT(INDEX('Providers'!$I$4:$I$503,223),"yyyy-mm-dd"),"")</f>
        <v/>
      </c>
      <c r="F726">
        <f>"Registration"</f>
        <v/>
      </c>
      <c r="G726">
        <f>""</f>
        <v/>
      </c>
      <c r="H726">
        <f>"High"</f>
        <v/>
      </c>
      <c r="I726">
        <f>TRIM(IF(LEN(IF(LEN(INDEX('Providers'!$H$4:$H$503,223))=0,"",INDEX('Providers'!$H$4:$H$503,223)))=0,"","DEA no.: "&amp;IF(LEN(INDEX('Providers'!$H$4:$H$503,223))=0,"",INDEX('Providers'!$H$4:$H$503,223))&amp;". ")&amp;IF(LEN(IF(LEN(INDEX('Providers'!$C$4:$C$503,223))=0,"",INDEX('Providers'!$C$4:$C$503,223)))=0,"","NPI: "&amp;IF(LEN(INDEX('Providers'!$C$4:$C$503,223))=0,"",INDEX('Providers'!$C$4:$C$503,223))&amp;". "))</f>
        <v/>
      </c>
      <c r="J726">
        <f>IF(LEN(INDEX('Providers'!$AJ$4:$AJ$503,223))=0,"",INDEX('Providers'!$AJ$4:$AJ$503,223))</f>
        <v/>
      </c>
      <c r="K726">
        <f>IF(LEN(INDEX('Providers'!$AI$4:$AI$503,223))=0,"",INDEX('Providers'!$AI$4:$AI$503,223))</f>
        <v/>
      </c>
    </row>
    <row r="727">
      <c r="A727">
        <f>IF(AND(LEN('Providers'!A227)&gt;0,ISNUMBER('Providers'!I227)),1,0)</f>
        <v/>
      </c>
      <c r="B727">
        <f>B726+A727</f>
        <v/>
      </c>
      <c r="C727">
        <f>IF(724&gt;$B$4503,"",MATCH(724-0.5,$B$3:$B$4503,1))</f>
        <v/>
      </c>
      <c r="D727">
        <f>"DEA registration ("&amp;IF(LEN(INDEX('Providers'!$E$4:$E$503,224))=0,"",INDEX('Providers'!$E$4:$E$503,224))&amp;") – "&amp;IF(LEN(INDEX('Providers'!$A$4:$A$503,224))=0,"",INDEX('Providers'!$A$4:$A$503,224))</f>
        <v/>
      </c>
      <c r="E727">
        <f>IF(ISNUMBER(INDEX('Providers'!$I$4:$I$503,224)),TEXT(INDEX('Providers'!$I$4:$I$503,224),"yyyy-mm-dd"),"")</f>
        <v/>
      </c>
      <c r="F727">
        <f>"Registration"</f>
        <v/>
      </c>
      <c r="G727">
        <f>""</f>
        <v/>
      </c>
      <c r="H727">
        <f>"High"</f>
        <v/>
      </c>
      <c r="I727">
        <f>TRIM(IF(LEN(IF(LEN(INDEX('Providers'!$H$4:$H$503,224))=0,"",INDEX('Providers'!$H$4:$H$503,224)))=0,"","DEA no.: "&amp;IF(LEN(INDEX('Providers'!$H$4:$H$503,224))=0,"",INDEX('Providers'!$H$4:$H$503,224))&amp;". ")&amp;IF(LEN(IF(LEN(INDEX('Providers'!$C$4:$C$503,224))=0,"",INDEX('Providers'!$C$4:$C$503,224)))=0,"","NPI: "&amp;IF(LEN(INDEX('Providers'!$C$4:$C$503,224))=0,"",INDEX('Providers'!$C$4:$C$503,224))&amp;". "))</f>
        <v/>
      </c>
      <c r="J727">
        <f>IF(LEN(INDEX('Providers'!$AJ$4:$AJ$503,224))=0,"",INDEX('Providers'!$AJ$4:$AJ$503,224))</f>
        <v/>
      </c>
      <c r="K727">
        <f>IF(LEN(INDEX('Providers'!$AI$4:$AI$503,224))=0,"",INDEX('Providers'!$AI$4:$AI$503,224))</f>
        <v/>
      </c>
    </row>
    <row r="728">
      <c r="A728">
        <f>IF(AND(LEN('Providers'!A228)&gt;0,ISNUMBER('Providers'!I228)),1,0)</f>
        <v/>
      </c>
      <c r="B728">
        <f>B727+A728</f>
        <v/>
      </c>
      <c r="C728">
        <f>IF(725&gt;$B$4503,"",MATCH(725-0.5,$B$3:$B$4503,1))</f>
        <v/>
      </c>
      <c r="D728">
        <f>"DEA registration ("&amp;IF(LEN(INDEX('Providers'!$E$4:$E$503,225))=0,"",INDEX('Providers'!$E$4:$E$503,225))&amp;") – "&amp;IF(LEN(INDEX('Providers'!$A$4:$A$503,225))=0,"",INDEX('Providers'!$A$4:$A$503,225))</f>
        <v/>
      </c>
      <c r="E728">
        <f>IF(ISNUMBER(INDEX('Providers'!$I$4:$I$503,225)),TEXT(INDEX('Providers'!$I$4:$I$503,225),"yyyy-mm-dd"),"")</f>
        <v/>
      </c>
      <c r="F728">
        <f>"Registration"</f>
        <v/>
      </c>
      <c r="G728">
        <f>""</f>
        <v/>
      </c>
      <c r="H728">
        <f>"High"</f>
        <v/>
      </c>
      <c r="I728">
        <f>TRIM(IF(LEN(IF(LEN(INDEX('Providers'!$H$4:$H$503,225))=0,"",INDEX('Providers'!$H$4:$H$503,225)))=0,"","DEA no.: "&amp;IF(LEN(INDEX('Providers'!$H$4:$H$503,225))=0,"",INDEX('Providers'!$H$4:$H$503,225))&amp;". ")&amp;IF(LEN(IF(LEN(INDEX('Providers'!$C$4:$C$503,225))=0,"",INDEX('Providers'!$C$4:$C$503,225)))=0,"","NPI: "&amp;IF(LEN(INDEX('Providers'!$C$4:$C$503,225))=0,"",INDEX('Providers'!$C$4:$C$503,225))&amp;". "))</f>
        <v/>
      </c>
      <c r="J728">
        <f>IF(LEN(INDEX('Providers'!$AJ$4:$AJ$503,225))=0,"",INDEX('Providers'!$AJ$4:$AJ$503,225))</f>
        <v/>
      </c>
      <c r="K728">
        <f>IF(LEN(INDEX('Providers'!$AI$4:$AI$503,225))=0,"",INDEX('Providers'!$AI$4:$AI$503,225))</f>
        <v/>
      </c>
    </row>
    <row r="729">
      <c r="A729">
        <f>IF(AND(LEN('Providers'!A229)&gt;0,ISNUMBER('Providers'!I229)),1,0)</f>
        <v/>
      </c>
      <c r="B729">
        <f>B728+A729</f>
        <v/>
      </c>
      <c r="C729">
        <f>IF(726&gt;$B$4503,"",MATCH(726-0.5,$B$3:$B$4503,1))</f>
        <v/>
      </c>
      <c r="D729">
        <f>"DEA registration ("&amp;IF(LEN(INDEX('Providers'!$E$4:$E$503,226))=0,"",INDEX('Providers'!$E$4:$E$503,226))&amp;") – "&amp;IF(LEN(INDEX('Providers'!$A$4:$A$503,226))=0,"",INDEX('Providers'!$A$4:$A$503,226))</f>
        <v/>
      </c>
      <c r="E729">
        <f>IF(ISNUMBER(INDEX('Providers'!$I$4:$I$503,226)),TEXT(INDEX('Providers'!$I$4:$I$503,226),"yyyy-mm-dd"),"")</f>
        <v/>
      </c>
      <c r="F729">
        <f>"Registration"</f>
        <v/>
      </c>
      <c r="G729">
        <f>""</f>
        <v/>
      </c>
      <c r="H729">
        <f>"High"</f>
        <v/>
      </c>
      <c r="I729">
        <f>TRIM(IF(LEN(IF(LEN(INDEX('Providers'!$H$4:$H$503,226))=0,"",INDEX('Providers'!$H$4:$H$503,226)))=0,"","DEA no.: "&amp;IF(LEN(INDEX('Providers'!$H$4:$H$503,226))=0,"",INDEX('Providers'!$H$4:$H$503,226))&amp;". ")&amp;IF(LEN(IF(LEN(INDEX('Providers'!$C$4:$C$503,226))=0,"",INDEX('Providers'!$C$4:$C$503,226)))=0,"","NPI: "&amp;IF(LEN(INDEX('Providers'!$C$4:$C$503,226))=0,"",INDEX('Providers'!$C$4:$C$503,226))&amp;". "))</f>
        <v/>
      </c>
      <c r="J729">
        <f>IF(LEN(INDEX('Providers'!$AJ$4:$AJ$503,226))=0,"",INDEX('Providers'!$AJ$4:$AJ$503,226))</f>
        <v/>
      </c>
      <c r="K729">
        <f>IF(LEN(INDEX('Providers'!$AI$4:$AI$503,226))=0,"",INDEX('Providers'!$AI$4:$AI$503,226))</f>
        <v/>
      </c>
    </row>
    <row r="730">
      <c r="A730">
        <f>IF(AND(LEN('Providers'!A230)&gt;0,ISNUMBER('Providers'!I230)),1,0)</f>
        <v/>
      </c>
      <c r="B730">
        <f>B729+A730</f>
        <v/>
      </c>
      <c r="C730">
        <f>IF(727&gt;$B$4503,"",MATCH(727-0.5,$B$3:$B$4503,1))</f>
        <v/>
      </c>
      <c r="D730">
        <f>"DEA registration ("&amp;IF(LEN(INDEX('Providers'!$E$4:$E$503,227))=0,"",INDEX('Providers'!$E$4:$E$503,227))&amp;") – "&amp;IF(LEN(INDEX('Providers'!$A$4:$A$503,227))=0,"",INDEX('Providers'!$A$4:$A$503,227))</f>
        <v/>
      </c>
      <c r="E730">
        <f>IF(ISNUMBER(INDEX('Providers'!$I$4:$I$503,227)),TEXT(INDEX('Providers'!$I$4:$I$503,227),"yyyy-mm-dd"),"")</f>
        <v/>
      </c>
      <c r="F730">
        <f>"Registration"</f>
        <v/>
      </c>
      <c r="G730">
        <f>""</f>
        <v/>
      </c>
      <c r="H730">
        <f>"High"</f>
        <v/>
      </c>
      <c r="I730">
        <f>TRIM(IF(LEN(IF(LEN(INDEX('Providers'!$H$4:$H$503,227))=0,"",INDEX('Providers'!$H$4:$H$503,227)))=0,"","DEA no.: "&amp;IF(LEN(INDEX('Providers'!$H$4:$H$503,227))=0,"",INDEX('Providers'!$H$4:$H$503,227))&amp;". ")&amp;IF(LEN(IF(LEN(INDEX('Providers'!$C$4:$C$503,227))=0,"",INDEX('Providers'!$C$4:$C$503,227)))=0,"","NPI: "&amp;IF(LEN(INDEX('Providers'!$C$4:$C$503,227))=0,"",INDEX('Providers'!$C$4:$C$503,227))&amp;". "))</f>
        <v/>
      </c>
      <c r="J730">
        <f>IF(LEN(INDEX('Providers'!$AJ$4:$AJ$503,227))=0,"",INDEX('Providers'!$AJ$4:$AJ$503,227))</f>
        <v/>
      </c>
      <c r="K730">
        <f>IF(LEN(INDEX('Providers'!$AI$4:$AI$503,227))=0,"",INDEX('Providers'!$AI$4:$AI$503,227))</f>
        <v/>
      </c>
    </row>
    <row r="731">
      <c r="A731">
        <f>IF(AND(LEN('Providers'!A231)&gt;0,ISNUMBER('Providers'!I231)),1,0)</f>
        <v/>
      </c>
      <c r="B731">
        <f>B730+A731</f>
        <v/>
      </c>
      <c r="C731">
        <f>IF(728&gt;$B$4503,"",MATCH(728-0.5,$B$3:$B$4503,1))</f>
        <v/>
      </c>
      <c r="D731">
        <f>"DEA registration ("&amp;IF(LEN(INDEX('Providers'!$E$4:$E$503,228))=0,"",INDEX('Providers'!$E$4:$E$503,228))&amp;") – "&amp;IF(LEN(INDEX('Providers'!$A$4:$A$503,228))=0,"",INDEX('Providers'!$A$4:$A$503,228))</f>
        <v/>
      </c>
      <c r="E731">
        <f>IF(ISNUMBER(INDEX('Providers'!$I$4:$I$503,228)),TEXT(INDEX('Providers'!$I$4:$I$503,228),"yyyy-mm-dd"),"")</f>
        <v/>
      </c>
      <c r="F731">
        <f>"Registration"</f>
        <v/>
      </c>
      <c r="G731">
        <f>""</f>
        <v/>
      </c>
      <c r="H731">
        <f>"High"</f>
        <v/>
      </c>
      <c r="I731">
        <f>TRIM(IF(LEN(IF(LEN(INDEX('Providers'!$H$4:$H$503,228))=0,"",INDEX('Providers'!$H$4:$H$503,228)))=0,"","DEA no.: "&amp;IF(LEN(INDEX('Providers'!$H$4:$H$503,228))=0,"",INDEX('Providers'!$H$4:$H$503,228))&amp;". ")&amp;IF(LEN(IF(LEN(INDEX('Providers'!$C$4:$C$503,228))=0,"",INDEX('Providers'!$C$4:$C$503,228)))=0,"","NPI: "&amp;IF(LEN(INDEX('Providers'!$C$4:$C$503,228))=0,"",INDEX('Providers'!$C$4:$C$503,228))&amp;". "))</f>
        <v/>
      </c>
      <c r="J731">
        <f>IF(LEN(INDEX('Providers'!$AJ$4:$AJ$503,228))=0,"",INDEX('Providers'!$AJ$4:$AJ$503,228))</f>
        <v/>
      </c>
      <c r="K731">
        <f>IF(LEN(INDEX('Providers'!$AI$4:$AI$503,228))=0,"",INDEX('Providers'!$AI$4:$AI$503,228))</f>
        <v/>
      </c>
    </row>
    <row r="732">
      <c r="A732">
        <f>IF(AND(LEN('Providers'!A232)&gt;0,ISNUMBER('Providers'!I232)),1,0)</f>
        <v/>
      </c>
      <c r="B732">
        <f>B731+A732</f>
        <v/>
      </c>
      <c r="C732">
        <f>IF(729&gt;$B$4503,"",MATCH(729-0.5,$B$3:$B$4503,1))</f>
        <v/>
      </c>
      <c r="D732">
        <f>"DEA registration ("&amp;IF(LEN(INDEX('Providers'!$E$4:$E$503,229))=0,"",INDEX('Providers'!$E$4:$E$503,229))&amp;") – "&amp;IF(LEN(INDEX('Providers'!$A$4:$A$503,229))=0,"",INDEX('Providers'!$A$4:$A$503,229))</f>
        <v/>
      </c>
      <c r="E732">
        <f>IF(ISNUMBER(INDEX('Providers'!$I$4:$I$503,229)),TEXT(INDEX('Providers'!$I$4:$I$503,229),"yyyy-mm-dd"),"")</f>
        <v/>
      </c>
      <c r="F732">
        <f>"Registration"</f>
        <v/>
      </c>
      <c r="G732">
        <f>""</f>
        <v/>
      </c>
      <c r="H732">
        <f>"High"</f>
        <v/>
      </c>
      <c r="I732">
        <f>TRIM(IF(LEN(IF(LEN(INDEX('Providers'!$H$4:$H$503,229))=0,"",INDEX('Providers'!$H$4:$H$503,229)))=0,"","DEA no.: "&amp;IF(LEN(INDEX('Providers'!$H$4:$H$503,229))=0,"",INDEX('Providers'!$H$4:$H$503,229))&amp;". ")&amp;IF(LEN(IF(LEN(INDEX('Providers'!$C$4:$C$503,229))=0,"",INDEX('Providers'!$C$4:$C$503,229)))=0,"","NPI: "&amp;IF(LEN(INDEX('Providers'!$C$4:$C$503,229))=0,"",INDEX('Providers'!$C$4:$C$503,229))&amp;". "))</f>
        <v/>
      </c>
      <c r="J732">
        <f>IF(LEN(INDEX('Providers'!$AJ$4:$AJ$503,229))=0,"",INDEX('Providers'!$AJ$4:$AJ$503,229))</f>
        <v/>
      </c>
      <c r="K732">
        <f>IF(LEN(INDEX('Providers'!$AI$4:$AI$503,229))=0,"",INDEX('Providers'!$AI$4:$AI$503,229))</f>
        <v/>
      </c>
    </row>
    <row r="733">
      <c r="A733">
        <f>IF(AND(LEN('Providers'!A233)&gt;0,ISNUMBER('Providers'!I233)),1,0)</f>
        <v/>
      </c>
      <c r="B733">
        <f>B732+A733</f>
        <v/>
      </c>
      <c r="C733">
        <f>IF(730&gt;$B$4503,"",MATCH(730-0.5,$B$3:$B$4503,1))</f>
        <v/>
      </c>
      <c r="D733">
        <f>"DEA registration ("&amp;IF(LEN(INDEX('Providers'!$E$4:$E$503,230))=0,"",INDEX('Providers'!$E$4:$E$503,230))&amp;") – "&amp;IF(LEN(INDEX('Providers'!$A$4:$A$503,230))=0,"",INDEX('Providers'!$A$4:$A$503,230))</f>
        <v/>
      </c>
      <c r="E733">
        <f>IF(ISNUMBER(INDEX('Providers'!$I$4:$I$503,230)),TEXT(INDEX('Providers'!$I$4:$I$503,230),"yyyy-mm-dd"),"")</f>
        <v/>
      </c>
      <c r="F733">
        <f>"Registration"</f>
        <v/>
      </c>
      <c r="G733">
        <f>""</f>
        <v/>
      </c>
      <c r="H733">
        <f>"High"</f>
        <v/>
      </c>
      <c r="I733">
        <f>TRIM(IF(LEN(IF(LEN(INDEX('Providers'!$H$4:$H$503,230))=0,"",INDEX('Providers'!$H$4:$H$503,230)))=0,"","DEA no.: "&amp;IF(LEN(INDEX('Providers'!$H$4:$H$503,230))=0,"",INDEX('Providers'!$H$4:$H$503,230))&amp;". ")&amp;IF(LEN(IF(LEN(INDEX('Providers'!$C$4:$C$503,230))=0,"",INDEX('Providers'!$C$4:$C$503,230)))=0,"","NPI: "&amp;IF(LEN(INDEX('Providers'!$C$4:$C$503,230))=0,"",INDEX('Providers'!$C$4:$C$503,230))&amp;". "))</f>
        <v/>
      </c>
      <c r="J733">
        <f>IF(LEN(INDEX('Providers'!$AJ$4:$AJ$503,230))=0,"",INDEX('Providers'!$AJ$4:$AJ$503,230))</f>
        <v/>
      </c>
      <c r="K733">
        <f>IF(LEN(INDEX('Providers'!$AI$4:$AI$503,230))=0,"",INDEX('Providers'!$AI$4:$AI$503,230))</f>
        <v/>
      </c>
    </row>
    <row r="734">
      <c r="A734">
        <f>IF(AND(LEN('Providers'!A234)&gt;0,ISNUMBER('Providers'!I234)),1,0)</f>
        <v/>
      </c>
      <c r="B734">
        <f>B733+A734</f>
        <v/>
      </c>
      <c r="C734">
        <f>IF(731&gt;$B$4503,"",MATCH(731-0.5,$B$3:$B$4503,1))</f>
        <v/>
      </c>
      <c r="D734">
        <f>"DEA registration ("&amp;IF(LEN(INDEX('Providers'!$E$4:$E$503,231))=0,"",INDEX('Providers'!$E$4:$E$503,231))&amp;") – "&amp;IF(LEN(INDEX('Providers'!$A$4:$A$503,231))=0,"",INDEX('Providers'!$A$4:$A$503,231))</f>
        <v/>
      </c>
      <c r="E734">
        <f>IF(ISNUMBER(INDEX('Providers'!$I$4:$I$503,231)),TEXT(INDEX('Providers'!$I$4:$I$503,231),"yyyy-mm-dd"),"")</f>
        <v/>
      </c>
      <c r="F734">
        <f>"Registration"</f>
        <v/>
      </c>
      <c r="G734">
        <f>""</f>
        <v/>
      </c>
      <c r="H734">
        <f>"High"</f>
        <v/>
      </c>
      <c r="I734">
        <f>TRIM(IF(LEN(IF(LEN(INDEX('Providers'!$H$4:$H$503,231))=0,"",INDEX('Providers'!$H$4:$H$503,231)))=0,"","DEA no.: "&amp;IF(LEN(INDEX('Providers'!$H$4:$H$503,231))=0,"",INDEX('Providers'!$H$4:$H$503,231))&amp;". ")&amp;IF(LEN(IF(LEN(INDEX('Providers'!$C$4:$C$503,231))=0,"",INDEX('Providers'!$C$4:$C$503,231)))=0,"","NPI: "&amp;IF(LEN(INDEX('Providers'!$C$4:$C$503,231))=0,"",INDEX('Providers'!$C$4:$C$503,231))&amp;". "))</f>
        <v/>
      </c>
      <c r="J734">
        <f>IF(LEN(INDEX('Providers'!$AJ$4:$AJ$503,231))=0,"",INDEX('Providers'!$AJ$4:$AJ$503,231))</f>
        <v/>
      </c>
      <c r="K734">
        <f>IF(LEN(INDEX('Providers'!$AI$4:$AI$503,231))=0,"",INDEX('Providers'!$AI$4:$AI$503,231))</f>
        <v/>
      </c>
    </row>
    <row r="735">
      <c r="A735">
        <f>IF(AND(LEN('Providers'!A235)&gt;0,ISNUMBER('Providers'!I235)),1,0)</f>
        <v/>
      </c>
      <c r="B735">
        <f>B734+A735</f>
        <v/>
      </c>
      <c r="C735">
        <f>IF(732&gt;$B$4503,"",MATCH(732-0.5,$B$3:$B$4503,1))</f>
        <v/>
      </c>
      <c r="D735">
        <f>"DEA registration ("&amp;IF(LEN(INDEX('Providers'!$E$4:$E$503,232))=0,"",INDEX('Providers'!$E$4:$E$503,232))&amp;") – "&amp;IF(LEN(INDEX('Providers'!$A$4:$A$503,232))=0,"",INDEX('Providers'!$A$4:$A$503,232))</f>
        <v/>
      </c>
      <c r="E735">
        <f>IF(ISNUMBER(INDEX('Providers'!$I$4:$I$503,232)),TEXT(INDEX('Providers'!$I$4:$I$503,232),"yyyy-mm-dd"),"")</f>
        <v/>
      </c>
      <c r="F735">
        <f>"Registration"</f>
        <v/>
      </c>
      <c r="G735">
        <f>""</f>
        <v/>
      </c>
      <c r="H735">
        <f>"High"</f>
        <v/>
      </c>
      <c r="I735">
        <f>TRIM(IF(LEN(IF(LEN(INDEX('Providers'!$H$4:$H$503,232))=0,"",INDEX('Providers'!$H$4:$H$503,232)))=0,"","DEA no.: "&amp;IF(LEN(INDEX('Providers'!$H$4:$H$503,232))=0,"",INDEX('Providers'!$H$4:$H$503,232))&amp;". ")&amp;IF(LEN(IF(LEN(INDEX('Providers'!$C$4:$C$503,232))=0,"",INDEX('Providers'!$C$4:$C$503,232)))=0,"","NPI: "&amp;IF(LEN(INDEX('Providers'!$C$4:$C$503,232))=0,"",INDEX('Providers'!$C$4:$C$503,232))&amp;". "))</f>
        <v/>
      </c>
      <c r="J735">
        <f>IF(LEN(INDEX('Providers'!$AJ$4:$AJ$503,232))=0,"",INDEX('Providers'!$AJ$4:$AJ$503,232))</f>
        <v/>
      </c>
      <c r="K735">
        <f>IF(LEN(INDEX('Providers'!$AI$4:$AI$503,232))=0,"",INDEX('Providers'!$AI$4:$AI$503,232))</f>
        <v/>
      </c>
    </row>
    <row r="736">
      <c r="A736">
        <f>IF(AND(LEN('Providers'!A236)&gt;0,ISNUMBER('Providers'!I236)),1,0)</f>
        <v/>
      </c>
      <c r="B736">
        <f>B735+A736</f>
        <v/>
      </c>
      <c r="C736">
        <f>IF(733&gt;$B$4503,"",MATCH(733-0.5,$B$3:$B$4503,1))</f>
        <v/>
      </c>
      <c r="D736">
        <f>"DEA registration ("&amp;IF(LEN(INDEX('Providers'!$E$4:$E$503,233))=0,"",INDEX('Providers'!$E$4:$E$503,233))&amp;") – "&amp;IF(LEN(INDEX('Providers'!$A$4:$A$503,233))=0,"",INDEX('Providers'!$A$4:$A$503,233))</f>
        <v/>
      </c>
      <c r="E736">
        <f>IF(ISNUMBER(INDEX('Providers'!$I$4:$I$503,233)),TEXT(INDEX('Providers'!$I$4:$I$503,233),"yyyy-mm-dd"),"")</f>
        <v/>
      </c>
      <c r="F736">
        <f>"Registration"</f>
        <v/>
      </c>
      <c r="G736">
        <f>""</f>
        <v/>
      </c>
      <c r="H736">
        <f>"High"</f>
        <v/>
      </c>
      <c r="I736">
        <f>TRIM(IF(LEN(IF(LEN(INDEX('Providers'!$H$4:$H$503,233))=0,"",INDEX('Providers'!$H$4:$H$503,233)))=0,"","DEA no.: "&amp;IF(LEN(INDEX('Providers'!$H$4:$H$503,233))=0,"",INDEX('Providers'!$H$4:$H$503,233))&amp;". ")&amp;IF(LEN(IF(LEN(INDEX('Providers'!$C$4:$C$503,233))=0,"",INDEX('Providers'!$C$4:$C$503,233)))=0,"","NPI: "&amp;IF(LEN(INDEX('Providers'!$C$4:$C$503,233))=0,"",INDEX('Providers'!$C$4:$C$503,233))&amp;". "))</f>
        <v/>
      </c>
      <c r="J736">
        <f>IF(LEN(INDEX('Providers'!$AJ$4:$AJ$503,233))=0,"",INDEX('Providers'!$AJ$4:$AJ$503,233))</f>
        <v/>
      </c>
      <c r="K736">
        <f>IF(LEN(INDEX('Providers'!$AI$4:$AI$503,233))=0,"",INDEX('Providers'!$AI$4:$AI$503,233))</f>
        <v/>
      </c>
    </row>
    <row r="737">
      <c r="A737">
        <f>IF(AND(LEN('Providers'!A237)&gt;0,ISNUMBER('Providers'!I237)),1,0)</f>
        <v/>
      </c>
      <c r="B737">
        <f>B736+A737</f>
        <v/>
      </c>
      <c r="C737">
        <f>IF(734&gt;$B$4503,"",MATCH(734-0.5,$B$3:$B$4503,1))</f>
        <v/>
      </c>
      <c r="D737">
        <f>"DEA registration ("&amp;IF(LEN(INDEX('Providers'!$E$4:$E$503,234))=0,"",INDEX('Providers'!$E$4:$E$503,234))&amp;") – "&amp;IF(LEN(INDEX('Providers'!$A$4:$A$503,234))=0,"",INDEX('Providers'!$A$4:$A$503,234))</f>
        <v/>
      </c>
      <c r="E737">
        <f>IF(ISNUMBER(INDEX('Providers'!$I$4:$I$503,234)),TEXT(INDEX('Providers'!$I$4:$I$503,234),"yyyy-mm-dd"),"")</f>
        <v/>
      </c>
      <c r="F737">
        <f>"Registration"</f>
        <v/>
      </c>
      <c r="G737">
        <f>""</f>
        <v/>
      </c>
      <c r="H737">
        <f>"High"</f>
        <v/>
      </c>
      <c r="I737">
        <f>TRIM(IF(LEN(IF(LEN(INDEX('Providers'!$H$4:$H$503,234))=0,"",INDEX('Providers'!$H$4:$H$503,234)))=0,"","DEA no.: "&amp;IF(LEN(INDEX('Providers'!$H$4:$H$503,234))=0,"",INDEX('Providers'!$H$4:$H$503,234))&amp;". ")&amp;IF(LEN(IF(LEN(INDEX('Providers'!$C$4:$C$503,234))=0,"",INDEX('Providers'!$C$4:$C$503,234)))=0,"","NPI: "&amp;IF(LEN(INDEX('Providers'!$C$4:$C$503,234))=0,"",INDEX('Providers'!$C$4:$C$503,234))&amp;". "))</f>
        <v/>
      </c>
      <c r="J737">
        <f>IF(LEN(INDEX('Providers'!$AJ$4:$AJ$503,234))=0,"",INDEX('Providers'!$AJ$4:$AJ$503,234))</f>
        <v/>
      </c>
      <c r="K737">
        <f>IF(LEN(INDEX('Providers'!$AI$4:$AI$503,234))=0,"",INDEX('Providers'!$AI$4:$AI$503,234))</f>
        <v/>
      </c>
    </row>
    <row r="738">
      <c r="A738">
        <f>IF(AND(LEN('Providers'!A238)&gt;0,ISNUMBER('Providers'!I238)),1,0)</f>
        <v/>
      </c>
      <c r="B738">
        <f>B737+A738</f>
        <v/>
      </c>
      <c r="C738">
        <f>IF(735&gt;$B$4503,"",MATCH(735-0.5,$B$3:$B$4503,1))</f>
        <v/>
      </c>
      <c r="D738">
        <f>"DEA registration ("&amp;IF(LEN(INDEX('Providers'!$E$4:$E$503,235))=0,"",INDEX('Providers'!$E$4:$E$503,235))&amp;") – "&amp;IF(LEN(INDEX('Providers'!$A$4:$A$503,235))=0,"",INDEX('Providers'!$A$4:$A$503,235))</f>
        <v/>
      </c>
      <c r="E738">
        <f>IF(ISNUMBER(INDEX('Providers'!$I$4:$I$503,235)),TEXT(INDEX('Providers'!$I$4:$I$503,235),"yyyy-mm-dd"),"")</f>
        <v/>
      </c>
      <c r="F738">
        <f>"Registration"</f>
        <v/>
      </c>
      <c r="G738">
        <f>""</f>
        <v/>
      </c>
      <c r="H738">
        <f>"High"</f>
        <v/>
      </c>
      <c r="I738">
        <f>TRIM(IF(LEN(IF(LEN(INDEX('Providers'!$H$4:$H$503,235))=0,"",INDEX('Providers'!$H$4:$H$503,235)))=0,"","DEA no.: "&amp;IF(LEN(INDEX('Providers'!$H$4:$H$503,235))=0,"",INDEX('Providers'!$H$4:$H$503,235))&amp;". ")&amp;IF(LEN(IF(LEN(INDEX('Providers'!$C$4:$C$503,235))=0,"",INDEX('Providers'!$C$4:$C$503,235)))=0,"","NPI: "&amp;IF(LEN(INDEX('Providers'!$C$4:$C$503,235))=0,"",INDEX('Providers'!$C$4:$C$503,235))&amp;". "))</f>
        <v/>
      </c>
      <c r="J738">
        <f>IF(LEN(INDEX('Providers'!$AJ$4:$AJ$503,235))=0,"",INDEX('Providers'!$AJ$4:$AJ$503,235))</f>
        <v/>
      </c>
      <c r="K738">
        <f>IF(LEN(INDEX('Providers'!$AI$4:$AI$503,235))=0,"",INDEX('Providers'!$AI$4:$AI$503,235))</f>
        <v/>
      </c>
    </row>
    <row r="739">
      <c r="A739">
        <f>IF(AND(LEN('Providers'!A239)&gt;0,ISNUMBER('Providers'!I239)),1,0)</f>
        <v/>
      </c>
      <c r="B739">
        <f>B738+A739</f>
        <v/>
      </c>
      <c r="C739">
        <f>IF(736&gt;$B$4503,"",MATCH(736-0.5,$B$3:$B$4503,1))</f>
        <v/>
      </c>
      <c r="D739">
        <f>"DEA registration ("&amp;IF(LEN(INDEX('Providers'!$E$4:$E$503,236))=0,"",INDEX('Providers'!$E$4:$E$503,236))&amp;") – "&amp;IF(LEN(INDEX('Providers'!$A$4:$A$503,236))=0,"",INDEX('Providers'!$A$4:$A$503,236))</f>
        <v/>
      </c>
      <c r="E739">
        <f>IF(ISNUMBER(INDEX('Providers'!$I$4:$I$503,236)),TEXT(INDEX('Providers'!$I$4:$I$503,236),"yyyy-mm-dd"),"")</f>
        <v/>
      </c>
      <c r="F739">
        <f>"Registration"</f>
        <v/>
      </c>
      <c r="G739">
        <f>""</f>
        <v/>
      </c>
      <c r="H739">
        <f>"High"</f>
        <v/>
      </c>
      <c r="I739">
        <f>TRIM(IF(LEN(IF(LEN(INDEX('Providers'!$H$4:$H$503,236))=0,"",INDEX('Providers'!$H$4:$H$503,236)))=0,"","DEA no.: "&amp;IF(LEN(INDEX('Providers'!$H$4:$H$503,236))=0,"",INDEX('Providers'!$H$4:$H$503,236))&amp;". ")&amp;IF(LEN(IF(LEN(INDEX('Providers'!$C$4:$C$503,236))=0,"",INDEX('Providers'!$C$4:$C$503,236)))=0,"","NPI: "&amp;IF(LEN(INDEX('Providers'!$C$4:$C$503,236))=0,"",INDEX('Providers'!$C$4:$C$503,236))&amp;". "))</f>
        <v/>
      </c>
      <c r="J739">
        <f>IF(LEN(INDEX('Providers'!$AJ$4:$AJ$503,236))=0,"",INDEX('Providers'!$AJ$4:$AJ$503,236))</f>
        <v/>
      </c>
      <c r="K739">
        <f>IF(LEN(INDEX('Providers'!$AI$4:$AI$503,236))=0,"",INDEX('Providers'!$AI$4:$AI$503,236))</f>
        <v/>
      </c>
    </row>
    <row r="740">
      <c r="A740">
        <f>IF(AND(LEN('Providers'!A240)&gt;0,ISNUMBER('Providers'!I240)),1,0)</f>
        <v/>
      </c>
      <c r="B740">
        <f>B739+A740</f>
        <v/>
      </c>
      <c r="C740">
        <f>IF(737&gt;$B$4503,"",MATCH(737-0.5,$B$3:$B$4503,1))</f>
        <v/>
      </c>
      <c r="D740">
        <f>"DEA registration ("&amp;IF(LEN(INDEX('Providers'!$E$4:$E$503,237))=0,"",INDEX('Providers'!$E$4:$E$503,237))&amp;") – "&amp;IF(LEN(INDEX('Providers'!$A$4:$A$503,237))=0,"",INDEX('Providers'!$A$4:$A$503,237))</f>
        <v/>
      </c>
      <c r="E740">
        <f>IF(ISNUMBER(INDEX('Providers'!$I$4:$I$503,237)),TEXT(INDEX('Providers'!$I$4:$I$503,237),"yyyy-mm-dd"),"")</f>
        <v/>
      </c>
      <c r="F740">
        <f>"Registration"</f>
        <v/>
      </c>
      <c r="G740">
        <f>""</f>
        <v/>
      </c>
      <c r="H740">
        <f>"High"</f>
        <v/>
      </c>
      <c r="I740">
        <f>TRIM(IF(LEN(IF(LEN(INDEX('Providers'!$H$4:$H$503,237))=0,"",INDEX('Providers'!$H$4:$H$503,237)))=0,"","DEA no.: "&amp;IF(LEN(INDEX('Providers'!$H$4:$H$503,237))=0,"",INDEX('Providers'!$H$4:$H$503,237))&amp;". ")&amp;IF(LEN(IF(LEN(INDEX('Providers'!$C$4:$C$503,237))=0,"",INDEX('Providers'!$C$4:$C$503,237)))=0,"","NPI: "&amp;IF(LEN(INDEX('Providers'!$C$4:$C$503,237))=0,"",INDEX('Providers'!$C$4:$C$503,237))&amp;". "))</f>
        <v/>
      </c>
      <c r="J740">
        <f>IF(LEN(INDEX('Providers'!$AJ$4:$AJ$503,237))=0,"",INDEX('Providers'!$AJ$4:$AJ$503,237))</f>
        <v/>
      </c>
      <c r="K740">
        <f>IF(LEN(INDEX('Providers'!$AI$4:$AI$503,237))=0,"",INDEX('Providers'!$AI$4:$AI$503,237))</f>
        <v/>
      </c>
    </row>
    <row r="741">
      <c r="A741">
        <f>IF(AND(LEN('Providers'!A241)&gt;0,ISNUMBER('Providers'!I241)),1,0)</f>
        <v/>
      </c>
      <c r="B741">
        <f>B740+A741</f>
        <v/>
      </c>
      <c r="C741">
        <f>IF(738&gt;$B$4503,"",MATCH(738-0.5,$B$3:$B$4503,1))</f>
        <v/>
      </c>
      <c r="D741">
        <f>"DEA registration ("&amp;IF(LEN(INDEX('Providers'!$E$4:$E$503,238))=0,"",INDEX('Providers'!$E$4:$E$503,238))&amp;") – "&amp;IF(LEN(INDEX('Providers'!$A$4:$A$503,238))=0,"",INDEX('Providers'!$A$4:$A$503,238))</f>
        <v/>
      </c>
      <c r="E741">
        <f>IF(ISNUMBER(INDEX('Providers'!$I$4:$I$503,238)),TEXT(INDEX('Providers'!$I$4:$I$503,238),"yyyy-mm-dd"),"")</f>
        <v/>
      </c>
      <c r="F741">
        <f>"Registration"</f>
        <v/>
      </c>
      <c r="G741">
        <f>""</f>
        <v/>
      </c>
      <c r="H741">
        <f>"High"</f>
        <v/>
      </c>
      <c r="I741">
        <f>TRIM(IF(LEN(IF(LEN(INDEX('Providers'!$H$4:$H$503,238))=0,"",INDEX('Providers'!$H$4:$H$503,238)))=0,"","DEA no.: "&amp;IF(LEN(INDEX('Providers'!$H$4:$H$503,238))=0,"",INDEX('Providers'!$H$4:$H$503,238))&amp;". ")&amp;IF(LEN(IF(LEN(INDEX('Providers'!$C$4:$C$503,238))=0,"",INDEX('Providers'!$C$4:$C$503,238)))=0,"","NPI: "&amp;IF(LEN(INDEX('Providers'!$C$4:$C$503,238))=0,"",INDEX('Providers'!$C$4:$C$503,238))&amp;". "))</f>
        <v/>
      </c>
      <c r="J741">
        <f>IF(LEN(INDEX('Providers'!$AJ$4:$AJ$503,238))=0,"",INDEX('Providers'!$AJ$4:$AJ$503,238))</f>
        <v/>
      </c>
      <c r="K741">
        <f>IF(LEN(INDEX('Providers'!$AI$4:$AI$503,238))=0,"",INDEX('Providers'!$AI$4:$AI$503,238))</f>
        <v/>
      </c>
    </row>
    <row r="742">
      <c r="A742">
        <f>IF(AND(LEN('Providers'!A242)&gt;0,ISNUMBER('Providers'!I242)),1,0)</f>
        <v/>
      </c>
      <c r="B742">
        <f>B741+A742</f>
        <v/>
      </c>
      <c r="C742">
        <f>IF(739&gt;$B$4503,"",MATCH(739-0.5,$B$3:$B$4503,1))</f>
        <v/>
      </c>
      <c r="D742">
        <f>"DEA registration ("&amp;IF(LEN(INDEX('Providers'!$E$4:$E$503,239))=0,"",INDEX('Providers'!$E$4:$E$503,239))&amp;") – "&amp;IF(LEN(INDEX('Providers'!$A$4:$A$503,239))=0,"",INDEX('Providers'!$A$4:$A$503,239))</f>
        <v/>
      </c>
      <c r="E742">
        <f>IF(ISNUMBER(INDEX('Providers'!$I$4:$I$503,239)),TEXT(INDEX('Providers'!$I$4:$I$503,239),"yyyy-mm-dd"),"")</f>
        <v/>
      </c>
      <c r="F742">
        <f>"Registration"</f>
        <v/>
      </c>
      <c r="G742">
        <f>""</f>
        <v/>
      </c>
      <c r="H742">
        <f>"High"</f>
        <v/>
      </c>
      <c r="I742">
        <f>TRIM(IF(LEN(IF(LEN(INDEX('Providers'!$H$4:$H$503,239))=0,"",INDEX('Providers'!$H$4:$H$503,239)))=0,"","DEA no.: "&amp;IF(LEN(INDEX('Providers'!$H$4:$H$503,239))=0,"",INDEX('Providers'!$H$4:$H$503,239))&amp;". ")&amp;IF(LEN(IF(LEN(INDEX('Providers'!$C$4:$C$503,239))=0,"",INDEX('Providers'!$C$4:$C$503,239)))=0,"","NPI: "&amp;IF(LEN(INDEX('Providers'!$C$4:$C$503,239))=0,"",INDEX('Providers'!$C$4:$C$503,239))&amp;". "))</f>
        <v/>
      </c>
      <c r="J742">
        <f>IF(LEN(INDEX('Providers'!$AJ$4:$AJ$503,239))=0,"",INDEX('Providers'!$AJ$4:$AJ$503,239))</f>
        <v/>
      </c>
      <c r="K742">
        <f>IF(LEN(INDEX('Providers'!$AI$4:$AI$503,239))=0,"",INDEX('Providers'!$AI$4:$AI$503,239))</f>
        <v/>
      </c>
    </row>
    <row r="743">
      <c r="A743">
        <f>IF(AND(LEN('Providers'!A243)&gt;0,ISNUMBER('Providers'!I243)),1,0)</f>
        <v/>
      </c>
      <c r="B743">
        <f>B742+A743</f>
        <v/>
      </c>
      <c r="C743">
        <f>IF(740&gt;$B$4503,"",MATCH(740-0.5,$B$3:$B$4503,1))</f>
        <v/>
      </c>
      <c r="D743">
        <f>"DEA registration ("&amp;IF(LEN(INDEX('Providers'!$E$4:$E$503,240))=0,"",INDEX('Providers'!$E$4:$E$503,240))&amp;") – "&amp;IF(LEN(INDEX('Providers'!$A$4:$A$503,240))=0,"",INDEX('Providers'!$A$4:$A$503,240))</f>
        <v/>
      </c>
      <c r="E743">
        <f>IF(ISNUMBER(INDEX('Providers'!$I$4:$I$503,240)),TEXT(INDEX('Providers'!$I$4:$I$503,240),"yyyy-mm-dd"),"")</f>
        <v/>
      </c>
      <c r="F743">
        <f>"Registration"</f>
        <v/>
      </c>
      <c r="G743">
        <f>""</f>
        <v/>
      </c>
      <c r="H743">
        <f>"High"</f>
        <v/>
      </c>
      <c r="I743">
        <f>TRIM(IF(LEN(IF(LEN(INDEX('Providers'!$H$4:$H$503,240))=0,"",INDEX('Providers'!$H$4:$H$503,240)))=0,"","DEA no.: "&amp;IF(LEN(INDEX('Providers'!$H$4:$H$503,240))=0,"",INDEX('Providers'!$H$4:$H$503,240))&amp;". ")&amp;IF(LEN(IF(LEN(INDEX('Providers'!$C$4:$C$503,240))=0,"",INDEX('Providers'!$C$4:$C$503,240)))=0,"","NPI: "&amp;IF(LEN(INDEX('Providers'!$C$4:$C$503,240))=0,"",INDEX('Providers'!$C$4:$C$503,240))&amp;". "))</f>
        <v/>
      </c>
      <c r="J743">
        <f>IF(LEN(INDEX('Providers'!$AJ$4:$AJ$503,240))=0,"",INDEX('Providers'!$AJ$4:$AJ$503,240))</f>
        <v/>
      </c>
      <c r="K743">
        <f>IF(LEN(INDEX('Providers'!$AI$4:$AI$503,240))=0,"",INDEX('Providers'!$AI$4:$AI$503,240))</f>
        <v/>
      </c>
    </row>
    <row r="744">
      <c r="A744">
        <f>IF(AND(LEN('Providers'!A244)&gt;0,ISNUMBER('Providers'!I244)),1,0)</f>
        <v/>
      </c>
      <c r="B744">
        <f>B743+A744</f>
        <v/>
      </c>
      <c r="C744">
        <f>IF(741&gt;$B$4503,"",MATCH(741-0.5,$B$3:$B$4503,1))</f>
        <v/>
      </c>
      <c r="D744">
        <f>"DEA registration ("&amp;IF(LEN(INDEX('Providers'!$E$4:$E$503,241))=0,"",INDEX('Providers'!$E$4:$E$503,241))&amp;") – "&amp;IF(LEN(INDEX('Providers'!$A$4:$A$503,241))=0,"",INDEX('Providers'!$A$4:$A$503,241))</f>
        <v/>
      </c>
      <c r="E744">
        <f>IF(ISNUMBER(INDEX('Providers'!$I$4:$I$503,241)),TEXT(INDEX('Providers'!$I$4:$I$503,241),"yyyy-mm-dd"),"")</f>
        <v/>
      </c>
      <c r="F744">
        <f>"Registration"</f>
        <v/>
      </c>
      <c r="G744">
        <f>""</f>
        <v/>
      </c>
      <c r="H744">
        <f>"High"</f>
        <v/>
      </c>
      <c r="I744">
        <f>TRIM(IF(LEN(IF(LEN(INDEX('Providers'!$H$4:$H$503,241))=0,"",INDEX('Providers'!$H$4:$H$503,241)))=0,"","DEA no.: "&amp;IF(LEN(INDEX('Providers'!$H$4:$H$503,241))=0,"",INDEX('Providers'!$H$4:$H$503,241))&amp;". ")&amp;IF(LEN(IF(LEN(INDEX('Providers'!$C$4:$C$503,241))=0,"",INDEX('Providers'!$C$4:$C$503,241)))=0,"","NPI: "&amp;IF(LEN(INDEX('Providers'!$C$4:$C$503,241))=0,"",INDEX('Providers'!$C$4:$C$503,241))&amp;". "))</f>
        <v/>
      </c>
      <c r="J744">
        <f>IF(LEN(INDEX('Providers'!$AJ$4:$AJ$503,241))=0,"",INDEX('Providers'!$AJ$4:$AJ$503,241))</f>
        <v/>
      </c>
      <c r="K744">
        <f>IF(LEN(INDEX('Providers'!$AI$4:$AI$503,241))=0,"",INDEX('Providers'!$AI$4:$AI$503,241))</f>
        <v/>
      </c>
    </row>
    <row r="745">
      <c r="A745">
        <f>IF(AND(LEN('Providers'!A245)&gt;0,ISNUMBER('Providers'!I245)),1,0)</f>
        <v/>
      </c>
      <c r="B745">
        <f>B744+A745</f>
        <v/>
      </c>
      <c r="C745">
        <f>IF(742&gt;$B$4503,"",MATCH(742-0.5,$B$3:$B$4503,1))</f>
        <v/>
      </c>
      <c r="D745">
        <f>"DEA registration ("&amp;IF(LEN(INDEX('Providers'!$E$4:$E$503,242))=0,"",INDEX('Providers'!$E$4:$E$503,242))&amp;") – "&amp;IF(LEN(INDEX('Providers'!$A$4:$A$503,242))=0,"",INDEX('Providers'!$A$4:$A$503,242))</f>
        <v/>
      </c>
      <c r="E745">
        <f>IF(ISNUMBER(INDEX('Providers'!$I$4:$I$503,242)),TEXT(INDEX('Providers'!$I$4:$I$503,242),"yyyy-mm-dd"),"")</f>
        <v/>
      </c>
      <c r="F745">
        <f>"Registration"</f>
        <v/>
      </c>
      <c r="G745">
        <f>""</f>
        <v/>
      </c>
      <c r="H745">
        <f>"High"</f>
        <v/>
      </c>
      <c r="I745">
        <f>TRIM(IF(LEN(IF(LEN(INDEX('Providers'!$H$4:$H$503,242))=0,"",INDEX('Providers'!$H$4:$H$503,242)))=0,"","DEA no.: "&amp;IF(LEN(INDEX('Providers'!$H$4:$H$503,242))=0,"",INDEX('Providers'!$H$4:$H$503,242))&amp;". ")&amp;IF(LEN(IF(LEN(INDEX('Providers'!$C$4:$C$503,242))=0,"",INDEX('Providers'!$C$4:$C$503,242)))=0,"","NPI: "&amp;IF(LEN(INDEX('Providers'!$C$4:$C$503,242))=0,"",INDEX('Providers'!$C$4:$C$503,242))&amp;". "))</f>
        <v/>
      </c>
      <c r="J745">
        <f>IF(LEN(INDEX('Providers'!$AJ$4:$AJ$503,242))=0,"",INDEX('Providers'!$AJ$4:$AJ$503,242))</f>
        <v/>
      </c>
      <c r="K745">
        <f>IF(LEN(INDEX('Providers'!$AI$4:$AI$503,242))=0,"",INDEX('Providers'!$AI$4:$AI$503,242))</f>
        <v/>
      </c>
    </row>
    <row r="746">
      <c r="A746">
        <f>IF(AND(LEN('Providers'!A246)&gt;0,ISNUMBER('Providers'!I246)),1,0)</f>
        <v/>
      </c>
      <c r="B746">
        <f>B745+A746</f>
        <v/>
      </c>
      <c r="C746">
        <f>IF(743&gt;$B$4503,"",MATCH(743-0.5,$B$3:$B$4503,1))</f>
        <v/>
      </c>
      <c r="D746">
        <f>"DEA registration ("&amp;IF(LEN(INDEX('Providers'!$E$4:$E$503,243))=0,"",INDEX('Providers'!$E$4:$E$503,243))&amp;") – "&amp;IF(LEN(INDEX('Providers'!$A$4:$A$503,243))=0,"",INDEX('Providers'!$A$4:$A$503,243))</f>
        <v/>
      </c>
      <c r="E746">
        <f>IF(ISNUMBER(INDEX('Providers'!$I$4:$I$503,243)),TEXT(INDEX('Providers'!$I$4:$I$503,243),"yyyy-mm-dd"),"")</f>
        <v/>
      </c>
      <c r="F746">
        <f>"Registration"</f>
        <v/>
      </c>
      <c r="G746">
        <f>""</f>
        <v/>
      </c>
      <c r="H746">
        <f>"High"</f>
        <v/>
      </c>
      <c r="I746">
        <f>TRIM(IF(LEN(IF(LEN(INDEX('Providers'!$H$4:$H$503,243))=0,"",INDEX('Providers'!$H$4:$H$503,243)))=0,"","DEA no.: "&amp;IF(LEN(INDEX('Providers'!$H$4:$H$503,243))=0,"",INDEX('Providers'!$H$4:$H$503,243))&amp;". ")&amp;IF(LEN(IF(LEN(INDEX('Providers'!$C$4:$C$503,243))=0,"",INDEX('Providers'!$C$4:$C$503,243)))=0,"","NPI: "&amp;IF(LEN(INDEX('Providers'!$C$4:$C$503,243))=0,"",INDEX('Providers'!$C$4:$C$503,243))&amp;". "))</f>
        <v/>
      </c>
      <c r="J746">
        <f>IF(LEN(INDEX('Providers'!$AJ$4:$AJ$503,243))=0,"",INDEX('Providers'!$AJ$4:$AJ$503,243))</f>
        <v/>
      </c>
      <c r="K746">
        <f>IF(LEN(INDEX('Providers'!$AI$4:$AI$503,243))=0,"",INDEX('Providers'!$AI$4:$AI$503,243))</f>
        <v/>
      </c>
    </row>
    <row r="747">
      <c r="A747">
        <f>IF(AND(LEN('Providers'!A247)&gt;0,ISNUMBER('Providers'!I247)),1,0)</f>
        <v/>
      </c>
      <c r="B747">
        <f>B746+A747</f>
        <v/>
      </c>
      <c r="C747">
        <f>IF(744&gt;$B$4503,"",MATCH(744-0.5,$B$3:$B$4503,1))</f>
        <v/>
      </c>
      <c r="D747">
        <f>"DEA registration ("&amp;IF(LEN(INDEX('Providers'!$E$4:$E$503,244))=0,"",INDEX('Providers'!$E$4:$E$503,244))&amp;") – "&amp;IF(LEN(INDEX('Providers'!$A$4:$A$503,244))=0,"",INDEX('Providers'!$A$4:$A$503,244))</f>
        <v/>
      </c>
      <c r="E747">
        <f>IF(ISNUMBER(INDEX('Providers'!$I$4:$I$503,244)),TEXT(INDEX('Providers'!$I$4:$I$503,244),"yyyy-mm-dd"),"")</f>
        <v/>
      </c>
      <c r="F747">
        <f>"Registration"</f>
        <v/>
      </c>
      <c r="G747">
        <f>""</f>
        <v/>
      </c>
      <c r="H747">
        <f>"High"</f>
        <v/>
      </c>
      <c r="I747">
        <f>TRIM(IF(LEN(IF(LEN(INDEX('Providers'!$H$4:$H$503,244))=0,"",INDEX('Providers'!$H$4:$H$503,244)))=0,"","DEA no.: "&amp;IF(LEN(INDEX('Providers'!$H$4:$H$503,244))=0,"",INDEX('Providers'!$H$4:$H$503,244))&amp;". ")&amp;IF(LEN(IF(LEN(INDEX('Providers'!$C$4:$C$503,244))=0,"",INDEX('Providers'!$C$4:$C$503,244)))=0,"","NPI: "&amp;IF(LEN(INDEX('Providers'!$C$4:$C$503,244))=0,"",INDEX('Providers'!$C$4:$C$503,244))&amp;". "))</f>
        <v/>
      </c>
      <c r="J747">
        <f>IF(LEN(INDEX('Providers'!$AJ$4:$AJ$503,244))=0,"",INDEX('Providers'!$AJ$4:$AJ$503,244))</f>
        <v/>
      </c>
      <c r="K747">
        <f>IF(LEN(INDEX('Providers'!$AI$4:$AI$503,244))=0,"",INDEX('Providers'!$AI$4:$AI$503,244))</f>
        <v/>
      </c>
    </row>
    <row r="748">
      <c r="A748">
        <f>IF(AND(LEN('Providers'!A248)&gt;0,ISNUMBER('Providers'!I248)),1,0)</f>
        <v/>
      </c>
      <c r="B748">
        <f>B747+A748</f>
        <v/>
      </c>
      <c r="C748">
        <f>IF(745&gt;$B$4503,"",MATCH(745-0.5,$B$3:$B$4503,1))</f>
        <v/>
      </c>
      <c r="D748">
        <f>"DEA registration ("&amp;IF(LEN(INDEX('Providers'!$E$4:$E$503,245))=0,"",INDEX('Providers'!$E$4:$E$503,245))&amp;") – "&amp;IF(LEN(INDEX('Providers'!$A$4:$A$503,245))=0,"",INDEX('Providers'!$A$4:$A$503,245))</f>
        <v/>
      </c>
      <c r="E748">
        <f>IF(ISNUMBER(INDEX('Providers'!$I$4:$I$503,245)),TEXT(INDEX('Providers'!$I$4:$I$503,245),"yyyy-mm-dd"),"")</f>
        <v/>
      </c>
      <c r="F748">
        <f>"Registration"</f>
        <v/>
      </c>
      <c r="G748">
        <f>""</f>
        <v/>
      </c>
      <c r="H748">
        <f>"High"</f>
        <v/>
      </c>
      <c r="I748">
        <f>TRIM(IF(LEN(IF(LEN(INDEX('Providers'!$H$4:$H$503,245))=0,"",INDEX('Providers'!$H$4:$H$503,245)))=0,"","DEA no.: "&amp;IF(LEN(INDEX('Providers'!$H$4:$H$503,245))=0,"",INDEX('Providers'!$H$4:$H$503,245))&amp;". ")&amp;IF(LEN(IF(LEN(INDEX('Providers'!$C$4:$C$503,245))=0,"",INDEX('Providers'!$C$4:$C$503,245)))=0,"","NPI: "&amp;IF(LEN(INDEX('Providers'!$C$4:$C$503,245))=0,"",INDEX('Providers'!$C$4:$C$503,245))&amp;". "))</f>
        <v/>
      </c>
      <c r="J748">
        <f>IF(LEN(INDEX('Providers'!$AJ$4:$AJ$503,245))=0,"",INDEX('Providers'!$AJ$4:$AJ$503,245))</f>
        <v/>
      </c>
      <c r="K748">
        <f>IF(LEN(INDEX('Providers'!$AI$4:$AI$503,245))=0,"",INDEX('Providers'!$AI$4:$AI$503,245))</f>
        <v/>
      </c>
    </row>
    <row r="749">
      <c r="A749">
        <f>IF(AND(LEN('Providers'!A249)&gt;0,ISNUMBER('Providers'!I249)),1,0)</f>
        <v/>
      </c>
      <c r="B749">
        <f>B748+A749</f>
        <v/>
      </c>
      <c r="C749">
        <f>IF(746&gt;$B$4503,"",MATCH(746-0.5,$B$3:$B$4503,1))</f>
        <v/>
      </c>
      <c r="D749">
        <f>"DEA registration ("&amp;IF(LEN(INDEX('Providers'!$E$4:$E$503,246))=0,"",INDEX('Providers'!$E$4:$E$503,246))&amp;") – "&amp;IF(LEN(INDEX('Providers'!$A$4:$A$503,246))=0,"",INDEX('Providers'!$A$4:$A$503,246))</f>
        <v/>
      </c>
      <c r="E749">
        <f>IF(ISNUMBER(INDEX('Providers'!$I$4:$I$503,246)),TEXT(INDEX('Providers'!$I$4:$I$503,246),"yyyy-mm-dd"),"")</f>
        <v/>
      </c>
      <c r="F749">
        <f>"Registration"</f>
        <v/>
      </c>
      <c r="G749">
        <f>""</f>
        <v/>
      </c>
      <c r="H749">
        <f>"High"</f>
        <v/>
      </c>
      <c r="I749">
        <f>TRIM(IF(LEN(IF(LEN(INDEX('Providers'!$H$4:$H$503,246))=0,"",INDEX('Providers'!$H$4:$H$503,246)))=0,"","DEA no.: "&amp;IF(LEN(INDEX('Providers'!$H$4:$H$503,246))=0,"",INDEX('Providers'!$H$4:$H$503,246))&amp;". ")&amp;IF(LEN(IF(LEN(INDEX('Providers'!$C$4:$C$503,246))=0,"",INDEX('Providers'!$C$4:$C$503,246)))=0,"","NPI: "&amp;IF(LEN(INDEX('Providers'!$C$4:$C$503,246))=0,"",INDEX('Providers'!$C$4:$C$503,246))&amp;". "))</f>
        <v/>
      </c>
      <c r="J749">
        <f>IF(LEN(INDEX('Providers'!$AJ$4:$AJ$503,246))=0,"",INDEX('Providers'!$AJ$4:$AJ$503,246))</f>
        <v/>
      </c>
      <c r="K749">
        <f>IF(LEN(INDEX('Providers'!$AI$4:$AI$503,246))=0,"",INDEX('Providers'!$AI$4:$AI$503,246))</f>
        <v/>
      </c>
    </row>
    <row r="750">
      <c r="A750">
        <f>IF(AND(LEN('Providers'!A250)&gt;0,ISNUMBER('Providers'!I250)),1,0)</f>
        <v/>
      </c>
      <c r="B750">
        <f>B749+A750</f>
        <v/>
      </c>
      <c r="C750">
        <f>IF(747&gt;$B$4503,"",MATCH(747-0.5,$B$3:$B$4503,1))</f>
        <v/>
      </c>
      <c r="D750">
        <f>"DEA registration ("&amp;IF(LEN(INDEX('Providers'!$E$4:$E$503,247))=0,"",INDEX('Providers'!$E$4:$E$503,247))&amp;") – "&amp;IF(LEN(INDEX('Providers'!$A$4:$A$503,247))=0,"",INDEX('Providers'!$A$4:$A$503,247))</f>
        <v/>
      </c>
      <c r="E750">
        <f>IF(ISNUMBER(INDEX('Providers'!$I$4:$I$503,247)),TEXT(INDEX('Providers'!$I$4:$I$503,247),"yyyy-mm-dd"),"")</f>
        <v/>
      </c>
      <c r="F750">
        <f>"Registration"</f>
        <v/>
      </c>
      <c r="G750">
        <f>""</f>
        <v/>
      </c>
      <c r="H750">
        <f>"High"</f>
        <v/>
      </c>
      <c r="I750">
        <f>TRIM(IF(LEN(IF(LEN(INDEX('Providers'!$H$4:$H$503,247))=0,"",INDEX('Providers'!$H$4:$H$503,247)))=0,"","DEA no.: "&amp;IF(LEN(INDEX('Providers'!$H$4:$H$503,247))=0,"",INDEX('Providers'!$H$4:$H$503,247))&amp;". ")&amp;IF(LEN(IF(LEN(INDEX('Providers'!$C$4:$C$503,247))=0,"",INDEX('Providers'!$C$4:$C$503,247)))=0,"","NPI: "&amp;IF(LEN(INDEX('Providers'!$C$4:$C$503,247))=0,"",INDEX('Providers'!$C$4:$C$503,247))&amp;". "))</f>
        <v/>
      </c>
      <c r="J750">
        <f>IF(LEN(INDEX('Providers'!$AJ$4:$AJ$503,247))=0,"",INDEX('Providers'!$AJ$4:$AJ$503,247))</f>
        <v/>
      </c>
      <c r="K750">
        <f>IF(LEN(INDEX('Providers'!$AI$4:$AI$503,247))=0,"",INDEX('Providers'!$AI$4:$AI$503,247))</f>
        <v/>
      </c>
    </row>
    <row r="751">
      <c r="A751">
        <f>IF(AND(LEN('Providers'!A251)&gt;0,ISNUMBER('Providers'!I251)),1,0)</f>
        <v/>
      </c>
      <c r="B751">
        <f>B750+A751</f>
        <v/>
      </c>
      <c r="C751">
        <f>IF(748&gt;$B$4503,"",MATCH(748-0.5,$B$3:$B$4503,1))</f>
        <v/>
      </c>
      <c r="D751">
        <f>"DEA registration ("&amp;IF(LEN(INDEX('Providers'!$E$4:$E$503,248))=0,"",INDEX('Providers'!$E$4:$E$503,248))&amp;") – "&amp;IF(LEN(INDEX('Providers'!$A$4:$A$503,248))=0,"",INDEX('Providers'!$A$4:$A$503,248))</f>
        <v/>
      </c>
      <c r="E751">
        <f>IF(ISNUMBER(INDEX('Providers'!$I$4:$I$503,248)),TEXT(INDEX('Providers'!$I$4:$I$503,248),"yyyy-mm-dd"),"")</f>
        <v/>
      </c>
      <c r="F751">
        <f>"Registration"</f>
        <v/>
      </c>
      <c r="G751">
        <f>""</f>
        <v/>
      </c>
      <c r="H751">
        <f>"High"</f>
        <v/>
      </c>
      <c r="I751">
        <f>TRIM(IF(LEN(IF(LEN(INDEX('Providers'!$H$4:$H$503,248))=0,"",INDEX('Providers'!$H$4:$H$503,248)))=0,"","DEA no.: "&amp;IF(LEN(INDEX('Providers'!$H$4:$H$503,248))=0,"",INDEX('Providers'!$H$4:$H$503,248))&amp;". ")&amp;IF(LEN(IF(LEN(INDEX('Providers'!$C$4:$C$503,248))=0,"",INDEX('Providers'!$C$4:$C$503,248)))=0,"","NPI: "&amp;IF(LEN(INDEX('Providers'!$C$4:$C$503,248))=0,"",INDEX('Providers'!$C$4:$C$503,248))&amp;". "))</f>
        <v/>
      </c>
      <c r="J751">
        <f>IF(LEN(INDEX('Providers'!$AJ$4:$AJ$503,248))=0,"",INDEX('Providers'!$AJ$4:$AJ$503,248))</f>
        <v/>
      </c>
      <c r="K751">
        <f>IF(LEN(INDEX('Providers'!$AI$4:$AI$503,248))=0,"",INDEX('Providers'!$AI$4:$AI$503,248))</f>
        <v/>
      </c>
    </row>
    <row r="752">
      <c r="A752">
        <f>IF(AND(LEN('Providers'!A252)&gt;0,ISNUMBER('Providers'!I252)),1,0)</f>
        <v/>
      </c>
      <c r="B752">
        <f>B751+A752</f>
        <v/>
      </c>
      <c r="C752">
        <f>IF(749&gt;$B$4503,"",MATCH(749-0.5,$B$3:$B$4503,1))</f>
        <v/>
      </c>
      <c r="D752">
        <f>"DEA registration ("&amp;IF(LEN(INDEX('Providers'!$E$4:$E$503,249))=0,"",INDEX('Providers'!$E$4:$E$503,249))&amp;") – "&amp;IF(LEN(INDEX('Providers'!$A$4:$A$503,249))=0,"",INDEX('Providers'!$A$4:$A$503,249))</f>
        <v/>
      </c>
      <c r="E752">
        <f>IF(ISNUMBER(INDEX('Providers'!$I$4:$I$503,249)),TEXT(INDEX('Providers'!$I$4:$I$503,249),"yyyy-mm-dd"),"")</f>
        <v/>
      </c>
      <c r="F752">
        <f>"Registration"</f>
        <v/>
      </c>
      <c r="G752">
        <f>""</f>
        <v/>
      </c>
      <c r="H752">
        <f>"High"</f>
        <v/>
      </c>
      <c r="I752">
        <f>TRIM(IF(LEN(IF(LEN(INDEX('Providers'!$H$4:$H$503,249))=0,"",INDEX('Providers'!$H$4:$H$503,249)))=0,"","DEA no.: "&amp;IF(LEN(INDEX('Providers'!$H$4:$H$503,249))=0,"",INDEX('Providers'!$H$4:$H$503,249))&amp;". ")&amp;IF(LEN(IF(LEN(INDEX('Providers'!$C$4:$C$503,249))=0,"",INDEX('Providers'!$C$4:$C$503,249)))=0,"","NPI: "&amp;IF(LEN(INDEX('Providers'!$C$4:$C$503,249))=0,"",INDEX('Providers'!$C$4:$C$503,249))&amp;". "))</f>
        <v/>
      </c>
      <c r="J752">
        <f>IF(LEN(INDEX('Providers'!$AJ$4:$AJ$503,249))=0,"",INDEX('Providers'!$AJ$4:$AJ$503,249))</f>
        <v/>
      </c>
      <c r="K752">
        <f>IF(LEN(INDEX('Providers'!$AI$4:$AI$503,249))=0,"",INDEX('Providers'!$AI$4:$AI$503,249))</f>
        <v/>
      </c>
    </row>
    <row r="753">
      <c r="A753">
        <f>IF(AND(LEN('Providers'!A253)&gt;0,ISNUMBER('Providers'!I253)),1,0)</f>
        <v/>
      </c>
      <c r="B753">
        <f>B752+A753</f>
        <v/>
      </c>
      <c r="C753">
        <f>IF(750&gt;$B$4503,"",MATCH(750-0.5,$B$3:$B$4503,1))</f>
        <v/>
      </c>
      <c r="D753">
        <f>"DEA registration ("&amp;IF(LEN(INDEX('Providers'!$E$4:$E$503,250))=0,"",INDEX('Providers'!$E$4:$E$503,250))&amp;") – "&amp;IF(LEN(INDEX('Providers'!$A$4:$A$503,250))=0,"",INDEX('Providers'!$A$4:$A$503,250))</f>
        <v/>
      </c>
      <c r="E753">
        <f>IF(ISNUMBER(INDEX('Providers'!$I$4:$I$503,250)),TEXT(INDEX('Providers'!$I$4:$I$503,250),"yyyy-mm-dd"),"")</f>
        <v/>
      </c>
      <c r="F753">
        <f>"Registration"</f>
        <v/>
      </c>
      <c r="G753">
        <f>""</f>
        <v/>
      </c>
      <c r="H753">
        <f>"High"</f>
        <v/>
      </c>
      <c r="I753">
        <f>TRIM(IF(LEN(IF(LEN(INDEX('Providers'!$H$4:$H$503,250))=0,"",INDEX('Providers'!$H$4:$H$503,250)))=0,"","DEA no.: "&amp;IF(LEN(INDEX('Providers'!$H$4:$H$503,250))=0,"",INDEX('Providers'!$H$4:$H$503,250))&amp;". ")&amp;IF(LEN(IF(LEN(INDEX('Providers'!$C$4:$C$503,250))=0,"",INDEX('Providers'!$C$4:$C$503,250)))=0,"","NPI: "&amp;IF(LEN(INDEX('Providers'!$C$4:$C$503,250))=0,"",INDEX('Providers'!$C$4:$C$503,250))&amp;". "))</f>
        <v/>
      </c>
      <c r="J753">
        <f>IF(LEN(INDEX('Providers'!$AJ$4:$AJ$503,250))=0,"",INDEX('Providers'!$AJ$4:$AJ$503,250))</f>
        <v/>
      </c>
      <c r="K753">
        <f>IF(LEN(INDEX('Providers'!$AI$4:$AI$503,250))=0,"",INDEX('Providers'!$AI$4:$AI$503,250))</f>
        <v/>
      </c>
    </row>
    <row r="754">
      <c r="A754">
        <f>IF(AND(LEN('Providers'!A254)&gt;0,ISNUMBER('Providers'!I254)),1,0)</f>
        <v/>
      </c>
      <c r="B754">
        <f>B753+A754</f>
        <v/>
      </c>
      <c r="C754">
        <f>IF(751&gt;$B$4503,"",MATCH(751-0.5,$B$3:$B$4503,1))</f>
        <v/>
      </c>
      <c r="D754">
        <f>"DEA registration ("&amp;IF(LEN(INDEX('Providers'!$E$4:$E$503,251))=0,"",INDEX('Providers'!$E$4:$E$503,251))&amp;") – "&amp;IF(LEN(INDEX('Providers'!$A$4:$A$503,251))=0,"",INDEX('Providers'!$A$4:$A$503,251))</f>
        <v/>
      </c>
      <c r="E754">
        <f>IF(ISNUMBER(INDEX('Providers'!$I$4:$I$503,251)),TEXT(INDEX('Providers'!$I$4:$I$503,251),"yyyy-mm-dd"),"")</f>
        <v/>
      </c>
      <c r="F754">
        <f>"Registration"</f>
        <v/>
      </c>
      <c r="G754">
        <f>""</f>
        <v/>
      </c>
      <c r="H754">
        <f>"High"</f>
        <v/>
      </c>
      <c r="I754">
        <f>TRIM(IF(LEN(IF(LEN(INDEX('Providers'!$H$4:$H$503,251))=0,"",INDEX('Providers'!$H$4:$H$503,251)))=0,"","DEA no.: "&amp;IF(LEN(INDEX('Providers'!$H$4:$H$503,251))=0,"",INDEX('Providers'!$H$4:$H$503,251))&amp;". ")&amp;IF(LEN(IF(LEN(INDEX('Providers'!$C$4:$C$503,251))=0,"",INDEX('Providers'!$C$4:$C$503,251)))=0,"","NPI: "&amp;IF(LEN(INDEX('Providers'!$C$4:$C$503,251))=0,"",INDEX('Providers'!$C$4:$C$503,251))&amp;". "))</f>
        <v/>
      </c>
      <c r="J754">
        <f>IF(LEN(INDEX('Providers'!$AJ$4:$AJ$503,251))=0,"",INDEX('Providers'!$AJ$4:$AJ$503,251))</f>
        <v/>
      </c>
      <c r="K754">
        <f>IF(LEN(INDEX('Providers'!$AI$4:$AI$503,251))=0,"",INDEX('Providers'!$AI$4:$AI$503,251))</f>
        <v/>
      </c>
    </row>
    <row r="755">
      <c r="A755">
        <f>IF(AND(LEN('Providers'!A255)&gt;0,ISNUMBER('Providers'!I255)),1,0)</f>
        <v/>
      </c>
      <c r="B755">
        <f>B754+A755</f>
        <v/>
      </c>
      <c r="C755">
        <f>IF(752&gt;$B$4503,"",MATCH(752-0.5,$B$3:$B$4503,1))</f>
        <v/>
      </c>
      <c r="D755">
        <f>"DEA registration ("&amp;IF(LEN(INDEX('Providers'!$E$4:$E$503,252))=0,"",INDEX('Providers'!$E$4:$E$503,252))&amp;") – "&amp;IF(LEN(INDEX('Providers'!$A$4:$A$503,252))=0,"",INDEX('Providers'!$A$4:$A$503,252))</f>
        <v/>
      </c>
      <c r="E755">
        <f>IF(ISNUMBER(INDEX('Providers'!$I$4:$I$503,252)),TEXT(INDEX('Providers'!$I$4:$I$503,252),"yyyy-mm-dd"),"")</f>
        <v/>
      </c>
      <c r="F755">
        <f>"Registration"</f>
        <v/>
      </c>
      <c r="G755">
        <f>""</f>
        <v/>
      </c>
      <c r="H755">
        <f>"High"</f>
        <v/>
      </c>
      <c r="I755">
        <f>TRIM(IF(LEN(IF(LEN(INDEX('Providers'!$H$4:$H$503,252))=0,"",INDEX('Providers'!$H$4:$H$503,252)))=0,"","DEA no.: "&amp;IF(LEN(INDEX('Providers'!$H$4:$H$503,252))=0,"",INDEX('Providers'!$H$4:$H$503,252))&amp;". ")&amp;IF(LEN(IF(LEN(INDEX('Providers'!$C$4:$C$503,252))=0,"",INDEX('Providers'!$C$4:$C$503,252)))=0,"","NPI: "&amp;IF(LEN(INDEX('Providers'!$C$4:$C$503,252))=0,"",INDEX('Providers'!$C$4:$C$503,252))&amp;". "))</f>
        <v/>
      </c>
      <c r="J755">
        <f>IF(LEN(INDEX('Providers'!$AJ$4:$AJ$503,252))=0,"",INDEX('Providers'!$AJ$4:$AJ$503,252))</f>
        <v/>
      </c>
      <c r="K755">
        <f>IF(LEN(INDEX('Providers'!$AI$4:$AI$503,252))=0,"",INDEX('Providers'!$AI$4:$AI$503,252))</f>
        <v/>
      </c>
    </row>
    <row r="756">
      <c r="A756">
        <f>IF(AND(LEN('Providers'!A256)&gt;0,ISNUMBER('Providers'!I256)),1,0)</f>
        <v/>
      </c>
      <c r="B756">
        <f>B755+A756</f>
        <v/>
      </c>
      <c r="C756">
        <f>IF(753&gt;$B$4503,"",MATCH(753-0.5,$B$3:$B$4503,1))</f>
        <v/>
      </c>
      <c r="D756">
        <f>"DEA registration ("&amp;IF(LEN(INDEX('Providers'!$E$4:$E$503,253))=0,"",INDEX('Providers'!$E$4:$E$503,253))&amp;") – "&amp;IF(LEN(INDEX('Providers'!$A$4:$A$503,253))=0,"",INDEX('Providers'!$A$4:$A$503,253))</f>
        <v/>
      </c>
      <c r="E756">
        <f>IF(ISNUMBER(INDEX('Providers'!$I$4:$I$503,253)),TEXT(INDEX('Providers'!$I$4:$I$503,253),"yyyy-mm-dd"),"")</f>
        <v/>
      </c>
      <c r="F756">
        <f>"Registration"</f>
        <v/>
      </c>
      <c r="G756">
        <f>""</f>
        <v/>
      </c>
      <c r="H756">
        <f>"High"</f>
        <v/>
      </c>
      <c r="I756">
        <f>TRIM(IF(LEN(IF(LEN(INDEX('Providers'!$H$4:$H$503,253))=0,"",INDEX('Providers'!$H$4:$H$503,253)))=0,"","DEA no.: "&amp;IF(LEN(INDEX('Providers'!$H$4:$H$503,253))=0,"",INDEX('Providers'!$H$4:$H$503,253))&amp;". ")&amp;IF(LEN(IF(LEN(INDEX('Providers'!$C$4:$C$503,253))=0,"",INDEX('Providers'!$C$4:$C$503,253)))=0,"","NPI: "&amp;IF(LEN(INDEX('Providers'!$C$4:$C$503,253))=0,"",INDEX('Providers'!$C$4:$C$503,253))&amp;". "))</f>
        <v/>
      </c>
      <c r="J756">
        <f>IF(LEN(INDEX('Providers'!$AJ$4:$AJ$503,253))=0,"",INDEX('Providers'!$AJ$4:$AJ$503,253))</f>
        <v/>
      </c>
      <c r="K756">
        <f>IF(LEN(INDEX('Providers'!$AI$4:$AI$503,253))=0,"",INDEX('Providers'!$AI$4:$AI$503,253))</f>
        <v/>
      </c>
    </row>
    <row r="757">
      <c r="A757">
        <f>IF(AND(LEN('Providers'!A257)&gt;0,ISNUMBER('Providers'!I257)),1,0)</f>
        <v/>
      </c>
      <c r="B757">
        <f>B756+A757</f>
        <v/>
      </c>
      <c r="C757">
        <f>IF(754&gt;$B$4503,"",MATCH(754-0.5,$B$3:$B$4503,1))</f>
        <v/>
      </c>
      <c r="D757">
        <f>"DEA registration ("&amp;IF(LEN(INDEX('Providers'!$E$4:$E$503,254))=0,"",INDEX('Providers'!$E$4:$E$503,254))&amp;") – "&amp;IF(LEN(INDEX('Providers'!$A$4:$A$503,254))=0,"",INDEX('Providers'!$A$4:$A$503,254))</f>
        <v/>
      </c>
      <c r="E757">
        <f>IF(ISNUMBER(INDEX('Providers'!$I$4:$I$503,254)),TEXT(INDEX('Providers'!$I$4:$I$503,254),"yyyy-mm-dd"),"")</f>
        <v/>
      </c>
      <c r="F757">
        <f>"Registration"</f>
        <v/>
      </c>
      <c r="G757">
        <f>""</f>
        <v/>
      </c>
      <c r="H757">
        <f>"High"</f>
        <v/>
      </c>
      <c r="I757">
        <f>TRIM(IF(LEN(IF(LEN(INDEX('Providers'!$H$4:$H$503,254))=0,"",INDEX('Providers'!$H$4:$H$503,254)))=0,"","DEA no.: "&amp;IF(LEN(INDEX('Providers'!$H$4:$H$503,254))=0,"",INDEX('Providers'!$H$4:$H$503,254))&amp;". ")&amp;IF(LEN(IF(LEN(INDEX('Providers'!$C$4:$C$503,254))=0,"",INDEX('Providers'!$C$4:$C$503,254)))=0,"","NPI: "&amp;IF(LEN(INDEX('Providers'!$C$4:$C$503,254))=0,"",INDEX('Providers'!$C$4:$C$503,254))&amp;". "))</f>
        <v/>
      </c>
      <c r="J757">
        <f>IF(LEN(INDEX('Providers'!$AJ$4:$AJ$503,254))=0,"",INDEX('Providers'!$AJ$4:$AJ$503,254))</f>
        <v/>
      </c>
      <c r="K757">
        <f>IF(LEN(INDEX('Providers'!$AI$4:$AI$503,254))=0,"",INDEX('Providers'!$AI$4:$AI$503,254))</f>
        <v/>
      </c>
    </row>
    <row r="758">
      <c r="A758">
        <f>IF(AND(LEN('Providers'!A258)&gt;0,ISNUMBER('Providers'!I258)),1,0)</f>
        <v/>
      </c>
      <c r="B758">
        <f>B757+A758</f>
        <v/>
      </c>
      <c r="C758">
        <f>IF(755&gt;$B$4503,"",MATCH(755-0.5,$B$3:$B$4503,1))</f>
        <v/>
      </c>
      <c r="D758">
        <f>"DEA registration ("&amp;IF(LEN(INDEX('Providers'!$E$4:$E$503,255))=0,"",INDEX('Providers'!$E$4:$E$503,255))&amp;") – "&amp;IF(LEN(INDEX('Providers'!$A$4:$A$503,255))=0,"",INDEX('Providers'!$A$4:$A$503,255))</f>
        <v/>
      </c>
      <c r="E758">
        <f>IF(ISNUMBER(INDEX('Providers'!$I$4:$I$503,255)),TEXT(INDEX('Providers'!$I$4:$I$503,255),"yyyy-mm-dd"),"")</f>
        <v/>
      </c>
      <c r="F758">
        <f>"Registration"</f>
        <v/>
      </c>
      <c r="G758">
        <f>""</f>
        <v/>
      </c>
      <c r="H758">
        <f>"High"</f>
        <v/>
      </c>
      <c r="I758">
        <f>TRIM(IF(LEN(IF(LEN(INDEX('Providers'!$H$4:$H$503,255))=0,"",INDEX('Providers'!$H$4:$H$503,255)))=0,"","DEA no.: "&amp;IF(LEN(INDEX('Providers'!$H$4:$H$503,255))=0,"",INDEX('Providers'!$H$4:$H$503,255))&amp;". ")&amp;IF(LEN(IF(LEN(INDEX('Providers'!$C$4:$C$503,255))=0,"",INDEX('Providers'!$C$4:$C$503,255)))=0,"","NPI: "&amp;IF(LEN(INDEX('Providers'!$C$4:$C$503,255))=0,"",INDEX('Providers'!$C$4:$C$503,255))&amp;". "))</f>
        <v/>
      </c>
      <c r="J758">
        <f>IF(LEN(INDEX('Providers'!$AJ$4:$AJ$503,255))=0,"",INDEX('Providers'!$AJ$4:$AJ$503,255))</f>
        <v/>
      </c>
      <c r="K758">
        <f>IF(LEN(INDEX('Providers'!$AI$4:$AI$503,255))=0,"",INDEX('Providers'!$AI$4:$AI$503,255))</f>
        <v/>
      </c>
    </row>
    <row r="759">
      <c r="A759">
        <f>IF(AND(LEN('Providers'!A259)&gt;0,ISNUMBER('Providers'!I259)),1,0)</f>
        <v/>
      </c>
      <c r="B759">
        <f>B758+A759</f>
        <v/>
      </c>
      <c r="C759">
        <f>IF(756&gt;$B$4503,"",MATCH(756-0.5,$B$3:$B$4503,1))</f>
        <v/>
      </c>
      <c r="D759">
        <f>"DEA registration ("&amp;IF(LEN(INDEX('Providers'!$E$4:$E$503,256))=0,"",INDEX('Providers'!$E$4:$E$503,256))&amp;") – "&amp;IF(LEN(INDEX('Providers'!$A$4:$A$503,256))=0,"",INDEX('Providers'!$A$4:$A$503,256))</f>
        <v/>
      </c>
      <c r="E759">
        <f>IF(ISNUMBER(INDEX('Providers'!$I$4:$I$503,256)),TEXT(INDEX('Providers'!$I$4:$I$503,256),"yyyy-mm-dd"),"")</f>
        <v/>
      </c>
      <c r="F759">
        <f>"Registration"</f>
        <v/>
      </c>
      <c r="G759">
        <f>""</f>
        <v/>
      </c>
      <c r="H759">
        <f>"High"</f>
        <v/>
      </c>
      <c r="I759">
        <f>TRIM(IF(LEN(IF(LEN(INDEX('Providers'!$H$4:$H$503,256))=0,"",INDEX('Providers'!$H$4:$H$503,256)))=0,"","DEA no.: "&amp;IF(LEN(INDEX('Providers'!$H$4:$H$503,256))=0,"",INDEX('Providers'!$H$4:$H$503,256))&amp;". ")&amp;IF(LEN(IF(LEN(INDEX('Providers'!$C$4:$C$503,256))=0,"",INDEX('Providers'!$C$4:$C$503,256)))=0,"","NPI: "&amp;IF(LEN(INDEX('Providers'!$C$4:$C$503,256))=0,"",INDEX('Providers'!$C$4:$C$503,256))&amp;". "))</f>
        <v/>
      </c>
      <c r="J759">
        <f>IF(LEN(INDEX('Providers'!$AJ$4:$AJ$503,256))=0,"",INDEX('Providers'!$AJ$4:$AJ$503,256))</f>
        <v/>
      </c>
      <c r="K759">
        <f>IF(LEN(INDEX('Providers'!$AI$4:$AI$503,256))=0,"",INDEX('Providers'!$AI$4:$AI$503,256))</f>
        <v/>
      </c>
    </row>
    <row r="760">
      <c r="A760">
        <f>IF(AND(LEN('Providers'!A260)&gt;0,ISNUMBER('Providers'!I260)),1,0)</f>
        <v/>
      </c>
      <c r="B760">
        <f>B759+A760</f>
        <v/>
      </c>
      <c r="C760">
        <f>IF(757&gt;$B$4503,"",MATCH(757-0.5,$B$3:$B$4503,1))</f>
        <v/>
      </c>
      <c r="D760">
        <f>"DEA registration ("&amp;IF(LEN(INDEX('Providers'!$E$4:$E$503,257))=0,"",INDEX('Providers'!$E$4:$E$503,257))&amp;") – "&amp;IF(LEN(INDEX('Providers'!$A$4:$A$503,257))=0,"",INDEX('Providers'!$A$4:$A$503,257))</f>
        <v/>
      </c>
      <c r="E760">
        <f>IF(ISNUMBER(INDEX('Providers'!$I$4:$I$503,257)),TEXT(INDEX('Providers'!$I$4:$I$503,257),"yyyy-mm-dd"),"")</f>
        <v/>
      </c>
      <c r="F760">
        <f>"Registration"</f>
        <v/>
      </c>
      <c r="G760">
        <f>""</f>
        <v/>
      </c>
      <c r="H760">
        <f>"High"</f>
        <v/>
      </c>
      <c r="I760">
        <f>TRIM(IF(LEN(IF(LEN(INDEX('Providers'!$H$4:$H$503,257))=0,"",INDEX('Providers'!$H$4:$H$503,257)))=0,"","DEA no.: "&amp;IF(LEN(INDEX('Providers'!$H$4:$H$503,257))=0,"",INDEX('Providers'!$H$4:$H$503,257))&amp;". ")&amp;IF(LEN(IF(LEN(INDEX('Providers'!$C$4:$C$503,257))=0,"",INDEX('Providers'!$C$4:$C$503,257)))=0,"","NPI: "&amp;IF(LEN(INDEX('Providers'!$C$4:$C$503,257))=0,"",INDEX('Providers'!$C$4:$C$503,257))&amp;". "))</f>
        <v/>
      </c>
      <c r="J760">
        <f>IF(LEN(INDEX('Providers'!$AJ$4:$AJ$503,257))=0,"",INDEX('Providers'!$AJ$4:$AJ$503,257))</f>
        <v/>
      </c>
      <c r="K760">
        <f>IF(LEN(INDEX('Providers'!$AI$4:$AI$503,257))=0,"",INDEX('Providers'!$AI$4:$AI$503,257))</f>
        <v/>
      </c>
    </row>
    <row r="761">
      <c r="A761">
        <f>IF(AND(LEN('Providers'!A261)&gt;0,ISNUMBER('Providers'!I261)),1,0)</f>
        <v/>
      </c>
      <c r="B761">
        <f>B760+A761</f>
        <v/>
      </c>
      <c r="C761">
        <f>IF(758&gt;$B$4503,"",MATCH(758-0.5,$B$3:$B$4503,1))</f>
        <v/>
      </c>
      <c r="D761">
        <f>"DEA registration ("&amp;IF(LEN(INDEX('Providers'!$E$4:$E$503,258))=0,"",INDEX('Providers'!$E$4:$E$503,258))&amp;") – "&amp;IF(LEN(INDEX('Providers'!$A$4:$A$503,258))=0,"",INDEX('Providers'!$A$4:$A$503,258))</f>
        <v/>
      </c>
      <c r="E761">
        <f>IF(ISNUMBER(INDEX('Providers'!$I$4:$I$503,258)),TEXT(INDEX('Providers'!$I$4:$I$503,258),"yyyy-mm-dd"),"")</f>
        <v/>
      </c>
      <c r="F761">
        <f>"Registration"</f>
        <v/>
      </c>
      <c r="G761">
        <f>""</f>
        <v/>
      </c>
      <c r="H761">
        <f>"High"</f>
        <v/>
      </c>
      <c r="I761">
        <f>TRIM(IF(LEN(IF(LEN(INDEX('Providers'!$H$4:$H$503,258))=0,"",INDEX('Providers'!$H$4:$H$503,258)))=0,"","DEA no.: "&amp;IF(LEN(INDEX('Providers'!$H$4:$H$503,258))=0,"",INDEX('Providers'!$H$4:$H$503,258))&amp;". ")&amp;IF(LEN(IF(LEN(INDEX('Providers'!$C$4:$C$503,258))=0,"",INDEX('Providers'!$C$4:$C$503,258)))=0,"","NPI: "&amp;IF(LEN(INDEX('Providers'!$C$4:$C$503,258))=0,"",INDEX('Providers'!$C$4:$C$503,258))&amp;". "))</f>
        <v/>
      </c>
      <c r="J761">
        <f>IF(LEN(INDEX('Providers'!$AJ$4:$AJ$503,258))=0,"",INDEX('Providers'!$AJ$4:$AJ$503,258))</f>
        <v/>
      </c>
      <c r="K761">
        <f>IF(LEN(INDEX('Providers'!$AI$4:$AI$503,258))=0,"",INDEX('Providers'!$AI$4:$AI$503,258))</f>
        <v/>
      </c>
    </row>
    <row r="762">
      <c r="A762">
        <f>IF(AND(LEN('Providers'!A262)&gt;0,ISNUMBER('Providers'!I262)),1,0)</f>
        <v/>
      </c>
      <c r="B762">
        <f>B761+A762</f>
        <v/>
      </c>
      <c r="C762">
        <f>IF(759&gt;$B$4503,"",MATCH(759-0.5,$B$3:$B$4503,1))</f>
        <v/>
      </c>
      <c r="D762">
        <f>"DEA registration ("&amp;IF(LEN(INDEX('Providers'!$E$4:$E$503,259))=0,"",INDEX('Providers'!$E$4:$E$503,259))&amp;") – "&amp;IF(LEN(INDEX('Providers'!$A$4:$A$503,259))=0,"",INDEX('Providers'!$A$4:$A$503,259))</f>
        <v/>
      </c>
      <c r="E762">
        <f>IF(ISNUMBER(INDEX('Providers'!$I$4:$I$503,259)),TEXT(INDEX('Providers'!$I$4:$I$503,259),"yyyy-mm-dd"),"")</f>
        <v/>
      </c>
      <c r="F762">
        <f>"Registration"</f>
        <v/>
      </c>
      <c r="G762">
        <f>""</f>
        <v/>
      </c>
      <c r="H762">
        <f>"High"</f>
        <v/>
      </c>
      <c r="I762">
        <f>TRIM(IF(LEN(IF(LEN(INDEX('Providers'!$H$4:$H$503,259))=0,"",INDEX('Providers'!$H$4:$H$503,259)))=0,"","DEA no.: "&amp;IF(LEN(INDEX('Providers'!$H$4:$H$503,259))=0,"",INDEX('Providers'!$H$4:$H$503,259))&amp;". ")&amp;IF(LEN(IF(LEN(INDEX('Providers'!$C$4:$C$503,259))=0,"",INDEX('Providers'!$C$4:$C$503,259)))=0,"","NPI: "&amp;IF(LEN(INDEX('Providers'!$C$4:$C$503,259))=0,"",INDEX('Providers'!$C$4:$C$503,259))&amp;". "))</f>
        <v/>
      </c>
      <c r="J762">
        <f>IF(LEN(INDEX('Providers'!$AJ$4:$AJ$503,259))=0,"",INDEX('Providers'!$AJ$4:$AJ$503,259))</f>
        <v/>
      </c>
      <c r="K762">
        <f>IF(LEN(INDEX('Providers'!$AI$4:$AI$503,259))=0,"",INDEX('Providers'!$AI$4:$AI$503,259))</f>
        <v/>
      </c>
    </row>
    <row r="763">
      <c r="A763">
        <f>IF(AND(LEN('Providers'!A263)&gt;0,ISNUMBER('Providers'!I263)),1,0)</f>
        <v/>
      </c>
      <c r="B763">
        <f>B762+A763</f>
        <v/>
      </c>
      <c r="C763">
        <f>IF(760&gt;$B$4503,"",MATCH(760-0.5,$B$3:$B$4503,1))</f>
        <v/>
      </c>
      <c r="D763">
        <f>"DEA registration ("&amp;IF(LEN(INDEX('Providers'!$E$4:$E$503,260))=0,"",INDEX('Providers'!$E$4:$E$503,260))&amp;") – "&amp;IF(LEN(INDEX('Providers'!$A$4:$A$503,260))=0,"",INDEX('Providers'!$A$4:$A$503,260))</f>
        <v/>
      </c>
      <c r="E763">
        <f>IF(ISNUMBER(INDEX('Providers'!$I$4:$I$503,260)),TEXT(INDEX('Providers'!$I$4:$I$503,260),"yyyy-mm-dd"),"")</f>
        <v/>
      </c>
      <c r="F763">
        <f>"Registration"</f>
        <v/>
      </c>
      <c r="G763">
        <f>""</f>
        <v/>
      </c>
      <c r="H763">
        <f>"High"</f>
        <v/>
      </c>
      <c r="I763">
        <f>TRIM(IF(LEN(IF(LEN(INDEX('Providers'!$H$4:$H$503,260))=0,"",INDEX('Providers'!$H$4:$H$503,260)))=0,"","DEA no.: "&amp;IF(LEN(INDEX('Providers'!$H$4:$H$503,260))=0,"",INDEX('Providers'!$H$4:$H$503,260))&amp;". ")&amp;IF(LEN(IF(LEN(INDEX('Providers'!$C$4:$C$503,260))=0,"",INDEX('Providers'!$C$4:$C$503,260)))=0,"","NPI: "&amp;IF(LEN(INDEX('Providers'!$C$4:$C$503,260))=0,"",INDEX('Providers'!$C$4:$C$503,260))&amp;". "))</f>
        <v/>
      </c>
      <c r="J763">
        <f>IF(LEN(INDEX('Providers'!$AJ$4:$AJ$503,260))=0,"",INDEX('Providers'!$AJ$4:$AJ$503,260))</f>
        <v/>
      </c>
      <c r="K763">
        <f>IF(LEN(INDEX('Providers'!$AI$4:$AI$503,260))=0,"",INDEX('Providers'!$AI$4:$AI$503,260))</f>
        <v/>
      </c>
    </row>
    <row r="764">
      <c r="A764">
        <f>IF(AND(LEN('Providers'!A264)&gt;0,ISNUMBER('Providers'!I264)),1,0)</f>
        <v/>
      </c>
      <c r="B764">
        <f>B763+A764</f>
        <v/>
      </c>
      <c r="C764">
        <f>IF(761&gt;$B$4503,"",MATCH(761-0.5,$B$3:$B$4503,1))</f>
        <v/>
      </c>
      <c r="D764">
        <f>"DEA registration ("&amp;IF(LEN(INDEX('Providers'!$E$4:$E$503,261))=0,"",INDEX('Providers'!$E$4:$E$503,261))&amp;") – "&amp;IF(LEN(INDEX('Providers'!$A$4:$A$503,261))=0,"",INDEX('Providers'!$A$4:$A$503,261))</f>
        <v/>
      </c>
      <c r="E764">
        <f>IF(ISNUMBER(INDEX('Providers'!$I$4:$I$503,261)),TEXT(INDEX('Providers'!$I$4:$I$503,261),"yyyy-mm-dd"),"")</f>
        <v/>
      </c>
      <c r="F764">
        <f>"Registration"</f>
        <v/>
      </c>
      <c r="G764">
        <f>""</f>
        <v/>
      </c>
      <c r="H764">
        <f>"High"</f>
        <v/>
      </c>
      <c r="I764">
        <f>TRIM(IF(LEN(IF(LEN(INDEX('Providers'!$H$4:$H$503,261))=0,"",INDEX('Providers'!$H$4:$H$503,261)))=0,"","DEA no.: "&amp;IF(LEN(INDEX('Providers'!$H$4:$H$503,261))=0,"",INDEX('Providers'!$H$4:$H$503,261))&amp;". ")&amp;IF(LEN(IF(LEN(INDEX('Providers'!$C$4:$C$503,261))=0,"",INDEX('Providers'!$C$4:$C$503,261)))=0,"","NPI: "&amp;IF(LEN(INDEX('Providers'!$C$4:$C$503,261))=0,"",INDEX('Providers'!$C$4:$C$503,261))&amp;". "))</f>
        <v/>
      </c>
      <c r="J764">
        <f>IF(LEN(INDEX('Providers'!$AJ$4:$AJ$503,261))=0,"",INDEX('Providers'!$AJ$4:$AJ$503,261))</f>
        <v/>
      </c>
      <c r="K764">
        <f>IF(LEN(INDEX('Providers'!$AI$4:$AI$503,261))=0,"",INDEX('Providers'!$AI$4:$AI$503,261))</f>
        <v/>
      </c>
    </row>
    <row r="765">
      <c r="A765">
        <f>IF(AND(LEN('Providers'!A265)&gt;0,ISNUMBER('Providers'!I265)),1,0)</f>
        <v/>
      </c>
      <c r="B765">
        <f>B764+A765</f>
        <v/>
      </c>
      <c r="C765">
        <f>IF(762&gt;$B$4503,"",MATCH(762-0.5,$B$3:$B$4503,1))</f>
        <v/>
      </c>
      <c r="D765">
        <f>"DEA registration ("&amp;IF(LEN(INDEX('Providers'!$E$4:$E$503,262))=0,"",INDEX('Providers'!$E$4:$E$503,262))&amp;") – "&amp;IF(LEN(INDEX('Providers'!$A$4:$A$503,262))=0,"",INDEX('Providers'!$A$4:$A$503,262))</f>
        <v/>
      </c>
      <c r="E765">
        <f>IF(ISNUMBER(INDEX('Providers'!$I$4:$I$503,262)),TEXT(INDEX('Providers'!$I$4:$I$503,262),"yyyy-mm-dd"),"")</f>
        <v/>
      </c>
      <c r="F765">
        <f>"Registration"</f>
        <v/>
      </c>
      <c r="G765">
        <f>""</f>
        <v/>
      </c>
      <c r="H765">
        <f>"High"</f>
        <v/>
      </c>
      <c r="I765">
        <f>TRIM(IF(LEN(IF(LEN(INDEX('Providers'!$H$4:$H$503,262))=0,"",INDEX('Providers'!$H$4:$H$503,262)))=0,"","DEA no.: "&amp;IF(LEN(INDEX('Providers'!$H$4:$H$503,262))=0,"",INDEX('Providers'!$H$4:$H$503,262))&amp;". ")&amp;IF(LEN(IF(LEN(INDEX('Providers'!$C$4:$C$503,262))=0,"",INDEX('Providers'!$C$4:$C$503,262)))=0,"","NPI: "&amp;IF(LEN(INDEX('Providers'!$C$4:$C$503,262))=0,"",INDEX('Providers'!$C$4:$C$503,262))&amp;". "))</f>
        <v/>
      </c>
      <c r="J765">
        <f>IF(LEN(INDEX('Providers'!$AJ$4:$AJ$503,262))=0,"",INDEX('Providers'!$AJ$4:$AJ$503,262))</f>
        <v/>
      </c>
      <c r="K765">
        <f>IF(LEN(INDEX('Providers'!$AI$4:$AI$503,262))=0,"",INDEX('Providers'!$AI$4:$AI$503,262))</f>
        <v/>
      </c>
    </row>
    <row r="766">
      <c r="A766">
        <f>IF(AND(LEN('Providers'!A266)&gt;0,ISNUMBER('Providers'!I266)),1,0)</f>
        <v/>
      </c>
      <c r="B766">
        <f>B765+A766</f>
        <v/>
      </c>
      <c r="C766">
        <f>IF(763&gt;$B$4503,"",MATCH(763-0.5,$B$3:$B$4503,1))</f>
        <v/>
      </c>
      <c r="D766">
        <f>"DEA registration ("&amp;IF(LEN(INDEX('Providers'!$E$4:$E$503,263))=0,"",INDEX('Providers'!$E$4:$E$503,263))&amp;") – "&amp;IF(LEN(INDEX('Providers'!$A$4:$A$503,263))=0,"",INDEX('Providers'!$A$4:$A$503,263))</f>
        <v/>
      </c>
      <c r="E766">
        <f>IF(ISNUMBER(INDEX('Providers'!$I$4:$I$503,263)),TEXT(INDEX('Providers'!$I$4:$I$503,263),"yyyy-mm-dd"),"")</f>
        <v/>
      </c>
      <c r="F766">
        <f>"Registration"</f>
        <v/>
      </c>
      <c r="G766">
        <f>""</f>
        <v/>
      </c>
      <c r="H766">
        <f>"High"</f>
        <v/>
      </c>
      <c r="I766">
        <f>TRIM(IF(LEN(IF(LEN(INDEX('Providers'!$H$4:$H$503,263))=0,"",INDEX('Providers'!$H$4:$H$503,263)))=0,"","DEA no.: "&amp;IF(LEN(INDEX('Providers'!$H$4:$H$503,263))=0,"",INDEX('Providers'!$H$4:$H$503,263))&amp;". ")&amp;IF(LEN(IF(LEN(INDEX('Providers'!$C$4:$C$503,263))=0,"",INDEX('Providers'!$C$4:$C$503,263)))=0,"","NPI: "&amp;IF(LEN(INDEX('Providers'!$C$4:$C$503,263))=0,"",INDEX('Providers'!$C$4:$C$503,263))&amp;". "))</f>
        <v/>
      </c>
      <c r="J766">
        <f>IF(LEN(INDEX('Providers'!$AJ$4:$AJ$503,263))=0,"",INDEX('Providers'!$AJ$4:$AJ$503,263))</f>
        <v/>
      </c>
      <c r="K766">
        <f>IF(LEN(INDEX('Providers'!$AI$4:$AI$503,263))=0,"",INDEX('Providers'!$AI$4:$AI$503,263))</f>
        <v/>
      </c>
    </row>
    <row r="767">
      <c r="A767">
        <f>IF(AND(LEN('Providers'!A267)&gt;0,ISNUMBER('Providers'!I267)),1,0)</f>
        <v/>
      </c>
      <c r="B767">
        <f>B766+A767</f>
        <v/>
      </c>
      <c r="C767">
        <f>IF(764&gt;$B$4503,"",MATCH(764-0.5,$B$3:$B$4503,1))</f>
        <v/>
      </c>
      <c r="D767">
        <f>"DEA registration ("&amp;IF(LEN(INDEX('Providers'!$E$4:$E$503,264))=0,"",INDEX('Providers'!$E$4:$E$503,264))&amp;") – "&amp;IF(LEN(INDEX('Providers'!$A$4:$A$503,264))=0,"",INDEX('Providers'!$A$4:$A$503,264))</f>
        <v/>
      </c>
      <c r="E767">
        <f>IF(ISNUMBER(INDEX('Providers'!$I$4:$I$503,264)),TEXT(INDEX('Providers'!$I$4:$I$503,264),"yyyy-mm-dd"),"")</f>
        <v/>
      </c>
      <c r="F767">
        <f>"Registration"</f>
        <v/>
      </c>
      <c r="G767">
        <f>""</f>
        <v/>
      </c>
      <c r="H767">
        <f>"High"</f>
        <v/>
      </c>
      <c r="I767">
        <f>TRIM(IF(LEN(IF(LEN(INDEX('Providers'!$H$4:$H$503,264))=0,"",INDEX('Providers'!$H$4:$H$503,264)))=0,"","DEA no.: "&amp;IF(LEN(INDEX('Providers'!$H$4:$H$503,264))=0,"",INDEX('Providers'!$H$4:$H$503,264))&amp;". ")&amp;IF(LEN(IF(LEN(INDEX('Providers'!$C$4:$C$503,264))=0,"",INDEX('Providers'!$C$4:$C$503,264)))=0,"","NPI: "&amp;IF(LEN(INDEX('Providers'!$C$4:$C$503,264))=0,"",INDEX('Providers'!$C$4:$C$503,264))&amp;". "))</f>
        <v/>
      </c>
      <c r="J767">
        <f>IF(LEN(INDEX('Providers'!$AJ$4:$AJ$503,264))=0,"",INDEX('Providers'!$AJ$4:$AJ$503,264))</f>
        <v/>
      </c>
      <c r="K767">
        <f>IF(LEN(INDEX('Providers'!$AI$4:$AI$503,264))=0,"",INDEX('Providers'!$AI$4:$AI$503,264))</f>
        <v/>
      </c>
    </row>
    <row r="768">
      <c r="A768">
        <f>IF(AND(LEN('Providers'!A268)&gt;0,ISNUMBER('Providers'!I268)),1,0)</f>
        <v/>
      </c>
      <c r="B768">
        <f>B767+A768</f>
        <v/>
      </c>
      <c r="C768">
        <f>IF(765&gt;$B$4503,"",MATCH(765-0.5,$B$3:$B$4503,1))</f>
        <v/>
      </c>
      <c r="D768">
        <f>"DEA registration ("&amp;IF(LEN(INDEX('Providers'!$E$4:$E$503,265))=0,"",INDEX('Providers'!$E$4:$E$503,265))&amp;") – "&amp;IF(LEN(INDEX('Providers'!$A$4:$A$503,265))=0,"",INDEX('Providers'!$A$4:$A$503,265))</f>
        <v/>
      </c>
      <c r="E768">
        <f>IF(ISNUMBER(INDEX('Providers'!$I$4:$I$503,265)),TEXT(INDEX('Providers'!$I$4:$I$503,265),"yyyy-mm-dd"),"")</f>
        <v/>
      </c>
      <c r="F768">
        <f>"Registration"</f>
        <v/>
      </c>
      <c r="G768">
        <f>""</f>
        <v/>
      </c>
      <c r="H768">
        <f>"High"</f>
        <v/>
      </c>
      <c r="I768">
        <f>TRIM(IF(LEN(IF(LEN(INDEX('Providers'!$H$4:$H$503,265))=0,"",INDEX('Providers'!$H$4:$H$503,265)))=0,"","DEA no.: "&amp;IF(LEN(INDEX('Providers'!$H$4:$H$503,265))=0,"",INDEX('Providers'!$H$4:$H$503,265))&amp;". ")&amp;IF(LEN(IF(LEN(INDEX('Providers'!$C$4:$C$503,265))=0,"",INDEX('Providers'!$C$4:$C$503,265)))=0,"","NPI: "&amp;IF(LEN(INDEX('Providers'!$C$4:$C$503,265))=0,"",INDEX('Providers'!$C$4:$C$503,265))&amp;". "))</f>
        <v/>
      </c>
      <c r="J768">
        <f>IF(LEN(INDEX('Providers'!$AJ$4:$AJ$503,265))=0,"",INDEX('Providers'!$AJ$4:$AJ$503,265))</f>
        <v/>
      </c>
      <c r="K768">
        <f>IF(LEN(INDEX('Providers'!$AI$4:$AI$503,265))=0,"",INDEX('Providers'!$AI$4:$AI$503,265))</f>
        <v/>
      </c>
    </row>
    <row r="769">
      <c r="A769">
        <f>IF(AND(LEN('Providers'!A269)&gt;0,ISNUMBER('Providers'!I269)),1,0)</f>
        <v/>
      </c>
      <c r="B769">
        <f>B768+A769</f>
        <v/>
      </c>
      <c r="C769">
        <f>IF(766&gt;$B$4503,"",MATCH(766-0.5,$B$3:$B$4503,1))</f>
        <v/>
      </c>
      <c r="D769">
        <f>"DEA registration ("&amp;IF(LEN(INDEX('Providers'!$E$4:$E$503,266))=0,"",INDEX('Providers'!$E$4:$E$503,266))&amp;") – "&amp;IF(LEN(INDEX('Providers'!$A$4:$A$503,266))=0,"",INDEX('Providers'!$A$4:$A$503,266))</f>
        <v/>
      </c>
      <c r="E769">
        <f>IF(ISNUMBER(INDEX('Providers'!$I$4:$I$503,266)),TEXT(INDEX('Providers'!$I$4:$I$503,266),"yyyy-mm-dd"),"")</f>
        <v/>
      </c>
      <c r="F769">
        <f>"Registration"</f>
        <v/>
      </c>
      <c r="G769">
        <f>""</f>
        <v/>
      </c>
      <c r="H769">
        <f>"High"</f>
        <v/>
      </c>
      <c r="I769">
        <f>TRIM(IF(LEN(IF(LEN(INDEX('Providers'!$H$4:$H$503,266))=0,"",INDEX('Providers'!$H$4:$H$503,266)))=0,"","DEA no.: "&amp;IF(LEN(INDEX('Providers'!$H$4:$H$503,266))=0,"",INDEX('Providers'!$H$4:$H$503,266))&amp;". ")&amp;IF(LEN(IF(LEN(INDEX('Providers'!$C$4:$C$503,266))=0,"",INDEX('Providers'!$C$4:$C$503,266)))=0,"","NPI: "&amp;IF(LEN(INDEX('Providers'!$C$4:$C$503,266))=0,"",INDEX('Providers'!$C$4:$C$503,266))&amp;". "))</f>
        <v/>
      </c>
      <c r="J769">
        <f>IF(LEN(INDEX('Providers'!$AJ$4:$AJ$503,266))=0,"",INDEX('Providers'!$AJ$4:$AJ$503,266))</f>
        <v/>
      </c>
      <c r="K769">
        <f>IF(LEN(INDEX('Providers'!$AI$4:$AI$503,266))=0,"",INDEX('Providers'!$AI$4:$AI$503,266))</f>
        <v/>
      </c>
    </row>
    <row r="770">
      <c r="A770">
        <f>IF(AND(LEN('Providers'!A270)&gt;0,ISNUMBER('Providers'!I270)),1,0)</f>
        <v/>
      </c>
      <c r="B770">
        <f>B769+A770</f>
        <v/>
      </c>
      <c r="C770">
        <f>IF(767&gt;$B$4503,"",MATCH(767-0.5,$B$3:$B$4503,1))</f>
        <v/>
      </c>
      <c r="D770">
        <f>"DEA registration ("&amp;IF(LEN(INDEX('Providers'!$E$4:$E$503,267))=0,"",INDEX('Providers'!$E$4:$E$503,267))&amp;") – "&amp;IF(LEN(INDEX('Providers'!$A$4:$A$503,267))=0,"",INDEX('Providers'!$A$4:$A$503,267))</f>
        <v/>
      </c>
      <c r="E770">
        <f>IF(ISNUMBER(INDEX('Providers'!$I$4:$I$503,267)),TEXT(INDEX('Providers'!$I$4:$I$503,267),"yyyy-mm-dd"),"")</f>
        <v/>
      </c>
      <c r="F770">
        <f>"Registration"</f>
        <v/>
      </c>
      <c r="G770">
        <f>""</f>
        <v/>
      </c>
      <c r="H770">
        <f>"High"</f>
        <v/>
      </c>
      <c r="I770">
        <f>TRIM(IF(LEN(IF(LEN(INDEX('Providers'!$H$4:$H$503,267))=0,"",INDEX('Providers'!$H$4:$H$503,267)))=0,"","DEA no.: "&amp;IF(LEN(INDEX('Providers'!$H$4:$H$503,267))=0,"",INDEX('Providers'!$H$4:$H$503,267))&amp;". ")&amp;IF(LEN(IF(LEN(INDEX('Providers'!$C$4:$C$503,267))=0,"",INDEX('Providers'!$C$4:$C$503,267)))=0,"","NPI: "&amp;IF(LEN(INDEX('Providers'!$C$4:$C$503,267))=0,"",INDEX('Providers'!$C$4:$C$503,267))&amp;". "))</f>
        <v/>
      </c>
      <c r="J770">
        <f>IF(LEN(INDEX('Providers'!$AJ$4:$AJ$503,267))=0,"",INDEX('Providers'!$AJ$4:$AJ$503,267))</f>
        <v/>
      </c>
      <c r="K770">
        <f>IF(LEN(INDEX('Providers'!$AI$4:$AI$503,267))=0,"",INDEX('Providers'!$AI$4:$AI$503,267))</f>
        <v/>
      </c>
    </row>
    <row r="771">
      <c r="A771">
        <f>IF(AND(LEN('Providers'!A271)&gt;0,ISNUMBER('Providers'!I271)),1,0)</f>
        <v/>
      </c>
      <c r="B771">
        <f>B770+A771</f>
        <v/>
      </c>
      <c r="C771">
        <f>IF(768&gt;$B$4503,"",MATCH(768-0.5,$B$3:$B$4503,1))</f>
        <v/>
      </c>
      <c r="D771">
        <f>"DEA registration ("&amp;IF(LEN(INDEX('Providers'!$E$4:$E$503,268))=0,"",INDEX('Providers'!$E$4:$E$503,268))&amp;") – "&amp;IF(LEN(INDEX('Providers'!$A$4:$A$503,268))=0,"",INDEX('Providers'!$A$4:$A$503,268))</f>
        <v/>
      </c>
      <c r="E771">
        <f>IF(ISNUMBER(INDEX('Providers'!$I$4:$I$503,268)),TEXT(INDEX('Providers'!$I$4:$I$503,268),"yyyy-mm-dd"),"")</f>
        <v/>
      </c>
      <c r="F771">
        <f>"Registration"</f>
        <v/>
      </c>
      <c r="G771">
        <f>""</f>
        <v/>
      </c>
      <c r="H771">
        <f>"High"</f>
        <v/>
      </c>
      <c r="I771">
        <f>TRIM(IF(LEN(IF(LEN(INDEX('Providers'!$H$4:$H$503,268))=0,"",INDEX('Providers'!$H$4:$H$503,268)))=0,"","DEA no.: "&amp;IF(LEN(INDEX('Providers'!$H$4:$H$503,268))=0,"",INDEX('Providers'!$H$4:$H$503,268))&amp;". ")&amp;IF(LEN(IF(LEN(INDEX('Providers'!$C$4:$C$503,268))=0,"",INDEX('Providers'!$C$4:$C$503,268)))=0,"","NPI: "&amp;IF(LEN(INDEX('Providers'!$C$4:$C$503,268))=0,"",INDEX('Providers'!$C$4:$C$503,268))&amp;". "))</f>
        <v/>
      </c>
      <c r="J771">
        <f>IF(LEN(INDEX('Providers'!$AJ$4:$AJ$503,268))=0,"",INDEX('Providers'!$AJ$4:$AJ$503,268))</f>
        <v/>
      </c>
      <c r="K771">
        <f>IF(LEN(INDEX('Providers'!$AI$4:$AI$503,268))=0,"",INDEX('Providers'!$AI$4:$AI$503,268))</f>
        <v/>
      </c>
    </row>
    <row r="772">
      <c r="A772">
        <f>IF(AND(LEN('Providers'!A272)&gt;0,ISNUMBER('Providers'!I272)),1,0)</f>
        <v/>
      </c>
      <c r="B772">
        <f>B771+A772</f>
        <v/>
      </c>
      <c r="C772">
        <f>IF(769&gt;$B$4503,"",MATCH(769-0.5,$B$3:$B$4503,1))</f>
        <v/>
      </c>
      <c r="D772">
        <f>"DEA registration ("&amp;IF(LEN(INDEX('Providers'!$E$4:$E$503,269))=0,"",INDEX('Providers'!$E$4:$E$503,269))&amp;") – "&amp;IF(LEN(INDEX('Providers'!$A$4:$A$503,269))=0,"",INDEX('Providers'!$A$4:$A$503,269))</f>
        <v/>
      </c>
      <c r="E772">
        <f>IF(ISNUMBER(INDEX('Providers'!$I$4:$I$503,269)),TEXT(INDEX('Providers'!$I$4:$I$503,269),"yyyy-mm-dd"),"")</f>
        <v/>
      </c>
      <c r="F772">
        <f>"Registration"</f>
        <v/>
      </c>
      <c r="G772">
        <f>""</f>
        <v/>
      </c>
      <c r="H772">
        <f>"High"</f>
        <v/>
      </c>
      <c r="I772">
        <f>TRIM(IF(LEN(IF(LEN(INDEX('Providers'!$H$4:$H$503,269))=0,"",INDEX('Providers'!$H$4:$H$503,269)))=0,"","DEA no.: "&amp;IF(LEN(INDEX('Providers'!$H$4:$H$503,269))=0,"",INDEX('Providers'!$H$4:$H$503,269))&amp;". ")&amp;IF(LEN(IF(LEN(INDEX('Providers'!$C$4:$C$503,269))=0,"",INDEX('Providers'!$C$4:$C$503,269)))=0,"","NPI: "&amp;IF(LEN(INDEX('Providers'!$C$4:$C$503,269))=0,"",INDEX('Providers'!$C$4:$C$503,269))&amp;". "))</f>
        <v/>
      </c>
      <c r="J772">
        <f>IF(LEN(INDEX('Providers'!$AJ$4:$AJ$503,269))=0,"",INDEX('Providers'!$AJ$4:$AJ$503,269))</f>
        <v/>
      </c>
      <c r="K772">
        <f>IF(LEN(INDEX('Providers'!$AI$4:$AI$503,269))=0,"",INDEX('Providers'!$AI$4:$AI$503,269))</f>
        <v/>
      </c>
    </row>
    <row r="773">
      <c r="A773">
        <f>IF(AND(LEN('Providers'!A273)&gt;0,ISNUMBER('Providers'!I273)),1,0)</f>
        <v/>
      </c>
      <c r="B773">
        <f>B772+A773</f>
        <v/>
      </c>
      <c r="C773">
        <f>IF(770&gt;$B$4503,"",MATCH(770-0.5,$B$3:$B$4503,1))</f>
        <v/>
      </c>
      <c r="D773">
        <f>"DEA registration ("&amp;IF(LEN(INDEX('Providers'!$E$4:$E$503,270))=0,"",INDEX('Providers'!$E$4:$E$503,270))&amp;") – "&amp;IF(LEN(INDEX('Providers'!$A$4:$A$503,270))=0,"",INDEX('Providers'!$A$4:$A$503,270))</f>
        <v/>
      </c>
      <c r="E773">
        <f>IF(ISNUMBER(INDEX('Providers'!$I$4:$I$503,270)),TEXT(INDEX('Providers'!$I$4:$I$503,270),"yyyy-mm-dd"),"")</f>
        <v/>
      </c>
      <c r="F773">
        <f>"Registration"</f>
        <v/>
      </c>
      <c r="G773">
        <f>""</f>
        <v/>
      </c>
      <c r="H773">
        <f>"High"</f>
        <v/>
      </c>
      <c r="I773">
        <f>TRIM(IF(LEN(IF(LEN(INDEX('Providers'!$H$4:$H$503,270))=0,"",INDEX('Providers'!$H$4:$H$503,270)))=0,"","DEA no.: "&amp;IF(LEN(INDEX('Providers'!$H$4:$H$503,270))=0,"",INDEX('Providers'!$H$4:$H$503,270))&amp;". ")&amp;IF(LEN(IF(LEN(INDEX('Providers'!$C$4:$C$503,270))=0,"",INDEX('Providers'!$C$4:$C$503,270)))=0,"","NPI: "&amp;IF(LEN(INDEX('Providers'!$C$4:$C$503,270))=0,"",INDEX('Providers'!$C$4:$C$503,270))&amp;". "))</f>
        <v/>
      </c>
      <c r="J773">
        <f>IF(LEN(INDEX('Providers'!$AJ$4:$AJ$503,270))=0,"",INDEX('Providers'!$AJ$4:$AJ$503,270))</f>
        <v/>
      </c>
      <c r="K773">
        <f>IF(LEN(INDEX('Providers'!$AI$4:$AI$503,270))=0,"",INDEX('Providers'!$AI$4:$AI$503,270))</f>
        <v/>
      </c>
    </row>
    <row r="774">
      <c r="A774">
        <f>IF(AND(LEN('Providers'!A274)&gt;0,ISNUMBER('Providers'!I274)),1,0)</f>
        <v/>
      </c>
      <c r="B774">
        <f>B773+A774</f>
        <v/>
      </c>
      <c r="C774">
        <f>IF(771&gt;$B$4503,"",MATCH(771-0.5,$B$3:$B$4503,1))</f>
        <v/>
      </c>
      <c r="D774">
        <f>"DEA registration ("&amp;IF(LEN(INDEX('Providers'!$E$4:$E$503,271))=0,"",INDEX('Providers'!$E$4:$E$503,271))&amp;") – "&amp;IF(LEN(INDEX('Providers'!$A$4:$A$503,271))=0,"",INDEX('Providers'!$A$4:$A$503,271))</f>
        <v/>
      </c>
      <c r="E774">
        <f>IF(ISNUMBER(INDEX('Providers'!$I$4:$I$503,271)),TEXT(INDEX('Providers'!$I$4:$I$503,271),"yyyy-mm-dd"),"")</f>
        <v/>
      </c>
      <c r="F774">
        <f>"Registration"</f>
        <v/>
      </c>
      <c r="G774">
        <f>""</f>
        <v/>
      </c>
      <c r="H774">
        <f>"High"</f>
        <v/>
      </c>
      <c r="I774">
        <f>TRIM(IF(LEN(IF(LEN(INDEX('Providers'!$H$4:$H$503,271))=0,"",INDEX('Providers'!$H$4:$H$503,271)))=0,"","DEA no.: "&amp;IF(LEN(INDEX('Providers'!$H$4:$H$503,271))=0,"",INDEX('Providers'!$H$4:$H$503,271))&amp;". ")&amp;IF(LEN(IF(LEN(INDEX('Providers'!$C$4:$C$503,271))=0,"",INDEX('Providers'!$C$4:$C$503,271)))=0,"","NPI: "&amp;IF(LEN(INDEX('Providers'!$C$4:$C$503,271))=0,"",INDEX('Providers'!$C$4:$C$503,271))&amp;". "))</f>
        <v/>
      </c>
      <c r="J774">
        <f>IF(LEN(INDEX('Providers'!$AJ$4:$AJ$503,271))=0,"",INDEX('Providers'!$AJ$4:$AJ$503,271))</f>
        <v/>
      </c>
      <c r="K774">
        <f>IF(LEN(INDEX('Providers'!$AI$4:$AI$503,271))=0,"",INDEX('Providers'!$AI$4:$AI$503,271))</f>
        <v/>
      </c>
    </row>
    <row r="775">
      <c r="A775">
        <f>IF(AND(LEN('Providers'!A275)&gt;0,ISNUMBER('Providers'!I275)),1,0)</f>
        <v/>
      </c>
      <c r="B775">
        <f>B774+A775</f>
        <v/>
      </c>
      <c r="C775">
        <f>IF(772&gt;$B$4503,"",MATCH(772-0.5,$B$3:$B$4503,1))</f>
        <v/>
      </c>
      <c r="D775">
        <f>"DEA registration ("&amp;IF(LEN(INDEX('Providers'!$E$4:$E$503,272))=0,"",INDEX('Providers'!$E$4:$E$503,272))&amp;") – "&amp;IF(LEN(INDEX('Providers'!$A$4:$A$503,272))=0,"",INDEX('Providers'!$A$4:$A$503,272))</f>
        <v/>
      </c>
      <c r="E775">
        <f>IF(ISNUMBER(INDEX('Providers'!$I$4:$I$503,272)),TEXT(INDEX('Providers'!$I$4:$I$503,272),"yyyy-mm-dd"),"")</f>
        <v/>
      </c>
      <c r="F775">
        <f>"Registration"</f>
        <v/>
      </c>
      <c r="G775">
        <f>""</f>
        <v/>
      </c>
      <c r="H775">
        <f>"High"</f>
        <v/>
      </c>
      <c r="I775">
        <f>TRIM(IF(LEN(IF(LEN(INDEX('Providers'!$H$4:$H$503,272))=0,"",INDEX('Providers'!$H$4:$H$503,272)))=0,"","DEA no.: "&amp;IF(LEN(INDEX('Providers'!$H$4:$H$503,272))=0,"",INDEX('Providers'!$H$4:$H$503,272))&amp;". ")&amp;IF(LEN(IF(LEN(INDEX('Providers'!$C$4:$C$503,272))=0,"",INDEX('Providers'!$C$4:$C$503,272)))=0,"","NPI: "&amp;IF(LEN(INDEX('Providers'!$C$4:$C$503,272))=0,"",INDEX('Providers'!$C$4:$C$503,272))&amp;". "))</f>
        <v/>
      </c>
      <c r="J775">
        <f>IF(LEN(INDEX('Providers'!$AJ$4:$AJ$503,272))=0,"",INDEX('Providers'!$AJ$4:$AJ$503,272))</f>
        <v/>
      </c>
      <c r="K775">
        <f>IF(LEN(INDEX('Providers'!$AI$4:$AI$503,272))=0,"",INDEX('Providers'!$AI$4:$AI$503,272))</f>
        <v/>
      </c>
    </row>
    <row r="776">
      <c r="A776">
        <f>IF(AND(LEN('Providers'!A276)&gt;0,ISNUMBER('Providers'!I276)),1,0)</f>
        <v/>
      </c>
      <c r="B776">
        <f>B775+A776</f>
        <v/>
      </c>
      <c r="C776">
        <f>IF(773&gt;$B$4503,"",MATCH(773-0.5,$B$3:$B$4503,1))</f>
        <v/>
      </c>
      <c r="D776">
        <f>"DEA registration ("&amp;IF(LEN(INDEX('Providers'!$E$4:$E$503,273))=0,"",INDEX('Providers'!$E$4:$E$503,273))&amp;") – "&amp;IF(LEN(INDEX('Providers'!$A$4:$A$503,273))=0,"",INDEX('Providers'!$A$4:$A$503,273))</f>
        <v/>
      </c>
      <c r="E776">
        <f>IF(ISNUMBER(INDEX('Providers'!$I$4:$I$503,273)),TEXT(INDEX('Providers'!$I$4:$I$503,273),"yyyy-mm-dd"),"")</f>
        <v/>
      </c>
      <c r="F776">
        <f>"Registration"</f>
        <v/>
      </c>
      <c r="G776">
        <f>""</f>
        <v/>
      </c>
      <c r="H776">
        <f>"High"</f>
        <v/>
      </c>
      <c r="I776">
        <f>TRIM(IF(LEN(IF(LEN(INDEX('Providers'!$H$4:$H$503,273))=0,"",INDEX('Providers'!$H$4:$H$503,273)))=0,"","DEA no.: "&amp;IF(LEN(INDEX('Providers'!$H$4:$H$503,273))=0,"",INDEX('Providers'!$H$4:$H$503,273))&amp;". ")&amp;IF(LEN(IF(LEN(INDEX('Providers'!$C$4:$C$503,273))=0,"",INDEX('Providers'!$C$4:$C$503,273)))=0,"","NPI: "&amp;IF(LEN(INDEX('Providers'!$C$4:$C$503,273))=0,"",INDEX('Providers'!$C$4:$C$503,273))&amp;". "))</f>
        <v/>
      </c>
      <c r="J776">
        <f>IF(LEN(INDEX('Providers'!$AJ$4:$AJ$503,273))=0,"",INDEX('Providers'!$AJ$4:$AJ$503,273))</f>
        <v/>
      </c>
      <c r="K776">
        <f>IF(LEN(INDEX('Providers'!$AI$4:$AI$503,273))=0,"",INDEX('Providers'!$AI$4:$AI$503,273))</f>
        <v/>
      </c>
    </row>
    <row r="777">
      <c r="A777">
        <f>IF(AND(LEN('Providers'!A277)&gt;0,ISNUMBER('Providers'!I277)),1,0)</f>
        <v/>
      </c>
      <c r="B777">
        <f>B776+A777</f>
        <v/>
      </c>
      <c r="C777">
        <f>IF(774&gt;$B$4503,"",MATCH(774-0.5,$B$3:$B$4503,1))</f>
        <v/>
      </c>
      <c r="D777">
        <f>"DEA registration ("&amp;IF(LEN(INDEX('Providers'!$E$4:$E$503,274))=0,"",INDEX('Providers'!$E$4:$E$503,274))&amp;") – "&amp;IF(LEN(INDEX('Providers'!$A$4:$A$503,274))=0,"",INDEX('Providers'!$A$4:$A$503,274))</f>
        <v/>
      </c>
      <c r="E777">
        <f>IF(ISNUMBER(INDEX('Providers'!$I$4:$I$503,274)),TEXT(INDEX('Providers'!$I$4:$I$503,274),"yyyy-mm-dd"),"")</f>
        <v/>
      </c>
      <c r="F777">
        <f>"Registration"</f>
        <v/>
      </c>
      <c r="G777">
        <f>""</f>
        <v/>
      </c>
      <c r="H777">
        <f>"High"</f>
        <v/>
      </c>
      <c r="I777">
        <f>TRIM(IF(LEN(IF(LEN(INDEX('Providers'!$H$4:$H$503,274))=0,"",INDEX('Providers'!$H$4:$H$503,274)))=0,"","DEA no.: "&amp;IF(LEN(INDEX('Providers'!$H$4:$H$503,274))=0,"",INDEX('Providers'!$H$4:$H$503,274))&amp;". ")&amp;IF(LEN(IF(LEN(INDEX('Providers'!$C$4:$C$503,274))=0,"",INDEX('Providers'!$C$4:$C$503,274)))=0,"","NPI: "&amp;IF(LEN(INDEX('Providers'!$C$4:$C$503,274))=0,"",INDEX('Providers'!$C$4:$C$503,274))&amp;". "))</f>
        <v/>
      </c>
      <c r="J777">
        <f>IF(LEN(INDEX('Providers'!$AJ$4:$AJ$503,274))=0,"",INDEX('Providers'!$AJ$4:$AJ$503,274))</f>
        <v/>
      </c>
      <c r="K777">
        <f>IF(LEN(INDEX('Providers'!$AI$4:$AI$503,274))=0,"",INDEX('Providers'!$AI$4:$AI$503,274))</f>
        <v/>
      </c>
    </row>
    <row r="778">
      <c r="A778">
        <f>IF(AND(LEN('Providers'!A278)&gt;0,ISNUMBER('Providers'!I278)),1,0)</f>
        <v/>
      </c>
      <c r="B778">
        <f>B777+A778</f>
        <v/>
      </c>
      <c r="C778">
        <f>IF(775&gt;$B$4503,"",MATCH(775-0.5,$B$3:$B$4503,1))</f>
        <v/>
      </c>
      <c r="D778">
        <f>"DEA registration ("&amp;IF(LEN(INDEX('Providers'!$E$4:$E$503,275))=0,"",INDEX('Providers'!$E$4:$E$503,275))&amp;") – "&amp;IF(LEN(INDEX('Providers'!$A$4:$A$503,275))=0,"",INDEX('Providers'!$A$4:$A$503,275))</f>
        <v/>
      </c>
      <c r="E778">
        <f>IF(ISNUMBER(INDEX('Providers'!$I$4:$I$503,275)),TEXT(INDEX('Providers'!$I$4:$I$503,275),"yyyy-mm-dd"),"")</f>
        <v/>
      </c>
      <c r="F778">
        <f>"Registration"</f>
        <v/>
      </c>
      <c r="G778">
        <f>""</f>
        <v/>
      </c>
      <c r="H778">
        <f>"High"</f>
        <v/>
      </c>
      <c r="I778">
        <f>TRIM(IF(LEN(IF(LEN(INDEX('Providers'!$H$4:$H$503,275))=0,"",INDEX('Providers'!$H$4:$H$503,275)))=0,"","DEA no.: "&amp;IF(LEN(INDEX('Providers'!$H$4:$H$503,275))=0,"",INDEX('Providers'!$H$4:$H$503,275))&amp;". ")&amp;IF(LEN(IF(LEN(INDEX('Providers'!$C$4:$C$503,275))=0,"",INDEX('Providers'!$C$4:$C$503,275)))=0,"","NPI: "&amp;IF(LEN(INDEX('Providers'!$C$4:$C$503,275))=0,"",INDEX('Providers'!$C$4:$C$503,275))&amp;". "))</f>
        <v/>
      </c>
      <c r="J778">
        <f>IF(LEN(INDEX('Providers'!$AJ$4:$AJ$503,275))=0,"",INDEX('Providers'!$AJ$4:$AJ$503,275))</f>
        <v/>
      </c>
      <c r="K778">
        <f>IF(LEN(INDEX('Providers'!$AI$4:$AI$503,275))=0,"",INDEX('Providers'!$AI$4:$AI$503,275))</f>
        <v/>
      </c>
    </row>
    <row r="779">
      <c r="A779">
        <f>IF(AND(LEN('Providers'!A279)&gt;0,ISNUMBER('Providers'!I279)),1,0)</f>
        <v/>
      </c>
      <c r="B779">
        <f>B778+A779</f>
        <v/>
      </c>
      <c r="C779">
        <f>IF(776&gt;$B$4503,"",MATCH(776-0.5,$B$3:$B$4503,1))</f>
        <v/>
      </c>
      <c r="D779">
        <f>"DEA registration ("&amp;IF(LEN(INDEX('Providers'!$E$4:$E$503,276))=0,"",INDEX('Providers'!$E$4:$E$503,276))&amp;") – "&amp;IF(LEN(INDEX('Providers'!$A$4:$A$503,276))=0,"",INDEX('Providers'!$A$4:$A$503,276))</f>
        <v/>
      </c>
      <c r="E779">
        <f>IF(ISNUMBER(INDEX('Providers'!$I$4:$I$503,276)),TEXT(INDEX('Providers'!$I$4:$I$503,276),"yyyy-mm-dd"),"")</f>
        <v/>
      </c>
      <c r="F779">
        <f>"Registration"</f>
        <v/>
      </c>
      <c r="G779">
        <f>""</f>
        <v/>
      </c>
      <c r="H779">
        <f>"High"</f>
        <v/>
      </c>
      <c r="I779">
        <f>TRIM(IF(LEN(IF(LEN(INDEX('Providers'!$H$4:$H$503,276))=0,"",INDEX('Providers'!$H$4:$H$503,276)))=0,"","DEA no.: "&amp;IF(LEN(INDEX('Providers'!$H$4:$H$503,276))=0,"",INDEX('Providers'!$H$4:$H$503,276))&amp;". ")&amp;IF(LEN(IF(LEN(INDEX('Providers'!$C$4:$C$503,276))=0,"",INDEX('Providers'!$C$4:$C$503,276)))=0,"","NPI: "&amp;IF(LEN(INDEX('Providers'!$C$4:$C$503,276))=0,"",INDEX('Providers'!$C$4:$C$503,276))&amp;". "))</f>
        <v/>
      </c>
      <c r="J779">
        <f>IF(LEN(INDEX('Providers'!$AJ$4:$AJ$503,276))=0,"",INDEX('Providers'!$AJ$4:$AJ$503,276))</f>
        <v/>
      </c>
      <c r="K779">
        <f>IF(LEN(INDEX('Providers'!$AI$4:$AI$503,276))=0,"",INDEX('Providers'!$AI$4:$AI$503,276))</f>
        <v/>
      </c>
    </row>
    <row r="780">
      <c r="A780">
        <f>IF(AND(LEN('Providers'!A280)&gt;0,ISNUMBER('Providers'!I280)),1,0)</f>
        <v/>
      </c>
      <c r="B780">
        <f>B779+A780</f>
        <v/>
      </c>
      <c r="C780">
        <f>IF(777&gt;$B$4503,"",MATCH(777-0.5,$B$3:$B$4503,1))</f>
        <v/>
      </c>
      <c r="D780">
        <f>"DEA registration ("&amp;IF(LEN(INDEX('Providers'!$E$4:$E$503,277))=0,"",INDEX('Providers'!$E$4:$E$503,277))&amp;") – "&amp;IF(LEN(INDEX('Providers'!$A$4:$A$503,277))=0,"",INDEX('Providers'!$A$4:$A$503,277))</f>
        <v/>
      </c>
      <c r="E780">
        <f>IF(ISNUMBER(INDEX('Providers'!$I$4:$I$503,277)),TEXT(INDEX('Providers'!$I$4:$I$503,277),"yyyy-mm-dd"),"")</f>
        <v/>
      </c>
      <c r="F780">
        <f>"Registration"</f>
        <v/>
      </c>
      <c r="G780">
        <f>""</f>
        <v/>
      </c>
      <c r="H780">
        <f>"High"</f>
        <v/>
      </c>
      <c r="I780">
        <f>TRIM(IF(LEN(IF(LEN(INDEX('Providers'!$H$4:$H$503,277))=0,"",INDEX('Providers'!$H$4:$H$503,277)))=0,"","DEA no.: "&amp;IF(LEN(INDEX('Providers'!$H$4:$H$503,277))=0,"",INDEX('Providers'!$H$4:$H$503,277))&amp;". ")&amp;IF(LEN(IF(LEN(INDEX('Providers'!$C$4:$C$503,277))=0,"",INDEX('Providers'!$C$4:$C$503,277)))=0,"","NPI: "&amp;IF(LEN(INDEX('Providers'!$C$4:$C$503,277))=0,"",INDEX('Providers'!$C$4:$C$503,277))&amp;". "))</f>
        <v/>
      </c>
      <c r="J780">
        <f>IF(LEN(INDEX('Providers'!$AJ$4:$AJ$503,277))=0,"",INDEX('Providers'!$AJ$4:$AJ$503,277))</f>
        <v/>
      </c>
      <c r="K780">
        <f>IF(LEN(INDEX('Providers'!$AI$4:$AI$503,277))=0,"",INDEX('Providers'!$AI$4:$AI$503,277))</f>
        <v/>
      </c>
    </row>
    <row r="781">
      <c r="A781">
        <f>IF(AND(LEN('Providers'!A281)&gt;0,ISNUMBER('Providers'!I281)),1,0)</f>
        <v/>
      </c>
      <c r="B781">
        <f>B780+A781</f>
        <v/>
      </c>
      <c r="C781">
        <f>IF(778&gt;$B$4503,"",MATCH(778-0.5,$B$3:$B$4503,1))</f>
        <v/>
      </c>
      <c r="D781">
        <f>"DEA registration ("&amp;IF(LEN(INDEX('Providers'!$E$4:$E$503,278))=0,"",INDEX('Providers'!$E$4:$E$503,278))&amp;") – "&amp;IF(LEN(INDEX('Providers'!$A$4:$A$503,278))=0,"",INDEX('Providers'!$A$4:$A$503,278))</f>
        <v/>
      </c>
      <c r="E781">
        <f>IF(ISNUMBER(INDEX('Providers'!$I$4:$I$503,278)),TEXT(INDEX('Providers'!$I$4:$I$503,278),"yyyy-mm-dd"),"")</f>
        <v/>
      </c>
      <c r="F781">
        <f>"Registration"</f>
        <v/>
      </c>
      <c r="G781">
        <f>""</f>
        <v/>
      </c>
      <c r="H781">
        <f>"High"</f>
        <v/>
      </c>
      <c r="I781">
        <f>TRIM(IF(LEN(IF(LEN(INDEX('Providers'!$H$4:$H$503,278))=0,"",INDEX('Providers'!$H$4:$H$503,278)))=0,"","DEA no.: "&amp;IF(LEN(INDEX('Providers'!$H$4:$H$503,278))=0,"",INDEX('Providers'!$H$4:$H$503,278))&amp;". ")&amp;IF(LEN(IF(LEN(INDEX('Providers'!$C$4:$C$503,278))=0,"",INDEX('Providers'!$C$4:$C$503,278)))=0,"","NPI: "&amp;IF(LEN(INDEX('Providers'!$C$4:$C$503,278))=0,"",INDEX('Providers'!$C$4:$C$503,278))&amp;". "))</f>
        <v/>
      </c>
      <c r="J781">
        <f>IF(LEN(INDEX('Providers'!$AJ$4:$AJ$503,278))=0,"",INDEX('Providers'!$AJ$4:$AJ$503,278))</f>
        <v/>
      </c>
      <c r="K781">
        <f>IF(LEN(INDEX('Providers'!$AI$4:$AI$503,278))=0,"",INDEX('Providers'!$AI$4:$AI$503,278))</f>
        <v/>
      </c>
    </row>
    <row r="782">
      <c r="A782">
        <f>IF(AND(LEN('Providers'!A282)&gt;0,ISNUMBER('Providers'!I282)),1,0)</f>
        <v/>
      </c>
      <c r="B782">
        <f>B781+A782</f>
        <v/>
      </c>
      <c r="C782">
        <f>IF(779&gt;$B$4503,"",MATCH(779-0.5,$B$3:$B$4503,1))</f>
        <v/>
      </c>
      <c r="D782">
        <f>"DEA registration ("&amp;IF(LEN(INDEX('Providers'!$E$4:$E$503,279))=0,"",INDEX('Providers'!$E$4:$E$503,279))&amp;") – "&amp;IF(LEN(INDEX('Providers'!$A$4:$A$503,279))=0,"",INDEX('Providers'!$A$4:$A$503,279))</f>
        <v/>
      </c>
      <c r="E782">
        <f>IF(ISNUMBER(INDEX('Providers'!$I$4:$I$503,279)),TEXT(INDEX('Providers'!$I$4:$I$503,279),"yyyy-mm-dd"),"")</f>
        <v/>
      </c>
      <c r="F782">
        <f>"Registration"</f>
        <v/>
      </c>
      <c r="G782">
        <f>""</f>
        <v/>
      </c>
      <c r="H782">
        <f>"High"</f>
        <v/>
      </c>
      <c r="I782">
        <f>TRIM(IF(LEN(IF(LEN(INDEX('Providers'!$H$4:$H$503,279))=0,"",INDEX('Providers'!$H$4:$H$503,279)))=0,"","DEA no.: "&amp;IF(LEN(INDEX('Providers'!$H$4:$H$503,279))=0,"",INDEX('Providers'!$H$4:$H$503,279))&amp;". ")&amp;IF(LEN(IF(LEN(INDEX('Providers'!$C$4:$C$503,279))=0,"",INDEX('Providers'!$C$4:$C$503,279)))=0,"","NPI: "&amp;IF(LEN(INDEX('Providers'!$C$4:$C$503,279))=0,"",INDEX('Providers'!$C$4:$C$503,279))&amp;". "))</f>
        <v/>
      </c>
      <c r="J782">
        <f>IF(LEN(INDEX('Providers'!$AJ$4:$AJ$503,279))=0,"",INDEX('Providers'!$AJ$4:$AJ$503,279))</f>
        <v/>
      </c>
      <c r="K782">
        <f>IF(LEN(INDEX('Providers'!$AI$4:$AI$503,279))=0,"",INDEX('Providers'!$AI$4:$AI$503,279))</f>
        <v/>
      </c>
    </row>
    <row r="783">
      <c r="A783">
        <f>IF(AND(LEN('Providers'!A283)&gt;0,ISNUMBER('Providers'!I283)),1,0)</f>
        <v/>
      </c>
      <c r="B783">
        <f>B782+A783</f>
        <v/>
      </c>
      <c r="C783">
        <f>IF(780&gt;$B$4503,"",MATCH(780-0.5,$B$3:$B$4503,1))</f>
        <v/>
      </c>
      <c r="D783">
        <f>"DEA registration ("&amp;IF(LEN(INDEX('Providers'!$E$4:$E$503,280))=0,"",INDEX('Providers'!$E$4:$E$503,280))&amp;") – "&amp;IF(LEN(INDEX('Providers'!$A$4:$A$503,280))=0,"",INDEX('Providers'!$A$4:$A$503,280))</f>
        <v/>
      </c>
      <c r="E783">
        <f>IF(ISNUMBER(INDEX('Providers'!$I$4:$I$503,280)),TEXT(INDEX('Providers'!$I$4:$I$503,280),"yyyy-mm-dd"),"")</f>
        <v/>
      </c>
      <c r="F783">
        <f>"Registration"</f>
        <v/>
      </c>
      <c r="G783">
        <f>""</f>
        <v/>
      </c>
      <c r="H783">
        <f>"High"</f>
        <v/>
      </c>
      <c r="I783">
        <f>TRIM(IF(LEN(IF(LEN(INDEX('Providers'!$H$4:$H$503,280))=0,"",INDEX('Providers'!$H$4:$H$503,280)))=0,"","DEA no.: "&amp;IF(LEN(INDEX('Providers'!$H$4:$H$503,280))=0,"",INDEX('Providers'!$H$4:$H$503,280))&amp;". ")&amp;IF(LEN(IF(LEN(INDEX('Providers'!$C$4:$C$503,280))=0,"",INDEX('Providers'!$C$4:$C$503,280)))=0,"","NPI: "&amp;IF(LEN(INDEX('Providers'!$C$4:$C$503,280))=0,"",INDEX('Providers'!$C$4:$C$503,280))&amp;". "))</f>
        <v/>
      </c>
      <c r="J783">
        <f>IF(LEN(INDEX('Providers'!$AJ$4:$AJ$503,280))=0,"",INDEX('Providers'!$AJ$4:$AJ$503,280))</f>
        <v/>
      </c>
      <c r="K783">
        <f>IF(LEN(INDEX('Providers'!$AI$4:$AI$503,280))=0,"",INDEX('Providers'!$AI$4:$AI$503,280))</f>
        <v/>
      </c>
    </row>
    <row r="784">
      <c r="A784">
        <f>IF(AND(LEN('Providers'!A284)&gt;0,ISNUMBER('Providers'!I284)),1,0)</f>
        <v/>
      </c>
      <c r="B784">
        <f>B783+A784</f>
        <v/>
      </c>
      <c r="C784">
        <f>IF(781&gt;$B$4503,"",MATCH(781-0.5,$B$3:$B$4503,1))</f>
        <v/>
      </c>
      <c r="D784">
        <f>"DEA registration ("&amp;IF(LEN(INDEX('Providers'!$E$4:$E$503,281))=0,"",INDEX('Providers'!$E$4:$E$503,281))&amp;") – "&amp;IF(LEN(INDEX('Providers'!$A$4:$A$503,281))=0,"",INDEX('Providers'!$A$4:$A$503,281))</f>
        <v/>
      </c>
      <c r="E784">
        <f>IF(ISNUMBER(INDEX('Providers'!$I$4:$I$503,281)),TEXT(INDEX('Providers'!$I$4:$I$503,281),"yyyy-mm-dd"),"")</f>
        <v/>
      </c>
      <c r="F784">
        <f>"Registration"</f>
        <v/>
      </c>
      <c r="G784">
        <f>""</f>
        <v/>
      </c>
      <c r="H784">
        <f>"High"</f>
        <v/>
      </c>
      <c r="I784">
        <f>TRIM(IF(LEN(IF(LEN(INDEX('Providers'!$H$4:$H$503,281))=0,"",INDEX('Providers'!$H$4:$H$503,281)))=0,"","DEA no.: "&amp;IF(LEN(INDEX('Providers'!$H$4:$H$503,281))=0,"",INDEX('Providers'!$H$4:$H$503,281))&amp;". ")&amp;IF(LEN(IF(LEN(INDEX('Providers'!$C$4:$C$503,281))=0,"",INDEX('Providers'!$C$4:$C$503,281)))=0,"","NPI: "&amp;IF(LEN(INDEX('Providers'!$C$4:$C$503,281))=0,"",INDEX('Providers'!$C$4:$C$503,281))&amp;". "))</f>
        <v/>
      </c>
      <c r="J784">
        <f>IF(LEN(INDEX('Providers'!$AJ$4:$AJ$503,281))=0,"",INDEX('Providers'!$AJ$4:$AJ$503,281))</f>
        <v/>
      </c>
      <c r="K784">
        <f>IF(LEN(INDEX('Providers'!$AI$4:$AI$503,281))=0,"",INDEX('Providers'!$AI$4:$AI$503,281))</f>
        <v/>
      </c>
    </row>
    <row r="785">
      <c r="A785">
        <f>IF(AND(LEN('Providers'!A285)&gt;0,ISNUMBER('Providers'!I285)),1,0)</f>
        <v/>
      </c>
      <c r="B785">
        <f>B784+A785</f>
        <v/>
      </c>
      <c r="C785">
        <f>IF(782&gt;$B$4503,"",MATCH(782-0.5,$B$3:$B$4503,1))</f>
        <v/>
      </c>
      <c r="D785">
        <f>"DEA registration ("&amp;IF(LEN(INDEX('Providers'!$E$4:$E$503,282))=0,"",INDEX('Providers'!$E$4:$E$503,282))&amp;") – "&amp;IF(LEN(INDEX('Providers'!$A$4:$A$503,282))=0,"",INDEX('Providers'!$A$4:$A$503,282))</f>
        <v/>
      </c>
      <c r="E785">
        <f>IF(ISNUMBER(INDEX('Providers'!$I$4:$I$503,282)),TEXT(INDEX('Providers'!$I$4:$I$503,282),"yyyy-mm-dd"),"")</f>
        <v/>
      </c>
      <c r="F785">
        <f>"Registration"</f>
        <v/>
      </c>
      <c r="G785">
        <f>""</f>
        <v/>
      </c>
      <c r="H785">
        <f>"High"</f>
        <v/>
      </c>
      <c r="I785">
        <f>TRIM(IF(LEN(IF(LEN(INDEX('Providers'!$H$4:$H$503,282))=0,"",INDEX('Providers'!$H$4:$H$503,282)))=0,"","DEA no.: "&amp;IF(LEN(INDEX('Providers'!$H$4:$H$503,282))=0,"",INDEX('Providers'!$H$4:$H$503,282))&amp;". ")&amp;IF(LEN(IF(LEN(INDEX('Providers'!$C$4:$C$503,282))=0,"",INDEX('Providers'!$C$4:$C$503,282)))=0,"","NPI: "&amp;IF(LEN(INDEX('Providers'!$C$4:$C$503,282))=0,"",INDEX('Providers'!$C$4:$C$503,282))&amp;". "))</f>
        <v/>
      </c>
      <c r="J785">
        <f>IF(LEN(INDEX('Providers'!$AJ$4:$AJ$503,282))=0,"",INDEX('Providers'!$AJ$4:$AJ$503,282))</f>
        <v/>
      </c>
      <c r="K785">
        <f>IF(LEN(INDEX('Providers'!$AI$4:$AI$503,282))=0,"",INDEX('Providers'!$AI$4:$AI$503,282))</f>
        <v/>
      </c>
    </row>
    <row r="786">
      <c r="A786">
        <f>IF(AND(LEN('Providers'!A286)&gt;0,ISNUMBER('Providers'!I286)),1,0)</f>
        <v/>
      </c>
      <c r="B786">
        <f>B785+A786</f>
        <v/>
      </c>
      <c r="C786">
        <f>IF(783&gt;$B$4503,"",MATCH(783-0.5,$B$3:$B$4503,1))</f>
        <v/>
      </c>
      <c r="D786">
        <f>"DEA registration ("&amp;IF(LEN(INDEX('Providers'!$E$4:$E$503,283))=0,"",INDEX('Providers'!$E$4:$E$503,283))&amp;") – "&amp;IF(LEN(INDEX('Providers'!$A$4:$A$503,283))=0,"",INDEX('Providers'!$A$4:$A$503,283))</f>
        <v/>
      </c>
      <c r="E786">
        <f>IF(ISNUMBER(INDEX('Providers'!$I$4:$I$503,283)),TEXT(INDEX('Providers'!$I$4:$I$503,283),"yyyy-mm-dd"),"")</f>
        <v/>
      </c>
      <c r="F786">
        <f>"Registration"</f>
        <v/>
      </c>
      <c r="G786">
        <f>""</f>
        <v/>
      </c>
      <c r="H786">
        <f>"High"</f>
        <v/>
      </c>
      <c r="I786">
        <f>TRIM(IF(LEN(IF(LEN(INDEX('Providers'!$H$4:$H$503,283))=0,"",INDEX('Providers'!$H$4:$H$503,283)))=0,"","DEA no.: "&amp;IF(LEN(INDEX('Providers'!$H$4:$H$503,283))=0,"",INDEX('Providers'!$H$4:$H$503,283))&amp;". ")&amp;IF(LEN(IF(LEN(INDEX('Providers'!$C$4:$C$503,283))=0,"",INDEX('Providers'!$C$4:$C$503,283)))=0,"","NPI: "&amp;IF(LEN(INDEX('Providers'!$C$4:$C$503,283))=0,"",INDEX('Providers'!$C$4:$C$503,283))&amp;". "))</f>
        <v/>
      </c>
      <c r="J786">
        <f>IF(LEN(INDEX('Providers'!$AJ$4:$AJ$503,283))=0,"",INDEX('Providers'!$AJ$4:$AJ$503,283))</f>
        <v/>
      </c>
      <c r="K786">
        <f>IF(LEN(INDEX('Providers'!$AI$4:$AI$503,283))=0,"",INDEX('Providers'!$AI$4:$AI$503,283))</f>
        <v/>
      </c>
    </row>
    <row r="787">
      <c r="A787">
        <f>IF(AND(LEN('Providers'!A287)&gt;0,ISNUMBER('Providers'!I287)),1,0)</f>
        <v/>
      </c>
      <c r="B787">
        <f>B786+A787</f>
        <v/>
      </c>
      <c r="C787">
        <f>IF(784&gt;$B$4503,"",MATCH(784-0.5,$B$3:$B$4503,1))</f>
        <v/>
      </c>
      <c r="D787">
        <f>"DEA registration ("&amp;IF(LEN(INDEX('Providers'!$E$4:$E$503,284))=0,"",INDEX('Providers'!$E$4:$E$503,284))&amp;") – "&amp;IF(LEN(INDEX('Providers'!$A$4:$A$503,284))=0,"",INDEX('Providers'!$A$4:$A$503,284))</f>
        <v/>
      </c>
      <c r="E787">
        <f>IF(ISNUMBER(INDEX('Providers'!$I$4:$I$503,284)),TEXT(INDEX('Providers'!$I$4:$I$503,284),"yyyy-mm-dd"),"")</f>
        <v/>
      </c>
      <c r="F787">
        <f>"Registration"</f>
        <v/>
      </c>
      <c r="G787">
        <f>""</f>
        <v/>
      </c>
      <c r="H787">
        <f>"High"</f>
        <v/>
      </c>
      <c r="I787">
        <f>TRIM(IF(LEN(IF(LEN(INDEX('Providers'!$H$4:$H$503,284))=0,"",INDEX('Providers'!$H$4:$H$503,284)))=0,"","DEA no.: "&amp;IF(LEN(INDEX('Providers'!$H$4:$H$503,284))=0,"",INDEX('Providers'!$H$4:$H$503,284))&amp;". ")&amp;IF(LEN(IF(LEN(INDEX('Providers'!$C$4:$C$503,284))=0,"",INDEX('Providers'!$C$4:$C$503,284)))=0,"","NPI: "&amp;IF(LEN(INDEX('Providers'!$C$4:$C$503,284))=0,"",INDEX('Providers'!$C$4:$C$503,284))&amp;". "))</f>
        <v/>
      </c>
      <c r="J787">
        <f>IF(LEN(INDEX('Providers'!$AJ$4:$AJ$503,284))=0,"",INDEX('Providers'!$AJ$4:$AJ$503,284))</f>
        <v/>
      </c>
      <c r="K787">
        <f>IF(LEN(INDEX('Providers'!$AI$4:$AI$503,284))=0,"",INDEX('Providers'!$AI$4:$AI$503,284))</f>
        <v/>
      </c>
    </row>
    <row r="788">
      <c r="A788">
        <f>IF(AND(LEN('Providers'!A288)&gt;0,ISNUMBER('Providers'!I288)),1,0)</f>
        <v/>
      </c>
      <c r="B788">
        <f>B787+A788</f>
        <v/>
      </c>
      <c r="C788">
        <f>IF(785&gt;$B$4503,"",MATCH(785-0.5,$B$3:$B$4503,1))</f>
        <v/>
      </c>
      <c r="D788">
        <f>"DEA registration ("&amp;IF(LEN(INDEX('Providers'!$E$4:$E$503,285))=0,"",INDEX('Providers'!$E$4:$E$503,285))&amp;") – "&amp;IF(LEN(INDEX('Providers'!$A$4:$A$503,285))=0,"",INDEX('Providers'!$A$4:$A$503,285))</f>
        <v/>
      </c>
      <c r="E788">
        <f>IF(ISNUMBER(INDEX('Providers'!$I$4:$I$503,285)),TEXT(INDEX('Providers'!$I$4:$I$503,285),"yyyy-mm-dd"),"")</f>
        <v/>
      </c>
      <c r="F788">
        <f>"Registration"</f>
        <v/>
      </c>
      <c r="G788">
        <f>""</f>
        <v/>
      </c>
      <c r="H788">
        <f>"High"</f>
        <v/>
      </c>
      <c r="I788">
        <f>TRIM(IF(LEN(IF(LEN(INDEX('Providers'!$H$4:$H$503,285))=0,"",INDEX('Providers'!$H$4:$H$503,285)))=0,"","DEA no.: "&amp;IF(LEN(INDEX('Providers'!$H$4:$H$503,285))=0,"",INDEX('Providers'!$H$4:$H$503,285))&amp;". ")&amp;IF(LEN(IF(LEN(INDEX('Providers'!$C$4:$C$503,285))=0,"",INDEX('Providers'!$C$4:$C$503,285)))=0,"","NPI: "&amp;IF(LEN(INDEX('Providers'!$C$4:$C$503,285))=0,"",INDEX('Providers'!$C$4:$C$503,285))&amp;". "))</f>
        <v/>
      </c>
      <c r="J788">
        <f>IF(LEN(INDEX('Providers'!$AJ$4:$AJ$503,285))=0,"",INDEX('Providers'!$AJ$4:$AJ$503,285))</f>
        <v/>
      </c>
      <c r="K788">
        <f>IF(LEN(INDEX('Providers'!$AI$4:$AI$503,285))=0,"",INDEX('Providers'!$AI$4:$AI$503,285))</f>
        <v/>
      </c>
    </row>
    <row r="789">
      <c r="A789">
        <f>IF(AND(LEN('Providers'!A289)&gt;0,ISNUMBER('Providers'!I289)),1,0)</f>
        <v/>
      </c>
      <c r="B789">
        <f>B788+A789</f>
        <v/>
      </c>
      <c r="C789">
        <f>IF(786&gt;$B$4503,"",MATCH(786-0.5,$B$3:$B$4503,1))</f>
        <v/>
      </c>
      <c r="D789">
        <f>"DEA registration ("&amp;IF(LEN(INDEX('Providers'!$E$4:$E$503,286))=0,"",INDEX('Providers'!$E$4:$E$503,286))&amp;") – "&amp;IF(LEN(INDEX('Providers'!$A$4:$A$503,286))=0,"",INDEX('Providers'!$A$4:$A$503,286))</f>
        <v/>
      </c>
      <c r="E789">
        <f>IF(ISNUMBER(INDEX('Providers'!$I$4:$I$503,286)),TEXT(INDEX('Providers'!$I$4:$I$503,286),"yyyy-mm-dd"),"")</f>
        <v/>
      </c>
      <c r="F789">
        <f>"Registration"</f>
        <v/>
      </c>
      <c r="G789">
        <f>""</f>
        <v/>
      </c>
      <c r="H789">
        <f>"High"</f>
        <v/>
      </c>
      <c r="I789">
        <f>TRIM(IF(LEN(IF(LEN(INDEX('Providers'!$H$4:$H$503,286))=0,"",INDEX('Providers'!$H$4:$H$503,286)))=0,"","DEA no.: "&amp;IF(LEN(INDEX('Providers'!$H$4:$H$503,286))=0,"",INDEX('Providers'!$H$4:$H$503,286))&amp;". ")&amp;IF(LEN(IF(LEN(INDEX('Providers'!$C$4:$C$503,286))=0,"",INDEX('Providers'!$C$4:$C$503,286)))=0,"","NPI: "&amp;IF(LEN(INDEX('Providers'!$C$4:$C$503,286))=0,"",INDEX('Providers'!$C$4:$C$503,286))&amp;". "))</f>
        <v/>
      </c>
      <c r="J789">
        <f>IF(LEN(INDEX('Providers'!$AJ$4:$AJ$503,286))=0,"",INDEX('Providers'!$AJ$4:$AJ$503,286))</f>
        <v/>
      </c>
      <c r="K789">
        <f>IF(LEN(INDEX('Providers'!$AI$4:$AI$503,286))=0,"",INDEX('Providers'!$AI$4:$AI$503,286))</f>
        <v/>
      </c>
    </row>
    <row r="790">
      <c r="A790">
        <f>IF(AND(LEN('Providers'!A290)&gt;0,ISNUMBER('Providers'!I290)),1,0)</f>
        <v/>
      </c>
      <c r="B790">
        <f>B789+A790</f>
        <v/>
      </c>
      <c r="C790">
        <f>IF(787&gt;$B$4503,"",MATCH(787-0.5,$B$3:$B$4503,1))</f>
        <v/>
      </c>
      <c r="D790">
        <f>"DEA registration ("&amp;IF(LEN(INDEX('Providers'!$E$4:$E$503,287))=0,"",INDEX('Providers'!$E$4:$E$503,287))&amp;") – "&amp;IF(LEN(INDEX('Providers'!$A$4:$A$503,287))=0,"",INDEX('Providers'!$A$4:$A$503,287))</f>
        <v/>
      </c>
      <c r="E790">
        <f>IF(ISNUMBER(INDEX('Providers'!$I$4:$I$503,287)),TEXT(INDEX('Providers'!$I$4:$I$503,287),"yyyy-mm-dd"),"")</f>
        <v/>
      </c>
      <c r="F790">
        <f>"Registration"</f>
        <v/>
      </c>
      <c r="G790">
        <f>""</f>
        <v/>
      </c>
      <c r="H790">
        <f>"High"</f>
        <v/>
      </c>
      <c r="I790">
        <f>TRIM(IF(LEN(IF(LEN(INDEX('Providers'!$H$4:$H$503,287))=0,"",INDEX('Providers'!$H$4:$H$503,287)))=0,"","DEA no.: "&amp;IF(LEN(INDEX('Providers'!$H$4:$H$503,287))=0,"",INDEX('Providers'!$H$4:$H$503,287))&amp;". ")&amp;IF(LEN(IF(LEN(INDEX('Providers'!$C$4:$C$503,287))=0,"",INDEX('Providers'!$C$4:$C$503,287)))=0,"","NPI: "&amp;IF(LEN(INDEX('Providers'!$C$4:$C$503,287))=0,"",INDEX('Providers'!$C$4:$C$503,287))&amp;". "))</f>
        <v/>
      </c>
      <c r="J790">
        <f>IF(LEN(INDEX('Providers'!$AJ$4:$AJ$503,287))=0,"",INDEX('Providers'!$AJ$4:$AJ$503,287))</f>
        <v/>
      </c>
      <c r="K790">
        <f>IF(LEN(INDEX('Providers'!$AI$4:$AI$503,287))=0,"",INDEX('Providers'!$AI$4:$AI$503,287))</f>
        <v/>
      </c>
    </row>
    <row r="791">
      <c r="A791">
        <f>IF(AND(LEN('Providers'!A291)&gt;0,ISNUMBER('Providers'!I291)),1,0)</f>
        <v/>
      </c>
      <c r="B791">
        <f>B790+A791</f>
        <v/>
      </c>
      <c r="C791">
        <f>IF(788&gt;$B$4503,"",MATCH(788-0.5,$B$3:$B$4503,1))</f>
        <v/>
      </c>
      <c r="D791">
        <f>"DEA registration ("&amp;IF(LEN(INDEX('Providers'!$E$4:$E$503,288))=0,"",INDEX('Providers'!$E$4:$E$503,288))&amp;") – "&amp;IF(LEN(INDEX('Providers'!$A$4:$A$503,288))=0,"",INDEX('Providers'!$A$4:$A$503,288))</f>
        <v/>
      </c>
      <c r="E791">
        <f>IF(ISNUMBER(INDEX('Providers'!$I$4:$I$503,288)),TEXT(INDEX('Providers'!$I$4:$I$503,288),"yyyy-mm-dd"),"")</f>
        <v/>
      </c>
      <c r="F791">
        <f>"Registration"</f>
        <v/>
      </c>
      <c r="G791">
        <f>""</f>
        <v/>
      </c>
      <c r="H791">
        <f>"High"</f>
        <v/>
      </c>
      <c r="I791">
        <f>TRIM(IF(LEN(IF(LEN(INDEX('Providers'!$H$4:$H$503,288))=0,"",INDEX('Providers'!$H$4:$H$503,288)))=0,"","DEA no.: "&amp;IF(LEN(INDEX('Providers'!$H$4:$H$503,288))=0,"",INDEX('Providers'!$H$4:$H$503,288))&amp;". ")&amp;IF(LEN(IF(LEN(INDEX('Providers'!$C$4:$C$503,288))=0,"",INDEX('Providers'!$C$4:$C$503,288)))=0,"","NPI: "&amp;IF(LEN(INDEX('Providers'!$C$4:$C$503,288))=0,"",INDEX('Providers'!$C$4:$C$503,288))&amp;". "))</f>
        <v/>
      </c>
      <c r="J791">
        <f>IF(LEN(INDEX('Providers'!$AJ$4:$AJ$503,288))=0,"",INDEX('Providers'!$AJ$4:$AJ$503,288))</f>
        <v/>
      </c>
      <c r="K791">
        <f>IF(LEN(INDEX('Providers'!$AI$4:$AI$503,288))=0,"",INDEX('Providers'!$AI$4:$AI$503,288))</f>
        <v/>
      </c>
    </row>
    <row r="792">
      <c r="A792">
        <f>IF(AND(LEN('Providers'!A292)&gt;0,ISNUMBER('Providers'!I292)),1,0)</f>
        <v/>
      </c>
      <c r="B792">
        <f>B791+A792</f>
        <v/>
      </c>
      <c r="C792">
        <f>IF(789&gt;$B$4503,"",MATCH(789-0.5,$B$3:$B$4503,1))</f>
        <v/>
      </c>
      <c r="D792">
        <f>"DEA registration ("&amp;IF(LEN(INDEX('Providers'!$E$4:$E$503,289))=0,"",INDEX('Providers'!$E$4:$E$503,289))&amp;") – "&amp;IF(LEN(INDEX('Providers'!$A$4:$A$503,289))=0,"",INDEX('Providers'!$A$4:$A$503,289))</f>
        <v/>
      </c>
      <c r="E792">
        <f>IF(ISNUMBER(INDEX('Providers'!$I$4:$I$503,289)),TEXT(INDEX('Providers'!$I$4:$I$503,289),"yyyy-mm-dd"),"")</f>
        <v/>
      </c>
      <c r="F792">
        <f>"Registration"</f>
        <v/>
      </c>
      <c r="G792">
        <f>""</f>
        <v/>
      </c>
      <c r="H792">
        <f>"High"</f>
        <v/>
      </c>
      <c r="I792">
        <f>TRIM(IF(LEN(IF(LEN(INDEX('Providers'!$H$4:$H$503,289))=0,"",INDEX('Providers'!$H$4:$H$503,289)))=0,"","DEA no.: "&amp;IF(LEN(INDEX('Providers'!$H$4:$H$503,289))=0,"",INDEX('Providers'!$H$4:$H$503,289))&amp;". ")&amp;IF(LEN(IF(LEN(INDEX('Providers'!$C$4:$C$503,289))=0,"",INDEX('Providers'!$C$4:$C$503,289)))=0,"","NPI: "&amp;IF(LEN(INDEX('Providers'!$C$4:$C$503,289))=0,"",INDEX('Providers'!$C$4:$C$503,289))&amp;". "))</f>
        <v/>
      </c>
      <c r="J792">
        <f>IF(LEN(INDEX('Providers'!$AJ$4:$AJ$503,289))=0,"",INDEX('Providers'!$AJ$4:$AJ$503,289))</f>
        <v/>
      </c>
      <c r="K792">
        <f>IF(LEN(INDEX('Providers'!$AI$4:$AI$503,289))=0,"",INDEX('Providers'!$AI$4:$AI$503,289))</f>
        <v/>
      </c>
    </row>
    <row r="793">
      <c r="A793">
        <f>IF(AND(LEN('Providers'!A293)&gt;0,ISNUMBER('Providers'!I293)),1,0)</f>
        <v/>
      </c>
      <c r="B793">
        <f>B792+A793</f>
        <v/>
      </c>
      <c r="C793">
        <f>IF(790&gt;$B$4503,"",MATCH(790-0.5,$B$3:$B$4503,1))</f>
        <v/>
      </c>
      <c r="D793">
        <f>"DEA registration ("&amp;IF(LEN(INDEX('Providers'!$E$4:$E$503,290))=0,"",INDEX('Providers'!$E$4:$E$503,290))&amp;") – "&amp;IF(LEN(INDEX('Providers'!$A$4:$A$503,290))=0,"",INDEX('Providers'!$A$4:$A$503,290))</f>
        <v/>
      </c>
      <c r="E793">
        <f>IF(ISNUMBER(INDEX('Providers'!$I$4:$I$503,290)),TEXT(INDEX('Providers'!$I$4:$I$503,290),"yyyy-mm-dd"),"")</f>
        <v/>
      </c>
      <c r="F793">
        <f>"Registration"</f>
        <v/>
      </c>
      <c r="G793">
        <f>""</f>
        <v/>
      </c>
      <c r="H793">
        <f>"High"</f>
        <v/>
      </c>
      <c r="I793">
        <f>TRIM(IF(LEN(IF(LEN(INDEX('Providers'!$H$4:$H$503,290))=0,"",INDEX('Providers'!$H$4:$H$503,290)))=0,"","DEA no.: "&amp;IF(LEN(INDEX('Providers'!$H$4:$H$503,290))=0,"",INDEX('Providers'!$H$4:$H$503,290))&amp;". ")&amp;IF(LEN(IF(LEN(INDEX('Providers'!$C$4:$C$503,290))=0,"",INDEX('Providers'!$C$4:$C$503,290)))=0,"","NPI: "&amp;IF(LEN(INDEX('Providers'!$C$4:$C$503,290))=0,"",INDEX('Providers'!$C$4:$C$503,290))&amp;". "))</f>
        <v/>
      </c>
      <c r="J793">
        <f>IF(LEN(INDEX('Providers'!$AJ$4:$AJ$503,290))=0,"",INDEX('Providers'!$AJ$4:$AJ$503,290))</f>
        <v/>
      </c>
      <c r="K793">
        <f>IF(LEN(INDEX('Providers'!$AI$4:$AI$503,290))=0,"",INDEX('Providers'!$AI$4:$AI$503,290))</f>
        <v/>
      </c>
    </row>
    <row r="794">
      <c r="A794">
        <f>IF(AND(LEN('Providers'!A294)&gt;0,ISNUMBER('Providers'!I294)),1,0)</f>
        <v/>
      </c>
      <c r="B794">
        <f>B793+A794</f>
        <v/>
      </c>
      <c r="C794">
        <f>IF(791&gt;$B$4503,"",MATCH(791-0.5,$B$3:$B$4503,1))</f>
        <v/>
      </c>
      <c r="D794">
        <f>"DEA registration ("&amp;IF(LEN(INDEX('Providers'!$E$4:$E$503,291))=0,"",INDEX('Providers'!$E$4:$E$503,291))&amp;") – "&amp;IF(LEN(INDEX('Providers'!$A$4:$A$503,291))=0,"",INDEX('Providers'!$A$4:$A$503,291))</f>
        <v/>
      </c>
      <c r="E794">
        <f>IF(ISNUMBER(INDEX('Providers'!$I$4:$I$503,291)),TEXT(INDEX('Providers'!$I$4:$I$503,291),"yyyy-mm-dd"),"")</f>
        <v/>
      </c>
      <c r="F794">
        <f>"Registration"</f>
        <v/>
      </c>
      <c r="G794">
        <f>""</f>
        <v/>
      </c>
      <c r="H794">
        <f>"High"</f>
        <v/>
      </c>
      <c r="I794">
        <f>TRIM(IF(LEN(IF(LEN(INDEX('Providers'!$H$4:$H$503,291))=0,"",INDEX('Providers'!$H$4:$H$503,291)))=0,"","DEA no.: "&amp;IF(LEN(INDEX('Providers'!$H$4:$H$503,291))=0,"",INDEX('Providers'!$H$4:$H$503,291))&amp;". ")&amp;IF(LEN(IF(LEN(INDEX('Providers'!$C$4:$C$503,291))=0,"",INDEX('Providers'!$C$4:$C$503,291)))=0,"","NPI: "&amp;IF(LEN(INDEX('Providers'!$C$4:$C$503,291))=0,"",INDEX('Providers'!$C$4:$C$503,291))&amp;". "))</f>
        <v/>
      </c>
      <c r="J794">
        <f>IF(LEN(INDEX('Providers'!$AJ$4:$AJ$503,291))=0,"",INDEX('Providers'!$AJ$4:$AJ$503,291))</f>
        <v/>
      </c>
      <c r="K794">
        <f>IF(LEN(INDEX('Providers'!$AI$4:$AI$503,291))=0,"",INDEX('Providers'!$AI$4:$AI$503,291))</f>
        <v/>
      </c>
    </row>
    <row r="795">
      <c r="A795">
        <f>IF(AND(LEN('Providers'!A295)&gt;0,ISNUMBER('Providers'!I295)),1,0)</f>
        <v/>
      </c>
      <c r="B795">
        <f>B794+A795</f>
        <v/>
      </c>
      <c r="C795">
        <f>IF(792&gt;$B$4503,"",MATCH(792-0.5,$B$3:$B$4503,1))</f>
        <v/>
      </c>
      <c r="D795">
        <f>"DEA registration ("&amp;IF(LEN(INDEX('Providers'!$E$4:$E$503,292))=0,"",INDEX('Providers'!$E$4:$E$503,292))&amp;") – "&amp;IF(LEN(INDEX('Providers'!$A$4:$A$503,292))=0,"",INDEX('Providers'!$A$4:$A$503,292))</f>
        <v/>
      </c>
      <c r="E795">
        <f>IF(ISNUMBER(INDEX('Providers'!$I$4:$I$503,292)),TEXT(INDEX('Providers'!$I$4:$I$503,292),"yyyy-mm-dd"),"")</f>
        <v/>
      </c>
      <c r="F795">
        <f>"Registration"</f>
        <v/>
      </c>
      <c r="G795">
        <f>""</f>
        <v/>
      </c>
      <c r="H795">
        <f>"High"</f>
        <v/>
      </c>
      <c r="I795">
        <f>TRIM(IF(LEN(IF(LEN(INDEX('Providers'!$H$4:$H$503,292))=0,"",INDEX('Providers'!$H$4:$H$503,292)))=0,"","DEA no.: "&amp;IF(LEN(INDEX('Providers'!$H$4:$H$503,292))=0,"",INDEX('Providers'!$H$4:$H$503,292))&amp;". ")&amp;IF(LEN(IF(LEN(INDEX('Providers'!$C$4:$C$503,292))=0,"",INDEX('Providers'!$C$4:$C$503,292)))=0,"","NPI: "&amp;IF(LEN(INDEX('Providers'!$C$4:$C$503,292))=0,"",INDEX('Providers'!$C$4:$C$503,292))&amp;". "))</f>
        <v/>
      </c>
      <c r="J795">
        <f>IF(LEN(INDEX('Providers'!$AJ$4:$AJ$503,292))=0,"",INDEX('Providers'!$AJ$4:$AJ$503,292))</f>
        <v/>
      </c>
      <c r="K795">
        <f>IF(LEN(INDEX('Providers'!$AI$4:$AI$503,292))=0,"",INDEX('Providers'!$AI$4:$AI$503,292))</f>
        <v/>
      </c>
    </row>
    <row r="796">
      <c r="A796">
        <f>IF(AND(LEN('Providers'!A296)&gt;0,ISNUMBER('Providers'!I296)),1,0)</f>
        <v/>
      </c>
      <c r="B796">
        <f>B795+A796</f>
        <v/>
      </c>
      <c r="C796">
        <f>IF(793&gt;$B$4503,"",MATCH(793-0.5,$B$3:$B$4503,1))</f>
        <v/>
      </c>
      <c r="D796">
        <f>"DEA registration ("&amp;IF(LEN(INDEX('Providers'!$E$4:$E$503,293))=0,"",INDEX('Providers'!$E$4:$E$503,293))&amp;") – "&amp;IF(LEN(INDEX('Providers'!$A$4:$A$503,293))=0,"",INDEX('Providers'!$A$4:$A$503,293))</f>
        <v/>
      </c>
      <c r="E796">
        <f>IF(ISNUMBER(INDEX('Providers'!$I$4:$I$503,293)),TEXT(INDEX('Providers'!$I$4:$I$503,293),"yyyy-mm-dd"),"")</f>
        <v/>
      </c>
      <c r="F796">
        <f>"Registration"</f>
        <v/>
      </c>
      <c r="G796">
        <f>""</f>
        <v/>
      </c>
      <c r="H796">
        <f>"High"</f>
        <v/>
      </c>
      <c r="I796">
        <f>TRIM(IF(LEN(IF(LEN(INDEX('Providers'!$H$4:$H$503,293))=0,"",INDEX('Providers'!$H$4:$H$503,293)))=0,"","DEA no.: "&amp;IF(LEN(INDEX('Providers'!$H$4:$H$503,293))=0,"",INDEX('Providers'!$H$4:$H$503,293))&amp;". ")&amp;IF(LEN(IF(LEN(INDEX('Providers'!$C$4:$C$503,293))=0,"",INDEX('Providers'!$C$4:$C$503,293)))=0,"","NPI: "&amp;IF(LEN(INDEX('Providers'!$C$4:$C$503,293))=0,"",INDEX('Providers'!$C$4:$C$503,293))&amp;". "))</f>
        <v/>
      </c>
      <c r="J796">
        <f>IF(LEN(INDEX('Providers'!$AJ$4:$AJ$503,293))=0,"",INDEX('Providers'!$AJ$4:$AJ$503,293))</f>
        <v/>
      </c>
      <c r="K796">
        <f>IF(LEN(INDEX('Providers'!$AI$4:$AI$503,293))=0,"",INDEX('Providers'!$AI$4:$AI$503,293))</f>
        <v/>
      </c>
    </row>
    <row r="797">
      <c r="A797">
        <f>IF(AND(LEN('Providers'!A297)&gt;0,ISNUMBER('Providers'!I297)),1,0)</f>
        <v/>
      </c>
      <c r="B797">
        <f>B796+A797</f>
        <v/>
      </c>
      <c r="C797">
        <f>IF(794&gt;$B$4503,"",MATCH(794-0.5,$B$3:$B$4503,1))</f>
        <v/>
      </c>
      <c r="D797">
        <f>"DEA registration ("&amp;IF(LEN(INDEX('Providers'!$E$4:$E$503,294))=0,"",INDEX('Providers'!$E$4:$E$503,294))&amp;") – "&amp;IF(LEN(INDEX('Providers'!$A$4:$A$503,294))=0,"",INDEX('Providers'!$A$4:$A$503,294))</f>
        <v/>
      </c>
      <c r="E797">
        <f>IF(ISNUMBER(INDEX('Providers'!$I$4:$I$503,294)),TEXT(INDEX('Providers'!$I$4:$I$503,294),"yyyy-mm-dd"),"")</f>
        <v/>
      </c>
      <c r="F797">
        <f>"Registration"</f>
        <v/>
      </c>
      <c r="G797">
        <f>""</f>
        <v/>
      </c>
      <c r="H797">
        <f>"High"</f>
        <v/>
      </c>
      <c r="I797">
        <f>TRIM(IF(LEN(IF(LEN(INDEX('Providers'!$H$4:$H$503,294))=0,"",INDEX('Providers'!$H$4:$H$503,294)))=0,"","DEA no.: "&amp;IF(LEN(INDEX('Providers'!$H$4:$H$503,294))=0,"",INDEX('Providers'!$H$4:$H$503,294))&amp;". ")&amp;IF(LEN(IF(LEN(INDEX('Providers'!$C$4:$C$503,294))=0,"",INDEX('Providers'!$C$4:$C$503,294)))=0,"","NPI: "&amp;IF(LEN(INDEX('Providers'!$C$4:$C$503,294))=0,"",INDEX('Providers'!$C$4:$C$503,294))&amp;". "))</f>
        <v/>
      </c>
      <c r="J797">
        <f>IF(LEN(INDEX('Providers'!$AJ$4:$AJ$503,294))=0,"",INDEX('Providers'!$AJ$4:$AJ$503,294))</f>
        <v/>
      </c>
      <c r="K797">
        <f>IF(LEN(INDEX('Providers'!$AI$4:$AI$503,294))=0,"",INDEX('Providers'!$AI$4:$AI$503,294))</f>
        <v/>
      </c>
    </row>
    <row r="798">
      <c r="A798">
        <f>IF(AND(LEN('Providers'!A298)&gt;0,ISNUMBER('Providers'!I298)),1,0)</f>
        <v/>
      </c>
      <c r="B798">
        <f>B797+A798</f>
        <v/>
      </c>
      <c r="C798">
        <f>IF(795&gt;$B$4503,"",MATCH(795-0.5,$B$3:$B$4503,1))</f>
        <v/>
      </c>
      <c r="D798">
        <f>"DEA registration ("&amp;IF(LEN(INDEX('Providers'!$E$4:$E$503,295))=0,"",INDEX('Providers'!$E$4:$E$503,295))&amp;") – "&amp;IF(LEN(INDEX('Providers'!$A$4:$A$503,295))=0,"",INDEX('Providers'!$A$4:$A$503,295))</f>
        <v/>
      </c>
      <c r="E798">
        <f>IF(ISNUMBER(INDEX('Providers'!$I$4:$I$503,295)),TEXT(INDEX('Providers'!$I$4:$I$503,295),"yyyy-mm-dd"),"")</f>
        <v/>
      </c>
      <c r="F798">
        <f>"Registration"</f>
        <v/>
      </c>
      <c r="G798">
        <f>""</f>
        <v/>
      </c>
      <c r="H798">
        <f>"High"</f>
        <v/>
      </c>
      <c r="I798">
        <f>TRIM(IF(LEN(IF(LEN(INDEX('Providers'!$H$4:$H$503,295))=0,"",INDEX('Providers'!$H$4:$H$503,295)))=0,"","DEA no.: "&amp;IF(LEN(INDEX('Providers'!$H$4:$H$503,295))=0,"",INDEX('Providers'!$H$4:$H$503,295))&amp;". ")&amp;IF(LEN(IF(LEN(INDEX('Providers'!$C$4:$C$503,295))=0,"",INDEX('Providers'!$C$4:$C$503,295)))=0,"","NPI: "&amp;IF(LEN(INDEX('Providers'!$C$4:$C$503,295))=0,"",INDEX('Providers'!$C$4:$C$503,295))&amp;". "))</f>
        <v/>
      </c>
      <c r="J798">
        <f>IF(LEN(INDEX('Providers'!$AJ$4:$AJ$503,295))=0,"",INDEX('Providers'!$AJ$4:$AJ$503,295))</f>
        <v/>
      </c>
      <c r="K798">
        <f>IF(LEN(INDEX('Providers'!$AI$4:$AI$503,295))=0,"",INDEX('Providers'!$AI$4:$AI$503,295))</f>
        <v/>
      </c>
    </row>
    <row r="799">
      <c r="A799">
        <f>IF(AND(LEN('Providers'!A299)&gt;0,ISNUMBER('Providers'!I299)),1,0)</f>
        <v/>
      </c>
      <c r="B799">
        <f>B798+A799</f>
        <v/>
      </c>
      <c r="C799">
        <f>IF(796&gt;$B$4503,"",MATCH(796-0.5,$B$3:$B$4503,1))</f>
        <v/>
      </c>
      <c r="D799">
        <f>"DEA registration ("&amp;IF(LEN(INDEX('Providers'!$E$4:$E$503,296))=0,"",INDEX('Providers'!$E$4:$E$503,296))&amp;") – "&amp;IF(LEN(INDEX('Providers'!$A$4:$A$503,296))=0,"",INDEX('Providers'!$A$4:$A$503,296))</f>
        <v/>
      </c>
      <c r="E799">
        <f>IF(ISNUMBER(INDEX('Providers'!$I$4:$I$503,296)),TEXT(INDEX('Providers'!$I$4:$I$503,296),"yyyy-mm-dd"),"")</f>
        <v/>
      </c>
      <c r="F799">
        <f>"Registration"</f>
        <v/>
      </c>
      <c r="G799">
        <f>""</f>
        <v/>
      </c>
      <c r="H799">
        <f>"High"</f>
        <v/>
      </c>
      <c r="I799">
        <f>TRIM(IF(LEN(IF(LEN(INDEX('Providers'!$H$4:$H$503,296))=0,"",INDEX('Providers'!$H$4:$H$503,296)))=0,"","DEA no.: "&amp;IF(LEN(INDEX('Providers'!$H$4:$H$503,296))=0,"",INDEX('Providers'!$H$4:$H$503,296))&amp;". ")&amp;IF(LEN(IF(LEN(INDEX('Providers'!$C$4:$C$503,296))=0,"",INDEX('Providers'!$C$4:$C$503,296)))=0,"","NPI: "&amp;IF(LEN(INDEX('Providers'!$C$4:$C$503,296))=0,"",INDEX('Providers'!$C$4:$C$503,296))&amp;". "))</f>
        <v/>
      </c>
      <c r="J799">
        <f>IF(LEN(INDEX('Providers'!$AJ$4:$AJ$503,296))=0,"",INDEX('Providers'!$AJ$4:$AJ$503,296))</f>
        <v/>
      </c>
      <c r="K799">
        <f>IF(LEN(INDEX('Providers'!$AI$4:$AI$503,296))=0,"",INDEX('Providers'!$AI$4:$AI$503,296))</f>
        <v/>
      </c>
    </row>
    <row r="800">
      <c r="A800">
        <f>IF(AND(LEN('Providers'!A300)&gt;0,ISNUMBER('Providers'!I300)),1,0)</f>
        <v/>
      </c>
      <c r="B800">
        <f>B799+A800</f>
        <v/>
      </c>
      <c r="C800">
        <f>IF(797&gt;$B$4503,"",MATCH(797-0.5,$B$3:$B$4503,1))</f>
        <v/>
      </c>
      <c r="D800">
        <f>"DEA registration ("&amp;IF(LEN(INDEX('Providers'!$E$4:$E$503,297))=0,"",INDEX('Providers'!$E$4:$E$503,297))&amp;") – "&amp;IF(LEN(INDEX('Providers'!$A$4:$A$503,297))=0,"",INDEX('Providers'!$A$4:$A$503,297))</f>
        <v/>
      </c>
      <c r="E800">
        <f>IF(ISNUMBER(INDEX('Providers'!$I$4:$I$503,297)),TEXT(INDEX('Providers'!$I$4:$I$503,297),"yyyy-mm-dd"),"")</f>
        <v/>
      </c>
      <c r="F800">
        <f>"Registration"</f>
        <v/>
      </c>
      <c r="G800">
        <f>""</f>
        <v/>
      </c>
      <c r="H800">
        <f>"High"</f>
        <v/>
      </c>
      <c r="I800">
        <f>TRIM(IF(LEN(IF(LEN(INDEX('Providers'!$H$4:$H$503,297))=0,"",INDEX('Providers'!$H$4:$H$503,297)))=0,"","DEA no.: "&amp;IF(LEN(INDEX('Providers'!$H$4:$H$503,297))=0,"",INDEX('Providers'!$H$4:$H$503,297))&amp;". ")&amp;IF(LEN(IF(LEN(INDEX('Providers'!$C$4:$C$503,297))=0,"",INDEX('Providers'!$C$4:$C$503,297)))=0,"","NPI: "&amp;IF(LEN(INDEX('Providers'!$C$4:$C$503,297))=0,"",INDEX('Providers'!$C$4:$C$503,297))&amp;". "))</f>
        <v/>
      </c>
      <c r="J800">
        <f>IF(LEN(INDEX('Providers'!$AJ$4:$AJ$503,297))=0,"",INDEX('Providers'!$AJ$4:$AJ$503,297))</f>
        <v/>
      </c>
      <c r="K800">
        <f>IF(LEN(INDEX('Providers'!$AI$4:$AI$503,297))=0,"",INDEX('Providers'!$AI$4:$AI$503,297))</f>
        <v/>
      </c>
    </row>
    <row r="801">
      <c r="A801">
        <f>IF(AND(LEN('Providers'!A301)&gt;0,ISNUMBER('Providers'!I301)),1,0)</f>
        <v/>
      </c>
      <c r="B801">
        <f>B800+A801</f>
        <v/>
      </c>
      <c r="C801">
        <f>IF(798&gt;$B$4503,"",MATCH(798-0.5,$B$3:$B$4503,1))</f>
        <v/>
      </c>
      <c r="D801">
        <f>"DEA registration ("&amp;IF(LEN(INDEX('Providers'!$E$4:$E$503,298))=0,"",INDEX('Providers'!$E$4:$E$503,298))&amp;") – "&amp;IF(LEN(INDEX('Providers'!$A$4:$A$503,298))=0,"",INDEX('Providers'!$A$4:$A$503,298))</f>
        <v/>
      </c>
      <c r="E801">
        <f>IF(ISNUMBER(INDEX('Providers'!$I$4:$I$503,298)),TEXT(INDEX('Providers'!$I$4:$I$503,298),"yyyy-mm-dd"),"")</f>
        <v/>
      </c>
      <c r="F801">
        <f>"Registration"</f>
        <v/>
      </c>
      <c r="G801">
        <f>""</f>
        <v/>
      </c>
      <c r="H801">
        <f>"High"</f>
        <v/>
      </c>
      <c r="I801">
        <f>TRIM(IF(LEN(IF(LEN(INDEX('Providers'!$H$4:$H$503,298))=0,"",INDEX('Providers'!$H$4:$H$503,298)))=0,"","DEA no.: "&amp;IF(LEN(INDEX('Providers'!$H$4:$H$503,298))=0,"",INDEX('Providers'!$H$4:$H$503,298))&amp;". ")&amp;IF(LEN(IF(LEN(INDEX('Providers'!$C$4:$C$503,298))=0,"",INDEX('Providers'!$C$4:$C$503,298)))=0,"","NPI: "&amp;IF(LEN(INDEX('Providers'!$C$4:$C$503,298))=0,"",INDEX('Providers'!$C$4:$C$503,298))&amp;". "))</f>
        <v/>
      </c>
      <c r="J801">
        <f>IF(LEN(INDEX('Providers'!$AJ$4:$AJ$503,298))=0,"",INDEX('Providers'!$AJ$4:$AJ$503,298))</f>
        <v/>
      </c>
      <c r="K801">
        <f>IF(LEN(INDEX('Providers'!$AI$4:$AI$503,298))=0,"",INDEX('Providers'!$AI$4:$AI$503,298))</f>
        <v/>
      </c>
    </row>
    <row r="802">
      <c r="A802">
        <f>IF(AND(LEN('Providers'!A302)&gt;0,ISNUMBER('Providers'!I302)),1,0)</f>
        <v/>
      </c>
      <c r="B802">
        <f>B801+A802</f>
        <v/>
      </c>
      <c r="C802">
        <f>IF(799&gt;$B$4503,"",MATCH(799-0.5,$B$3:$B$4503,1))</f>
        <v/>
      </c>
      <c r="D802">
        <f>"DEA registration ("&amp;IF(LEN(INDEX('Providers'!$E$4:$E$503,299))=0,"",INDEX('Providers'!$E$4:$E$503,299))&amp;") – "&amp;IF(LEN(INDEX('Providers'!$A$4:$A$503,299))=0,"",INDEX('Providers'!$A$4:$A$503,299))</f>
        <v/>
      </c>
      <c r="E802">
        <f>IF(ISNUMBER(INDEX('Providers'!$I$4:$I$503,299)),TEXT(INDEX('Providers'!$I$4:$I$503,299),"yyyy-mm-dd"),"")</f>
        <v/>
      </c>
      <c r="F802">
        <f>"Registration"</f>
        <v/>
      </c>
      <c r="G802">
        <f>""</f>
        <v/>
      </c>
      <c r="H802">
        <f>"High"</f>
        <v/>
      </c>
      <c r="I802">
        <f>TRIM(IF(LEN(IF(LEN(INDEX('Providers'!$H$4:$H$503,299))=0,"",INDEX('Providers'!$H$4:$H$503,299)))=0,"","DEA no.: "&amp;IF(LEN(INDEX('Providers'!$H$4:$H$503,299))=0,"",INDEX('Providers'!$H$4:$H$503,299))&amp;". ")&amp;IF(LEN(IF(LEN(INDEX('Providers'!$C$4:$C$503,299))=0,"",INDEX('Providers'!$C$4:$C$503,299)))=0,"","NPI: "&amp;IF(LEN(INDEX('Providers'!$C$4:$C$503,299))=0,"",INDEX('Providers'!$C$4:$C$503,299))&amp;". "))</f>
        <v/>
      </c>
      <c r="J802">
        <f>IF(LEN(INDEX('Providers'!$AJ$4:$AJ$503,299))=0,"",INDEX('Providers'!$AJ$4:$AJ$503,299))</f>
        <v/>
      </c>
      <c r="K802">
        <f>IF(LEN(INDEX('Providers'!$AI$4:$AI$503,299))=0,"",INDEX('Providers'!$AI$4:$AI$503,299))</f>
        <v/>
      </c>
    </row>
    <row r="803">
      <c r="A803">
        <f>IF(AND(LEN('Providers'!A303)&gt;0,ISNUMBER('Providers'!I303)),1,0)</f>
        <v/>
      </c>
      <c r="B803">
        <f>B802+A803</f>
        <v/>
      </c>
      <c r="C803">
        <f>IF(800&gt;$B$4503,"",MATCH(800-0.5,$B$3:$B$4503,1))</f>
        <v/>
      </c>
      <c r="D803">
        <f>"DEA registration ("&amp;IF(LEN(INDEX('Providers'!$E$4:$E$503,300))=0,"",INDEX('Providers'!$E$4:$E$503,300))&amp;") – "&amp;IF(LEN(INDEX('Providers'!$A$4:$A$503,300))=0,"",INDEX('Providers'!$A$4:$A$503,300))</f>
        <v/>
      </c>
      <c r="E803">
        <f>IF(ISNUMBER(INDEX('Providers'!$I$4:$I$503,300)),TEXT(INDEX('Providers'!$I$4:$I$503,300),"yyyy-mm-dd"),"")</f>
        <v/>
      </c>
      <c r="F803">
        <f>"Registration"</f>
        <v/>
      </c>
      <c r="G803">
        <f>""</f>
        <v/>
      </c>
      <c r="H803">
        <f>"High"</f>
        <v/>
      </c>
      <c r="I803">
        <f>TRIM(IF(LEN(IF(LEN(INDEX('Providers'!$H$4:$H$503,300))=0,"",INDEX('Providers'!$H$4:$H$503,300)))=0,"","DEA no.: "&amp;IF(LEN(INDEX('Providers'!$H$4:$H$503,300))=0,"",INDEX('Providers'!$H$4:$H$503,300))&amp;". ")&amp;IF(LEN(IF(LEN(INDEX('Providers'!$C$4:$C$503,300))=0,"",INDEX('Providers'!$C$4:$C$503,300)))=0,"","NPI: "&amp;IF(LEN(INDEX('Providers'!$C$4:$C$503,300))=0,"",INDEX('Providers'!$C$4:$C$503,300))&amp;". "))</f>
        <v/>
      </c>
      <c r="J803">
        <f>IF(LEN(INDEX('Providers'!$AJ$4:$AJ$503,300))=0,"",INDEX('Providers'!$AJ$4:$AJ$503,300))</f>
        <v/>
      </c>
      <c r="K803">
        <f>IF(LEN(INDEX('Providers'!$AI$4:$AI$503,300))=0,"",INDEX('Providers'!$AI$4:$AI$503,300))</f>
        <v/>
      </c>
    </row>
    <row r="804">
      <c r="A804">
        <f>IF(AND(LEN('Providers'!A304)&gt;0,ISNUMBER('Providers'!I304)),1,0)</f>
        <v/>
      </c>
      <c r="B804">
        <f>B803+A804</f>
        <v/>
      </c>
      <c r="C804">
        <f>IF(801&gt;$B$4503,"",MATCH(801-0.5,$B$3:$B$4503,1))</f>
        <v/>
      </c>
      <c r="D804">
        <f>"DEA registration ("&amp;IF(LEN(INDEX('Providers'!$E$4:$E$503,301))=0,"",INDEX('Providers'!$E$4:$E$503,301))&amp;") – "&amp;IF(LEN(INDEX('Providers'!$A$4:$A$503,301))=0,"",INDEX('Providers'!$A$4:$A$503,301))</f>
        <v/>
      </c>
      <c r="E804">
        <f>IF(ISNUMBER(INDEX('Providers'!$I$4:$I$503,301)),TEXT(INDEX('Providers'!$I$4:$I$503,301),"yyyy-mm-dd"),"")</f>
        <v/>
      </c>
      <c r="F804">
        <f>"Registration"</f>
        <v/>
      </c>
      <c r="G804">
        <f>""</f>
        <v/>
      </c>
      <c r="H804">
        <f>"High"</f>
        <v/>
      </c>
      <c r="I804">
        <f>TRIM(IF(LEN(IF(LEN(INDEX('Providers'!$H$4:$H$503,301))=0,"",INDEX('Providers'!$H$4:$H$503,301)))=0,"","DEA no.: "&amp;IF(LEN(INDEX('Providers'!$H$4:$H$503,301))=0,"",INDEX('Providers'!$H$4:$H$503,301))&amp;". ")&amp;IF(LEN(IF(LEN(INDEX('Providers'!$C$4:$C$503,301))=0,"",INDEX('Providers'!$C$4:$C$503,301)))=0,"","NPI: "&amp;IF(LEN(INDEX('Providers'!$C$4:$C$503,301))=0,"",INDEX('Providers'!$C$4:$C$503,301))&amp;". "))</f>
        <v/>
      </c>
      <c r="J804">
        <f>IF(LEN(INDEX('Providers'!$AJ$4:$AJ$503,301))=0,"",INDEX('Providers'!$AJ$4:$AJ$503,301))</f>
        <v/>
      </c>
      <c r="K804">
        <f>IF(LEN(INDEX('Providers'!$AI$4:$AI$503,301))=0,"",INDEX('Providers'!$AI$4:$AI$503,301))</f>
        <v/>
      </c>
    </row>
    <row r="805">
      <c r="A805">
        <f>IF(AND(LEN('Providers'!A305)&gt;0,ISNUMBER('Providers'!I305)),1,0)</f>
        <v/>
      </c>
      <c r="B805">
        <f>B804+A805</f>
        <v/>
      </c>
      <c r="C805">
        <f>IF(802&gt;$B$4503,"",MATCH(802-0.5,$B$3:$B$4503,1))</f>
        <v/>
      </c>
      <c r="D805">
        <f>"DEA registration ("&amp;IF(LEN(INDEX('Providers'!$E$4:$E$503,302))=0,"",INDEX('Providers'!$E$4:$E$503,302))&amp;") – "&amp;IF(LEN(INDEX('Providers'!$A$4:$A$503,302))=0,"",INDEX('Providers'!$A$4:$A$503,302))</f>
        <v/>
      </c>
      <c r="E805">
        <f>IF(ISNUMBER(INDEX('Providers'!$I$4:$I$503,302)),TEXT(INDEX('Providers'!$I$4:$I$503,302),"yyyy-mm-dd"),"")</f>
        <v/>
      </c>
      <c r="F805">
        <f>"Registration"</f>
        <v/>
      </c>
      <c r="G805">
        <f>""</f>
        <v/>
      </c>
      <c r="H805">
        <f>"High"</f>
        <v/>
      </c>
      <c r="I805">
        <f>TRIM(IF(LEN(IF(LEN(INDEX('Providers'!$H$4:$H$503,302))=0,"",INDEX('Providers'!$H$4:$H$503,302)))=0,"","DEA no.: "&amp;IF(LEN(INDEX('Providers'!$H$4:$H$503,302))=0,"",INDEX('Providers'!$H$4:$H$503,302))&amp;". ")&amp;IF(LEN(IF(LEN(INDEX('Providers'!$C$4:$C$503,302))=0,"",INDEX('Providers'!$C$4:$C$503,302)))=0,"","NPI: "&amp;IF(LEN(INDEX('Providers'!$C$4:$C$503,302))=0,"",INDEX('Providers'!$C$4:$C$503,302))&amp;". "))</f>
        <v/>
      </c>
      <c r="J805">
        <f>IF(LEN(INDEX('Providers'!$AJ$4:$AJ$503,302))=0,"",INDEX('Providers'!$AJ$4:$AJ$503,302))</f>
        <v/>
      </c>
      <c r="K805">
        <f>IF(LEN(INDEX('Providers'!$AI$4:$AI$503,302))=0,"",INDEX('Providers'!$AI$4:$AI$503,302))</f>
        <v/>
      </c>
    </row>
    <row r="806">
      <c r="A806">
        <f>IF(AND(LEN('Providers'!A306)&gt;0,ISNUMBER('Providers'!I306)),1,0)</f>
        <v/>
      </c>
      <c r="B806">
        <f>B805+A806</f>
        <v/>
      </c>
      <c r="C806">
        <f>IF(803&gt;$B$4503,"",MATCH(803-0.5,$B$3:$B$4503,1))</f>
        <v/>
      </c>
      <c r="D806">
        <f>"DEA registration ("&amp;IF(LEN(INDEX('Providers'!$E$4:$E$503,303))=0,"",INDEX('Providers'!$E$4:$E$503,303))&amp;") – "&amp;IF(LEN(INDEX('Providers'!$A$4:$A$503,303))=0,"",INDEX('Providers'!$A$4:$A$503,303))</f>
        <v/>
      </c>
      <c r="E806">
        <f>IF(ISNUMBER(INDEX('Providers'!$I$4:$I$503,303)),TEXT(INDEX('Providers'!$I$4:$I$503,303),"yyyy-mm-dd"),"")</f>
        <v/>
      </c>
      <c r="F806">
        <f>"Registration"</f>
        <v/>
      </c>
      <c r="G806">
        <f>""</f>
        <v/>
      </c>
      <c r="H806">
        <f>"High"</f>
        <v/>
      </c>
      <c r="I806">
        <f>TRIM(IF(LEN(IF(LEN(INDEX('Providers'!$H$4:$H$503,303))=0,"",INDEX('Providers'!$H$4:$H$503,303)))=0,"","DEA no.: "&amp;IF(LEN(INDEX('Providers'!$H$4:$H$503,303))=0,"",INDEX('Providers'!$H$4:$H$503,303))&amp;". ")&amp;IF(LEN(IF(LEN(INDEX('Providers'!$C$4:$C$503,303))=0,"",INDEX('Providers'!$C$4:$C$503,303)))=0,"","NPI: "&amp;IF(LEN(INDEX('Providers'!$C$4:$C$503,303))=0,"",INDEX('Providers'!$C$4:$C$503,303))&amp;". "))</f>
        <v/>
      </c>
      <c r="J806">
        <f>IF(LEN(INDEX('Providers'!$AJ$4:$AJ$503,303))=0,"",INDEX('Providers'!$AJ$4:$AJ$503,303))</f>
        <v/>
      </c>
      <c r="K806">
        <f>IF(LEN(INDEX('Providers'!$AI$4:$AI$503,303))=0,"",INDEX('Providers'!$AI$4:$AI$503,303))</f>
        <v/>
      </c>
    </row>
    <row r="807">
      <c r="A807">
        <f>IF(AND(LEN('Providers'!A307)&gt;0,ISNUMBER('Providers'!I307)),1,0)</f>
        <v/>
      </c>
      <c r="B807">
        <f>B806+A807</f>
        <v/>
      </c>
      <c r="C807">
        <f>IF(804&gt;$B$4503,"",MATCH(804-0.5,$B$3:$B$4503,1))</f>
        <v/>
      </c>
      <c r="D807">
        <f>"DEA registration ("&amp;IF(LEN(INDEX('Providers'!$E$4:$E$503,304))=0,"",INDEX('Providers'!$E$4:$E$503,304))&amp;") – "&amp;IF(LEN(INDEX('Providers'!$A$4:$A$503,304))=0,"",INDEX('Providers'!$A$4:$A$503,304))</f>
        <v/>
      </c>
      <c r="E807">
        <f>IF(ISNUMBER(INDEX('Providers'!$I$4:$I$503,304)),TEXT(INDEX('Providers'!$I$4:$I$503,304),"yyyy-mm-dd"),"")</f>
        <v/>
      </c>
      <c r="F807">
        <f>"Registration"</f>
        <v/>
      </c>
      <c r="G807">
        <f>""</f>
        <v/>
      </c>
      <c r="H807">
        <f>"High"</f>
        <v/>
      </c>
      <c r="I807">
        <f>TRIM(IF(LEN(IF(LEN(INDEX('Providers'!$H$4:$H$503,304))=0,"",INDEX('Providers'!$H$4:$H$503,304)))=0,"","DEA no.: "&amp;IF(LEN(INDEX('Providers'!$H$4:$H$503,304))=0,"",INDEX('Providers'!$H$4:$H$503,304))&amp;". ")&amp;IF(LEN(IF(LEN(INDEX('Providers'!$C$4:$C$503,304))=0,"",INDEX('Providers'!$C$4:$C$503,304)))=0,"","NPI: "&amp;IF(LEN(INDEX('Providers'!$C$4:$C$503,304))=0,"",INDEX('Providers'!$C$4:$C$503,304))&amp;". "))</f>
        <v/>
      </c>
      <c r="J807">
        <f>IF(LEN(INDEX('Providers'!$AJ$4:$AJ$503,304))=0,"",INDEX('Providers'!$AJ$4:$AJ$503,304))</f>
        <v/>
      </c>
      <c r="K807">
        <f>IF(LEN(INDEX('Providers'!$AI$4:$AI$503,304))=0,"",INDEX('Providers'!$AI$4:$AI$503,304))</f>
        <v/>
      </c>
    </row>
    <row r="808">
      <c r="A808">
        <f>IF(AND(LEN('Providers'!A308)&gt;0,ISNUMBER('Providers'!I308)),1,0)</f>
        <v/>
      </c>
      <c r="B808">
        <f>B807+A808</f>
        <v/>
      </c>
      <c r="C808">
        <f>IF(805&gt;$B$4503,"",MATCH(805-0.5,$B$3:$B$4503,1))</f>
        <v/>
      </c>
      <c r="D808">
        <f>"DEA registration ("&amp;IF(LEN(INDEX('Providers'!$E$4:$E$503,305))=0,"",INDEX('Providers'!$E$4:$E$503,305))&amp;") – "&amp;IF(LEN(INDEX('Providers'!$A$4:$A$503,305))=0,"",INDEX('Providers'!$A$4:$A$503,305))</f>
        <v/>
      </c>
      <c r="E808">
        <f>IF(ISNUMBER(INDEX('Providers'!$I$4:$I$503,305)),TEXT(INDEX('Providers'!$I$4:$I$503,305),"yyyy-mm-dd"),"")</f>
        <v/>
      </c>
      <c r="F808">
        <f>"Registration"</f>
        <v/>
      </c>
      <c r="G808">
        <f>""</f>
        <v/>
      </c>
      <c r="H808">
        <f>"High"</f>
        <v/>
      </c>
      <c r="I808">
        <f>TRIM(IF(LEN(IF(LEN(INDEX('Providers'!$H$4:$H$503,305))=0,"",INDEX('Providers'!$H$4:$H$503,305)))=0,"","DEA no.: "&amp;IF(LEN(INDEX('Providers'!$H$4:$H$503,305))=0,"",INDEX('Providers'!$H$4:$H$503,305))&amp;". ")&amp;IF(LEN(IF(LEN(INDEX('Providers'!$C$4:$C$503,305))=0,"",INDEX('Providers'!$C$4:$C$503,305)))=0,"","NPI: "&amp;IF(LEN(INDEX('Providers'!$C$4:$C$503,305))=0,"",INDEX('Providers'!$C$4:$C$503,305))&amp;". "))</f>
        <v/>
      </c>
      <c r="J808">
        <f>IF(LEN(INDEX('Providers'!$AJ$4:$AJ$503,305))=0,"",INDEX('Providers'!$AJ$4:$AJ$503,305))</f>
        <v/>
      </c>
      <c r="K808">
        <f>IF(LEN(INDEX('Providers'!$AI$4:$AI$503,305))=0,"",INDEX('Providers'!$AI$4:$AI$503,305))</f>
        <v/>
      </c>
    </row>
    <row r="809">
      <c r="A809">
        <f>IF(AND(LEN('Providers'!A309)&gt;0,ISNUMBER('Providers'!I309)),1,0)</f>
        <v/>
      </c>
      <c r="B809">
        <f>B808+A809</f>
        <v/>
      </c>
      <c r="C809">
        <f>IF(806&gt;$B$4503,"",MATCH(806-0.5,$B$3:$B$4503,1))</f>
        <v/>
      </c>
      <c r="D809">
        <f>"DEA registration ("&amp;IF(LEN(INDEX('Providers'!$E$4:$E$503,306))=0,"",INDEX('Providers'!$E$4:$E$503,306))&amp;") – "&amp;IF(LEN(INDEX('Providers'!$A$4:$A$503,306))=0,"",INDEX('Providers'!$A$4:$A$503,306))</f>
        <v/>
      </c>
      <c r="E809">
        <f>IF(ISNUMBER(INDEX('Providers'!$I$4:$I$503,306)),TEXT(INDEX('Providers'!$I$4:$I$503,306),"yyyy-mm-dd"),"")</f>
        <v/>
      </c>
      <c r="F809">
        <f>"Registration"</f>
        <v/>
      </c>
      <c r="G809">
        <f>""</f>
        <v/>
      </c>
      <c r="H809">
        <f>"High"</f>
        <v/>
      </c>
      <c r="I809">
        <f>TRIM(IF(LEN(IF(LEN(INDEX('Providers'!$H$4:$H$503,306))=0,"",INDEX('Providers'!$H$4:$H$503,306)))=0,"","DEA no.: "&amp;IF(LEN(INDEX('Providers'!$H$4:$H$503,306))=0,"",INDEX('Providers'!$H$4:$H$503,306))&amp;". ")&amp;IF(LEN(IF(LEN(INDEX('Providers'!$C$4:$C$503,306))=0,"",INDEX('Providers'!$C$4:$C$503,306)))=0,"","NPI: "&amp;IF(LEN(INDEX('Providers'!$C$4:$C$503,306))=0,"",INDEX('Providers'!$C$4:$C$503,306))&amp;". "))</f>
        <v/>
      </c>
      <c r="J809">
        <f>IF(LEN(INDEX('Providers'!$AJ$4:$AJ$503,306))=0,"",INDEX('Providers'!$AJ$4:$AJ$503,306))</f>
        <v/>
      </c>
      <c r="K809">
        <f>IF(LEN(INDEX('Providers'!$AI$4:$AI$503,306))=0,"",INDEX('Providers'!$AI$4:$AI$503,306))</f>
        <v/>
      </c>
    </row>
    <row r="810">
      <c r="A810">
        <f>IF(AND(LEN('Providers'!A310)&gt;0,ISNUMBER('Providers'!I310)),1,0)</f>
        <v/>
      </c>
      <c r="B810">
        <f>B809+A810</f>
        <v/>
      </c>
      <c r="C810">
        <f>IF(807&gt;$B$4503,"",MATCH(807-0.5,$B$3:$B$4503,1))</f>
        <v/>
      </c>
      <c r="D810">
        <f>"DEA registration ("&amp;IF(LEN(INDEX('Providers'!$E$4:$E$503,307))=0,"",INDEX('Providers'!$E$4:$E$503,307))&amp;") – "&amp;IF(LEN(INDEX('Providers'!$A$4:$A$503,307))=0,"",INDEX('Providers'!$A$4:$A$503,307))</f>
        <v/>
      </c>
      <c r="E810">
        <f>IF(ISNUMBER(INDEX('Providers'!$I$4:$I$503,307)),TEXT(INDEX('Providers'!$I$4:$I$503,307),"yyyy-mm-dd"),"")</f>
        <v/>
      </c>
      <c r="F810">
        <f>"Registration"</f>
        <v/>
      </c>
      <c r="G810">
        <f>""</f>
        <v/>
      </c>
      <c r="H810">
        <f>"High"</f>
        <v/>
      </c>
      <c r="I810">
        <f>TRIM(IF(LEN(IF(LEN(INDEX('Providers'!$H$4:$H$503,307))=0,"",INDEX('Providers'!$H$4:$H$503,307)))=0,"","DEA no.: "&amp;IF(LEN(INDEX('Providers'!$H$4:$H$503,307))=0,"",INDEX('Providers'!$H$4:$H$503,307))&amp;". ")&amp;IF(LEN(IF(LEN(INDEX('Providers'!$C$4:$C$503,307))=0,"",INDEX('Providers'!$C$4:$C$503,307)))=0,"","NPI: "&amp;IF(LEN(INDEX('Providers'!$C$4:$C$503,307))=0,"",INDEX('Providers'!$C$4:$C$503,307))&amp;". "))</f>
        <v/>
      </c>
      <c r="J810">
        <f>IF(LEN(INDEX('Providers'!$AJ$4:$AJ$503,307))=0,"",INDEX('Providers'!$AJ$4:$AJ$503,307))</f>
        <v/>
      </c>
      <c r="K810">
        <f>IF(LEN(INDEX('Providers'!$AI$4:$AI$503,307))=0,"",INDEX('Providers'!$AI$4:$AI$503,307))</f>
        <v/>
      </c>
    </row>
    <row r="811">
      <c r="A811">
        <f>IF(AND(LEN('Providers'!A311)&gt;0,ISNUMBER('Providers'!I311)),1,0)</f>
        <v/>
      </c>
      <c r="B811">
        <f>B810+A811</f>
        <v/>
      </c>
      <c r="C811">
        <f>IF(808&gt;$B$4503,"",MATCH(808-0.5,$B$3:$B$4503,1))</f>
        <v/>
      </c>
      <c r="D811">
        <f>"DEA registration ("&amp;IF(LEN(INDEX('Providers'!$E$4:$E$503,308))=0,"",INDEX('Providers'!$E$4:$E$503,308))&amp;") – "&amp;IF(LEN(INDEX('Providers'!$A$4:$A$503,308))=0,"",INDEX('Providers'!$A$4:$A$503,308))</f>
        <v/>
      </c>
      <c r="E811">
        <f>IF(ISNUMBER(INDEX('Providers'!$I$4:$I$503,308)),TEXT(INDEX('Providers'!$I$4:$I$503,308),"yyyy-mm-dd"),"")</f>
        <v/>
      </c>
      <c r="F811">
        <f>"Registration"</f>
        <v/>
      </c>
      <c r="G811">
        <f>""</f>
        <v/>
      </c>
      <c r="H811">
        <f>"High"</f>
        <v/>
      </c>
      <c r="I811">
        <f>TRIM(IF(LEN(IF(LEN(INDEX('Providers'!$H$4:$H$503,308))=0,"",INDEX('Providers'!$H$4:$H$503,308)))=0,"","DEA no.: "&amp;IF(LEN(INDEX('Providers'!$H$4:$H$503,308))=0,"",INDEX('Providers'!$H$4:$H$503,308))&amp;". ")&amp;IF(LEN(IF(LEN(INDEX('Providers'!$C$4:$C$503,308))=0,"",INDEX('Providers'!$C$4:$C$503,308)))=0,"","NPI: "&amp;IF(LEN(INDEX('Providers'!$C$4:$C$503,308))=0,"",INDEX('Providers'!$C$4:$C$503,308))&amp;". "))</f>
        <v/>
      </c>
      <c r="J811">
        <f>IF(LEN(INDEX('Providers'!$AJ$4:$AJ$503,308))=0,"",INDEX('Providers'!$AJ$4:$AJ$503,308))</f>
        <v/>
      </c>
      <c r="K811">
        <f>IF(LEN(INDEX('Providers'!$AI$4:$AI$503,308))=0,"",INDEX('Providers'!$AI$4:$AI$503,308))</f>
        <v/>
      </c>
    </row>
    <row r="812">
      <c r="A812">
        <f>IF(AND(LEN('Providers'!A312)&gt;0,ISNUMBER('Providers'!I312)),1,0)</f>
        <v/>
      </c>
      <c r="B812">
        <f>B811+A812</f>
        <v/>
      </c>
      <c r="C812">
        <f>IF(809&gt;$B$4503,"",MATCH(809-0.5,$B$3:$B$4503,1))</f>
        <v/>
      </c>
      <c r="D812">
        <f>"DEA registration ("&amp;IF(LEN(INDEX('Providers'!$E$4:$E$503,309))=0,"",INDEX('Providers'!$E$4:$E$503,309))&amp;") – "&amp;IF(LEN(INDEX('Providers'!$A$4:$A$503,309))=0,"",INDEX('Providers'!$A$4:$A$503,309))</f>
        <v/>
      </c>
      <c r="E812">
        <f>IF(ISNUMBER(INDEX('Providers'!$I$4:$I$503,309)),TEXT(INDEX('Providers'!$I$4:$I$503,309),"yyyy-mm-dd"),"")</f>
        <v/>
      </c>
      <c r="F812">
        <f>"Registration"</f>
        <v/>
      </c>
      <c r="G812">
        <f>""</f>
        <v/>
      </c>
      <c r="H812">
        <f>"High"</f>
        <v/>
      </c>
      <c r="I812">
        <f>TRIM(IF(LEN(IF(LEN(INDEX('Providers'!$H$4:$H$503,309))=0,"",INDEX('Providers'!$H$4:$H$503,309)))=0,"","DEA no.: "&amp;IF(LEN(INDEX('Providers'!$H$4:$H$503,309))=0,"",INDEX('Providers'!$H$4:$H$503,309))&amp;". ")&amp;IF(LEN(IF(LEN(INDEX('Providers'!$C$4:$C$503,309))=0,"",INDEX('Providers'!$C$4:$C$503,309)))=0,"","NPI: "&amp;IF(LEN(INDEX('Providers'!$C$4:$C$503,309))=0,"",INDEX('Providers'!$C$4:$C$503,309))&amp;". "))</f>
        <v/>
      </c>
      <c r="J812">
        <f>IF(LEN(INDEX('Providers'!$AJ$4:$AJ$503,309))=0,"",INDEX('Providers'!$AJ$4:$AJ$503,309))</f>
        <v/>
      </c>
      <c r="K812">
        <f>IF(LEN(INDEX('Providers'!$AI$4:$AI$503,309))=0,"",INDEX('Providers'!$AI$4:$AI$503,309))</f>
        <v/>
      </c>
    </row>
    <row r="813">
      <c r="A813">
        <f>IF(AND(LEN('Providers'!A313)&gt;0,ISNUMBER('Providers'!I313)),1,0)</f>
        <v/>
      </c>
      <c r="B813">
        <f>B812+A813</f>
        <v/>
      </c>
      <c r="C813">
        <f>IF(810&gt;$B$4503,"",MATCH(810-0.5,$B$3:$B$4503,1))</f>
        <v/>
      </c>
      <c r="D813">
        <f>"DEA registration ("&amp;IF(LEN(INDEX('Providers'!$E$4:$E$503,310))=0,"",INDEX('Providers'!$E$4:$E$503,310))&amp;") – "&amp;IF(LEN(INDEX('Providers'!$A$4:$A$503,310))=0,"",INDEX('Providers'!$A$4:$A$503,310))</f>
        <v/>
      </c>
      <c r="E813">
        <f>IF(ISNUMBER(INDEX('Providers'!$I$4:$I$503,310)),TEXT(INDEX('Providers'!$I$4:$I$503,310),"yyyy-mm-dd"),"")</f>
        <v/>
      </c>
      <c r="F813">
        <f>"Registration"</f>
        <v/>
      </c>
      <c r="G813">
        <f>""</f>
        <v/>
      </c>
      <c r="H813">
        <f>"High"</f>
        <v/>
      </c>
      <c r="I813">
        <f>TRIM(IF(LEN(IF(LEN(INDEX('Providers'!$H$4:$H$503,310))=0,"",INDEX('Providers'!$H$4:$H$503,310)))=0,"","DEA no.: "&amp;IF(LEN(INDEX('Providers'!$H$4:$H$503,310))=0,"",INDEX('Providers'!$H$4:$H$503,310))&amp;". ")&amp;IF(LEN(IF(LEN(INDEX('Providers'!$C$4:$C$503,310))=0,"",INDEX('Providers'!$C$4:$C$503,310)))=0,"","NPI: "&amp;IF(LEN(INDEX('Providers'!$C$4:$C$503,310))=0,"",INDEX('Providers'!$C$4:$C$503,310))&amp;". "))</f>
        <v/>
      </c>
      <c r="J813">
        <f>IF(LEN(INDEX('Providers'!$AJ$4:$AJ$503,310))=0,"",INDEX('Providers'!$AJ$4:$AJ$503,310))</f>
        <v/>
      </c>
      <c r="K813">
        <f>IF(LEN(INDEX('Providers'!$AI$4:$AI$503,310))=0,"",INDEX('Providers'!$AI$4:$AI$503,310))</f>
        <v/>
      </c>
    </row>
    <row r="814">
      <c r="A814">
        <f>IF(AND(LEN('Providers'!A314)&gt;0,ISNUMBER('Providers'!I314)),1,0)</f>
        <v/>
      </c>
      <c r="B814">
        <f>B813+A814</f>
        <v/>
      </c>
      <c r="C814">
        <f>IF(811&gt;$B$4503,"",MATCH(811-0.5,$B$3:$B$4503,1))</f>
        <v/>
      </c>
      <c r="D814">
        <f>"DEA registration ("&amp;IF(LEN(INDEX('Providers'!$E$4:$E$503,311))=0,"",INDEX('Providers'!$E$4:$E$503,311))&amp;") – "&amp;IF(LEN(INDEX('Providers'!$A$4:$A$503,311))=0,"",INDEX('Providers'!$A$4:$A$503,311))</f>
        <v/>
      </c>
      <c r="E814">
        <f>IF(ISNUMBER(INDEX('Providers'!$I$4:$I$503,311)),TEXT(INDEX('Providers'!$I$4:$I$503,311),"yyyy-mm-dd"),"")</f>
        <v/>
      </c>
      <c r="F814">
        <f>"Registration"</f>
        <v/>
      </c>
      <c r="G814">
        <f>""</f>
        <v/>
      </c>
      <c r="H814">
        <f>"High"</f>
        <v/>
      </c>
      <c r="I814">
        <f>TRIM(IF(LEN(IF(LEN(INDEX('Providers'!$H$4:$H$503,311))=0,"",INDEX('Providers'!$H$4:$H$503,311)))=0,"","DEA no.: "&amp;IF(LEN(INDEX('Providers'!$H$4:$H$503,311))=0,"",INDEX('Providers'!$H$4:$H$503,311))&amp;". ")&amp;IF(LEN(IF(LEN(INDEX('Providers'!$C$4:$C$503,311))=0,"",INDEX('Providers'!$C$4:$C$503,311)))=0,"","NPI: "&amp;IF(LEN(INDEX('Providers'!$C$4:$C$503,311))=0,"",INDEX('Providers'!$C$4:$C$503,311))&amp;". "))</f>
        <v/>
      </c>
      <c r="J814">
        <f>IF(LEN(INDEX('Providers'!$AJ$4:$AJ$503,311))=0,"",INDEX('Providers'!$AJ$4:$AJ$503,311))</f>
        <v/>
      </c>
      <c r="K814">
        <f>IF(LEN(INDEX('Providers'!$AI$4:$AI$503,311))=0,"",INDEX('Providers'!$AI$4:$AI$503,311))</f>
        <v/>
      </c>
    </row>
    <row r="815">
      <c r="A815">
        <f>IF(AND(LEN('Providers'!A315)&gt;0,ISNUMBER('Providers'!I315)),1,0)</f>
        <v/>
      </c>
      <c r="B815">
        <f>B814+A815</f>
        <v/>
      </c>
      <c r="C815">
        <f>IF(812&gt;$B$4503,"",MATCH(812-0.5,$B$3:$B$4503,1))</f>
        <v/>
      </c>
      <c r="D815">
        <f>"DEA registration ("&amp;IF(LEN(INDEX('Providers'!$E$4:$E$503,312))=0,"",INDEX('Providers'!$E$4:$E$503,312))&amp;") – "&amp;IF(LEN(INDEX('Providers'!$A$4:$A$503,312))=0,"",INDEX('Providers'!$A$4:$A$503,312))</f>
        <v/>
      </c>
      <c r="E815">
        <f>IF(ISNUMBER(INDEX('Providers'!$I$4:$I$503,312)),TEXT(INDEX('Providers'!$I$4:$I$503,312),"yyyy-mm-dd"),"")</f>
        <v/>
      </c>
      <c r="F815">
        <f>"Registration"</f>
        <v/>
      </c>
      <c r="G815">
        <f>""</f>
        <v/>
      </c>
      <c r="H815">
        <f>"High"</f>
        <v/>
      </c>
      <c r="I815">
        <f>TRIM(IF(LEN(IF(LEN(INDEX('Providers'!$H$4:$H$503,312))=0,"",INDEX('Providers'!$H$4:$H$503,312)))=0,"","DEA no.: "&amp;IF(LEN(INDEX('Providers'!$H$4:$H$503,312))=0,"",INDEX('Providers'!$H$4:$H$503,312))&amp;". ")&amp;IF(LEN(IF(LEN(INDEX('Providers'!$C$4:$C$503,312))=0,"",INDEX('Providers'!$C$4:$C$503,312)))=0,"","NPI: "&amp;IF(LEN(INDEX('Providers'!$C$4:$C$503,312))=0,"",INDEX('Providers'!$C$4:$C$503,312))&amp;". "))</f>
        <v/>
      </c>
      <c r="J815">
        <f>IF(LEN(INDEX('Providers'!$AJ$4:$AJ$503,312))=0,"",INDEX('Providers'!$AJ$4:$AJ$503,312))</f>
        <v/>
      </c>
      <c r="K815">
        <f>IF(LEN(INDEX('Providers'!$AI$4:$AI$503,312))=0,"",INDEX('Providers'!$AI$4:$AI$503,312))</f>
        <v/>
      </c>
    </row>
    <row r="816">
      <c r="A816">
        <f>IF(AND(LEN('Providers'!A316)&gt;0,ISNUMBER('Providers'!I316)),1,0)</f>
        <v/>
      </c>
      <c r="B816">
        <f>B815+A816</f>
        <v/>
      </c>
      <c r="C816">
        <f>IF(813&gt;$B$4503,"",MATCH(813-0.5,$B$3:$B$4503,1))</f>
        <v/>
      </c>
      <c r="D816">
        <f>"DEA registration ("&amp;IF(LEN(INDEX('Providers'!$E$4:$E$503,313))=0,"",INDEX('Providers'!$E$4:$E$503,313))&amp;") – "&amp;IF(LEN(INDEX('Providers'!$A$4:$A$503,313))=0,"",INDEX('Providers'!$A$4:$A$503,313))</f>
        <v/>
      </c>
      <c r="E816">
        <f>IF(ISNUMBER(INDEX('Providers'!$I$4:$I$503,313)),TEXT(INDEX('Providers'!$I$4:$I$503,313),"yyyy-mm-dd"),"")</f>
        <v/>
      </c>
      <c r="F816">
        <f>"Registration"</f>
        <v/>
      </c>
      <c r="G816">
        <f>""</f>
        <v/>
      </c>
      <c r="H816">
        <f>"High"</f>
        <v/>
      </c>
      <c r="I816">
        <f>TRIM(IF(LEN(IF(LEN(INDEX('Providers'!$H$4:$H$503,313))=0,"",INDEX('Providers'!$H$4:$H$503,313)))=0,"","DEA no.: "&amp;IF(LEN(INDEX('Providers'!$H$4:$H$503,313))=0,"",INDEX('Providers'!$H$4:$H$503,313))&amp;". ")&amp;IF(LEN(IF(LEN(INDEX('Providers'!$C$4:$C$503,313))=0,"",INDEX('Providers'!$C$4:$C$503,313)))=0,"","NPI: "&amp;IF(LEN(INDEX('Providers'!$C$4:$C$503,313))=0,"",INDEX('Providers'!$C$4:$C$503,313))&amp;". "))</f>
        <v/>
      </c>
      <c r="J816">
        <f>IF(LEN(INDEX('Providers'!$AJ$4:$AJ$503,313))=0,"",INDEX('Providers'!$AJ$4:$AJ$503,313))</f>
        <v/>
      </c>
      <c r="K816">
        <f>IF(LEN(INDEX('Providers'!$AI$4:$AI$503,313))=0,"",INDEX('Providers'!$AI$4:$AI$503,313))</f>
        <v/>
      </c>
    </row>
    <row r="817">
      <c r="A817">
        <f>IF(AND(LEN('Providers'!A317)&gt;0,ISNUMBER('Providers'!I317)),1,0)</f>
        <v/>
      </c>
      <c r="B817">
        <f>B816+A817</f>
        <v/>
      </c>
      <c r="C817">
        <f>IF(814&gt;$B$4503,"",MATCH(814-0.5,$B$3:$B$4503,1))</f>
        <v/>
      </c>
      <c r="D817">
        <f>"DEA registration ("&amp;IF(LEN(INDEX('Providers'!$E$4:$E$503,314))=0,"",INDEX('Providers'!$E$4:$E$503,314))&amp;") – "&amp;IF(LEN(INDEX('Providers'!$A$4:$A$503,314))=0,"",INDEX('Providers'!$A$4:$A$503,314))</f>
        <v/>
      </c>
      <c r="E817">
        <f>IF(ISNUMBER(INDEX('Providers'!$I$4:$I$503,314)),TEXT(INDEX('Providers'!$I$4:$I$503,314),"yyyy-mm-dd"),"")</f>
        <v/>
      </c>
      <c r="F817">
        <f>"Registration"</f>
        <v/>
      </c>
      <c r="G817">
        <f>""</f>
        <v/>
      </c>
      <c r="H817">
        <f>"High"</f>
        <v/>
      </c>
      <c r="I817">
        <f>TRIM(IF(LEN(IF(LEN(INDEX('Providers'!$H$4:$H$503,314))=0,"",INDEX('Providers'!$H$4:$H$503,314)))=0,"","DEA no.: "&amp;IF(LEN(INDEX('Providers'!$H$4:$H$503,314))=0,"",INDEX('Providers'!$H$4:$H$503,314))&amp;". ")&amp;IF(LEN(IF(LEN(INDEX('Providers'!$C$4:$C$503,314))=0,"",INDEX('Providers'!$C$4:$C$503,314)))=0,"","NPI: "&amp;IF(LEN(INDEX('Providers'!$C$4:$C$503,314))=0,"",INDEX('Providers'!$C$4:$C$503,314))&amp;". "))</f>
        <v/>
      </c>
      <c r="J817">
        <f>IF(LEN(INDEX('Providers'!$AJ$4:$AJ$503,314))=0,"",INDEX('Providers'!$AJ$4:$AJ$503,314))</f>
        <v/>
      </c>
      <c r="K817">
        <f>IF(LEN(INDEX('Providers'!$AI$4:$AI$503,314))=0,"",INDEX('Providers'!$AI$4:$AI$503,314))</f>
        <v/>
      </c>
    </row>
    <row r="818">
      <c r="A818">
        <f>IF(AND(LEN('Providers'!A318)&gt;0,ISNUMBER('Providers'!I318)),1,0)</f>
        <v/>
      </c>
      <c r="B818">
        <f>B817+A818</f>
        <v/>
      </c>
      <c r="C818">
        <f>IF(815&gt;$B$4503,"",MATCH(815-0.5,$B$3:$B$4503,1))</f>
        <v/>
      </c>
      <c r="D818">
        <f>"DEA registration ("&amp;IF(LEN(INDEX('Providers'!$E$4:$E$503,315))=0,"",INDEX('Providers'!$E$4:$E$503,315))&amp;") – "&amp;IF(LEN(INDEX('Providers'!$A$4:$A$503,315))=0,"",INDEX('Providers'!$A$4:$A$503,315))</f>
        <v/>
      </c>
      <c r="E818">
        <f>IF(ISNUMBER(INDEX('Providers'!$I$4:$I$503,315)),TEXT(INDEX('Providers'!$I$4:$I$503,315),"yyyy-mm-dd"),"")</f>
        <v/>
      </c>
      <c r="F818">
        <f>"Registration"</f>
        <v/>
      </c>
      <c r="G818">
        <f>""</f>
        <v/>
      </c>
      <c r="H818">
        <f>"High"</f>
        <v/>
      </c>
      <c r="I818">
        <f>TRIM(IF(LEN(IF(LEN(INDEX('Providers'!$H$4:$H$503,315))=0,"",INDEX('Providers'!$H$4:$H$503,315)))=0,"","DEA no.: "&amp;IF(LEN(INDEX('Providers'!$H$4:$H$503,315))=0,"",INDEX('Providers'!$H$4:$H$503,315))&amp;". ")&amp;IF(LEN(IF(LEN(INDEX('Providers'!$C$4:$C$503,315))=0,"",INDEX('Providers'!$C$4:$C$503,315)))=0,"","NPI: "&amp;IF(LEN(INDEX('Providers'!$C$4:$C$503,315))=0,"",INDEX('Providers'!$C$4:$C$503,315))&amp;". "))</f>
        <v/>
      </c>
      <c r="J818">
        <f>IF(LEN(INDEX('Providers'!$AJ$4:$AJ$503,315))=0,"",INDEX('Providers'!$AJ$4:$AJ$503,315))</f>
        <v/>
      </c>
      <c r="K818">
        <f>IF(LEN(INDEX('Providers'!$AI$4:$AI$503,315))=0,"",INDEX('Providers'!$AI$4:$AI$503,315))</f>
        <v/>
      </c>
    </row>
    <row r="819">
      <c r="A819">
        <f>IF(AND(LEN('Providers'!A319)&gt;0,ISNUMBER('Providers'!I319)),1,0)</f>
        <v/>
      </c>
      <c r="B819">
        <f>B818+A819</f>
        <v/>
      </c>
      <c r="C819">
        <f>IF(816&gt;$B$4503,"",MATCH(816-0.5,$B$3:$B$4503,1))</f>
        <v/>
      </c>
      <c r="D819">
        <f>"DEA registration ("&amp;IF(LEN(INDEX('Providers'!$E$4:$E$503,316))=0,"",INDEX('Providers'!$E$4:$E$503,316))&amp;") – "&amp;IF(LEN(INDEX('Providers'!$A$4:$A$503,316))=0,"",INDEX('Providers'!$A$4:$A$503,316))</f>
        <v/>
      </c>
      <c r="E819">
        <f>IF(ISNUMBER(INDEX('Providers'!$I$4:$I$503,316)),TEXT(INDEX('Providers'!$I$4:$I$503,316),"yyyy-mm-dd"),"")</f>
        <v/>
      </c>
      <c r="F819">
        <f>"Registration"</f>
        <v/>
      </c>
      <c r="G819">
        <f>""</f>
        <v/>
      </c>
      <c r="H819">
        <f>"High"</f>
        <v/>
      </c>
      <c r="I819">
        <f>TRIM(IF(LEN(IF(LEN(INDEX('Providers'!$H$4:$H$503,316))=0,"",INDEX('Providers'!$H$4:$H$503,316)))=0,"","DEA no.: "&amp;IF(LEN(INDEX('Providers'!$H$4:$H$503,316))=0,"",INDEX('Providers'!$H$4:$H$503,316))&amp;". ")&amp;IF(LEN(IF(LEN(INDEX('Providers'!$C$4:$C$503,316))=0,"",INDEX('Providers'!$C$4:$C$503,316)))=0,"","NPI: "&amp;IF(LEN(INDEX('Providers'!$C$4:$C$503,316))=0,"",INDEX('Providers'!$C$4:$C$503,316))&amp;". "))</f>
        <v/>
      </c>
      <c r="J819">
        <f>IF(LEN(INDEX('Providers'!$AJ$4:$AJ$503,316))=0,"",INDEX('Providers'!$AJ$4:$AJ$503,316))</f>
        <v/>
      </c>
      <c r="K819">
        <f>IF(LEN(INDEX('Providers'!$AI$4:$AI$503,316))=0,"",INDEX('Providers'!$AI$4:$AI$503,316))</f>
        <v/>
      </c>
    </row>
    <row r="820">
      <c r="A820">
        <f>IF(AND(LEN('Providers'!A320)&gt;0,ISNUMBER('Providers'!I320)),1,0)</f>
        <v/>
      </c>
      <c r="B820">
        <f>B819+A820</f>
        <v/>
      </c>
      <c r="C820">
        <f>IF(817&gt;$B$4503,"",MATCH(817-0.5,$B$3:$B$4503,1))</f>
        <v/>
      </c>
      <c r="D820">
        <f>"DEA registration ("&amp;IF(LEN(INDEX('Providers'!$E$4:$E$503,317))=0,"",INDEX('Providers'!$E$4:$E$503,317))&amp;") – "&amp;IF(LEN(INDEX('Providers'!$A$4:$A$503,317))=0,"",INDEX('Providers'!$A$4:$A$503,317))</f>
        <v/>
      </c>
      <c r="E820">
        <f>IF(ISNUMBER(INDEX('Providers'!$I$4:$I$503,317)),TEXT(INDEX('Providers'!$I$4:$I$503,317),"yyyy-mm-dd"),"")</f>
        <v/>
      </c>
      <c r="F820">
        <f>"Registration"</f>
        <v/>
      </c>
      <c r="G820">
        <f>""</f>
        <v/>
      </c>
      <c r="H820">
        <f>"High"</f>
        <v/>
      </c>
      <c r="I820">
        <f>TRIM(IF(LEN(IF(LEN(INDEX('Providers'!$H$4:$H$503,317))=0,"",INDEX('Providers'!$H$4:$H$503,317)))=0,"","DEA no.: "&amp;IF(LEN(INDEX('Providers'!$H$4:$H$503,317))=0,"",INDEX('Providers'!$H$4:$H$503,317))&amp;". ")&amp;IF(LEN(IF(LEN(INDEX('Providers'!$C$4:$C$503,317))=0,"",INDEX('Providers'!$C$4:$C$503,317)))=0,"","NPI: "&amp;IF(LEN(INDEX('Providers'!$C$4:$C$503,317))=0,"",INDEX('Providers'!$C$4:$C$503,317))&amp;". "))</f>
        <v/>
      </c>
      <c r="J820">
        <f>IF(LEN(INDEX('Providers'!$AJ$4:$AJ$503,317))=0,"",INDEX('Providers'!$AJ$4:$AJ$503,317))</f>
        <v/>
      </c>
      <c r="K820">
        <f>IF(LEN(INDEX('Providers'!$AI$4:$AI$503,317))=0,"",INDEX('Providers'!$AI$4:$AI$503,317))</f>
        <v/>
      </c>
    </row>
    <row r="821">
      <c r="A821">
        <f>IF(AND(LEN('Providers'!A321)&gt;0,ISNUMBER('Providers'!I321)),1,0)</f>
        <v/>
      </c>
      <c r="B821">
        <f>B820+A821</f>
        <v/>
      </c>
      <c r="C821">
        <f>IF(818&gt;$B$4503,"",MATCH(818-0.5,$B$3:$B$4503,1))</f>
        <v/>
      </c>
      <c r="D821">
        <f>"DEA registration ("&amp;IF(LEN(INDEX('Providers'!$E$4:$E$503,318))=0,"",INDEX('Providers'!$E$4:$E$503,318))&amp;") – "&amp;IF(LEN(INDEX('Providers'!$A$4:$A$503,318))=0,"",INDEX('Providers'!$A$4:$A$503,318))</f>
        <v/>
      </c>
      <c r="E821">
        <f>IF(ISNUMBER(INDEX('Providers'!$I$4:$I$503,318)),TEXT(INDEX('Providers'!$I$4:$I$503,318),"yyyy-mm-dd"),"")</f>
        <v/>
      </c>
      <c r="F821">
        <f>"Registration"</f>
        <v/>
      </c>
      <c r="G821">
        <f>""</f>
        <v/>
      </c>
      <c r="H821">
        <f>"High"</f>
        <v/>
      </c>
      <c r="I821">
        <f>TRIM(IF(LEN(IF(LEN(INDEX('Providers'!$H$4:$H$503,318))=0,"",INDEX('Providers'!$H$4:$H$503,318)))=0,"","DEA no.: "&amp;IF(LEN(INDEX('Providers'!$H$4:$H$503,318))=0,"",INDEX('Providers'!$H$4:$H$503,318))&amp;". ")&amp;IF(LEN(IF(LEN(INDEX('Providers'!$C$4:$C$503,318))=0,"",INDEX('Providers'!$C$4:$C$503,318)))=0,"","NPI: "&amp;IF(LEN(INDEX('Providers'!$C$4:$C$503,318))=0,"",INDEX('Providers'!$C$4:$C$503,318))&amp;". "))</f>
        <v/>
      </c>
      <c r="J821">
        <f>IF(LEN(INDEX('Providers'!$AJ$4:$AJ$503,318))=0,"",INDEX('Providers'!$AJ$4:$AJ$503,318))</f>
        <v/>
      </c>
      <c r="K821">
        <f>IF(LEN(INDEX('Providers'!$AI$4:$AI$503,318))=0,"",INDEX('Providers'!$AI$4:$AI$503,318))</f>
        <v/>
      </c>
    </row>
    <row r="822">
      <c r="A822">
        <f>IF(AND(LEN('Providers'!A322)&gt;0,ISNUMBER('Providers'!I322)),1,0)</f>
        <v/>
      </c>
      <c r="B822">
        <f>B821+A822</f>
        <v/>
      </c>
      <c r="C822">
        <f>IF(819&gt;$B$4503,"",MATCH(819-0.5,$B$3:$B$4503,1))</f>
        <v/>
      </c>
      <c r="D822">
        <f>"DEA registration ("&amp;IF(LEN(INDEX('Providers'!$E$4:$E$503,319))=0,"",INDEX('Providers'!$E$4:$E$503,319))&amp;") – "&amp;IF(LEN(INDEX('Providers'!$A$4:$A$503,319))=0,"",INDEX('Providers'!$A$4:$A$503,319))</f>
        <v/>
      </c>
      <c r="E822">
        <f>IF(ISNUMBER(INDEX('Providers'!$I$4:$I$503,319)),TEXT(INDEX('Providers'!$I$4:$I$503,319),"yyyy-mm-dd"),"")</f>
        <v/>
      </c>
      <c r="F822">
        <f>"Registration"</f>
        <v/>
      </c>
      <c r="G822">
        <f>""</f>
        <v/>
      </c>
      <c r="H822">
        <f>"High"</f>
        <v/>
      </c>
      <c r="I822">
        <f>TRIM(IF(LEN(IF(LEN(INDEX('Providers'!$H$4:$H$503,319))=0,"",INDEX('Providers'!$H$4:$H$503,319)))=0,"","DEA no.: "&amp;IF(LEN(INDEX('Providers'!$H$4:$H$503,319))=0,"",INDEX('Providers'!$H$4:$H$503,319))&amp;". ")&amp;IF(LEN(IF(LEN(INDEX('Providers'!$C$4:$C$503,319))=0,"",INDEX('Providers'!$C$4:$C$503,319)))=0,"","NPI: "&amp;IF(LEN(INDEX('Providers'!$C$4:$C$503,319))=0,"",INDEX('Providers'!$C$4:$C$503,319))&amp;". "))</f>
        <v/>
      </c>
      <c r="J822">
        <f>IF(LEN(INDEX('Providers'!$AJ$4:$AJ$503,319))=0,"",INDEX('Providers'!$AJ$4:$AJ$503,319))</f>
        <v/>
      </c>
      <c r="K822">
        <f>IF(LEN(INDEX('Providers'!$AI$4:$AI$503,319))=0,"",INDEX('Providers'!$AI$4:$AI$503,319))</f>
        <v/>
      </c>
    </row>
    <row r="823">
      <c r="A823">
        <f>IF(AND(LEN('Providers'!A323)&gt;0,ISNUMBER('Providers'!I323)),1,0)</f>
        <v/>
      </c>
      <c r="B823">
        <f>B822+A823</f>
        <v/>
      </c>
      <c r="C823">
        <f>IF(820&gt;$B$4503,"",MATCH(820-0.5,$B$3:$B$4503,1))</f>
        <v/>
      </c>
      <c r="D823">
        <f>"DEA registration ("&amp;IF(LEN(INDEX('Providers'!$E$4:$E$503,320))=0,"",INDEX('Providers'!$E$4:$E$503,320))&amp;") – "&amp;IF(LEN(INDEX('Providers'!$A$4:$A$503,320))=0,"",INDEX('Providers'!$A$4:$A$503,320))</f>
        <v/>
      </c>
      <c r="E823">
        <f>IF(ISNUMBER(INDEX('Providers'!$I$4:$I$503,320)),TEXT(INDEX('Providers'!$I$4:$I$503,320),"yyyy-mm-dd"),"")</f>
        <v/>
      </c>
      <c r="F823">
        <f>"Registration"</f>
        <v/>
      </c>
      <c r="G823">
        <f>""</f>
        <v/>
      </c>
      <c r="H823">
        <f>"High"</f>
        <v/>
      </c>
      <c r="I823">
        <f>TRIM(IF(LEN(IF(LEN(INDEX('Providers'!$H$4:$H$503,320))=0,"",INDEX('Providers'!$H$4:$H$503,320)))=0,"","DEA no.: "&amp;IF(LEN(INDEX('Providers'!$H$4:$H$503,320))=0,"",INDEX('Providers'!$H$4:$H$503,320))&amp;". ")&amp;IF(LEN(IF(LEN(INDEX('Providers'!$C$4:$C$503,320))=0,"",INDEX('Providers'!$C$4:$C$503,320)))=0,"","NPI: "&amp;IF(LEN(INDEX('Providers'!$C$4:$C$503,320))=0,"",INDEX('Providers'!$C$4:$C$503,320))&amp;". "))</f>
        <v/>
      </c>
      <c r="J823">
        <f>IF(LEN(INDEX('Providers'!$AJ$4:$AJ$503,320))=0,"",INDEX('Providers'!$AJ$4:$AJ$503,320))</f>
        <v/>
      </c>
      <c r="K823">
        <f>IF(LEN(INDEX('Providers'!$AI$4:$AI$503,320))=0,"",INDEX('Providers'!$AI$4:$AI$503,320))</f>
        <v/>
      </c>
    </row>
    <row r="824">
      <c r="A824">
        <f>IF(AND(LEN('Providers'!A324)&gt;0,ISNUMBER('Providers'!I324)),1,0)</f>
        <v/>
      </c>
      <c r="B824">
        <f>B823+A824</f>
        <v/>
      </c>
      <c r="C824">
        <f>IF(821&gt;$B$4503,"",MATCH(821-0.5,$B$3:$B$4503,1))</f>
        <v/>
      </c>
      <c r="D824">
        <f>"DEA registration ("&amp;IF(LEN(INDEX('Providers'!$E$4:$E$503,321))=0,"",INDEX('Providers'!$E$4:$E$503,321))&amp;") – "&amp;IF(LEN(INDEX('Providers'!$A$4:$A$503,321))=0,"",INDEX('Providers'!$A$4:$A$503,321))</f>
        <v/>
      </c>
      <c r="E824">
        <f>IF(ISNUMBER(INDEX('Providers'!$I$4:$I$503,321)),TEXT(INDEX('Providers'!$I$4:$I$503,321),"yyyy-mm-dd"),"")</f>
        <v/>
      </c>
      <c r="F824">
        <f>"Registration"</f>
        <v/>
      </c>
      <c r="G824">
        <f>""</f>
        <v/>
      </c>
      <c r="H824">
        <f>"High"</f>
        <v/>
      </c>
      <c r="I824">
        <f>TRIM(IF(LEN(IF(LEN(INDEX('Providers'!$H$4:$H$503,321))=0,"",INDEX('Providers'!$H$4:$H$503,321)))=0,"","DEA no.: "&amp;IF(LEN(INDEX('Providers'!$H$4:$H$503,321))=0,"",INDEX('Providers'!$H$4:$H$503,321))&amp;". ")&amp;IF(LEN(IF(LEN(INDEX('Providers'!$C$4:$C$503,321))=0,"",INDEX('Providers'!$C$4:$C$503,321)))=0,"","NPI: "&amp;IF(LEN(INDEX('Providers'!$C$4:$C$503,321))=0,"",INDEX('Providers'!$C$4:$C$503,321))&amp;". "))</f>
        <v/>
      </c>
      <c r="J824">
        <f>IF(LEN(INDEX('Providers'!$AJ$4:$AJ$503,321))=0,"",INDEX('Providers'!$AJ$4:$AJ$503,321))</f>
        <v/>
      </c>
      <c r="K824">
        <f>IF(LEN(INDEX('Providers'!$AI$4:$AI$503,321))=0,"",INDEX('Providers'!$AI$4:$AI$503,321))</f>
        <v/>
      </c>
    </row>
    <row r="825">
      <c r="A825">
        <f>IF(AND(LEN('Providers'!A325)&gt;0,ISNUMBER('Providers'!I325)),1,0)</f>
        <v/>
      </c>
      <c r="B825">
        <f>B824+A825</f>
        <v/>
      </c>
      <c r="C825">
        <f>IF(822&gt;$B$4503,"",MATCH(822-0.5,$B$3:$B$4503,1))</f>
        <v/>
      </c>
      <c r="D825">
        <f>"DEA registration ("&amp;IF(LEN(INDEX('Providers'!$E$4:$E$503,322))=0,"",INDEX('Providers'!$E$4:$E$503,322))&amp;") – "&amp;IF(LEN(INDEX('Providers'!$A$4:$A$503,322))=0,"",INDEX('Providers'!$A$4:$A$503,322))</f>
        <v/>
      </c>
      <c r="E825">
        <f>IF(ISNUMBER(INDEX('Providers'!$I$4:$I$503,322)),TEXT(INDEX('Providers'!$I$4:$I$503,322),"yyyy-mm-dd"),"")</f>
        <v/>
      </c>
      <c r="F825">
        <f>"Registration"</f>
        <v/>
      </c>
      <c r="G825">
        <f>""</f>
        <v/>
      </c>
      <c r="H825">
        <f>"High"</f>
        <v/>
      </c>
      <c r="I825">
        <f>TRIM(IF(LEN(IF(LEN(INDEX('Providers'!$H$4:$H$503,322))=0,"",INDEX('Providers'!$H$4:$H$503,322)))=0,"","DEA no.: "&amp;IF(LEN(INDEX('Providers'!$H$4:$H$503,322))=0,"",INDEX('Providers'!$H$4:$H$503,322))&amp;". ")&amp;IF(LEN(IF(LEN(INDEX('Providers'!$C$4:$C$503,322))=0,"",INDEX('Providers'!$C$4:$C$503,322)))=0,"","NPI: "&amp;IF(LEN(INDEX('Providers'!$C$4:$C$503,322))=0,"",INDEX('Providers'!$C$4:$C$503,322))&amp;". "))</f>
        <v/>
      </c>
      <c r="J825">
        <f>IF(LEN(INDEX('Providers'!$AJ$4:$AJ$503,322))=0,"",INDEX('Providers'!$AJ$4:$AJ$503,322))</f>
        <v/>
      </c>
      <c r="K825">
        <f>IF(LEN(INDEX('Providers'!$AI$4:$AI$503,322))=0,"",INDEX('Providers'!$AI$4:$AI$503,322))</f>
        <v/>
      </c>
    </row>
    <row r="826">
      <c r="A826">
        <f>IF(AND(LEN('Providers'!A326)&gt;0,ISNUMBER('Providers'!I326)),1,0)</f>
        <v/>
      </c>
      <c r="B826">
        <f>B825+A826</f>
        <v/>
      </c>
      <c r="C826">
        <f>IF(823&gt;$B$4503,"",MATCH(823-0.5,$B$3:$B$4503,1))</f>
        <v/>
      </c>
      <c r="D826">
        <f>"DEA registration ("&amp;IF(LEN(INDEX('Providers'!$E$4:$E$503,323))=0,"",INDEX('Providers'!$E$4:$E$503,323))&amp;") – "&amp;IF(LEN(INDEX('Providers'!$A$4:$A$503,323))=0,"",INDEX('Providers'!$A$4:$A$503,323))</f>
        <v/>
      </c>
      <c r="E826">
        <f>IF(ISNUMBER(INDEX('Providers'!$I$4:$I$503,323)),TEXT(INDEX('Providers'!$I$4:$I$503,323),"yyyy-mm-dd"),"")</f>
        <v/>
      </c>
      <c r="F826">
        <f>"Registration"</f>
        <v/>
      </c>
      <c r="G826">
        <f>""</f>
        <v/>
      </c>
      <c r="H826">
        <f>"High"</f>
        <v/>
      </c>
      <c r="I826">
        <f>TRIM(IF(LEN(IF(LEN(INDEX('Providers'!$H$4:$H$503,323))=0,"",INDEX('Providers'!$H$4:$H$503,323)))=0,"","DEA no.: "&amp;IF(LEN(INDEX('Providers'!$H$4:$H$503,323))=0,"",INDEX('Providers'!$H$4:$H$503,323))&amp;". ")&amp;IF(LEN(IF(LEN(INDEX('Providers'!$C$4:$C$503,323))=0,"",INDEX('Providers'!$C$4:$C$503,323)))=0,"","NPI: "&amp;IF(LEN(INDEX('Providers'!$C$4:$C$503,323))=0,"",INDEX('Providers'!$C$4:$C$503,323))&amp;". "))</f>
        <v/>
      </c>
      <c r="J826">
        <f>IF(LEN(INDEX('Providers'!$AJ$4:$AJ$503,323))=0,"",INDEX('Providers'!$AJ$4:$AJ$503,323))</f>
        <v/>
      </c>
      <c r="K826">
        <f>IF(LEN(INDEX('Providers'!$AI$4:$AI$503,323))=0,"",INDEX('Providers'!$AI$4:$AI$503,323))</f>
        <v/>
      </c>
    </row>
    <row r="827">
      <c r="A827">
        <f>IF(AND(LEN('Providers'!A327)&gt;0,ISNUMBER('Providers'!I327)),1,0)</f>
        <v/>
      </c>
      <c r="B827">
        <f>B826+A827</f>
        <v/>
      </c>
      <c r="C827">
        <f>IF(824&gt;$B$4503,"",MATCH(824-0.5,$B$3:$B$4503,1))</f>
        <v/>
      </c>
      <c r="D827">
        <f>"DEA registration ("&amp;IF(LEN(INDEX('Providers'!$E$4:$E$503,324))=0,"",INDEX('Providers'!$E$4:$E$503,324))&amp;") – "&amp;IF(LEN(INDEX('Providers'!$A$4:$A$503,324))=0,"",INDEX('Providers'!$A$4:$A$503,324))</f>
        <v/>
      </c>
      <c r="E827">
        <f>IF(ISNUMBER(INDEX('Providers'!$I$4:$I$503,324)),TEXT(INDEX('Providers'!$I$4:$I$503,324),"yyyy-mm-dd"),"")</f>
        <v/>
      </c>
      <c r="F827">
        <f>"Registration"</f>
        <v/>
      </c>
      <c r="G827">
        <f>""</f>
        <v/>
      </c>
      <c r="H827">
        <f>"High"</f>
        <v/>
      </c>
      <c r="I827">
        <f>TRIM(IF(LEN(IF(LEN(INDEX('Providers'!$H$4:$H$503,324))=0,"",INDEX('Providers'!$H$4:$H$503,324)))=0,"","DEA no.: "&amp;IF(LEN(INDEX('Providers'!$H$4:$H$503,324))=0,"",INDEX('Providers'!$H$4:$H$503,324))&amp;". ")&amp;IF(LEN(IF(LEN(INDEX('Providers'!$C$4:$C$503,324))=0,"",INDEX('Providers'!$C$4:$C$503,324)))=0,"","NPI: "&amp;IF(LEN(INDEX('Providers'!$C$4:$C$503,324))=0,"",INDEX('Providers'!$C$4:$C$503,324))&amp;". "))</f>
        <v/>
      </c>
      <c r="J827">
        <f>IF(LEN(INDEX('Providers'!$AJ$4:$AJ$503,324))=0,"",INDEX('Providers'!$AJ$4:$AJ$503,324))</f>
        <v/>
      </c>
      <c r="K827">
        <f>IF(LEN(INDEX('Providers'!$AI$4:$AI$503,324))=0,"",INDEX('Providers'!$AI$4:$AI$503,324))</f>
        <v/>
      </c>
    </row>
    <row r="828">
      <c r="A828">
        <f>IF(AND(LEN('Providers'!A328)&gt;0,ISNUMBER('Providers'!I328)),1,0)</f>
        <v/>
      </c>
      <c r="B828">
        <f>B827+A828</f>
        <v/>
      </c>
      <c r="C828">
        <f>IF(825&gt;$B$4503,"",MATCH(825-0.5,$B$3:$B$4503,1))</f>
        <v/>
      </c>
      <c r="D828">
        <f>"DEA registration ("&amp;IF(LEN(INDEX('Providers'!$E$4:$E$503,325))=0,"",INDEX('Providers'!$E$4:$E$503,325))&amp;") – "&amp;IF(LEN(INDEX('Providers'!$A$4:$A$503,325))=0,"",INDEX('Providers'!$A$4:$A$503,325))</f>
        <v/>
      </c>
      <c r="E828">
        <f>IF(ISNUMBER(INDEX('Providers'!$I$4:$I$503,325)),TEXT(INDEX('Providers'!$I$4:$I$503,325),"yyyy-mm-dd"),"")</f>
        <v/>
      </c>
      <c r="F828">
        <f>"Registration"</f>
        <v/>
      </c>
      <c r="G828">
        <f>""</f>
        <v/>
      </c>
      <c r="H828">
        <f>"High"</f>
        <v/>
      </c>
      <c r="I828">
        <f>TRIM(IF(LEN(IF(LEN(INDEX('Providers'!$H$4:$H$503,325))=0,"",INDEX('Providers'!$H$4:$H$503,325)))=0,"","DEA no.: "&amp;IF(LEN(INDEX('Providers'!$H$4:$H$503,325))=0,"",INDEX('Providers'!$H$4:$H$503,325))&amp;". ")&amp;IF(LEN(IF(LEN(INDEX('Providers'!$C$4:$C$503,325))=0,"",INDEX('Providers'!$C$4:$C$503,325)))=0,"","NPI: "&amp;IF(LEN(INDEX('Providers'!$C$4:$C$503,325))=0,"",INDEX('Providers'!$C$4:$C$503,325))&amp;". "))</f>
        <v/>
      </c>
      <c r="J828">
        <f>IF(LEN(INDEX('Providers'!$AJ$4:$AJ$503,325))=0,"",INDEX('Providers'!$AJ$4:$AJ$503,325))</f>
        <v/>
      </c>
      <c r="K828">
        <f>IF(LEN(INDEX('Providers'!$AI$4:$AI$503,325))=0,"",INDEX('Providers'!$AI$4:$AI$503,325))</f>
        <v/>
      </c>
    </row>
    <row r="829">
      <c r="A829">
        <f>IF(AND(LEN('Providers'!A329)&gt;0,ISNUMBER('Providers'!I329)),1,0)</f>
        <v/>
      </c>
      <c r="B829">
        <f>B828+A829</f>
        <v/>
      </c>
      <c r="C829">
        <f>IF(826&gt;$B$4503,"",MATCH(826-0.5,$B$3:$B$4503,1))</f>
        <v/>
      </c>
      <c r="D829">
        <f>"DEA registration ("&amp;IF(LEN(INDEX('Providers'!$E$4:$E$503,326))=0,"",INDEX('Providers'!$E$4:$E$503,326))&amp;") – "&amp;IF(LEN(INDEX('Providers'!$A$4:$A$503,326))=0,"",INDEX('Providers'!$A$4:$A$503,326))</f>
        <v/>
      </c>
      <c r="E829">
        <f>IF(ISNUMBER(INDEX('Providers'!$I$4:$I$503,326)),TEXT(INDEX('Providers'!$I$4:$I$503,326),"yyyy-mm-dd"),"")</f>
        <v/>
      </c>
      <c r="F829">
        <f>"Registration"</f>
        <v/>
      </c>
      <c r="G829">
        <f>""</f>
        <v/>
      </c>
      <c r="H829">
        <f>"High"</f>
        <v/>
      </c>
      <c r="I829">
        <f>TRIM(IF(LEN(IF(LEN(INDEX('Providers'!$H$4:$H$503,326))=0,"",INDEX('Providers'!$H$4:$H$503,326)))=0,"","DEA no.: "&amp;IF(LEN(INDEX('Providers'!$H$4:$H$503,326))=0,"",INDEX('Providers'!$H$4:$H$503,326))&amp;". ")&amp;IF(LEN(IF(LEN(INDEX('Providers'!$C$4:$C$503,326))=0,"",INDEX('Providers'!$C$4:$C$503,326)))=0,"","NPI: "&amp;IF(LEN(INDEX('Providers'!$C$4:$C$503,326))=0,"",INDEX('Providers'!$C$4:$C$503,326))&amp;". "))</f>
        <v/>
      </c>
      <c r="J829">
        <f>IF(LEN(INDEX('Providers'!$AJ$4:$AJ$503,326))=0,"",INDEX('Providers'!$AJ$4:$AJ$503,326))</f>
        <v/>
      </c>
      <c r="K829">
        <f>IF(LEN(INDEX('Providers'!$AI$4:$AI$503,326))=0,"",INDEX('Providers'!$AI$4:$AI$503,326))</f>
        <v/>
      </c>
    </row>
    <row r="830">
      <c r="A830">
        <f>IF(AND(LEN('Providers'!A330)&gt;0,ISNUMBER('Providers'!I330)),1,0)</f>
        <v/>
      </c>
      <c r="B830">
        <f>B829+A830</f>
        <v/>
      </c>
      <c r="C830">
        <f>IF(827&gt;$B$4503,"",MATCH(827-0.5,$B$3:$B$4503,1))</f>
        <v/>
      </c>
      <c r="D830">
        <f>"DEA registration ("&amp;IF(LEN(INDEX('Providers'!$E$4:$E$503,327))=0,"",INDEX('Providers'!$E$4:$E$503,327))&amp;") – "&amp;IF(LEN(INDEX('Providers'!$A$4:$A$503,327))=0,"",INDEX('Providers'!$A$4:$A$503,327))</f>
        <v/>
      </c>
      <c r="E830">
        <f>IF(ISNUMBER(INDEX('Providers'!$I$4:$I$503,327)),TEXT(INDEX('Providers'!$I$4:$I$503,327),"yyyy-mm-dd"),"")</f>
        <v/>
      </c>
      <c r="F830">
        <f>"Registration"</f>
        <v/>
      </c>
      <c r="G830">
        <f>""</f>
        <v/>
      </c>
      <c r="H830">
        <f>"High"</f>
        <v/>
      </c>
      <c r="I830">
        <f>TRIM(IF(LEN(IF(LEN(INDEX('Providers'!$H$4:$H$503,327))=0,"",INDEX('Providers'!$H$4:$H$503,327)))=0,"","DEA no.: "&amp;IF(LEN(INDEX('Providers'!$H$4:$H$503,327))=0,"",INDEX('Providers'!$H$4:$H$503,327))&amp;". ")&amp;IF(LEN(IF(LEN(INDEX('Providers'!$C$4:$C$503,327))=0,"",INDEX('Providers'!$C$4:$C$503,327)))=0,"","NPI: "&amp;IF(LEN(INDEX('Providers'!$C$4:$C$503,327))=0,"",INDEX('Providers'!$C$4:$C$503,327))&amp;". "))</f>
        <v/>
      </c>
      <c r="J830">
        <f>IF(LEN(INDEX('Providers'!$AJ$4:$AJ$503,327))=0,"",INDEX('Providers'!$AJ$4:$AJ$503,327))</f>
        <v/>
      </c>
      <c r="K830">
        <f>IF(LEN(INDEX('Providers'!$AI$4:$AI$503,327))=0,"",INDEX('Providers'!$AI$4:$AI$503,327))</f>
        <v/>
      </c>
    </row>
    <row r="831">
      <c r="A831">
        <f>IF(AND(LEN('Providers'!A331)&gt;0,ISNUMBER('Providers'!I331)),1,0)</f>
        <v/>
      </c>
      <c r="B831">
        <f>B830+A831</f>
        <v/>
      </c>
      <c r="C831">
        <f>IF(828&gt;$B$4503,"",MATCH(828-0.5,$B$3:$B$4503,1))</f>
        <v/>
      </c>
      <c r="D831">
        <f>"DEA registration ("&amp;IF(LEN(INDEX('Providers'!$E$4:$E$503,328))=0,"",INDEX('Providers'!$E$4:$E$503,328))&amp;") – "&amp;IF(LEN(INDEX('Providers'!$A$4:$A$503,328))=0,"",INDEX('Providers'!$A$4:$A$503,328))</f>
        <v/>
      </c>
      <c r="E831">
        <f>IF(ISNUMBER(INDEX('Providers'!$I$4:$I$503,328)),TEXT(INDEX('Providers'!$I$4:$I$503,328),"yyyy-mm-dd"),"")</f>
        <v/>
      </c>
      <c r="F831">
        <f>"Registration"</f>
        <v/>
      </c>
      <c r="G831">
        <f>""</f>
        <v/>
      </c>
      <c r="H831">
        <f>"High"</f>
        <v/>
      </c>
      <c r="I831">
        <f>TRIM(IF(LEN(IF(LEN(INDEX('Providers'!$H$4:$H$503,328))=0,"",INDEX('Providers'!$H$4:$H$503,328)))=0,"","DEA no.: "&amp;IF(LEN(INDEX('Providers'!$H$4:$H$503,328))=0,"",INDEX('Providers'!$H$4:$H$503,328))&amp;". ")&amp;IF(LEN(IF(LEN(INDEX('Providers'!$C$4:$C$503,328))=0,"",INDEX('Providers'!$C$4:$C$503,328)))=0,"","NPI: "&amp;IF(LEN(INDEX('Providers'!$C$4:$C$503,328))=0,"",INDEX('Providers'!$C$4:$C$503,328))&amp;". "))</f>
        <v/>
      </c>
      <c r="J831">
        <f>IF(LEN(INDEX('Providers'!$AJ$4:$AJ$503,328))=0,"",INDEX('Providers'!$AJ$4:$AJ$503,328))</f>
        <v/>
      </c>
      <c r="K831">
        <f>IF(LEN(INDEX('Providers'!$AI$4:$AI$503,328))=0,"",INDEX('Providers'!$AI$4:$AI$503,328))</f>
        <v/>
      </c>
    </row>
    <row r="832">
      <c r="A832">
        <f>IF(AND(LEN('Providers'!A332)&gt;0,ISNUMBER('Providers'!I332)),1,0)</f>
        <v/>
      </c>
      <c r="B832">
        <f>B831+A832</f>
        <v/>
      </c>
      <c r="C832">
        <f>IF(829&gt;$B$4503,"",MATCH(829-0.5,$B$3:$B$4503,1))</f>
        <v/>
      </c>
      <c r="D832">
        <f>"DEA registration ("&amp;IF(LEN(INDEX('Providers'!$E$4:$E$503,329))=0,"",INDEX('Providers'!$E$4:$E$503,329))&amp;") – "&amp;IF(LEN(INDEX('Providers'!$A$4:$A$503,329))=0,"",INDEX('Providers'!$A$4:$A$503,329))</f>
        <v/>
      </c>
      <c r="E832">
        <f>IF(ISNUMBER(INDEX('Providers'!$I$4:$I$503,329)),TEXT(INDEX('Providers'!$I$4:$I$503,329),"yyyy-mm-dd"),"")</f>
        <v/>
      </c>
      <c r="F832">
        <f>"Registration"</f>
        <v/>
      </c>
      <c r="G832">
        <f>""</f>
        <v/>
      </c>
      <c r="H832">
        <f>"High"</f>
        <v/>
      </c>
      <c r="I832">
        <f>TRIM(IF(LEN(IF(LEN(INDEX('Providers'!$H$4:$H$503,329))=0,"",INDEX('Providers'!$H$4:$H$503,329)))=0,"","DEA no.: "&amp;IF(LEN(INDEX('Providers'!$H$4:$H$503,329))=0,"",INDEX('Providers'!$H$4:$H$503,329))&amp;". ")&amp;IF(LEN(IF(LEN(INDEX('Providers'!$C$4:$C$503,329))=0,"",INDEX('Providers'!$C$4:$C$503,329)))=0,"","NPI: "&amp;IF(LEN(INDEX('Providers'!$C$4:$C$503,329))=0,"",INDEX('Providers'!$C$4:$C$503,329))&amp;". "))</f>
        <v/>
      </c>
      <c r="J832">
        <f>IF(LEN(INDEX('Providers'!$AJ$4:$AJ$503,329))=0,"",INDEX('Providers'!$AJ$4:$AJ$503,329))</f>
        <v/>
      </c>
      <c r="K832">
        <f>IF(LEN(INDEX('Providers'!$AI$4:$AI$503,329))=0,"",INDEX('Providers'!$AI$4:$AI$503,329))</f>
        <v/>
      </c>
    </row>
    <row r="833">
      <c r="A833">
        <f>IF(AND(LEN('Providers'!A333)&gt;0,ISNUMBER('Providers'!I333)),1,0)</f>
        <v/>
      </c>
      <c r="B833">
        <f>B832+A833</f>
        <v/>
      </c>
      <c r="C833">
        <f>IF(830&gt;$B$4503,"",MATCH(830-0.5,$B$3:$B$4503,1))</f>
        <v/>
      </c>
      <c r="D833">
        <f>"DEA registration ("&amp;IF(LEN(INDEX('Providers'!$E$4:$E$503,330))=0,"",INDEX('Providers'!$E$4:$E$503,330))&amp;") – "&amp;IF(LEN(INDEX('Providers'!$A$4:$A$503,330))=0,"",INDEX('Providers'!$A$4:$A$503,330))</f>
        <v/>
      </c>
      <c r="E833">
        <f>IF(ISNUMBER(INDEX('Providers'!$I$4:$I$503,330)),TEXT(INDEX('Providers'!$I$4:$I$503,330),"yyyy-mm-dd"),"")</f>
        <v/>
      </c>
      <c r="F833">
        <f>"Registration"</f>
        <v/>
      </c>
      <c r="G833">
        <f>""</f>
        <v/>
      </c>
      <c r="H833">
        <f>"High"</f>
        <v/>
      </c>
      <c r="I833">
        <f>TRIM(IF(LEN(IF(LEN(INDEX('Providers'!$H$4:$H$503,330))=0,"",INDEX('Providers'!$H$4:$H$503,330)))=0,"","DEA no.: "&amp;IF(LEN(INDEX('Providers'!$H$4:$H$503,330))=0,"",INDEX('Providers'!$H$4:$H$503,330))&amp;". ")&amp;IF(LEN(IF(LEN(INDEX('Providers'!$C$4:$C$503,330))=0,"",INDEX('Providers'!$C$4:$C$503,330)))=0,"","NPI: "&amp;IF(LEN(INDEX('Providers'!$C$4:$C$503,330))=0,"",INDEX('Providers'!$C$4:$C$503,330))&amp;". "))</f>
        <v/>
      </c>
      <c r="J833">
        <f>IF(LEN(INDEX('Providers'!$AJ$4:$AJ$503,330))=0,"",INDEX('Providers'!$AJ$4:$AJ$503,330))</f>
        <v/>
      </c>
      <c r="K833">
        <f>IF(LEN(INDEX('Providers'!$AI$4:$AI$503,330))=0,"",INDEX('Providers'!$AI$4:$AI$503,330))</f>
        <v/>
      </c>
    </row>
    <row r="834">
      <c r="A834">
        <f>IF(AND(LEN('Providers'!A334)&gt;0,ISNUMBER('Providers'!I334)),1,0)</f>
        <v/>
      </c>
      <c r="B834">
        <f>B833+A834</f>
        <v/>
      </c>
      <c r="C834">
        <f>IF(831&gt;$B$4503,"",MATCH(831-0.5,$B$3:$B$4503,1))</f>
        <v/>
      </c>
      <c r="D834">
        <f>"DEA registration ("&amp;IF(LEN(INDEX('Providers'!$E$4:$E$503,331))=0,"",INDEX('Providers'!$E$4:$E$503,331))&amp;") – "&amp;IF(LEN(INDEX('Providers'!$A$4:$A$503,331))=0,"",INDEX('Providers'!$A$4:$A$503,331))</f>
        <v/>
      </c>
      <c r="E834">
        <f>IF(ISNUMBER(INDEX('Providers'!$I$4:$I$503,331)),TEXT(INDEX('Providers'!$I$4:$I$503,331),"yyyy-mm-dd"),"")</f>
        <v/>
      </c>
      <c r="F834">
        <f>"Registration"</f>
        <v/>
      </c>
      <c r="G834">
        <f>""</f>
        <v/>
      </c>
      <c r="H834">
        <f>"High"</f>
        <v/>
      </c>
      <c r="I834">
        <f>TRIM(IF(LEN(IF(LEN(INDEX('Providers'!$H$4:$H$503,331))=0,"",INDEX('Providers'!$H$4:$H$503,331)))=0,"","DEA no.: "&amp;IF(LEN(INDEX('Providers'!$H$4:$H$503,331))=0,"",INDEX('Providers'!$H$4:$H$503,331))&amp;". ")&amp;IF(LEN(IF(LEN(INDEX('Providers'!$C$4:$C$503,331))=0,"",INDEX('Providers'!$C$4:$C$503,331)))=0,"","NPI: "&amp;IF(LEN(INDEX('Providers'!$C$4:$C$503,331))=0,"",INDEX('Providers'!$C$4:$C$503,331))&amp;". "))</f>
        <v/>
      </c>
      <c r="J834">
        <f>IF(LEN(INDEX('Providers'!$AJ$4:$AJ$503,331))=0,"",INDEX('Providers'!$AJ$4:$AJ$503,331))</f>
        <v/>
      </c>
      <c r="K834">
        <f>IF(LEN(INDEX('Providers'!$AI$4:$AI$503,331))=0,"",INDEX('Providers'!$AI$4:$AI$503,331))</f>
        <v/>
      </c>
    </row>
    <row r="835">
      <c r="A835">
        <f>IF(AND(LEN('Providers'!A335)&gt;0,ISNUMBER('Providers'!I335)),1,0)</f>
        <v/>
      </c>
      <c r="B835">
        <f>B834+A835</f>
        <v/>
      </c>
      <c r="C835">
        <f>IF(832&gt;$B$4503,"",MATCH(832-0.5,$B$3:$B$4503,1))</f>
        <v/>
      </c>
      <c r="D835">
        <f>"DEA registration ("&amp;IF(LEN(INDEX('Providers'!$E$4:$E$503,332))=0,"",INDEX('Providers'!$E$4:$E$503,332))&amp;") – "&amp;IF(LEN(INDEX('Providers'!$A$4:$A$503,332))=0,"",INDEX('Providers'!$A$4:$A$503,332))</f>
        <v/>
      </c>
      <c r="E835">
        <f>IF(ISNUMBER(INDEX('Providers'!$I$4:$I$503,332)),TEXT(INDEX('Providers'!$I$4:$I$503,332),"yyyy-mm-dd"),"")</f>
        <v/>
      </c>
      <c r="F835">
        <f>"Registration"</f>
        <v/>
      </c>
      <c r="G835">
        <f>""</f>
        <v/>
      </c>
      <c r="H835">
        <f>"High"</f>
        <v/>
      </c>
      <c r="I835">
        <f>TRIM(IF(LEN(IF(LEN(INDEX('Providers'!$H$4:$H$503,332))=0,"",INDEX('Providers'!$H$4:$H$503,332)))=0,"","DEA no.: "&amp;IF(LEN(INDEX('Providers'!$H$4:$H$503,332))=0,"",INDEX('Providers'!$H$4:$H$503,332))&amp;". ")&amp;IF(LEN(IF(LEN(INDEX('Providers'!$C$4:$C$503,332))=0,"",INDEX('Providers'!$C$4:$C$503,332)))=0,"","NPI: "&amp;IF(LEN(INDEX('Providers'!$C$4:$C$503,332))=0,"",INDEX('Providers'!$C$4:$C$503,332))&amp;". "))</f>
        <v/>
      </c>
      <c r="J835">
        <f>IF(LEN(INDEX('Providers'!$AJ$4:$AJ$503,332))=0,"",INDEX('Providers'!$AJ$4:$AJ$503,332))</f>
        <v/>
      </c>
      <c r="K835">
        <f>IF(LEN(INDEX('Providers'!$AI$4:$AI$503,332))=0,"",INDEX('Providers'!$AI$4:$AI$503,332))</f>
        <v/>
      </c>
    </row>
    <row r="836">
      <c r="A836">
        <f>IF(AND(LEN('Providers'!A336)&gt;0,ISNUMBER('Providers'!I336)),1,0)</f>
        <v/>
      </c>
      <c r="B836">
        <f>B835+A836</f>
        <v/>
      </c>
      <c r="C836">
        <f>IF(833&gt;$B$4503,"",MATCH(833-0.5,$B$3:$B$4503,1))</f>
        <v/>
      </c>
      <c r="D836">
        <f>"DEA registration ("&amp;IF(LEN(INDEX('Providers'!$E$4:$E$503,333))=0,"",INDEX('Providers'!$E$4:$E$503,333))&amp;") – "&amp;IF(LEN(INDEX('Providers'!$A$4:$A$503,333))=0,"",INDEX('Providers'!$A$4:$A$503,333))</f>
        <v/>
      </c>
      <c r="E836">
        <f>IF(ISNUMBER(INDEX('Providers'!$I$4:$I$503,333)),TEXT(INDEX('Providers'!$I$4:$I$503,333),"yyyy-mm-dd"),"")</f>
        <v/>
      </c>
      <c r="F836">
        <f>"Registration"</f>
        <v/>
      </c>
      <c r="G836">
        <f>""</f>
        <v/>
      </c>
      <c r="H836">
        <f>"High"</f>
        <v/>
      </c>
      <c r="I836">
        <f>TRIM(IF(LEN(IF(LEN(INDEX('Providers'!$H$4:$H$503,333))=0,"",INDEX('Providers'!$H$4:$H$503,333)))=0,"","DEA no.: "&amp;IF(LEN(INDEX('Providers'!$H$4:$H$503,333))=0,"",INDEX('Providers'!$H$4:$H$503,333))&amp;". ")&amp;IF(LEN(IF(LEN(INDEX('Providers'!$C$4:$C$503,333))=0,"",INDEX('Providers'!$C$4:$C$503,333)))=0,"","NPI: "&amp;IF(LEN(INDEX('Providers'!$C$4:$C$503,333))=0,"",INDEX('Providers'!$C$4:$C$503,333))&amp;". "))</f>
        <v/>
      </c>
      <c r="J836">
        <f>IF(LEN(INDEX('Providers'!$AJ$4:$AJ$503,333))=0,"",INDEX('Providers'!$AJ$4:$AJ$503,333))</f>
        <v/>
      </c>
      <c r="K836">
        <f>IF(LEN(INDEX('Providers'!$AI$4:$AI$503,333))=0,"",INDEX('Providers'!$AI$4:$AI$503,333))</f>
        <v/>
      </c>
    </row>
    <row r="837">
      <c r="A837">
        <f>IF(AND(LEN('Providers'!A337)&gt;0,ISNUMBER('Providers'!I337)),1,0)</f>
        <v/>
      </c>
      <c r="B837">
        <f>B836+A837</f>
        <v/>
      </c>
      <c r="C837">
        <f>IF(834&gt;$B$4503,"",MATCH(834-0.5,$B$3:$B$4503,1))</f>
        <v/>
      </c>
      <c r="D837">
        <f>"DEA registration ("&amp;IF(LEN(INDEX('Providers'!$E$4:$E$503,334))=0,"",INDEX('Providers'!$E$4:$E$503,334))&amp;") – "&amp;IF(LEN(INDEX('Providers'!$A$4:$A$503,334))=0,"",INDEX('Providers'!$A$4:$A$503,334))</f>
        <v/>
      </c>
      <c r="E837">
        <f>IF(ISNUMBER(INDEX('Providers'!$I$4:$I$503,334)),TEXT(INDEX('Providers'!$I$4:$I$503,334),"yyyy-mm-dd"),"")</f>
        <v/>
      </c>
      <c r="F837">
        <f>"Registration"</f>
        <v/>
      </c>
      <c r="G837">
        <f>""</f>
        <v/>
      </c>
      <c r="H837">
        <f>"High"</f>
        <v/>
      </c>
      <c r="I837">
        <f>TRIM(IF(LEN(IF(LEN(INDEX('Providers'!$H$4:$H$503,334))=0,"",INDEX('Providers'!$H$4:$H$503,334)))=0,"","DEA no.: "&amp;IF(LEN(INDEX('Providers'!$H$4:$H$503,334))=0,"",INDEX('Providers'!$H$4:$H$503,334))&amp;". ")&amp;IF(LEN(IF(LEN(INDEX('Providers'!$C$4:$C$503,334))=0,"",INDEX('Providers'!$C$4:$C$503,334)))=0,"","NPI: "&amp;IF(LEN(INDEX('Providers'!$C$4:$C$503,334))=0,"",INDEX('Providers'!$C$4:$C$503,334))&amp;". "))</f>
        <v/>
      </c>
      <c r="J837">
        <f>IF(LEN(INDEX('Providers'!$AJ$4:$AJ$503,334))=0,"",INDEX('Providers'!$AJ$4:$AJ$503,334))</f>
        <v/>
      </c>
      <c r="K837">
        <f>IF(LEN(INDEX('Providers'!$AI$4:$AI$503,334))=0,"",INDEX('Providers'!$AI$4:$AI$503,334))</f>
        <v/>
      </c>
    </row>
    <row r="838">
      <c r="A838">
        <f>IF(AND(LEN('Providers'!A338)&gt;0,ISNUMBER('Providers'!I338)),1,0)</f>
        <v/>
      </c>
      <c r="B838">
        <f>B837+A838</f>
        <v/>
      </c>
      <c r="C838">
        <f>IF(835&gt;$B$4503,"",MATCH(835-0.5,$B$3:$B$4503,1))</f>
        <v/>
      </c>
      <c r="D838">
        <f>"DEA registration ("&amp;IF(LEN(INDEX('Providers'!$E$4:$E$503,335))=0,"",INDEX('Providers'!$E$4:$E$503,335))&amp;") – "&amp;IF(LEN(INDEX('Providers'!$A$4:$A$503,335))=0,"",INDEX('Providers'!$A$4:$A$503,335))</f>
        <v/>
      </c>
      <c r="E838">
        <f>IF(ISNUMBER(INDEX('Providers'!$I$4:$I$503,335)),TEXT(INDEX('Providers'!$I$4:$I$503,335),"yyyy-mm-dd"),"")</f>
        <v/>
      </c>
      <c r="F838">
        <f>"Registration"</f>
        <v/>
      </c>
      <c r="G838">
        <f>""</f>
        <v/>
      </c>
      <c r="H838">
        <f>"High"</f>
        <v/>
      </c>
      <c r="I838">
        <f>TRIM(IF(LEN(IF(LEN(INDEX('Providers'!$H$4:$H$503,335))=0,"",INDEX('Providers'!$H$4:$H$503,335)))=0,"","DEA no.: "&amp;IF(LEN(INDEX('Providers'!$H$4:$H$503,335))=0,"",INDEX('Providers'!$H$4:$H$503,335))&amp;". ")&amp;IF(LEN(IF(LEN(INDEX('Providers'!$C$4:$C$503,335))=0,"",INDEX('Providers'!$C$4:$C$503,335)))=0,"","NPI: "&amp;IF(LEN(INDEX('Providers'!$C$4:$C$503,335))=0,"",INDEX('Providers'!$C$4:$C$503,335))&amp;". "))</f>
        <v/>
      </c>
      <c r="J838">
        <f>IF(LEN(INDEX('Providers'!$AJ$4:$AJ$503,335))=0,"",INDEX('Providers'!$AJ$4:$AJ$503,335))</f>
        <v/>
      </c>
      <c r="K838">
        <f>IF(LEN(INDEX('Providers'!$AI$4:$AI$503,335))=0,"",INDEX('Providers'!$AI$4:$AI$503,335))</f>
        <v/>
      </c>
    </row>
    <row r="839">
      <c r="A839">
        <f>IF(AND(LEN('Providers'!A339)&gt;0,ISNUMBER('Providers'!I339)),1,0)</f>
        <v/>
      </c>
      <c r="B839">
        <f>B838+A839</f>
        <v/>
      </c>
      <c r="C839">
        <f>IF(836&gt;$B$4503,"",MATCH(836-0.5,$B$3:$B$4503,1))</f>
        <v/>
      </c>
      <c r="D839">
        <f>"DEA registration ("&amp;IF(LEN(INDEX('Providers'!$E$4:$E$503,336))=0,"",INDEX('Providers'!$E$4:$E$503,336))&amp;") – "&amp;IF(LEN(INDEX('Providers'!$A$4:$A$503,336))=0,"",INDEX('Providers'!$A$4:$A$503,336))</f>
        <v/>
      </c>
      <c r="E839">
        <f>IF(ISNUMBER(INDEX('Providers'!$I$4:$I$503,336)),TEXT(INDEX('Providers'!$I$4:$I$503,336),"yyyy-mm-dd"),"")</f>
        <v/>
      </c>
      <c r="F839">
        <f>"Registration"</f>
        <v/>
      </c>
      <c r="G839">
        <f>""</f>
        <v/>
      </c>
      <c r="H839">
        <f>"High"</f>
        <v/>
      </c>
      <c r="I839">
        <f>TRIM(IF(LEN(IF(LEN(INDEX('Providers'!$H$4:$H$503,336))=0,"",INDEX('Providers'!$H$4:$H$503,336)))=0,"","DEA no.: "&amp;IF(LEN(INDEX('Providers'!$H$4:$H$503,336))=0,"",INDEX('Providers'!$H$4:$H$503,336))&amp;". ")&amp;IF(LEN(IF(LEN(INDEX('Providers'!$C$4:$C$503,336))=0,"",INDEX('Providers'!$C$4:$C$503,336)))=0,"","NPI: "&amp;IF(LEN(INDEX('Providers'!$C$4:$C$503,336))=0,"",INDEX('Providers'!$C$4:$C$503,336))&amp;". "))</f>
        <v/>
      </c>
      <c r="J839">
        <f>IF(LEN(INDEX('Providers'!$AJ$4:$AJ$503,336))=0,"",INDEX('Providers'!$AJ$4:$AJ$503,336))</f>
        <v/>
      </c>
      <c r="K839">
        <f>IF(LEN(INDEX('Providers'!$AI$4:$AI$503,336))=0,"",INDEX('Providers'!$AI$4:$AI$503,336))</f>
        <v/>
      </c>
    </row>
    <row r="840">
      <c r="A840">
        <f>IF(AND(LEN('Providers'!A340)&gt;0,ISNUMBER('Providers'!I340)),1,0)</f>
        <v/>
      </c>
      <c r="B840">
        <f>B839+A840</f>
        <v/>
      </c>
      <c r="C840">
        <f>IF(837&gt;$B$4503,"",MATCH(837-0.5,$B$3:$B$4503,1))</f>
        <v/>
      </c>
      <c r="D840">
        <f>"DEA registration ("&amp;IF(LEN(INDEX('Providers'!$E$4:$E$503,337))=0,"",INDEX('Providers'!$E$4:$E$503,337))&amp;") – "&amp;IF(LEN(INDEX('Providers'!$A$4:$A$503,337))=0,"",INDEX('Providers'!$A$4:$A$503,337))</f>
        <v/>
      </c>
      <c r="E840">
        <f>IF(ISNUMBER(INDEX('Providers'!$I$4:$I$503,337)),TEXT(INDEX('Providers'!$I$4:$I$503,337),"yyyy-mm-dd"),"")</f>
        <v/>
      </c>
      <c r="F840">
        <f>"Registration"</f>
        <v/>
      </c>
      <c r="G840">
        <f>""</f>
        <v/>
      </c>
      <c r="H840">
        <f>"High"</f>
        <v/>
      </c>
      <c r="I840">
        <f>TRIM(IF(LEN(IF(LEN(INDEX('Providers'!$H$4:$H$503,337))=0,"",INDEX('Providers'!$H$4:$H$503,337)))=0,"","DEA no.: "&amp;IF(LEN(INDEX('Providers'!$H$4:$H$503,337))=0,"",INDEX('Providers'!$H$4:$H$503,337))&amp;". ")&amp;IF(LEN(IF(LEN(INDEX('Providers'!$C$4:$C$503,337))=0,"",INDEX('Providers'!$C$4:$C$503,337)))=0,"","NPI: "&amp;IF(LEN(INDEX('Providers'!$C$4:$C$503,337))=0,"",INDEX('Providers'!$C$4:$C$503,337))&amp;". "))</f>
        <v/>
      </c>
      <c r="J840">
        <f>IF(LEN(INDEX('Providers'!$AJ$4:$AJ$503,337))=0,"",INDEX('Providers'!$AJ$4:$AJ$503,337))</f>
        <v/>
      </c>
      <c r="K840">
        <f>IF(LEN(INDEX('Providers'!$AI$4:$AI$503,337))=0,"",INDEX('Providers'!$AI$4:$AI$503,337))</f>
        <v/>
      </c>
    </row>
    <row r="841">
      <c r="A841">
        <f>IF(AND(LEN('Providers'!A341)&gt;0,ISNUMBER('Providers'!I341)),1,0)</f>
        <v/>
      </c>
      <c r="B841">
        <f>B840+A841</f>
        <v/>
      </c>
      <c r="C841">
        <f>IF(838&gt;$B$4503,"",MATCH(838-0.5,$B$3:$B$4503,1))</f>
        <v/>
      </c>
      <c r="D841">
        <f>"DEA registration ("&amp;IF(LEN(INDEX('Providers'!$E$4:$E$503,338))=0,"",INDEX('Providers'!$E$4:$E$503,338))&amp;") – "&amp;IF(LEN(INDEX('Providers'!$A$4:$A$503,338))=0,"",INDEX('Providers'!$A$4:$A$503,338))</f>
        <v/>
      </c>
      <c r="E841">
        <f>IF(ISNUMBER(INDEX('Providers'!$I$4:$I$503,338)),TEXT(INDEX('Providers'!$I$4:$I$503,338),"yyyy-mm-dd"),"")</f>
        <v/>
      </c>
      <c r="F841">
        <f>"Registration"</f>
        <v/>
      </c>
      <c r="G841">
        <f>""</f>
        <v/>
      </c>
      <c r="H841">
        <f>"High"</f>
        <v/>
      </c>
      <c r="I841">
        <f>TRIM(IF(LEN(IF(LEN(INDEX('Providers'!$H$4:$H$503,338))=0,"",INDEX('Providers'!$H$4:$H$503,338)))=0,"","DEA no.: "&amp;IF(LEN(INDEX('Providers'!$H$4:$H$503,338))=0,"",INDEX('Providers'!$H$4:$H$503,338))&amp;". ")&amp;IF(LEN(IF(LEN(INDEX('Providers'!$C$4:$C$503,338))=0,"",INDEX('Providers'!$C$4:$C$503,338)))=0,"","NPI: "&amp;IF(LEN(INDEX('Providers'!$C$4:$C$503,338))=0,"",INDEX('Providers'!$C$4:$C$503,338))&amp;". "))</f>
        <v/>
      </c>
      <c r="J841">
        <f>IF(LEN(INDEX('Providers'!$AJ$4:$AJ$503,338))=0,"",INDEX('Providers'!$AJ$4:$AJ$503,338))</f>
        <v/>
      </c>
      <c r="K841">
        <f>IF(LEN(INDEX('Providers'!$AI$4:$AI$503,338))=0,"",INDEX('Providers'!$AI$4:$AI$503,338))</f>
        <v/>
      </c>
    </row>
    <row r="842">
      <c r="A842">
        <f>IF(AND(LEN('Providers'!A342)&gt;0,ISNUMBER('Providers'!I342)),1,0)</f>
        <v/>
      </c>
      <c r="B842">
        <f>B841+A842</f>
        <v/>
      </c>
      <c r="C842">
        <f>IF(839&gt;$B$4503,"",MATCH(839-0.5,$B$3:$B$4503,1))</f>
        <v/>
      </c>
      <c r="D842">
        <f>"DEA registration ("&amp;IF(LEN(INDEX('Providers'!$E$4:$E$503,339))=0,"",INDEX('Providers'!$E$4:$E$503,339))&amp;") – "&amp;IF(LEN(INDEX('Providers'!$A$4:$A$503,339))=0,"",INDEX('Providers'!$A$4:$A$503,339))</f>
        <v/>
      </c>
      <c r="E842">
        <f>IF(ISNUMBER(INDEX('Providers'!$I$4:$I$503,339)),TEXT(INDEX('Providers'!$I$4:$I$503,339),"yyyy-mm-dd"),"")</f>
        <v/>
      </c>
      <c r="F842">
        <f>"Registration"</f>
        <v/>
      </c>
      <c r="G842">
        <f>""</f>
        <v/>
      </c>
      <c r="H842">
        <f>"High"</f>
        <v/>
      </c>
      <c r="I842">
        <f>TRIM(IF(LEN(IF(LEN(INDEX('Providers'!$H$4:$H$503,339))=0,"",INDEX('Providers'!$H$4:$H$503,339)))=0,"","DEA no.: "&amp;IF(LEN(INDEX('Providers'!$H$4:$H$503,339))=0,"",INDEX('Providers'!$H$4:$H$503,339))&amp;". ")&amp;IF(LEN(IF(LEN(INDEX('Providers'!$C$4:$C$503,339))=0,"",INDEX('Providers'!$C$4:$C$503,339)))=0,"","NPI: "&amp;IF(LEN(INDEX('Providers'!$C$4:$C$503,339))=0,"",INDEX('Providers'!$C$4:$C$503,339))&amp;". "))</f>
        <v/>
      </c>
      <c r="J842">
        <f>IF(LEN(INDEX('Providers'!$AJ$4:$AJ$503,339))=0,"",INDEX('Providers'!$AJ$4:$AJ$503,339))</f>
        <v/>
      </c>
      <c r="K842">
        <f>IF(LEN(INDEX('Providers'!$AI$4:$AI$503,339))=0,"",INDEX('Providers'!$AI$4:$AI$503,339))</f>
        <v/>
      </c>
    </row>
    <row r="843">
      <c r="A843">
        <f>IF(AND(LEN('Providers'!A343)&gt;0,ISNUMBER('Providers'!I343)),1,0)</f>
        <v/>
      </c>
      <c r="B843">
        <f>B842+A843</f>
        <v/>
      </c>
      <c r="C843">
        <f>IF(840&gt;$B$4503,"",MATCH(840-0.5,$B$3:$B$4503,1))</f>
        <v/>
      </c>
      <c r="D843">
        <f>"DEA registration ("&amp;IF(LEN(INDEX('Providers'!$E$4:$E$503,340))=0,"",INDEX('Providers'!$E$4:$E$503,340))&amp;") – "&amp;IF(LEN(INDEX('Providers'!$A$4:$A$503,340))=0,"",INDEX('Providers'!$A$4:$A$503,340))</f>
        <v/>
      </c>
      <c r="E843">
        <f>IF(ISNUMBER(INDEX('Providers'!$I$4:$I$503,340)),TEXT(INDEX('Providers'!$I$4:$I$503,340),"yyyy-mm-dd"),"")</f>
        <v/>
      </c>
      <c r="F843">
        <f>"Registration"</f>
        <v/>
      </c>
      <c r="G843">
        <f>""</f>
        <v/>
      </c>
      <c r="H843">
        <f>"High"</f>
        <v/>
      </c>
      <c r="I843">
        <f>TRIM(IF(LEN(IF(LEN(INDEX('Providers'!$H$4:$H$503,340))=0,"",INDEX('Providers'!$H$4:$H$503,340)))=0,"","DEA no.: "&amp;IF(LEN(INDEX('Providers'!$H$4:$H$503,340))=0,"",INDEX('Providers'!$H$4:$H$503,340))&amp;". ")&amp;IF(LEN(IF(LEN(INDEX('Providers'!$C$4:$C$503,340))=0,"",INDEX('Providers'!$C$4:$C$503,340)))=0,"","NPI: "&amp;IF(LEN(INDEX('Providers'!$C$4:$C$503,340))=0,"",INDEX('Providers'!$C$4:$C$503,340))&amp;". "))</f>
        <v/>
      </c>
      <c r="J843">
        <f>IF(LEN(INDEX('Providers'!$AJ$4:$AJ$503,340))=0,"",INDEX('Providers'!$AJ$4:$AJ$503,340))</f>
        <v/>
      </c>
      <c r="K843">
        <f>IF(LEN(INDEX('Providers'!$AI$4:$AI$503,340))=0,"",INDEX('Providers'!$AI$4:$AI$503,340))</f>
        <v/>
      </c>
    </row>
    <row r="844">
      <c r="A844">
        <f>IF(AND(LEN('Providers'!A344)&gt;0,ISNUMBER('Providers'!I344)),1,0)</f>
        <v/>
      </c>
      <c r="B844">
        <f>B843+A844</f>
        <v/>
      </c>
      <c r="C844">
        <f>IF(841&gt;$B$4503,"",MATCH(841-0.5,$B$3:$B$4503,1))</f>
        <v/>
      </c>
      <c r="D844">
        <f>"DEA registration ("&amp;IF(LEN(INDEX('Providers'!$E$4:$E$503,341))=0,"",INDEX('Providers'!$E$4:$E$503,341))&amp;") – "&amp;IF(LEN(INDEX('Providers'!$A$4:$A$503,341))=0,"",INDEX('Providers'!$A$4:$A$503,341))</f>
        <v/>
      </c>
      <c r="E844">
        <f>IF(ISNUMBER(INDEX('Providers'!$I$4:$I$503,341)),TEXT(INDEX('Providers'!$I$4:$I$503,341),"yyyy-mm-dd"),"")</f>
        <v/>
      </c>
      <c r="F844">
        <f>"Registration"</f>
        <v/>
      </c>
      <c r="G844">
        <f>""</f>
        <v/>
      </c>
      <c r="H844">
        <f>"High"</f>
        <v/>
      </c>
      <c r="I844">
        <f>TRIM(IF(LEN(IF(LEN(INDEX('Providers'!$H$4:$H$503,341))=0,"",INDEX('Providers'!$H$4:$H$503,341)))=0,"","DEA no.: "&amp;IF(LEN(INDEX('Providers'!$H$4:$H$503,341))=0,"",INDEX('Providers'!$H$4:$H$503,341))&amp;". ")&amp;IF(LEN(IF(LEN(INDEX('Providers'!$C$4:$C$503,341))=0,"",INDEX('Providers'!$C$4:$C$503,341)))=0,"","NPI: "&amp;IF(LEN(INDEX('Providers'!$C$4:$C$503,341))=0,"",INDEX('Providers'!$C$4:$C$503,341))&amp;". "))</f>
        <v/>
      </c>
      <c r="J844">
        <f>IF(LEN(INDEX('Providers'!$AJ$4:$AJ$503,341))=0,"",INDEX('Providers'!$AJ$4:$AJ$503,341))</f>
        <v/>
      </c>
      <c r="K844">
        <f>IF(LEN(INDEX('Providers'!$AI$4:$AI$503,341))=0,"",INDEX('Providers'!$AI$4:$AI$503,341))</f>
        <v/>
      </c>
    </row>
    <row r="845">
      <c r="A845">
        <f>IF(AND(LEN('Providers'!A345)&gt;0,ISNUMBER('Providers'!I345)),1,0)</f>
        <v/>
      </c>
      <c r="B845">
        <f>B844+A845</f>
        <v/>
      </c>
      <c r="C845">
        <f>IF(842&gt;$B$4503,"",MATCH(842-0.5,$B$3:$B$4503,1))</f>
        <v/>
      </c>
      <c r="D845">
        <f>"DEA registration ("&amp;IF(LEN(INDEX('Providers'!$E$4:$E$503,342))=0,"",INDEX('Providers'!$E$4:$E$503,342))&amp;") – "&amp;IF(LEN(INDEX('Providers'!$A$4:$A$503,342))=0,"",INDEX('Providers'!$A$4:$A$503,342))</f>
        <v/>
      </c>
      <c r="E845">
        <f>IF(ISNUMBER(INDEX('Providers'!$I$4:$I$503,342)),TEXT(INDEX('Providers'!$I$4:$I$503,342),"yyyy-mm-dd"),"")</f>
        <v/>
      </c>
      <c r="F845">
        <f>"Registration"</f>
        <v/>
      </c>
      <c r="G845">
        <f>""</f>
        <v/>
      </c>
      <c r="H845">
        <f>"High"</f>
        <v/>
      </c>
      <c r="I845">
        <f>TRIM(IF(LEN(IF(LEN(INDEX('Providers'!$H$4:$H$503,342))=0,"",INDEX('Providers'!$H$4:$H$503,342)))=0,"","DEA no.: "&amp;IF(LEN(INDEX('Providers'!$H$4:$H$503,342))=0,"",INDEX('Providers'!$H$4:$H$503,342))&amp;". ")&amp;IF(LEN(IF(LEN(INDEX('Providers'!$C$4:$C$503,342))=0,"",INDEX('Providers'!$C$4:$C$503,342)))=0,"","NPI: "&amp;IF(LEN(INDEX('Providers'!$C$4:$C$503,342))=0,"",INDEX('Providers'!$C$4:$C$503,342))&amp;". "))</f>
        <v/>
      </c>
      <c r="J845">
        <f>IF(LEN(INDEX('Providers'!$AJ$4:$AJ$503,342))=0,"",INDEX('Providers'!$AJ$4:$AJ$503,342))</f>
        <v/>
      </c>
      <c r="K845">
        <f>IF(LEN(INDEX('Providers'!$AI$4:$AI$503,342))=0,"",INDEX('Providers'!$AI$4:$AI$503,342))</f>
        <v/>
      </c>
    </row>
    <row r="846">
      <c r="A846">
        <f>IF(AND(LEN('Providers'!A346)&gt;0,ISNUMBER('Providers'!I346)),1,0)</f>
        <v/>
      </c>
      <c r="B846">
        <f>B845+A846</f>
        <v/>
      </c>
      <c r="C846">
        <f>IF(843&gt;$B$4503,"",MATCH(843-0.5,$B$3:$B$4503,1))</f>
        <v/>
      </c>
      <c r="D846">
        <f>"DEA registration ("&amp;IF(LEN(INDEX('Providers'!$E$4:$E$503,343))=0,"",INDEX('Providers'!$E$4:$E$503,343))&amp;") – "&amp;IF(LEN(INDEX('Providers'!$A$4:$A$503,343))=0,"",INDEX('Providers'!$A$4:$A$503,343))</f>
        <v/>
      </c>
      <c r="E846">
        <f>IF(ISNUMBER(INDEX('Providers'!$I$4:$I$503,343)),TEXT(INDEX('Providers'!$I$4:$I$503,343),"yyyy-mm-dd"),"")</f>
        <v/>
      </c>
      <c r="F846">
        <f>"Registration"</f>
        <v/>
      </c>
      <c r="G846">
        <f>""</f>
        <v/>
      </c>
      <c r="H846">
        <f>"High"</f>
        <v/>
      </c>
      <c r="I846">
        <f>TRIM(IF(LEN(IF(LEN(INDEX('Providers'!$H$4:$H$503,343))=0,"",INDEX('Providers'!$H$4:$H$503,343)))=0,"","DEA no.: "&amp;IF(LEN(INDEX('Providers'!$H$4:$H$503,343))=0,"",INDEX('Providers'!$H$4:$H$503,343))&amp;". ")&amp;IF(LEN(IF(LEN(INDEX('Providers'!$C$4:$C$503,343))=0,"",INDEX('Providers'!$C$4:$C$503,343)))=0,"","NPI: "&amp;IF(LEN(INDEX('Providers'!$C$4:$C$503,343))=0,"",INDEX('Providers'!$C$4:$C$503,343))&amp;". "))</f>
        <v/>
      </c>
      <c r="J846">
        <f>IF(LEN(INDEX('Providers'!$AJ$4:$AJ$503,343))=0,"",INDEX('Providers'!$AJ$4:$AJ$503,343))</f>
        <v/>
      </c>
      <c r="K846">
        <f>IF(LEN(INDEX('Providers'!$AI$4:$AI$503,343))=0,"",INDEX('Providers'!$AI$4:$AI$503,343))</f>
        <v/>
      </c>
    </row>
    <row r="847">
      <c r="A847">
        <f>IF(AND(LEN('Providers'!A347)&gt;0,ISNUMBER('Providers'!I347)),1,0)</f>
        <v/>
      </c>
      <c r="B847">
        <f>B846+A847</f>
        <v/>
      </c>
      <c r="C847">
        <f>IF(844&gt;$B$4503,"",MATCH(844-0.5,$B$3:$B$4503,1))</f>
        <v/>
      </c>
      <c r="D847">
        <f>"DEA registration ("&amp;IF(LEN(INDEX('Providers'!$E$4:$E$503,344))=0,"",INDEX('Providers'!$E$4:$E$503,344))&amp;") – "&amp;IF(LEN(INDEX('Providers'!$A$4:$A$503,344))=0,"",INDEX('Providers'!$A$4:$A$503,344))</f>
        <v/>
      </c>
      <c r="E847">
        <f>IF(ISNUMBER(INDEX('Providers'!$I$4:$I$503,344)),TEXT(INDEX('Providers'!$I$4:$I$503,344),"yyyy-mm-dd"),"")</f>
        <v/>
      </c>
      <c r="F847">
        <f>"Registration"</f>
        <v/>
      </c>
      <c r="G847">
        <f>""</f>
        <v/>
      </c>
      <c r="H847">
        <f>"High"</f>
        <v/>
      </c>
      <c r="I847">
        <f>TRIM(IF(LEN(IF(LEN(INDEX('Providers'!$H$4:$H$503,344))=0,"",INDEX('Providers'!$H$4:$H$503,344)))=0,"","DEA no.: "&amp;IF(LEN(INDEX('Providers'!$H$4:$H$503,344))=0,"",INDEX('Providers'!$H$4:$H$503,344))&amp;". ")&amp;IF(LEN(IF(LEN(INDEX('Providers'!$C$4:$C$503,344))=0,"",INDEX('Providers'!$C$4:$C$503,344)))=0,"","NPI: "&amp;IF(LEN(INDEX('Providers'!$C$4:$C$503,344))=0,"",INDEX('Providers'!$C$4:$C$503,344))&amp;". "))</f>
        <v/>
      </c>
      <c r="J847">
        <f>IF(LEN(INDEX('Providers'!$AJ$4:$AJ$503,344))=0,"",INDEX('Providers'!$AJ$4:$AJ$503,344))</f>
        <v/>
      </c>
      <c r="K847">
        <f>IF(LEN(INDEX('Providers'!$AI$4:$AI$503,344))=0,"",INDEX('Providers'!$AI$4:$AI$503,344))</f>
        <v/>
      </c>
    </row>
    <row r="848">
      <c r="A848">
        <f>IF(AND(LEN('Providers'!A348)&gt;0,ISNUMBER('Providers'!I348)),1,0)</f>
        <v/>
      </c>
      <c r="B848">
        <f>B847+A848</f>
        <v/>
      </c>
      <c r="C848">
        <f>IF(845&gt;$B$4503,"",MATCH(845-0.5,$B$3:$B$4503,1))</f>
        <v/>
      </c>
      <c r="D848">
        <f>"DEA registration ("&amp;IF(LEN(INDEX('Providers'!$E$4:$E$503,345))=0,"",INDEX('Providers'!$E$4:$E$503,345))&amp;") – "&amp;IF(LEN(INDEX('Providers'!$A$4:$A$503,345))=0,"",INDEX('Providers'!$A$4:$A$503,345))</f>
        <v/>
      </c>
      <c r="E848">
        <f>IF(ISNUMBER(INDEX('Providers'!$I$4:$I$503,345)),TEXT(INDEX('Providers'!$I$4:$I$503,345),"yyyy-mm-dd"),"")</f>
        <v/>
      </c>
      <c r="F848">
        <f>"Registration"</f>
        <v/>
      </c>
      <c r="G848">
        <f>""</f>
        <v/>
      </c>
      <c r="H848">
        <f>"High"</f>
        <v/>
      </c>
      <c r="I848">
        <f>TRIM(IF(LEN(IF(LEN(INDEX('Providers'!$H$4:$H$503,345))=0,"",INDEX('Providers'!$H$4:$H$503,345)))=0,"","DEA no.: "&amp;IF(LEN(INDEX('Providers'!$H$4:$H$503,345))=0,"",INDEX('Providers'!$H$4:$H$503,345))&amp;". ")&amp;IF(LEN(IF(LEN(INDEX('Providers'!$C$4:$C$503,345))=0,"",INDEX('Providers'!$C$4:$C$503,345)))=0,"","NPI: "&amp;IF(LEN(INDEX('Providers'!$C$4:$C$503,345))=0,"",INDEX('Providers'!$C$4:$C$503,345))&amp;". "))</f>
        <v/>
      </c>
      <c r="J848">
        <f>IF(LEN(INDEX('Providers'!$AJ$4:$AJ$503,345))=0,"",INDEX('Providers'!$AJ$4:$AJ$503,345))</f>
        <v/>
      </c>
      <c r="K848">
        <f>IF(LEN(INDEX('Providers'!$AI$4:$AI$503,345))=0,"",INDEX('Providers'!$AI$4:$AI$503,345))</f>
        <v/>
      </c>
    </row>
    <row r="849">
      <c r="A849">
        <f>IF(AND(LEN('Providers'!A349)&gt;0,ISNUMBER('Providers'!I349)),1,0)</f>
        <v/>
      </c>
      <c r="B849">
        <f>B848+A849</f>
        <v/>
      </c>
      <c r="C849">
        <f>IF(846&gt;$B$4503,"",MATCH(846-0.5,$B$3:$B$4503,1))</f>
        <v/>
      </c>
      <c r="D849">
        <f>"DEA registration ("&amp;IF(LEN(INDEX('Providers'!$E$4:$E$503,346))=0,"",INDEX('Providers'!$E$4:$E$503,346))&amp;") – "&amp;IF(LEN(INDEX('Providers'!$A$4:$A$503,346))=0,"",INDEX('Providers'!$A$4:$A$503,346))</f>
        <v/>
      </c>
      <c r="E849">
        <f>IF(ISNUMBER(INDEX('Providers'!$I$4:$I$503,346)),TEXT(INDEX('Providers'!$I$4:$I$503,346),"yyyy-mm-dd"),"")</f>
        <v/>
      </c>
      <c r="F849">
        <f>"Registration"</f>
        <v/>
      </c>
      <c r="G849">
        <f>""</f>
        <v/>
      </c>
      <c r="H849">
        <f>"High"</f>
        <v/>
      </c>
      <c r="I849">
        <f>TRIM(IF(LEN(IF(LEN(INDEX('Providers'!$H$4:$H$503,346))=0,"",INDEX('Providers'!$H$4:$H$503,346)))=0,"","DEA no.: "&amp;IF(LEN(INDEX('Providers'!$H$4:$H$503,346))=0,"",INDEX('Providers'!$H$4:$H$503,346))&amp;". ")&amp;IF(LEN(IF(LEN(INDEX('Providers'!$C$4:$C$503,346))=0,"",INDEX('Providers'!$C$4:$C$503,346)))=0,"","NPI: "&amp;IF(LEN(INDEX('Providers'!$C$4:$C$503,346))=0,"",INDEX('Providers'!$C$4:$C$503,346))&amp;". "))</f>
        <v/>
      </c>
      <c r="J849">
        <f>IF(LEN(INDEX('Providers'!$AJ$4:$AJ$503,346))=0,"",INDEX('Providers'!$AJ$4:$AJ$503,346))</f>
        <v/>
      </c>
      <c r="K849">
        <f>IF(LEN(INDEX('Providers'!$AI$4:$AI$503,346))=0,"",INDEX('Providers'!$AI$4:$AI$503,346))</f>
        <v/>
      </c>
    </row>
    <row r="850">
      <c r="A850">
        <f>IF(AND(LEN('Providers'!A350)&gt;0,ISNUMBER('Providers'!I350)),1,0)</f>
        <v/>
      </c>
      <c r="B850">
        <f>B849+A850</f>
        <v/>
      </c>
      <c r="C850">
        <f>IF(847&gt;$B$4503,"",MATCH(847-0.5,$B$3:$B$4503,1))</f>
        <v/>
      </c>
      <c r="D850">
        <f>"DEA registration ("&amp;IF(LEN(INDEX('Providers'!$E$4:$E$503,347))=0,"",INDEX('Providers'!$E$4:$E$503,347))&amp;") – "&amp;IF(LEN(INDEX('Providers'!$A$4:$A$503,347))=0,"",INDEX('Providers'!$A$4:$A$503,347))</f>
        <v/>
      </c>
      <c r="E850">
        <f>IF(ISNUMBER(INDEX('Providers'!$I$4:$I$503,347)),TEXT(INDEX('Providers'!$I$4:$I$503,347),"yyyy-mm-dd"),"")</f>
        <v/>
      </c>
      <c r="F850">
        <f>"Registration"</f>
        <v/>
      </c>
      <c r="G850">
        <f>""</f>
        <v/>
      </c>
      <c r="H850">
        <f>"High"</f>
        <v/>
      </c>
      <c r="I850">
        <f>TRIM(IF(LEN(IF(LEN(INDEX('Providers'!$H$4:$H$503,347))=0,"",INDEX('Providers'!$H$4:$H$503,347)))=0,"","DEA no.: "&amp;IF(LEN(INDEX('Providers'!$H$4:$H$503,347))=0,"",INDEX('Providers'!$H$4:$H$503,347))&amp;". ")&amp;IF(LEN(IF(LEN(INDEX('Providers'!$C$4:$C$503,347))=0,"",INDEX('Providers'!$C$4:$C$503,347)))=0,"","NPI: "&amp;IF(LEN(INDEX('Providers'!$C$4:$C$503,347))=0,"",INDEX('Providers'!$C$4:$C$503,347))&amp;". "))</f>
        <v/>
      </c>
      <c r="J850">
        <f>IF(LEN(INDEX('Providers'!$AJ$4:$AJ$503,347))=0,"",INDEX('Providers'!$AJ$4:$AJ$503,347))</f>
        <v/>
      </c>
      <c r="K850">
        <f>IF(LEN(INDEX('Providers'!$AI$4:$AI$503,347))=0,"",INDEX('Providers'!$AI$4:$AI$503,347))</f>
        <v/>
      </c>
    </row>
    <row r="851">
      <c r="A851">
        <f>IF(AND(LEN('Providers'!A351)&gt;0,ISNUMBER('Providers'!I351)),1,0)</f>
        <v/>
      </c>
      <c r="B851">
        <f>B850+A851</f>
        <v/>
      </c>
      <c r="C851">
        <f>IF(848&gt;$B$4503,"",MATCH(848-0.5,$B$3:$B$4503,1))</f>
        <v/>
      </c>
      <c r="D851">
        <f>"DEA registration ("&amp;IF(LEN(INDEX('Providers'!$E$4:$E$503,348))=0,"",INDEX('Providers'!$E$4:$E$503,348))&amp;") – "&amp;IF(LEN(INDEX('Providers'!$A$4:$A$503,348))=0,"",INDEX('Providers'!$A$4:$A$503,348))</f>
        <v/>
      </c>
      <c r="E851">
        <f>IF(ISNUMBER(INDEX('Providers'!$I$4:$I$503,348)),TEXT(INDEX('Providers'!$I$4:$I$503,348),"yyyy-mm-dd"),"")</f>
        <v/>
      </c>
      <c r="F851">
        <f>"Registration"</f>
        <v/>
      </c>
      <c r="G851">
        <f>""</f>
        <v/>
      </c>
      <c r="H851">
        <f>"High"</f>
        <v/>
      </c>
      <c r="I851">
        <f>TRIM(IF(LEN(IF(LEN(INDEX('Providers'!$H$4:$H$503,348))=0,"",INDEX('Providers'!$H$4:$H$503,348)))=0,"","DEA no.: "&amp;IF(LEN(INDEX('Providers'!$H$4:$H$503,348))=0,"",INDEX('Providers'!$H$4:$H$503,348))&amp;". ")&amp;IF(LEN(IF(LEN(INDEX('Providers'!$C$4:$C$503,348))=0,"",INDEX('Providers'!$C$4:$C$503,348)))=0,"","NPI: "&amp;IF(LEN(INDEX('Providers'!$C$4:$C$503,348))=0,"",INDEX('Providers'!$C$4:$C$503,348))&amp;". "))</f>
        <v/>
      </c>
      <c r="J851">
        <f>IF(LEN(INDEX('Providers'!$AJ$4:$AJ$503,348))=0,"",INDEX('Providers'!$AJ$4:$AJ$503,348))</f>
        <v/>
      </c>
      <c r="K851">
        <f>IF(LEN(INDEX('Providers'!$AI$4:$AI$503,348))=0,"",INDEX('Providers'!$AI$4:$AI$503,348))</f>
        <v/>
      </c>
    </row>
    <row r="852">
      <c r="A852">
        <f>IF(AND(LEN('Providers'!A352)&gt;0,ISNUMBER('Providers'!I352)),1,0)</f>
        <v/>
      </c>
      <c r="B852">
        <f>B851+A852</f>
        <v/>
      </c>
      <c r="C852">
        <f>IF(849&gt;$B$4503,"",MATCH(849-0.5,$B$3:$B$4503,1))</f>
        <v/>
      </c>
      <c r="D852">
        <f>"DEA registration ("&amp;IF(LEN(INDEX('Providers'!$E$4:$E$503,349))=0,"",INDEX('Providers'!$E$4:$E$503,349))&amp;") – "&amp;IF(LEN(INDEX('Providers'!$A$4:$A$503,349))=0,"",INDEX('Providers'!$A$4:$A$503,349))</f>
        <v/>
      </c>
      <c r="E852">
        <f>IF(ISNUMBER(INDEX('Providers'!$I$4:$I$503,349)),TEXT(INDEX('Providers'!$I$4:$I$503,349),"yyyy-mm-dd"),"")</f>
        <v/>
      </c>
      <c r="F852">
        <f>"Registration"</f>
        <v/>
      </c>
      <c r="G852">
        <f>""</f>
        <v/>
      </c>
      <c r="H852">
        <f>"High"</f>
        <v/>
      </c>
      <c r="I852">
        <f>TRIM(IF(LEN(IF(LEN(INDEX('Providers'!$H$4:$H$503,349))=0,"",INDEX('Providers'!$H$4:$H$503,349)))=0,"","DEA no.: "&amp;IF(LEN(INDEX('Providers'!$H$4:$H$503,349))=0,"",INDEX('Providers'!$H$4:$H$503,349))&amp;". ")&amp;IF(LEN(IF(LEN(INDEX('Providers'!$C$4:$C$503,349))=0,"",INDEX('Providers'!$C$4:$C$503,349)))=0,"","NPI: "&amp;IF(LEN(INDEX('Providers'!$C$4:$C$503,349))=0,"",INDEX('Providers'!$C$4:$C$503,349))&amp;". "))</f>
        <v/>
      </c>
      <c r="J852">
        <f>IF(LEN(INDEX('Providers'!$AJ$4:$AJ$503,349))=0,"",INDEX('Providers'!$AJ$4:$AJ$503,349))</f>
        <v/>
      </c>
      <c r="K852">
        <f>IF(LEN(INDEX('Providers'!$AI$4:$AI$503,349))=0,"",INDEX('Providers'!$AI$4:$AI$503,349))</f>
        <v/>
      </c>
    </row>
    <row r="853">
      <c r="A853">
        <f>IF(AND(LEN('Providers'!A353)&gt;0,ISNUMBER('Providers'!I353)),1,0)</f>
        <v/>
      </c>
      <c r="B853">
        <f>B852+A853</f>
        <v/>
      </c>
      <c r="C853">
        <f>IF(850&gt;$B$4503,"",MATCH(850-0.5,$B$3:$B$4503,1))</f>
        <v/>
      </c>
      <c r="D853">
        <f>"DEA registration ("&amp;IF(LEN(INDEX('Providers'!$E$4:$E$503,350))=0,"",INDEX('Providers'!$E$4:$E$503,350))&amp;") – "&amp;IF(LEN(INDEX('Providers'!$A$4:$A$503,350))=0,"",INDEX('Providers'!$A$4:$A$503,350))</f>
        <v/>
      </c>
      <c r="E853">
        <f>IF(ISNUMBER(INDEX('Providers'!$I$4:$I$503,350)),TEXT(INDEX('Providers'!$I$4:$I$503,350),"yyyy-mm-dd"),"")</f>
        <v/>
      </c>
      <c r="F853">
        <f>"Registration"</f>
        <v/>
      </c>
      <c r="G853">
        <f>""</f>
        <v/>
      </c>
      <c r="H853">
        <f>"High"</f>
        <v/>
      </c>
      <c r="I853">
        <f>TRIM(IF(LEN(IF(LEN(INDEX('Providers'!$H$4:$H$503,350))=0,"",INDEX('Providers'!$H$4:$H$503,350)))=0,"","DEA no.: "&amp;IF(LEN(INDEX('Providers'!$H$4:$H$503,350))=0,"",INDEX('Providers'!$H$4:$H$503,350))&amp;". ")&amp;IF(LEN(IF(LEN(INDEX('Providers'!$C$4:$C$503,350))=0,"",INDEX('Providers'!$C$4:$C$503,350)))=0,"","NPI: "&amp;IF(LEN(INDEX('Providers'!$C$4:$C$503,350))=0,"",INDEX('Providers'!$C$4:$C$503,350))&amp;". "))</f>
        <v/>
      </c>
      <c r="J853">
        <f>IF(LEN(INDEX('Providers'!$AJ$4:$AJ$503,350))=0,"",INDEX('Providers'!$AJ$4:$AJ$503,350))</f>
        <v/>
      </c>
      <c r="K853">
        <f>IF(LEN(INDEX('Providers'!$AI$4:$AI$503,350))=0,"",INDEX('Providers'!$AI$4:$AI$503,350))</f>
        <v/>
      </c>
    </row>
    <row r="854">
      <c r="A854">
        <f>IF(AND(LEN('Providers'!A354)&gt;0,ISNUMBER('Providers'!I354)),1,0)</f>
        <v/>
      </c>
      <c r="B854">
        <f>B853+A854</f>
        <v/>
      </c>
      <c r="C854">
        <f>IF(851&gt;$B$4503,"",MATCH(851-0.5,$B$3:$B$4503,1))</f>
        <v/>
      </c>
      <c r="D854">
        <f>"DEA registration ("&amp;IF(LEN(INDEX('Providers'!$E$4:$E$503,351))=0,"",INDEX('Providers'!$E$4:$E$503,351))&amp;") – "&amp;IF(LEN(INDEX('Providers'!$A$4:$A$503,351))=0,"",INDEX('Providers'!$A$4:$A$503,351))</f>
        <v/>
      </c>
      <c r="E854">
        <f>IF(ISNUMBER(INDEX('Providers'!$I$4:$I$503,351)),TEXT(INDEX('Providers'!$I$4:$I$503,351),"yyyy-mm-dd"),"")</f>
        <v/>
      </c>
      <c r="F854">
        <f>"Registration"</f>
        <v/>
      </c>
      <c r="G854">
        <f>""</f>
        <v/>
      </c>
      <c r="H854">
        <f>"High"</f>
        <v/>
      </c>
      <c r="I854">
        <f>TRIM(IF(LEN(IF(LEN(INDEX('Providers'!$H$4:$H$503,351))=0,"",INDEX('Providers'!$H$4:$H$503,351)))=0,"","DEA no.: "&amp;IF(LEN(INDEX('Providers'!$H$4:$H$503,351))=0,"",INDEX('Providers'!$H$4:$H$503,351))&amp;". ")&amp;IF(LEN(IF(LEN(INDEX('Providers'!$C$4:$C$503,351))=0,"",INDEX('Providers'!$C$4:$C$503,351)))=0,"","NPI: "&amp;IF(LEN(INDEX('Providers'!$C$4:$C$503,351))=0,"",INDEX('Providers'!$C$4:$C$503,351))&amp;". "))</f>
        <v/>
      </c>
      <c r="J854">
        <f>IF(LEN(INDEX('Providers'!$AJ$4:$AJ$503,351))=0,"",INDEX('Providers'!$AJ$4:$AJ$503,351))</f>
        <v/>
      </c>
      <c r="K854">
        <f>IF(LEN(INDEX('Providers'!$AI$4:$AI$503,351))=0,"",INDEX('Providers'!$AI$4:$AI$503,351))</f>
        <v/>
      </c>
    </row>
    <row r="855">
      <c r="A855">
        <f>IF(AND(LEN('Providers'!A355)&gt;0,ISNUMBER('Providers'!I355)),1,0)</f>
        <v/>
      </c>
      <c r="B855">
        <f>B854+A855</f>
        <v/>
      </c>
      <c r="C855">
        <f>IF(852&gt;$B$4503,"",MATCH(852-0.5,$B$3:$B$4503,1))</f>
        <v/>
      </c>
      <c r="D855">
        <f>"DEA registration ("&amp;IF(LEN(INDEX('Providers'!$E$4:$E$503,352))=0,"",INDEX('Providers'!$E$4:$E$503,352))&amp;") – "&amp;IF(LEN(INDEX('Providers'!$A$4:$A$503,352))=0,"",INDEX('Providers'!$A$4:$A$503,352))</f>
        <v/>
      </c>
      <c r="E855">
        <f>IF(ISNUMBER(INDEX('Providers'!$I$4:$I$503,352)),TEXT(INDEX('Providers'!$I$4:$I$503,352),"yyyy-mm-dd"),"")</f>
        <v/>
      </c>
      <c r="F855">
        <f>"Registration"</f>
        <v/>
      </c>
      <c r="G855">
        <f>""</f>
        <v/>
      </c>
      <c r="H855">
        <f>"High"</f>
        <v/>
      </c>
      <c r="I855">
        <f>TRIM(IF(LEN(IF(LEN(INDEX('Providers'!$H$4:$H$503,352))=0,"",INDEX('Providers'!$H$4:$H$503,352)))=0,"","DEA no.: "&amp;IF(LEN(INDEX('Providers'!$H$4:$H$503,352))=0,"",INDEX('Providers'!$H$4:$H$503,352))&amp;". ")&amp;IF(LEN(IF(LEN(INDEX('Providers'!$C$4:$C$503,352))=0,"",INDEX('Providers'!$C$4:$C$503,352)))=0,"","NPI: "&amp;IF(LEN(INDEX('Providers'!$C$4:$C$503,352))=0,"",INDEX('Providers'!$C$4:$C$503,352))&amp;". "))</f>
        <v/>
      </c>
      <c r="J855">
        <f>IF(LEN(INDEX('Providers'!$AJ$4:$AJ$503,352))=0,"",INDEX('Providers'!$AJ$4:$AJ$503,352))</f>
        <v/>
      </c>
      <c r="K855">
        <f>IF(LEN(INDEX('Providers'!$AI$4:$AI$503,352))=0,"",INDEX('Providers'!$AI$4:$AI$503,352))</f>
        <v/>
      </c>
    </row>
    <row r="856">
      <c r="A856">
        <f>IF(AND(LEN('Providers'!A356)&gt;0,ISNUMBER('Providers'!I356)),1,0)</f>
        <v/>
      </c>
      <c r="B856">
        <f>B855+A856</f>
        <v/>
      </c>
      <c r="C856">
        <f>IF(853&gt;$B$4503,"",MATCH(853-0.5,$B$3:$B$4503,1))</f>
        <v/>
      </c>
      <c r="D856">
        <f>"DEA registration ("&amp;IF(LEN(INDEX('Providers'!$E$4:$E$503,353))=0,"",INDEX('Providers'!$E$4:$E$503,353))&amp;") – "&amp;IF(LEN(INDEX('Providers'!$A$4:$A$503,353))=0,"",INDEX('Providers'!$A$4:$A$503,353))</f>
        <v/>
      </c>
      <c r="E856">
        <f>IF(ISNUMBER(INDEX('Providers'!$I$4:$I$503,353)),TEXT(INDEX('Providers'!$I$4:$I$503,353),"yyyy-mm-dd"),"")</f>
        <v/>
      </c>
      <c r="F856">
        <f>"Registration"</f>
        <v/>
      </c>
      <c r="G856">
        <f>""</f>
        <v/>
      </c>
      <c r="H856">
        <f>"High"</f>
        <v/>
      </c>
      <c r="I856">
        <f>TRIM(IF(LEN(IF(LEN(INDEX('Providers'!$H$4:$H$503,353))=0,"",INDEX('Providers'!$H$4:$H$503,353)))=0,"","DEA no.: "&amp;IF(LEN(INDEX('Providers'!$H$4:$H$503,353))=0,"",INDEX('Providers'!$H$4:$H$503,353))&amp;". ")&amp;IF(LEN(IF(LEN(INDEX('Providers'!$C$4:$C$503,353))=0,"",INDEX('Providers'!$C$4:$C$503,353)))=0,"","NPI: "&amp;IF(LEN(INDEX('Providers'!$C$4:$C$503,353))=0,"",INDEX('Providers'!$C$4:$C$503,353))&amp;". "))</f>
        <v/>
      </c>
      <c r="J856">
        <f>IF(LEN(INDEX('Providers'!$AJ$4:$AJ$503,353))=0,"",INDEX('Providers'!$AJ$4:$AJ$503,353))</f>
        <v/>
      </c>
      <c r="K856">
        <f>IF(LEN(INDEX('Providers'!$AI$4:$AI$503,353))=0,"",INDEX('Providers'!$AI$4:$AI$503,353))</f>
        <v/>
      </c>
    </row>
    <row r="857">
      <c r="A857">
        <f>IF(AND(LEN('Providers'!A357)&gt;0,ISNUMBER('Providers'!I357)),1,0)</f>
        <v/>
      </c>
      <c r="B857">
        <f>B856+A857</f>
        <v/>
      </c>
      <c r="C857">
        <f>IF(854&gt;$B$4503,"",MATCH(854-0.5,$B$3:$B$4503,1))</f>
        <v/>
      </c>
      <c r="D857">
        <f>"DEA registration ("&amp;IF(LEN(INDEX('Providers'!$E$4:$E$503,354))=0,"",INDEX('Providers'!$E$4:$E$503,354))&amp;") – "&amp;IF(LEN(INDEX('Providers'!$A$4:$A$503,354))=0,"",INDEX('Providers'!$A$4:$A$503,354))</f>
        <v/>
      </c>
      <c r="E857">
        <f>IF(ISNUMBER(INDEX('Providers'!$I$4:$I$503,354)),TEXT(INDEX('Providers'!$I$4:$I$503,354),"yyyy-mm-dd"),"")</f>
        <v/>
      </c>
      <c r="F857">
        <f>"Registration"</f>
        <v/>
      </c>
      <c r="G857">
        <f>""</f>
        <v/>
      </c>
      <c r="H857">
        <f>"High"</f>
        <v/>
      </c>
      <c r="I857">
        <f>TRIM(IF(LEN(IF(LEN(INDEX('Providers'!$H$4:$H$503,354))=0,"",INDEX('Providers'!$H$4:$H$503,354)))=0,"","DEA no.: "&amp;IF(LEN(INDEX('Providers'!$H$4:$H$503,354))=0,"",INDEX('Providers'!$H$4:$H$503,354))&amp;". ")&amp;IF(LEN(IF(LEN(INDEX('Providers'!$C$4:$C$503,354))=0,"",INDEX('Providers'!$C$4:$C$503,354)))=0,"","NPI: "&amp;IF(LEN(INDEX('Providers'!$C$4:$C$503,354))=0,"",INDEX('Providers'!$C$4:$C$503,354))&amp;". "))</f>
        <v/>
      </c>
      <c r="J857">
        <f>IF(LEN(INDEX('Providers'!$AJ$4:$AJ$503,354))=0,"",INDEX('Providers'!$AJ$4:$AJ$503,354))</f>
        <v/>
      </c>
      <c r="K857">
        <f>IF(LEN(INDEX('Providers'!$AI$4:$AI$503,354))=0,"",INDEX('Providers'!$AI$4:$AI$503,354))</f>
        <v/>
      </c>
    </row>
    <row r="858">
      <c r="A858">
        <f>IF(AND(LEN('Providers'!A358)&gt;0,ISNUMBER('Providers'!I358)),1,0)</f>
        <v/>
      </c>
      <c r="B858">
        <f>B857+A858</f>
        <v/>
      </c>
      <c r="C858">
        <f>IF(855&gt;$B$4503,"",MATCH(855-0.5,$B$3:$B$4503,1))</f>
        <v/>
      </c>
      <c r="D858">
        <f>"DEA registration ("&amp;IF(LEN(INDEX('Providers'!$E$4:$E$503,355))=0,"",INDEX('Providers'!$E$4:$E$503,355))&amp;") – "&amp;IF(LEN(INDEX('Providers'!$A$4:$A$503,355))=0,"",INDEX('Providers'!$A$4:$A$503,355))</f>
        <v/>
      </c>
      <c r="E858">
        <f>IF(ISNUMBER(INDEX('Providers'!$I$4:$I$503,355)),TEXT(INDEX('Providers'!$I$4:$I$503,355),"yyyy-mm-dd"),"")</f>
        <v/>
      </c>
      <c r="F858">
        <f>"Registration"</f>
        <v/>
      </c>
      <c r="G858">
        <f>""</f>
        <v/>
      </c>
      <c r="H858">
        <f>"High"</f>
        <v/>
      </c>
      <c r="I858">
        <f>TRIM(IF(LEN(IF(LEN(INDEX('Providers'!$H$4:$H$503,355))=0,"",INDEX('Providers'!$H$4:$H$503,355)))=0,"","DEA no.: "&amp;IF(LEN(INDEX('Providers'!$H$4:$H$503,355))=0,"",INDEX('Providers'!$H$4:$H$503,355))&amp;". ")&amp;IF(LEN(IF(LEN(INDEX('Providers'!$C$4:$C$503,355))=0,"",INDEX('Providers'!$C$4:$C$503,355)))=0,"","NPI: "&amp;IF(LEN(INDEX('Providers'!$C$4:$C$503,355))=0,"",INDEX('Providers'!$C$4:$C$503,355))&amp;". "))</f>
        <v/>
      </c>
      <c r="J858">
        <f>IF(LEN(INDEX('Providers'!$AJ$4:$AJ$503,355))=0,"",INDEX('Providers'!$AJ$4:$AJ$503,355))</f>
        <v/>
      </c>
      <c r="K858">
        <f>IF(LEN(INDEX('Providers'!$AI$4:$AI$503,355))=0,"",INDEX('Providers'!$AI$4:$AI$503,355))</f>
        <v/>
      </c>
    </row>
    <row r="859">
      <c r="A859">
        <f>IF(AND(LEN('Providers'!A359)&gt;0,ISNUMBER('Providers'!I359)),1,0)</f>
        <v/>
      </c>
      <c r="B859">
        <f>B858+A859</f>
        <v/>
      </c>
      <c r="C859">
        <f>IF(856&gt;$B$4503,"",MATCH(856-0.5,$B$3:$B$4503,1))</f>
        <v/>
      </c>
      <c r="D859">
        <f>"DEA registration ("&amp;IF(LEN(INDEX('Providers'!$E$4:$E$503,356))=0,"",INDEX('Providers'!$E$4:$E$503,356))&amp;") – "&amp;IF(LEN(INDEX('Providers'!$A$4:$A$503,356))=0,"",INDEX('Providers'!$A$4:$A$503,356))</f>
        <v/>
      </c>
      <c r="E859">
        <f>IF(ISNUMBER(INDEX('Providers'!$I$4:$I$503,356)),TEXT(INDEX('Providers'!$I$4:$I$503,356),"yyyy-mm-dd"),"")</f>
        <v/>
      </c>
      <c r="F859">
        <f>"Registration"</f>
        <v/>
      </c>
      <c r="G859">
        <f>""</f>
        <v/>
      </c>
      <c r="H859">
        <f>"High"</f>
        <v/>
      </c>
      <c r="I859">
        <f>TRIM(IF(LEN(IF(LEN(INDEX('Providers'!$H$4:$H$503,356))=0,"",INDEX('Providers'!$H$4:$H$503,356)))=0,"","DEA no.: "&amp;IF(LEN(INDEX('Providers'!$H$4:$H$503,356))=0,"",INDEX('Providers'!$H$4:$H$503,356))&amp;". ")&amp;IF(LEN(IF(LEN(INDEX('Providers'!$C$4:$C$503,356))=0,"",INDEX('Providers'!$C$4:$C$503,356)))=0,"","NPI: "&amp;IF(LEN(INDEX('Providers'!$C$4:$C$503,356))=0,"",INDEX('Providers'!$C$4:$C$503,356))&amp;". "))</f>
        <v/>
      </c>
      <c r="J859">
        <f>IF(LEN(INDEX('Providers'!$AJ$4:$AJ$503,356))=0,"",INDEX('Providers'!$AJ$4:$AJ$503,356))</f>
        <v/>
      </c>
      <c r="K859">
        <f>IF(LEN(INDEX('Providers'!$AI$4:$AI$503,356))=0,"",INDEX('Providers'!$AI$4:$AI$503,356))</f>
        <v/>
      </c>
    </row>
    <row r="860">
      <c r="A860">
        <f>IF(AND(LEN('Providers'!A360)&gt;0,ISNUMBER('Providers'!I360)),1,0)</f>
        <v/>
      </c>
      <c r="B860">
        <f>B859+A860</f>
        <v/>
      </c>
      <c r="C860">
        <f>IF(857&gt;$B$4503,"",MATCH(857-0.5,$B$3:$B$4503,1))</f>
        <v/>
      </c>
      <c r="D860">
        <f>"DEA registration ("&amp;IF(LEN(INDEX('Providers'!$E$4:$E$503,357))=0,"",INDEX('Providers'!$E$4:$E$503,357))&amp;") – "&amp;IF(LEN(INDEX('Providers'!$A$4:$A$503,357))=0,"",INDEX('Providers'!$A$4:$A$503,357))</f>
        <v/>
      </c>
      <c r="E860">
        <f>IF(ISNUMBER(INDEX('Providers'!$I$4:$I$503,357)),TEXT(INDEX('Providers'!$I$4:$I$503,357),"yyyy-mm-dd"),"")</f>
        <v/>
      </c>
      <c r="F860">
        <f>"Registration"</f>
        <v/>
      </c>
      <c r="G860">
        <f>""</f>
        <v/>
      </c>
      <c r="H860">
        <f>"High"</f>
        <v/>
      </c>
      <c r="I860">
        <f>TRIM(IF(LEN(IF(LEN(INDEX('Providers'!$H$4:$H$503,357))=0,"",INDEX('Providers'!$H$4:$H$503,357)))=0,"","DEA no.: "&amp;IF(LEN(INDEX('Providers'!$H$4:$H$503,357))=0,"",INDEX('Providers'!$H$4:$H$503,357))&amp;". ")&amp;IF(LEN(IF(LEN(INDEX('Providers'!$C$4:$C$503,357))=0,"",INDEX('Providers'!$C$4:$C$503,357)))=0,"","NPI: "&amp;IF(LEN(INDEX('Providers'!$C$4:$C$503,357))=0,"",INDEX('Providers'!$C$4:$C$503,357))&amp;". "))</f>
        <v/>
      </c>
      <c r="J860">
        <f>IF(LEN(INDEX('Providers'!$AJ$4:$AJ$503,357))=0,"",INDEX('Providers'!$AJ$4:$AJ$503,357))</f>
        <v/>
      </c>
      <c r="K860">
        <f>IF(LEN(INDEX('Providers'!$AI$4:$AI$503,357))=0,"",INDEX('Providers'!$AI$4:$AI$503,357))</f>
        <v/>
      </c>
    </row>
    <row r="861">
      <c r="A861">
        <f>IF(AND(LEN('Providers'!A361)&gt;0,ISNUMBER('Providers'!I361)),1,0)</f>
        <v/>
      </c>
      <c r="B861">
        <f>B860+A861</f>
        <v/>
      </c>
      <c r="C861">
        <f>IF(858&gt;$B$4503,"",MATCH(858-0.5,$B$3:$B$4503,1))</f>
        <v/>
      </c>
      <c r="D861">
        <f>"DEA registration ("&amp;IF(LEN(INDEX('Providers'!$E$4:$E$503,358))=0,"",INDEX('Providers'!$E$4:$E$503,358))&amp;") – "&amp;IF(LEN(INDEX('Providers'!$A$4:$A$503,358))=0,"",INDEX('Providers'!$A$4:$A$503,358))</f>
        <v/>
      </c>
      <c r="E861">
        <f>IF(ISNUMBER(INDEX('Providers'!$I$4:$I$503,358)),TEXT(INDEX('Providers'!$I$4:$I$503,358),"yyyy-mm-dd"),"")</f>
        <v/>
      </c>
      <c r="F861">
        <f>"Registration"</f>
        <v/>
      </c>
      <c r="G861">
        <f>""</f>
        <v/>
      </c>
      <c r="H861">
        <f>"High"</f>
        <v/>
      </c>
      <c r="I861">
        <f>TRIM(IF(LEN(IF(LEN(INDEX('Providers'!$H$4:$H$503,358))=0,"",INDEX('Providers'!$H$4:$H$503,358)))=0,"","DEA no.: "&amp;IF(LEN(INDEX('Providers'!$H$4:$H$503,358))=0,"",INDEX('Providers'!$H$4:$H$503,358))&amp;". ")&amp;IF(LEN(IF(LEN(INDEX('Providers'!$C$4:$C$503,358))=0,"",INDEX('Providers'!$C$4:$C$503,358)))=0,"","NPI: "&amp;IF(LEN(INDEX('Providers'!$C$4:$C$503,358))=0,"",INDEX('Providers'!$C$4:$C$503,358))&amp;". "))</f>
        <v/>
      </c>
      <c r="J861">
        <f>IF(LEN(INDEX('Providers'!$AJ$4:$AJ$503,358))=0,"",INDEX('Providers'!$AJ$4:$AJ$503,358))</f>
        <v/>
      </c>
      <c r="K861">
        <f>IF(LEN(INDEX('Providers'!$AI$4:$AI$503,358))=0,"",INDEX('Providers'!$AI$4:$AI$503,358))</f>
        <v/>
      </c>
    </row>
    <row r="862">
      <c r="A862">
        <f>IF(AND(LEN('Providers'!A362)&gt;0,ISNUMBER('Providers'!I362)),1,0)</f>
        <v/>
      </c>
      <c r="B862">
        <f>B861+A862</f>
        <v/>
      </c>
      <c r="C862">
        <f>IF(859&gt;$B$4503,"",MATCH(859-0.5,$B$3:$B$4503,1))</f>
        <v/>
      </c>
      <c r="D862">
        <f>"DEA registration ("&amp;IF(LEN(INDEX('Providers'!$E$4:$E$503,359))=0,"",INDEX('Providers'!$E$4:$E$503,359))&amp;") – "&amp;IF(LEN(INDEX('Providers'!$A$4:$A$503,359))=0,"",INDEX('Providers'!$A$4:$A$503,359))</f>
        <v/>
      </c>
      <c r="E862">
        <f>IF(ISNUMBER(INDEX('Providers'!$I$4:$I$503,359)),TEXT(INDEX('Providers'!$I$4:$I$503,359),"yyyy-mm-dd"),"")</f>
        <v/>
      </c>
      <c r="F862">
        <f>"Registration"</f>
        <v/>
      </c>
      <c r="G862">
        <f>""</f>
        <v/>
      </c>
      <c r="H862">
        <f>"High"</f>
        <v/>
      </c>
      <c r="I862">
        <f>TRIM(IF(LEN(IF(LEN(INDEX('Providers'!$H$4:$H$503,359))=0,"",INDEX('Providers'!$H$4:$H$503,359)))=0,"","DEA no.: "&amp;IF(LEN(INDEX('Providers'!$H$4:$H$503,359))=0,"",INDEX('Providers'!$H$4:$H$503,359))&amp;". ")&amp;IF(LEN(IF(LEN(INDEX('Providers'!$C$4:$C$503,359))=0,"",INDEX('Providers'!$C$4:$C$503,359)))=0,"","NPI: "&amp;IF(LEN(INDEX('Providers'!$C$4:$C$503,359))=0,"",INDEX('Providers'!$C$4:$C$503,359))&amp;". "))</f>
        <v/>
      </c>
      <c r="J862">
        <f>IF(LEN(INDEX('Providers'!$AJ$4:$AJ$503,359))=0,"",INDEX('Providers'!$AJ$4:$AJ$503,359))</f>
        <v/>
      </c>
      <c r="K862">
        <f>IF(LEN(INDEX('Providers'!$AI$4:$AI$503,359))=0,"",INDEX('Providers'!$AI$4:$AI$503,359))</f>
        <v/>
      </c>
    </row>
    <row r="863">
      <c r="A863">
        <f>IF(AND(LEN('Providers'!A363)&gt;0,ISNUMBER('Providers'!I363)),1,0)</f>
        <v/>
      </c>
      <c r="B863">
        <f>B862+A863</f>
        <v/>
      </c>
      <c r="C863">
        <f>IF(860&gt;$B$4503,"",MATCH(860-0.5,$B$3:$B$4503,1))</f>
        <v/>
      </c>
      <c r="D863">
        <f>"DEA registration ("&amp;IF(LEN(INDEX('Providers'!$E$4:$E$503,360))=0,"",INDEX('Providers'!$E$4:$E$503,360))&amp;") – "&amp;IF(LEN(INDEX('Providers'!$A$4:$A$503,360))=0,"",INDEX('Providers'!$A$4:$A$503,360))</f>
        <v/>
      </c>
      <c r="E863">
        <f>IF(ISNUMBER(INDEX('Providers'!$I$4:$I$503,360)),TEXT(INDEX('Providers'!$I$4:$I$503,360),"yyyy-mm-dd"),"")</f>
        <v/>
      </c>
      <c r="F863">
        <f>"Registration"</f>
        <v/>
      </c>
      <c r="G863">
        <f>""</f>
        <v/>
      </c>
      <c r="H863">
        <f>"High"</f>
        <v/>
      </c>
      <c r="I863">
        <f>TRIM(IF(LEN(IF(LEN(INDEX('Providers'!$H$4:$H$503,360))=0,"",INDEX('Providers'!$H$4:$H$503,360)))=0,"","DEA no.: "&amp;IF(LEN(INDEX('Providers'!$H$4:$H$503,360))=0,"",INDEX('Providers'!$H$4:$H$503,360))&amp;". ")&amp;IF(LEN(IF(LEN(INDEX('Providers'!$C$4:$C$503,360))=0,"",INDEX('Providers'!$C$4:$C$503,360)))=0,"","NPI: "&amp;IF(LEN(INDEX('Providers'!$C$4:$C$503,360))=0,"",INDEX('Providers'!$C$4:$C$503,360))&amp;". "))</f>
        <v/>
      </c>
      <c r="J863">
        <f>IF(LEN(INDEX('Providers'!$AJ$4:$AJ$503,360))=0,"",INDEX('Providers'!$AJ$4:$AJ$503,360))</f>
        <v/>
      </c>
      <c r="K863">
        <f>IF(LEN(INDEX('Providers'!$AI$4:$AI$503,360))=0,"",INDEX('Providers'!$AI$4:$AI$503,360))</f>
        <v/>
      </c>
    </row>
    <row r="864">
      <c r="A864">
        <f>IF(AND(LEN('Providers'!A364)&gt;0,ISNUMBER('Providers'!I364)),1,0)</f>
        <v/>
      </c>
      <c r="B864">
        <f>B863+A864</f>
        <v/>
      </c>
      <c r="C864">
        <f>IF(861&gt;$B$4503,"",MATCH(861-0.5,$B$3:$B$4503,1))</f>
        <v/>
      </c>
      <c r="D864">
        <f>"DEA registration ("&amp;IF(LEN(INDEX('Providers'!$E$4:$E$503,361))=0,"",INDEX('Providers'!$E$4:$E$503,361))&amp;") – "&amp;IF(LEN(INDEX('Providers'!$A$4:$A$503,361))=0,"",INDEX('Providers'!$A$4:$A$503,361))</f>
        <v/>
      </c>
      <c r="E864">
        <f>IF(ISNUMBER(INDEX('Providers'!$I$4:$I$503,361)),TEXT(INDEX('Providers'!$I$4:$I$503,361),"yyyy-mm-dd"),"")</f>
        <v/>
      </c>
      <c r="F864">
        <f>"Registration"</f>
        <v/>
      </c>
      <c r="G864">
        <f>""</f>
        <v/>
      </c>
      <c r="H864">
        <f>"High"</f>
        <v/>
      </c>
      <c r="I864">
        <f>TRIM(IF(LEN(IF(LEN(INDEX('Providers'!$H$4:$H$503,361))=0,"",INDEX('Providers'!$H$4:$H$503,361)))=0,"","DEA no.: "&amp;IF(LEN(INDEX('Providers'!$H$4:$H$503,361))=0,"",INDEX('Providers'!$H$4:$H$503,361))&amp;". ")&amp;IF(LEN(IF(LEN(INDEX('Providers'!$C$4:$C$503,361))=0,"",INDEX('Providers'!$C$4:$C$503,361)))=0,"","NPI: "&amp;IF(LEN(INDEX('Providers'!$C$4:$C$503,361))=0,"",INDEX('Providers'!$C$4:$C$503,361))&amp;". "))</f>
        <v/>
      </c>
      <c r="J864">
        <f>IF(LEN(INDEX('Providers'!$AJ$4:$AJ$503,361))=0,"",INDEX('Providers'!$AJ$4:$AJ$503,361))</f>
        <v/>
      </c>
      <c r="K864">
        <f>IF(LEN(INDEX('Providers'!$AI$4:$AI$503,361))=0,"",INDEX('Providers'!$AI$4:$AI$503,361))</f>
        <v/>
      </c>
    </row>
    <row r="865">
      <c r="A865">
        <f>IF(AND(LEN('Providers'!A365)&gt;0,ISNUMBER('Providers'!I365)),1,0)</f>
        <v/>
      </c>
      <c r="B865">
        <f>B864+A865</f>
        <v/>
      </c>
      <c r="C865">
        <f>IF(862&gt;$B$4503,"",MATCH(862-0.5,$B$3:$B$4503,1))</f>
        <v/>
      </c>
      <c r="D865">
        <f>"DEA registration ("&amp;IF(LEN(INDEX('Providers'!$E$4:$E$503,362))=0,"",INDEX('Providers'!$E$4:$E$503,362))&amp;") – "&amp;IF(LEN(INDEX('Providers'!$A$4:$A$503,362))=0,"",INDEX('Providers'!$A$4:$A$503,362))</f>
        <v/>
      </c>
      <c r="E865">
        <f>IF(ISNUMBER(INDEX('Providers'!$I$4:$I$503,362)),TEXT(INDEX('Providers'!$I$4:$I$503,362),"yyyy-mm-dd"),"")</f>
        <v/>
      </c>
      <c r="F865">
        <f>"Registration"</f>
        <v/>
      </c>
      <c r="G865">
        <f>""</f>
        <v/>
      </c>
      <c r="H865">
        <f>"High"</f>
        <v/>
      </c>
      <c r="I865">
        <f>TRIM(IF(LEN(IF(LEN(INDEX('Providers'!$H$4:$H$503,362))=0,"",INDEX('Providers'!$H$4:$H$503,362)))=0,"","DEA no.: "&amp;IF(LEN(INDEX('Providers'!$H$4:$H$503,362))=0,"",INDEX('Providers'!$H$4:$H$503,362))&amp;". ")&amp;IF(LEN(IF(LEN(INDEX('Providers'!$C$4:$C$503,362))=0,"",INDEX('Providers'!$C$4:$C$503,362)))=0,"","NPI: "&amp;IF(LEN(INDEX('Providers'!$C$4:$C$503,362))=0,"",INDEX('Providers'!$C$4:$C$503,362))&amp;". "))</f>
        <v/>
      </c>
      <c r="J865">
        <f>IF(LEN(INDEX('Providers'!$AJ$4:$AJ$503,362))=0,"",INDEX('Providers'!$AJ$4:$AJ$503,362))</f>
        <v/>
      </c>
      <c r="K865">
        <f>IF(LEN(INDEX('Providers'!$AI$4:$AI$503,362))=0,"",INDEX('Providers'!$AI$4:$AI$503,362))</f>
        <v/>
      </c>
    </row>
    <row r="866">
      <c r="A866">
        <f>IF(AND(LEN('Providers'!A366)&gt;0,ISNUMBER('Providers'!I366)),1,0)</f>
        <v/>
      </c>
      <c r="B866">
        <f>B865+A866</f>
        <v/>
      </c>
      <c r="C866">
        <f>IF(863&gt;$B$4503,"",MATCH(863-0.5,$B$3:$B$4503,1))</f>
        <v/>
      </c>
      <c r="D866">
        <f>"DEA registration ("&amp;IF(LEN(INDEX('Providers'!$E$4:$E$503,363))=0,"",INDEX('Providers'!$E$4:$E$503,363))&amp;") – "&amp;IF(LEN(INDEX('Providers'!$A$4:$A$503,363))=0,"",INDEX('Providers'!$A$4:$A$503,363))</f>
        <v/>
      </c>
      <c r="E866">
        <f>IF(ISNUMBER(INDEX('Providers'!$I$4:$I$503,363)),TEXT(INDEX('Providers'!$I$4:$I$503,363),"yyyy-mm-dd"),"")</f>
        <v/>
      </c>
      <c r="F866">
        <f>"Registration"</f>
        <v/>
      </c>
      <c r="G866">
        <f>""</f>
        <v/>
      </c>
      <c r="H866">
        <f>"High"</f>
        <v/>
      </c>
      <c r="I866">
        <f>TRIM(IF(LEN(IF(LEN(INDEX('Providers'!$H$4:$H$503,363))=0,"",INDEX('Providers'!$H$4:$H$503,363)))=0,"","DEA no.: "&amp;IF(LEN(INDEX('Providers'!$H$4:$H$503,363))=0,"",INDEX('Providers'!$H$4:$H$503,363))&amp;". ")&amp;IF(LEN(IF(LEN(INDEX('Providers'!$C$4:$C$503,363))=0,"",INDEX('Providers'!$C$4:$C$503,363)))=0,"","NPI: "&amp;IF(LEN(INDEX('Providers'!$C$4:$C$503,363))=0,"",INDEX('Providers'!$C$4:$C$503,363))&amp;". "))</f>
        <v/>
      </c>
      <c r="J866">
        <f>IF(LEN(INDEX('Providers'!$AJ$4:$AJ$503,363))=0,"",INDEX('Providers'!$AJ$4:$AJ$503,363))</f>
        <v/>
      </c>
      <c r="K866">
        <f>IF(LEN(INDEX('Providers'!$AI$4:$AI$503,363))=0,"",INDEX('Providers'!$AI$4:$AI$503,363))</f>
        <v/>
      </c>
    </row>
    <row r="867">
      <c r="A867">
        <f>IF(AND(LEN('Providers'!A367)&gt;0,ISNUMBER('Providers'!I367)),1,0)</f>
        <v/>
      </c>
      <c r="B867">
        <f>B866+A867</f>
        <v/>
      </c>
      <c r="C867">
        <f>IF(864&gt;$B$4503,"",MATCH(864-0.5,$B$3:$B$4503,1))</f>
        <v/>
      </c>
      <c r="D867">
        <f>"DEA registration ("&amp;IF(LEN(INDEX('Providers'!$E$4:$E$503,364))=0,"",INDEX('Providers'!$E$4:$E$503,364))&amp;") – "&amp;IF(LEN(INDEX('Providers'!$A$4:$A$503,364))=0,"",INDEX('Providers'!$A$4:$A$503,364))</f>
        <v/>
      </c>
      <c r="E867">
        <f>IF(ISNUMBER(INDEX('Providers'!$I$4:$I$503,364)),TEXT(INDEX('Providers'!$I$4:$I$503,364),"yyyy-mm-dd"),"")</f>
        <v/>
      </c>
      <c r="F867">
        <f>"Registration"</f>
        <v/>
      </c>
      <c r="G867">
        <f>""</f>
        <v/>
      </c>
      <c r="H867">
        <f>"High"</f>
        <v/>
      </c>
      <c r="I867">
        <f>TRIM(IF(LEN(IF(LEN(INDEX('Providers'!$H$4:$H$503,364))=0,"",INDEX('Providers'!$H$4:$H$503,364)))=0,"","DEA no.: "&amp;IF(LEN(INDEX('Providers'!$H$4:$H$503,364))=0,"",INDEX('Providers'!$H$4:$H$503,364))&amp;". ")&amp;IF(LEN(IF(LEN(INDEX('Providers'!$C$4:$C$503,364))=0,"",INDEX('Providers'!$C$4:$C$503,364)))=0,"","NPI: "&amp;IF(LEN(INDEX('Providers'!$C$4:$C$503,364))=0,"",INDEX('Providers'!$C$4:$C$503,364))&amp;". "))</f>
        <v/>
      </c>
      <c r="J867">
        <f>IF(LEN(INDEX('Providers'!$AJ$4:$AJ$503,364))=0,"",INDEX('Providers'!$AJ$4:$AJ$503,364))</f>
        <v/>
      </c>
      <c r="K867">
        <f>IF(LEN(INDEX('Providers'!$AI$4:$AI$503,364))=0,"",INDEX('Providers'!$AI$4:$AI$503,364))</f>
        <v/>
      </c>
    </row>
    <row r="868">
      <c r="A868">
        <f>IF(AND(LEN('Providers'!A368)&gt;0,ISNUMBER('Providers'!I368)),1,0)</f>
        <v/>
      </c>
      <c r="B868">
        <f>B867+A868</f>
        <v/>
      </c>
      <c r="C868">
        <f>IF(865&gt;$B$4503,"",MATCH(865-0.5,$B$3:$B$4503,1))</f>
        <v/>
      </c>
      <c r="D868">
        <f>"DEA registration ("&amp;IF(LEN(INDEX('Providers'!$E$4:$E$503,365))=0,"",INDEX('Providers'!$E$4:$E$503,365))&amp;") – "&amp;IF(LEN(INDEX('Providers'!$A$4:$A$503,365))=0,"",INDEX('Providers'!$A$4:$A$503,365))</f>
        <v/>
      </c>
      <c r="E868">
        <f>IF(ISNUMBER(INDEX('Providers'!$I$4:$I$503,365)),TEXT(INDEX('Providers'!$I$4:$I$503,365),"yyyy-mm-dd"),"")</f>
        <v/>
      </c>
      <c r="F868">
        <f>"Registration"</f>
        <v/>
      </c>
      <c r="G868">
        <f>""</f>
        <v/>
      </c>
      <c r="H868">
        <f>"High"</f>
        <v/>
      </c>
      <c r="I868">
        <f>TRIM(IF(LEN(IF(LEN(INDEX('Providers'!$H$4:$H$503,365))=0,"",INDEX('Providers'!$H$4:$H$503,365)))=0,"","DEA no.: "&amp;IF(LEN(INDEX('Providers'!$H$4:$H$503,365))=0,"",INDEX('Providers'!$H$4:$H$503,365))&amp;". ")&amp;IF(LEN(IF(LEN(INDEX('Providers'!$C$4:$C$503,365))=0,"",INDEX('Providers'!$C$4:$C$503,365)))=0,"","NPI: "&amp;IF(LEN(INDEX('Providers'!$C$4:$C$503,365))=0,"",INDEX('Providers'!$C$4:$C$503,365))&amp;". "))</f>
        <v/>
      </c>
      <c r="J868">
        <f>IF(LEN(INDEX('Providers'!$AJ$4:$AJ$503,365))=0,"",INDEX('Providers'!$AJ$4:$AJ$503,365))</f>
        <v/>
      </c>
      <c r="K868">
        <f>IF(LEN(INDEX('Providers'!$AI$4:$AI$503,365))=0,"",INDEX('Providers'!$AI$4:$AI$503,365))</f>
        <v/>
      </c>
    </row>
    <row r="869">
      <c r="A869">
        <f>IF(AND(LEN('Providers'!A369)&gt;0,ISNUMBER('Providers'!I369)),1,0)</f>
        <v/>
      </c>
      <c r="B869">
        <f>B868+A869</f>
        <v/>
      </c>
      <c r="C869">
        <f>IF(866&gt;$B$4503,"",MATCH(866-0.5,$B$3:$B$4503,1))</f>
        <v/>
      </c>
      <c r="D869">
        <f>"DEA registration ("&amp;IF(LEN(INDEX('Providers'!$E$4:$E$503,366))=0,"",INDEX('Providers'!$E$4:$E$503,366))&amp;") – "&amp;IF(LEN(INDEX('Providers'!$A$4:$A$503,366))=0,"",INDEX('Providers'!$A$4:$A$503,366))</f>
        <v/>
      </c>
      <c r="E869">
        <f>IF(ISNUMBER(INDEX('Providers'!$I$4:$I$503,366)),TEXT(INDEX('Providers'!$I$4:$I$503,366),"yyyy-mm-dd"),"")</f>
        <v/>
      </c>
      <c r="F869">
        <f>"Registration"</f>
        <v/>
      </c>
      <c r="G869">
        <f>""</f>
        <v/>
      </c>
      <c r="H869">
        <f>"High"</f>
        <v/>
      </c>
      <c r="I869">
        <f>TRIM(IF(LEN(IF(LEN(INDEX('Providers'!$H$4:$H$503,366))=0,"",INDEX('Providers'!$H$4:$H$503,366)))=0,"","DEA no.: "&amp;IF(LEN(INDEX('Providers'!$H$4:$H$503,366))=0,"",INDEX('Providers'!$H$4:$H$503,366))&amp;". ")&amp;IF(LEN(IF(LEN(INDEX('Providers'!$C$4:$C$503,366))=0,"",INDEX('Providers'!$C$4:$C$503,366)))=0,"","NPI: "&amp;IF(LEN(INDEX('Providers'!$C$4:$C$503,366))=0,"",INDEX('Providers'!$C$4:$C$503,366))&amp;". "))</f>
        <v/>
      </c>
      <c r="J869">
        <f>IF(LEN(INDEX('Providers'!$AJ$4:$AJ$503,366))=0,"",INDEX('Providers'!$AJ$4:$AJ$503,366))</f>
        <v/>
      </c>
      <c r="K869">
        <f>IF(LEN(INDEX('Providers'!$AI$4:$AI$503,366))=0,"",INDEX('Providers'!$AI$4:$AI$503,366))</f>
        <v/>
      </c>
    </row>
    <row r="870">
      <c r="A870">
        <f>IF(AND(LEN('Providers'!A370)&gt;0,ISNUMBER('Providers'!I370)),1,0)</f>
        <v/>
      </c>
      <c r="B870">
        <f>B869+A870</f>
        <v/>
      </c>
      <c r="C870">
        <f>IF(867&gt;$B$4503,"",MATCH(867-0.5,$B$3:$B$4503,1))</f>
        <v/>
      </c>
      <c r="D870">
        <f>"DEA registration ("&amp;IF(LEN(INDEX('Providers'!$E$4:$E$503,367))=0,"",INDEX('Providers'!$E$4:$E$503,367))&amp;") – "&amp;IF(LEN(INDEX('Providers'!$A$4:$A$503,367))=0,"",INDEX('Providers'!$A$4:$A$503,367))</f>
        <v/>
      </c>
      <c r="E870">
        <f>IF(ISNUMBER(INDEX('Providers'!$I$4:$I$503,367)),TEXT(INDEX('Providers'!$I$4:$I$503,367),"yyyy-mm-dd"),"")</f>
        <v/>
      </c>
      <c r="F870">
        <f>"Registration"</f>
        <v/>
      </c>
      <c r="G870">
        <f>""</f>
        <v/>
      </c>
      <c r="H870">
        <f>"High"</f>
        <v/>
      </c>
      <c r="I870">
        <f>TRIM(IF(LEN(IF(LEN(INDEX('Providers'!$H$4:$H$503,367))=0,"",INDEX('Providers'!$H$4:$H$503,367)))=0,"","DEA no.: "&amp;IF(LEN(INDEX('Providers'!$H$4:$H$503,367))=0,"",INDEX('Providers'!$H$4:$H$503,367))&amp;". ")&amp;IF(LEN(IF(LEN(INDEX('Providers'!$C$4:$C$503,367))=0,"",INDEX('Providers'!$C$4:$C$503,367)))=0,"","NPI: "&amp;IF(LEN(INDEX('Providers'!$C$4:$C$503,367))=0,"",INDEX('Providers'!$C$4:$C$503,367))&amp;". "))</f>
        <v/>
      </c>
      <c r="J870">
        <f>IF(LEN(INDEX('Providers'!$AJ$4:$AJ$503,367))=0,"",INDEX('Providers'!$AJ$4:$AJ$503,367))</f>
        <v/>
      </c>
      <c r="K870">
        <f>IF(LEN(INDEX('Providers'!$AI$4:$AI$503,367))=0,"",INDEX('Providers'!$AI$4:$AI$503,367))</f>
        <v/>
      </c>
    </row>
    <row r="871">
      <c r="A871">
        <f>IF(AND(LEN('Providers'!A371)&gt;0,ISNUMBER('Providers'!I371)),1,0)</f>
        <v/>
      </c>
      <c r="B871">
        <f>B870+A871</f>
        <v/>
      </c>
      <c r="C871">
        <f>IF(868&gt;$B$4503,"",MATCH(868-0.5,$B$3:$B$4503,1))</f>
        <v/>
      </c>
      <c r="D871">
        <f>"DEA registration ("&amp;IF(LEN(INDEX('Providers'!$E$4:$E$503,368))=0,"",INDEX('Providers'!$E$4:$E$503,368))&amp;") – "&amp;IF(LEN(INDEX('Providers'!$A$4:$A$503,368))=0,"",INDEX('Providers'!$A$4:$A$503,368))</f>
        <v/>
      </c>
      <c r="E871">
        <f>IF(ISNUMBER(INDEX('Providers'!$I$4:$I$503,368)),TEXT(INDEX('Providers'!$I$4:$I$503,368),"yyyy-mm-dd"),"")</f>
        <v/>
      </c>
      <c r="F871">
        <f>"Registration"</f>
        <v/>
      </c>
      <c r="G871">
        <f>""</f>
        <v/>
      </c>
      <c r="H871">
        <f>"High"</f>
        <v/>
      </c>
      <c r="I871">
        <f>TRIM(IF(LEN(IF(LEN(INDEX('Providers'!$H$4:$H$503,368))=0,"",INDEX('Providers'!$H$4:$H$503,368)))=0,"","DEA no.: "&amp;IF(LEN(INDEX('Providers'!$H$4:$H$503,368))=0,"",INDEX('Providers'!$H$4:$H$503,368))&amp;". ")&amp;IF(LEN(IF(LEN(INDEX('Providers'!$C$4:$C$503,368))=0,"",INDEX('Providers'!$C$4:$C$503,368)))=0,"","NPI: "&amp;IF(LEN(INDEX('Providers'!$C$4:$C$503,368))=0,"",INDEX('Providers'!$C$4:$C$503,368))&amp;". "))</f>
        <v/>
      </c>
      <c r="J871">
        <f>IF(LEN(INDEX('Providers'!$AJ$4:$AJ$503,368))=0,"",INDEX('Providers'!$AJ$4:$AJ$503,368))</f>
        <v/>
      </c>
      <c r="K871">
        <f>IF(LEN(INDEX('Providers'!$AI$4:$AI$503,368))=0,"",INDEX('Providers'!$AI$4:$AI$503,368))</f>
        <v/>
      </c>
    </row>
    <row r="872">
      <c r="A872">
        <f>IF(AND(LEN('Providers'!A372)&gt;0,ISNUMBER('Providers'!I372)),1,0)</f>
        <v/>
      </c>
      <c r="B872">
        <f>B871+A872</f>
        <v/>
      </c>
      <c r="C872">
        <f>IF(869&gt;$B$4503,"",MATCH(869-0.5,$B$3:$B$4503,1))</f>
        <v/>
      </c>
      <c r="D872">
        <f>"DEA registration ("&amp;IF(LEN(INDEX('Providers'!$E$4:$E$503,369))=0,"",INDEX('Providers'!$E$4:$E$503,369))&amp;") – "&amp;IF(LEN(INDEX('Providers'!$A$4:$A$503,369))=0,"",INDEX('Providers'!$A$4:$A$503,369))</f>
        <v/>
      </c>
      <c r="E872">
        <f>IF(ISNUMBER(INDEX('Providers'!$I$4:$I$503,369)),TEXT(INDEX('Providers'!$I$4:$I$503,369),"yyyy-mm-dd"),"")</f>
        <v/>
      </c>
      <c r="F872">
        <f>"Registration"</f>
        <v/>
      </c>
      <c r="G872">
        <f>""</f>
        <v/>
      </c>
      <c r="H872">
        <f>"High"</f>
        <v/>
      </c>
      <c r="I872">
        <f>TRIM(IF(LEN(IF(LEN(INDEX('Providers'!$H$4:$H$503,369))=0,"",INDEX('Providers'!$H$4:$H$503,369)))=0,"","DEA no.: "&amp;IF(LEN(INDEX('Providers'!$H$4:$H$503,369))=0,"",INDEX('Providers'!$H$4:$H$503,369))&amp;". ")&amp;IF(LEN(IF(LEN(INDEX('Providers'!$C$4:$C$503,369))=0,"",INDEX('Providers'!$C$4:$C$503,369)))=0,"","NPI: "&amp;IF(LEN(INDEX('Providers'!$C$4:$C$503,369))=0,"",INDEX('Providers'!$C$4:$C$503,369))&amp;". "))</f>
        <v/>
      </c>
      <c r="J872">
        <f>IF(LEN(INDEX('Providers'!$AJ$4:$AJ$503,369))=0,"",INDEX('Providers'!$AJ$4:$AJ$503,369))</f>
        <v/>
      </c>
      <c r="K872">
        <f>IF(LEN(INDEX('Providers'!$AI$4:$AI$503,369))=0,"",INDEX('Providers'!$AI$4:$AI$503,369))</f>
        <v/>
      </c>
    </row>
    <row r="873">
      <c r="A873">
        <f>IF(AND(LEN('Providers'!A373)&gt;0,ISNUMBER('Providers'!I373)),1,0)</f>
        <v/>
      </c>
      <c r="B873">
        <f>B872+A873</f>
        <v/>
      </c>
      <c r="C873">
        <f>IF(870&gt;$B$4503,"",MATCH(870-0.5,$B$3:$B$4503,1))</f>
        <v/>
      </c>
      <c r="D873">
        <f>"DEA registration ("&amp;IF(LEN(INDEX('Providers'!$E$4:$E$503,370))=0,"",INDEX('Providers'!$E$4:$E$503,370))&amp;") – "&amp;IF(LEN(INDEX('Providers'!$A$4:$A$503,370))=0,"",INDEX('Providers'!$A$4:$A$503,370))</f>
        <v/>
      </c>
      <c r="E873">
        <f>IF(ISNUMBER(INDEX('Providers'!$I$4:$I$503,370)),TEXT(INDEX('Providers'!$I$4:$I$503,370),"yyyy-mm-dd"),"")</f>
        <v/>
      </c>
      <c r="F873">
        <f>"Registration"</f>
        <v/>
      </c>
      <c r="G873">
        <f>""</f>
        <v/>
      </c>
      <c r="H873">
        <f>"High"</f>
        <v/>
      </c>
      <c r="I873">
        <f>TRIM(IF(LEN(IF(LEN(INDEX('Providers'!$H$4:$H$503,370))=0,"",INDEX('Providers'!$H$4:$H$503,370)))=0,"","DEA no.: "&amp;IF(LEN(INDEX('Providers'!$H$4:$H$503,370))=0,"",INDEX('Providers'!$H$4:$H$503,370))&amp;". ")&amp;IF(LEN(IF(LEN(INDEX('Providers'!$C$4:$C$503,370))=0,"",INDEX('Providers'!$C$4:$C$503,370)))=0,"","NPI: "&amp;IF(LEN(INDEX('Providers'!$C$4:$C$503,370))=0,"",INDEX('Providers'!$C$4:$C$503,370))&amp;". "))</f>
        <v/>
      </c>
      <c r="J873">
        <f>IF(LEN(INDEX('Providers'!$AJ$4:$AJ$503,370))=0,"",INDEX('Providers'!$AJ$4:$AJ$503,370))</f>
        <v/>
      </c>
      <c r="K873">
        <f>IF(LEN(INDEX('Providers'!$AI$4:$AI$503,370))=0,"",INDEX('Providers'!$AI$4:$AI$503,370))</f>
        <v/>
      </c>
    </row>
    <row r="874">
      <c r="A874">
        <f>IF(AND(LEN('Providers'!A374)&gt;0,ISNUMBER('Providers'!I374)),1,0)</f>
        <v/>
      </c>
      <c r="B874">
        <f>B873+A874</f>
        <v/>
      </c>
      <c r="C874">
        <f>IF(871&gt;$B$4503,"",MATCH(871-0.5,$B$3:$B$4503,1))</f>
        <v/>
      </c>
      <c r="D874">
        <f>"DEA registration ("&amp;IF(LEN(INDEX('Providers'!$E$4:$E$503,371))=0,"",INDEX('Providers'!$E$4:$E$503,371))&amp;") – "&amp;IF(LEN(INDEX('Providers'!$A$4:$A$503,371))=0,"",INDEX('Providers'!$A$4:$A$503,371))</f>
        <v/>
      </c>
      <c r="E874">
        <f>IF(ISNUMBER(INDEX('Providers'!$I$4:$I$503,371)),TEXT(INDEX('Providers'!$I$4:$I$503,371),"yyyy-mm-dd"),"")</f>
        <v/>
      </c>
      <c r="F874">
        <f>"Registration"</f>
        <v/>
      </c>
      <c r="G874">
        <f>""</f>
        <v/>
      </c>
      <c r="H874">
        <f>"High"</f>
        <v/>
      </c>
      <c r="I874">
        <f>TRIM(IF(LEN(IF(LEN(INDEX('Providers'!$H$4:$H$503,371))=0,"",INDEX('Providers'!$H$4:$H$503,371)))=0,"","DEA no.: "&amp;IF(LEN(INDEX('Providers'!$H$4:$H$503,371))=0,"",INDEX('Providers'!$H$4:$H$503,371))&amp;". ")&amp;IF(LEN(IF(LEN(INDEX('Providers'!$C$4:$C$503,371))=0,"",INDEX('Providers'!$C$4:$C$503,371)))=0,"","NPI: "&amp;IF(LEN(INDEX('Providers'!$C$4:$C$503,371))=0,"",INDEX('Providers'!$C$4:$C$503,371))&amp;". "))</f>
        <v/>
      </c>
      <c r="J874">
        <f>IF(LEN(INDEX('Providers'!$AJ$4:$AJ$503,371))=0,"",INDEX('Providers'!$AJ$4:$AJ$503,371))</f>
        <v/>
      </c>
      <c r="K874">
        <f>IF(LEN(INDEX('Providers'!$AI$4:$AI$503,371))=0,"",INDEX('Providers'!$AI$4:$AI$503,371))</f>
        <v/>
      </c>
    </row>
    <row r="875">
      <c r="A875">
        <f>IF(AND(LEN('Providers'!A375)&gt;0,ISNUMBER('Providers'!I375)),1,0)</f>
        <v/>
      </c>
      <c r="B875">
        <f>B874+A875</f>
        <v/>
      </c>
      <c r="C875">
        <f>IF(872&gt;$B$4503,"",MATCH(872-0.5,$B$3:$B$4503,1))</f>
        <v/>
      </c>
      <c r="D875">
        <f>"DEA registration ("&amp;IF(LEN(INDEX('Providers'!$E$4:$E$503,372))=0,"",INDEX('Providers'!$E$4:$E$503,372))&amp;") – "&amp;IF(LEN(INDEX('Providers'!$A$4:$A$503,372))=0,"",INDEX('Providers'!$A$4:$A$503,372))</f>
        <v/>
      </c>
      <c r="E875">
        <f>IF(ISNUMBER(INDEX('Providers'!$I$4:$I$503,372)),TEXT(INDEX('Providers'!$I$4:$I$503,372),"yyyy-mm-dd"),"")</f>
        <v/>
      </c>
      <c r="F875">
        <f>"Registration"</f>
        <v/>
      </c>
      <c r="G875">
        <f>""</f>
        <v/>
      </c>
      <c r="H875">
        <f>"High"</f>
        <v/>
      </c>
      <c r="I875">
        <f>TRIM(IF(LEN(IF(LEN(INDEX('Providers'!$H$4:$H$503,372))=0,"",INDEX('Providers'!$H$4:$H$503,372)))=0,"","DEA no.: "&amp;IF(LEN(INDEX('Providers'!$H$4:$H$503,372))=0,"",INDEX('Providers'!$H$4:$H$503,372))&amp;". ")&amp;IF(LEN(IF(LEN(INDEX('Providers'!$C$4:$C$503,372))=0,"",INDEX('Providers'!$C$4:$C$503,372)))=0,"","NPI: "&amp;IF(LEN(INDEX('Providers'!$C$4:$C$503,372))=0,"",INDEX('Providers'!$C$4:$C$503,372))&amp;". "))</f>
        <v/>
      </c>
      <c r="J875">
        <f>IF(LEN(INDEX('Providers'!$AJ$4:$AJ$503,372))=0,"",INDEX('Providers'!$AJ$4:$AJ$503,372))</f>
        <v/>
      </c>
      <c r="K875">
        <f>IF(LEN(INDEX('Providers'!$AI$4:$AI$503,372))=0,"",INDEX('Providers'!$AI$4:$AI$503,372))</f>
        <v/>
      </c>
    </row>
    <row r="876">
      <c r="A876">
        <f>IF(AND(LEN('Providers'!A376)&gt;0,ISNUMBER('Providers'!I376)),1,0)</f>
        <v/>
      </c>
      <c r="B876">
        <f>B875+A876</f>
        <v/>
      </c>
      <c r="C876">
        <f>IF(873&gt;$B$4503,"",MATCH(873-0.5,$B$3:$B$4503,1))</f>
        <v/>
      </c>
      <c r="D876">
        <f>"DEA registration ("&amp;IF(LEN(INDEX('Providers'!$E$4:$E$503,373))=0,"",INDEX('Providers'!$E$4:$E$503,373))&amp;") – "&amp;IF(LEN(INDEX('Providers'!$A$4:$A$503,373))=0,"",INDEX('Providers'!$A$4:$A$503,373))</f>
        <v/>
      </c>
      <c r="E876">
        <f>IF(ISNUMBER(INDEX('Providers'!$I$4:$I$503,373)),TEXT(INDEX('Providers'!$I$4:$I$503,373),"yyyy-mm-dd"),"")</f>
        <v/>
      </c>
      <c r="F876">
        <f>"Registration"</f>
        <v/>
      </c>
      <c r="G876">
        <f>""</f>
        <v/>
      </c>
      <c r="H876">
        <f>"High"</f>
        <v/>
      </c>
      <c r="I876">
        <f>TRIM(IF(LEN(IF(LEN(INDEX('Providers'!$H$4:$H$503,373))=0,"",INDEX('Providers'!$H$4:$H$503,373)))=0,"","DEA no.: "&amp;IF(LEN(INDEX('Providers'!$H$4:$H$503,373))=0,"",INDEX('Providers'!$H$4:$H$503,373))&amp;". ")&amp;IF(LEN(IF(LEN(INDEX('Providers'!$C$4:$C$503,373))=0,"",INDEX('Providers'!$C$4:$C$503,373)))=0,"","NPI: "&amp;IF(LEN(INDEX('Providers'!$C$4:$C$503,373))=0,"",INDEX('Providers'!$C$4:$C$503,373))&amp;". "))</f>
        <v/>
      </c>
      <c r="J876">
        <f>IF(LEN(INDEX('Providers'!$AJ$4:$AJ$503,373))=0,"",INDEX('Providers'!$AJ$4:$AJ$503,373))</f>
        <v/>
      </c>
      <c r="K876">
        <f>IF(LEN(INDEX('Providers'!$AI$4:$AI$503,373))=0,"",INDEX('Providers'!$AI$4:$AI$503,373))</f>
        <v/>
      </c>
    </row>
    <row r="877">
      <c r="A877">
        <f>IF(AND(LEN('Providers'!A377)&gt;0,ISNUMBER('Providers'!I377)),1,0)</f>
        <v/>
      </c>
      <c r="B877">
        <f>B876+A877</f>
        <v/>
      </c>
      <c r="C877">
        <f>IF(874&gt;$B$4503,"",MATCH(874-0.5,$B$3:$B$4503,1))</f>
        <v/>
      </c>
      <c r="D877">
        <f>"DEA registration ("&amp;IF(LEN(INDEX('Providers'!$E$4:$E$503,374))=0,"",INDEX('Providers'!$E$4:$E$503,374))&amp;") – "&amp;IF(LEN(INDEX('Providers'!$A$4:$A$503,374))=0,"",INDEX('Providers'!$A$4:$A$503,374))</f>
        <v/>
      </c>
      <c r="E877">
        <f>IF(ISNUMBER(INDEX('Providers'!$I$4:$I$503,374)),TEXT(INDEX('Providers'!$I$4:$I$503,374),"yyyy-mm-dd"),"")</f>
        <v/>
      </c>
      <c r="F877">
        <f>"Registration"</f>
        <v/>
      </c>
      <c r="G877">
        <f>""</f>
        <v/>
      </c>
      <c r="H877">
        <f>"High"</f>
        <v/>
      </c>
      <c r="I877">
        <f>TRIM(IF(LEN(IF(LEN(INDEX('Providers'!$H$4:$H$503,374))=0,"",INDEX('Providers'!$H$4:$H$503,374)))=0,"","DEA no.: "&amp;IF(LEN(INDEX('Providers'!$H$4:$H$503,374))=0,"",INDEX('Providers'!$H$4:$H$503,374))&amp;". ")&amp;IF(LEN(IF(LEN(INDEX('Providers'!$C$4:$C$503,374))=0,"",INDEX('Providers'!$C$4:$C$503,374)))=0,"","NPI: "&amp;IF(LEN(INDEX('Providers'!$C$4:$C$503,374))=0,"",INDEX('Providers'!$C$4:$C$503,374))&amp;". "))</f>
        <v/>
      </c>
      <c r="J877">
        <f>IF(LEN(INDEX('Providers'!$AJ$4:$AJ$503,374))=0,"",INDEX('Providers'!$AJ$4:$AJ$503,374))</f>
        <v/>
      </c>
      <c r="K877">
        <f>IF(LEN(INDEX('Providers'!$AI$4:$AI$503,374))=0,"",INDEX('Providers'!$AI$4:$AI$503,374))</f>
        <v/>
      </c>
    </row>
    <row r="878">
      <c r="A878">
        <f>IF(AND(LEN('Providers'!A378)&gt;0,ISNUMBER('Providers'!I378)),1,0)</f>
        <v/>
      </c>
      <c r="B878">
        <f>B877+A878</f>
        <v/>
      </c>
      <c r="C878">
        <f>IF(875&gt;$B$4503,"",MATCH(875-0.5,$B$3:$B$4503,1))</f>
        <v/>
      </c>
      <c r="D878">
        <f>"DEA registration ("&amp;IF(LEN(INDEX('Providers'!$E$4:$E$503,375))=0,"",INDEX('Providers'!$E$4:$E$503,375))&amp;") – "&amp;IF(LEN(INDEX('Providers'!$A$4:$A$503,375))=0,"",INDEX('Providers'!$A$4:$A$503,375))</f>
        <v/>
      </c>
      <c r="E878">
        <f>IF(ISNUMBER(INDEX('Providers'!$I$4:$I$503,375)),TEXT(INDEX('Providers'!$I$4:$I$503,375),"yyyy-mm-dd"),"")</f>
        <v/>
      </c>
      <c r="F878">
        <f>"Registration"</f>
        <v/>
      </c>
      <c r="G878">
        <f>""</f>
        <v/>
      </c>
      <c r="H878">
        <f>"High"</f>
        <v/>
      </c>
      <c r="I878">
        <f>TRIM(IF(LEN(IF(LEN(INDEX('Providers'!$H$4:$H$503,375))=0,"",INDEX('Providers'!$H$4:$H$503,375)))=0,"","DEA no.: "&amp;IF(LEN(INDEX('Providers'!$H$4:$H$503,375))=0,"",INDEX('Providers'!$H$4:$H$503,375))&amp;". ")&amp;IF(LEN(IF(LEN(INDEX('Providers'!$C$4:$C$503,375))=0,"",INDEX('Providers'!$C$4:$C$503,375)))=0,"","NPI: "&amp;IF(LEN(INDEX('Providers'!$C$4:$C$503,375))=0,"",INDEX('Providers'!$C$4:$C$503,375))&amp;". "))</f>
        <v/>
      </c>
      <c r="J878">
        <f>IF(LEN(INDEX('Providers'!$AJ$4:$AJ$503,375))=0,"",INDEX('Providers'!$AJ$4:$AJ$503,375))</f>
        <v/>
      </c>
      <c r="K878">
        <f>IF(LEN(INDEX('Providers'!$AI$4:$AI$503,375))=0,"",INDEX('Providers'!$AI$4:$AI$503,375))</f>
        <v/>
      </c>
    </row>
    <row r="879">
      <c r="A879">
        <f>IF(AND(LEN('Providers'!A379)&gt;0,ISNUMBER('Providers'!I379)),1,0)</f>
        <v/>
      </c>
      <c r="B879">
        <f>B878+A879</f>
        <v/>
      </c>
      <c r="C879">
        <f>IF(876&gt;$B$4503,"",MATCH(876-0.5,$B$3:$B$4503,1))</f>
        <v/>
      </c>
      <c r="D879">
        <f>"DEA registration ("&amp;IF(LEN(INDEX('Providers'!$E$4:$E$503,376))=0,"",INDEX('Providers'!$E$4:$E$503,376))&amp;") – "&amp;IF(LEN(INDEX('Providers'!$A$4:$A$503,376))=0,"",INDEX('Providers'!$A$4:$A$503,376))</f>
        <v/>
      </c>
      <c r="E879">
        <f>IF(ISNUMBER(INDEX('Providers'!$I$4:$I$503,376)),TEXT(INDEX('Providers'!$I$4:$I$503,376),"yyyy-mm-dd"),"")</f>
        <v/>
      </c>
      <c r="F879">
        <f>"Registration"</f>
        <v/>
      </c>
      <c r="G879">
        <f>""</f>
        <v/>
      </c>
      <c r="H879">
        <f>"High"</f>
        <v/>
      </c>
      <c r="I879">
        <f>TRIM(IF(LEN(IF(LEN(INDEX('Providers'!$H$4:$H$503,376))=0,"",INDEX('Providers'!$H$4:$H$503,376)))=0,"","DEA no.: "&amp;IF(LEN(INDEX('Providers'!$H$4:$H$503,376))=0,"",INDEX('Providers'!$H$4:$H$503,376))&amp;". ")&amp;IF(LEN(IF(LEN(INDEX('Providers'!$C$4:$C$503,376))=0,"",INDEX('Providers'!$C$4:$C$503,376)))=0,"","NPI: "&amp;IF(LEN(INDEX('Providers'!$C$4:$C$503,376))=0,"",INDEX('Providers'!$C$4:$C$503,376))&amp;". "))</f>
        <v/>
      </c>
      <c r="J879">
        <f>IF(LEN(INDEX('Providers'!$AJ$4:$AJ$503,376))=0,"",INDEX('Providers'!$AJ$4:$AJ$503,376))</f>
        <v/>
      </c>
      <c r="K879">
        <f>IF(LEN(INDEX('Providers'!$AI$4:$AI$503,376))=0,"",INDEX('Providers'!$AI$4:$AI$503,376))</f>
        <v/>
      </c>
    </row>
    <row r="880">
      <c r="A880">
        <f>IF(AND(LEN('Providers'!A380)&gt;0,ISNUMBER('Providers'!I380)),1,0)</f>
        <v/>
      </c>
      <c r="B880">
        <f>B879+A880</f>
        <v/>
      </c>
      <c r="C880">
        <f>IF(877&gt;$B$4503,"",MATCH(877-0.5,$B$3:$B$4503,1))</f>
        <v/>
      </c>
      <c r="D880">
        <f>"DEA registration ("&amp;IF(LEN(INDEX('Providers'!$E$4:$E$503,377))=0,"",INDEX('Providers'!$E$4:$E$503,377))&amp;") – "&amp;IF(LEN(INDEX('Providers'!$A$4:$A$503,377))=0,"",INDEX('Providers'!$A$4:$A$503,377))</f>
        <v/>
      </c>
      <c r="E880">
        <f>IF(ISNUMBER(INDEX('Providers'!$I$4:$I$503,377)),TEXT(INDEX('Providers'!$I$4:$I$503,377),"yyyy-mm-dd"),"")</f>
        <v/>
      </c>
      <c r="F880">
        <f>"Registration"</f>
        <v/>
      </c>
      <c r="G880">
        <f>""</f>
        <v/>
      </c>
      <c r="H880">
        <f>"High"</f>
        <v/>
      </c>
      <c r="I880">
        <f>TRIM(IF(LEN(IF(LEN(INDEX('Providers'!$H$4:$H$503,377))=0,"",INDEX('Providers'!$H$4:$H$503,377)))=0,"","DEA no.: "&amp;IF(LEN(INDEX('Providers'!$H$4:$H$503,377))=0,"",INDEX('Providers'!$H$4:$H$503,377))&amp;". ")&amp;IF(LEN(IF(LEN(INDEX('Providers'!$C$4:$C$503,377))=0,"",INDEX('Providers'!$C$4:$C$503,377)))=0,"","NPI: "&amp;IF(LEN(INDEX('Providers'!$C$4:$C$503,377))=0,"",INDEX('Providers'!$C$4:$C$503,377))&amp;". "))</f>
        <v/>
      </c>
      <c r="J880">
        <f>IF(LEN(INDEX('Providers'!$AJ$4:$AJ$503,377))=0,"",INDEX('Providers'!$AJ$4:$AJ$503,377))</f>
        <v/>
      </c>
      <c r="K880">
        <f>IF(LEN(INDEX('Providers'!$AI$4:$AI$503,377))=0,"",INDEX('Providers'!$AI$4:$AI$503,377))</f>
        <v/>
      </c>
    </row>
    <row r="881">
      <c r="A881">
        <f>IF(AND(LEN('Providers'!A381)&gt;0,ISNUMBER('Providers'!I381)),1,0)</f>
        <v/>
      </c>
      <c r="B881">
        <f>B880+A881</f>
        <v/>
      </c>
      <c r="C881">
        <f>IF(878&gt;$B$4503,"",MATCH(878-0.5,$B$3:$B$4503,1))</f>
        <v/>
      </c>
      <c r="D881">
        <f>"DEA registration ("&amp;IF(LEN(INDEX('Providers'!$E$4:$E$503,378))=0,"",INDEX('Providers'!$E$4:$E$503,378))&amp;") – "&amp;IF(LEN(INDEX('Providers'!$A$4:$A$503,378))=0,"",INDEX('Providers'!$A$4:$A$503,378))</f>
        <v/>
      </c>
      <c r="E881">
        <f>IF(ISNUMBER(INDEX('Providers'!$I$4:$I$503,378)),TEXT(INDEX('Providers'!$I$4:$I$503,378),"yyyy-mm-dd"),"")</f>
        <v/>
      </c>
      <c r="F881">
        <f>"Registration"</f>
        <v/>
      </c>
      <c r="G881">
        <f>""</f>
        <v/>
      </c>
      <c r="H881">
        <f>"High"</f>
        <v/>
      </c>
      <c r="I881">
        <f>TRIM(IF(LEN(IF(LEN(INDEX('Providers'!$H$4:$H$503,378))=0,"",INDEX('Providers'!$H$4:$H$503,378)))=0,"","DEA no.: "&amp;IF(LEN(INDEX('Providers'!$H$4:$H$503,378))=0,"",INDEX('Providers'!$H$4:$H$503,378))&amp;". ")&amp;IF(LEN(IF(LEN(INDEX('Providers'!$C$4:$C$503,378))=0,"",INDEX('Providers'!$C$4:$C$503,378)))=0,"","NPI: "&amp;IF(LEN(INDEX('Providers'!$C$4:$C$503,378))=0,"",INDEX('Providers'!$C$4:$C$503,378))&amp;". "))</f>
        <v/>
      </c>
      <c r="J881">
        <f>IF(LEN(INDEX('Providers'!$AJ$4:$AJ$503,378))=0,"",INDEX('Providers'!$AJ$4:$AJ$503,378))</f>
        <v/>
      </c>
      <c r="K881">
        <f>IF(LEN(INDEX('Providers'!$AI$4:$AI$503,378))=0,"",INDEX('Providers'!$AI$4:$AI$503,378))</f>
        <v/>
      </c>
    </row>
    <row r="882">
      <c r="A882">
        <f>IF(AND(LEN('Providers'!A382)&gt;0,ISNUMBER('Providers'!I382)),1,0)</f>
        <v/>
      </c>
      <c r="B882">
        <f>B881+A882</f>
        <v/>
      </c>
      <c r="C882">
        <f>IF(879&gt;$B$4503,"",MATCH(879-0.5,$B$3:$B$4503,1))</f>
        <v/>
      </c>
      <c r="D882">
        <f>"DEA registration ("&amp;IF(LEN(INDEX('Providers'!$E$4:$E$503,379))=0,"",INDEX('Providers'!$E$4:$E$503,379))&amp;") – "&amp;IF(LEN(INDEX('Providers'!$A$4:$A$503,379))=0,"",INDEX('Providers'!$A$4:$A$503,379))</f>
        <v/>
      </c>
      <c r="E882">
        <f>IF(ISNUMBER(INDEX('Providers'!$I$4:$I$503,379)),TEXT(INDEX('Providers'!$I$4:$I$503,379),"yyyy-mm-dd"),"")</f>
        <v/>
      </c>
      <c r="F882">
        <f>"Registration"</f>
        <v/>
      </c>
      <c r="G882">
        <f>""</f>
        <v/>
      </c>
      <c r="H882">
        <f>"High"</f>
        <v/>
      </c>
      <c r="I882">
        <f>TRIM(IF(LEN(IF(LEN(INDEX('Providers'!$H$4:$H$503,379))=0,"",INDEX('Providers'!$H$4:$H$503,379)))=0,"","DEA no.: "&amp;IF(LEN(INDEX('Providers'!$H$4:$H$503,379))=0,"",INDEX('Providers'!$H$4:$H$503,379))&amp;". ")&amp;IF(LEN(IF(LEN(INDEX('Providers'!$C$4:$C$503,379))=0,"",INDEX('Providers'!$C$4:$C$503,379)))=0,"","NPI: "&amp;IF(LEN(INDEX('Providers'!$C$4:$C$503,379))=0,"",INDEX('Providers'!$C$4:$C$503,379))&amp;". "))</f>
        <v/>
      </c>
      <c r="J882">
        <f>IF(LEN(INDEX('Providers'!$AJ$4:$AJ$503,379))=0,"",INDEX('Providers'!$AJ$4:$AJ$503,379))</f>
        <v/>
      </c>
      <c r="K882">
        <f>IF(LEN(INDEX('Providers'!$AI$4:$AI$503,379))=0,"",INDEX('Providers'!$AI$4:$AI$503,379))</f>
        <v/>
      </c>
    </row>
    <row r="883">
      <c r="A883">
        <f>IF(AND(LEN('Providers'!A383)&gt;0,ISNUMBER('Providers'!I383)),1,0)</f>
        <v/>
      </c>
      <c r="B883">
        <f>B882+A883</f>
        <v/>
      </c>
      <c r="C883">
        <f>IF(880&gt;$B$4503,"",MATCH(880-0.5,$B$3:$B$4503,1))</f>
        <v/>
      </c>
      <c r="D883">
        <f>"DEA registration ("&amp;IF(LEN(INDEX('Providers'!$E$4:$E$503,380))=0,"",INDEX('Providers'!$E$4:$E$503,380))&amp;") – "&amp;IF(LEN(INDEX('Providers'!$A$4:$A$503,380))=0,"",INDEX('Providers'!$A$4:$A$503,380))</f>
        <v/>
      </c>
      <c r="E883">
        <f>IF(ISNUMBER(INDEX('Providers'!$I$4:$I$503,380)),TEXT(INDEX('Providers'!$I$4:$I$503,380),"yyyy-mm-dd"),"")</f>
        <v/>
      </c>
      <c r="F883">
        <f>"Registration"</f>
        <v/>
      </c>
      <c r="G883">
        <f>""</f>
        <v/>
      </c>
      <c r="H883">
        <f>"High"</f>
        <v/>
      </c>
      <c r="I883">
        <f>TRIM(IF(LEN(IF(LEN(INDEX('Providers'!$H$4:$H$503,380))=0,"",INDEX('Providers'!$H$4:$H$503,380)))=0,"","DEA no.: "&amp;IF(LEN(INDEX('Providers'!$H$4:$H$503,380))=0,"",INDEX('Providers'!$H$4:$H$503,380))&amp;". ")&amp;IF(LEN(IF(LEN(INDEX('Providers'!$C$4:$C$503,380))=0,"",INDEX('Providers'!$C$4:$C$503,380)))=0,"","NPI: "&amp;IF(LEN(INDEX('Providers'!$C$4:$C$503,380))=0,"",INDEX('Providers'!$C$4:$C$503,380))&amp;". "))</f>
        <v/>
      </c>
      <c r="J883">
        <f>IF(LEN(INDEX('Providers'!$AJ$4:$AJ$503,380))=0,"",INDEX('Providers'!$AJ$4:$AJ$503,380))</f>
        <v/>
      </c>
      <c r="K883">
        <f>IF(LEN(INDEX('Providers'!$AI$4:$AI$503,380))=0,"",INDEX('Providers'!$AI$4:$AI$503,380))</f>
        <v/>
      </c>
    </row>
    <row r="884">
      <c r="A884">
        <f>IF(AND(LEN('Providers'!A384)&gt;0,ISNUMBER('Providers'!I384)),1,0)</f>
        <v/>
      </c>
      <c r="B884">
        <f>B883+A884</f>
        <v/>
      </c>
      <c r="C884">
        <f>IF(881&gt;$B$4503,"",MATCH(881-0.5,$B$3:$B$4503,1))</f>
        <v/>
      </c>
      <c r="D884">
        <f>"DEA registration ("&amp;IF(LEN(INDEX('Providers'!$E$4:$E$503,381))=0,"",INDEX('Providers'!$E$4:$E$503,381))&amp;") – "&amp;IF(LEN(INDEX('Providers'!$A$4:$A$503,381))=0,"",INDEX('Providers'!$A$4:$A$503,381))</f>
        <v/>
      </c>
      <c r="E884">
        <f>IF(ISNUMBER(INDEX('Providers'!$I$4:$I$503,381)),TEXT(INDEX('Providers'!$I$4:$I$503,381),"yyyy-mm-dd"),"")</f>
        <v/>
      </c>
      <c r="F884">
        <f>"Registration"</f>
        <v/>
      </c>
      <c r="G884">
        <f>""</f>
        <v/>
      </c>
      <c r="H884">
        <f>"High"</f>
        <v/>
      </c>
      <c r="I884">
        <f>TRIM(IF(LEN(IF(LEN(INDEX('Providers'!$H$4:$H$503,381))=0,"",INDEX('Providers'!$H$4:$H$503,381)))=0,"","DEA no.: "&amp;IF(LEN(INDEX('Providers'!$H$4:$H$503,381))=0,"",INDEX('Providers'!$H$4:$H$503,381))&amp;". ")&amp;IF(LEN(IF(LEN(INDEX('Providers'!$C$4:$C$503,381))=0,"",INDEX('Providers'!$C$4:$C$503,381)))=0,"","NPI: "&amp;IF(LEN(INDEX('Providers'!$C$4:$C$503,381))=0,"",INDEX('Providers'!$C$4:$C$503,381))&amp;". "))</f>
        <v/>
      </c>
      <c r="J884">
        <f>IF(LEN(INDEX('Providers'!$AJ$4:$AJ$503,381))=0,"",INDEX('Providers'!$AJ$4:$AJ$503,381))</f>
        <v/>
      </c>
      <c r="K884">
        <f>IF(LEN(INDEX('Providers'!$AI$4:$AI$503,381))=0,"",INDEX('Providers'!$AI$4:$AI$503,381))</f>
        <v/>
      </c>
    </row>
    <row r="885">
      <c r="A885">
        <f>IF(AND(LEN('Providers'!A385)&gt;0,ISNUMBER('Providers'!I385)),1,0)</f>
        <v/>
      </c>
      <c r="B885">
        <f>B884+A885</f>
        <v/>
      </c>
      <c r="C885">
        <f>IF(882&gt;$B$4503,"",MATCH(882-0.5,$B$3:$B$4503,1))</f>
        <v/>
      </c>
      <c r="D885">
        <f>"DEA registration ("&amp;IF(LEN(INDEX('Providers'!$E$4:$E$503,382))=0,"",INDEX('Providers'!$E$4:$E$503,382))&amp;") – "&amp;IF(LEN(INDEX('Providers'!$A$4:$A$503,382))=0,"",INDEX('Providers'!$A$4:$A$503,382))</f>
        <v/>
      </c>
      <c r="E885">
        <f>IF(ISNUMBER(INDEX('Providers'!$I$4:$I$503,382)),TEXT(INDEX('Providers'!$I$4:$I$503,382),"yyyy-mm-dd"),"")</f>
        <v/>
      </c>
      <c r="F885">
        <f>"Registration"</f>
        <v/>
      </c>
      <c r="G885">
        <f>""</f>
        <v/>
      </c>
      <c r="H885">
        <f>"High"</f>
        <v/>
      </c>
      <c r="I885">
        <f>TRIM(IF(LEN(IF(LEN(INDEX('Providers'!$H$4:$H$503,382))=0,"",INDEX('Providers'!$H$4:$H$503,382)))=0,"","DEA no.: "&amp;IF(LEN(INDEX('Providers'!$H$4:$H$503,382))=0,"",INDEX('Providers'!$H$4:$H$503,382))&amp;". ")&amp;IF(LEN(IF(LEN(INDEX('Providers'!$C$4:$C$503,382))=0,"",INDEX('Providers'!$C$4:$C$503,382)))=0,"","NPI: "&amp;IF(LEN(INDEX('Providers'!$C$4:$C$503,382))=0,"",INDEX('Providers'!$C$4:$C$503,382))&amp;". "))</f>
        <v/>
      </c>
      <c r="J885">
        <f>IF(LEN(INDEX('Providers'!$AJ$4:$AJ$503,382))=0,"",INDEX('Providers'!$AJ$4:$AJ$503,382))</f>
        <v/>
      </c>
      <c r="K885">
        <f>IF(LEN(INDEX('Providers'!$AI$4:$AI$503,382))=0,"",INDEX('Providers'!$AI$4:$AI$503,382))</f>
        <v/>
      </c>
    </row>
    <row r="886">
      <c r="A886">
        <f>IF(AND(LEN('Providers'!A386)&gt;0,ISNUMBER('Providers'!I386)),1,0)</f>
        <v/>
      </c>
      <c r="B886">
        <f>B885+A886</f>
        <v/>
      </c>
      <c r="C886">
        <f>IF(883&gt;$B$4503,"",MATCH(883-0.5,$B$3:$B$4503,1))</f>
        <v/>
      </c>
      <c r="D886">
        <f>"DEA registration ("&amp;IF(LEN(INDEX('Providers'!$E$4:$E$503,383))=0,"",INDEX('Providers'!$E$4:$E$503,383))&amp;") – "&amp;IF(LEN(INDEX('Providers'!$A$4:$A$503,383))=0,"",INDEX('Providers'!$A$4:$A$503,383))</f>
        <v/>
      </c>
      <c r="E886">
        <f>IF(ISNUMBER(INDEX('Providers'!$I$4:$I$503,383)),TEXT(INDEX('Providers'!$I$4:$I$503,383),"yyyy-mm-dd"),"")</f>
        <v/>
      </c>
      <c r="F886">
        <f>"Registration"</f>
        <v/>
      </c>
      <c r="G886">
        <f>""</f>
        <v/>
      </c>
      <c r="H886">
        <f>"High"</f>
        <v/>
      </c>
      <c r="I886">
        <f>TRIM(IF(LEN(IF(LEN(INDEX('Providers'!$H$4:$H$503,383))=0,"",INDEX('Providers'!$H$4:$H$503,383)))=0,"","DEA no.: "&amp;IF(LEN(INDEX('Providers'!$H$4:$H$503,383))=0,"",INDEX('Providers'!$H$4:$H$503,383))&amp;". ")&amp;IF(LEN(IF(LEN(INDEX('Providers'!$C$4:$C$503,383))=0,"",INDEX('Providers'!$C$4:$C$503,383)))=0,"","NPI: "&amp;IF(LEN(INDEX('Providers'!$C$4:$C$503,383))=0,"",INDEX('Providers'!$C$4:$C$503,383))&amp;". "))</f>
        <v/>
      </c>
      <c r="J886">
        <f>IF(LEN(INDEX('Providers'!$AJ$4:$AJ$503,383))=0,"",INDEX('Providers'!$AJ$4:$AJ$503,383))</f>
        <v/>
      </c>
      <c r="K886">
        <f>IF(LEN(INDEX('Providers'!$AI$4:$AI$503,383))=0,"",INDEX('Providers'!$AI$4:$AI$503,383))</f>
        <v/>
      </c>
    </row>
    <row r="887">
      <c r="A887">
        <f>IF(AND(LEN('Providers'!A387)&gt;0,ISNUMBER('Providers'!I387)),1,0)</f>
        <v/>
      </c>
      <c r="B887">
        <f>B886+A887</f>
        <v/>
      </c>
      <c r="C887">
        <f>IF(884&gt;$B$4503,"",MATCH(884-0.5,$B$3:$B$4503,1))</f>
        <v/>
      </c>
      <c r="D887">
        <f>"DEA registration ("&amp;IF(LEN(INDEX('Providers'!$E$4:$E$503,384))=0,"",INDEX('Providers'!$E$4:$E$503,384))&amp;") – "&amp;IF(LEN(INDEX('Providers'!$A$4:$A$503,384))=0,"",INDEX('Providers'!$A$4:$A$503,384))</f>
        <v/>
      </c>
      <c r="E887">
        <f>IF(ISNUMBER(INDEX('Providers'!$I$4:$I$503,384)),TEXT(INDEX('Providers'!$I$4:$I$503,384),"yyyy-mm-dd"),"")</f>
        <v/>
      </c>
      <c r="F887">
        <f>"Registration"</f>
        <v/>
      </c>
      <c r="G887">
        <f>""</f>
        <v/>
      </c>
      <c r="H887">
        <f>"High"</f>
        <v/>
      </c>
      <c r="I887">
        <f>TRIM(IF(LEN(IF(LEN(INDEX('Providers'!$H$4:$H$503,384))=0,"",INDEX('Providers'!$H$4:$H$503,384)))=0,"","DEA no.: "&amp;IF(LEN(INDEX('Providers'!$H$4:$H$503,384))=0,"",INDEX('Providers'!$H$4:$H$503,384))&amp;". ")&amp;IF(LEN(IF(LEN(INDEX('Providers'!$C$4:$C$503,384))=0,"",INDEX('Providers'!$C$4:$C$503,384)))=0,"","NPI: "&amp;IF(LEN(INDEX('Providers'!$C$4:$C$503,384))=0,"",INDEX('Providers'!$C$4:$C$503,384))&amp;". "))</f>
        <v/>
      </c>
      <c r="J887">
        <f>IF(LEN(INDEX('Providers'!$AJ$4:$AJ$503,384))=0,"",INDEX('Providers'!$AJ$4:$AJ$503,384))</f>
        <v/>
      </c>
      <c r="K887">
        <f>IF(LEN(INDEX('Providers'!$AI$4:$AI$503,384))=0,"",INDEX('Providers'!$AI$4:$AI$503,384))</f>
        <v/>
      </c>
    </row>
    <row r="888">
      <c r="A888">
        <f>IF(AND(LEN('Providers'!A388)&gt;0,ISNUMBER('Providers'!I388)),1,0)</f>
        <v/>
      </c>
      <c r="B888">
        <f>B887+A888</f>
        <v/>
      </c>
      <c r="C888">
        <f>IF(885&gt;$B$4503,"",MATCH(885-0.5,$B$3:$B$4503,1))</f>
        <v/>
      </c>
      <c r="D888">
        <f>"DEA registration ("&amp;IF(LEN(INDEX('Providers'!$E$4:$E$503,385))=0,"",INDEX('Providers'!$E$4:$E$503,385))&amp;") – "&amp;IF(LEN(INDEX('Providers'!$A$4:$A$503,385))=0,"",INDEX('Providers'!$A$4:$A$503,385))</f>
        <v/>
      </c>
      <c r="E888">
        <f>IF(ISNUMBER(INDEX('Providers'!$I$4:$I$503,385)),TEXT(INDEX('Providers'!$I$4:$I$503,385),"yyyy-mm-dd"),"")</f>
        <v/>
      </c>
      <c r="F888">
        <f>"Registration"</f>
        <v/>
      </c>
      <c r="G888">
        <f>""</f>
        <v/>
      </c>
      <c r="H888">
        <f>"High"</f>
        <v/>
      </c>
      <c r="I888">
        <f>TRIM(IF(LEN(IF(LEN(INDEX('Providers'!$H$4:$H$503,385))=0,"",INDEX('Providers'!$H$4:$H$503,385)))=0,"","DEA no.: "&amp;IF(LEN(INDEX('Providers'!$H$4:$H$503,385))=0,"",INDEX('Providers'!$H$4:$H$503,385))&amp;". ")&amp;IF(LEN(IF(LEN(INDEX('Providers'!$C$4:$C$503,385))=0,"",INDEX('Providers'!$C$4:$C$503,385)))=0,"","NPI: "&amp;IF(LEN(INDEX('Providers'!$C$4:$C$503,385))=0,"",INDEX('Providers'!$C$4:$C$503,385))&amp;". "))</f>
        <v/>
      </c>
      <c r="J888">
        <f>IF(LEN(INDEX('Providers'!$AJ$4:$AJ$503,385))=0,"",INDEX('Providers'!$AJ$4:$AJ$503,385))</f>
        <v/>
      </c>
      <c r="K888">
        <f>IF(LEN(INDEX('Providers'!$AI$4:$AI$503,385))=0,"",INDEX('Providers'!$AI$4:$AI$503,385))</f>
        <v/>
      </c>
    </row>
    <row r="889">
      <c r="A889">
        <f>IF(AND(LEN('Providers'!A389)&gt;0,ISNUMBER('Providers'!I389)),1,0)</f>
        <v/>
      </c>
      <c r="B889">
        <f>B888+A889</f>
        <v/>
      </c>
      <c r="C889">
        <f>IF(886&gt;$B$4503,"",MATCH(886-0.5,$B$3:$B$4503,1))</f>
        <v/>
      </c>
      <c r="D889">
        <f>"DEA registration ("&amp;IF(LEN(INDEX('Providers'!$E$4:$E$503,386))=0,"",INDEX('Providers'!$E$4:$E$503,386))&amp;") – "&amp;IF(LEN(INDEX('Providers'!$A$4:$A$503,386))=0,"",INDEX('Providers'!$A$4:$A$503,386))</f>
        <v/>
      </c>
      <c r="E889">
        <f>IF(ISNUMBER(INDEX('Providers'!$I$4:$I$503,386)),TEXT(INDEX('Providers'!$I$4:$I$503,386),"yyyy-mm-dd"),"")</f>
        <v/>
      </c>
      <c r="F889">
        <f>"Registration"</f>
        <v/>
      </c>
      <c r="G889">
        <f>""</f>
        <v/>
      </c>
      <c r="H889">
        <f>"High"</f>
        <v/>
      </c>
      <c r="I889">
        <f>TRIM(IF(LEN(IF(LEN(INDEX('Providers'!$H$4:$H$503,386))=0,"",INDEX('Providers'!$H$4:$H$503,386)))=0,"","DEA no.: "&amp;IF(LEN(INDEX('Providers'!$H$4:$H$503,386))=0,"",INDEX('Providers'!$H$4:$H$503,386))&amp;". ")&amp;IF(LEN(IF(LEN(INDEX('Providers'!$C$4:$C$503,386))=0,"",INDEX('Providers'!$C$4:$C$503,386)))=0,"","NPI: "&amp;IF(LEN(INDEX('Providers'!$C$4:$C$503,386))=0,"",INDEX('Providers'!$C$4:$C$503,386))&amp;". "))</f>
        <v/>
      </c>
      <c r="J889">
        <f>IF(LEN(INDEX('Providers'!$AJ$4:$AJ$503,386))=0,"",INDEX('Providers'!$AJ$4:$AJ$503,386))</f>
        <v/>
      </c>
      <c r="K889">
        <f>IF(LEN(INDEX('Providers'!$AI$4:$AI$503,386))=0,"",INDEX('Providers'!$AI$4:$AI$503,386))</f>
        <v/>
      </c>
    </row>
    <row r="890">
      <c r="A890">
        <f>IF(AND(LEN('Providers'!A390)&gt;0,ISNUMBER('Providers'!I390)),1,0)</f>
        <v/>
      </c>
      <c r="B890">
        <f>B889+A890</f>
        <v/>
      </c>
      <c r="C890">
        <f>IF(887&gt;$B$4503,"",MATCH(887-0.5,$B$3:$B$4503,1))</f>
        <v/>
      </c>
      <c r="D890">
        <f>"DEA registration ("&amp;IF(LEN(INDEX('Providers'!$E$4:$E$503,387))=0,"",INDEX('Providers'!$E$4:$E$503,387))&amp;") – "&amp;IF(LEN(INDEX('Providers'!$A$4:$A$503,387))=0,"",INDEX('Providers'!$A$4:$A$503,387))</f>
        <v/>
      </c>
      <c r="E890">
        <f>IF(ISNUMBER(INDEX('Providers'!$I$4:$I$503,387)),TEXT(INDEX('Providers'!$I$4:$I$503,387),"yyyy-mm-dd"),"")</f>
        <v/>
      </c>
      <c r="F890">
        <f>"Registration"</f>
        <v/>
      </c>
      <c r="G890">
        <f>""</f>
        <v/>
      </c>
      <c r="H890">
        <f>"High"</f>
        <v/>
      </c>
      <c r="I890">
        <f>TRIM(IF(LEN(IF(LEN(INDEX('Providers'!$H$4:$H$503,387))=0,"",INDEX('Providers'!$H$4:$H$503,387)))=0,"","DEA no.: "&amp;IF(LEN(INDEX('Providers'!$H$4:$H$503,387))=0,"",INDEX('Providers'!$H$4:$H$503,387))&amp;". ")&amp;IF(LEN(IF(LEN(INDEX('Providers'!$C$4:$C$503,387))=0,"",INDEX('Providers'!$C$4:$C$503,387)))=0,"","NPI: "&amp;IF(LEN(INDEX('Providers'!$C$4:$C$503,387))=0,"",INDEX('Providers'!$C$4:$C$503,387))&amp;". "))</f>
        <v/>
      </c>
      <c r="J890">
        <f>IF(LEN(INDEX('Providers'!$AJ$4:$AJ$503,387))=0,"",INDEX('Providers'!$AJ$4:$AJ$503,387))</f>
        <v/>
      </c>
      <c r="K890">
        <f>IF(LEN(INDEX('Providers'!$AI$4:$AI$503,387))=0,"",INDEX('Providers'!$AI$4:$AI$503,387))</f>
        <v/>
      </c>
    </row>
    <row r="891">
      <c r="A891">
        <f>IF(AND(LEN('Providers'!A391)&gt;0,ISNUMBER('Providers'!I391)),1,0)</f>
        <v/>
      </c>
      <c r="B891">
        <f>B890+A891</f>
        <v/>
      </c>
      <c r="C891">
        <f>IF(888&gt;$B$4503,"",MATCH(888-0.5,$B$3:$B$4503,1))</f>
        <v/>
      </c>
      <c r="D891">
        <f>"DEA registration ("&amp;IF(LEN(INDEX('Providers'!$E$4:$E$503,388))=0,"",INDEX('Providers'!$E$4:$E$503,388))&amp;") – "&amp;IF(LEN(INDEX('Providers'!$A$4:$A$503,388))=0,"",INDEX('Providers'!$A$4:$A$503,388))</f>
        <v/>
      </c>
      <c r="E891">
        <f>IF(ISNUMBER(INDEX('Providers'!$I$4:$I$503,388)),TEXT(INDEX('Providers'!$I$4:$I$503,388),"yyyy-mm-dd"),"")</f>
        <v/>
      </c>
      <c r="F891">
        <f>"Registration"</f>
        <v/>
      </c>
      <c r="G891">
        <f>""</f>
        <v/>
      </c>
      <c r="H891">
        <f>"High"</f>
        <v/>
      </c>
      <c r="I891">
        <f>TRIM(IF(LEN(IF(LEN(INDEX('Providers'!$H$4:$H$503,388))=0,"",INDEX('Providers'!$H$4:$H$503,388)))=0,"","DEA no.: "&amp;IF(LEN(INDEX('Providers'!$H$4:$H$503,388))=0,"",INDEX('Providers'!$H$4:$H$503,388))&amp;". ")&amp;IF(LEN(IF(LEN(INDEX('Providers'!$C$4:$C$503,388))=0,"",INDEX('Providers'!$C$4:$C$503,388)))=0,"","NPI: "&amp;IF(LEN(INDEX('Providers'!$C$4:$C$503,388))=0,"",INDEX('Providers'!$C$4:$C$503,388))&amp;". "))</f>
        <v/>
      </c>
      <c r="J891">
        <f>IF(LEN(INDEX('Providers'!$AJ$4:$AJ$503,388))=0,"",INDEX('Providers'!$AJ$4:$AJ$503,388))</f>
        <v/>
      </c>
      <c r="K891">
        <f>IF(LEN(INDEX('Providers'!$AI$4:$AI$503,388))=0,"",INDEX('Providers'!$AI$4:$AI$503,388))</f>
        <v/>
      </c>
    </row>
    <row r="892">
      <c r="A892">
        <f>IF(AND(LEN('Providers'!A392)&gt;0,ISNUMBER('Providers'!I392)),1,0)</f>
        <v/>
      </c>
      <c r="B892">
        <f>B891+A892</f>
        <v/>
      </c>
      <c r="C892">
        <f>IF(889&gt;$B$4503,"",MATCH(889-0.5,$B$3:$B$4503,1))</f>
        <v/>
      </c>
      <c r="D892">
        <f>"DEA registration ("&amp;IF(LEN(INDEX('Providers'!$E$4:$E$503,389))=0,"",INDEX('Providers'!$E$4:$E$503,389))&amp;") – "&amp;IF(LEN(INDEX('Providers'!$A$4:$A$503,389))=0,"",INDEX('Providers'!$A$4:$A$503,389))</f>
        <v/>
      </c>
      <c r="E892">
        <f>IF(ISNUMBER(INDEX('Providers'!$I$4:$I$503,389)),TEXT(INDEX('Providers'!$I$4:$I$503,389),"yyyy-mm-dd"),"")</f>
        <v/>
      </c>
      <c r="F892">
        <f>"Registration"</f>
        <v/>
      </c>
      <c r="G892">
        <f>""</f>
        <v/>
      </c>
      <c r="H892">
        <f>"High"</f>
        <v/>
      </c>
      <c r="I892">
        <f>TRIM(IF(LEN(IF(LEN(INDEX('Providers'!$H$4:$H$503,389))=0,"",INDEX('Providers'!$H$4:$H$503,389)))=0,"","DEA no.: "&amp;IF(LEN(INDEX('Providers'!$H$4:$H$503,389))=0,"",INDEX('Providers'!$H$4:$H$503,389))&amp;". ")&amp;IF(LEN(IF(LEN(INDEX('Providers'!$C$4:$C$503,389))=0,"",INDEX('Providers'!$C$4:$C$503,389)))=0,"","NPI: "&amp;IF(LEN(INDEX('Providers'!$C$4:$C$503,389))=0,"",INDEX('Providers'!$C$4:$C$503,389))&amp;". "))</f>
        <v/>
      </c>
      <c r="J892">
        <f>IF(LEN(INDEX('Providers'!$AJ$4:$AJ$503,389))=0,"",INDEX('Providers'!$AJ$4:$AJ$503,389))</f>
        <v/>
      </c>
      <c r="K892">
        <f>IF(LEN(INDEX('Providers'!$AI$4:$AI$503,389))=0,"",INDEX('Providers'!$AI$4:$AI$503,389))</f>
        <v/>
      </c>
    </row>
    <row r="893">
      <c r="A893">
        <f>IF(AND(LEN('Providers'!A393)&gt;0,ISNUMBER('Providers'!I393)),1,0)</f>
        <v/>
      </c>
      <c r="B893">
        <f>B892+A893</f>
        <v/>
      </c>
      <c r="C893">
        <f>IF(890&gt;$B$4503,"",MATCH(890-0.5,$B$3:$B$4503,1))</f>
        <v/>
      </c>
      <c r="D893">
        <f>"DEA registration ("&amp;IF(LEN(INDEX('Providers'!$E$4:$E$503,390))=0,"",INDEX('Providers'!$E$4:$E$503,390))&amp;") – "&amp;IF(LEN(INDEX('Providers'!$A$4:$A$503,390))=0,"",INDEX('Providers'!$A$4:$A$503,390))</f>
        <v/>
      </c>
      <c r="E893">
        <f>IF(ISNUMBER(INDEX('Providers'!$I$4:$I$503,390)),TEXT(INDEX('Providers'!$I$4:$I$503,390),"yyyy-mm-dd"),"")</f>
        <v/>
      </c>
      <c r="F893">
        <f>"Registration"</f>
        <v/>
      </c>
      <c r="G893">
        <f>""</f>
        <v/>
      </c>
      <c r="H893">
        <f>"High"</f>
        <v/>
      </c>
      <c r="I893">
        <f>TRIM(IF(LEN(IF(LEN(INDEX('Providers'!$H$4:$H$503,390))=0,"",INDEX('Providers'!$H$4:$H$503,390)))=0,"","DEA no.: "&amp;IF(LEN(INDEX('Providers'!$H$4:$H$503,390))=0,"",INDEX('Providers'!$H$4:$H$503,390))&amp;". ")&amp;IF(LEN(IF(LEN(INDEX('Providers'!$C$4:$C$503,390))=0,"",INDEX('Providers'!$C$4:$C$503,390)))=0,"","NPI: "&amp;IF(LEN(INDEX('Providers'!$C$4:$C$503,390))=0,"",INDEX('Providers'!$C$4:$C$503,390))&amp;". "))</f>
        <v/>
      </c>
      <c r="J893">
        <f>IF(LEN(INDEX('Providers'!$AJ$4:$AJ$503,390))=0,"",INDEX('Providers'!$AJ$4:$AJ$503,390))</f>
        <v/>
      </c>
      <c r="K893">
        <f>IF(LEN(INDEX('Providers'!$AI$4:$AI$503,390))=0,"",INDEX('Providers'!$AI$4:$AI$503,390))</f>
        <v/>
      </c>
    </row>
    <row r="894">
      <c r="A894">
        <f>IF(AND(LEN('Providers'!A394)&gt;0,ISNUMBER('Providers'!I394)),1,0)</f>
        <v/>
      </c>
      <c r="B894">
        <f>B893+A894</f>
        <v/>
      </c>
      <c r="C894">
        <f>IF(891&gt;$B$4503,"",MATCH(891-0.5,$B$3:$B$4503,1))</f>
        <v/>
      </c>
      <c r="D894">
        <f>"DEA registration ("&amp;IF(LEN(INDEX('Providers'!$E$4:$E$503,391))=0,"",INDEX('Providers'!$E$4:$E$503,391))&amp;") – "&amp;IF(LEN(INDEX('Providers'!$A$4:$A$503,391))=0,"",INDEX('Providers'!$A$4:$A$503,391))</f>
        <v/>
      </c>
      <c r="E894">
        <f>IF(ISNUMBER(INDEX('Providers'!$I$4:$I$503,391)),TEXT(INDEX('Providers'!$I$4:$I$503,391),"yyyy-mm-dd"),"")</f>
        <v/>
      </c>
      <c r="F894">
        <f>"Registration"</f>
        <v/>
      </c>
      <c r="G894">
        <f>""</f>
        <v/>
      </c>
      <c r="H894">
        <f>"High"</f>
        <v/>
      </c>
      <c r="I894">
        <f>TRIM(IF(LEN(IF(LEN(INDEX('Providers'!$H$4:$H$503,391))=0,"",INDEX('Providers'!$H$4:$H$503,391)))=0,"","DEA no.: "&amp;IF(LEN(INDEX('Providers'!$H$4:$H$503,391))=0,"",INDEX('Providers'!$H$4:$H$503,391))&amp;". ")&amp;IF(LEN(IF(LEN(INDEX('Providers'!$C$4:$C$503,391))=0,"",INDEX('Providers'!$C$4:$C$503,391)))=0,"","NPI: "&amp;IF(LEN(INDEX('Providers'!$C$4:$C$503,391))=0,"",INDEX('Providers'!$C$4:$C$503,391))&amp;". "))</f>
        <v/>
      </c>
      <c r="J894">
        <f>IF(LEN(INDEX('Providers'!$AJ$4:$AJ$503,391))=0,"",INDEX('Providers'!$AJ$4:$AJ$503,391))</f>
        <v/>
      </c>
      <c r="K894">
        <f>IF(LEN(INDEX('Providers'!$AI$4:$AI$503,391))=0,"",INDEX('Providers'!$AI$4:$AI$503,391))</f>
        <v/>
      </c>
    </row>
    <row r="895">
      <c r="A895">
        <f>IF(AND(LEN('Providers'!A395)&gt;0,ISNUMBER('Providers'!I395)),1,0)</f>
        <v/>
      </c>
      <c r="B895">
        <f>B894+A895</f>
        <v/>
      </c>
      <c r="C895">
        <f>IF(892&gt;$B$4503,"",MATCH(892-0.5,$B$3:$B$4503,1))</f>
        <v/>
      </c>
      <c r="D895">
        <f>"DEA registration ("&amp;IF(LEN(INDEX('Providers'!$E$4:$E$503,392))=0,"",INDEX('Providers'!$E$4:$E$503,392))&amp;") – "&amp;IF(LEN(INDEX('Providers'!$A$4:$A$503,392))=0,"",INDEX('Providers'!$A$4:$A$503,392))</f>
        <v/>
      </c>
      <c r="E895">
        <f>IF(ISNUMBER(INDEX('Providers'!$I$4:$I$503,392)),TEXT(INDEX('Providers'!$I$4:$I$503,392),"yyyy-mm-dd"),"")</f>
        <v/>
      </c>
      <c r="F895">
        <f>"Registration"</f>
        <v/>
      </c>
      <c r="G895">
        <f>""</f>
        <v/>
      </c>
      <c r="H895">
        <f>"High"</f>
        <v/>
      </c>
      <c r="I895">
        <f>TRIM(IF(LEN(IF(LEN(INDEX('Providers'!$H$4:$H$503,392))=0,"",INDEX('Providers'!$H$4:$H$503,392)))=0,"","DEA no.: "&amp;IF(LEN(INDEX('Providers'!$H$4:$H$503,392))=0,"",INDEX('Providers'!$H$4:$H$503,392))&amp;". ")&amp;IF(LEN(IF(LEN(INDEX('Providers'!$C$4:$C$503,392))=0,"",INDEX('Providers'!$C$4:$C$503,392)))=0,"","NPI: "&amp;IF(LEN(INDEX('Providers'!$C$4:$C$503,392))=0,"",INDEX('Providers'!$C$4:$C$503,392))&amp;". "))</f>
        <v/>
      </c>
      <c r="J895">
        <f>IF(LEN(INDEX('Providers'!$AJ$4:$AJ$503,392))=0,"",INDEX('Providers'!$AJ$4:$AJ$503,392))</f>
        <v/>
      </c>
      <c r="K895">
        <f>IF(LEN(INDEX('Providers'!$AI$4:$AI$503,392))=0,"",INDEX('Providers'!$AI$4:$AI$503,392))</f>
        <v/>
      </c>
    </row>
    <row r="896">
      <c r="A896">
        <f>IF(AND(LEN('Providers'!A396)&gt;0,ISNUMBER('Providers'!I396)),1,0)</f>
        <v/>
      </c>
      <c r="B896">
        <f>B895+A896</f>
        <v/>
      </c>
      <c r="C896">
        <f>IF(893&gt;$B$4503,"",MATCH(893-0.5,$B$3:$B$4503,1))</f>
        <v/>
      </c>
      <c r="D896">
        <f>"DEA registration ("&amp;IF(LEN(INDEX('Providers'!$E$4:$E$503,393))=0,"",INDEX('Providers'!$E$4:$E$503,393))&amp;") – "&amp;IF(LEN(INDEX('Providers'!$A$4:$A$503,393))=0,"",INDEX('Providers'!$A$4:$A$503,393))</f>
        <v/>
      </c>
      <c r="E896">
        <f>IF(ISNUMBER(INDEX('Providers'!$I$4:$I$503,393)),TEXT(INDEX('Providers'!$I$4:$I$503,393),"yyyy-mm-dd"),"")</f>
        <v/>
      </c>
      <c r="F896">
        <f>"Registration"</f>
        <v/>
      </c>
      <c r="G896">
        <f>""</f>
        <v/>
      </c>
      <c r="H896">
        <f>"High"</f>
        <v/>
      </c>
      <c r="I896">
        <f>TRIM(IF(LEN(IF(LEN(INDEX('Providers'!$H$4:$H$503,393))=0,"",INDEX('Providers'!$H$4:$H$503,393)))=0,"","DEA no.: "&amp;IF(LEN(INDEX('Providers'!$H$4:$H$503,393))=0,"",INDEX('Providers'!$H$4:$H$503,393))&amp;". ")&amp;IF(LEN(IF(LEN(INDEX('Providers'!$C$4:$C$503,393))=0,"",INDEX('Providers'!$C$4:$C$503,393)))=0,"","NPI: "&amp;IF(LEN(INDEX('Providers'!$C$4:$C$503,393))=0,"",INDEX('Providers'!$C$4:$C$503,393))&amp;". "))</f>
        <v/>
      </c>
      <c r="J896">
        <f>IF(LEN(INDEX('Providers'!$AJ$4:$AJ$503,393))=0,"",INDEX('Providers'!$AJ$4:$AJ$503,393))</f>
        <v/>
      </c>
      <c r="K896">
        <f>IF(LEN(INDEX('Providers'!$AI$4:$AI$503,393))=0,"",INDEX('Providers'!$AI$4:$AI$503,393))</f>
        <v/>
      </c>
    </row>
    <row r="897">
      <c r="A897">
        <f>IF(AND(LEN('Providers'!A397)&gt;0,ISNUMBER('Providers'!I397)),1,0)</f>
        <v/>
      </c>
      <c r="B897">
        <f>B896+A897</f>
        <v/>
      </c>
      <c r="C897">
        <f>IF(894&gt;$B$4503,"",MATCH(894-0.5,$B$3:$B$4503,1))</f>
        <v/>
      </c>
      <c r="D897">
        <f>"DEA registration ("&amp;IF(LEN(INDEX('Providers'!$E$4:$E$503,394))=0,"",INDEX('Providers'!$E$4:$E$503,394))&amp;") – "&amp;IF(LEN(INDEX('Providers'!$A$4:$A$503,394))=0,"",INDEX('Providers'!$A$4:$A$503,394))</f>
        <v/>
      </c>
      <c r="E897">
        <f>IF(ISNUMBER(INDEX('Providers'!$I$4:$I$503,394)),TEXT(INDEX('Providers'!$I$4:$I$503,394),"yyyy-mm-dd"),"")</f>
        <v/>
      </c>
      <c r="F897">
        <f>"Registration"</f>
        <v/>
      </c>
      <c r="G897">
        <f>""</f>
        <v/>
      </c>
      <c r="H897">
        <f>"High"</f>
        <v/>
      </c>
      <c r="I897">
        <f>TRIM(IF(LEN(IF(LEN(INDEX('Providers'!$H$4:$H$503,394))=0,"",INDEX('Providers'!$H$4:$H$503,394)))=0,"","DEA no.: "&amp;IF(LEN(INDEX('Providers'!$H$4:$H$503,394))=0,"",INDEX('Providers'!$H$4:$H$503,394))&amp;". ")&amp;IF(LEN(IF(LEN(INDEX('Providers'!$C$4:$C$503,394))=0,"",INDEX('Providers'!$C$4:$C$503,394)))=0,"","NPI: "&amp;IF(LEN(INDEX('Providers'!$C$4:$C$503,394))=0,"",INDEX('Providers'!$C$4:$C$503,394))&amp;". "))</f>
        <v/>
      </c>
      <c r="J897">
        <f>IF(LEN(INDEX('Providers'!$AJ$4:$AJ$503,394))=0,"",INDEX('Providers'!$AJ$4:$AJ$503,394))</f>
        <v/>
      </c>
      <c r="K897">
        <f>IF(LEN(INDEX('Providers'!$AI$4:$AI$503,394))=0,"",INDEX('Providers'!$AI$4:$AI$503,394))</f>
        <v/>
      </c>
    </row>
    <row r="898">
      <c r="A898">
        <f>IF(AND(LEN('Providers'!A398)&gt;0,ISNUMBER('Providers'!I398)),1,0)</f>
        <v/>
      </c>
      <c r="B898">
        <f>B897+A898</f>
        <v/>
      </c>
      <c r="C898">
        <f>IF(895&gt;$B$4503,"",MATCH(895-0.5,$B$3:$B$4503,1))</f>
        <v/>
      </c>
      <c r="D898">
        <f>"DEA registration ("&amp;IF(LEN(INDEX('Providers'!$E$4:$E$503,395))=0,"",INDEX('Providers'!$E$4:$E$503,395))&amp;") – "&amp;IF(LEN(INDEX('Providers'!$A$4:$A$503,395))=0,"",INDEX('Providers'!$A$4:$A$503,395))</f>
        <v/>
      </c>
      <c r="E898">
        <f>IF(ISNUMBER(INDEX('Providers'!$I$4:$I$503,395)),TEXT(INDEX('Providers'!$I$4:$I$503,395),"yyyy-mm-dd"),"")</f>
        <v/>
      </c>
      <c r="F898">
        <f>"Registration"</f>
        <v/>
      </c>
      <c r="G898">
        <f>""</f>
        <v/>
      </c>
      <c r="H898">
        <f>"High"</f>
        <v/>
      </c>
      <c r="I898">
        <f>TRIM(IF(LEN(IF(LEN(INDEX('Providers'!$H$4:$H$503,395))=0,"",INDEX('Providers'!$H$4:$H$503,395)))=0,"","DEA no.: "&amp;IF(LEN(INDEX('Providers'!$H$4:$H$503,395))=0,"",INDEX('Providers'!$H$4:$H$503,395))&amp;". ")&amp;IF(LEN(IF(LEN(INDEX('Providers'!$C$4:$C$503,395))=0,"",INDEX('Providers'!$C$4:$C$503,395)))=0,"","NPI: "&amp;IF(LEN(INDEX('Providers'!$C$4:$C$503,395))=0,"",INDEX('Providers'!$C$4:$C$503,395))&amp;". "))</f>
        <v/>
      </c>
      <c r="J898">
        <f>IF(LEN(INDEX('Providers'!$AJ$4:$AJ$503,395))=0,"",INDEX('Providers'!$AJ$4:$AJ$503,395))</f>
        <v/>
      </c>
      <c r="K898">
        <f>IF(LEN(INDEX('Providers'!$AI$4:$AI$503,395))=0,"",INDEX('Providers'!$AI$4:$AI$503,395))</f>
        <v/>
      </c>
    </row>
    <row r="899">
      <c r="A899">
        <f>IF(AND(LEN('Providers'!A399)&gt;0,ISNUMBER('Providers'!I399)),1,0)</f>
        <v/>
      </c>
      <c r="B899">
        <f>B898+A899</f>
        <v/>
      </c>
      <c r="C899">
        <f>IF(896&gt;$B$4503,"",MATCH(896-0.5,$B$3:$B$4503,1))</f>
        <v/>
      </c>
      <c r="D899">
        <f>"DEA registration ("&amp;IF(LEN(INDEX('Providers'!$E$4:$E$503,396))=0,"",INDEX('Providers'!$E$4:$E$503,396))&amp;") – "&amp;IF(LEN(INDEX('Providers'!$A$4:$A$503,396))=0,"",INDEX('Providers'!$A$4:$A$503,396))</f>
        <v/>
      </c>
      <c r="E899">
        <f>IF(ISNUMBER(INDEX('Providers'!$I$4:$I$503,396)),TEXT(INDEX('Providers'!$I$4:$I$503,396),"yyyy-mm-dd"),"")</f>
        <v/>
      </c>
      <c r="F899">
        <f>"Registration"</f>
        <v/>
      </c>
      <c r="G899">
        <f>""</f>
        <v/>
      </c>
      <c r="H899">
        <f>"High"</f>
        <v/>
      </c>
      <c r="I899">
        <f>TRIM(IF(LEN(IF(LEN(INDEX('Providers'!$H$4:$H$503,396))=0,"",INDEX('Providers'!$H$4:$H$503,396)))=0,"","DEA no.: "&amp;IF(LEN(INDEX('Providers'!$H$4:$H$503,396))=0,"",INDEX('Providers'!$H$4:$H$503,396))&amp;". ")&amp;IF(LEN(IF(LEN(INDEX('Providers'!$C$4:$C$503,396))=0,"",INDEX('Providers'!$C$4:$C$503,396)))=0,"","NPI: "&amp;IF(LEN(INDEX('Providers'!$C$4:$C$503,396))=0,"",INDEX('Providers'!$C$4:$C$503,396))&amp;". "))</f>
        <v/>
      </c>
      <c r="J899">
        <f>IF(LEN(INDEX('Providers'!$AJ$4:$AJ$503,396))=0,"",INDEX('Providers'!$AJ$4:$AJ$503,396))</f>
        <v/>
      </c>
      <c r="K899">
        <f>IF(LEN(INDEX('Providers'!$AI$4:$AI$503,396))=0,"",INDEX('Providers'!$AI$4:$AI$503,396))</f>
        <v/>
      </c>
    </row>
    <row r="900">
      <c r="A900">
        <f>IF(AND(LEN('Providers'!A400)&gt;0,ISNUMBER('Providers'!I400)),1,0)</f>
        <v/>
      </c>
      <c r="B900">
        <f>B899+A900</f>
        <v/>
      </c>
      <c r="C900">
        <f>IF(897&gt;$B$4503,"",MATCH(897-0.5,$B$3:$B$4503,1))</f>
        <v/>
      </c>
      <c r="D900">
        <f>"DEA registration ("&amp;IF(LEN(INDEX('Providers'!$E$4:$E$503,397))=0,"",INDEX('Providers'!$E$4:$E$503,397))&amp;") – "&amp;IF(LEN(INDEX('Providers'!$A$4:$A$503,397))=0,"",INDEX('Providers'!$A$4:$A$503,397))</f>
        <v/>
      </c>
      <c r="E900">
        <f>IF(ISNUMBER(INDEX('Providers'!$I$4:$I$503,397)),TEXT(INDEX('Providers'!$I$4:$I$503,397),"yyyy-mm-dd"),"")</f>
        <v/>
      </c>
      <c r="F900">
        <f>"Registration"</f>
        <v/>
      </c>
      <c r="G900">
        <f>""</f>
        <v/>
      </c>
      <c r="H900">
        <f>"High"</f>
        <v/>
      </c>
      <c r="I900">
        <f>TRIM(IF(LEN(IF(LEN(INDEX('Providers'!$H$4:$H$503,397))=0,"",INDEX('Providers'!$H$4:$H$503,397)))=0,"","DEA no.: "&amp;IF(LEN(INDEX('Providers'!$H$4:$H$503,397))=0,"",INDEX('Providers'!$H$4:$H$503,397))&amp;". ")&amp;IF(LEN(IF(LEN(INDEX('Providers'!$C$4:$C$503,397))=0,"",INDEX('Providers'!$C$4:$C$503,397)))=0,"","NPI: "&amp;IF(LEN(INDEX('Providers'!$C$4:$C$503,397))=0,"",INDEX('Providers'!$C$4:$C$503,397))&amp;". "))</f>
        <v/>
      </c>
      <c r="J900">
        <f>IF(LEN(INDEX('Providers'!$AJ$4:$AJ$503,397))=0,"",INDEX('Providers'!$AJ$4:$AJ$503,397))</f>
        <v/>
      </c>
      <c r="K900">
        <f>IF(LEN(INDEX('Providers'!$AI$4:$AI$503,397))=0,"",INDEX('Providers'!$AI$4:$AI$503,397))</f>
        <v/>
      </c>
    </row>
    <row r="901">
      <c r="A901">
        <f>IF(AND(LEN('Providers'!A401)&gt;0,ISNUMBER('Providers'!I401)),1,0)</f>
        <v/>
      </c>
      <c r="B901">
        <f>B900+A901</f>
        <v/>
      </c>
      <c r="C901">
        <f>IF(898&gt;$B$4503,"",MATCH(898-0.5,$B$3:$B$4503,1))</f>
        <v/>
      </c>
      <c r="D901">
        <f>"DEA registration ("&amp;IF(LEN(INDEX('Providers'!$E$4:$E$503,398))=0,"",INDEX('Providers'!$E$4:$E$503,398))&amp;") – "&amp;IF(LEN(INDEX('Providers'!$A$4:$A$503,398))=0,"",INDEX('Providers'!$A$4:$A$503,398))</f>
        <v/>
      </c>
      <c r="E901">
        <f>IF(ISNUMBER(INDEX('Providers'!$I$4:$I$503,398)),TEXT(INDEX('Providers'!$I$4:$I$503,398),"yyyy-mm-dd"),"")</f>
        <v/>
      </c>
      <c r="F901">
        <f>"Registration"</f>
        <v/>
      </c>
      <c r="G901">
        <f>""</f>
        <v/>
      </c>
      <c r="H901">
        <f>"High"</f>
        <v/>
      </c>
      <c r="I901">
        <f>TRIM(IF(LEN(IF(LEN(INDEX('Providers'!$H$4:$H$503,398))=0,"",INDEX('Providers'!$H$4:$H$503,398)))=0,"","DEA no.: "&amp;IF(LEN(INDEX('Providers'!$H$4:$H$503,398))=0,"",INDEX('Providers'!$H$4:$H$503,398))&amp;". ")&amp;IF(LEN(IF(LEN(INDEX('Providers'!$C$4:$C$503,398))=0,"",INDEX('Providers'!$C$4:$C$503,398)))=0,"","NPI: "&amp;IF(LEN(INDEX('Providers'!$C$4:$C$503,398))=0,"",INDEX('Providers'!$C$4:$C$503,398))&amp;". "))</f>
        <v/>
      </c>
      <c r="J901">
        <f>IF(LEN(INDEX('Providers'!$AJ$4:$AJ$503,398))=0,"",INDEX('Providers'!$AJ$4:$AJ$503,398))</f>
        <v/>
      </c>
      <c r="K901">
        <f>IF(LEN(INDEX('Providers'!$AI$4:$AI$503,398))=0,"",INDEX('Providers'!$AI$4:$AI$503,398))</f>
        <v/>
      </c>
    </row>
    <row r="902">
      <c r="A902">
        <f>IF(AND(LEN('Providers'!A402)&gt;0,ISNUMBER('Providers'!I402)),1,0)</f>
        <v/>
      </c>
      <c r="B902">
        <f>B901+A902</f>
        <v/>
      </c>
      <c r="C902">
        <f>IF(899&gt;$B$4503,"",MATCH(899-0.5,$B$3:$B$4503,1))</f>
        <v/>
      </c>
      <c r="D902">
        <f>"DEA registration ("&amp;IF(LEN(INDEX('Providers'!$E$4:$E$503,399))=0,"",INDEX('Providers'!$E$4:$E$503,399))&amp;") – "&amp;IF(LEN(INDEX('Providers'!$A$4:$A$503,399))=0,"",INDEX('Providers'!$A$4:$A$503,399))</f>
        <v/>
      </c>
      <c r="E902">
        <f>IF(ISNUMBER(INDEX('Providers'!$I$4:$I$503,399)),TEXT(INDEX('Providers'!$I$4:$I$503,399),"yyyy-mm-dd"),"")</f>
        <v/>
      </c>
      <c r="F902">
        <f>"Registration"</f>
        <v/>
      </c>
      <c r="G902">
        <f>""</f>
        <v/>
      </c>
      <c r="H902">
        <f>"High"</f>
        <v/>
      </c>
      <c r="I902">
        <f>TRIM(IF(LEN(IF(LEN(INDEX('Providers'!$H$4:$H$503,399))=0,"",INDEX('Providers'!$H$4:$H$503,399)))=0,"","DEA no.: "&amp;IF(LEN(INDEX('Providers'!$H$4:$H$503,399))=0,"",INDEX('Providers'!$H$4:$H$503,399))&amp;". ")&amp;IF(LEN(IF(LEN(INDEX('Providers'!$C$4:$C$503,399))=0,"",INDEX('Providers'!$C$4:$C$503,399)))=0,"","NPI: "&amp;IF(LEN(INDEX('Providers'!$C$4:$C$503,399))=0,"",INDEX('Providers'!$C$4:$C$503,399))&amp;". "))</f>
        <v/>
      </c>
      <c r="J902">
        <f>IF(LEN(INDEX('Providers'!$AJ$4:$AJ$503,399))=0,"",INDEX('Providers'!$AJ$4:$AJ$503,399))</f>
        <v/>
      </c>
      <c r="K902">
        <f>IF(LEN(INDEX('Providers'!$AI$4:$AI$503,399))=0,"",INDEX('Providers'!$AI$4:$AI$503,399))</f>
        <v/>
      </c>
    </row>
    <row r="903">
      <c r="A903">
        <f>IF(AND(LEN('Providers'!A403)&gt;0,ISNUMBER('Providers'!I403)),1,0)</f>
        <v/>
      </c>
      <c r="B903">
        <f>B902+A903</f>
        <v/>
      </c>
      <c r="C903">
        <f>IF(900&gt;$B$4503,"",MATCH(900-0.5,$B$3:$B$4503,1))</f>
        <v/>
      </c>
      <c r="D903">
        <f>"DEA registration ("&amp;IF(LEN(INDEX('Providers'!$E$4:$E$503,400))=0,"",INDEX('Providers'!$E$4:$E$503,400))&amp;") – "&amp;IF(LEN(INDEX('Providers'!$A$4:$A$503,400))=0,"",INDEX('Providers'!$A$4:$A$503,400))</f>
        <v/>
      </c>
      <c r="E903">
        <f>IF(ISNUMBER(INDEX('Providers'!$I$4:$I$503,400)),TEXT(INDEX('Providers'!$I$4:$I$503,400),"yyyy-mm-dd"),"")</f>
        <v/>
      </c>
      <c r="F903">
        <f>"Registration"</f>
        <v/>
      </c>
      <c r="G903">
        <f>""</f>
        <v/>
      </c>
      <c r="H903">
        <f>"High"</f>
        <v/>
      </c>
      <c r="I903">
        <f>TRIM(IF(LEN(IF(LEN(INDEX('Providers'!$H$4:$H$503,400))=0,"",INDEX('Providers'!$H$4:$H$503,400)))=0,"","DEA no.: "&amp;IF(LEN(INDEX('Providers'!$H$4:$H$503,400))=0,"",INDEX('Providers'!$H$4:$H$503,400))&amp;". ")&amp;IF(LEN(IF(LEN(INDEX('Providers'!$C$4:$C$503,400))=0,"",INDEX('Providers'!$C$4:$C$503,400)))=0,"","NPI: "&amp;IF(LEN(INDEX('Providers'!$C$4:$C$503,400))=0,"",INDEX('Providers'!$C$4:$C$503,400))&amp;". "))</f>
        <v/>
      </c>
      <c r="J903">
        <f>IF(LEN(INDEX('Providers'!$AJ$4:$AJ$503,400))=0,"",INDEX('Providers'!$AJ$4:$AJ$503,400))</f>
        <v/>
      </c>
      <c r="K903">
        <f>IF(LEN(INDEX('Providers'!$AI$4:$AI$503,400))=0,"",INDEX('Providers'!$AI$4:$AI$503,400))</f>
        <v/>
      </c>
    </row>
    <row r="904">
      <c r="A904">
        <f>IF(AND(LEN('Providers'!A404)&gt;0,ISNUMBER('Providers'!I404)),1,0)</f>
        <v/>
      </c>
      <c r="B904">
        <f>B903+A904</f>
        <v/>
      </c>
      <c r="C904">
        <f>IF(901&gt;$B$4503,"",MATCH(901-0.5,$B$3:$B$4503,1))</f>
        <v/>
      </c>
      <c r="D904">
        <f>"DEA registration ("&amp;IF(LEN(INDEX('Providers'!$E$4:$E$503,401))=0,"",INDEX('Providers'!$E$4:$E$503,401))&amp;") – "&amp;IF(LEN(INDEX('Providers'!$A$4:$A$503,401))=0,"",INDEX('Providers'!$A$4:$A$503,401))</f>
        <v/>
      </c>
      <c r="E904">
        <f>IF(ISNUMBER(INDEX('Providers'!$I$4:$I$503,401)),TEXT(INDEX('Providers'!$I$4:$I$503,401),"yyyy-mm-dd"),"")</f>
        <v/>
      </c>
      <c r="F904">
        <f>"Registration"</f>
        <v/>
      </c>
      <c r="G904">
        <f>""</f>
        <v/>
      </c>
      <c r="H904">
        <f>"High"</f>
        <v/>
      </c>
      <c r="I904">
        <f>TRIM(IF(LEN(IF(LEN(INDEX('Providers'!$H$4:$H$503,401))=0,"",INDEX('Providers'!$H$4:$H$503,401)))=0,"","DEA no.: "&amp;IF(LEN(INDEX('Providers'!$H$4:$H$503,401))=0,"",INDEX('Providers'!$H$4:$H$503,401))&amp;". ")&amp;IF(LEN(IF(LEN(INDEX('Providers'!$C$4:$C$503,401))=0,"",INDEX('Providers'!$C$4:$C$503,401)))=0,"","NPI: "&amp;IF(LEN(INDEX('Providers'!$C$4:$C$503,401))=0,"",INDEX('Providers'!$C$4:$C$503,401))&amp;". "))</f>
        <v/>
      </c>
      <c r="J904">
        <f>IF(LEN(INDEX('Providers'!$AJ$4:$AJ$503,401))=0,"",INDEX('Providers'!$AJ$4:$AJ$503,401))</f>
        <v/>
      </c>
      <c r="K904">
        <f>IF(LEN(INDEX('Providers'!$AI$4:$AI$503,401))=0,"",INDEX('Providers'!$AI$4:$AI$503,401))</f>
        <v/>
      </c>
    </row>
    <row r="905">
      <c r="A905">
        <f>IF(AND(LEN('Providers'!A405)&gt;0,ISNUMBER('Providers'!I405)),1,0)</f>
        <v/>
      </c>
      <c r="B905">
        <f>B904+A905</f>
        <v/>
      </c>
      <c r="C905">
        <f>IF(902&gt;$B$4503,"",MATCH(902-0.5,$B$3:$B$4503,1))</f>
        <v/>
      </c>
      <c r="D905">
        <f>"DEA registration ("&amp;IF(LEN(INDEX('Providers'!$E$4:$E$503,402))=0,"",INDEX('Providers'!$E$4:$E$503,402))&amp;") – "&amp;IF(LEN(INDEX('Providers'!$A$4:$A$503,402))=0,"",INDEX('Providers'!$A$4:$A$503,402))</f>
        <v/>
      </c>
      <c r="E905">
        <f>IF(ISNUMBER(INDEX('Providers'!$I$4:$I$503,402)),TEXT(INDEX('Providers'!$I$4:$I$503,402),"yyyy-mm-dd"),"")</f>
        <v/>
      </c>
      <c r="F905">
        <f>"Registration"</f>
        <v/>
      </c>
      <c r="G905">
        <f>""</f>
        <v/>
      </c>
      <c r="H905">
        <f>"High"</f>
        <v/>
      </c>
      <c r="I905">
        <f>TRIM(IF(LEN(IF(LEN(INDEX('Providers'!$H$4:$H$503,402))=0,"",INDEX('Providers'!$H$4:$H$503,402)))=0,"","DEA no.: "&amp;IF(LEN(INDEX('Providers'!$H$4:$H$503,402))=0,"",INDEX('Providers'!$H$4:$H$503,402))&amp;". ")&amp;IF(LEN(IF(LEN(INDEX('Providers'!$C$4:$C$503,402))=0,"",INDEX('Providers'!$C$4:$C$503,402)))=0,"","NPI: "&amp;IF(LEN(INDEX('Providers'!$C$4:$C$503,402))=0,"",INDEX('Providers'!$C$4:$C$503,402))&amp;". "))</f>
        <v/>
      </c>
      <c r="J905">
        <f>IF(LEN(INDEX('Providers'!$AJ$4:$AJ$503,402))=0,"",INDEX('Providers'!$AJ$4:$AJ$503,402))</f>
        <v/>
      </c>
      <c r="K905">
        <f>IF(LEN(INDEX('Providers'!$AI$4:$AI$503,402))=0,"",INDEX('Providers'!$AI$4:$AI$503,402))</f>
        <v/>
      </c>
    </row>
    <row r="906">
      <c r="A906">
        <f>IF(AND(LEN('Providers'!A406)&gt;0,ISNUMBER('Providers'!I406)),1,0)</f>
        <v/>
      </c>
      <c r="B906">
        <f>B905+A906</f>
        <v/>
      </c>
      <c r="C906">
        <f>IF(903&gt;$B$4503,"",MATCH(903-0.5,$B$3:$B$4503,1))</f>
        <v/>
      </c>
      <c r="D906">
        <f>"DEA registration ("&amp;IF(LEN(INDEX('Providers'!$E$4:$E$503,403))=0,"",INDEX('Providers'!$E$4:$E$503,403))&amp;") – "&amp;IF(LEN(INDEX('Providers'!$A$4:$A$503,403))=0,"",INDEX('Providers'!$A$4:$A$503,403))</f>
        <v/>
      </c>
      <c r="E906">
        <f>IF(ISNUMBER(INDEX('Providers'!$I$4:$I$503,403)),TEXT(INDEX('Providers'!$I$4:$I$503,403),"yyyy-mm-dd"),"")</f>
        <v/>
      </c>
      <c r="F906">
        <f>"Registration"</f>
        <v/>
      </c>
      <c r="G906">
        <f>""</f>
        <v/>
      </c>
      <c r="H906">
        <f>"High"</f>
        <v/>
      </c>
      <c r="I906">
        <f>TRIM(IF(LEN(IF(LEN(INDEX('Providers'!$H$4:$H$503,403))=0,"",INDEX('Providers'!$H$4:$H$503,403)))=0,"","DEA no.: "&amp;IF(LEN(INDEX('Providers'!$H$4:$H$503,403))=0,"",INDEX('Providers'!$H$4:$H$503,403))&amp;". ")&amp;IF(LEN(IF(LEN(INDEX('Providers'!$C$4:$C$503,403))=0,"",INDEX('Providers'!$C$4:$C$503,403)))=0,"","NPI: "&amp;IF(LEN(INDEX('Providers'!$C$4:$C$503,403))=0,"",INDEX('Providers'!$C$4:$C$503,403))&amp;". "))</f>
        <v/>
      </c>
      <c r="J906">
        <f>IF(LEN(INDEX('Providers'!$AJ$4:$AJ$503,403))=0,"",INDEX('Providers'!$AJ$4:$AJ$503,403))</f>
        <v/>
      </c>
      <c r="K906">
        <f>IF(LEN(INDEX('Providers'!$AI$4:$AI$503,403))=0,"",INDEX('Providers'!$AI$4:$AI$503,403))</f>
        <v/>
      </c>
    </row>
    <row r="907">
      <c r="A907">
        <f>IF(AND(LEN('Providers'!A407)&gt;0,ISNUMBER('Providers'!I407)),1,0)</f>
        <v/>
      </c>
      <c r="B907">
        <f>B906+A907</f>
        <v/>
      </c>
      <c r="C907">
        <f>IF(904&gt;$B$4503,"",MATCH(904-0.5,$B$3:$B$4503,1))</f>
        <v/>
      </c>
      <c r="D907">
        <f>"DEA registration ("&amp;IF(LEN(INDEX('Providers'!$E$4:$E$503,404))=0,"",INDEX('Providers'!$E$4:$E$503,404))&amp;") – "&amp;IF(LEN(INDEX('Providers'!$A$4:$A$503,404))=0,"",INDEX('Providers'!$A$4:$A$503,404))</f>
        <v/>
      </c>
      <c r="E907">
        <f>IF(ISNUMBER(INDEX('Providers'!$I$4:$I$503,404)),TEXT(INDEX('Providers'!$I$4:$I$503,404),"yyyy-mm-dd"),"")</f>
        <v/>
      </c>
      <c r="F907">
        <f>"Registration"</f>
        <v/>
      </c>
      <c r="G907">
        <f>""</f>
        <v/>
      </c>
      <c r="H907">
        <f>"High"</f>
        <v/>
      </c>
      <c r="I907">
        <f>TRIM(IF(LEN(IF(LEN(INDEX('Providers'!$H$4:$H$503,404))=0,"",INDEX('Providers'!$H$4:$H$503,404)))=0,"","DEA no.: "&amp;IF(LEN(INDEX('Providers'!$H$4:$H$503,404))=0,"",INDEX('Providers'!$H$4:$H$503,404))&amp;". ")&amp;IF(LEN(IF(LEN(INDEX('Providers'!$C$4:$C$503,404))=0,"",INDEX('Providers'!$C$4:$C$503,404)))=0,"","NPI: "&amp;IF(LEN(INDEX('Providers'!$C$4:$C$503,404))=0,"",INDEX('Providers'!$C$4:$C$503,404))&amp;". "))</f>
        <v/>
      </c>
      <c r="J907">
        <f>IF(LEN(INDEX('Providers'!$AJ$4:$AJ$503,404))=0,"",INDEX('Providers'!$AJ$4:$AJ$503,404))</f>
        <v/>
      </c>
      <c r="K907">
        <f>IF(LEN(INDEX('Providers'!$AI$4:$AI$503,404))=0,"",INDEX('Providers'!$AI$4:$AI$503,404))</f>
        <v/>
      </c>
    </row>
    <row r="908">
      <c r="A908">
        <f>IF(AND(LEN('Providers'!A408)&gt;0,ISNUMBER('Providers'!I408)),1,0)</f>
        <v/>
      </c>
      <c r="B908">
        <f>B907+A908</f>
        <v/>
      </c>
      <c r="C908">
        <f>IF(905&gt;$B$4503,"",MATCH(905-0.5,$B$3:$B$4503,1))</f>
        <v/>
      </c>
      <c r="D908">
        <f>"DEA registration ("&amp;IF(LEN(INDEX('Providers'!$E$4:$E$503,405))=0,"",INDEX('Providers'!$E$4:$E$503,405))&amp;") – "&amp;IF(LEN(INDEX('Providers'!$A$4:$A$503,405))=0,"",INDEX('Providers'!$A$4:$A$503,405))</f>
        <v/>
      </c>
      <c r="E908">
        <f>IF(ISNUMBER(INDEX('Providers'!$I$4:$I$503,405)),TEXT(INDEX('Providers'!$I$4:$I$503,405),"yyyy-mm-dd"),"")</f>
        <v/>
      </c>
      <c r="F908">
        <f>"Registration"</f>
        <v/>
      </c>
      <c r="G908">
        <f>""</f>
        <v/>
      </c>
      <c r="H908">
        <f>"High"</f>
        <v/>
      </c>
      <c r="I908">
        <f>TRIM(IF(LEN(IF(LEN(INDEX('Providers'!$H$4:$H$503,405))=0,"",INDEX('Providers'!$H$4:$H$503,405)))=0,"","DEA no.: "&amp;IF(LEN(INDEX('Providers'!$H$4:$H$503,405))=0,"",INDEX('Providers'!$H$4:$H$503,405))&amp;". ")&amp;IF(LEN(IF(LEN(INDEX('Providers'!$C$4:$C$503,405))=0,"",INDEX('Providers'!$C$4:$C$503,405)))=0,"","NPI: "&amp;IF(LEN(INDEX('Providers'!$C$4:$C$503,405))=0,"",INDEX('Providers'!$C$4:$C$503,405))&amp;". "))</f>
        <v/>
      </c>
      <c r="J908">
        <f>IF(LEN(INDEX('Providers'!$AJ$4:$AJ$503,405))=0,"",INDEX('Providers'!$AJ$4:$AJ$503,405))</f>
        <v/>
      </c>
      <c r="K908">
        <f>IF(LEN(INDEX('Providers'!$AI$4:$AI$503,405))=0,"",INDEX('Providers'!$AI$4:$AI$503,405))</f>
        <v/>
      </c>
    </row>
    <row r="909">
      <c r="A909">
        <f>IF(AND(LEN('Providers'!A409)&gt;0,ISNUMBER('Providers'!I409)),1,0)</f>
        <v/>
      </c>
      <c r="B909">
        <f>B908+A909</f>
        <v/>
      </c>
      <c r="C909">
        <f>IF(906&gt;$B$4503,"",MATCH(906-0.5,$B$3:$B$4503,1))</f>
        <v/>
      </c>
      <c r="D909">
        <f>"DEA registration ("&amp;IF(LEN(INDEX('Providers'!$E$4:$E$503,406))=0,"",INDEX('Providers'!$E$4:$E$503,406))&amp;") – "&amp;IF(LEN(INDEX('Providers'!$A$4:$A$503,406))=0,"",INDEX('Providers'!$A$4:$A$503,406))</f>
        <v/>
      </c>
      <c r="E909">
        <f>IF(ISNUMBER(INDEX('Providers'!$I$4:$I$503,406)),TEXT(INDEX('Providers'!$I$4:$I$503,406),"yyyy-mm-dd"),"")</f>
        <v/>
      </c>
      <c r="F909">
        <f>"Registration"</f>
        <v/>
      </c>
      <c r="G909">
        <f>""</f>
        <v/>
      </c>
      <c r="H909">
        <f>"High"</f>
        <v/>
      </c>
      <c r="I909">
        <f>TRIM(IF(LEN(IF(LEN(INDEX('Providers'!$H$4:$H$503,406))=0,"",INDEX('Providers'!$H$4:$H$503,406)))=0,"","DEA no.: "&amp;IF(LEN(INDEX('Providers'!$H$4:$H$503,406))=0,"",INDEX('Providers'!$H$4:$H$503,406))&amp;". ")&amp;IF(LEN(IF(LEN(INDEX('Providers'!$C$4:$C$503,406))=0,"",INDEX('Providers'!$C$4:$C$503,406)))=0,"","NPI: "&amp;IF(LEN(INDEX('Providers'!$C$4:$C$503,406))=0,"",INDEX('Providers'!$C$4:$C$503,406))&amp;". "))</f>
        <v/>
      </c>
      <c r="J909">
        <f>IF(LEN(INDEX('Providers'!$AJ$4:$AJ$503,406))=0,"",INDEX('Providers'!$AJ$4:$AJ$503,406))</f>
        <v/>
      </c>
      <c r="K909">
        <f>IF(LEN(INDEX('Providers'!$AI$4:$AI$503,406))=0,"",INDEX('Providers'!$AI$4:$AI$503,406))</f>
        <v/>
      </c>
    </row>
    <row r="910">
      <c r="A910">
        <f>IF(AND(LEN('Providers'!A410)&gt;0,ISNUMBER('Providers'!I410)),1,0)</f>
        <v/>
      </c>
      <c r="B910">
        <f>B909+A910</f>
        <v/>
      </c>
      <c r="C910">
        <f>IF(907&gt;$B$4503,"",MATCH(907-0.5,$B$3:$B$4503,1))</f>
        <v/>
      </c>
      <c r="D910">
        <f>"DEA registration ("&amp;IF(LEN(INDEX('Providers'!$E$4:$E$503,407))=0,"",INDEX('Providers'!$E$4:$E$503,407))&amp;") – "&amp;IF(LEN(INDEX('Providers'!$A$4:$A$503,407))=0,"",INDEX('Providers'!$A$4:$A$503,407))</f>
        <v/>
      </c>
      <c r="E910">
        <f>IF(ISNUMBER(INDEX('Providers'!$I$4:$I$503,407)),TEXT(INDEX('Providers'!$I$4:$I$503,407),"yyyy-mm-dd"),"")</f>
        <v/>
      </c>
      <c r="F910">
        <f>"Registration"</f>
        <v/>
      </c>
      <c r="G910">
        <f>""</f>
        <v/>
      </c>
      <c r="H910">
        <f>"High"</f>
        <v/>
      </c>
      <c r="I910">
        <f>TRIM(IF(LEN(IF(LEN(INDEX('Providers'!$H$4:$H$503,407))=0,"",INDEX('Providers'!$H$4:$H$503,407)))=0,"","DEA no.: "&amp;IF(LEN(INDEX('Providers'!$H$4:$H$503,407))=0,"",INDEX('Providers'!$H$4:$H$503,407))&amp;". ")&amp;IF(LEN(IF(LEN(INDEX('Providers'!$C$4:$C$503,407))=0,"",INDEX('Providers'!$C$4:$C$503,407)))=0,"","NPI: "&amp;IF(LEN(INDEX('Providers'!$C$4:$C$503,407))=0,"",INDEX('Providers'!$C$4:$C$503,407))&amp;". "))</f>
        <v/>
      </c>
      <c r="J910">
        <f>IF(LEN(INDEX('Providers'!$AJ$4:$AJ$503,407))=0,"",INDEX('Providers'!$AJ$4:$AJ$503,407))</f>
        <v/>
      </c>
      <c r="K910">
        <f>IF(LEN(INDEX('Providers'!$AI$4:$AI$503,407))=0,"",INDEX('Providers'!$AI$4:$AI$503,407))</f>
        <v/>
      </c>
    </row>
    <row r="911">
      <c r="A911">
        <f>IF(AND(LEN('Providers'!A411)&gt;0,ISNUMBER('Providers'!I411)),1,0)</f>
        <v/>
      </c>
      <c r="B911">
        <f>B910+A911</f>
        <v/>
      </c>
      <c r="C911">
        <f>IF(908&gt;$B$4503,"",MATCH(908-0.5,$B$3:$B$4503,1))</f>
        <v/>
      </c>
      <c r="D911">
        <f>"DEA registration ("&amp;IF(LEN(INDEX('Providers'!$E$4:$E$503,408))=0,"",INDEX('Providers'!$E$4:$E$503,408))&amp;") – "&amp;IF(LEN(INDEX('Providers'!$A$4:$A$503,408))=0,"",INDEX('Providers'!$A$4:$A$503,408))</f>
        <v/>
      </c>
      <c r="E911">
        <f>IF(ISNUMBER(INDEX('Providers'!$I$4:$I$503,408)),TEXT(INDEX('Providers'!$I$4:$I$503,408),"yyyy-mm-dd"),"")</f>
        <v/>
      </c>
      <c r="F911">
        <f>"Registration"</f>
        <v/>
      </c>
      <c r="G911">
        <f>""</f>
        <v/>
      </c>
      <c r="H911">
        <f>"High"</f>
        <v/>
      </c>
      <c r="I911">
        <f>TRIM(IF(LEN(IF(LEN(INDEX('Providers'!$H$4:$H$503,408))=0,"",INDEX('Providers'!$H$4:$H$503,408)))=0,"","DEA no.: "&amp;IF(LEN(INDEX('Providers'!$H$4:$H$503,408))=0,"",INDEX('Providers'!$H$4:$H$503,408))&amp;". ")&amp;IF(LEN(IF(LEN(INDEX('Providers'!$C$4:$C$503,408))=0,"",INDEX('Providers'!$C$4:$C$503,408)))=0,"","NPI: "&amp;IF(LEN(INDEX('Providers'!$C$4:$C$503,408))=0,"",INDEX('Providers'!$C$4:$C$503,408))&amp;". "))</f>
        <v/>
      </c>
      <c r="J911">
        <f>IF(LEN(INDEX('Providers'!$AJ$4:$AJ$503,408))=0,"",INDEX('Providers'!$AJ$4:$AJ$503,408))</f>
        <v/>
      </c>
      <c r="K911">
        <f>IF(LEN(INDEX('Providers'!$AI$4:$AI$503,408))=0,"",INDEX('Providers'!$AI$4:$AI$503,408))</f>
        <v/>
      </c>
    </row>
    <row r="912">
      <c r="A912">
        <f>IF(AND(LEN('Providers'!A412)&gt;0,ISNUMBER('Providers'!I412)),1,0)</f>
        <v/>
      </c>
      <c r="B912">
        <f>B911+A912</f>
        <v/>
      </c>
      <c r="C912">
        <f>IF(909&gt;$B$4503,"",MATCH(909-0.5,$B$3:$B$4503,1))</f>
        <v/>
      </c>
      <c r="D912">
        <f>"DEA registration ("&amp;IF(LEN(INDEX('Providers'!$E$4:$E$503,409))=0,"",INDEX('Providers'!$E$4:$E$503,409))&amp;") – "&amp;IF(LEN(INDEX('Providers'!$A$4:$A$503,409))=0,"",INDEX('Providers'!$A$4:$A$503,409))</f>
        <v/>
      </c>
      <c r="E912">
        <f>IF(ISNUMBER(INDEX('Providers'!$I$4:$I$503,409)),TEXT(INDEX('Providers'!$I$4:$I$503,409),"yyyy-mm-dd"),"")</f>
        <v/>
      </c>
      <c r="F912">
        <f>"Registration"</f>
        <v/>
      </c>
      <c r="G912">
        <f>""</f>
        <v/>
      </c>
      <c r="H912">
        <f>"High"</f>
        <v/>
      </c>
      <c r="I912">
        <f>TRIM(IF(LEN(IF(LEN(INDEX('Providers'!$H$4:$H$503,409))=0,"",INDEX('Providers'!$H$4:$H$503,409)))=0,"","DEA no.: "&amp;IF(LEN(INDEX('Providers'!$H$4:$H$503,409))=0,"",INDEX('Providers'!$H$4:$H$503,409))&amp;". ")&amp;IF(LEN(IF(LEN(INDEX('Providers'!$C$4:$C$503,409))=0,"",INDEX('Providers'!$C$4:$C$503,409)))=0,"","NPI: "&amp;IF(LEN(INDEX('Providers'!$C$4:$C$503,409))=0,"",INDEX('Providers'!$C$4:$C$503,409))&amp;". "))</f>
        <v/>
      </c>
      <c r="J912">
        <f>IF(LEN(INDEX('Providers'!$AJ$4:$AJ$503,409))=0,"",INDEX('Providers'!$AJ$4:$AJ$503,409))</f>
        <v/>
      </c>
      <c r="K912">
        <f>IF(LEN(INDEX('Providers'!$AI$4:$AI$503,409))=0,"",INDEX('Providers'!$AI$4:$AI$503,409))</f>
        <v/>
      </c>
    </row>
    <row r="913">
      <c r="A913">
        <f>IF(AND(LEN('Providers'!A413)&gt;0,ISNUMBER('Providers'!I413)),1,0)</f>
        <v/>
      </c>
      <c r="B913">
        <f>B912+A913</f>
        <v/>
      </c>
      <c r="C913">
        <f>IF(910&gt;$B$4503,"",MATCH(910-0.5,$B$3:$B$4503,1))</f>
        <v/>
      </c>
      <c r="D913">
        <f>"DEA registration ("&amp;IF(LEN(INDEX('Providers'!$E$4:$E$503,410))=0,"",INDEX('Providers'!$E$4:$E$503,410))&amp;") – "&amp;IF(LEN(INDEX('Providers'!$A$4:$A$503,410))=0,"",INDEX('Providers'!$A$4:$A$503,410))</f>
        <v/>
      </c>
      <c r="E913">
        <f>IF(ISNUMBER(INDEX('Providers'!$I$4:$I$503,410)),TEXT(INDEX('Providers'!$I$4:$I$503,410),"yyyy-mm-dd"),"")</f>
        <v/>
      </c>
      <c r="F913">
        <f>"Registration"</f>
        <v/>
      </c>
      <c r="G913">
        <f>""</f>
        <v/>
      </c>
      <c r="H913">
        <f>"High"</f>
        <v/>
      </c>
      <c r="I913">
        <f>TRIM(IF(LEN(IF(LEN(INDEX('Providers'!$H$4:$H$503,410))=0,"",INDEX('Providers'!$H$4:$H$503,410)))=0,"","DEA no.: "&amp;IF(LEN(INDEX('Providers'!$H$4:$H$503,410))=0,"",INDEX('Providers'!$H$4:$H$503,410))&amp;". ")&amp;IF(LEN(IF(LEN(INDEX('Providers'!$C$4:$C$503,410))=0,"",INDEX('Providers'!$C$4:$C$503,410)))=0,"","NPI: "&amp;IF(LEN(INDEX('Providers'!$C$4:$C$503,410))=0,"",INDEX('Providers'!$C$4:$C$503,410))&amp;". "))</f>
        <v/>
      </c>
      <c r="J913">
        <f>IF(LEN(INDEX('Providers'!$AJ$4:$AJ$503,410))=0,"",INDEX('Providers'!$AJ$4:$AJ$503,410))</f>
        <v/>
      </c>
      <c r="K913">
        <f>IF(LEN(INDEX('Providers'!$AI$4:$AI$503,410))=0,"",INDEX('Providers'!$AI$4:$AI$503,410))</f>
        <v/>
      </c>
    </row>
    <row r="914">
      <c r="A914">
        <f>IF(AND(LEN('Providers'!A414)&gt;0,ISNUMBER('Providers'!I414)),1,0)</f>
        <v/>
      </c>
      <c r="B914">
        <f>B913+A914</f>
        <v/>
      </c>
      <c r="C914">
        <f>IF(911&gt;$B$4503,"",MATCH(911-0.5,$B$3:$B$4503,1))</f>
        <v/>
      </c>
      <c r="D914">
        <f>"DEA registration ("&amp;IF(LEN(INDEX('Providers'!$E$4:$E$503,411))=0,"",INDEX('Providers'!$E$4:$E$503,411))&amp;") – "&amp;IF(LEN(INDEX('Providers'!$A$4:$A$503,411))=0,"",INDEX('Providers'!$A$4:$A$503,411))</f>
        <v/>
      </c>
      <c r="E914">
        <f>IF(ISNUMBER(INDEX('Providers'!$I$4:$I$503,411)),TEXT(INDEX('Providers'!$I$4:$I$503,411),"yyyy-mm-dd"),"")</f>
        <v/>
      </c>
      <c r="F914">
        <f>"Registration"</f>
        <v/>
      </c>
      <c r="G914">
        <f>""</f>
        <v/>
      </c>
      <c r="H914">
        <f>"High"</f>
        <v/>
      </c>
      <c r="I914">
        <f>TRIM(IF(LEN(IF(LEN(INDEX('Providers'!$H$4:$H$503,411))=0,"",INDEX('Providers'!$H$4:$H$503,411)))=0,"","DEA no.: "&amp;IF(LEN(INDEX('Providers'!$H$4:$H$503,411))=0,"",INDEX('Providers'!$H$4:$H$503,411))&amp;". ")&amp;IF(LEN(IF(LEN(INDEX('Providers'!$C$4:$C$503,411))=0,"",INDEX('Providers'!$C$4:$C$503,411)))=0,"","NPI: "&amp;IF(LEN(INDEX('Providers'!$C$4:$C$503,411))=0,"",INDEX('Providers'!$C$4:$C$503,411))&amp;". "))</f>
        <v/>
      </c>
      <c r="J914">
        <f>IF(LEN(INDEX('Providers'!$AJ$4:$AJ$503,411))=0,"",INDEX('Providers'!$AJ$4:$AJ$503,411))</f>
        <v/>
      </c>
      <c r="K914">
        <f>IF(LEN(INDEX('Providers'!$AI$4:$AI$503,411))=0,"",INDEX('Providers'!$AI$4:$AI$503,411))</f>
        <v/>
      </c>
    </row>
    <row r="915">
      <c r="A915">
        <f>IF(AND(LEN('Providers'!A415)&gt;0,ISNUMBER('Providers'!I415)),1,0)</f>
        <v/>
      </c>
      <c r="B915">
        <f>B914+A915</f>
        <v/>
      </c>
      <c r="C915">
        <f>IF(912&gt;$B$4503,"",MATCH(912-0.5,$B$3:$B$4503,1))</f>
        <v/>
      </c>
      <c r="D915">
        <f>"DEA registration ("&amp;IF(LEN(INDEX('Providers'!$E$4:$E$503,412))=0,"",INDEX('Providers'!$E$4:$E$503,412))&amp;") – "&amp;IF(LEN(INDEX('Providers'!$A$4:$A$503,412))=0,"",INDEX('Providers'!$A$4:$A$503,412))</f>
        <v/>
      </c>
      <c r="E915">
        <f>IF(ISNUMBER(INDEX('Providers'!$I$4:$I$503,412)),TEXT(INDEX('Providers'!$I$4:$I$503,412),"yyyy-mm-dd"),"")</f>
        <v/>
      </c>
      <c r="F915">
        <f>"Registration"</f>
        <v/>
      </c>
      <c r="G915">
        <f>""</f>
        <v/>
      </c>
      <c r="H915">
        <f>"High"</f>
        <v/>
      </c>
      <c r="I915">
        <f>TRIM(IF(LEN(IF(LEN(INDEX('Providers'!$H$4:$H$503,412))=0,"",INDEX('Providers'!$H$4:$H$503,412)))=0,"","DEA no.: "&amp;IF(LEN(INDEX('Providers'!$H$4:$H$503,412))=0,"",INDEX('Providers'!$H$4:$H$503,412))&amp;". ")&amp;IF(LEN(IF(LEN(INDEX('Providers'!$C$4:$C$503,412))=0,"",INDEX('Providers'!$C$4:$C$503,412)))=0,"","NPI: "&amp;IF(LEN(INDEX('Providers'!$C$4:$C$503,412))=0,"",INDEX('Providers'!$C$4:$C$503,412))&amp;". "))</f>
        <v/>
      </c>
      <c r="J915">
        <f>IF(LEN(INDEX('Providers'!$AJ$4:$AJ$503,412))=0,"",INDEX('Providers'!$AJ$4:$AJ$503,412))</f>
        <v/>
      </c>
      <c r="K915">
        <f>IF(LEN(INDEX('Providers'!$AI$4:$AI$503,412))=0,"",INDEX('Providers'!$AI$4:$AI$503,412))</f>
        <v/>
      </c>
    </row>
    <row r="916">
      <c r="A916">
        <f>IF(AND(LEN('Providers'!A416)&gt;0,ISNUMBER('Providers'!I416)),1,0)</f>
        <v/>
      </c>
      <c r="B916">
        <f>B915+A916</f>
        <v/>
      </c>
      <c r="C916">
        <f>IF(913&gt;$B$4503,"",MATCH(913-0.5,$B$3:$B$4503,1))</f>
        <v/>
      </c>
      <c r="D916">
        <f>"DEA registration ("&amp;IF(LEN(INDEX('Providers'!$E$4:$E$503,413))=0,"",INDEX('Providers'!$E$4:$E$503,413))&amp;") – "&amp;IF(LEN(INDEX('Providers'!$A$4:$A$503,413))=0,"",INDEX('Providers'!$A$4:$A$503,413))</f>
        <v/>
      </c>
      <c r="E916">
        <f>IF(ISNUMBER(INDEX('Providers'!$I$4:$I$503,413)),TEXT(INDEX('Providers'!$I$4:$I$503,413),"yyyy-mm-dd"),"")</f>
        <v/>
      </c>
      <c r="F916">
        <f>"Registration"</f>
        <v/>
      </c>
      <c r="G916">
        <f>""</f>
        <v/>
      </c>
      <c r="H916">
        <f>"High"</f>
        <v/>
      </c>
      <c r="I916">
        <f>TRIM(IF(LEN(IF(LEN(INDEX('Providers'!$H$4:$H$503,413))=0,"",INDEX('Providers'!$H$4:$H$503,413)))=0,"","DEA no.: "&amp;IF(LEN(INDEX('Providers'!$H$4:$H$503,413))=0,"",INDEX('Providers'!$H$4:$H$503,413))&amp;". ")&amp;IF(LEN(IF(LEN(INDEX('Providers'!$C$4:$C$503,413))=0,"",INDEX('Providers'!$C$4:$C$503,413)))=0,"","NPI: "&amp;IF(LEN(INDEX('Providers'!$C$4:$C$503,413))=0,"",INDEX('Providers'!$C$4:$C$503,413))&amp;". "))</f>
        <v/>
      </c>
      <c r="J916">
        <f>IF(LEN(INDEX('Providers'!$AJ$4:$AJ$503,413))=0,"",INDEX('Providers'!$AJ$4:$AJ$503,413))</f>
        <v/>
      </c>
      <c r="K916">
        <f>IF(LEN(INDEX('Providers'!$AI$4:$AI$503,413))=0,"",INDEX('Providers'!$AI$4:$AI$503,413))</f>
        <v/>
      </c>
    </row>
    <row r="917">
      <c r="A917">
        <f>IF(AND(LEN('Providers'!A417)&gt;0,ISNUMBER('Providers'!I417)),1,0)</f>
        <v/>
      </c>
      <c r="B917">
        <f>B916+A917</f>
        <v/>
      </c>
      <c r="C917">
        <f>IF(914&gt;$B$4503,"",MATCH(914-0.5,$B$3:$B$4503,1))</f>
        <v/>
      </c>
      <c r="D917">
        <f>"DEA registration ("&amp;IF(LEN(INDEX('Providers'!$E$4:$E$503,414))=0,"",INDEX('Providers'!$E$4:$E$503,414))&amp;") – "&amp;IF(LEN(INDEX('Providers'!$A$4:$A$503,414))=0,"",INDEX('Providers'!$A$4:$A$503,414))</f>
        <v/>
      </c>
      <c r="E917">
        <f>IF(ISNUMBER(INDEX('Providers'!$I$4:$I$503,414)),TEXT(INDEX('Providers'!$I$4:$I$503,414),"yyyy-mm-dd"),"")</f>
        <v/>
      </c>
      <c r="F917">
        <f>"Registration"</f>
        <v/>
      </c>
      <c r="G917">
        <f>""</f>
        <v/>
      </c>
      <c r="H917">
        <f>"High"</f>
        <v/>
      </c>
      <c r="I917">
        <f>TRIM(IF(LEN(IF(LEN(INDEX('Providers'!$H$4:$H$503,414))=0,"",INDEX('Providers'!$H$4:$H$503,414)))=0,"","DEA no.: "&amp;IF(LEN(INDEX('Providers'!$H$4:$H$503,414))=0,"",INDEX('Providers'!$H$4:$H$503,414))&amp;". ")&amp;IF(LEN(IF(LEN(INDEX('Providers'!$C$4:$C$503,414))=0,"",INDEX('Providers'!$C$4:$C$503,414)))=0,"","NPI: "&amp;IF(LEN(INDEX('Providers'!$C$4:$C$503,414))=0,"",INDEX('Providers'!$C$4:$C$503,414))&amp;". "))</f>
        <v/>
      </c>
      <c r="J917">
        <f>IF(LEN(INDEX('Providers'!$AJ$4:$AJ$503,414))=0,"",INDEX('Providers'!$AJ$4:$AJ$503,414))</f>
        <v/>
      </c>
      <c r="K917">
        <f>IF(LEN(INDEX('Providers'!$AI$4:$AI$503,414))=0,"",INDEX('Providers'!$AI$4:$AI$503,414))</f>
        <v/>
      </c>
    </row>
    <row r="918">
      <c r="A918">
        <f>IF(AND(LEN('Providers'!A418)&gt;0,ISNUMBER('Providers'!I418)),1,0)</f>
        <v/>
      </c>
      <c r="B918">
        <f>B917+A918</f>
        <v/>
      </c>
      <c r="C918">
        <f>IF(915&gt;$B$4503,"",MATCH(915-0.5,$B$3:$B$4503,1))</f>
        <v/>
      </c>
      <c r="D918">
        <f>"DEA registration ("&amp;IF(LEN(INDEX('Providers'!$E$4:$E$503,415))=0,"",INDEX('Providers'!$E$4:$E$503,415))&amp;") – "&amp;IF(LEN(INDEX('Providers'!$A$4:$A$503,415))=0,"",INDEX('Providers'!$A$4:$A$503,415))</f>
        <v/>
      </c>
      <c r="E918">
        <f>IF(ISNUMBER(INDEX('Providers'!$I$4:$I$503,415)),TEXT(INDEX('Providers'!$I$4:$I$503,415),"yyyy-mm-dd"),"")</f>
        <v/>
      </c>
      <c r="F918">
        <f>"Registration"</f>
        <v/>
      </c>
      <c r="G918">
        <f>""</f>
        <v/>
      </c>
      <c r="H918">
        <f>"High"</f>
        <v/>
      </c>
      <c r="I918">
        <f>TRIM(IF(LEN(IF(LEN(INDEX('Providers'!$H$4:$H$503,415))=0,"",INDEX('Providers'!$H$4:$H$503,415)))=0,"","DEA no.: "&amp;IF(LEN(INDEX('Providers'!$H$4:$H$503,415))=0,"",INDEX('Providers'!$H$4:$H$503,415))&amp;". ")&amp;IF(LEN(IF(LEN(INDEX('Providers'!$C$4:$C$503,415))=0,"",INDEX('Providers'!$C$4:$C$503,415)))=0,"","NPI: "&amp;IF(LEN(INDEX('Providers'!$C$4:$C$503,415))=0,"",INDEX('Providers'!$C$4:$C$503,415))&amp;". "))</f>
        <v/>
      </c>
      <c r="J918">
        <f>IF(LEN(INDEX('Providers'!$AJ$4:$AJ$503,415))=0,"",INDEX('Providers'!$AJ$4:$AJ$503,415))</f>
        <v/>
      </c>
      <c r="K918">
        <f>IF(LEN(INDEX('Providers'!$AI$4:$AI$503,415))=0,"",INDEX('Providers'!$AI$4:$AI$503,415))</f>
        <v/>
      </c>
    </row>
    <row r="919">
      <c r="A919">
        <f>IF(AND(LEN('Providers'!A419)&gt;0,ISNUMBER('Providers'!I419)),1,0)</f>
        <v/>
      </c>
      <c r="B919">
        <f>B918+A919</f>
        <v/>
      </c>
      <c r="C919">
        <f>IF(916&gt;$B$4503,"",MATCH(916-0.5,$B$3:$B$4503,1))</f>
        <v/>
      </c>
      <c r="D919">
        <f>"DEA registration ("&amp;IF(LEN(INDEX('Providers'!$E$4:$E$503,416))=0,"",INDEX('Providers'!$E$4:$E$503,416))&amp;") – "&amp;IF(LEN(INDEX('Providers'!$A$4:$A$503,416))=0,"",INDEX('Providers'!$A$4:$A$503,416))</f>
        <v/>
      </c>
      <c r="E919">
        <f>IF(ISNUMBER(INDEX('Providers'!$I$4:$I$503,416)),TEXT(INDEX('Providers'!$I$4:$I$503,416),"yyyy-mm-dd"),"")</f>
        <v/>
      </c>
      <c r="F919">
        <f>"Registration"</f>
        <v/>
      </c>
      <c r="G919">
        <f>""</f>
        <v/>
      </c>
      <c r="H919">
        <f>"High"</f>
        <v/>
      </c>
      <c r="I919">
        <f>TRIM(IF(LEN(IF(LEN(INDEX('Providers'!$H$4:$H$503,416))=0,"",INDEX('Providers'!$H$4:$H$503,416)))=0,"","DEA no.: "&amp;IF(LEN(INDEX('Providers'!$H$4:$H$503,416))=0,"",INDEX('Providers'!$H$4:$H$503,416))&amp;". ")&amp;IF(LEN(IF(LEN(INDEX('Providers'!$C$4:$C$503,416))=0,"",INDEX('Providers'!$C$4:$C$503,416)))=0,"","NPI: "&amp;IF(LEN(INDEX('Providers'!$C$4:$C$503,416))=0,"",INDEX('Providers'!$C$4:$C$503,416))&amp;". "))</f>
        <v/>
      </c>
      <c r="J919">
        <f>IF(LEN(INDEX('Providers'!$AJ$4:$AJ$503,416))=0,"",INDEX('Providers'!$AJ$4:$AJ$503,416))</f>
        <v/>
      </c>
      <c r="K919">
        <f>IF(LEN(INDEX('Providers'!$AI$4:$AI$503,416))=0,"",INDEX('Providers'!$AI$4:$AI$503,416))</f>
        <v/>
      </c>
    </row>
    <row r="920">
      <c r="A920">
        <f>IF(AND(LEN('Providers'!A420)&gt;0,ISNUMBER('Providers'!I420)),1,0)</f>
        <v/>
      </c>
      <c r="B920">
        <f>B919+A920</f>
        <v/>
      </c>
      <c r="C920">
        <f>IF(917&gt;$B$4503,"",MATCH(917-0.5,$B$3:$B$4503,1))</f>
        <v/>
      </c>
      <c r="D920">
        <f>"DEA registration ("&amp;IF(LEN(INDEX('Providers'!$E$4:$E$503,417))=0,"",INDEX('Providers'!$E$4:$E$503,417))&amp;") – "&amp;IF(LEN(INDEX('Providers'!$A$4:$A$503,417))=0,"",INDEX('Providers'!$A$4:$A$503,417))</f>
        <v/>
      </c>
      <c r="E920">
        <f>IF(ISNUMBER(INDEX('Providers'!$I$4:$I$503,417)),TEXT(INDEX('Providers'!$I$4:$I$503,417),"yyyy-mm-dd"),"")</f>
        <v/>
      </c>
      <c r="F920">
        <f>"Registration"</f>
        <v/>
      </c>
      <c r="G920">
        <f>""</f>
        <v/>
      </c>
      <c r="H920">
        <f>"High"</f>
        <v/>
      </c>
      <c r="I920">
        <f>TRIM(IF(LEN(IF(LEN(INDEX('Providers'!$H$4:$H$503,417))=0,"",INDEX('Providers'!$H$4:$H$503,417)))=0,"","DEA no.: "&amp;IF(LEN(INDEX('Providers'!$H$4:$H$503,417))=0,"",INDEX('Providers'!$H$4:$H$503,417))&amp;". ")&amp;IF(LEN(IF(LEN(INDEX('Providers'!$C$4:$C$503,417))=0,"",INDEX('Providers'!$C$4:$C$503,417)))=0,"","NPI: "&amp;IF(LEN(INDEX('Providers'!$C$4:$C$503,417))=0,"",INDEX('Providers'!$C$4:$C$503,417))&amp;". "))</f>
        <v/>
      </c>
      <c r="J920">
        <f>IF(LEN(INDEX('Providers'!$AJ$4:$AJ$503,417))=0,"",INDEX('Providers'!$AJ$4:$AJ$503,417))</f>
        <v/>
      </c>
      <c r="K920">
        <f>IF(LEN(INDEX('Providers'!$AI$4:$AI$503,417))=0,"",INDEX('Providers'!$AI$4:$AI$503,417))</f>
        <v/>
      </c>
    </row>
    <row r="921">
      <c r="A921">
        <f>IF(AND(LEN('Providers'!A421)&gt;0,ISNUMBER('Providers'!I421)),1,0)</f>
        <v/>
      </c>
      <c r="B921">
        <f>B920+A921</f>
        <v/>
      </c>
      <c r="C921">
        <f>IF(918&gt;$B$4503,"",MATCH(918-0.5,$B$3:$B$4503,1))</f>
        <v/>
      </c>
      <c r="D921">
        <f>"DEA registration ("&amp;IF(LEN(INDEX('Providers'!$E$4:$E$503,418))=0,"",INDEX('Providers'!$E$4:$E$503,418))&amp;") – "&amp;IF(LEN(INDEX('Providers'!$A$4:$A$503,418))=0,"",INDEX('Providers'!$A$4:$A$503,418))</f>
        <v/>
      </c>
      <c r="E921">
        <f>IF(ISNUMBER(INDEX('Providers'!$I$4:$I$503,418)),TEXT(INDEX('Providers'!$I$4:$I$503,418),"yyyy-mm-dd"),"")</f>
        <v/>
      </c>
      <c r="F921">
        <f>"Registration"</f>
        <v/>
      </c>
      <c r="G921">
        <f>""</f>
        <v/>
      </c>
      <c r="H921">
        <f>"High"</f>
        <v/>
      </c>
      <c r="I921">
        <f>TRIM(IF(LEN(IF(LEN(INDEX('Providers'!$H$4:$H$503,418))=0,"",INDEX('Providers'!$H$4:$H$503,418)))=0,"","DEA no.: "&amp;IF(LEN(INDEX('Providers'!$H$4:$H$503,418))=0,"",INDEX('Providers'!$H$4:$H$503,418))&amp;". ")&amp;IF(LEN(IF(LEN(INDEX('Providers'!$C$4:$C$503,418))=0,"",INDEX('Providers'!$C$4:$C$503,418)))=0,"","NPI: "&amp;IF(LEN(INDEX('Providers'!$C$4:$C$503,418))=0,"",INDEX('Providers'!$C$4:$C$503,418))&amp;". "))</f>
        <v/>
      </c>
      <c r="J921">
        <f>IF(LEN(INDEX('Providers'!$AJ$4:$AJ$503,418))=0,"",INDEX('Providers'!$AJ$4:$AJ$503,418))</f>
        <v/>
      </c>
      <c r="K921">
        <f>IF(LEN(INDEX('Providers'!$AI$4:$AI$503,418))=0,"",INDEX('Providers'!$AI$4:$AI$503,418))</f>
        <v/>
      </c>
    </row>
    <row r="922">
      <c r="A922">
        <f>IF(AND(LEN('Providers'!A422)&gt;0,ISNUMBER('Providers'!I422)),1,0)</f>
        <v/>
      </c>
      <c r="B922">
        <f>B921+A922</f>
        <v/>
      </c>
      <c r="C922">
        <f>IF(919&gt;$B$4503,"",MATCH(919-0.5,$B$3:$B$4503,1))</f>
        <v/>
      </c>
      <c r="D922">
        <f>"DEA registration ("&amp;IF(LEN(INDEX('Providers'!$E$4:$E$503,419))=0,"",INDEX('Providers'!$E$4:$E$503,419))&amp;") – "&amp;IF(LEN(INDEX('Providers'!$A$4:$A$503,419))=0,"",INDEX('Providers'!$A$4:$A$503,419))</f>
        <v/>
      </c>
      <c r="E922">
        <f>IF(ISNUMBER(INDEX('Providers'!$I$4:$I$503,419)),TEXT(INDEX('Providers'!$I$4:$I$503,419),"yyyy-mm-dd"),"")</f>
        <v/>
      </c>
      <c r="F922">
        <f>"Registration"</f>
        <v/>
      </c>
      <c r="G922">
        <f>""</f>
        <v/>
      </c>
      <c r="H922">
        <f>"High"</f>
        <v/>
      </c>
      <c r="I922">
        <f>TRIM(IF(LEN(IF(LEN(INDEX('Providers'!$H$4:$H$503,419))=0,"",INDEX('Providers'!$H$4:$H$503,419)))=0,"","DEA no.: "&amp;IF(LEN(INDEX('Providers'!$H$4:$H$503,419))=0,"",INDEX('Providers'!$H$4:$H$503,419))&amp;". ")&amp;IF(LEN(IF(LEN(INDEX('Providers'!$C$4:$C$503,419))=0,"",INDEX('Providers'!$C$4:$C$503,419)))=0,"","NPI: "&amp;IF(LEN(INDEX('Providers'!$C$4:$C$503,419))=0,"",INDEX('Providers'!$C$4:$C$503,419))&amp;". "))</f>
        <v/>
      </c>
      <c r="J922">
        <f>IF(LEN(INDEX('Providers'!$AJ$4:$AJ$503,419))=0,"",INDEX('Providers'!$AJ$4:$AJ$503,419))</f>
        <v/>
      </c>
      <c r="K922">
        <f>IF(LEN(INDEX('Providers'!$AI$4:$AI$503,419))=0,"",INDEX('Providers'!$AI$4:$AI$503,419))</f>
        <v/>
      </c>
    </row>
    <row r="923">
      <c r="A923">
        <f>IF(AND(LEN('Providers'!A423)&gt;0,ISNUMBER('Providers'!I423)),1,0)</f>
        <v/>
      </c>
      <c r="B923">
        <f>B922+A923</f>
        <v/>
      </c>
      <c r="C923">
        <f>IF(920&gt;$B$4503,"",MATCH(920-0.5,$B$3:$B$4503,1))</f>
        <v/>
      </c>
      <c r="D923">
        <f>"DEA registration ("&amp;IF(LEN(INDEX('Providers'!$E$4:$E$503,420))=0,"",INDEX('Providers'!$E$4:$E$503,420))&amp;") – "&amp;IF(LEN(INDEX('Providers'!$A$4:$A$503,420))=0,"",INDEX('Providers'!$A$4:$A$503,420))</f>
        <v/>
      </c>
      <c r="E923">
        <f>IF(ISNUMBER(INDEX('Providers'!$I$4:$I$503,420)),TEXT(INDEX('Providers'!$I$4:$I$503,420),"yyyy-mm-dd"),"")</f>
        <v/>
      </c>
      <c r="F923">
        <f>"Registration"</f>
        <v/>
      </c>
      <c r="G923">
        <f>""</f>
        <v/>
      </c>
      <c r="H923">
        <f>"High"</f>
        <v/>
      </c>
      <c r="I923">
        <f>TRIM(IF(LEN(IF(LEN(INDEX('Providers'!$H$4:$H$503,420))=0,"",INDEX('Providers'!$H$4:$H$503,420)))=0,"","DEA no.: "&amp;IF(LEN(INDEX('Providers'!$H$4:$H$503,420))=0,"",INDEX('Providers'!$H$4:$H$503,420))&amp;". ")&amp;IF(LEN(IF(LEN(INDEX('Providers'!$C$4:$C$503,420))=0,"",INDEX('Providers'!$C$4:$C$503,420)))=0,"","NPI: "&amp;IF(LEN(INDEX('Providers'!$C$4:$C$503,420))=0,"",INDEX('Providers'!$C$4:$C$503,420))&amp;". "))</f>
        <v/>
      </c>
      <c r="J923">
        <f>IF(LEN(INDEX('Providers'!$AJ$4:$AJ$503,420))=0,"",INDEX('Providers'!$AJ$4:$AJ$503,420))</f>
        <v/>
      </c>
      <c r="K923">
        <f>IF(LEN(INDEX('Providers'!$AI$4:$AI$503,420))=0,"",INDEX('Providers'!$AI$4:$AI$503,420))</f>
        <v/>
      </c>
    </row>
    <row r="924">
      <c r="A924">
        <f>IF(AND(LEN('Providers'!A424)&gt;0,ISNUMBER('Providers'!I424)),1,0)</f>
        <v/>
      </c>
      <c r="B924">
        <f>B923+A924</f>
        <v/>
      </c>
      <c r="C924">
        <f>IF(921&gt;$B$4503,"",MATCH(921-0.5,$B$3:$B$4503,1))</f>
        <v/>
      </c>
      <c r="D924">
        <f>"DEA registration ("&amp;IF(LEN(INDEX('Providers'!$E$4:$E$503,421))=0,"",INDEX('Providers'!$E$4:$E$503,421))&amp;") – "&amp;IF(LEN(INDEX('Providers'!$A$4:$A$503,421))=0,"",INDEX('Providers'!$A$4:$A$503,421))</f>
        <v/>
      </c>
      <c r="E924">
        <f>IF(ISNUMBER(INDEX('Providers'!$I$4:$I$503,421)),TEXT(INDEX('Providers'!$I$4:$I$503,421),"yyyy-mm-dd"),"")</f>
        <v/>
      </c>
      <c r="F924">
        <f>"Registration"</f>
        <v/>
      </c>
      <c r="G924">
        <f>""</f>
        <v/>
      </c>
      <c r="H924">
        <f>"High"</f>
        <v/>
      </c>
      <c r="I924">
        <f>TRIM(IF(LEN(IF(LEN(INDEX('Providers'!$H$4:$H$503,421))=0,"",INDEX('Providers'!$H$4:$H$503,421)))=0,"","DEA no.: "&amp;IF(LEN(INDEX('Providers'!$H$4:$H$503,421))=0,"",INDEX('Providers'!$H$4:$H$503,421))&amp;". ")&amp;IF(LEN(IF(LEN(INDEX('Providers'!$C$4:$C$503,421))=0,"",INDEX('Providers'!$C$4:$C$503,421)))=0,"","NPI: "&amp;IF(LEN(INDEX('Providers'!$C$4:$C$503,421))=0,"",INDEX('Providers'!$C$4:$C$503,421))&amp;". "))</f>
        <v/>
      </c>
      <c r="J924">
        <f>IF(LEN(INDEX('Providers'!$AJ$4:$AJ$503,421))=0,"",INDEX('Providers'!$AJ$4:$AJ$503,421))</f>
        <v/>
      </c>
      <c r="K924">
        <f>IF(LEN(INDEX('Providers'!$AI$4:$AI$503,421))=0,"",INDEX('Providers'!$AI$4:$AI$503,421))</f>
        <v/>
      </c>
    </row>
    <row r="925">
      <c r="A925">
        <f>IF(AND(LEN('Providers'!A425)&gt;0,ISNUMBER('Providers'!I425)),1,0)</f>
        <v/>
      </c>
      <c r="B925">
        <f>B924+A925</f>
        <v/>
      </c>
      <c r="C925">
        <f>IF(922&gt;$B$4503,"",MATCH(922-0.5,$B$3:$B$4503,1))</f>
        <v/>
      </c>
      <c r="D925">
        <f>"DEA registration ("&amp;IF(LEN(INDEX('Providers'!$E$4:$E$503,422))=0,"",INDEX('Providers'!$E$4:$E$503,422))&amp;") – "&amp;IF(LEN(INDEX('Providers'!$A$4:$A$503,422))=0,"",INDEX('Providers'!$A$4:$A$503,422))</f>
        <v/>
      </c>
      <c r="E925">
        <f>IF(ISNUMBER(INDEX('Providers'!$I$4:$I$503,422)),TEXT(INDEX('Providers'!$I$4:$I$503,422),"yyyy-mm-dd"),"")</f>
        <v/>
      </c>
      <c r="F925">
        <f>"Registration"</f>
        <v/>
      </c>
      <c r="G925">
        <f>""</f>
        <v/>
      </c>
      <c r="H925">
        <f>"High"</f>
        <v/>
      </c>
      <c r="I925">
        <f>TRIM(IF(LEN(IF(LEN(INDEX('Providers'!$H$4:$H$503,422))=0,"",INDEX('Providers'!$H$4:$H$503,422)))=0,"","DEA no.: "&amp;IF(LEN(INDEX('Providers'!$H$4:$H$503,422))=0,"",INDEX('Providers'!$H$4:$H$503,422))&amp;". ")&amp;IF(LEN(IF(LEN(INDEX('Providers'!$C$4:$C$503,422))=0,"",INDEX('Providers'!$C$4:$C$503,422)))=0,"","NPI: "&amp;IF(LEN(INDEX('Providers'!$C$4:$C$503,422))=0,"",INDEX('Providers'!$C$4:$C$503,422))&amp;". "))</f>
        <v/>
      </c>
      <c r="J925">
        <f>IF(LEN(INDEX('Providers'!$AJ$4:$AJ$503,422))=0,"",INDEX('Providers'!$AJ$4:$AJ$503,422))</f>
        <v/>
      </c>
      <c r="K925">
        <f>IF(LEN(INDEX('Providers'!$AI$4:$AI$503,422))=0,"",INDEX('Providers'!$AI$4:$AI$503,422))</f>
        <v/>
      </c>
    </row>
    <row r="926">
      <c r="A926">
        <f>IF(AND(LEN('Providers'!A426)&gt;0,ISNUMBER('Providers'!I426)),1,0)</f>
        <v/>
      </c>
      <c r="B926">
        <f>B925+A926</f>
        <v/>
      </c>
      <c r="C926">
        <f>IF(923&gt;$B$4503,"",MATCH(923-0.5,$B$3:$B$4503,1))</f>
        <v/>
      </c>
      <c r="D926">
        <f>"DEA registration ("&amp;IF(LEN(INDEX('Providers'!$E$4:$E$503,423))=0,"",INDEX('Providers'!$E$4:$E$503,423))&amp;") – "&amp;IF(LEN(INDEX('Providers'!$A$4:$A$503,423))=0,"",INDEX('Providers'!$A$4:$A$503,423))</f>
        <v/>
      </c>
      <c r="E926">
        <f>IF(ISNUMBER(INDEX('Providers'!$I$4:$I$503,423)),TEXT(INDEX('Providers'!$I$4:$I$503,423),"yyyy-mm-dd"),"")</f>
        <v/>
      </c>
      <c r="F926">
        <f>"Registration"</f>
        <v/>
      </c>
      <c r="G926">
        <f>""</f>
        <v/>
      </c>
      <c r="H926">
        <f>"High"</f>
        <v/>
      </c>
      <c r="I926">
        <f>TRIM(IF(LEN(IF(LEN(INDEX('Providers'!$H$4:$H$503,423))=0,"",INDEX('Providers'!$H$4:$H$503,423)))=0,"","DEA no.: "&amp;IF(LEN(INDEX('Providers'!$H$4:$H$503,423))=0,"",INDEX('Providers'!$H$4:$H$503,423))&amp;". ")&amp;IF(LEN(IF(LEN(INDEX('Providers'!$C$4:$C$503,423))=0,"",INDEX('Providers'!$C$4:$C$503,423)))=0,"","NPI: "&amp;IF(LEN(INDEX('Providers'!$C$4:$C$503,423))=0,"",INDEX('Providers'!$C$4:$C$503,423))&amp;". "))</f>
        <v/>
      </c>
      <c r="J926">
        <f>IF(LEN(INDEX('Providers'!$AJ$4:$AJ$503,423))=0,"",INDEX('Providers'!$AJ$4:$AJ$503,423))</f>
        <v/>
      </c>
      <c r="K926">
        <f>IF(LEN(INDEX('Providers'!$AI$4:$AI$503,423))=0,"",INDEX('Providers'!$AI$4:$AI$503,423))</f>
        <v/>
      </c>
    </row>
    <row r="927">
      <c r="A927">
        <f>IF(AND(LEN('Providers'!A427)&gt;0,ISNUMBER('Providers'!I427)),1,0)</f>
        <v/>
      </c>
      <c r="B927">
        <f>B926+A927</f>
        <v/>
      </c>
      <c r="C927">
        <f>IF(924&gt;$B$4503,"",MATCH(924-0.5,$B$3:$B$4503,1))</f>
        <v/>
      </c>
      <c r="D927">
        <f>"DEA registration ("&amp;IF(LEN(INDEX('Providers'!$E$4:$E$503,424))=0,"",INDEX('Providers'!$E$4:$E$503,424))&amp;") – "&amp;IF(LEN(INDEX('Providers'!$A$4:$A$503,424))=0,"",INDEX('Providers'!$A$4:$A$503,424))</f>
        <v/>
      </c>
      <c r="E927">
        <f>IF(ISNUMBER(INDEX('Providers'!$I$4:$I$503,424)),TEXT(INDEX('Providers'!$I$4:$I$503,424),"yyyy-mm-dd"),"")</f>
        <v/>
      </c>
      <c r="F927">
        <f>"Registration"</f>
        <v/>
      </c>
      <c r="G927">
        <f>""</f>
        <v/>
      </c>
      <c r="H927">
        <f>"High"</f>
        <v/>
      </c>
      <c r="I927">
        <f>TRIM(IF(LEN(IF(LEN(INDEX('Providers'!$H$4:$H$503,424))=0,"",INDEX('Providers'!$H$4:$H$503,424)))=0,"","DEA no.: "&amp;IF(LEN(INDEX('Providers'!$H$4:$H$503,424))=0,"",INDEX('Providers'!$H$4:$H$503,424))&amp;". ")&amp;IF(LEN(IF(LEN(INDEX('Providers'!$C$4:$C$503,424))=0,"",INDEX('Providers'!$C$4:$C$503,424)))=0,"","NPI: "&amp;IF(LEN(INDEX('Providers'!$C$4:$C$503,424))=0,"",INDEX('Providers'!$C$4:$C$503,424))&amp;". "))</f>
        <v/>
      </c>
      <c r="J927">
        <f>IF(LEN(INDEX('Providers'!$AJ$4:$AJ$503,424))=0,"",INDEX('Providers'!$AJ$4:$AJ$503,424))</f>
        <v/>
      </c>
      <c r="K927">
        <f>IF(LEN(INDEX('Providers'!$AI$4:$AI$503,424))=0,"",INDEX('Providers'!$AI$4:$AI$503,424))</f>
        <v/>
      </c>
    </row>
    <row r="928">
      <c r="A928">
        <f>IF(AND(LEN('Providers'!A428)&gt;0,ISNUMBER('Providers'!I428)),1,0)</f>
        <v/>
      </c>
      <c r="B928">
        <f>B927+A928</f>
        <v/>
      </c>
      <c r="C928">
        <f>IF(925&gt;$B$4503,"",MATCH(925-0.5,$B$3:$B$4503,1))</f>
        <v/>
      </c>
      <c r="D928">
        <f>"DEA registration ("&amp;IF(LEN(INDEX('Providers'!$E$4:$E$503,425))=0,"",INDEX('Providers'!$E$4:$E$503,425))&amp;") – "&amp;IF(LEN(INDEX('Providers'!$A$4:$A$503,425))=0,"",INDEX('Providers'!$A$4:$A$503,425))</f>
        <v/>
      </c>
      <c r="E928">
        <f>IF(ISNUMBER(INDEX('Providers'!$I$4:$I$503,425)),TEXT(INDEX('Providers'!$I$4:$I$503,425),"yyyy-mm-dd"),"")</f>
        <v/>
      </c>
      <c r="F928">
        <f>"Registration"</f>
        <v/>
      </c>
      <c r="G928">
        <f>""</f>
        <v/>
      </c>
      <c r="H928">
        <f>"High"</f>
        <v/>
      </c>
      <c r="I928">
        <f>TRIM(IF(LEN(IF(LEN(INDEX('Providers'!$H$4:$H$503,425))=0,"",INDEX('Providers'!$H$4:$H$503,425)))=0,"","DEA no.: "&amp;IF(LEN(INDEX('Providers'!$H$4:$H$503,425))=0,"",INDEX('Providers'!$H$4:$H$503,425))&amp;". ")&amp;IF(LEN(IF(LEN(INDEX('Providers'!$C$4:$C$503,425))=0,"",INDEX('Providers'!$C$4:$C$503,425)))=0,"","NPI: "&amp;IF(LEN(INDEX('Providers'!$C$4:$C$503,425))=0,"",INDEX('Providers'!$C$4:$C$503,425))&amp;". "))</f>
        <v/>
      </c>
      <c r="J928">
        <f>IF(LEN(INDEX('Providers'!$AJ$4:$AJ$503,425))=0,"",INDEX('Providers'!$AJ$4:$AJ$503,425))</f>
        <v/>
      </c>
      <c r="K928">
        <f>IF(LEN(INDEX('Providers'!$AI$4:$AI$503,425))=0,"",INDEX('Providers'!$AI$4:$AI$503,425))</f>
        <v/>
      </c>
    </row>
    <row r="929">
      <c r="A929">
        <f>IF(AND(LEN('Providers'!A429)&gt;0,ISNUMBER('Providers'!I429)),1,0)</f>
        <v/>
      </c>
      <c r="B929">
        <f>B928+A929</f>
        <v/>
      </c>
      <c r="C929">
        <f>IF(926&gt;$B$4503,"",MATCH(926-0.5,$B$3:$B$4503,1))</f>
        <v/>
      </c>
      <c r="D929">
        <f>"DEA registration ("&amp;IF(LEN(INDEX('Providers'!$E$4:$E$503,426))=0,"",INDEX('Providers'!$E$4:$E$503,426))&amp;") – "&amp;IF(LEN(INDEX('Providers'!$A$4:$A$503,426))=0,"",INDEX('Providers'!$A$4:$A$503,426))</f>
        <v/>
      </c>
      <c r="E929">
        <f>IF(ISNUMBER(INDEX('Providers'!$I$4:$I$503,426)),TEXT(INDEX('Providers'!$I$4:$I$503,426),"yyyy-mm-dd"),"")</f>
        <v/>
      </c>
      <c r="F929">
        <f>"Registration"</f>
        <v/>
      </c>
      <c r="G929">
        <f>""</f>
        <v/>
      </c>
      <c r="H929">
        <f>"High"</f>
        <v/>
      </c>
      <c r="I929">
        <f>TRIM(IF(LEN(IF(LEN(INDEX('Providers'!$H$4:$H$503,426))=0,"",INDEX('Providers'!$H$4:$H$503,426)))=0,"","DEA no.: "&amp;IF(LEN(INDEX('Providers'!$H$4:$H$503,426))=0,"",INDEX('Providers'!$H$4:$H$503,426))&amp;". ")&amp;IF(LEN(IF(LEN(INDEX('Providers'!$C$4:$C$503,426))=0,"",INDEX('Providers'!$C$4:$C$503,426)))=0,"","NPI: "&amp;IF(LEN(INDEX('Providers'!$C$4:$C$503,426))=0,"",INDEX('Providers'!$C$4:$C$503,426))&amp;". "))</f>
        <v/>
      </c>
      <c r="J929">
        <f>IF(LEN(INDEX('Providers'!$AJ$4:$AJ$503,426))=0,"",INDEX('Providers'!$AJ$4:$AJ$503,426))</f>
        <v/>
      </c>
      <c r="K929">
        <f>IF(LEN(INDEX('Providers'!$AI$4:$AI$503,426))=0,"",INDEX('Providers'!$AI$4:$AI$503,426))</f>
        <v/>
      </c>
    </row>
    <row r="930">
      <c r="A930">
        <f>IF(AND(LEN('Providers'!A430)&gt;0,ISNUMBER('Providers'!I430)),1,0)</f>
        <v/>
      </c>
      <c r="B930">
        <f>B929+A930</f>
        <v/>
      </c>
      <c r="C930">
        <f>IF(927&gt;$B$4503,"",MATCH(927-0.5,$B$3:$B$4503,1))</f>
        <v/>
      </c>
      <c r="D930">
        <f>"DEA registration ("&amp;IF(LEN(INDEX('Providers'!$E$4:$E$503,427))=0,"",INDEX('Providers'!$E$4:$E$503,427))&amp;") – "&amp;IF(LEN(INDEX('Providers'!$A$4:$A$503,427))=0,"",INDEX('Providers'!$A$4:$A$503,427))</f>
        <v/>
      </c>
      <c r="E930">
        <f>IF(ISNUMBER(INDEX('Providers'!$I$4:$I$503,427)),TEXT(INDEX('Providers'!$I$4:$I$503,427),"yyyy-mm-dd"),"")</f>
        <v/>
      </c>
      <c r="F930">
        <f>"Registration"</f>
        <v/>
      </c>
      <c r="G930">
        <f>""</f>
        <v/>
      </c>
      <c r="H930">
        <f>"High"</f>
        <v/>
      </c>
      <c r="I930">
        <f>TRIM(IF(LEN(IF(LEN(INDEX('Providers'!$H$4:$H$503,427))=0,"",INDEX('Providers'!$H$4:$H$503,427)))=0,"","DEA no.: "&amp;IF(LEN(INDEX('Providers'!$H$4:$H$503,427))=0,"",INDEX('Providers'!$H$4:$H$503,427))&amp;". ")&amp;IF(LEN(IF(LEN(INDEX('Providers'!$C$4:$C$503,427))=0,"",INDEX('Providers'!$C$4:$C$503,427)))=0,"","NPI: "&amp;IF(LEN(INDEX('Providers'!$C$4:$C$503,427))=0,"",INDEX('Providers'!$C$4:$C$503,427))&amp;". "))</f>
        <v/>
      </c>
      <c r="J930">
        <f>IF(LEN(INDEX('Providers'!$AJ$4:$AJ$503,427))=0,"",INDEX('Providers'!$AJ$4:$AJ$503,427))</f>
        <v/>
      </c>
      <c r="K930">
        <f>IF(LEN(INDEX('Providers'!$AI$4:$AI$503,427))=0,"",INDEX('Providers'!$AI$4:$AI$503,427))</f>
        <v/>
      </c>
    </row>
    <row r="931">
      <c r="A931">
        <f>IF(AND(LEN('Providers'!A431)&gt;0,ISNUMBER('Providers'!I431)),1,0)</f>
        <v/>
      </c>
      <c r="B931">
        <f>B930+A931</f>
        <v/>
      </c>
      <c r="C931">
        <f>IF(928&gt;$B$4503,"",MATCH(928-0.5,$B$3:$B$4503,1))</f>
        <v/>
      </c>
      <c r="D931">
        <f>"DEA registration ("&amp;IF(LEN(INDEX('Providers'!$E$4:$E$503,428))=0,"",INDEX('Providers'!$E$4:$E$503,428))&amp;") – "&amp;IF(LEN(INDEX('Providers'!$A$4:$A$503,428))=0,"",INDEX('Providers'!$A$4:$A$503,428))</f>
        <v/>
      </c>
      <c r="E931">
        <f>IF(ISNUMBER(INDEX('Providers'!$I$4:$I$503,428)),TEXT(INDEX('Providers'!$I$4:$I$503,428),"yyyy-mm-dd"),"")</f>
        <v/>
      </c>
      <c r="F931">
        <f>"Registration"</f>
        <v/>
      </c>
      <c r="G931">
        <f>""</f>
        <v/>
      </c>
      <c r="H931">
        <f>"High"</f>
        <v/>
      </c>
      <c r="I931">
        <f>TRIM(IF(LEN(IF(LEN(INDEX('Providers'!$H$4:$H$503,428))=0,"",INDEX('Providers'!$H$4:$H$503,428)))=0,"","DEA no.: "&amp;IF(LEN(INDEX('Providers'!$H$4:$H$503,428))=0,"",INDEX('Providers'!$H$4:$H$503,428))&amp;". ")&amp;IF(LEN(IF(LEN(INDEX('Providers'!$C$4:$C$503,428))=0,"",INDEX('Providers'!$C$4:$C$503,428)))=0,"","NPI: "&amp;IF(LEN(INDEX('Providers'!$C$4:$C$503,428))=0,"",INDEX('Providers'!$C$4:$C$503,428))&amp;". "))</f>
        <v/>
      </c>
      <c r="J931">
        <f>IF(LEN(INDEX('Providers'!$AJ$4:$AJ$503,428))=0,"",INDEX('Providers'!$AJ$4:$AJ$503,428))</f>
        <v/>
      </c>
      <c r="K931">
        <f>IF(LEN(INDEX('Providers'!$AI$4:$AI$503,428))=0,"",INDEX('Providers'!$AI$4:$AI$503,428))</f>
        <v/>
      </c>
    </row>
    <row r="932">
      <c r="A932">
        <f>IF(AND(LEN('Providers'!A432)&gt;0,ISNUMBER('Providers'!I432)),1,0)</f>
        <v/>
      </c>
      <c r="B932">
        <f>B931+A932</f>
        <v/>
      </c>
      <c r="C932">
        <f>IF(929&gt;$B$4503,"",MATCH(929-0.5,$B$3:$B$4503,1))</f>
        <v/>
      </c>
      <c r="D932">
        <f>"DEA registration ("&amp;IF(LEN(INDEX('Providers'!$E$4:$E$503,429))=0,"",INDEX('Providers'!$E$4:$E$503,429))&amp;") – "&amp;IF(LEN(INDEX('Providers'!$A$4:$A$503,429))=0,"",INDEX('Providers'!$A$4:$A$503,429))</f>
        <v/>
      </c>
      <c r="E932">
        <f>IF(ISNUMBER(INDEX('Providers'!$I$4:$I$503,429)),TEXT(INDEX('Providers'!$I$4:$I$503,429),"yyyy-mm-dd"),"")</f>
        <v/>
      </c>
      <c r="F932">
        <f>"Registration"</f>
        <v/>
      </c>
      <c r="G932">
        <f>""</f>
        <v/>
      </c>
      <c r="H932">
        <f>"High"</f>
        <v/>
      </c>
      <c r="I932">
        <f>TRIM(IF(LEN(IF(LEN(INDEX('Providers'!$H$4:$H$503,429))=0,"",INDEX('Providers'!$H$4:$H$503,429)))=0,"","DEA no.: "&amp;IF(LEN(INDEX('Providers'!$H$4:$H$503,429))=0,"",INDEX('Providers'!$H$4:$H$503,429))&amp;". ")&amp;IF(LEN(IF(LEN(INDEX('Providers'!$C$4:$C$503,429))=0,"",INDEX('Providers'!$C$4:$C$503,429)))=0,"","NPI: "&amp;IF(LEN(INDEX('Providers'!$C$4:$C$503,429))=0,"",INDEX('Providers'!$C$4:$C$503,429))&amp;". "))</f>
        <v/>
      </c>
      <c r="J932">
        <f>IF(LEN(INDEX('Providers'!$AJ$4:$AJ$503,429))=0,"",INDEX('Providers'!$AJ$4:$AJ$503,429))</f>
        <v/>
      </c>
      <c r="K932">
        <f>IF(LEN(INDEX('Providers'!$AI$4:$AI$503,429))=0,"",INDEX('Providers'!$AI$4:$AI$503,429))</f>
        <v/>
      </c>
    </row>
    <row r="933">
      <c r="A933">
        <f>IF(AND(LEN('Providers'!A433)&gt;0,ISNUMBER('Providers'!I433)),1,0)</f>
        <v/>
      </c>
      <c r="B933">
        <f>B932+A933</f>
        <v/>
      </c>
      <c r="C933">
        <f>IF(930&gt;$B$4503,"",MATCH(930-0.5,$B$3:$B$4503,1))</f>
        <v/>
      </c>
      <c r="D933">
        <f>"DEA registration ("&amp;IF(LEN(INDEX('Providers'!$E$4:$E$503,430))=0,"",INDEX('Providers'!$E$4:$E$503,430))&amp;") – "&amp;IF(LEN(INDEX('Providers'!$A$4:$A$503,430))=0,"",INDEX('Providers'!$A$4:$A$503,430))</f>
        <v/>
      </c>
      <c r="E933">
        <f>IF(ISNUMBER(INDEX('Providers'!$I$4:$I$503,430)),TEXT(INDEX('Providers'!$I$4:$I$503,430),"yyyy-mm-dd"),"")</f>
        <v/>
      </c>
      <c r="F933">
        <f>"Registration"</f>
        <v/>
      </c>
      <c r="G933">
        <f>""</f>
        <v/>
      </c>
      <c r="H933">
        <f>"High"</f>
        <v/>
      </c>
      <c r="I933">
        <f>TRIM(IF(LEN(IF(LEN(INDEX('Providers'!$H$4:$H$503,430))=0,"",INDEX('Providers'!$H$4:$H$503,430)))=0,"","DEA no.: "&amp;IF(LEN(INDEX('Providers'!$H$4:$H$503,430))=0,"",INDEX('Providers'!$H$4:$H$503,430))&amp;". ")&amp;IF(LEN(IF(LEN(INDEX('Providers'!$C$4:$C$503,430))=0,"",INDEX('Providers'!$C$4:$C$503,430)))=0,"","NPI: "&amp;IF(LEN(INDEX('Providers'!$C$4:$C$503,430))=0,"",INDEX('Providers'!$C$4:$C$503,430))&amp;". "))</f>
        <v/>
      </c>
      <c r="J933">
        <f>IF(LEN(INDEX('Providers'!$AJ$4:$AJ$503,430))=0,"",INDEX('Providers'!$AJ$4:$AJ$503,430))</f>
        <v/>
      </c>
      <c r="K933">
        <f>IF(LEN(INDEX('Providers'!$AI$4:$AI$503,430))=0,"",INDEX('Providers'!$AI$4:$AI$503,430))</f>
        <v/>
      </c>
    </row>
    <row r="934">
      <c r="A934">
        <f>IF(AND(LEN('Providers'!A434)&gt;0,ISNUMBER('Providers'!I434)),1,0)</f>
        <v/>
      </c>
      <c r="B934">
        <f>B933+A934</f>
        <v/>
      </c>
      <c r="C934">
        <f>IF(931&gt;$B$4503,"",MATCH(931-0.5,$B$3:$B$4503,1))</f>
        <v/>
      </c>
      <c r="D934">
        <f>"DEA registration ("&amp;IF(LEN(INDEX('Providers'!$E$4:$E$503,431))=0,"",INDEX('Providers'!$E$4:$E$503,431))&amp;") – "&amp;IF(LEN(INDEX('Providers'!$A$4:$A$503,431))=0,"",INDEX('Providers'!$A$4:$A$503,431))</f>
        <v/>
      </c>
      <c r="E934">
        <f>IF(ISNUMBER(INDEX('Providers'!$I$4:$I$503,431)),TEXT(INDEX('Providers'!$I$4:$I$503,431),"yyyy-mm-dd"),"")</f>
        <v/>
      </c>
      <c r="F934">
        <f>"Registration"</f>
        <v/>
      </c>
      <c r="G934">
        <f>""</f>
        <v/>
      </c>
      <c r="H934">
        <f>"High"</f>
        <v/>
      </c>
      <c r="I934">
        <f>TRIM(IF(LEN(IF(LEN(INDEX('Providers'!$H$4:$H$503,431))=0,"",INDEX('Providers'!$H$4:$H$503,431)))=0,"","DEA no.: "&amp;IF(LEN(INDEX('Providers'!$H$4:$H$503,431))=0,"",INDEX('Providers'!$H$4:$H$503,431))&amp;". ")&amp;IF(LEN(IF(LEN(INDEX('Providers'!$C$4:$C$503,431))=0,"",INDEX('Providers'!$C$4:$C$503,431)))=0,"","NPI: "&amp;IF(LEN(INDEX('Providers'!$C$4:$C$503,431))=0,"",INDEX('Providers'!$C$4:$C$503,431))&amp;". "))</f>
        <v/>
      </c>
      <c r="J934">
        <f>IF(LEN(INDEX('Providers'!$AJ$4:$AJ$503,431))=0,"",INDEX('Providers'!$AJ$4:$AJ$503,431))</f>
        <v/>
      </c>
      <c r="K934">
        <f>IF(LEN(INDEX('Providers'!$AI$4:$AI$503,431))=0,"",INDEX('Providers'!$AI$4:$AI$503,431))</f>
        <v/>
      </c>
    </row>
    <row r="935">
      <c r="A935">
        <f>IF(AND(LEN('Providers'!A435)&gt;0,ISNUMBER('Providers'!I435)),1,0)</f>
        <v/>
      </c>
      <c r="B935">
        <f>B934+A935</f>
        <v/>
      </c>
      <c r="C935">
        <f>IF(932&gt;$B$4503,"",MATCH(932-0.5,$B$3:$B$4503,1))</f>
        <v/>
      </c>
      <c r="D935">
        <f>"DEA registration ("&amp;IF(LEN(INDEX('Providers'!$E$4:$E$503,432))=0,"",INDEX('Providers'!$E$4:$E$503,432))&amp;") – "&amp;IF(LEN(INDEX('Providers'!$A$4:$A$503,432))=0,"",INDEX('Providers'!$A$4:$A$503,432))</f>
        <v/>
      </c>
      <c r="E935">
        <f>IF(ISNUMBER(INDEX('Providers'!$I$4:$I$503,432)),TEXT(INDEX('Providers'!$I$4:$I$503,432),"yyyy-mm-dd"),"")</f>
        <v/>
      </c>
      <c r="F935">
        <f>"Registration"</f>
        <v/>
      </c>
      <c r="G935">
        <f>""</f>
        <v/>
      </c>
      <c r="H935">
        <f>"High"</f>
        <v/>
      </c>
      <c r="I935">
        <f>TRIM(IF(LEN(IF(LEN(INDEX('Providers'!$H$4:$H$503,432))=0,"",INDEX('Providers'!$H$4:$H$503,432)))=0,"","DEA no.: "&amp;IF(LEN(INDEX('Providers'!$H$4:$H$503,432))=0,"",INDEX('Providers'!$H$4:$H$503,432))&amp;". ")&amp;IF(LEN(IF(LEN(INDEX('Providers'!$C$4:$C$503,432))=0,"",INDEX('Providers'!$C$4:$C$503,432)))=0,"","NPI: "&amp;IF(LEN(INDEX('Providers'!$C$4:$C$503,432))=0,"",INDEX('Providers'!$C$4:$C$503,432))&amp;". "))</f>
        <v/>
      </c>
      <c r="J935">
        <f>IF(LEN(INDEX('Providers'!$AJ$4:$AJ$503,432))=0,"",INDEX('Providers'!$AJ$4:$AJ$503,432))</f>
        <v/>
      </c>
      <c r="K935">
        <f>IF(LEN(INDEX('Providers'!$AI$4:$AI$503,432))=0,"",INDEX('Providers'!$AI$4:$AI$503,432))</f>
        <v/>
      </c>
    </row>
    <row r="936">
      <c r="A936">
        <f>IF(AND(LEN('Providers'!A436)&gt;0,ISNUMBER('Providers'!I436)),1,0)</f>
        <v/>
      </c>
      <c r="B936">
        <f>B935+A936</f>
        <v/>
      </c>
      <c r="C936">
        <f>IF(933&gt;$B$4503,"",MATCH(933-0.5,$B$3:$B$4503,1))</f>
        <v/>
      </c>
      <c r="D936">
        <f>"DEA registration ("&amp;IF(LEN(INDEX('Providers'!$E$4:$E$503,433))=0,"",INDEX('Providers'!$E$4:$E$503,433))&amp;") – "&amp;IF(LEN(INDEX('Providers'!$A$4:$A$503,433))=0,"",INDEX('Providers'!$A$4:$A$503,433))</f>
        <v/>
      </c>
      <c r="E936">
        <f>IF(ISNUMBER(INDEX('Providers'!$I$4:$I$503,433)),TEXT(INDEX('Providers'!$I$4:$I$503,433),"yyyy-mm-dd"),"")</f>
        <v/>
      </c>
      <c r="F936">
        <f>"Registration"</f>
        <v/>
      </c>
      <c r="G936">
        <f>""</f>
        <v/>
      </c>
      <c r="H936">
        <f>"High"</f>
        <v/>
      </c>
      <c r="I936">
        <f>TRIM(IF(LEN(IF(LEN(INDEX('Providers'!$H$4:$H$503,433))=0,"",INDEX('Providers'!$H$4:$H$503,433)))=0,"","DEA no.: "&amp;IF(LEN(INDEX('Providers'!$H$4:$H$503,433))=0,"",INDEX('Providers'!$H$4:$H$503,433))&amp;". ")&amp;IF(LEN(IF(LEN(INDEX('Providers'!$C$4:$C$503,433))=0,"",INDEX('Providers'!$C$4:$C$503,433)))=0,"","NPI: "&amp;IF(LEN(INDEX('Providers'!$C$4:$C$503,433))=0,"",INDEX('Providers'!$C$4:$C$503,433))&amp;". "))</f>
        <v/>
      </c>
      <c r="J936">
        <f>IF(LEN(INDEX('Providers'!$AJ$4:$AJ$503,433))=0,"",INDEX('Providers'!$AJ$4:$AJ$503,433))</f>
        <v/>
      </c>
      <c r="K936">
        <f>IF(LEN(INDEX('Providers'!$AI$4:$AI$503,433))=0,"",INDEX('Providers'!$AI$4:$AI$503,433))</f>
        <v/>
      </c>
    </row>
    <row r="937">
      <c r="A937">
        <f>IF(AND(LEN('Providers'!A437)&gt;0,ISNUMBER('Providers'!I437)),1,0)</f>
        <v/>
      </c>
      <c r="B937">
        <f>B936+A937</f>
        <v/>
      </c>
      <c r="C937">
        <f>IF(934&gt;$B$4503,"",MATCH(934-0.5,$B$3:$B$4503,1))</f>
        <v/>
      </c>
      <c r="D937">
        <f>"DEA registration ("&amp;IF(LEN(INDEX('Providers'!$E$4:$E$503,434))=0,"",INDEX('Providers'!$E$4:$E$503,434))&amp;") – "&amp;IF(LEN(INDEX('Providers'!$A$4:$A$503,434))=0,"",INDEX('Providers'!$A$4:$A$503,434))</f>
        <v/>
      </c>
      <c r="E937">
        <f>IF(ISNUMBER(INDEX('Providers'!$I$4:$I$503,434)),TEXT(INDEX('Providers'!$I$4:$I$503,434),"yyyy-mm-dd"),"")</f>
        <v/>
      </c>
      <c r="F937">
        <f>"Registration"</f>
        <v/>
      </c>
      <c r="G937">
        <f>""</f>
        <v/>
      </c>
      <c r="H937">
        <f>"High"</f>
        <v/>
      </c>
      <c r="I937">
        <f>TRIM(IF(LEN(IF(LEN(INDEX('Providers'!$H$4:$H$503,434))=0,"",INDEX('Providers'!$H$4:$H$503,434)))=0,"","DEA no.: "&amp;IF(LEN(INDEX('Providers'!$H$4:$H$503,434))=0,"",INDEX('Providers'!$H$4:$H$503,434))&amp;". ")&amp;IF(LEN(IF(LEN(INDEX('Providers'!$C$4:$C$503,434))=0,"",INDEX('Providers'!$C$4:$C$503,434)))=0,"","NPI: "&amp;IF(LEN(INDEX('Providers'!$C$4:$C$503,434))=0,"",INDEX('Providers'!$C$4:$C$503,434))&amp;". "))</f>
        <v/>
      </c>
      <c r="J937">
        <f>IF(LEN(INDEX('Providers'!$AJ$4:$AJ$503,434))=0,"",INDEX('Providers'!$AJ$4:$AJ$503,434))</f>
        <v/>
      </c>
      <c r="K937">
        <f>IF(LEN(INDEX('Providers'!$AI$4:$AI$503,434))=0,"",INDEX('Providers'!$AI$4:$AI$503,434))</f>
        <v/>
      </c>
    </row>
    <row r="938">
      <c r="A938">
        <f>IF(AND(LEN('Providers'!A438)&gt;0,ISNUMBER('Providers'!I438)),1,0)</f>
        <v/>
      </c>
      <c r="B938">
        <f>B937+A938</f>
        <v/>
      </c>
      <c r="C938">
        <f>IF(935&gt;$B$4503,"",MATCH(935-0.5,$B$3:$B$4503,1))</f>
        <v/>
      </c>
      <c r="D938">
        <f>"DEA registration ("&amp;IF(LEN(INDEX('Providers'!$E$4:$E$503,435))=0,"",INDEX('Providers'!$E$4:$E$503,435))&amp;") – "&amp;IF(LEN(INDEX('Providers'!$A$4:$A$503,435))=0,"",INDEX('Providers'!$A$4:$A$503,435))</f>
        <v/>
      </c>
      <c r="E938">
        <f>IF(ISNUMBER(INDEX('Providers'!$I$4:$I$503,435)),TEXT(INDEX('Providers'!$I$4:$I$503,435),"yyyy-mm-dd"),"")</f>
        <v/>
      </c>
      <c r="F938">
        <f>"Registration"</f>
        <v/>
      </c>
      <c r="G938">
        <f>""</f>
        <v/>
      </c>
      <c r="H938">
        <f>"High"</f>
        <v/>
      </c>
      <c r="I938">
        <f>TRIM(IF(LEN(IF(LEN(INDEX('Providers'!$H$4:$H$503,435))=0,"",INDEX('Providers'!$H$4:$H$503,435)))=0,"","DEA no.: "&amp;IF(LEN(INDEX('Providers'!$H$4:$H$503,435))=0,"",INDEX('Providers'!$H$4:$H$503,435))&amp;". ")&amp;IF(LEN(IF(LEN(INDEX('Providers'!$C$4:$C$503,435))=0,"",INDEX('Providers'!$C$4:$C$503,435)))=0,"","NPI: "&amp;IF(LEN(INDEX('Providers'!$C$4:$C$503,435))=0,"",INDEX('Providers'!$C$4:$C$503,435))&amp;". "))</f>
        <v/>
      </c>
      <c r="J938">
        <f>IF(LEN(INDEX('Providers'!$AJ$4:$AJ$503,435))=0,"",INDEX('Providers'!$AJ$4:$AJ$503,435))</f>
        <v/>
      </c>
      <c r="K938">
        <f>IF(LEN(INDEX('Providers'!$AI$4:$AI$503,435))=0,"",INDEX('Providers'!$AI$4:$AI$503,435))</f>
        <v/>
      </c>
    </row>
    <row r="939">
      <c r="A939">
        <f>IF(AND(LEN('Providers'!A439)&gt;0,ISNUMBER('Providers'!I439)),1,0)</f>
        <v/>
      </c>
      <c r="B939">
        <f>B938+A939</f>
        <v/>
      </c>
      <c r="C939">
        <f>IF(936&gt;$B$4503,"",MATCH(936-0.5,$B$3:$B$4503,1))</f>
        <v/>
      </c>
      <c r="D939">
        <f>"DEA registration ("&amp;IF(LEN(INDEX('Providers'!$E$4:$E$503,436))=0,"",INDEX('Providers'!$E$4:$E$503,436))&amp;") – "&amp;IF(LEN(INDEX('Providers'!$A$4:$A$503,436))=0,"",INDEX('Providers'!$A$4:$A$503,436))</f>
        <v/>
      </c>
      <c r="E939">
        <f>IF(ISNUMBER(INDEX('Providers'!$I$4:$I$503,436)),TEXT(INDEX('Providers'!$I$4:$I$503,436),"yyyy-mm-dd"),"")</f>
        <v/>
      </c>
      <c r="F939">
        <f>"Registration"</f>
        <v/>
      </c>
      <c r="G939">
        <f>""</f>
        <v/>
      </c>
      <c r="H939">
        <f>"High"</f>
        <v/>
      </c>
      <c r="I939">
        <f>TRIM(IF(LEN(IF(LEN(INDEX('Providers'!$H$4:$H$503,436))=0,"",INDEX('Providers'!$H$4:$H$503,436)))=0,"","DEA no.: "&amp;IF(LEN(INDEX('Providers'!$H$4:$H$503,436))=0,"",INDEX('Providers'!$H$4:$H$503,436))&amp;". ")&amp;IF(LEN(IF(LEN(INDEX('Providers'!$C$4:$C$503,436))=0,"",INDEX('Providers'!$C$4:$C$503,436)))=0,"","NPI: "&amp;IF(LEN(INDEX('Providers'!$C$4:$C$503,436))=0,"",INDEX('Providers'!$C$4:$C$503,436))&amp;". "))</f>
        <v/>
      </c>
      <c r="J939">
        <f>IF(LEN(INDEX('Providers'!$AJ$4:$AJ$503,436))=0,"",INDEX('Providers'!$AJ$4:$AJ$503,436))</f>
        <v/>
      </c>
      <c r="K939">
        <f>IF(LEN(INDEX('Providers'!$AI$4:$AI$503,436))=0,"",INDEX('Providers'!$AI$4:$AI$503,436))</f>
        <v/>
      </c>
    </row>
    <row r="940">
      <c r="A940">
        <f>IF(AND(LEN('Providers'!A440)&gt;0,ISNUMBER('Providers'!I440)),1,0)</f>
        <v/>
      </c>
      <c r="B940">
        <f>B939+A940</f>
        <v/>
      </c>
      <c r="C940">
        <f>IF(937&gt;$B$4503,"",MATCH(937-0.5,$B$3:$B$4503,1))</f>
        <v/>
      </c>
      <c r="D940">
        <f>"DEA registration ("&amp;IF(LEN(INDEX('Providers'!$E$4:$E$503,437))=0,"",INDEX('Providers'!$E$4:$E$503,437))&amp;") – "&amp;IF(LEN(INDEX('Providers'!$A$4:$A$503,437))=0,"",INDEX('Providers'!$A$4:$A$503,437))</f>
        <v/>
      </c>
      <c r="E940">
        <f>IF(ISNUMBER(INDEX('Providers'!$I$4:$I$503,437)),TEXT(INDEX('Providers'!$I$4:$I$503,437),"yyyy-mm-dd"),"")</f>
        <v/>
      </c>
      <c r="F940">
        <f>"Registration"</f>
        <v/>
      </c>
      <c r="G940">
        <f>""</f>
        <v/>
      </c>
      <c r="H940">
        <f>"High"</f>
        <v/>
      </c>
      <c r="I940">
        <f>TRIM(IF(LEN(IF(LEN(INDEX('Providers'!$H$4:$H$503,437))=0,"",INDEX('Providers'!$H$4:$H$503,437)))=0,"","DEA no.: "&amp;IF(LEN(INDEX('Providers'!$H$4:$H$503,437))=0,"",INDEX('Providers'!$H$4:$H$503,437))&amp;". ")&amp;IF(LEN(IF(LEN(INDEX('Providers'!$C$4:$C$503,437))=0,"",INDEX('Providers'!$C$4:$C$503,437)))=0,"","NPI: "&amp;IF(LEN(INDEX('Providers'!$C$4:$C$503,437))=0,"",INDEX('Providers'!$C$4:$C$503,437))&amp;". "))</f>
        <v/>
      </c>
      <c r="J940">
        <f>IF(LEN(INDEX('Providers'!$AJ$4:$AJ$503,437))=0,"",INDEX('Providers'!$AJ$4:$AJ$503,437))</f>
        <v/>
      </c>
      <c r="K940">
        <f>IF(LEN(INDEX('Providers'!$AI$4:$AI$503,437))=0,"",INDEX('Providers'!$AI$4:$AI$503,437))</f>
        <v/>
      </c>
    </row>
    <row r="941">
      <c r="A941">
        <f>IF(AND(LEN('Providers'!A441)&gt;0,ISNUMBER('Providers'!I441)),1,0)</f>
        <v/>
      </c>
      <c r="B941">
        <f>B940+A941</f>
        <v/>
      </c>
      <c r="C941">
        <f>IF(938&gt;$B$4503,"",MATCH(938-0.5,$B$3:$B$4503,1))</f>
        <v/>
      </c>
      <c r="D941">
        <f>"DEA registration ("&amp;IF(LEN(INDEX('Providers'!$E$4:$E$503,438))=0,"",INDEX('Providers'!$E$4:$E$503,438))&amp;") – "&amp;IF(LEN(INDEX('Providers'!$A$4:$A$503,438))=0,"",INDEX('Providers'!$A$4:$A$503,438))</f>
        <v/>
      </c>
      <c r="E941">
        <f>IF(ISNUMBER(INDEX('Providers'!$I$4:$I$503,438)),TEXT(INDEX('Providers'!$I$4:$I$503,438),"yyyy-mm-dd"),"")</f>
        <v/>
      </c>
      <c r="F941">
        <f>"Registration"</f>
        <v/>
      </c>
      <c r="G941">
        <f>""</f>
        <v/>
      </c>
      <c r="H941">
        <f>"High"</f>
        <v/>
      </c>
      <c r="I941">
        <f>TRIM(IF(LEN(IF(LEN(INDEX('Providers'!$H$4:$H$503,438))=0,"",INDEX('Providers'!$H$4:$H$503,438)))=0,"","DEA no.: "&amp;IF(LEN(INDEX('Providers'!$H$4:$H$503,438))=0,"",INDEX('Providers'!$H$4:$H$503,438))&amp;". ")&amp;IF(LEN(IF(LEN(INDEX('Providers'!$C$4:$C$503,438))=0,"",INDEX('Providers'!$C$4:$C$503,438)))=0,"","NPI: "&amp;IF(LEN(INDEX('Providers'!$C$4:$C$503,438))=0,"",INDEX('Providers'!$C$4:$C$503,438))&amp;". "))</f>
        <v/>
      </c>
      <c r="J941">
        <f>IF(LEN(INDEX('Providers'!$AJ$4:$AJ$503,438))=0,"",INDEX('Providers'!$AJ$4:$AJ$503,438))</f>
        <v/>
      </c>
      <c r="K941">
        <f>IF(LEN(INDEX('Providers'!$AI$4:$AI$503,438))=0,"",INDEX('Providers'!$AI$4:$AI$503,438))</f>
        <v/>
      </c>
    </row>
    <row r="942">
      <c r="A942">
        <f>IF(AND(LEN('Providers'!A442)&gt;0,ISNUMBER('Providers'!I442)),1,0)</f>
        <v/>
      </c>
      <c r="B942">
        <f>B941+A942</f>
        <v/>
      </c>
      <c r="C942">
        <f>IF(939&gt;$B$4503,"",MATCH(939-0.5,$B$3:$B$4503,1))</f>
        <v/>
      </c>
      <c r="D942">
        <f>"DEA registration ("&amp;IF(LEN(INDEX('Providers'!$E$4:$E$503,439))=0,"",INDEX('Providers'!$E$4:$E$503,439))&amp;") – "&amp;IF(LEN(INDEX('Providers'!$A$4:$A$503,439))=0,"",INDEX('Providers'!$A$4:$A$503,439))</f>
        <v/>
      </c>
      <c r="E942">
        <f>IF(ISNUMBER(INDEX('Providers'!$I$4:$I$503,439)),TEXT(INDEX('Providers'!$I$4:$I$503,439),"yyyy-mm-dd"),"")</f>
        <v/>
      </c>
      <c r="F942">
        <f>"Registration"</f>
        <v/>
      </c>
      <c r="G942">
        <f>""</f>
        <v/>
      </c>
      <c r="H942">
        <f>"High"</f>
        <v/>
      </c>
      <c r="I942">
        <f>TRIM(IF(LEN(IF(LEN(INDEX('Providers'!$H$4:$H$503,439))=0,"",INDEX('Providers'!$H$4:$H$503,439)))=0,"","DEA no.: "&amp;IF(LEN(INDEX('Providers'!$H$4:$H$503,439))=0,"",INDEX('Providers'!$H$4:$H$503,439))&amp;". ")&amp;IF(LEN(IF(LEN(INDEX('Providers'!$C$4:$C$503,439))=0,"",INDEX('Providers'!$C$4:$C$503,439)))=0,"","NPI: "&amp;IF(LEN(INDEX('Providers'!$C$4:$C$503,439))=0,"",INDEX('Providers'!$C$4:$C$503,439))&amp;". "))</f>
        <v/>
      </c>
      <c r="J942">
        <f>IF(LEN(INDEX('Providers'!$AJ$4:$AJ$503,439))=0,"",INDEX('Providers'!$AJ$4:$AJ$503,439))</f>
        <v/>
      </c>
      <c r="K942">
        <f>IF(LEN(INDEX('Providers'!$AI$4:$AI$503,439))=0,"",INDEX('Providers'!$AI$4:$AI$503,439))</f>
        <v/>
      </c>
    </row>
    <row r="943">
      <c r="A943">
        <f>IF(AND(LEN('Providers'!A443)&gt;0,ISNUMBER('Providers'!I443)),1,0)</f>
        <v/>
      </c>
      <c r="B943">
        <f>B942+A943</f>
        <v/>
      </c>
      <c r="C943">
        <f>IF(940&gt;$B$4503,"",MATCH(940-0.5,$B$3:$B$4503,1))</f>
        <v/>
      </c>
      <c r="D943">
        <f>"DEA registration ("&amp;IF(LEN(INDEX('Providers'!$E$4:$E$503,440))=0,"",INDEX('Providers'!$E$4:$E$503,440))&amp;") – "&amp;IF(LEN(INDEX('Providers'!$A$4:$A$503,440))=0,"",INDEX('Providers'!$A$4:$A$503,440))</f>
        <v/>
      </c>
      <c r="E943">
        <f>IF(ISNUMBER(INDEX('Providers'!$I$4:$I$503,440)),TEXT(INDEX('Providers'!$I$4:$I$503,440),"yyyy-mm-dd"),"")</f>
        <v/>
      </c>
      <c r="F943">
        <f>"Registration"</f>
        <v/>
      </c>
      <c r="G943">
        <f>""</f>
        <v/>
      </c>
      <c r="H943">
        <f>"High"</f>
        <v/>
      </c>
      <c r="I943">
        <f>TRIM(IF(LEN(IF(LEN(INDEX('Providers'!$H$4:$H$503,440))=0,"",INDEX('Providers'!$H$4:$H$503,440)))=0,"","DEA no.: "&amp;IF(LEN(INDEX('Providers'!$H$4:$H$503,440))=0,"",INDEX('Providers'!$H$4:$H$503,440))&amp;". ")&amp;IF(LEN(IF(LEN(INDEX('Providers'!$C$4:$C$503,440))=0,"",INDEX('Providers'!$C$4:$C$503,440)))=0,"","NPI: "&amp;IF(LEN(INDEX('Providers'!$C$4:$C$503,440))=0,"",INDEX('Providers'!$C$4:$C$503,440))&amp;". "))</f>
        <v/>
      </c>
      <c r="J943">
        <f>IF(LEN(INDEX('Providers'!$AJ$4:$AJ$503,440))=0,"",INDEX('Providers'!$AJ$4:$AJ$503,440))</f>
        <v/>
      </c>
      <c r="K943">
        <f>IF(LEN(INDEX('Providers'!$AI$4:$AI$503,440))=0,"",INDEX('Providers'!$AI$4:$AI$503,440))</f>
        <v/>
      </c>
    </row>
    <row r="944">
      <c r="A944">
        <f>IF(AND(LEN('Providers'!A444)&gt;0,ISNUMBER('Providers'!I444)),1,0)</f>
        <v/>
      </c>
      <c r="B944">
        <f>B943+A944</f>
        <v/>
      </c>
      <c r="C944">
        <f>IF(941&gt;$B$4503,"",MATCH(941-0.5,$B$3:$B$4503,1))</f>
        <v/>
      </c>
      <c r="D944">
        <f>"DEA registration ("&amp;IF(LEN(INDEX('Providers'!$E$4:$E$503,441))=0,"",INDEX('Providers'!$E$4:$E$503,441))&amp;") – "&amp;IF(LEN(INDEX('Providers'!$A$4:$A$503,441))=0,"",INDEX('Providers'!$A$4:$A$503,441))</f>
        <v/>
      </c>
      <c r="E944">
        <f>IF(ISNUMBER(INDEX('Providers'!$I$4:$I$503,441)),TEXT(INDEX('Providers'!$I$4:$I$503,441),"yyyy-mm-dd"),"")</f>
        <v/>
      </c>
      <c r="F944">
        <f>"Registration"</f>
        <v/>
      </c>
      <c r="G944">
        <f>""</f>
        <v/>
      </c>
      <c r="H944">
        <f>"High"</f>
        <v/>
      </c>
      <c r="I944">
        <f>TRIM(IF(LEN(IF(LEN(INDEX('Providers'!$H$4:$H$503,441))=0,"",INDEX('Providers'!$H$4:$H$503,441)))=0,"","DEA no.: "&amp;IF(LEN(INDEX('Providers'!$H$4:$H$503,441))=0,"",INDEX('Providers'!$H$4:$H$503,441))&amp;". ")&amp;IF(LEN(IF(LEN(INDEX('Providers'!$C$4:$C$503,441))=0,"",INDEX('Providers'!$C$4:$C$503,441)))=0,"","NPI: "&amp;IF(LEN(INDEX('Providers'!$C$4:$C$503,441))=0,"",INDEX('Providers'!$C$4:$C$503,441))&amp;". "))</f>
        <v/>
      </c>
      <c r="J944">
        <f>IF(LEN(INDEX('Providers'!$AJ$4:$AJ$503,441))=0,"",INDEX('Providers'!$AJ$4:$AJ$503,441))</f>
        <v/>
      </c>
      <c r="K944">
        <f>IF(LEN(INDEX('Providers'!$AI$4:$AI$503,441))=0,"",INDEX('Providers'!$AI$4:$AI$503,441))</f>
        <v/>
      </c>
    </row>
    <row r="945">
      <c r="A945">
        <f>IF(AND(LEN('Providers'!A445)&gt;0,ISNUMBER('Providers'!I445)),1,0)</f>
        <v/>
      </c>
      <c r="B945">
        <f>B944+A945</f>
        <v/>
      </c>
      <c r="C945">
        <f>IF(942&gt;$B$4503,"",MATCH(942-0.5,$B$3:$B$4503,1))</f>
        <v/>
      </c>
      <c r="D945">
        <f>"DEA registration ("&amp;IF(LEN(INDEX('Providers'!$E$4:$E$503,442))=0,"",INDEX('Providers'!$E$4:$E$503,442))&amp;") – "&amp;IF(LEN(INDEX('Providers'!$A$4:$A$503,442))=0,"",INDEX('Providers'!$A$4:$A$503,442))</f>
        <v/>
      </c>
      <c r="E945">
        <f>IF(ISNUMBER(INDEX('Providers'!$I$4:$I$503,442)),TEXT(INDEX('Providers'!$I$4:$I$503,442),"yyyy-mm-dd"),"")</f>
        <v/>
      </c>
      <c r="F945">
        <f>"Registration"</f>
        <v/>
      </c>
      <c r="G945">
        <f>""</f>
        <v/>
      </c>
      <c r="H945">
        <f>"High"</f>
        <v/>
      </c>
      <c r="I945">
        <f>TRIM(IF(LEN(IF(LEN(INDEX('Providers'!$H$4:$H$503,442))=0,"",INDEX('Providers'!$H$4:$H$503,442)))=0,"","DEA no.: "&amp;IF(LEN(INDEX('Providers'!$H$4:$H$503,442))=0,"",INDEX('Providers'!$H$4:$H$503,442))&amp;". ")&amp;IF(LEN(IF(LEN(INDEX('Providers'!$C$4:$C$503,442))=0,"",INDEX('Providers'!$C$4:$C$503,442)))=0,"","NPI: "&amp;IF(LEN(INDEX('Providers'!$C$4:$C$503,442))=0,"",INDEX('Providers'!$C$4:$C$503,442))&amp;". "))</f>
        <v/>
      </c>
      <c r="J945">
        <f>IF(LEN(INDEX('Providers'!$AJ$4:$AJ$503,442))=0,"",INDEX('Providers'!$AJ$4:$AJ$503,442))</f>
        <v/>
      </c>
      <c r="K945">
        <f>IF(LEN(INDEX('Providers'!$AI$4:$AI$503,442))=0,"",INDEX('Providers'!$AI$4:$AI$503,442))</f>
        <v/>
      </c>
    </row>
    <row r="946">
      <c r="A946">
        <f>IF(AND(LEN('Providers'!A446)&gt;0,ISNUMBER('Providers'!I446)),1,0)</f>
        <v/>
      </c>
      <c r="B946">
        <f>B945+A946</f>
        <v/>
      </c>
      <c r="C946">
        <f>IF(943&gt;$B$4503,"",MATCH(943-0.5,$B$3:$B$4503,1))</f>
        <v/>
      </c>
      <c r="D946">
        <f>"DEA registration ("&amp;IF(LEN(INDEX('Providers'!$E$4:$E$503,443))=0,"",INDEX('Providers'!$E$4:$E$503,443))&amp;") – "&amp;IF(LEN(INDEX('Providers'!$A$4:$A$503,443))=0,"",INDEX('Providers'!$A$4:$A$503,443))</f>
        <v/>
      </c>
      <c r="E946">
        <f>IF(ISNUMBER(INDEX('Providers'!$I$4:$I$503,443)),TEXT(INDEX('Providers'!$I$4:$I$503,443),"yyyy-mm-dd"),"")</f>
        <v/>
      </c>
      <c r="F946">
        <f>"Registration"</f>
        <v/>
      </c>
      <c r="G946">
        <f>""</f>
        <v/>
      </c>
      <c r="H946">
        <f>"High"</f>
        <v/>
      </c>
      <c r="I946">
        <f>TRIM(IF(LEN(IF(LEN(INDEX('Providers'!$H$4:$H$503,443))=0,"",INDEX('Providers'!$H$4:$H$503,443)))=0,"","DEA no.: "&amp;IF(LEN(INDEX('Providers'!$H$4:$H$503,443))=0,"",INDEX('Providers'!$H$4:$H$503,443))&amp;". ")&amp;IF(LEN(IF(LEN(INDEX('Providers'!$C$4:$C$503,443))=0,"",INDEX('Providers'!$C$4:$C$503,443)))=0,"","NPI: "&amp;IF(LEN(INDEX('Providers'!$C$4:$C$503,443))=0,"",INDEX('Providers'!$C$4:$C$503,443))&amp;". "))</f>
        <v/>
      </c>
      <c r="J946">
        <f>IF(LEN(INDEX('Providers'!$AJ$4:$AJ$503,443))=0,"",INDEX('Providers'!$AJ$4:$AJ$503,443))</f>
        <v/>
      </c>
      <c r="K946">
        <f>IF(LEN(INDEX('Providers'!$AI$4:$AI$503,443))=0,"",INDEX('Providers'!$AI$4:$AI$503,443))</f>
        <v/>
      </c>
    </row>
    <row r="947">
      <c r="A947">
        <f>IF(AND(LEN('Providers'!A447)&gt;0,ISNUMBER('Providers'!I447)),1,0)</f>
        <v/>
      </c>
      <c r="B947">
        <f>B946+A947</f>
        <v/>
      </c>
      <c r="C947">
        <f>IF(944&gt;$B$4503,"",MATCH(944-0.5,$B$3:$B$4503,1))</f>
        <v/>
      </c>
      <c r="D947">
        <f>"DEA registration ("&amp;IF(LEN(INDEX('Providers'!$E$4:$E$503,444))=0,"",INDEX('Providers'!$E$4:$E$503,444))&amp;") – "&amp;IF(LEN(INDEX('Providers'!$A$4:$A$503,444))=0,"",INDEX('Providers'!$A$4:$A$503,444))</f>
        <v/>
      </c>
      <c r="E947">
        <f>IF(ISNUMBER(INDEX('Providers'!$I$4:$I$503,444)),TEXT(INDEX('Providers'!$I$4:$I$503,444),"yyyy-mm-dd"),"")</f>
        <v/>
      </c>
      <c r="F947">
        <f>"Registration"</f>
        <v/>
      </c>
      <c r="G947">
        <f>""</f>
        <v/>
      </c>
      <c r="H947">
        <f>"High"</f>
        <v/>
      </c>
      <c r="I947">
        <f>TRIM(IF(LEN(IF(LEN(INDEX('Providers'!$H$4:$H$503,444))=0,"",INDEX('Providers'!$H$4:$H$503,444)))=0,"","DEA no.: "&amp;IF(LEN(INDEX('Providers'!$H$4:$H$503,444))=0,"",INDEX('Providers'!$H$4:$H$503,444))&amp;". ")&amp;IF(LEN(IF(LEN(INDEX('Providers'!$C$4:$C$503,444))=0,"",INDEX('Providers'!$C$4:$C$503,444)))=0,"","NPI: "&amp;IF(LEN(INDEX('Providers'!$C$4:$C$503,444))=0,"",INDEX('Providers'!$C$4:$C$503,444))&amp;". "))</f>
        <v/>
      </c>
      <c r="J947">
        <f>IF(LEN(INDEX('Providers'!$AJ$4:$AJ$503,444))=0,"",INDEX('Providers'!$AJ$4:$AJ$503,444))</f>
        <v/>
      </c>
      <c r="K947">
        <f>IF(LEN(INDEX('Providers'!$AI$4:$AI$503,444))=0,"",INDEX('Providers'!$AI$4:$AI$503,444))</f>
        <v/>
      </c>
    </row>
    <row r="948">
      <c r="A948">
        <f>IF(AND(LEN('Providers'!A448)&gt;0,ISNUMBER('Providers'!I448)),1,0)</f>
        <v/>
      </c>
      <c r="B948">
        <f>B947+A948</f>
        <v/>
      </c>
      <c r="C948">
        <f>IF(945&gt;$B$4503,"",MATCH(945-0.5,$B$3:$B$4503,1))</f>
        <v/>
      </c>
      <c r="D948">
        <f>"DEA registration ("&amp;IF(LEN(INDEX('Providers'!$E$4:$E$503,445))=0,"",INDEX('Providers'!$E$4:$E$503,445))&amp;") – "&amp;IF(LEN(INDEX('Providers'!$A$4:$A$503,445))=0,"",INDEX('Providers'!$A$4:$A$503,445))</f>
        <v/>
      </c>
      <c r="E948">
        <f>IF(ISNUMBER(INDEX('Providers'!$I$4:$I$503,445)),TEXT(INDEX('Providers'!$I$4:$I$503,445),"yyyy-mm-dd"),"")</f>
        <v/>
      </c>
      <c r="F948">
        <f>"Registration"</f>
        <v/>
      </c>
      <c r="G948">
        <f>""</f>
        <v/>
      </c>
      <c r="H948">
        <f>"High"</f>
        <v/>
      </c>
      <c r="I948">
        <f>TRIM(IF(LEN(IF(LEN(INDEX('Providers'!$H$4:$H$503,445))=0,"",INDEX('Providers'!$H$4:$H$503,445)))=0,"","DEA no.: "&amp;IF(LEN(INDEX('Providers'!$H$4:$H$503,445))=0,"",INDEX('Providers'!$H$4:$H$503,445))&amp;". ")&amp;IF(LEN(IF(LEN(INDEX('Providers'!$C$4:$C$503,445))=0,"",INDEX('Providers'!$C$4:$C$503,445)))=0,"","NPI: "&amp;IF(LEN(INDEX('Providers'!$C$4:$C$503,445))=0,"",INDEX('Providers'!$C$4:$C$503,445))&amp;". "))</f>
        <v/>
      </c>
      <c r="J948">
        <f>IF(LEN(INDEX('Providers'!$AJ$4:$AJ$503,445))=0,"",INDEX('Providers'!$AJ$4:$AJ$503,445))</f>
        <v/>
      </c>
      <c r="K948">
        <f>IF(LEN(INDEX('Providers'!$AI$4:$AI$503,445))=0,"",INDEX('Providers'!$AI$4:$AI$503,445))</f>
        <v/>
      </c>
    </row>
    <row r="949">
      <c r="A949">
        <f>IF(AND(LEN('Providers'!A449)&gt;0,ISNUMBER('Providers'!I449)),1,0)</f>
        <v/>
      </c>
      <c r="B949">
        <f>B948+A949</f>
        <v/>
      </c>
      <c r="C949">
        <f>IF(946&gt;$B$4503,"",MATCH(946-0.5,$B$3:$B$4503,1))</f>
        <v/>
      </c>
      <c r="D949">
        <f>"DEA registration ("&amp;IF(LEN(INDEX('Providers'!$E$4:$E$503,446))=0,"",INDEX('Providers'!$E$4:$E$503,446))&amp;") – "&amp;IF(LEN(INDEX('Providers'!$A$4:$A$503,446))=0,"",INDEX('Providers'!$A$4:$A$503,446))</f>
        <v/>
      </c>
      <c r="E949">
        <f>IF(ISNUMBER(INDEX('Providers'!$I$4:$I$503,446)),TEXT(INDEX('Providers'!$I$4:$I$503,446),"yyyy-mm-dd"),"")</f>
        <v/>
      </c>
      <c r="F949">
        <f>"Registration"</f>
        <v/>
      </c>
      <c r="G949">
        <f>""</f>
        <v/>
      </c>
      <c r="H949">
        <f>"High"</f>
        <v/>
      </c>
      <c r="I949">
        <f>TRIM(IF(LEN(IF(LEN(INDEX('Providers'!$H$4:$H$503,446))=0,"",INDEX('Providers'!$H$4:$H$503,446)))=0,"","DEA no.: "&amp;IF(LEN(INDEX('Providers'!$H$4:$H$503,446))=0,"",INDEX('Providers'!$H$4:$H$503,446))&amp;". ")&amp;IF(LEN(IF(LEN(INDEX('Providers'!$C$4:$C$503,446))=0,"",INDEX('Providers'!$C$4:$C$503,446)))=0,"","NPI: "&amp;IF(LEN(INDEX('Providers'!$C$4:$C$503,446))=0,"",INDEX('Providers'!$C$4:$C$503,446))&amp;". "))</f>
        <v/>
      </c>
      <c r="J949">
        <f>IF(LEN(INDEX('Providers'!$AJ$4:$AJ$503,446))=0,"",INDEX('Providers'!$AJ$4:$AJ$503,446))</f>
        <v/>
      </c>
      <c r="K949">
        <f>IF(LEN(INDEX('Providers'!$AI$4:$AI$503,446))=0,"",INDEX('Providers'!$AI$4:$AI$503,446))</f>
        <v/>
      </c>
    </row>
    <row r="950">
      <c r="A950">
        <f>IF(AND(LEN('Providers'!A450)&gt;0,ISNUMBER('Providers'!I450)),1,0)</f>
        <v/>
      </c>
      <c r="B950">
        <f>B949+A950</f>
        <v/>
      </c>
      <c r="C950">
        <f>IF(947&gt;$B$4503,"",MATCH(947-0.5,$B$3:$B$4503,1))</f>
        <v/>
      </c>
      <c r="D950">
        <f>"DEA registration ("&amp;IF(LEN(INDEX('Providers'!$E$4:$E$503,447))=0,"",INDEX('Providers'!$E$4:$E$503,447))&amp;") – "&amp;IF(LEN(INDEX('Providers'!$A$4:$A$503,447))=0,"",INDEX('Providers'!$A$4:$A$503,447))</f>
        <v/>
      </c>
      <c r="E950">
        <f>IF(ISNUMBER(INDEX('Providers'!$I$4:$I$503,447)),TEXT(INDEX('Providers'!$I$4:$I$503,447),"yyyy-mm-dd"),"")</f>
        <v/>
      </c>
      <c r="F950">
        <f>"Registration"</f>
        <v/>
      </c>
      <c r="G950">
        <f>""</f>
        <v/>
      </c>
      <c r="H950">
        <f>"High"</f>
        <v/>
      </c>
      <c r="I950">
        <f>TRIM(IF(LEN(IF(LEN(INDEX('Providers'!$H$4:$H$503,447))=0,"",INDEX('Providers'!$H$4:$H$503,447)))=0,"","DEA no.: "&amp;IF(LEN(INDEX('Providers'!$H$4:$H$503,447))=0,"",INDEX('Providers'!$H$4:$H$503,447))&amp;". ")&amp;IF(LEN(IF(LEN(INDEX('Providers'!$C$4:$C$503,447))=0,"",INDEX('Providers'!$C$4:$C$503,447)))=0,"","NPI: "&amp;IF(LEN(INDEX('Providers'!$C$4:$C$503,447))=0,"",INDEX('Providers'!$C$4:$C$503,447))&amp;". "))</f>
        <v/>
      </c>
      <c r="J950">
        <f>IF(LEN(INDEX('Providers'!$AJ$4:$AJ$503,447))=0,"",INDEX('Providers'!$AJ$4:$AJ$503,447))</f>
        <v/>
      </c>
      <c r="K950">
        <f>IF(LEN(INDEX('Providers'!$AI$4:$AI$503,447))=0,"",INDEX('Providers'!$AI$4:$AI$503,447))</f>
        <v/>
      </c>
    </row>
    <row r="951">
      <c r="A951">
        <f>IF(AND(LEN('Providers'!A451)&gt;0,ISNUMBER('Providers'!I451)),1,0)</f>
        <v/>
      </c>
      <c r="B951">
        <f>B950+A951</f>
        <v/>
      </c>
      <c r="C951">
        <f>IF(948&gt;$B$4503,"",MATCH(948-0.5,$B$3:$B$4503,1))</f>
        <v/>
      </c>
      <c r="D951">
        <f>"DEA registration ("&amp;IF(LEN(INDEX('Providers'!$E$4:$E$503,448))=0,"",INDEX('Providers'!$E$4:$E$503,448))&amp;") – "&amp;IF(LEN(INDEX('Providers'!$A$4:$A$503,448))=0,"",INDEX('Providers'!$A$4:$A$503,448))</f>
        <v/>
      </c>
      <c r="E951">
        <f>IF(ISNUMBER(INDEX('Providers'!$I$4:$I$503,448)),TEXT(INDEX('Providers'!$I$4:$I$503,448),"yyyy-mm-dd"),"")</f>
        <v/>
      </c>
      <c r="F951">
        <f>"Registration"</f>
        <v/>
      </c>
      <c r="G951">
        <f>""</f>
        <v/>
      </c>
      <c r="H951">
        <f>"High"</f>
        <v/>
      </c>
      <c r="I951">
        <f>TRIM(IF(LEN(IF(LEN(INDEX('Providers'!$H$4:$H$503,448))=0,"",INDEX('Providers'!$H$4:$H$503,448)))=0,"","DEA no.: "&amp;IF(LEN(INDEX('Providers'!$H$4:$H$503,448))=0,"",INDEX('Providers'!$H$4:$H$503,448))&amp;". ")&amp;IF(LEN(IF(LEN(INDEX('Providers'!$C$4:$C$503,448))=0,"",INDEX('Providers'!$C$4:$C$503,448)))=0,"","NPI: "&amp;IF(LEN(INDEX('Providers'!$C$4:$C$503,448))=0,"",INDEX('Providers'!$C$4:$C$503,448))&amp;". "))</f>
        <v/>
      </c>
      <c r="J951">
        <f>IF(LEN(INDEX('Providers'!$AJ$4:$AJ$503,448))=0,"",INDEX('Providers'!$AJ$4:$AJ$503,448))</f>
        <v/>
      </c>
      <c r="K951">
        <f>IF(LEN(INDEX('Providers'!$AI$4:$AI$503,448))=0,"",INDEX('Providers'!$AI$4:$AI$503,448))</f>
        <v/>
      </c>
    </row>
    <row r="952">
      <c r="A952">
        <f>IF(AND(LEN('Providers'!A452)&gt;0,ISNUMBER('Providers'!I452)),1,0)</f>
        <v/>
      </c>
      <c r="B952">
        <f>B951+A952</f>
        <v/>
      </c>
      <c r="C952">
        <f>IF(949&gt;$B$4503,"",MATCH(949-0.5,$B$3:$B$4503,1))</f>
        <v/>
      </c>
      <c r="D952">
        <f>"DEA registration ("&amp;IF(LEN(INDEX('Providers'!$E$4:$E$503,449))=0,"",INDEX('Providers'!$E$4:$E$503,449))&amp;") – "&amp;IF(LEN(INDEX('Providers'!$A$4:$A$503,449))=0,"",INDEX('Providers'!$A$4:$A$503,449))</f>
        <v/>
      </c>
      <c r="E952">
        <f>IF(ISNUMBER(INDEX('Providers'!$I$4:$I$503,449)),TEXT(INDEX('Providers'!$I$4:$I$503,449),"yyyy-mm-dd"),"")</f>
        <v/>
      </c>
      <c r="F952">
        <f>"Registration"</f>
        <v/>
      </c>
      <c r="G952">
        <f>""</f>
        <v/>
      </c>
      <c r="H952">
        <f>"High"</f>
        <v/>
      </c>
      <c r="I952">
        <f>TRIM(IF(LEN(IF(LEN(INDEX('Providers'!$H$4:$H$503,449))=0,"",INDEX('Providers'!$H$4:$H$503,449)))=0,"","DEA no.: "&amp;IF(LEN(INDEX('Providers'!$H$4:$H$503,449))=0,"",INDEX('Providers'!$H$4:$H$503,449))&amp;". ")&amp;IF(LEN(IF(LEN(INDEX('Providers'!$C$4:$C$503,449))=0,"",INDEX('Providers'!$C$4:$C$503,449)))=0,"","NPI: "&amp;IF(LEN(INDEX('Providers'!$C$4:$C$503,449))=0,"",INDEX('Providers'!$C$4:$C$503,449))&amp;". "))</f>
        <v/>
      </c>
      <c r="J952">
        <f>IF(LEN(INDEX('Providers'!$AJ$4:$AJ$503,449))=0,"",INDEX('Providers'!$AJ$4:$AJ$503,449))</f>
        <v/>
      </c>
      <c r="K952">
        <f>IF(LEN(INDEX('Providers'!$AI$4:$AI$503,449))=0,"",INDEX('Providers'!$AI$4:$AI$503,449))</f>
        <v/>
      </c>
    </row>
    <row r="953">
      <c r="A953">
        <f>IF(AND(LEN('Providers'!A453)&gt;0,ISNUMBER('Providers'!I453)),1,0)</f>
        <v/>
      </c>
      <c r="B953">
        <f>B952+A953</f>
        <v/>
      </c>
      <c r="C953">
        <f>IF(950&gt;$B$4503,"",MATCH(950-0.5,$B$3:$B$4503,1))</f>
        <v/>
      </c>
      <c r="D953">
        <f>"DEA registration ("&amp;IF(LEN(INDEX('Providers'!$E$4:$E$503,450))=0,"",INDEX('Providers'!$E$4:$E$503,450))&amp;") – "&amp;IF(LEN(INDEX('Providers'!$A$4:$A$503,450))=0,"",INDEX('Providers'!$A$4:$A$503,450))</f>
        <v/>
      </c>
      <c r="E953">
        <f>IF(ISNUMBER(INDEX('Providers'!$I$4:$I$503,450)),TEXT(INDEX('Providers'!$I$4:$I$503,450),"yyyy-mm-dd"),"")</f>
        <v/>
      </c>
      <c r="F953">
        <f>"Registration"</f>
        <v/>
      </c>
      <c r="G953">
        <f>""</f>
        <v/>
      </c>
      <c r="H953">
        <f>"High"</f>
        <v/>
      </c>
      <c r="I953">
        <f>TRIM(IF(LEN(IF(LEN(INDEX('Providers'!$H$4:$H$503,450))=0,"",INDEX('Providers'!$H$4:$H$503,450)))=0,"","DEA no.: "&amp;IF(LEN(INDEX('Providers'!$H$4:$H$503,450))=0,"",INDEX('Providers'!$H$4:$H$503,450))&amp;". ")&amp;IF(LEN(IF(LEN(INDEX('Providers'!$C$4:$C$503,450))=0,"",INDEX('Providers'!$C$4:$C$503,450)))=0,"","NPI: "&amp;IF(LEN(INDEX('Providers'!$C$4:$C$503,450))=0,"",INDEX('Providers'!$C$4:$C$503,450))&amp;". "))</f>
        <v/>
      </c>
      <c r="J953">
        <f>IF(LEN(INDEX('Providers'!$AJ$4:$AJ$503,450))=0,"",INDEX('Providers'!$AJ$4:$AJ$503,450))</f>
        <v/>
      </c>
      <c r="K953">
        <f>IF(LEN(INDEX('Providers'!$AI$4:$AI$503,450))=0,"",INDEX('Providers'!$AI$4:$AI$503,450))</f>
        <v/>
      </c>
    </row>
    <row r="954">
      <c r="A954">
        <f>IF(AND(LEN('Providers'!A454)&gt;0,ISNUMBER('Providers'!I454)),1,0)</f>
        <v/>
      </c>
      <c r="B954">
        <f>B953+A954</f>
        <v/>
      </c>
      <c r="C954">
        <f>IF(951&gt;$B$4503,"",MATCH(951-0.5,$B$3:$B$4503,1))</f>
        <v/>
      </c>
      <c r="D954">
        <f>"DEA registration ("&amp;IF(LEN(INDEX('Providers'!$E$4:$E$503,451))=0,"",INDEX('Providers'!$E$4:$E$503,451))&amp;") – "&amp;IF(LEN(INDEX('Providers'!$A$4:$A$503,451))=0,"",INDEX('Providers'!$A$4:$A$503,451))</f>
        <v/>
      </c>
      <c r="E954">
        <f>IF(ISNUMBER(INDEX('Providers'!$I$4:$I$503,451)),TEXT(INDEX('Providers'!$I$4:$I$503,451),"yyyy-mm-dd"),"")</f>
        <v/>
      </c>
      <c r="F954">
        <f>"Registration"</f>
        <v/>
      </c>
      <c r="G954">
        <f>""</f>
        <v/>
      </c>
      <c r="H954">
        <f>"High"</f>
        <v/>
      </c>
      <c r="I954">
        <f>TRIM(IF(LEN(IF(LEN(INDEX('Providers'!$H$4:$H$503,451))=0,"",INDEX('Providers'!$H$4:$H$503,451)))=0,"","DEA no.: "&amp;IF(LEN(INDEX('Providers'!$H$4:$H$503,451))=0,"",INDEX('Providers'!$H$4:$H$503,451))&amp;". ")&amp;IF(LEN(IF(LEN(INDEX('Providers'!$C$4:$C$503,451))=0,"",INDEX('Providers'!$C$4:$C$503,451)))=0,"","NPI: "&amp;IF(LEN(INDEX('Providers'!$C$4:$C$503,451))=0,"",INDEX('Providers'!$C$4:$C$503,451))&amp;". "))</f>
        <v/>
      </c>
      <c r="J954">
        <f>IF(LEN(INDEX('Providers'!$AJ$4:$AJ$503,451))=0,"",INDEX('Providers'!$AJ$4:$AJ$503,451))</f>
        <v/>
      </c>
      <c r="K954">
        <f>IF(LEN(INDEX('Providers'!$AI$4:$AI$503,451))=0,"",INDEX('Providers'!$AI$4:$AI$503,451))</f>
        <v/>
      </c>
    </row>
    <row r="955">
      <c r="A955">
        <f>IF(AND(LEN('Providers'!A455)&gt;0,ISNUMBER('Providers'!I455)),1,0)</f>
        <v/>
      </c>
      <c r="B955">
        <f>B954+A955</f>
        <v/>
      </c>
      <c r="C955">
        <f>IF(952&gt;$B$4503,"",MATCH(952-0.5,$B$3:$B$4503,1))</f>
        <v/>
      </c>
      <c r="D955">
        <f>"DEA registration ("&amp;IF(LEN(INDEX('Providers'!$E$4:$E$503,452))=0,"",INDEX('Providers'!$E$4:$E$503,452))&amp;") – "&amp;IF(LEN(INDEX('Providers'!$A$4:$A$503,452))=0,"",INDEX('Providers'!$A$4:$A$503,452))</f>
        <v/>
      </c>
      <c r="E955">
        <f>IF(ISNUMBER(INDEX('Providers'!$I$4:$I$503,452)),TEXT(INDEX('Providers'!$I$4:$I$503,452),"yyyy-mm-dd"),"")</f>
        <v/>
      </c>
      <c r="F955">
        <f>"Registration"</f>
        <v/>
      </c>
      <c r="G955">
        <f>""</f>
        <v/>
      </c>
      <c r="H955">
        <f>"High"</f>
        <v/>
      </c>
      <c r="I955">
        <f>TRIM(IF(LEN(IF(LEN(INDEX('Providers'!$H$4:$H$503,452))=0,"",INDEX('Providers'!$H$4:$H$503,452)))=0,"","DEA no.: "&amp;IF(LEN(INDEX('Providers'!$H$4:$H$503,452))=0,"",INDEX('Providers'!$H$4:$H$503,452))&amp;". ")&amp;IF(LEN(IF(LEN(INDEX('Providers'!$C$4:$C$503,452))=0,"",INDEX('Providers'!$C$4:$C$503,452)))=0,"","NPI: "&amp;IF(LEN(INDEX('Providers'!$C$4:$C$503,452))=0,"",INDEX('Providers'!$C$4:$C$503,452))&amp;". "))</f>
        <v/>
      </c>
      <c r="J955">
        <f>IF(LEN(INDEX('Providers'!$AJ$4:$AJ$503,452))=0,"",INDEX('Providers'!$AJ$4:$AJ$503,452))</f>
        <v/>
      </c>
      <c r="K955">
        <f>IF(LEN(INDEX('Providers'!$AI$4:$AI$503,452))=0,"",INDEX('Providers'!$AI$4:$AI$503,452))</f>
        <v/>
      </c>
    </row>
    <row r="956">
      <c r="A956">
        <f>IF(AND(LEN('Providers'!A456)&gt;0,ISNUMBER('Providers'!I456)),1,0)</f>
        <v/>
      </c>
      <c r="B956">
        <f>B955+A956</f>
        <v/>
      </c>
      <c r="C956">
        <f>IF(953&gt;$B$4503,"",MATCH(953-0.5,$B$3:$B$4503,1))</f>
        <v/>
      </c>
      <c r="D956">
        <f>"DEA registration ("&amp;IF(LEN(INDEX('Providers'!$E$4:$E$503,453))=0,"",INDEX('Providers'!$E$4:$E$503,453))&amp;") – "&amp;IF(LEN(INDEX('Providers'!$A$4:$A$503,453))=0,"",INDEX('Providers'!$A$4:$A$503,453))</f>
        <v/>
      </c>
      <c r="E956">
        <f>IF(ISNUMBER(INDEX('Providers'!$I$4:$I$503,453)),TEXT(INDEX('Providers'!$I$4:$I$503,453),"yyyy-mm-dd"),"")</f>
        <v/>
      </c>
      <c r="F956">
        <f>"Registration"</f>
        <v/>
      </c>
      <c r="G956">
        <f>""</f>
        <v/>
      </c>
      <c r="H956">
        <f>"High"</f>
        <v/>
      </c>
      <c r="I956">
        <f>TRIM(IF(LEN(IF(LEN(INDEX('Providers'!$H$4:$H$503,453))=0,"",INDEX('Providers'!$H$4:$H$503,453)))=0,"","DEA no.: "&amp;IF(LEN(INDEX('Providers'!$H$4:$H$503,453))=0,"",INDEX('Providers'!$H$4:$H$503,453))&amp;". ")&amp;IF(LEN(IF(LEN(INDEX('Providers'!$C$4:$C$503,453))=0,"",INDEX('Providers'!$C$4:$C$503,453)))=0,"","NPI: "&amp;IF(LEN(INDEX('Providers'!$C$4:$C$503,453))=0,"",INDEX('Providers'!$C$4:$C$503,453))&amp;". "))</f>
        <v/>
      </c>
      <c r="J956">
        <f>IF(LEN(INDEX('Providers'!$AJ$4:$AJ$503,453))=0,"",INDEX('Providers'!$AJ$4:$AJ$503,453))</f>
        <v/>
      </c>
      <c r="K956">
        <f>IF(LEN(INDEX('Providers'!$AI$4:$AI$503,453))=0,"",INDEX('Providers'!$AI$4:$AI$503,453))</f>
        <v/>
      </c>
    </row>
    <row r="957">
      <c r="A957">
        <f>IF(AND(LEN('Providers'!A457)&gt;0,ISNUMBER('Providers'!I457)),1,0)</f>
        <v/>
      </c>
      <c r="B957">
        <f>B956+A957</f>
        <v/>
      </c>
      <c r="C957">
        <f>IF(954&gt;$B$4503,"",MATCH(954-0.5,$B$3:$B$4503,1))</f>
        <v/>
      </c>
      <c r="D957">
        <f>"DEA registration ("&amp;IF(LEN(INDEX('Providers'!$E$4:$E$503,454))=0,"",INDEX('Providers'!$E$4:$E$503,454))&amp;") – "&amp;IF(LEN(INDEX('Providers'!$A$4:$A$503,454))=0,"",INDEX('Providers'!$A$4:$A$503,454))</f>
        <v/>
      </c>
      <c r="E957">
        <f>IF(ISNUMBER(INDEX('Providers'!$I$4:$I$503,454)),TEXT(INDEX('Providers'!$I$4:$I$503,454),"yyyy-mm-dd"),"")</f>
        <v/>
      </c>
      <c r="F957">
        <f>"Registration"</f>
        <v/>
      </c>
      <c r="G957">
        <f>""</f>
        <v/>
      </c>
      <c r="H957">
        <f>"High"</f>
        <v/>
      </c>
      <c r="I957">
        <f>TRIM(IF(LEN(IF(LEN(INDEX('Providers'!$H$4:$H$503,454))=0,"",INDEX('Providers'!$H$4:$H$503,454)))=0,"","DEA no.: "&amp;IF(LEN(INDEX('Providers'!$H$4:$H$503,454))=0,"",INDEX('Providers'!$H$4:$H$503,454))&amp;". ")&amp;IF(LEN(IF(LEN(INDEX('Providers'!$C$4:$C$503,454))=0,"",INDEX('Providers'!$C$4:$C$503,454)))=0,"","NPI: "&amp;IF(LEN(INDEX('Providers'!$C$4:$C$503,454))=0,"",INDEX('Providers'!$C$4:$C$503,454))&amp;". "))</f>
        <v/>
      </c>
      <c r="J957">
        <f>IF(LEN(INDEX('Providers'!$AJ$4:$AJ$503,454))=0,"",INDEX('Providers'!$AJ$4:$AJ$503,454))</f>
        <v/>
      </c>
      <c r="K957">
        <f>IF(LEN(INDEX('Providers'!$AI$4:$AI$503,454))=0,"",INDEX('Providers'!$AI$4:$AI$503,454))</f>
        <v/>
      </c>
    </row>
    <row r="958">
      <c r="A958">
        <f>IF(AND(LEN('Providers'!A458)&gt;0,ISNUMBER('Providers'!I458)),1,0)</f>
        <v/>
      </c>
      <c r="B958">
        <f>B957+A958</f>
        <v/>
      </c>
      <c r="C958">
        <f>IF(955&gt;$B$4503,"",MATCH(955-0.5,$B$3:$B$4503,1))</f>
        <v/>
      </c>
      <c r="D958">
        <f>"DEA registration ("&amp;IF(LEN(INDEX('Providers'!$E$4:$E$503,455))=0,"",INDEX('Providers'!$E$4:$E$503,455))&amp;") – "&amp;IF(LEN(INDEX('Providers'!$A$4:$A$503,455))=0,"",INDEX('Providers'!$A$4:$A$503,455))</f>
        <v/>
      </c>
      <c r="E958">
        <f>IF(ISNUMBER(INDEX('Providers'!$I$4:$I$503,455)),TEXT(INDEX('Providers'!$I$4:$I$503,455),"yyyy-mm-dd"),"")</f>
        <v/>
      </c>
      <c r="F958">
        <f>"Registration"</f>
        <v/>
      </c>
      <c r="G958">
        <f>""</f>
        <v/>
      </c>
      <c r="H958">
        <f>"High"</f>
        <v/>
      </c>
      <c r="I958">
        <f>TRIM(IF(LEN(IF(LEN(INDEX('Providers'!$H$4:$H$503,455))=0,"",INDEX('Providers'!$H$4:$H$503,455)))=0,"","DEA no.: "&amp;IF(LEN(INDEX('Providers'!$H$4:$H$503,455))=0,"",INDEX('Providers'!$H$4:$H$503,455))&amp;". ")&amp;IF(LEN(IF(LEN(INDEX('Providers'!$C$4:$C$503,455))=0,"",INDEX('Providers'!$C$4:$C$503,455)))=0,"","NPI: "&amp;IF(LEN(INDEX('Providers'!$C$4:$C$503,455))=0,"",INDEX('Providers'!$C$4:$C$503,455))&amp;". "))</f>
        <v/>
      </c>
      <c r="J958">
        <f>IF(LEN(INDEX('Providers'!$AJ$4:$AJ$503,455))=0,"",INDEX('Providers'!$AJ$4:$AJ$503,455))</f>
        <v/>
      </c>
      <c r="K958">
        <f>IF(LEN(INDEX('Providers'!$AI$4:$AI$503,455))=0,"",INDEX('Providers'!$AI$4:$AI$503,455))</f>
        <v/>
      </c>
    </row>
    <row r="959">
      <c r="A959">
        <f>IF(AND(LEN('Providers'!A459)&gt;0,ISNUMBER('Providers'!I459)),1,0)</f>
        <v/>
      </c>
      <c r="B959">
        <f>B958+A959</f>
        <v/>
      </c>
      <c r="C959">
        <f>IF(956&gt;$B$4503,"",MATCH(956-0.5,$B$3:$B$4503,1))</f>
        <v/>
      </c>
      <c r="D959">
        <f>"DEA registration ("&amp;IF(LEN(INDEX('Providers'!$E$4:$E$503,456))=0,"",INDEX('Providers'!$E$4:$E$503,456))&amp;") – "&amp;IF(LEN(INDEX('Providers'!$A$4:$A$503,456))=0,"",INDEX('Providers'!$A$4:$A$503,456))</f>
        <v/>
      </c>
      <c r="E959">
        <f>IF(ISNUMBER(INDEX('Providers'!$I$4:$I$503,456)),TEXT(INDEX('Providers'!$I$4:$I$503,456),"yyyy-mm-dd"),"")</f>
        <v/>
      </c>
      <c r="F959">
        <f>"Registration"</f>
        <v/>
      </c>
      <c r="G959">
        <f>""</f>
        <v/>
      </c>
      <c r="H959">
        <f>"High"</f>
        <v/>
      </c>
      <c r="I959">
        <f>TRIM(IF(LEN(IF(LEN(INDEX('Providers'!$H$4:$H$503,456))=0,"",INDEX('Providers'!$H$4:$H$503,456)))=0,"","DEA no.: "&amp;IF(LEN(INDEX('Providers'!$H$4:$H$503,456))=0,"",INDEX('Providers'!$H$4:$H$503,456))&amp;". ")&amp;IF(LEN(IF(LEN(INDEX('Providers'!$C$4:$C$503,456))=0,"",INDEX('Providers'!$C$4:$C$503,456)))=0,"","NPI: "&amp;IF(LEN(INDEX('Providers'!$C$4:$C$503,456))=0,"",INDEX('Providers'!$C$4:$C$503,456))&amp;". "))</f>
        <v/>
      </c>
      <c r="J959">
        <f>IF(LEN(INDEX('Providers'!$AJ$4:$AJ$503,456))=0,"",INDEX('Providers'!$AJ$4:$AJ$503,456))</f>
        <v/>
      </c>
      <c r="K959">
        <f>IF(LEN(INDEX('Providers'!$AI$4:$AI$503,456))=0,"",INDEX('Providers'!$AI$4:$AI$503,456))</f>
        <v/>
      </c>
    </row>
    <row r="960">
      <c r="A960">
        <f>IF(AND(LEN('Providers'!A460)&gt;0,ISNUMBER('Providers'!I460)),1,0)</f>
        <v/>
      </c>
      <c r="B960">
        <f>B959+A960</f>
        <v/>
      </c>
      <c r="C960">
        <f>IF(957&gt;$B$4503,"",MATCH(957-0.5,$B$3:$B$4503,1))</f>
        <v/>
      </c>
      <c r="D960">
        <f>"DEA registration ("&amp;IF(LEN(INDEX('Providers'!$E$4:$E$503,457))=0,"",INDEX('Providers'!$E$4:$E$503,457))&amp;") – "&amp;IF(LEN(INDEX('Providers'!$A$4:$A$503,457))=0,"",INDEX('Providers'!$A$4:$A$503,457))</f>
        <v/>
      </c>
      <c r="E960">
        <f>IF(ISNUMBER(INDEX('Providers'!$I$4:$I$503,457)),TEXT(INDEX('Providers'!$I$4:$I$503,457),"yyyy-mm-dd"),"")</f>
        <v/>
      </c>
      <c r="F960">
        <f>"Registration"</f>
        <v/>
      </c>
      <c r="G960">
        <f>""</f>
        <v/>
      </c>
      <c r="H960">
        <f>"High"</f>
        <v/>
      </c>
      <c r="I960">
        <f>TRIM(IF(LEN(IF(LEN(INDEX('Providers'!$H$4:$H$503,457))=0,"",INDEX('Providers'!$H$4:$H$503,457)))=0,"","DEA no.: "&amp;IF(LEN(INDEX('Providers'!$H$4:$H$503,457))=0,"",INDEX('Providers'!$H$4:$H$503,457))&amp;". ")&amp;IF(LEN(IF(LEN(INDEX('Providers'!$C$4:$C$503,457))=0,"",INDEX('Providers'!$C$4:$C$503,457)))=0,"","NPI: "&amp;IF(LEN(INDEX('Providers'!$C$4:$C$503,457))=0,"",INDEX('Providers'!$C$4:$C$503,457))&amp;". "))</f>
        <v/>
      </c>
      <c r="J960">
        <f>IF(LEN(INDEX('Providers'!$AJ$4:$AJ$503,457))=0,"",INDEX('Providers'!$AJ$4:$AJ$503,457))</f>
        <v/>
      </c>
      <c r="K960">
        <f>IF(LEN(INDEX('Providers'!$AI$4:$AI$503,457))=0,"",INDEX('Providers'!$AI$4:$AI$503,457))</f>
        <v/>
      </c>
    </row>
    <row r="961">
      <c r="A961">
        <f>IF(AND(LEN('Providers'!A461)&gt;0,ISNUMBER('Providers'!I461)),1,0)</f>
        <v/>
      </c>
      <c r="B961">
        <f>B960+A961</f>
        <v/>
      </c>
      <c r="C961">
        <f>IF(958&gt;$B$4503,"",MATCH(958-0.5,$B$3:$B$4503,1))</f>
        <v/>
      </c>
      <c r="D961">
        <f>"DEA registration ("&amp;IF(LEN(INDEX('Providers'!$E$4:$E$503,458))=0,"",INDEX('Providers'!$E$4:$E$503,458))&amp;") – "&amp;IF(LEN(INDEX('Providers'!$A$4:$A$503,458))=0,"",INDEX('Providers'!$A$4:$A$503,458))</f>
        <v/>
      </c>
      <c r="E961">
        <f>IF(ISNUMBER(INDEX('Providers'!$I$4:$I$503,458)),TEXT(INDEX('Providers'!$I$4:$I$503,458),"yyyy-mm-dd"),"")</f>
        <v/>
      </c>
      <c r="F961">
        <f>"Registration"</f>
        <v/>
      </c>
      <c r="G961">
        <f>""</f>
        <v/>
      </c>
      <c r="H961">
        <f>"High"</f>
        <v/>
      </c>
      <c r="I961">
        <f>TRIM(IF(LEN(IF(LEN(INDEX('Providers'!$H$4:$H$503,458))=0,"",INDEX('Providers'!$H$4:$H$503,458)))=0,"","DEA no.: "&amp;IF(LEN(INDEX('Providers'!$H$4:$H$503,458))=0,"",INDEX('Providers'!$H$4:$H$503,458))&amp;". ")&amp;IF(LEN(IF(LEN(INDEX('Providers'!$C$4:$C$503,458))=0,"",INDEX('Providers'!$C$4:$C$503,458)))=0,"","NPI: "&amp;IF(LEN(INDEX('Providers'!$C$4:$C$503,458))=0,"",INDEX('Providers'!$C$4:$C$503,458))&amp;". "))</f>
        <v/>
      </c>
      <c r="J961">
        <f>IF(LEN(INDEX('Providers'!$AJ$4:$AJ$503,458))=0,"",INDEX('Providers'!$AJ$4:$AJ$503,458))</f>
        <v/>
      </c>
      <c r="K961">
        <f>IF(LEN(INDEX('Providers'!$AI$4:$AI$503,458))=0,"",INDEX('Providers'!$AI$4:$AI$503,458))</f>
        <v/>
      </c>
    </row>
    <row r="962">
      <c r="A962">
        <f>IF(AND(LEN('Providers'!A462)&gt;0,ISNUMBER('Providers'!I462)),1,0)</f>
        <v/>
      </c>
      <c r="B962">
        <f>B961+A962</f>
        <v/>
      </c>
      <c r="C962">
        <f>IF(959&gt;$B$4503,"",MATCH(959-0.5,$B$3:$B$4503,1))</f>
        <v/>
      </c>
      <c r="D962">
        <f>"DEA registration ("&amp;IF(LEN(INDEX('Providers'!$E$4:$E$503,459))=0,"",INDEX('Providers'!$E$4:$E$503,459))&amp;") – "&amp;IF(LEN(INDEX('Providers'!$A$4:$A$503,459))=0,"",INDEX('Providers'!$A$4:$A$503,459))</f>
        <v/>
      </c>
      <c r="E962">
        <f>IF(ISNUMBER(INDEX('Providers'!$I$4:$I$503,459)),TEXT(INDEX('Providers'!$I$4:$I$503,459),"yyyy-mm-dd"),"")</f>
        <v/>
      </c>
      <c r="F962">
        <f>"Registration"</f>
        <v/>
      </c>
      <c r="G962">
        <f>""</f>
        <v/>
      </c>
      <c r="H962">
        <f>"High"</f>
        <v/>
      </c>
      <c r="I962">
        <f>TRIM(IF(LEN(IF(LEN(INDEX('Providers'!$H$4:$H$503,459))=0,"",INDEX('Providers'!$H$4:$H$503,459)))=0,"","DEA no.: "&amp;IF(LEN(INDEX('Providers'!$H$4:$H$503,459))=0,"",INDEX('Providers'!$H$4:$H$503,459))&amp;". ")&amp;IF(LEN(IF(LEN(INDEX('Providers'!$C$4:$C$503,459))=0,"",INDEX('Providers'!$C$4:$C$503,459)))=0,"","NPI: "&amp;IF(LEN(INDEX('Providers'!$C$4:$C$503,459))=0,"",INDEX('Providers'!$C$4:$C$503,459))&amp;". "))</f>
        <v/>
      </c>
      <c r="J962">
        <f>IF(LEN(INDEX('Providers'!$AJ$4:$AJ$503,459))=0,"",INDEX('Providers'!$AJ$4:$AJ$503,459))</f>
        <v/>
      </c>
      <c r="K962">
        <f>IF(LEN(INDEX('Providers'!$AI$4:$AI$503,459))=0,"",INDEX('Providers'!$AI$4:$AI$503,459))</f>
        <v/>
      </c>
    </row>
    <row r="963">
      <c r="A963">
        <f>IF(AND(LEN('Providers'!A463)&gt;0,ISNUMBER('Providers'!I463)),1,0)</f>
        <v/>
      </c>
      <c r="B963">
        <f>B962+A963</f>
        <v/>
      </c>
      <c r="C963">
        <f>IF(960&gt;$B$4503,"",MATCH(960-0.5,$B$3:$B$4503,1))</f>
        <v/>
      </c>
      <c r="D963">
        <f>"DEA registration ("&amp;IF(LEN(INDEX('Providers'!$E$4:$E$503,460))=0,"",INDEX('Providers'!$E$4:$E$503,460))&amp;") – "&amp;IF(LEN(INDEX('Providers'!$A$4:$A$503,460))=0,"",INDEX('Providers'!$A$4:$A$503,460))</f>
        <v/>
      </c>
      <c r="E963">
        <f>IF(ISNUMBER(INDEX('Providers'!$I$4:$I$503,460)),TEXT(INDEX('Providers'!$I$4:$I$503,460),"yyyy-mm-dd"),"")</f>
        <v/>
      </c>
      <c r="F963">
        <f>"Registration"</f>
        <v/>
      </c>
      <c r="G963">
        <f>""</f>
        <v/>
      </c>
      <c r="H963">
        <f>"High"</f>
        <v/>
      </c>
      <c r="I963">
        <f>TRIM(IF(LEN(IF(LEN(INDEX('Providers'!$H$4:$H$503,460))=0,"",INDEX('Providers'!$H$4:$H$503,460)))=0,"","DEA no.: "&amp;IF(LEN(INDEX('Providers'!$H$4:$H$503,460))=0,"",INDEX('Providers'!$H$4:$H$503,460))&amp;". ")&amp;IF(LEN(IF(LEN(INDEX('Providers'!$C$4:$C$503,460))=0,"",INDEX('Providers'!$C$4:$C$503,460)))=0,"","NPI: "&amp;IF(LEN(INDEX('Providers'!$C$4:$C$503,460))=0,"",INDEX('Providers'!$C$4:$C$503,460))&amp;". "))</f>
        <v/>
      </c>
      <c r="J963">
        <f>IF(LEN(INDEX('Providers'!$AJ$4:$AJ$503,460))=0,"",INDEX('Providers'!$AJ$4:$AJ$503,460))</f>
        <v/>
      </c>
      <c r="K963">
        <f>IF(LEN(INDEX('Providers'!$AI$4:$AI$503,460))=0,"",INDEX('Providers'!$AI$4:$AI$503,460))</f>
        <v/>
      </c>
    </row>
    <row r="964">
      <c r="A964">
        <f>IF(AND(LEN('Providers'!A464)&gt;0,ISNUMBER('Providers'!I464)),1,0)</f>
        <v/>
      </c>
      <c r="B964">
        <f>B963+A964</f>
        <v/>
      </c>
      <c r="C964">
        <f>IF(961&gt;$B$4503,"",MATCH(961-0.5,$B$3:$B$4503,1))</f>
        <v/>
      </c>
      <c r="D964">
        <f>"DEA registration ("&amp;IF(LEN(INDEX('Providers'!$E$4:$E$503,461))=0,"",INDEX('Providers'!$E$4:$E$503,461))&amp;") – "&amp;IF(LEN(INDEX('Providers'!$A$4:$A$503,461))=0,"",INDEX('Providers'!$A$4:$A$503,461))</f>
        <v/>
      </c>
      <c r="E964">
        <f>IF(ISNUMBER(INDEX('Providers'!$I$4:$I$503,461)),TEXT(INDEX('Providers'!$I$4:$I$503,461),"yyyy-mm-dd"),"")</f>
        <v/>
      </c>
      <c r="F964">
        <f>"Registration"</f>
        <v/>
      </c>
      <c r="G964">
        <f>""</f>
        <v/>
      </c>
      <c r="H964">
        <f>"High"</f>
        <v/>
      </c>
      <c r="I964">
        <f>TRIM(IF(LEN(IF(LEN(INDEX('Providers'!$H$4:$H$503,461))=0,"",INDEX('Providers'!$H$4:$H$503,461)))=0,"","DEA no.: "&amp;IF(LEN(INDEX('Providers'!$H$4:$H$503,461))=0,"",INDEX('Providers'!$H$4:$H$503,461))&amp;". ")&amp;IF(LEN(IF(LEN(INDEX('Providers'!$C$4:$C$503,461))=0,"",INDEX('Providers'!$C$4:$C$503,461)))=0,"","NPI: "&amp;IF(LEN(INDEX('Providers'!$C$4:$C$503,461))=0,"",INDEX('Providers'!$C$4:$C$503,461))&amp;". "))</f>
        <v/>
      </c>
      <c r="J964">
        <f>IF(LEN(INDEX('Providers'!$AJ$4:$AJ$503,461))=0,"",INDEX('Providers'!$AJ$4:$AJ$503,461))</f>
        <v/>
      </c>
      <c r="K964">
        <f>IF(LEN(INDEX('Providers'!$AI$4:$AI$503,461))=0,"",INDEX('Providers'!$AI$4:$AI$503,461))</f>
        <v/>
      </c>
    </row>
    <row r="965">
      <c r="A965">
        <f>IF(AND(LEN('Providers'!A465)&gt;0,ISNUMBER('Providers'!I465)),1,0)</f>
        <v/>
      </c>
      <c r="B965">
        <f>B964+A965</f>
        <v/>
      </c>
      <c r="C965">
        <f>IF(962&gt;$B$4503,"",MATCH(962-0.5,$B$3:$B$4503,1))</f>
        <v/>
      </c>
      <c r="D965">
        <f>"DEA registration ("&amp;IF(LEN(INDEX('Providers'!$E$4:$E$503,462))=0,"",INDEX('Providers'!$E$4:$E$503,462))&amp;") – "&amp;IF(LEN(INDEX('Providers'!$A$4:$A$503,462))=0,"",INDEX('Providers'!$A$4:$A$503,462))</f>
        <v/>
      </c>
      <c r="E965">
        <f>IF(ISNUMBER(INDEX('Providers'!$I$4:$I$503,462)),TEXT(INDEX('Providers'!$I$4:$I$503,462),"yyyy-mm-dd"),"")</f>
        <v/>
      </c>
      <c r="F965">
        <f>"Registration"</f>
        <v/>
      </c>
      <c r="G965">
        <f>""</f>
        <v/>
      </c>
      <c r="H965">
        <f>"High"</f>
        <v/>
      </c>
      <c r="I965">
        <f>TRIM(IF(LEN(IF(LEN(INDEX('Providers'!$H$4:$H$503,462))=0,"",INDEX('Providers'!$H$4:$H$503,462)))=0,"","DEA no.: "&amp;IF(LEN(INDEX('Providers'!$H$4:$H$503,462))=0,"",INDEX('Providers'!$H$4:$H$503,462))&amp;". ")&amp;IF(LEN(IF(LEN(INDEX('Providers'!$C$4:$C$503,462))=0,"",INDEX('Providers'!$C$4:$C$503,462)))=0,"","NPI: "&amp;IF(LEN(INDEX('Providers'!$C$4:$C$503,462))=0,"",INDEX('Providers'!$C$4:$C$503,462))&amp;". "))</f>
        <v/>
      </c>
      <c r="J965">
        <f>IF(LEN(INDEX('Providers'!$AJ$4:$AJ$503,462))=0,"",INDEX('Providers'!$AJ$4:$AJ$503,462))</f>
        <v/>
      </c>
      <c r="K965">
        <f>IF(LEN(INDEX('Providers'!$AI$4:$AI$503,462))=0,"",INDEX('Providers'!$AI$4:$AI$503,462))</f>
        <v/>
      </c>
    </row>
    <row r="966">
      <c r="A966">
        <f>IF(AND(LEN('Providers'!A466)&gt;0,ISNUMBER('Providers'!I466)),1,0)</f>
        <v/>
      </c>
      <c r="B966">
        <f>B965+A966</f>
        <v/>
      </c>
      <c r="C966">
        <f>IF(963&gt;$B$4503,"",MATCH(963-0.5,$B$3:$B$4503,1))</f>
        <v/>
      </c>
      <c r="D966">
        <f>"DEA registration ("&amp;IF(LEN(INDEX('Providers'!$E$4:$E$503,463))=0,"",INDEX('Providers'!$E$4:$E$503,463))&amp;") – "&amp;IF(LEN(INDEX('Providers'!$A$4:$A$503,463))=0,"",INDEX('Providers'!$A$4:$A$503,463))</f>
        <v/>
      </c>
      <c r="E966">
        <f>IF(ISNUMBER(INDEX('Providers'!$I$4:$I$503,463)),TEXT(INDEX('Providers'!$I$4:$I$503,463),"yyyy-mm-dd"),"")</f>
        <v/>
      </c>
      <c r="F966">
        <f>"Registration"</f>
        <v/>
      </c>
      <c r="G966">
        <f>""</f>
        <v/>
      </c>
      <c r="H966">
        <f>"High"</f>
        <v/>
      </c>
      <c r="I966">
        <f>TRIM(IF(LEN(IF(LEN(INDEX('Providers'!$H$4:$H$503,463))=0,"",INDEX('Providers'!$H$4:$H$503,463)))=0,"","DEA no.: "&amp;IF(LEN(INDEX('Providers'!$H$4:$H$503,463))=0,"",INDEX('Providers'!$H$4:$H$503,463))&amp;". ")&amp;IF(LEN(IF(LEN(INDEX('Providers'!$C$4:$C$503,463))=0,"",INDEX('Providers'!$C$4:$C$503,463)))=0,"","NPI: "&amp;IF(LEN(INDEX('Providers'!$C$4:$C$503,463))=0,"",INDEX('Providers'!$C$4:$C$503,463))&amp;". "))</f>
        <v/>
      </c>
      <c r="J966">
        <f>IF(LEN(INDEX('Providers'!$AJ$4:$AJ$503,463))=0,"",INDEX('Providers'!$AJ$4:$AJ$503,463))</f>
        <v/>
      </c>
      <c r="K966">
        <f>IF(LEN(INDEX('Providers'!$AI$4:$AI$503,463))=0,"",INDEX('Providers'!$AI$4:$AI$503,463))</f>
        <v/>
      </c>
    </row>
    <row r="967">
      <c r="A967">
        <f>IF(AND(LEN('Providers'!A467)&gt;0,ISNUMBER('Providers'!I467)),1,0)</f>
        <v/>
      </c>
      <c r="B967">
        <f>B966+A967</f>
        <v/>
      </c>
      <c r="C967">
        <f>IF(964&gt;$B$4503,"",MATCH(964-0.5,$B$3:$B$4503,1))</f>
        <v/>
      </c>
      <c r="D967">
        <f>"DEA registration ("&amp;IF(LEN(INDEX('Providers'!$E$4:$E$503,464))=0,"",INDEX('Providers'!$E$4:$E$503,464))&amp;") – "&amp;IF(LEN(INDEX('Providers'!$A$4:$A$503,464))=0,"",INDEX('Providers'!$A$4:$A$503,464))</f>
        <v/>
      </c>
      <c r="E967">
        <f>IF(ISNUMBER(INDEX('Providers'!$I$4:$I$503,464)),TEXT(INDEX('Providers'!$I$4:$I$503,464),"yyyy-mm-dd"),"")</f>
        <v/>
      </c>
      <c r="F967">
        <f>"Registration"</f>
        <v/>
      </c>
      <c r="G967">
        <f>""</f>
        <v/>
      </c>
      <c r="H967">
        <f>"High"</f>
        <v/>
      </c>
      <c r="I967">
        <f>TRIM(IF(LEN(IF(LEN(INDEX('Providers'!$H$4:$H$503,464))=0,"",INDEX('Providers'!$H$4:$H$503,464)))=0,"","DEA no.: "&amp;IF(LEN(INDEX('Providers'!$H$4:$H$503,464))=0,"",INDEX('Providers'!$H$4:$H$503,464))&amp;". ")&amp;IF(LEN(IF(LEN(INDEX('Providers'!$C$4:$C$503,464))=0,"",INDEX('Providers'!$C$4:$C$503,464)))=0,"","NPI: "&amp;IF(LEN(INDEX('Providers'!$C$4:$C$503,464))=0,"",INDEX('Providers'!$C$4:$C$503,464))&amp;". "))</f>
        <v/>
      </c>
      <c r="J967">
        <f>IF(LEN(INDEX('Providers'!$AJ$4:$AJ$503,464))=0,"",INDEX('Providers'!$AJ$4:$AJ$503,464))</f>
        <v/>
      </c>
      <c r="K967">
        <f>IF(LEN(INDEX('Providers'!$AI$4:$AI$503,464))=0,"",INDEX('Providers'!$AI$4:$AI$503,464))</f>
        <v/>
      </c>
    </row>
    <row r="968">
      <c r="A968">
        <f>IF(AND(LEN('Providers'!A468)&gt;0,ISNUMBER('Providers'!I468)),1,0)</f>
        <v/>
      </c>
      <c r="B968">
        <f>B967+A968</f>
        <v/>
      </c>
      <c r="C968">
        <f>IF(965&gt;$B$4503,"",MATCH(965-0.5,$B$3:$B$4503,1))</f>
        <v/>
      </c>
      <c r="D968">
        <f>"DEA registration ("&amp;IF(LEN(INDEX('Providers'!$E$4:$E$503,465))=0,"",INDEX('Providers'!$E$4:$E$503,465))&amp;") – "&amp;IF(LEN(INDEX('Providers'!$A$4:$A$503,465))=0,"",INDEX('Providers'!$A$4:$A$503,465))</f>
        <v/>
      </c>
      <c r="E968">
        <f>IF(ISNUMBER(INDEX('Providers'!$I$4:$I$503,465)),TEXT(INDEX('Providers'!$I$4:$I$503,465),"yyyy-mm-dd"),"")</f>
        <v/>
      </c>
      <c r="F968">
        <f>"Registration"</f>
        <v/>
      </c>
      <c r="G968">
        <f>""</f>
        <v/>
      </c>
      <c r="H968">
        <f>"High"</f>
        <v/>
      </c>
      <c r="I968">
        <f>TRIM(IF(LEN(IF(LEN(INDEX('Providers'!$H$4:$H$503,465))=0,"",INDEX('Providers'!$H$4:$H$503,465)))=0,"","DEA no.: "&amp;IF(LEN(INDEX('Providers'!$H$4:$H$503,465))=0,"",INDEX('Providers'!$H$4:$H$503,465))&amp;". ")&amp;IF(LEN(IF(LEN(INDEX('Providers'!$C$4:$C$503,465))=0,"",INDEX('Providers'!$C$4:$C$503,465)))=0,"","NPI: "&amp;IF(LEN(INDEX('Providers'!$C$4:$C$503,465))=0,"",INDEX('Providers'!$C$4:$C$503,465))&amp;". "))</f>
        <v/>
      </c>
      <c r="J968">
        <f>IF(LEN(INDEX('Providers'!$AJ$4:$AJ$503,465))=0,"",INDEX('Providers'!$AJ$4:$AJ$503,465))</f>
        <v/>
      </c>
      <c r="K968">
        <f>IF(LEN(INDEX('Providers'!$AI$4:$AI$503,465))=0,"",INDEX('Providers'!$AI$4:$AI$503,465))</f>
        <v/>
      </c>
    </row>
    <row r="969">
      <c r="A969">
        <f>IF(AND(LEN('Providers'!A469)&gt;0,ISNUMBER('Providers'!I469)),1,0)</f>
        <v/>
      </c>
      <c r="B969">
        <f>B968+A969</f>
        <v/>
      </c>
      <c r="C969">
        <f>IF(966&gt;$B$4503,"",MATCH(966-0.5,$B$3:$B$4503,1))</f>
        <v/>
      </c>
      <c r="D969">
        <f>"DEA registration ("&amp;IF(LEN(INDEX('Providers'!$E$4:$E$503,466))=0,"",INDEX('Providers'!$E$4:$E$503,466))&amp;") – "&amp;IF(LEN(INDEX('Providers'!$A$4:$A$503,466))=0,"",INDEX('Providers'!$A$4:$A$503,466))</f>
        <v/>
      </c>
      <c r="E969">
        <f>IF(ISNUMBER(INDEX('Providers'!$I$4:$I$503,466)),TEXT(INDEX('Providers'!$I$4:$I$503,466),"yyyy-mm-dd"),"")</f>
        <v/>
      </c>
      <c r="F969">
        <f>"Registration"</f>
        <v/>
      </c>
      <c r="G969">
        <f>""</f>
        <v/>
      </c>
      <c r="H969">
        <f>"High"</f>
        <v/>
      </c>
      <c r="I969">
        <f>TRIM(IF(LEN(IF(LEN(INDEX('Providers'!$H$4:$H$503,466))=0,"",INDEX('Providers'!$H$4:$H$503,466)))=0,"","DEA no.: "&amp;IF(LEN(INDEX('Providers'!$H$4:$H$503,466))=0,"",INDEX('Providers'!$H$4:$H$503,466))&amp;". ")&amp;IF(LEN(IF(LEN(INDEX('Providers'!$C$4:$C$503,466))=0,"",INDEX('Providers'!$C$4:$C$503,466)))=0,"","NPI: "&amp;IF(LEN(INDEX('Providers'!$C$4:$C$503,466))=0,"",INDEX('Providers'!$C$4:$C$503,466))&amp;". "))</f>
        <v/>
      </c>
      <c r="J969">
        <f>IF(LEN(INDEX('Providers'!$AJ$4:$AJ$503,466))=0,"",INDEX('Providers'!$AJ$4:$AJ$503,466))</f>
        <v/>
      </c>
      <c r="K969">
        <f>IF(LEN(INDEX('Providers'!$AI$4:$AI$503,466))=0,"",INDEX('Providers'!$AI$4:$AI$503,466))</f>
        <v/>
      </c>
    </row>
    <row r="970">
      <c r="A970">
        <f>IF(AND(LEN('Providers'!A470)&gt;0,ISNUMBER('Providers'!I470)),1,0)</f>
        <v/>
      </c>
      <c r="B970">
        <f>B969+A970</f>
        <v/>
      </c>
      <c r="C970">
        <f>IF(967&gt;$B$4503,"",MATCH(967-0.5,$B$3:$B$4503,1))</f>
        <v/>
      </c>
      <c r="D970">
        <f>"DEA registration ("&amp;IF(LEN(INDEX('Providers'!$E$4:$E$503,467))=0,"",INDEX('Providers'!$E$4:$E$503,467))&amp;") – "&amp;IF(LEN(INDEX('Providers'!$A$4:$A$503,467))=0,"",INDEX('Providers'!$A$4:$A$503,467))</f>
        <v/>
      </c>
      <c r="E970">
        <f>IF(ISNUMBER(INDEX('Providers'!$I$4:$I$503,467)),TEXT(INDEX('Providers'!$I$4:$I$503,467),"yyyy-mm-dd"),"")</f>
        <v/>
      </c>
      <c r="F970">
        <f>"Registration"</f>
        <v/>
      </c>
      <c r="G970">
        <f>""</f>
        <v/>
      </c>
      <c r="H970">
        <f>"High"</f>
        <v/>
      </c>
      <c r="I970">
        <f>TRIM(IF(LEN(IF(LEN(INDEX('Providers'!$H$4:$H$503,467))=0,"",INDEX('Providers'!$H$4:$H$503,467)))=0,"","DEA no.: "&amp;IF(LEN(INDEX('Providers'!$H$4:$H$503,467))=0,"",INDEX('Providers'!$H$4:$H$503,467))&amp;". ")&amp;IF(LEN(IF(LEN(INDEX('Providers'!$C$4:$C$503,467))=0,"",INDEX('Providers'!$C$4:$C$503,467)))=0,"","NPI: "&amp;IF(LEN(INDEX('Providers'!$C$4:$C$503,467))=0,"",INDEX('Providers'!$C$4:$C$503,467))&amp;". "))</f>
        <v/>
      </c>
      <c r="J970">
        <f>IF(LEN(INDEX('Providers'!$AJ$4:$AJ$503,467))=0,"",INDEX('Providers'!$AJ$4:$AJ$503,467))</f>
        <v/>
      </c>
      <c r="K970">
        <f>IF(LEN(INDEX('Providers'!$AI$4:$AI$503,467))=0,"",INDEX('Providers'!$AI$4:$AI$503,467))</f>
        <v/>
      </c>
    </row>
    <row r="971">
      <c r="A971">
        <f>IF(AND(LEN('Providers'!A471)&gt;0,ISNUMBER('Providers'!I471)),1,0)</f>
        <v/>
      </c>
      <c r="B971">
        <f>B970+A971</f>
        <v/>
      </c>
      <c r="C971">
        <f>IF(968&gt;$B$4503,"",MATCH(968-0.5,$B$3:$B$4503,1))</f>
        <v/>
      </c>
      <c r="D971">
        <f>"DEA registration ("&amp;IF(LEN(INDEX('Providers'!$E$4:$E$503,468))=0,"",INDEX('Providers'!$E$4:$E$503,468))&amp;") – "&amp;IF(LEN(INDEX('Providers'!$A$4:$A$503,468))=0,"",INDEX('Providers'!$A$4:$A$503,468))</f>
        <v/>
      </c>
      <c r="E971">
        <f>IF(ISNUMBER(INDEX('Providers'!$I$4:$I$503,468)),TEXT(INDEX('Providers'!$I$4:$I$503,468),"yyyy-mm-dd"),"")</f>
        <v/>
      </c>
      <c r="F971">
        <f>"Registration"</f>
        <v/>
      </c>
      <c r="G971">
        <f>""</f>
        <v/>
      </c>
      <c r="H971">
        <f>"High"</f>
        <v/>
      </c>
      <c r="I971">
        <f>TRIM(IF(LEN(IF(LEN(INDEX('Providers'!$H$4:$H$503,468))=0,"",INDEX('Providers'!$H$4:$H$503,468)))=0,"","DEA no.: "&amp;IF(LEN(INDEX('Providers'!$H$4:$H$503,468))=0,"",INDEX('Providers'!$H$4:$H$503,468))&amp;". ")&amp;IF(LEN(IF(LEN(INDEX('Providers'!$C$4:$C$503,468))=0,"",INDEX('Providers'!$C$4:$C$503,468)))=0,"","NPI: "&amp;IF(LEN(INDEX('Providers'!$C$4:$C$503,468))=0,"",INDEX('Providers'!$C$4:$C$503,468))&amp;". "))</f>
        <v/>
      </c>
      <c r="J971">
        <f>IF(LEN(INDEX('Providers'!$AJ$4:$AJ$503,468))=0,"",INDEX('Providers'!$AJ$4:$AJ$503,468))</f>
        <v/>
      </c>
      <c r="K971">
        <f>IF(LEN(INDEX('Providers'!$AI$4:$AI$503,468))=0,"",INDEX('Providers'!$AI$4:$AI$503,468))</f>
        <v/>
      </c>
    </row>
    <row r="972">
      <c r="A972">
        <f>IF(AND(LEN('Providers'!A472)&gt;0,ISNUMBER('Providers'!I472)),1,0)</f>
        <v/>
      </c>
      <c r="B972">
        <f>B971+A972</f>
        <v/>
      </c>
      <c r="C972">
        <f>IF(969&gt;$B$4503,"",MATCH(969-0.5,$B$3:$B$4503,1))</f>
        <v/>
      </c>
      <c r="D972">
        <f>"DEA registration ("&amp;IF(LEN(INDEX('Providers'!$E$4:$E$503,469))=0,"",INDEX('Providers'!$E$4:$E$503,469))&amp;") – "&amp;IF(LEN(INDEX('Providers'!$A$4:$A$503,469))=0,"",INDEX('Providers'!$A$4:$A$503,469))</f>
        <v/>
      </c>
      <c r="E972">
        <f>IF(ISNUMBER(INDEX('Providers'!$I$4:$I$503,469)),TEXT(INDEX('Providers'!$I$4:$I$503,469),"yyyy-mm-dd"),"")</f>
        <v/>
      </c>
      <c r="F972">
        <f>"Registration"</f>
        <v/>
      </c>
      <c r="G972">
        <f>""</f>
        <v/>
      </c>
      <c r="H972">
        <f>"High"</f>
        <v/>
      </c>
      <c r="I972">
        <f>TRIM(IF(LEN(IF(LEN(INDEX('Providers'!$H$4:$H$503,469))=0,"",INDEX('Providers'!$H$4:$H$503,469)))=0,"","DEA no.: "&amp;IF(LEN(INDEX('Providers'!$H$4:$H$503,469))=0,"",INDEX('Providers'!$H$4:$H$503,469))&amp;". ")&amp;IF(LEN(IF(LEN(INDEX('Providers'!$C$4:$C$503,469))=0,"",INDEX('Providers'!$C$4:$C$503,469)))=0,"","NPI: "&amp;IF(LEN(INDEX('Providers'!$C$4:$C$503,469))=0,"",INDEX('Providers'!$C$4:$C$503,469))&amp;". "))</f>
        <v/>
      </c>
      <c r="J972">
        <f>IF(LEN(INDEX('Providers'!$AJ$4:$AJ$503,469))=0,"",INDEX('Providers'!$AJ$4:$AJ$503,469))</f>
        <v/>
      </c>
      <c r="K972">
        <f>IF(LEN(INDEX('Providers'!$AI$4:$AI$503,469))=0,"",INDEX('Providers'!$AI$4:$AI$503,469))</f>
        <v/>
      </c>
    </row>
    <row r="973">
      <c r="A973">
        <f>IF(AND(LEN('Providers'!A473)&gt;0,ISNUMBER('Providers'!I473)),1,0)</f>
        <v/>
      </c>
      <c r="B973">
        <f>B972+A973</f>
        <v/>
      </c>
      <c r="C973">
        <f>IF(970&gt;$B$4503,"",MATCH(970-0.5,$B$3:$B$4503,1))</f>
        <v/>
      </c>
      <c r="D973">
        <f>"DEA registration ("&amp;IF(LEN(INDEX('Providers'!$E$4:$E$503,470))=0,"",INDEX('Providers'!$E$4:$E$503,470))&amp;") – "&amp;IF(LEN(INDEX('Providers'!$A$4:$A$503,470))=0,"",INDEX('Providers'!$A$4:$A$503,470))</f>
        <v/>
      </c>
      <c r="E973">
        <f>IF(ISNUMBER(INDEX('Providers'!$I$4:$I$503,470)),TEXT(INDEX('Providers'!$I$4:$I$503,470),"yyyy-mm-dd"),"")</f>
        <v/>
      </c>
      <c r="F973">
        <f>"Registration"</f>
        <v/>
      </c>
      <c r="G973">
        <f>""</f>
        <v/>
      </c>
      <c r="H973">
        <f>"High"</f>
        <v/>
      </c>
      <c r="I973">
        <f>TRIM(IF(LEN(IF(LEN(INDEX('Providers'!$H$4:$H$503,470))=0,"",INDEX('Providers'!$H$4:$H$503,470)))=0,"","DEA no.: "&amp;IF(LEN(INDEX('Providers'!$H$4:$H$503,470))=0,"",INDEX('Providers'!$H$4:$H$503,470))&amp;". ")&amp;IF(LEN(IF(LEN(INDEX('Providers'!$C$4:$C$503,470))=0,"",INDEX('Providers'!$C$4:$C$503,470)))=0,"","NPI: "&amp;IF(LEN(INDEX('Providers'!$C$4:$C$503,470))=0,"",INDEX('Providers'!$C$4:$C$503,470))&amp;". "))</f>
        <v/>
      </c>
      <c r="J973">
        <f>IF(LEN(INDEX('Providers'!$AJ$4:$AJ$503,470))=0,"",INDEX('Providers'!$AJ$4:$AJ$503,470))</f>
        <v/>
      </c>
      <c r="K973">
        <f>IF(LEN(INDEX('Providers'!$AI$4:$AI$503,470))=0,"",INDEX('Providers'!$AI$4:$AI$503,470))</f>
        <v/>
      </c>
    </row>
    <row r="974">
      <c r="A974">
        <f>IF(AND(LEN('Providers'!A474)&gt;0,ISNUMBER('Providers'!I474)),1,0)</f>
        <v/>
      </c>
      <c r="B974">
        <f>B973+A974</f>
        <v/>
      </c>
      <c r="C974">
        <f>IF(971&gt;$B$4503,"",MATCH(971-0.5,$B$3:$B$4503,1))</f>
        <v/>
      </c>
      <c r="D974">
        <f>"DEA registration ("&amp;IF(LEN(INDEX('Providers'!$E$4:$E$503,471))=0,"",INDEX('Providers'!$E$4:$E$503,471))&amp;") – "&amp;IF(LEN(INDEX('Providers'!$A$4:$A$503,471))=0,"",INDEX('Providers'!$A$4:$A$503,471))</f>
        <v/>
      </c>
      <c r="E974">
        <f>IF(ISNUMBER(INDEX('Providers'!$I$4:$I$503,471)),TEXT(INDEX('Providers'!$I$4:$I$503,471),"yyyy-mm-dd"),"")</f>
        <v/>
      </c>
      <c r="F974">
        <f>"Registration"</f>
        <v/>
      </c>
      <c r="G974">
        <f>""</f>
        <v/>
      </c>
      <c r="H974">
        <f>"High"</f>
        <v/>
      </c>
      <c r="I974">
        <f>TRIM(IF(LEN(IF(LEN(INDEX('Providers'!$H$4:$H$503,471))=0,"",INDEX('Providers'!$H$4:$H$503,471)))=0,"","DEA no.: "&amp;IF(LEN(INDEX('Providers'!$H$4:$H$503,471))=0,"",INDEX('Providers'!$H$4:$H$503,471))&amp;". ")&amp;IF(LEN(IF(LEN(INDEX('Providers'!$C$4:$C$503,471))=0,"",INDEX('Providers'!$C$4:$C$503,471)))=0,"","NPI: "&amp;IF(LEN(INDEX('Providers'!$C$4:$C$503,471))=0,"",INDEX('Providers'!$C$4:$C$503,471))&amp;". "))</f>
        <v/>
      </c>
      <c r="J974">
        <f>IF(LEN(INDEX('Providers'!$AJ$4:$AJ$503,471))=0,"",INDEX('Providers'!$AJ$4:$AJ$503,471))</f>
        <v/>
      </c>
      <c r="K974">
        <f>IF(LEN(INDEX('Providers'!$AI$4:$AI$503,471))=0,"",INDEX('Providers'!$AI$4:$AI$503,471))</f>
        <v/>
      </c>
    </row>
    <row r="975">
      <c r="A975">
        <f>IF(AND(LEN('Providers'!A475)&gt;0,ISNUMBER('Providers'!I475)),1,0)</f>
        <v/>
      </c>
      <c r="B975">
        <f>B974+A975</f>
        <v/>
      </c>
      <c r="C975">
        <f>IF(972&gt;$B$4503,"",MATCH(972-0.5,$B$3:$B$4503,1))</f>
        <v/>
      </c>
      <c r="D975">
        <f>"DEA registration ("&amp;IF(LEN(INDEX('Providers'!$E$4:$E$503,472))=0,"",INDEX('Providers'!$E$4:$E$503,472))&amp;") – "&amp;IF(LEN(INDEX('Providers'!$A$4:$A$503,472))=0,"",INDEX('Providers'!$A$4:$A$503,472))</f>
        <v/>
      </c>
      <c r="E975">
        <f>IF(ISNUMBER(INDEX('Providers'!$I$4:$I$503,472)),TEXT(INDEX('Providers'!$I$4:$I$503,472),"yyyy-mm-dd"),"")</f>
        <v/>
      </c>
      <c r="F975">
        <f>"Registration"</f>
        <v/>
      </c>
      <c r="G975">
        <f>""</f>
        <v/>
      </c>
      <c r="H975">
        <f>"High"</f>
        <v/>
      </c>
      <c r="I975">
        <f>TRIM(IF(LEN(IF(LEN(INDEX('Providers'!$H$4:$H$503,472))=0,"",INDEX('Providers'!$H$4:$H$503,472)))=0,"","DEA no.: "&amp;IF(LEN(INDEX('Providers'!$H$4:$H$503,472))=0,"",INDEX('Providers'!$H$4:$H$503,472))&amp;". ")&amp;IF(LEN(IF(LEN(INDEX('Providers'!$C$4:$C$503,472))=0,"",INDEX('Providers'!$C$4:$C$503,472)))=0,"","NPI: "&amp;IF(LEN(INDEX('Providers'!$C$4:$C$503,472))=0,"",INDEX('Providers'!$C$4:$C$503,472))&amp;". "))</f>
        <v/>
      </c>
      <c r="J975">
        <f>IF(LEN(INDEX('Providers'!$AJ$4:$AJ$503,472))=0,"",INDEX('Providers'!$AJ$4:$AJ$503,472))</f>
        <v/>
      </c>
      <c r="K975">
        <f>IF(LEN(INDEX('Providers'!$AI$4:$AI$503,472))=0,"",INDEX('Providers'!$AI$4:$AI$503,472))</f>
        <v/>
      </c>
    </row>
    <row r="976">
      <c r="A976">
        <f>IF(AND(LEN('Providers'!A476)&gt;0,ISNUMBER('Providers'!I476)),1,0)</f>
        <v/>
      </c>
      <c r="B976">
        <f>B975+A976</f>
        <v/>
      </c>
      <c r="C976">
        <f>IF(973&gt;$B$4503,"",MATCH(973-0.5,$B$3:$B$4503,1))</f>
        <v/>
      </c>
      <c r="D976">
        <f>"DEA registration ("&amp;IF(LEN(INDEX('Providers'!$E$4:$E$503,473))=0,"",INDEX('Providers'!$E$4:$E$503,473))&amp;") – "&amp;IF(LEN(INDEX('Providers'!$A$4:$A$503,473))=0,"",INDEX('Providers'!$A$4:$A$503,473))</f>
        <v/>
      </c>
      <c r="E976">
        <f>IF(ISNUMBER(INDEX('Providers'!$I$4:$I$503,473)),TEXT(INDEX('Providers'!$I$4:$I$503,473),"yyyy-mm-dd"),"")</f>
        <v/>
      </c>
      <c r="F976">
        <f>"Registration"</f>
        <v/>
      </c>
      <c r="G976">
        <f>""</f>
        <v/>
      </c>
      <c r="H976">
        <f>"High"</f>
        <v/>
      </c>
      <c r="I976">
        <f>TRIM(IF(LEN(IF(LEN(INDEX('Providers'!$H$4:$H$503,473))=0,"",INDEX('Providers'!$H$4:$H$503,473)))=0,"","DEA no.: "&amp;IF(LEN(INDEX('Providers'!$H$4:$H$503,473))=0,"",INDEX('Providers'!$H$4:$H$503,473))&amp;". ")&amp;IF(LEN(IF(LEN(INDEX('Providers'!$C$4:$C$503,473))=0,"",INDEX('Providers'!$C$4:$C$503,473)))=0,"","NPI: "&amp;IF(LEN(INDEX('Providers'!$C$4:$C$503,473))=0,"",INDEX('Providers'!$C$4:$C$503,473))&amp;". "))</f>
        <v/>
      </c>
      <c r="J976">
        <f>IF(LEN(INDEX('Providers'!$AJ$4:$AJ$503,473))=0,"",INDEX('Providers'!$AJ$4:$AJ$503,473))</f>
        <v/>
      </c>
      <c r="K976">
        <f>IF(LEN(INDEX('Providers'!$AI$4:$AI$503,473))=0,"",INDEX('Providers'!$AI$4:$AI$503,473))</f>
        <v/>
      </c>
    </row>
    <row r="977">
      <c r="A977">
        <f>IF(AND(LEN('Providers'!A477)&gt;0,ISNUMBER('Providers'!I477)),1,0)</f>
        <v/>
      </c>
      <c r="B977">
        <f>B976+A977</f>
        <v/>
      </c>
      <c r="C977">
        <f>IF(974&gt;$B$4503,"",MATCH(974-0.5,$B$3:$B$4503,1))</f>
        <v/>
      </c>
      <c r="D977">
        <f>"DEA registration ("&amp;IF(LEN(INDEX('Providers'!$E$4:$E$503,474))=0,"",INDEX('Providers'!$E$4:$E$503,474))&amp;") – "&amp;IF(LEN(INDEX('Providers'!$A$4:$A$503,474))=0,"",INDEX('Providers'!$A$4:$A$503,474))</f>
        <v/>
      </c>
      <c r="E977">
        <f>IF(ISNUMBER(INDEX('Providers'!$I$4:$I$503,474)),TEXT(INDEX('Providers'!$I$4:$I$503,474),"yyyy-mm-dd"),"")</f>
        <v/>
      </c>
      <c r="F977">
        <f>"Registration"</f>
        <v/>
      </c>
      <c r="G977">
        <f>""</f>
        <v/>
      </c>
      <c r="H977">
        <f>"High"</f>
        <v/>
      </c>
      <c r="I977">
        <f>TRIM(IF(LEN(IF(LEN(INDEX('Providers'!$H$4:$H$503,474))=0,"",INDEX('Providers'!$H$4:$H$503,474)))=0,"","DEA no.: "&amp;IF(LEN(INDEX('Providers'!$H$4:$H$503,474))=0,"",INDEX('Providers'!$H$4:$H$503,474))&amp;". ")&amp;IF(LEN(IF(LEN(INDEX('Providers'!$C$4:$C$503,474))=0,"",INDEX('Providers'!$C$4:$C$503,474)))=0,"","NPI: "&amp;IF(LEN(INDEX('Providers'!$C$4:$C$503,474))=0,"",INDEX('Providers'!$C$4:$C$503,474))&amp;". "))</f>
        <v/>
      </c>
      <c r="J977">
        <f>IF(LEN(INDEX('Providers'!$AJ$4:$AJ$503,474))=0,"",INDEX('Providers'!$AJ$4:$AJ$503,474))</f>
        <v/>
      </c>
      <c r="K977">
        <f>IF(LEN(INDEX('Providers'!$AI$4:$AI$503,474))=0,"",INDEX('Providers'!$AI$4:$AI$503,474))</f>
        <v/>
      </c>
    </row>
    <row r="978">
      <c r="A978">
        <f>IF(AND(LEN('Providers'!A478)&gt;0,ISNUMBER('Providers'!I478)),1,0)</f>
        <v/>
      </c>
      <c r="B978">
        <f>B977+A978</f>
        <v/>
      </c>
      <c r="C978">
        <f>IF(975&gt;$B$4503,"",MATCH(975-0.5,$B$3:$B$4503,1))</f>
        <v/>
      </c>
      <c r="D978">
        <f>"DEA registration ("&amp;IF(LEN(INDEX('Providers'!$E$4:$E$503,475))=0,"",INDEX('Providers'!$E$4:$E$503,475))&amp;") – "&amp;IF(LEN(INDEX('Providers'!$A$4:$A$503,475))=0,"",INDEX('Providers'!$A$4:$A$503,475))</f>
        <v/>
      </c>
      <c r="E978">
        <f>IF(ISNUMBER(INDEX('Providers'!$I$4:$I$503,475)),TEXT(INDEX('Providers'!$I$4:$I$503,475),"yyyy-mm-dd"),"")</f>
        <v/>
      </c>
      <c r="F978">
        <f>"Registration"</f>
        <v/>
      </c>
      <c r="G978">
        <f>""</f>
        <v/>
      </c>
      <c r="H978">
        <f>"High"</f>
        <v/>
      </c>
      <c r="I978">
        <f>TRIM(IF(LEN(IF(LEN(INDEX('Providers'!$H$4:$H$503,475))=0,"",INDEX('Providers'!$H$4:$H$503,475)))=0,"","DEA no.: "&amp;IF(LEN(INDEX('Providers'!$H$4:$H$503,475))=0,"",INDEX('Providers'!$H$4:$H$503,475))&amp;". ")&amp;IF(LEN(IF(LEN(INDEX('Providers'!$C$4:$C$503,475))=0,"",INDEX('Providers'!$C$4:$C$503,475)))=0,"","NPI: "&amp;IF(LEN(INDEX('Providers'!$C$4:$C$503,475))=0,"",INDEX('Providers'!$C$4:$C$503,475))&amp;". "))</f>
        <v/>
      </c>
      <c r="J978">
        <f>IF(LEN(INDEX('Providers'!$AJ$4:$AJ$503,475))=0,"",INDEX('Providers'!$AJ$4:$AJ$503,475))</f>
        <v/>
      </c>
      <c r="K978">
        <f>IF(LEN(INDEX('Providers'!$AI$4:$AI$503,475))=0,"",INDEX('Providers'!$AI$4:$AI$503,475))</f>
        <v/>
      </c>
    </row>
    <row r="979">
      <c r="A979">
        <f>IF(AND(LEN('Providers'!A479)&gt;0,ISNUMBER('Providers'!I479)),1,0)</f>
        <v/>
      </c>
      <c r="B979">
        <f>B978+A979</f>
        <v/>
      </c>
      <c r="C979">
        <f>IF(976&gt;$B$4503,"",MATCH(976-0.5,$B$3:$B$4503,1))</f>
        <v/>
      </c>
      <c r="D979">
        <f>"DEA registration ("&amp;IF(LEN(INDEX('Providers'!$E$4:$E$503,476))=0,"",INDEX('Providers'!$E$4:$E$503,476))&amp;") – "&amp;IF(LEN(INDEX('Providers'!$A$4:$A$503,476))=0,"",INDEX('Providers'!$A$4:$A$503,476))</f>
        <v/>
      </c>
      <c r="E979">
        <f>IF(ISNUMBER(INDEX('Providers'!$I$4:$I$503,476)),TEXT(INDEX('Providers'!$I$4:$I$503,476),"yyyy-mm-dd"),"")</f>
        <v/>
      </c>
      <c r="F979">
        <f>"Registration"</f>
        <v/>
      </c>
      <c r="G979">
        <f>""</f>
        <v/>
      </c>
      <c r="H979">
        <f>"High"</f>
        <v/>
      </c>
      <c r="I979">
        <f>TRIM(IF(LEN(IF(LEN(INDEX('Providers'!$H$4:$H$503,476))=0,"",INDEX('Providers'!$H$4:$H$503,476)))=0,"","DEA no.: "&amp;IF(LEN(INDEX('Providers'!$H$4:$H$503,476))=0,"",INDEX('Providers'!$H$4:$H$503,476))&amp;". ")&amp;IF(LEN(IF(LEN(INDEX('Providers'!$C$4:$C$503,476))=0,"",INDEX('Providers'!$C$4:$C$503,476)))=0,"","NPI: "&amp;IF(LEN(INDEX('Providers'!$C$4:$C$503,476))=0,"",INDEX('Providers'!$C$4:$C$503,476))&amp;". "))</f>
        <v/>
      </c>
      <c r="J979">
        <f>IF(LEN(INDEX('Providers'!$AJ$4:$AJ$503,476))=0,"",INDEX('Providers'!$AJ$4:$AJ$503,476))</f>
        <v/>
      </c>
      <c r="K979">
        <f>IF(LEN(INDEX('Providers'!$AI$4:$AI$503,476))=0,"",INDEX('Providers'!$AI$4:$AI$503,476))</f>
        <v/>
      </c>
    </row>
    <row r="980">
      <c r="A980">
        <f>IF(AND(LEN('Providers'!A480)&gt;0,ISNUMBER('Providers'!I480)),1,0)</f>
        <v/>
      </c>
      <c r="B980">
        <f>B979+A980</f>
        <v/>
      </c>
      <c r="C980">
        <f>IF(977&gt;$B$4503,"",MATCH(977-0.5,$B$3:$B$4503,1))</f>
        <v/>
      </c>
      <c r="D980">
        <f>"DEA registration ("&amp;IF(LEN(INDEX('Providers'!$E$4:$E$503,477))=0,"",INDEX('Providers'!$E$4:$E$503,477))&amp;") – "&amp;IF(LEN(INDEX('Providers'!$A$4:$A$503,477))=0,"",INDEX('Providers'!$A$4:$A$503,477))</f>
        <v/>
      </c>
      <c r="E980">
        <f>IF(ISNUMBER(INDEX('Providers'!$I$4:$I$503,477)),TEXT(INDEX('Providers'!$I$4:$I$503,477),"yyyy-mm-dd"),"")</f>
        <v/>
      </c>
      <c r="F980">
        <f>"Registration"</f>
        <v/>
      </c>
      <c r="G980">
        <f>""</f>
        <v/>
      </c>
      <c r="H980">
        <f>"High"</f>
        <v/>
      </c>
      <c r="I980">
        <f>TRIM(IF(LEN(IF(LEN(INDEX('Providers'!$H$4:$H$503,477))=0,"",INDEX('Providers'!$H$4:$H$503,477)))=0,"","DEA no.: "&amp;IF(LEN(INDEX('Providers'!$H$4:$H$503,477))=0,"",INDEX('Providers'!$H$4:$H$503,477))&amp;". ")&amp;IF(LEN(IF(LEN(INDEX('Providers'!$C$4:$C$503,477))=0,"",INDEX('Providers'!$C$4:$C$503,477)))=0,"","NPI: "&amp;IF(LEN(INDEX('Providers'!$C$4:$C$503,477))=0,"",INDEX('Providers'!$C$4:$C$503,477))&amp;". "))</f>
        <v/>
      </c>
      <c r="J980">
        <f>IF(LEN(INDEX('Providers'!$AJ$4:$AJ$503,477))=0,"",INDEX('Providers'!$AJ$4:$AJ$503,477))</f>
        <v/>
      </c>
      <c r="K980">
        <f>IF(LEN(INDEX('Providers'!$AI$4:$AI$503,477))=0,"",INDEX('Providers'!$AI$4:$AI$503,477))</f>
        <v/>
      </c>
    </row>
    <row r="981">
      <c r="A981">
        <f>IF(AND(LEN('Providers'!A481)&gt;0,ISNUMBER('Providers'!I481)),1,0)</f>
        <v/>
      </c>
      <c r="B981">
        <f>B980+A981</f>
        <v/>
      </c>
      <c r="C981">
        <f>IF(978&gt;$B$4503,"",MATCH(978-0.5,$B$3:$B$4503,1))</f>
        <v/>
      </c>
      <c r="D981">
        <f>"DEA registration ("&amp;IF(LEN(INDEX('Providers'!$E$4:$E$503,478))=0,"",INDEX('Providers'!$E$4:$E$503,478))&amp;") – "&amp;IF(LEN(INDEX('Providers'!$A$4:$A$503,478))=0,"",INDEX('Providers'!$A$4:$A$503,478))</f>
        <v/>
      </c>
      <c r="E981">
        <f>IF(ISNUMBER(INDEX('Providers'!$I$4:$I$503,478)),TEXT(INDEX('Providers'!$I$4:$I$503,478),"yyyy-mm-dd"),"")</f>
        <v/>
      </c>
      <c r="F981">
        <f>"Registration"</f>
        <v/>
      </c>
      <c r="G981">
        <f>""</f>
        <v/>
      </c>
      <c r="H981">
        <f>"High"</f>
        <v/>
      </c>
      <c r="I981">
        <f>TRIM(IF(LEN(IF(LEN(INDEX('Providers'!$H$4:$H$503,478))=0,"",INDEX('Providers'!$H$4:$H$503,478)))=0,"","DEA no.: "&amp;IF(LEN(INDEX('Providers'!$H$4:$H$503,478))=0,"",INDEX('Providers'!$H$4:$H$503,478))&amp;". ")&amp;IF(LEN(IF(LEN(INDEX('Providers'!$C$4:$C$503,478))=0,"",INDEX('Providers'!$C$4:$C$503,478)))=0,"","NPI: "&amp;IF(LEN(INDEX('Providers'!$C$4:$C$503,478))=0,"",INDEX('Providers'!$C$4:$C$503,478))&amp;". "))</f>
        <v/>
      </c>
      <c r="J981">
        <f>IF(LEN(INDEX('Providers'!$AJ$4:$AJ$503,478))=0,"",INDEX('Providers'!$AJ$4:$AJ$503,478))</f>
        <v/>
      </c>
      <c r="K981">
        <f>IF(LEN(INDEX('Providers'!$AI$4:$AI$503,478))=0,"",INDEX('Providers'!$AI$4:$AI$503,478))</f>
        <v/>
      </c>
    </row>
    <row r="982">
      <c r="A982">
        <f>IF(AND(LEN('Providers'!A482)&gt;0,ISNUMBER('Providers'!I482)),1,0)</f>
        <v/>
      </c>
      <c r="B982">
        <f>B981+A982</f>
        <v/>
      </c>
      <c r="C982">
        <f>IF(979&gt;$B$4503,"",MATCH(979-0.5,$B$3:$B$4503,1))</f>
        <v/>
      </c>
      <c r="D982">
        <f>"DEA registration ("&amp;IF(LEN(INDEX('Providers'!$E$4:$E$503,479))=0,"",INDEX('Providers'!$E$4:$E$503,479))&amp;") – "&amp;IF(LEN(INDEX('Providers'!$A$4:$A$503,479))=0,"",INDEX('Providers'!$A$4:$A$503,479))</f>
        <v/>
      </c>
      <c r="E982">
        <f>IF(ISNUMBER(INDEX('Providers'!$I$4:$I$503,479)),TEXT(INDEX('Providers'!$I$4:$I$503,479),"yyyy-mm-dd"),"")</f>
        <v/>
      </c>
      <c r="F982">
        <f>"Registration"</f>
        <v/>
      </c>
      <c r="G982">
        <f>""</f>
        <v/>
      </c>
      <c r="H982">
        <f>"High"</f>
        <v/>
      </c>
      <c r="I982">
        <f>TRIM(IF(LEN(IF(LEN(INDEX('Providers'!$H$4:$H$503,479))=0,"",INDEX('Providers'!$H$4:$H$503,479)))=0,"","DEA no.: "&amp;IF(LEN(INDEX('Providers'!$H$4:$H$503,479))=0,"",INDEX('Providers'!$H$4:$H$503,479))&amp;". ")&amp;IF(LEN(IF(LEN(INDEX('Providers'!$C$4:$C$503,479))=0,"",INDEX('Providers'!$C$4:$C$503,479)))=0,"","NPI: "&amp;IF(LEN(INDEX('Providers'!$C$4:$C$503,479))=0,"",INDEX('Providers'!$C$4:$C$503,479))&amp;". "))</f>
        <v/>
      </c>
      <c r="J982">
        <f>IF(LEN(INDEX('Providers'!$AJ$4:$AJ$503,479))=0,"",INDEX('Providers'!$AJ$4:$AJ$503,479))</f>
        <v/>
      </c>
      <c r="K982">
        <f>IF(LEN(INDEX('Providers'!$AI$4:$AI$503,479))=0,"",INDEX('Providers'!$AI$4:$AI$503,479))</f>
        <v/>
      </c>
    </row>
    <row r="983">
      <c r="A983">
        <f>IF(AND(LEN('Providers'!A483)&gt;0,ISNUMBER('Providers'!I483)),1,0)</f>
        <v/>
      </c>
      <c r="B983">
        <f>B982+A983</f>
        <v/>
      </c>
      <c r="C983">
        <f>IF(980&gt;$B$4503,"",MATCH(980-0.5,$B$3:$B$4503,1))</f>
        <v/>
      </c>
      <c r="D983">
        <f>"DEA registration ("&amp;IF(LEN(INDEX('Providers'!$E$4:$E$503,480))=0,"",INDEX('Providers'!$E$4:$E$503,480))&amp;") – "&amp;IF(LEN(INDEX('Providers'!$A$4:$A$503,480))=0,"",INDEX('Providers'!$A$4:$A$503,480))</f>
        <v/>
      </c>
      <c r="E983">
        <f>IF(ISNUMBER(INDEX('Providers'!$I$4:$I$503,480)),TEXT(INDEX('Providers'!$I$4:$I$503,480),"yyyy-mm-dd"),"")</f>
        <v/>
      </c>
      <c r="F983">
        <f>"Registration"</f>
        <v/>
      </c>
      <c r="G983">
        <f>""</f>
        <v/>
      </c>
      <c r="H983">
        <f>"High"</f>
        <v/>
      </c>
      <c r="I983">
        <f>TRIM(IF(LEN(IF(LEN(INDEX('Providers'!$H$4:$H$503,480))=0,"",INDEX('Providers'!$H$4:$H$503,480)))=0,"","DEA no.: "&amp;IF(LEN(INDEX('Providers'!$H$4:$H$503,480))=0,"",INDEX('Providers'!$H$4:$H$503,480))&amp;". ")&amp;IF(LEN(IF(LEN(INDEX('Providers'!$C$4:$C$503,480))=0,"",INDEX('Providers'!$C$4:$C$503,480)))=0,"","NPI: "&amp;IF(LEN(INDEX('Providers'!$C$4:$C$503,480))=0,"",INDEX('Providers'!$C$4:$C$503,480))&amp;". "))</f>
        <v/>
      </c>
      <c r="J983">
        <f>IF(LEN(INDEX('Providers'!$AJ$4:$AJ$503,480))=0,"",INDEX('Providers'!$AJ$4:$AJ$503,480))</f>
        <v/>
      </c>
      <c r="K983">
        <f>IF(LEN(INDEX('Providers'!$AI$4:$AI$503,480))=0,"",INDEX('Providers'!$AI$4:$AI$503,480))</f>
        <v/>
      </c>
    </row>
    <row r="984">
      <c r="A984">
        <f>IF(AND(LEN('Providers'!A484)&gt;0,ISNUMBER('Providers'!I484)),1,0)</f>
        <v/>
      </c>
      <c r="B984">
        <f>B983+A984</f>
        <v/>
      </c>
      <c r="C984">
        <f>IF(981&gt;$B$4503,"",MATCH(981-0.5,$B$3:$B$4503,1))</f>
        <v/>
      </c>
      <c r="D984">
        <f>"DEA registration ("&amp;IF(LEN(INDEX('Providers'!$E$4:$E$503,481))=0,"",INDEX('Providers'!$E$4:$E$503,481))&amp;") – "&amp;IF(LEN(INDEX('Providers'!$A$4:$A$503,481))=0,"",INDEX('Providers'!$A$4:$A$503,481))</f>
        <v/>
      </c>
      <c r="E984">
        <f>IF(ISNUMBER(INDEX('Providers'!$I$4:$I$503,481)),TEXT(INDEX('Providers'!$I$4:$I$503,481),"yyyy-mm-dd"),"")</f>
        <v/>
      </c>
      <c r="F984">
        <f>"Registration"</f>
        <v/>
      </c>
      <c r="G984">
        <f>""</f>
        <v/>
      </c>
      <c r="H984">
        <f>"High"</f>
        <v/>
      </c>
      <c r="I984">
        <f>TRIM(IF(LEN(IF(LEN(INDEX('Providers'!$H$4:$H$503,481))=0,"",INDEX('Providers'!$H$4:$H$503,481)))=0,"","DEA no.: "&amp;IF(LEN(INDEX('Providers'!$H$4:$H$503,481))=0,"",INDEX('Providers'!$H$4:$H$503,481))&amp;". ")&amp;IF(LEN(IF(LEN(INDEX('Providers'!$C$4:$C$503,481))=0,"",INDEX('Providers'!$C$4:$C$503,481)))=0,"","NPI: "&amp;IF(LEN(INDEX('Providers'!$C$4:$C$503,481))=0,"",INDEX('Providers'!$C$4:$C$503,481))&amp;". "))</f>
        <v/>
      </c>
      <c r="J984">
        <f>IF(LEN(INDEX('Providers'!$AJ$4:$AJ$503,481))=0,"",INDEX('Providers'!$AJ$4:$AJ$503,481))</f>
        <v/>
      </c>
      <c r="K984">
        <f>IF(LEN(INDEX('Providers'!$AI$4:$AI$503,481))=0,"",INDEX('Providers'!$AI$4:$AI$503,481))</f>
        <v/>
      </c>
    </row>
    <row r="985">
      <c r="A985">
        <f>IF(AND(LEN('Providers'!A485)&gt;0,ISNUMBER('Providers'!I485)),1,0)</f>
        <v/>
      </c>
      <c r="B985">
        <f>B984+A985</f>
        <v/>
      </c>
      <c r="C985">
        <f>IF(982&gt;$B$4503,"",MATCH(982-0.5,$B$3:$B$4503,1))</f>
        <v/>
      </c>
      <c r="D985">
        <f>"DEA registration ("&amp;IF(LEN(INDEX('Providers'!$E$4:$E$503,482))=0,"",INDEX('Providers'!$E$4:$E$503,482))&amp;") – "&amp;IF(LEN(INDEX('Providers'!$A$4:$A$503,482))=0,"",INDEX('Providers'!$A$4:$A$503,482))</f>
        <v/>
      </c>
      <c r="E985">
        <f>IF(ISNUMBER(INDEX('Providers'!$I$4:$I$503,482)),TEXT(INDEX('Providers'!$I$4:$I$503,482),"yyyy-mm-dd"),"")</f>
        <v/>
      </c>
      <c r="F985">
        <f>"Registration"</f>
        <v/>
      </c>
      <c r="G985">
        <f>""</f>
        <v/>
      </c>
      <c r="H985">
        <f>"High"</f>
        <v/>
      </c>
      <c r="I985">
        <f>TRIM(IF(LEN(IF(LEN(INDEX('Providers'!$H$4:$H$503,482))=0,"",INDEX('Providers'!$H$4:$H$503,482)))=0,"","DEA no.: "&amp;IF(LEN(INDEX('Providers'!$H$4:$H$503,482))=0,"",INDEX('Providers'!$H$4:$H$503,482))&amp;". ")&amp;IF(LEN(IF(LEN(INDEX('Providers'!$C$4:$C$503,482))=0,"",INDEX('Providers'!$C$4:$C$503,482)))=0,"","NPI: "&amp;IF(LEN(INDEX('Providers'!$C$4:$C$503,482))=0,"",INDEX('Providers'!$C$4:$C$503,482))&amp;". "))</f>
        <v/>
      </c>
      <c r="J985">
        <f>IF(LEN(INDEX('Providers'!$AJ$4:$AJ$503,482))=0,"",INDEX('Providers'!$AJ$4:$AJ$503,482))</f>
        <v/>
      </c>
      <c r="K985">
        <f>IF(LEN(INDEX('Providers'!$AI$4:$AI$503,482))=0,"",INDEX('Providers'!$AI$4:$AI$503,482))</f>
        <v/>
      </c>
    </row>
    <row r="986">
      <c r="A986">
        <f>IF(AND(LEN('Providers'!A486)&gt;0,ISNUMBER('Providers'!I486)),1,0)</f>
        <v/>
      </c>
      <c r="B986">
        <f>B985+A986</f>
        <v/>
      </c>
      <c r="C986">
        <f>IF(983&gt;$B$4503,"",MATCH(983-0.5,$B$3:$B$4503,1))</f>
        <v/>
      </c>
      <c r="D986">
        <f>"DEA registration ("&amp;IF(LEN(INDEX('Providers'!$E$4:$E$503,483))=0,"",INDEX('Providers'!$E$4:$E$503,483))&amp;") – "&amp;IF(LEN(INDEX('Providers'!$A$4:$A$503,483))=0,"",INDEX('Providers'!$A$4:$A$503,483))</f>
        <v/>
      </c>
      <c r="E986">
        <f>IF(ISNUMBER(INDEX('Providers'!$I$4:$I$503,483)),TEXT(INDEX('Providers'!$I$4:$I$503,483),"yyyy-mm-dd"),"")</f>
        <v/>
      </c>
      <c r="F986">
        <f>"Registration"</f>
        <v/>
      </c>
      <c r="G986">
        <f>""</f>
        <v/>
      </c>
      <c r="H986">
        <f>"High"</f>
        <v/>
      </c>
      <c r="I986">
        <f>TRIM(IF(LEN(IF(LEN(INDEX('Providers'!$H$4:$H$503,483))=0,"",INDEX('Providers'!$H$4:$H$503,483)))=0,"","DEA no.: "&amp;IF(LEN(INDEX('Providers'!$H$4:$H$503,483))=0,"",INDEX('Providers'!$H$4:$H$503,483))&amp;". ")&amp;IF(LEN(IF(LEN(INDEX('Providers'!$C$4:$C$503,483))=0,"",INDEX('Providers'!$C$4:$C$503,483)))=0,"","NPI: "&amp;IF(LEN(INDEX('Providers'!$C$4:$C$503,483))=0,"",INDEX('Providers'!$C$4:$C$503,483))&amp;". "))</f>
        <v/>
      </c>
      <c r="J986">
        <f>IF(LEN(INDEX('Providers'!$AJ$4:$AJ$503,483))=0,"",INDEX('Providers'!$AJ$4:$AJ$503,483))</f>
        <v/>
      </c>
      <c r="K986">
        <f>IF(LEN(INDEX('Providers'!$AI$4:$AI$503,483))=0,"",INDEX('Providers'!$AI$4:$AI$503,483))</f>
        <v/>
      </c>
    </row>
    <row r="987">
      <c r="A987">
        <f>IF(AND(LEN('Providers'!A487)&gt;0,ISNUMBER('Providers'!I487)),1,0)</f>
        <v/>
      </c>
      <c r="B987">
        <f>B986+A987</f>
        <v/>
      </c>
      <c r="C987">
        <f>IF(984&gt;$B$4503,"",MATCH(984-0.5,$B$3:$B$4503,1))</f>
        <v/>
      </c>
      <c r="D987">
        <f>"DEA registration ("&amp;IF(LEN(INDEX('Providers'!$E$4:$E$503,484))=0,"",INDEX('Providers'!$E$4:$E$503,484))&amp;") – "&amp;IF(LEN(INDEX('Providers'!$A$4:$A$503,484))=0,"",INDEX('Providers'!$A$4:$A$503,484))</f>
        <v/>
      </c>
      <c r="E987">
        <f>IF(ISNUMBER(INDEX('Providers'!$I$4:$I$503,484)),TEXT(INDEX('Providers'!$I$4:$I$503,484),"yyyy-mm-dd"),"")</f>
        <v/>
      </c>
      <c r="F987">
        <f>"Registration"</f>
        <v/>
      </c>
      <c r="G987">
        <f>""</f>
        <v/>
      </c>
      <c r="H987">
        <f>"High"</f>
        <v/>
      </c>
      <c r="I987">
        <f>TRIM(IF(LEN(IF(LEN(INDEX('Providers'!$H$4:$H$503,484))=0,"",INDEX('Providers'!$H$4:$H$503,484)))=0,"","DEA no.: "&amp;IF(LEN(INDEX('Providers'!$H$4:$H$503,484))=0,"",INDEX('Providers'!$H$4:$H$503,484))&amp;". ")&amp;IF(LEN(IF(LEN(INDEX('Providers'!$C$4:$C$503,484))=0,"",INDEX('Providers'!$C$4:$C$503,484)))=0,"","NPI: "&amp;IF(LEN(INDEX('Providers'!$C$4:$C$503,484))=0,"",INDEX('Providers'!$C$4:$C$503,484))&amp;". "))</f>
        <v/>
      </c>
      <c r="J987">
        <f>IF(LEN(INDEX('Providers'!$AJ$4:$AJ$503,484))=0,"",INDEX('Providers'!$AJ$4:$AJ$503,484))</f>
        <v/>
      </c>
      <c r="K987">
        <f>IF(LEN(INDEX('Providers'!$AI$4:$AI$503,484))=0,"",INDEX('Providers'!$AI$4:$AI$503,484))</f>
        <v/>
      </c>
    </row>
    <row r="988">
      <c r="A988">
        <f>IF(AND(LEN('Providers'!A488)&gt;0,ISNUMBER('Providers'!I488)),1,0)</f>
        <v/>
      </c>
      <c r="B988">
        <f>B987+A988</f>
        <v/>
      </c>
      <c r="C988">
        <f>IF(985&gt;$B$4503,"",MATCH(985-0.5,$B$3:$B$4503,1))</f>
        <v/>
      </c>
      <c r="D988">
        <f>"DEA registration ("&amp;IF(LEN(INDEX('Providers'!$E$4:$E$503,485))=0,"",INDEX('Providers'!$E$4:$E$503,485))&amp;") – "&amp;IF(LEN(INDEX('Providers'!$A$4:$A$503,485))=0,"",INDEX('Providers'!$A$4:$A$503,485))</f>
        <v/>
      </c>
      <c r="E988">
        <f>IF(ISNUMBER(INDEX('Providers'!$I$4:$I$503,485)),TEXT(INDEX('Providers'!$I$4:$I$503,485),"yyyy-mm-dd"),"")</f>
        <v/>
      </c>
      <c r="F988">
        <f>"Registration"</f>
        <v/>
      </c>
      <c r="G988">
        <f>""</f>
        <v/>
      </c>
      <c r="H988">
        <f>"High"</f>
        <v/>
      </c>
      <c r="I988">
        <f>TRIM(IF(LEN(IF(LEN(INDEX('Providers'!$H$4:$H$503,485))=0,"",INDEX('Providers'!$H$4:$H$503,485)))=0,"","DEA no.: "&amp;IF(LEN(INDEX('Providers'!$H$4:$H$503,485))=0,"",INDEX('Providers'!$H$4:$H$503,485))&amp;". ")&amp;IF(LEN(IF(LEN(INDEX('Providers'!$C$4:$C$503,485))=0,"",INDEX('Providers'!$C$4:$C$503,485)))=0,"","NPI: "&amp;IF(LEN(INDEX('Providers'!$C$4:$C$503,485))=0,"",INDEX('Providers'!$C$4:$C$503,485))&amp;". "))</f>
        <v/>
      </c>
      <c r="J988">
        <f>IF(LEN(INDEX('Providers'!$AJ$4:$AJ$503,485))=0,"",INDEX('Providers'!$AJ$4:$AJ$503,485))</f>
        <v/>
      </c>
      <c r="K988">
        <f>IF(LEN(INDEX('Providers'!$AI$4:$AI$503,485))=0,"",INDEX('Providers'!$AI$4:$AI$503,485))</f>
        <v/>
      </c>
    </row>
    <row r="989">
      <c r="A989">
        <f>IF(AND(LEN('Providers'!A489)&gt;0,ISNUMBER('Providers'!I489)),1,0)</f>
        <v/>
      </c>
      <c r="B989">
        <f>B988+A989</f>
        <v/>
      </c>
      <c r="C989">
        <f>IF(986&gt;$B$4503,"",MATCH(986-0.5,$B$3:$B$4503,1))</f>
        <v/>
      </c>
      <c r="D989">
        <f>"DEA registration ("&amp;IF(LEN(INDEX('Providers'!$E$4:$E$503,486))=0,"",INDEX('Providers'!$E$4:$E$503,486))&amp;") – "&amp;IF(LEN(INDEX('Providers'!$A$4:$A$503,486))=0,"",INDEX('Providers'!$A$4:$A$503,486))</f>
        <v/>
      </c>
      <c r="E989">
        <f>IF(ISNUMBER(INDEX('Providers'!$I$4:$I$503,486)),TEXT(INDEX('Providers'!$I$4:$I$503,486),"yyyy-mm-dd"),"")</f>
        <v/>
      </c>
      <c r="F989">
        <f>"Registration"</f>
        <v/>
      </c>
      <c r="G989">
        <f>""</f>
        <v/>
      </c>
      <c r="H989">
        <f>"High"</f>
        <v/>
      </c>
      <c r="I989">
        <f>TRIM(IF(LEN(IF(LEN(INDEX('Providers'!$H$4:$H$503,486))=0,"",INDEX('Providers'!$H$4:$H$503,486)))=0,"","DEA no.: "&amp;IF(LEN(INDEX('Providers'!$H$4:$H$503,486))=0,"",INDEX('Providers'!$H$4:$H$503,486))&amp;". ")&amp;IF(LEN(IF(LEN(INDEX('Providers'!$C$4:$C$503,486))=0,"",INDEX('Providers'!$C$4:$C$503,486)))=0,"","NPI: "&amp;IF(LEN(INDEX('Providers'!$C$4:$C$503,486))=0,"",INDEX('Providers'!$C$4:$C$503,486))&amp;". "))</f>
        <v/>
      </c>
      <c r="J989">
        <f>IF(LEN(INDEX('Providers'!$AJ$4:$AJ$503,486))=0,"",INDEX('Providers'!$AJ$4:$AJ$503,486))</f>
        <v/>
      </c>
      <c r="K989">
        <f>IF(LEN(INDEX('Providers'!$AI$4:$AI$503,486))=0,"",INDEX('Providers'!$AI$4:$AI$503,486))</f>
        <v/>
      </c>
    </row>
    <row r="990">
      <c r="A990">
        <f>IF(AND(LEN('Providers'!A490)&gt;0,ISNUMBER('Providers'!I490)),1,0)</f>
        <v/>
      </c>
      <c r="B990">
        <f>B989+A990</f>
        <v/>
      </c>
      <c r="C990">
        <f>IF(987&gt;$B$4503,"",MATCH(987-0.5,$B$3:$B$4503,1))</f>
        <v/>
      </c>
      <c r="D990">
        <f>"DEA registration ("&amp;IF(LEN(INDEX('Providers'!$E$4:$E$503,487))=0,"",INDEX('Providers'!$E$4:$E$503,487))&amp;") – "&amp;IF(LEN(INDEX('Providers'!$A$4:$A$503,487))=0,"",INDEX('Providers'!$A$4:$A$503,487))</f>
        <v/>
      </c>
      <c r="E990">
        <f>IF(ISNUMBER(INDEX('Providers'!$I$4:$I$503,487)),TEXT(INDEX('Providers'!$I$4:$I$503,487),"yyyy-mm-dd"),"")</f>
        <v/>
      </c>
      <c r="F990">
        <f>"Registration"</f>
        <v/>
      </c>
      <c r="G990">
        <f>""</f>
        <v/>
      </c>
      <c r="H990">
        <f>"High"</f>
        <v/>
      </c>
      <c r="I990">
        <f>TRIM(IF(LEN(IF(LEN(INDEX('Providers'!$H$4:$H$503,487))=0,"",INDEX('Providers'!$H$4:$H$503,487)))=0,"","DEA no.: "&amp;IF(LEN(INDEX('Providers'!$H$4:$H$503,487))=0,"",INDEX('Providers'!$H$4:$H$503,487))&amp;". ")&amp;IF(LEN(IF(LEN(INDEX('Providers'!$C$4:$C$503,487))=0,"",INDEX('Providers'!$C$4:$C$503,487)))=0,"","NPI: "&amp;IF(LEN(INDEX('Providers'!$C$4:$C$503,487))=0,"",INDEX('Providers'!$C$4:$C$503,487))&amp;". "))</f>
        <v/>
      </c>
      <c r="J990">
        <f>IF(LEN(INDEX('Providers'!$AJ$4:$AJ$503,487))=0,"",INDEX('Providers'!$AJ$4:$AJ$503,487))</f>
        <v/>
      </c>
      <c r="K990">
        <f>IF(LEN(INDEX('Providers'!$AI$4:$AI$503,487))=0,"",INDEX('Providers'!$AI$4:$AI$503,487))</f>
        <v/>
      </c>
    </row>
    <row r="991">
      <c r="A991">
        <f>IF(AND(LEN('Providers'!A491)&gt;0,ISNUMBER('Providers'!I491)),1,0)</f>
        <v/>
      </c>
      <c r="B991">
        <f>B990+A991</f>
        <v/>
      </c>
      <c r="C991">
        <f>IF(988&gt;$B$4503,"",MATCH(988-0.5,$B$3:$B$4503,1))</f>
        <v/>
      </c>
      <c r="D991">
        <f>"DEA registration ("&amp;IF(LEN(INDEX('Providers'!$E$4:$E$503,488))=0,"",INDEX('Providers'!$E$4:$E$503,488))&amp;") – "&amp;IF(LEN(INDEX('Providers'!$A$4:$A$503,488))=0,"",INDEX('Providers'!$A$4:$A$503,488))</f>
        <v/>
      </c>
      <c r="E991">
        <f>IF(ISNUMBER(INDEX('Providers'!$I$4:$I$503,488)),TEXT(INDEX('Providers'!$I$4:$I$503,488),"yyyy-mm-dd"),"")</f>
        <v/>
      </c>
      <c r="F991">
        <f>"Registration"</f>
        <v/>
      </c>
      <c r="G991">
        <f>""</f>
        <v/>
      </c>
      <c r="H991">
        <f>"High"</f>
        <v/>
      </c>
      <c r="I991">
        <f>TRIM(IF(LEN(IF(LEN(INDEX('Providers'!$H$4:$H$503,488))=0,"",INDEX('Providers'!$H$4:$H$503,488)))=0,"","DEA no.: "&amp;IF(LEN(INDEX('Providers'!$H$4:$H$503,488))=0,"",INDEX('Providers'!$H$4:$H$503,488))&amp;". ")&amp;IF(LEN(IF(LEN(INDEX('Providers'!$C$4:$C$503,488))=0,"",INDEX('Providers'!$C$4:$C$503,488)))=0,"","NPI: "&amp;IF(LEN(INDEX('Providers'!$C$4:$C$503,488))=0,"",INDEX('Providers'!$C$4:$C$503,488))&amp;". "))</f>
        <v/>
      </c>
      <c r="J991">
        <f>IF(LEN(INDEX('Providers'!$AJ$4:$AJ$503,488))=0,"",INDEX('Providers'!$AJ$4:$AJ$503,488))</f>
        <v/>
      </c>
      <c r="K991">
        <f>IF(LEN(INDEX('Providers'!$AI$4:$AI$503,488))=0,"",INDEX('Providers'!$AI$4:$AI$503,488))</f>
        <v/>
      </c>
    </row>
    <row r="992">
      <c r="A992">
        <f>IF(AND(LEN('Providers'!A492)&gt;0,ISNUMBER('Providers'!I492)),1,0)</f>
        <v/>
      </c>
      <c r="B992">
        <f>B991+A992</f>
        <v/>
      </c>
      <c r="C992">
        <f>IF(989&gt;$B$4503,"",MATCH(989-0.5,$B$3:$B$4503,1))</f>
        <v/>
      </c>
      <c r="D992">
        <f>"DEA registration ("&amp;IF(LEN(INDEX('Providers'!$E$4:$E$503,489))=0,"",INDEX('Providers'!$E$4:$E$503,489))&amp;") – "&amp;IF(LEN(INDEX('Providers'!$A$4:$A$503,489))=0,"",INDEX('Providers'!$A$4:$A$503,489))</f>
        <v/>
      </c>
      <c r="E992">
        <f>IF(ISNUMBER(INDEX('Providers'!$I$4:$I$503,489)),TEXT(INDEX('Providers'!$I$4:$I$503,489),"yyyy-mm-dd"),"")</f>
        <v/>
      </c>
      <c r="F992">
        <f>"Registration"</f>
        <v/>
      </c>
      <c r="G992">
        <f>""</f>
        <v/>
      </c>
      <c r="H992">
        <f>"High"</f>
        <v/>
      </c>
      <c r="I992">
        <f>TRIM(IF(LEN(IF(LEN(INDEX('Providers'!$H$4:$H$503,489))=0,"",INDEX('Providers'!$H$4:$H$503,489)))=0,"","DEA no.: "&amp;IF(LEN(INDEX('Providers'!$H$4:$H$503,489))=0,"",INDEX('Providers'!$H$4:$H$503,489))&amp;". ")&amp;IF(LEN(IF(LEN(INDEX('Providers'!$C$4:$C$503,489))=0,"",INDEX('Providers'!$C$4:$C$503,489)))=0,"","NPI: "&amp;IF(LEN(INDEX('Providers'!$C$4:$C$503,489))=0,"",INDEX('Providers'!$C$4:$C$503,489))&amp;". "))</f>
        <v/>
      </c>
      <c r="J992">
        <f>IF(LEN(INDEX('Providers'!$AJ$4:$AJ$503,489))=0,"",INDEX('Providers'!$AJ$4:$AJ$503,489))</f>
        <v/>
      </c>
      <c r="K992">
        <f>IF(LEN(INDEX('Providers'!$AI$4:$AI$503,489))=0,"",INDEX('Providers'!$AI$4:$AI$503,489))</f>
        <v/>
      </c>
    </row>
    <row r="993">
      <c r="A993">
        <f>IF(AND(LEN('Providers'!A493)&gt;0,ISNUMBER('Providers'!I493)),1,0)</f>
        <v/>
      </c>
      <c r="B993">
        <f>B992+A993</f>
        <v/>
      </c>
      <c r="C993">
        <f>IF(990&gt;$B$4503,"",MATCH(990-0.5,$B$3:$B$4503,1))</f>
        <v/>
      </c>
      <c r="D993">
        <f>"DEA registration ("&amp;IF(LEN(INDEX('Providers'!$E$4:$E$503,490))=0,"",INDEX('Providers'!$E$4:$E$503,490))&amp;") – "&amp;IF(LEN(INDEX('Providers'!$A$4:$A$503,490))=0,"",INDEX('Providers'!$A$4:$A$503,490))</f>
        <v/>
      </c>
      <c r="E993">
        <f>IF(ISNUMBER(INDEX('Providers'!$I$4:$I$503,490)),TEXT(INDEX('Providers'!$I$4:$I$503,490),"yyyy-mm-dd"),"")</f>
        <v/>
      </c>
      <c r="F993">
        <f>"Registration"</f>
        <v/>
      </c>
      <c r="G993">
        <f>""</f>
        <v/>
      </c>
      <c r="H993">
        <f>"High"</f>
        <v/>
      </c>
      <c r="I993">
        <f>TRIM(IF(LEN(IF(LEN(INDEX('Providers'!$H$4:$H$503,490))=0,"",INDEX('Providers'!$H$4:$H$503,490)))=0,"","DEA no.: "&amp;IF(LEN(INDEX('Providers'!$H$4:$H$503,490))=0,"",INDEX('Providers'!$H$4:$H$503,490))&amp;". ")&amp;IF(LEN(IF(LEN(INDEX('Providers'!$C$4:$C$503,490))=0,"",INDEX('Providers'!$C$4:$C$503,490)))=0,"","NPI: "&amp;IF(LEN(INDEX('Providers'!$C$4:$C$503,490))=0,"",INDEX('Providers'!$C$4:$C$503,490))&amp;". "))</f>
        <v/>
      </c>
      <c r="J993">
        <f>IF(LEN(INDEX('Providers'!$AJ$4:$AJ$503,490))=0,"",INDEX('Providers'!$AJ$4:$AJ$503,490))</f>
        <v/>
      </c>
      <c r="K993">
        <f>IF(LEN(INDEX('Providers'!$AI$4:$AI$503,490))=0,"",INDEX('Providers'!$AI$4:$AI$503,490))</f>
        <v/>
      </c>
    </row>
    <row r="994">
      <c r="A994">
        <f>IF(AND(LEN('Providers'!A494)&gt;0,ISNUMBER('Providers'!I494)),1,0)</f>
        <v/>
      </c>
      <c r="B994">
        <f>B993+A994</f>
        <v/>
      </c>
      <c r="C994">
        <f>IF(991&gt;$B$4503,"",MATCH(991-0.5,$B$3:$B$4503,1))</f>
        <v/>
      </c>
      <c r="D994">
        <f>"DEA registration ("&amp;IF(LEN(INDEX('Providers'!$E$4:$E$503,491))=0,"",INDEX('Providers'!$E$4:$E$503,491))&amp;") – "&amp;IF(LEN(INDEX('Providers'!$A$4:$A$503,491))=0,"",INDEX('Providers'!$A$4:$A$503,491))</f>
        <v/>
      </c>
      <c r="E994">
        <f>IF(ISNUMBER(INDEX('Providers'!$I$4:$I$503,491)),TEXT(INDEX('Providers'!$I$4:$I$503,491),"yyyy-mm-dd"),"")</f>
        <v/>
      </c>
      <c r="F994">
        <f>"Registration"</f>
        <v/>
      </c>
      <c r="G994">
        <f>""</f>
        <v/>
      </c>
      <c r="H994">
        <f>"High"</f>
        <v/>
      </c>
      <c r="I994">
        <f>TRIM(IF(LEN(IF(LEN(INDEX('Providers'!$H$4:$H$503,491))=0,"",INDEX('Providers'!$H$4:$H$503,491)))=0,"","DEA no.: "&amp;IF(LEN(INDEX('Providers'!$H$4:$H$503,491))=0,"",INDEX('Providers'!$H$4:$H$503,491))&amp;". ")&amp;IF(LEN(IF(LEN(INDEX('Providers'!$C$4:$C$503,491))=0,"",INDEX('Providers'!$C$4:$C$503,491)))=0,"","NPI: "&amp;IF(LEN(INDEX('Providers'!$C$4:$C$503,491))=0,"",INDEX('Providers'!$C$4:$C$503,491))&amp;". "))</f>
        <v/>
      </c>
      <c r="J994">
        <f>IF(LEN(INDEX('Providers'!$AJ$4:$AJ$503,491))=0,"",INDEX('Providers'!$AJ$4:$AJ$503,491))</f>
        <v/>
      </c>
      <c r="K994">
        <f>IF(LEN(INDEX('Providers'!$AI$4:$AI$503,491))=0,"",INDEX('Providers'!$AI$4:$AI$503,491))</f>
        <v/>
      </c>
    </row>
    <row r="995">
      <c r="A995">
        <f>IF(AND(LEN('Providers'!A495)&gt;0,ISNUMBER('Providers'!I495)),1,0)</f>
        <v/>
      </c>
      <c r="B995">
        <f>B994+A995</f>
        <v/>
      </c>
      <c r="C995">
        <f>IF(992&gt;$B$4503,"",MATCH(992-0.5,$B$3:$B$4503,1))</f>
        <v/>
      </c>
      <c r="D995">
        <f>"DEA registration ("&amp;IF(LEN(INDEX('Providers'!$E$4:$E$503,492))=0,"",INDEX('Providers'!$E$4:$E$503,492))&amp;") – "&amp;IF(LEN(INDEX('Providers'!$A$4:$A$503,492))=0,"",INDEX('Providers'!$A$4:$A$503,492))</f>
        <v/>
      </c>
      <c r="E995">
        <f>IF(ISNUMBER(INDEX('Providers'!$I$4:$I$503,492)),TEXT(INDEX('Providers'!$I$4:$I$503,492),"yyyy-mm-dd"),"")</f>
        <v/>
      </c>
      <c r="F995">
        <f>"Registration"</f>
        <v/>
      </c>
      <c r="G995">
        <f>""</f>
        <v/>
      </c>
      <c r="H995">
        <f>"High"</f>
        <v/>
      </c>
      <c r="I995">
        <f>TRIM(IF(LEN(IF(LEN(INDEX('Providers'!$H$4:$H$503,492))=0,"",INDEX('Providers'!$H$4:$H$503,492)))=0,"","DEA no.: "&amp;IF(LEN(INDEX('Providers'!$H$4:$H$503,492))=0,"",INDEX('Providers'!$H$4:$H$503,492))&amp;". ")&amp;IF(LEN(IF(LEN(INDEX('Providers'!$C$4:$C$503,492))=0,"",INDEX('Providers'!$C$4:$C$503,492)))=0,"","NPI: "&amp;IF(LEN(INDEX('Providers'!$C$4:$C$503,492))=0,"",INDEX('Providers'!$C$4:$C$503,492))&amp;". "))</f>
        <v/>
      </c>
      <c r="J995">
        <f>IF(LEN(INDEX('Providers'!$AJ$4:$AJ$503,492))=0,"",INDEX('Providers'!$AJ$4:$AJ$503,492))</f>
        <v/>
      </c>
      <c r="K995">
        <f>IF(LEN(INDEX('Providers'!$AI$4:$AI$503,492))=0,"",INDEX('Providers'!$AI$4:$AI$503,492))</f>
        <v/>
      </c>
    </row>
    <row r="996">
      <c r="A996">
        <f>IF(AND(LEN('Providers'!A496)&gt;0,ISNUMBER('Providers'!I496)),1,0)</f>
        <v/>
      </c>
      <c r="B996">
        <f>B995+A996</f>
        <v/>
      </c>
      <c r="C996">
        <f>IF(993&gt;$B$4503,"",MATCH(993-0.5,$B$3:$B$4503,1))</f>
        <v/>
      </c>
      <c r="D996">
        <f>"DEA registration ("&amp;IF(LEN(INDEX('Providers'!$E$4:$E$503,493))=0,"",INDEX('Providers'!$E$4:$E$503,493))&amp;") – "&amp;IF(LEN(INDEX('Providers'!$A$4:$A$503,493))=0,"",INDEX('Providers'!$A$4:$A$503,493))</f>
        <v/>
      </c>
      <c r="E996">
        <f>IF(ISNUMBER(INDEX('Providers'!$I$4:$I$503,493)),TEXT(INDEX('Providers'!$I$4:$I$503,493),"yyyy-mm-dd"),"")</f>
        <v/>
      </c>
      <c r="F996">
        <f>"Registration"</f>
        <v/>
      </c>
      <c r="G996">
        <f>""</f>
        <v/>
      </c>
      <c r="H996">
        <f>"High"</f>
        <v/>
      </c>
      <c r="I996">
        <f>TRIM(IF(LEN(IF(LEN(INDEX('Providers'!$H$4:$H$503,493))=0,"",INDEX('Providers'!$H$4:$H$503,493)))=0,"","DEA no.: "&amp;IF(LEN(INDEX('Providers'!$H$4:$H$503,493))=0,"",INDEX('Providers'!$H$4:$H$503,493))&amp;". ")&amp;IF(LEN(IF(LEN(INDEX('Providers'!$C$4:$C$503,493))=0,"",INDEX('Providers'!$C$4:$C$503,493)))=0,"","NPI: "&amp;IF(LEN(INDEX('Providers'!$C$4:$C$503,493))=0,"",INDEX('Providers'!$C$4:$C$503,493))&amp;". "))</f>
        <v/>
      </c>
      <c r="J996">
        <f>IF(LEN(INDEX('Providers'!$AJ$4:$AJ$503,493))=0,"",INDEX('Providers'!$AJ$4:$AJ$503,493))</f>
        <v/>
      </c>
      <c r="K996">
        <f>IF(LEN(INDEX('Providers'!$AI$4:$AI$503,493))=0,"",INDEX('Providers'!$AI$4:$AI$503,493))</f>
        <v/>
      </c>
    </row>
    <row r="997">
      <c r="A997">
        <f>IF(AND(LEN('Providers'!A497)&gt;0,ISNUMBER('Providers'!I497)),1,0)</f>
        <v/>
      </c>
      <c r="B997">
        <f>B996+A997</f>
        <v/>
      </c>
      <c r="C997">
        <f>IF(994&gt;$B$4503,"",MATCH(994-0.5,$B$3:$B$4503,1))</f>
        <v/>
      </c>
      <c r="D997">
        <f>"DEA registration ("&amp;IF(LEN(INDEX('Providers'!$E$4:$E$503,494))=0,"",INDEX('Providers'!$E$4:$E$503,494))&amp;") – "&amp;IF(LEN(INDEX('Providers'!$A$4:$A$503,494))=0,"",INDEX('Providers'!$A$4:$A$503,494))</f>
        <v/>
      </c>
      <c r="E997">
        <f>IF(ISNUMBER(INDEX('Providers'!$I$4:$I$503,494)),TEXT(INDEX('Providers'!$I$4:$I$503,494),"yyyy-mm-dd"),"")</f>
        <v/>
      </c>
      <c r="F997">
        <f>"Registration"</f>
        <v/>
      </c>
      <c r="G997">
        <f>""</f>
        <v/>
      </c>
      <c r="H997">
        <f>"High"</f>
        <v/>
      </c>
      <c r="I997">
        <f>TRIM(IF(LEN(IF(LEN(INDEX('Providers'!$H$4:$H$503,494))=0,"",INDEX('Providers'!$H$4:$H$503,494)))=0,"","DEA no.: "&amp;IF(LEN(INDEX('Providers'!$H$4:$H$503,494))=0,"",INDEX('Providers'!$H$4:$H$503,494))&amp;". ")&amp;IF(LEN(IF(LEN(INDEX('Providers'!$C$4:$C$503,494))=0,"",INDEX('Providers'!$C$4:$C$503,494)))=0,"","NPI: "&amp;IF(LEN(INDEX('Providers'!$C$4:$C$503,494))=0,"",INDEX('Providers'!$C$4:$C$503,494))&amp;". "))</f>
        <v/>
      </c>
      <c r="J997">
        <f>IF(LEN(INDEX('Providers'!$AJ$4:$AJ$503,494))=0,"",INDEX('Providers'!$AJ$4:$AJ$503,494))</f>
        <v/>
      </c>
      <c r="K997">
        <f>IF(LEN(INDEX('Providers'!$AI$4:$AI$503,494))=0,"",INDEX('Providers'!$AI$4:$AI$503,494))</f>
        <v/>
      </c>
    </row>
    <row r="998">
      <c r="A998">
        <f>IF(AND(LEN('Providers'!A498)&gt;0,ISNUMBER('Providers'!I498)),1,0)</f>
        <v/>
      </c>
      <c r="B998">
        <f>B997+A998</f>
        <v/>
      </c>
      <c r="C998">
        <f>IF(995&gt;$B$4503,"",MATCH(995-0.5,$B$3:$B$4503,1))</f>
        <v/>
      </c>
      <c r="D998">
        <f>"DEA registration ("&amp;IF(LEN(INDEX('Providers'!$E$4:$E$503,495))=0,"",INDEX('Providers'!$E$4:$E$503,495))&amp;") – "&amp;IF(LEN(INDEX('Providers'!$A$4:$A$503,495))=0,"",INDEX('Providers'!$A$4:$A$503,495))</f>
        <v/>
      </c>
      <c r="E998">
        <f>IF(ISNUMBER(INDEX('Providers'!$I$4:$I$503,495)),TEXT(INDEX('Providers'!$I$4:$I$503,495),"yyyy-mm-dd"),"")</f>
        <v/>
      </c>
      <c r="F998">
        <f>"Registration"</f>
        <v/>
      </c>
      <c r="G998">
        <f>""</f>
        <v/>
      </c>
      <c r="H998">
        <f>"High"</f>
        <v/>
      </c>
      <c r="I998">
        <f>TRIM(IF(LEN(IF(LEN(INDEX('Providers'!$H$4:$H$503,495))=0,"",INDEX('Providers'!$H$4:$H$503,495)))=0,"","DEA no.: "&amp;IF(LEN(INDEX('Providers'!$H$4:$H$503,495))=0,"",INDEX('Providers'!$H$4:$H$503,495))&amp;". ")&amp;IF(LEN(IF(LEN(INDEX('Providers'!$C$4:$C$503,495))=0,"",INDEX('Providers'!$C$4:$C$503,495)))=0,"","NPI: "&amp;IF(LEN(INDEX('Providers'!$C$4:$C$503,495))=0,"",INDEX('Providers'!$C$4:$C$503,495))&amp;". "))</f>
        <v/>
      </c>
      <c r="J998">
        <f>IF(LEN(INDEX('Providers'!$AJ$4:$AJ$503,495))=0,"",INDEX('Providers'!$AJ$4:$AJ$503,495))</f>
        <v/>
      </c>
      <c r="K998">
        <f>IF(LEN(INDEX('Providers'!$AI$4:$AI$503,495))=0,"",INDEX('Providers'!$AI$4:$AI$503,495))</f>
        <v/>
      </c>
    </row>
    <row r="999">
      <c r="A999">
        <f>IF(AND(LEN('Providers'!A499)&gt;0,ISNUMBER('Providers'!I499)),1,0)</f>
        <v/>
      </c>
      <c r="B999">
        <f>B998+A999</f>
        <v/>
      </c>
      <c r="C999">
        <f>IF(996&gt;$B$4503,"",MATCH(996-0.5,$B$3:$B$4503,1))</f>
        <v/>
      </c>
      <c r="D999">
        <f>"DEA registration ("&amp;IF(LEN(INDEX('Providers'!$E$4:$E$503,496))=0,"",INDEX('Providers'!$E$4:$E$503,496))&amp;") – "&amp;IF(LEN(INDEX('Providers'!$A$4:$A$503,496))=0,"",INDEX('Providers'!$A$4:$A$503,496))</f>
        <v/>
      </c>
      <c r="E999">
        <f>IF(ISNUMBER(INDEX('Providers'!$I$4:$I$503,496)),TEXT(INDEX('Providers'!$I$4:$I$503,496),"yyyy-mm-dd"),"")</f>
        <v/>
      </c>
      <c r="F999">
        <f>"Registration"</f>
        <v/>
      </c>
      <c r="G999">
        <f>""</f>
        <v/>
      </c>
      <c r="H999">
        <f>"High"</f>
        <v/>
      </c>
      <c r="I999">
        <f>TRIM(IF(LEN(IF(LEN(INDEX('Providers'!$H$4:$H$503,496))=0,"",INDEX('Providers'!$H$4:$H$503,496)))=0,"","DEA no.: "&amp;IF(LEN(INDEX('Providers'!$H$4:$H$503,496))=0,"",INDEX('Providers'!$H$4:$H$503,496))&amp;". ")&amp;IF(LEN(IF(LEN(INDEX('Providers'!$C$4:$C$503,496))=0,"",INDEX('Providers'!$C$4:$C$503,496)))=0,"","NPI: "&amp;IF(LEN(INDEX('Providers'!$C$4:$C$503,496))=0,"",INDEX('Providers'!$C$4:$C$503,496))&amp;". "))</f>
        <v/>
      </c>
      <c r="J999">
        <f>IF(LEN(INDEX('Providers'!$AJ$4:$AJ$503,496))=0,"",INDEX('Providers'!$AJ$4:$AJ$503,496))</f>
        <v/>
      </c>
      <c r="K999">
        <f>IF(LEN(INDEX('Providers'!$AI$4:$AI$503,496))=0,"",INDEX('Providers'!$AI$4:$AI$503,496))</f>
        <v/>
      </c>
    </row>
    <row r="1000">
      <c r="A1000">
        <f>IF(AND(LEN('Providers'!A500)&gt;0,ISNUMBER('Providers'!I500)),1,0)</f>
        <v/>
      </c>
      <c r="B1000">
        <f>B999+A1000</f>
        <v/>
      </c>
      <c r="C1000">
        <f>IF(997&gt;$B$4503,"",MATCH(997-0.5,$B$3:$B$4503,1))</f>
        <v/>
      </c>
      <c r="D1000">
        <f>"DEA registration ("&amp;IF(LEN(INDEX('Providers'!$E$4:$E$503,497))=0,"",INDEX('Providers'!$E$4:$E$503,497))&amp;") – "&amp;IF(LEN(INDEX('Providers'!$A$4:$A$503,497))=0,"",INDEX('Providers'!$A$4:$A$503,497))</f>
        <v/>
      </c>
      <c r="E1000">
        <f>IF(ISNUMBER(INDEX('Providers'!$I$4:$I$503,497)),TEXT(INDEX('Providers'!$I$4:$I$503,497),"yyyy-mm-dd"),"")</f>
        <v/>
      </c>
      <c r="F1000">
        <f>"Registration"</f>
        <v/>
      </c>
      <c r="G1000">
        <f>""</f>
        <v/>
      </c>
      <c r="H1000">
        <f>"High"</f>
        <v/>
      </c>
      <c r="I1000">
        <f>TRIM(IF(LEN(IF(LEN(INDEX('Providers'!$H$4:$H$503,497))=0,"",INDEX('Providers'!$H$4:$H$503,497)))=0,"","DEA no.: "&amp;IF(LEN(INDEX('Providers'!$H$4:$H$503,497))=0,"",INDEX('Providers'!$H$4:$H$503,497))&amp;". ")&amp;IF(LEN(IF(LEN(INDEX('Providers'!$C$4:$C$503,497))=0,"",INDEX('Providers'!$C$4:$C$503,497)))=0,"","NPI: "&amp;IF(LEN(INDEX('Providers'!$C$4:$C$503,497))=0,"",INDEX('Providers'!$C$4:$C$503,497))&amp;". "))</f>
        <v/>
      </c>
      <c r="J1000">
        <f>IF(LEN(INDEX('Providers'!$AJ$4:$AJ$503,497))=0,"",INDEX('Providers'!$AJ$4:$AJ$503,497))</f>
        <v/>
      </c>
      <c r="K1000">
        <f>IF(LEN(INDEX('Providers'!$AI$4:$AI$503,497))=0,"",INDEX('Providers'!$AI$4:$AI$503,497))</f>
        <v/>
      </c>
    </row>
    <row r="1001">
      <c r="A1001">
        <f>IF(AND(LEN('Providers'!A501)&gt;0,ISNUMBER('Providers'!I501)),1,0)</f>
        <v/>
      </c>
      <c r="B1001">
        <f>B1000+A1001</f>
        <v/>
      </c>
      <c r="C1001">
        <f>IF(998&gt;$B$4503,"",MATCH(998-0.5,$B$3:$B$4503,1))</f>
        <v/>
      </c>
      <c r="D1001">
        <f>"DEA registration ("&amp;IF(LEN(INDEX('Providers'!$E$4:$E$503,498))=0,"",INDEX('Providers'!$E$4:$E$503,498))&amp;") – "&amp;IF(LEN(INDEX('Providers'!$A$4:$A$503,498))=0,"",INDEX('Providers'!$A$4:$A$503,498))</f>
        <v/>
      </c>
      <c r="E1001">
        <f>IF(ISNUMBER(INDEX('Providers'!$I$4:$I$503,498)),TEXT(INDEX('Providers'!$I$4:$I$503,498),"yyyy-mm-dd"),"")</f>
        <v/>
      </c>
      <c r="F1001">
        <f>"Registration"</f>
        <v/>
      </c>
      <c r="G1001">
        <f>""</f>
        <v/>
      </c>
      <c r="H1001">
        <f>"High"</f>
        <v/>
      </c>
      <c r="I1001">
        <f>TRIM(IF(LEN(IF(LEN(INDEX('Providers'!$H$4:$H$503,498))=0,"",INDEX('Providers'!$H$4:$H$503,498)))=0,"","DEA no.: "&amp;IF(LEN(INDEX('Providers'!$H$4:$H$503,498))=0,"",INDEX('Providers'!$H$4:$H$503,498))&amp;". ")&amp;IF(LEN(IF(LEN(INDEX('Providers'!$C$4:$C$503,498))=0,"",INDEX('Providers'!$C$4:$C$503,498)))=0,"","NPI: "&amp;IF(LEN(INDEX('Providers'!$C$4:$C$503,498))=0,"",INDEX('Providers'!$C$4:$C$503,498))&amp;". "))</f>
        <v/>
      </c>
      <c r="J1001">
        <f>IF(LEN(INDEX('Providers'!$AJ$4:$AJ$503,498))=0,"",INDEX('Providers'!$AJ$4:$AJ$503,498))</f>
        <v/>
      </c>
      <c r="K1001">
        <f>IF(LEN(INDEX('Providers'!$AI$4:$AI$503,498))=0,"",INDEX('Providers'!$AI$4:$AI$503,498))</f>
        <v/>
      </c>
    </row>
    <row r="1002">
      <c r="A1002">
        <f>IF(AND(LEN('Providers'!A502)&gt;0,ISNUMBER('Providers'!I502)),1,0)</f>
        <v/>
      </c>
      <c r="B1002">
        <f>B1001+A1002</f>
        <v/>
      </c>
      <c r="C1002">
        <f>IF(999&gt;$B$4503,"",MATCH(999-0.5,$B$3:$B$4503,1))</f>
        <v/>
      </c>
      <c r="D1002">
        <f>"DEA registration ("&amp;IF(LEN(INDEX('Providers'!$E$4:$E$503,499))=0,"",INDEX('Providers'!$E$4:$E$503,499))&amp;") – "&amp;IF(LEN(INDEX('Providers'!$A$4:$A$503,499))=0,"",INDEX('Providers'!$A$4:$A$503,499))</f>
        <v/>
      </c>
      <c r="E1002">
        <f>IF(ISNUMBER(INDEX('Providers'!$I$4:$I$503,499)),TEXT(INDEX('Providers'!$I$4:$I$503,499),"yyyy-mm-dd"),"")</f>
        <v/>
      </c>
      <c r="F1002">
        <f>"Registration"</f>
        <v/>
      </c>
      <c r="G1002">
        <f>""</f>
        <v/>
      </c>
      <c r="H1002">
        <f>"High"</f>
        <v/>
      </c>
      <c r="I1002">
        <f>TRIM(IF(LEN(IF(LEN(INDEX('Providers'!$H$4:$H$503,499))=0,"",INDEX('Providers'!$H$4:$H$503,499)))=0,"","DEA no.: "&amp;IF(LEN(INDEX('Providers'!$H$4:$H$503,499))=0,"",INDEX('Providers'!$H$4:$H$503,499))&amp;". ")&amp;IF(LEN(IF(LEN(INDEX('Providers'!$C$4:$C$503,499))=0,"",INDEX('Providers'!$C$4:$C$503,499)))=0,"","NPI: "&amp;IF(LEN(INDEX('Providers'!$C$4:$C$503,499))=0,"",INDEX('Providers'!$C$4:$C$503,499))&amp;". "))</f>
        <v/>
      </c>
      <c r="J1002">
        <f>IF(LEN(INDEX('Providers'!$AJ$4:$AJ$503,499))=0,"",INDEX('Providers'!$AJ$4:$AJ$503,499))</f>
        <v/>
      </c>
      <c r="K1002">
        <f>IF(LEN(INDEX('Providers'!$AI$4:$AI$503,499))=0,"",INDEX('Providers'!$AI$4:$AI$503,499))</f>
        <v/>
      </c>
    </row>
    <row r="1003">
      <c r="A1003">
        <f>IF(AND(LEN('Providers'!A503)&gt;0,ISNUMBER('Providers'!I503)),1,0)</f>
        <v/>
      </c>
      <c r="B1003">
        <f>B1002+A1003</f>
        <v/>
      </c>
      <c r="C1003">
        <f>IF(1000&gt;$B$4503,"",MATCH(1000-0.5,$B$3:$B$4503,1))</f>
        <v/>
      </c>
      <c r="D1003">
        <f>"DEA registration ("&amp;IF(LEN(INDEX('Providers'!$E$4:$E$503,500))=0,"",INDEX('Providers'!$E$4:$E$503,500))&amp;") – "&amp;IF(LEN(INDEX('Providers'!$A$4:$A$503,500))=0,"",INDEX('Providers'!$A$4:$A$503,500))</f>
        <v/>
      </c>
      <c r="E1003">
        <f>IF(ISNUMBER(INDEX('Providers'!$I$4:$I$503,500)),TEXT(INDEX('Providers'!$I$4:$I$503,500),"yyyy-mm-dd"),"")</f>
        <v/>
      </c>
      <c r="F1003">
        <f>"Registration"</f>
        <v/>
      </c>
      <c r="G1003">
        <f>""</f>
        <v/>
      </c>
      <c r="H1003">
        <f>"High"</f>
        <v/>
      </c>
      <c r="I1003">
        <f>TRIM(IF(LEN(IF(LEN(INDEX('Providers'!$H$4:$H$503,500))=0,"",INDEX('Providers'!$H$4:$H$503,500)))=0,"","DEA no.: "&amp;IF(LEN(INDEX('Providers'!$H$4:$H$503,500))=0,"",INDEX('Providers'!$H$4:$H$503,500))&amp;". ")&amp;IF(LEN(IF(LEN(INDEX('Providers'!$C$4:$C$503,500))=0,"",INDEX('Providers'!$C$4:$C$503,500)))=0,"","NPI: "&amp;IF(LEN(INDEX('Providers'!$C$4:$C$503,500))=0,"",INDEX('Providers'!$C$4:$C$503,500))&amp;". "))</f>
        <v/>
      </c>
      <c r="J1003">
        <f>IF(LEN(INDEX('Providers'!$AJ$4:$AJ$503,500))=0,"",INDEX('Providers'!$AJ$4:$AJ$503,500))</f>
        <v/>
      </c>
      <c r="K1003">
        <f>IF(LEN(INDEX('Providers'!$AI$4:$AI$503,500))=0,"",INDEX('Providers'!$AI$4:$AI$503,500))</f>
        <v/>
      </c>
    </row>
    <row r="1004">
      <c r="A1004">
        <f>IF(AND(LEN('Providers'!A4)&gt;0,ISNUMBER('Providers'!K4)),1,0)</f>
        <v/>
      </c>
      <c r="B1004">
        <f>B1003+A1004</f>
        <v/>
      </c>
      <c r="C1004">
        <f>IF(1001&gt;$B$4503,"",MATCH(1001-0.5,$B$3:$B$4503,1))</f>
        <v/>
      </c>
      <c r="D1004">
        <f>"State CSR ("&amp;IF(LEN(INDEX('Providers'!$E$4:$E$503,1))=0,"",INDEX('Providers'!$E$4:$E$503,1))&amp;") – "&amp;IF(LEN(INDEX('Providers'!$A$4:$A$503,1))=0,"",INDEX('Providers'!$A$4:$A$503,1))</f>
        <v/>
      </c>
      <c r="E1004">
        <f>IF(ISNUMBER(INDEX('Providers'!$K$4:$K$503,1)),TEXT(INDEX('Providers'!$K$4:$K$503,1),"yyyy-mm-dd"),"")</f>
        <v/>
      </c>
      <c r="F1004">
        <f>"Registration"</f>
        <v/>
      </c>
      <c r="G1004">
        <f>""</f>
        <v/>
      </c>
      <c r="H1004">
        <f>"High"</f>
        <v/>
      </c>
      <c r="I1004">
        <f>TRIM(IF(LEN(IF(LEN(INDEX('Providers'!$J$4:$J$503,1))=0,"",INDEX('Providers'!$J$4:$J$503,1)))=0,"","CSR no.: "&amp;IF(LEN(INDEX('Providers'!$J$4:$J$503,1))=0,"",INDEX('Providers'!$J$4:$J$503,1))&amp;". ")&amp;IF(LEN(IF(LEN(INDEX('Providers'!$C$4:$C$503,1))=0,"",INDEX('Providers'!$C$4:$C$503,1)))=0,"","NPI: "&amp;IF(LEN(INDEX('Providers'!$C$4:$C$503,1))=0,"",INDEX('Providers'!$C$4:$C$503,1))&amp;". "))</f>
        <v/>
      </c>
      <c r="J1004">
        <f>IF(LEN(INDEX('Providers'!$AJ$4:$AJ$503,1))=0,"",INDEX('Providers'!$AJ$4:$AJ$503,1))</f>
        <v/>
      </c>
      <c r="K1004">
        <f>IF(LEN(INDEX('Providers'!$AI$4:$AI$503,1))=0,"",INDEX('Providers'!$AI$4:$AI$503,1))</f>
        <v/>
      </c>
    </row>
    <row r="1005">
      <c r="A1005">
        <f>IF(AND(LEN('Providers'!A5)&gt;0,ISNUMBER('Providers'!K5)),1,0)</f>
        <v/>
      </c>
      <c r="B1005">
        <f>B1004+A1005</f>
        <v/>
      </c>
      <c r="C1005">
        <f>IF(1002&gt;$B$4503,"",MATCH(1002-0.5,$B$3:$B$4503,1))</f>
        <v/>
      </c>
      <c r="D1005">
        <f>"State CSR ("&amp;IF(LEN(INDEX('Providers'!$E$4:$E$503,2))=0,"",INDEX('Providers'!$E$4:$E$503,2))&amp;") – "&amp;IF(LEN(INDEX('Providers'!$A$4:$A$503,2))=0,"",INDEX('Providers'!$A$4:$A$503,2))</f>
        <v/>
      </c>
      <c r="E1005">
        <f>IF(ISNUMBER(INDEX('Providers'!$K$4:$K$503,2)),TEXT(INDEX('Providers'!$K$4:$K$503,2),"yyyy-mm-dd"),"")</f>
        <v/>
      </c>
      <c r="F1005">
        <f>"Registration"</f>
        <v/>
      </c>
      <c r="G1005">
        <f>""</f>
        <v/>
      </c>
      <c r="H1005">
        <f>"High"</f>
        <v/>
      </c>
      <c r="I1005">
        <f>TRIM(IF(LEN(IF(LEN(INDEX('Providers'!$J$4:$J$503,2))=0,"",INDEX('Providers'!$J$4:$J$503,2)))=0,"","CSR no.: "&amp;IF(LEN(INDEX('Providers'!$J$4:$J$503,2))=0,"",INDEX('Providers'!$J$4:$J$503,2))&amp;". ")&amp;IF(LEN(IF(LEN(INDEX('Providers'!$C$4:$C$503,2))=0,"",INDEX('Providers'!$C$4:$C$503,2)))=0,"","NPI: "&amp;IF(LEN(INDEX('Providers'!$C$4:$C$503,2))=0,"",INDEX('Providers'!$C$4:$C$503,2))&amp;". "))</f>
        <v/>
      </c>
      <c r="J1005">
        <f>IF(LEN(INDEX('Providers'!$AJ$4:$AJ$503,2))=0,"",INDEX('Providers'!$AJ$4:$AJ$503,2))</f>
        <v/>
      </c>
      <c r="K1005">
        <f>IF(LEN(INDEX('Providers'!$AI$4:$AI$503,2))=0,"",INDEX('Providers'!$AI$4:$AI$503,2))</f>
        <v/>
      </c>
    </row>
    <row r="1006">
      <c r="A1006">
        <f>IF(AND(LEN('Providers'!A6)&gt;0,ISNUMBER('Providers'!K6)),1,0)</f>
        <v/>
      </c>
      <c r="B1006">
        <f>B1005+A1006</f>
        <v/>
      </c>
      <c r="C1006">
        <f>IF(1003&gt;$B$4503,"",MATCH(1003-0.5,$B$3:$B$4503,1))</f>
        <v/>
      </c>
      <c r="D1006">
        <f>"State CSR ("&amp;IF(LEN(INDEX('Providers'!$E$4:$E$503,3))=0,"",INDEX('Providers'!$E$4:$E$503,3))&amp;") – "&amp;IF(LEN(INDEX('Providers'!$A$4:$A$503,3))=0,"",INDEX('Providers'!$A$4:$A$503,3))</f>
        <v/>
      </c>
      <c r="E1006">
        <f>IF(ISNUMBER(INDEX('Providers'!$K$4:$K$503,3)),TEXT(INDEX('Providers'!$K$4:$K$503,3),"yyyy-mm-dd"),"")</f>
        <v/>
      </c>
      <c r="F1006">
        <f>"Registration"</f>
        <v/>
      </c>
      <c r="G1006">
        <f>""</f>
        <v/>
      </c>
      <c r="H1006">
        <f>"High"</f>
        <v/>
      </c>
      <c r="I1006">
        <f>TRIM(IF(LEN(IF(LEN(INDEX('Providers'!$J$4:$J$503,3))=0,"",INDEX('Providers'!$J$4:$J$503,3)))=0,"","CSR no.: "&amp;IF(LEN(INDEX('Providers'!$J$4:$J$503,3))=0,"",INDEX('Providers'!$J$4:$J$503,3))&amp;". ")&amp;IF(LEN(IF(LEN(INDEX('Providers'!$C$4:$C$503,3))=0,"",INDEX('Providers'!$C$4:$C$503,3)))=0,"","NPI: "&amp;IF(LEN(INDEX('Providers'!$C$4:$C$503,3))=0,"",INDEX('Providers'!$C$4:$C$503,3))&amp;". "))</f>
        <v/>
      </c>
      <c r="J1006">
        <f>IF(LEN(INDEX('Providers'!$AJ$4:$AJ$503,3))=0,"",INDEX('Providers'!$AJ$4:$AJ$503,3))</f>
        <v/>
      </c>
      <c r="K1006">
        <f>IF(LEN(INDEX('Providers'!$AI$4:$AI$503,3))=0,"",INDEX('Providers'!$AI$4:$AI$503,3))</f>
        <v/>
      </c>
    </row>
    <row r="1007">
      <c r="A1007">
        <f>IF(AND(LEN('Providers'!A7)&gt;0,ISNUMBER('Providers'!K7)),1,0)</f>
        <v/>
      </c>
      <c r="B1007">
        <f>B1006+A1007</f>
        <v/>
      </c>
      <c r="C1007">
        <f>IF(1004&gt;$B$4503,"",MATCH(1004-0.5,$B$3:$B$4503,1))</f>
        <v/>
      </c>
      <c r="D1007">
        <f>"State CSR ("&amp;IF(LEN(INDEX('Providers'!$E$4:$E$503,4))=0,"",INDEX('Providers'!$E$4:$E$503,4))&amp;") – "&amp;IF(LEN(INDEX('Providers'!$A$4:$A$503,4))=0,"",INDEX('Providers'!$A$4:$A$503,4))</f>
        <v/>
      </c>
      <c r="E1007">
        <f>IF(ISNUMBER(INDEX('Providers'!$K$4:$K$503,4)),TEXT(INDEX('Providers'!$K$4:$K$503,4),"yyyy-mm-dd"),"")</f>
        <v/>
      </c>
      <c r="F1007">
        <f>"Registration"</f>
        <v/>
      </c>
      <c r="G1007">
        <f>""</f>
        <v/>
      </c>
      <c r="H1007">
        <f>"High"</f>
        <v/>
      </c>
      <c r="I1007">
        <f>TRIM(IF(LEN(IF(LEN(INDEX('Providers'!$J$4:$J$503,4))=0,"",INDEX('Providers'!$J$4:$J$503,4)))=0,"","CSR no.: "&amp;IF(LEN(INDEX('Providers'!$J$4:$J$503,4))=0,"",INDEX('Providers'!$J$4:$J$503,4))&amp;". ")&amp;IF(LEN(IF(LEN(INDEX('Providers'!$C$4:$C$503,4))=0,"",INDEX('Providers'!$C$4:$C$503,4)))=0,"","NPI: "&amp;IF(LEN(INDEX('Providers'!$C$4:$C$503,4))=0,"",INDEX('Providers'!$C$4:$C$503,4))&amp;". "))</f>
        <v/>
      </c>
      <c r="J1007">
        <f>IF(LEN(INDEX('Providers'!$AJ$4:$AJ$503,4))=0,"",INDEX('Providers'!$AJ$4:$AJ$503,4))</f>
        <v/>
      </c>
      <c r="K1007">
        <f>IF(LEN(INDEX('Providers'!$AI$4:$AI$503,4))=0,"",INDEX('Providers'!$AI$4:$AI$503,4))</f>
        <v/>
      </c>
    </row>
    <row r="1008">
      <c r="A1008">
        <f>IF(AND(LEN('Providers'!A8)&gt;0,ISNUMBER('Providers'!K8)),1,0)</f>
        <v/>
      </c>
      <c r="B1008">
        <f>B1007+A1008</f>
        <v/>
      </c>
      <c r="C1008">
        <f>IF(1005&gt;$B$4503,"",MATCH(1005-0.5,$B$3:$B$4503,1))</f>
        <v/>
      </c>
      <c r="D1008">
        <f>"State CSR ("&amp;IF(LEN(INDEX('Providers'!$E$4:$E$503,5))=0,"",INDEX('Providers'!$E$4:$E$503,5))&amp;") – "&amp;IF(LEN(INDEX('Providers'!$A$4:$A$503,5))=0,"",INDEX('Providers'!$A$4:$A$503,5))</f>
        <v/>
      </c>
      <c r="E1008">
        <f>IF(ISNUMBER(INDEX('Providers'!$K$4:$K$503,5)),TEXT(INDEX('Providers'!$K$4:$K$503,5),"yyyy-mm-dd"),"")</f>
        <v/>
      </c>
      <c r="F1008">
        <f>"Registration"</f>
        <v/>
      </c>
      <c r="G1008">
        <f>""</f>
        <v/>
      </c>
      <c r="H1008">
        <f>"High"</f>
        <v/>
      </c>
      <c r="I1008">
        <f>TRIM(IF(LEN(IF(LEN(INDEX('Providers'!$J$4:$J$503,5))=0,"",INDEX('Providers'!$J$4:$J$503,5)))=0,"","CSR no.: "&amp;IF(LEN(INDEX('Providers'!$J$4:$J$503,5))=0,"",INDEX('Providers'!$J$4:$J$503,5))&amp;". ")&amp;IF(LEN(IF(LEN(INDEX('Providers'!$C$4:$C$503,5))=0,"",INDEX('Providers'!$C$4:$C$503,5)))=0,"","NPI: "&amp;IF(LEN(INDEX('Providers'!$C$4:$C$503,5))=0,"",INDEX('Providers'!$C$4:$C$503,5))&amp;". "))</f>
        <v/>
      </c>
      <c r="J1008">
        <f>IF(LEN(INDEX('Providers'!$AJ$4:$AJ$503,5))=0,"",INDEX('Providers'!$AJ$4:$AJ$503,5))</f>
        <v/>
      </c>
      <c r="K1008">
        <f>IF(LEN(INDEX('Providers'!$AI$4:$AI$503,5))=0,"",INDEX('Providers'!$AI$4:$AI$503,5))</f>
        <v/>
      </c>
    </row>
    <row r="1009">
      <c r="A1009">
        <f>IF(AND(LEN('Providers'!A9)&gt;0,ISNUMBER('Providers'!K9)),1,0)</f>
        <v/>
      </c>
      <c r="B1009">
        <f>B1008+A1009</f>
        <v/>
      </c>
      <c r="C1009">
        <f>IF(1006&gt;$B$4503,"",MATCH(1006-0.5,$B$3:$B$4503,1))</f>
        <v/>
      </c>
      <c r="D1009">
        <f>"State CSR ("&amp;IF(LEN(INDEX('Providers'!$E$4:$E$503,6))=0,"",INDEX('Providers'!$E$4:$E$503,6))&amp;") – "&amp;IF(LEN(INDEX('Providers'!$A$4:$A$503,6))=0,"",INDEX('Providers'!$A$4:$A$503,6))</f>
        <v/>
      </c>
      <c r="E1009">
        <f>IF(ISNUMBER(INDEX('Providers'!$K$4:$K$503,6)),TEXT(INDEX('Providers'!$K$4:$K$503,6),"yyyy-mm-dd"),"")</f>
        <v/>
      </c>
      <c r="F1009">
        <f>"Registration"</f>
        <v/>
      </c>
      <c r="G1009">
        <f>""</f>
        <v/>
      </c>
      <c r="H1009">
        <f>"High"</f>
        <v/>
      </c>
      <c r="I1009">
        <f>TRIM(IF(LEN(IF(LEN(INDEX('Providers'!$J$4:$J$503,6))=0,"",INDEX('Providers'!$J$4:$J$503,6)))=0,"","CSR no.: "&amp;IF(LEN(INDEX('Providers'!$J$4:$J$503,6))=0,"",INDEX('Providers'!$J$4:$J$503,6))&amp;". ")&amp;IF(LEN(IF(LEN(INDEX('Providers'!$C$4:$C$503,6))=0,"",INDEX('Providers'!$C$4:$C$503,6)))=0,"","NPI: "&amp;IF(LEN(INDEX('Providers'!$C$4:$C$503,6))=0,"",INDEX('Providers'!$C$4:$C$503,6))&amp;". "))</f>
        <v/>
      </c>
      <c r="J1009">
        <f>IF(LEN(INDEX('Providers'!$AJ$4:$AJ$503,6))=0,"",INDEX('Providers'!$AJ$4:$AJ$503,6))</f>
        <v/>
      </c>
      <c r="K1009">
        <f>IF(LEN(INDEX('Providers'!$AI$4:$AI$503,6))=0,"",INDEX('Providers'!$AI$4:$AI$503,6))</f>
        <v/>
      </c>
    </row>
    <row r="1010">
      <c r="A1010">
        <f>IF(AND(LEN('Providers'!A10)&gt;0,ISNUMBER('Providers'!K10)),1,0)</f>
        <v/>
      </c>
      <c r="B1010">
        <f>B1009+A1010</f>
        <v/>
      </c>
      <c r="C1010">
        <f>IF(1007&gt;$B$4503,"",MATCH(1007-0.5,$B$3:$B$4503,1))</f>
        <v/>
      </c>
      <c r="D1010">
        <f>"State CSR ("&amp;IF(LEN(INDEX('Providers'!$E$4:$E$503,7))=0,"",INDEX('Providers'!$E$4:$E$503,7))&amp;") – "&amp;IF(LEN(INDEX('Providers'!$A$4:$A$503,7))=0,"",INDEX('Providers'!$A$4:$A$503,7))</f>
        <v/>
      </c>
      <c r="E1010">
        <f>IF(ISNUMBER(INDEX('Providers'!$K$4:$K$503,7)),TEXT(INDEX('Providers'!$K$4:$K$503,7),"yyyy-mm-dd"),"")</f>
        <v/>
      </c>
      <c r="F1010">
        <f>"Registration"</f>
        <v/>
      </c>
      <c r="G1010">
        <f>""</f>
        <v/>
      </c>
      <c r="H1010">
        <f>"High"</f>
        <v/>
      </c>
      <c r="I1010">
        <f>TRIM(IF(LEN(IF(LEN(INDEX('Providers'!$J$4:$J$503,7))=0,"",INDEX('Providers'!$J$4:$J$503,7)))=0,"","CSR no.: "&amp;IF(LEN(INDEX('Providers'!$J$4:$J$503,7))=0,"",INDEX('Providers'!$J$4:$J$503,7))&amp;". ")&amp;IF(LEN(IF(LEN(INDEX('Providers'!$C$4:$C$503,7))=0,"",INDEX('Providers'!$C$4:$C$503,7)))=0,"","NPI: "&amp;IF(LEN(INDEX('Providers'!$C$4:$C$503,7))=0,"",INDEX('Providers'!$C$4:$C$503,7))&amp;". "))</f>
        <v/>
      </c>
      <c r="J1010">
        <f>IF(LEN(INDEX('Providers'!$AJ$4:$AJ$503,7))=0,"",INDEX('Providers'!$AJ$4:$AJ$503,7))</f>
        <v/>
      </c>
      <c r="K1010">
        <f>IF(LEN(INDEX('Providers'!$AI$4:$AI$503,7))=0,"",INDEX('Providers'!$AI$4:$AI$503,7))</f>
        <v/>
      </c>
    </row>
    <row r="1011">
      <c r="A1011">
        <f>IF(AND(LEN('Providers'!A11)&gt;0,ISNUMBER('Providers'!K11)),1,0)</f>
        <v/>
      </c>
      <c r="B1011">
        <f>B1010+A1011</f>
        <v/>
      </c>
      <c r="C1011">
        <f>IF(1008&gt;$B$4503,"",MATCH(1008-0.5,$B$3:$B$4503,1))</f>
        <v/>
      </c>
      <c r="D1011">
        <f>"State CSR ("&amp;IF(LEN(INDEX('Providers'!$E$4:$E$503,8))=0,"",INDEX('Providers'!$E$4:$E$503,8))&amp;") – "&amp;IF(LEN(INDEX('Providers'!$A$4:$A$503,8))=0,"",INDEX('Providers'!$A$4:$A$503,8))</f>
        <v/>
      </c>
      <c r="E1011">
        <f>IF(ISNUMBER(INDEX('Providers'!$K$4:$K$503,8)),TEXT(INDEX('Providers'!$K$4:$K$503,8),"yyyy-mm-dd"),"")</f>
        <v/>
      </c>
      <c r="F1011">
        <f>"Registration"</f>
        <v/>
      </c>
      <c r="G1011">
        <f>""</f>
        <v/>
      </c>
      <c r="H1011">
        <f>"High"</f>
        <v/>
      </c>
      <c r="I1011">
        <f>TRIM(IF(LEN(IF(LEN(INDEX('Providers'!$J$4:$J$503,8))=0,"",INDEX('Providers'!$J$4:$J$503,8)))=0,"","CSR no.: "&amp;IF(LEN(INDEX('Providers'!$J$4:$J$503,8))=0,"",INDEX('Providers'!$J$4:$J$503,8))&amp;". ")&amp;IF(LEN(IF(LEN(INDEX('Providers'!$C$4:$C$503,8))=0,"",INDEX('Providers'!$C$4:$C$503,8)))=0,"","NPI: "&amp;IF(LEN(INDEX('Providers'!$C$4:$C$503,8))=0,"",INDEX('Providers'!$C$4:$C$503,8))&amp;". "))</f>
        <v/>
      </c>
      <c r="J1011">
        <f>IF(LEN(INDEX('Providers'!$AJ$4:$AJ$503,8))=0,"",INDEX('Providers'!$AJ$4:$AJ$503,8))</f>
        <v/>
      </c>
      <c r="K1011">
        <f>IF(LEN(INDEX('Providers'!$AI$4:$AI$503,8))=0,"",INDEX('Providers'!$AI$4:$AI$503,8))</f>
        <v/>
      </c>
    </row>
    <row r="1012">
      <c r="A1012">
        <f>IF(AND(LEN('Providers'!A12)&gt;0,ISNUMBER('Providers'!K12)),1,0)</f>
        <v/>
      </c>
      <c r="B1012">
        <f>B1011+A1012</f>
        <v/>
      </c>
      <c r="C1012">
        <f>IF(1009&gt;$B$4503,"",MATCH(1009-0.5,$B$3:$B$4503,1))</f>
        <v/>
      </c>
      <c r="D1012">
        <f>"State CSR ("&amp;IF(LEN(INDEX('Providers'!$E$4:$E$503,9))=0,"",INDEX('Providers'!$E$4:$E$503,9))&amp;") – "&amp;IF(LEN(INDEX('Providers'!$A$4:$A$503,9))=0,"",INDEX('Providers'!$A$4:$A$503,9))</f>
        <v/>
      </c>
      <c r="E1012">
        <f>IF(ISNUMBER(INDEX('Providers'!$K$4:$K$503,9)),TEXT(INDEX('Providers'!$K$4:$K$503,9),"yyyy-mm-dd"),"")</f>
        <v/>
      </c>
      <c r="F1012">
        <f>"Registration"</f>
        <v/>
      </c>
      <c r="G1012">
        <f>""</f>
        <v/>
      </c>
      <c r="H1012">
        <f>"High"</f>
        <v/>
      </c>
      <c r="I1012">
        <f>TRIM(IF(LEN(IF(LEN(INDEX('Providers'!$J$4:$J$503,9))=0,"",INDEX('Providers'!$J$4:$J$503,9)))=0,"","CSR no.: "&amp;IF(LEN(INDEX('Providers'!$J$4:$J$503,9))=0,"",INDEX('Providers'!$J$4:$J$503,9))&amp;". ")&amp;IF(LEN(IF(LEN(INDEX('Providers'!$C$4:$C$503,9))=0,"",INDEX('Providers'!$C$4:$C$503,9)))=0,"","NPI: "&amp;IF(LEN(INDEX('Providers'!$C$4:$C$503,9))=0,"",INDEX('Providers'!$C$4:$C$503,9))&amp;". "))</f>
        <v/>
      </c>
      <c r="J1012">
        <f>IF(LEN(INDEX('Providers'!$AJ$4:$AJ$503,9))=0,"",INDEX('Providers'!$AJ$4:$AJ$503,9))</f>
        <v/>
      </c>
      <c r="K1012">
        <f>IF(LEN(INDEX('Providers'!$AI$4:$AI$503,9))=0,"",INDEX('Providers'!$AI$4:$AI$503,9))</f>
        <v/>
      </c>
    </row>
    <row r="1013">
      <c r="A1013">
        <f>IF(AND(LEN('Providers'!A13)&gt;0,ISNUMBER('Providers'!K13)),1,0)</f>
        <v/>
      </c>
      <c r="B1013">
        <f>B1012+A1013</f>
        <v/>
      </c>
      <c r="C1013">
        <f>IF(1010&gt;$B$4503,"",MATCH(1010-0.5,$B$3:$B$4503,1))</f>
        <v/>
      </c>
      <c r="D1013">
        <f>"State CSR ("&amp;IF(LEN(INDEX('Providers'!$E$4:$E$503,10))=0,"",INDEX('Providers'!$E$4:$E$503,10))&amp;") – "&amp;IF(LEN(INDEX('Providers'!$A$4:$A$503,10))=0,"",INDEX('Providers'!$A$4:$A$503,10))</f>
        <v/>
      </c>
      <c r="E1013">
        <f>IF(ISNUMBER(INDEX('Providers'!$K$4:$K$503,10)),TEXT(INDEX('Providers'!$K$4:$K$503,10),"yyyy-mm-dd"),"")</f>
        <v/>
      </c>
      <c r="F1013">
        <f>"Registration"</f>
        <v/>
      </c>
      <c r="G1013">
        <f>""</f>
        <v/>
      </c>
      <c r="H1013">
        <f>"High"</f>
        <v/>
      </c>
      <c r="I1013">
        <f>TRIM(IF(LEN(IF(LEN(INDEX('Providers'!$J$4:$J$503,10))=0,"",INDEX('Providers'!$J$4:$J$503,10)))=0,"","CSR no.: "&amp;IF(LEN(INDEX('Providers'!$J$4:$J$503,10))=0,"",INDEX('Providers'!$J$4:$J$503,10))&amp;". ")&amp;IF(LEN(IF(LEN(INDEX('Providers'!$C$4:$C$503,10))=0,"",INDEX('Providers'!$C$4:$C$503,10)))=0,"","NPI: "&amp;IF(LEN(INDEX('Providers'!$C$4:$C$503,10))=0,"",INDEX('Providers'!$C$4:$C$503,10))&amp;". "))</f>
        <v/>
      </c>
      <c r="J1013">
        <f>IF(LEN(INDEX('Providers'!$AJ$4:$AJ$503,10))=0,"",INDEX('Providers'!$AJ$4:$AJ$503,10))</f>
        <v/>
      </c>
      <c r="K1013">
        <f>IF(LEN(INDEX('Providers'!$AI$4:$AI$503,10))=0,"",INDEX('Providers'!$AI$4:$AI$503,10))</f>
        <v/>
      </c>
    </row>
    <row r="1014">
      <c r="A1014">
        <f>IF(AND(LEN('Providers'!A14)&gt;0,ISNUMBER('Providers'!K14)),1,0)</f>
        <v/>
      </c>
      <c r="B1014">
        <f>B1013+A1014</f>
        <v/>
      </c>
      <c r="C1014">
        <f>IF(1011&gt;$B$4503,"",MATCH(1011-0.5,$B$3:$B$4503,1))</f>
        <v/>
      </c>
      <c r="D1014">
        <f>"State CSR ("&amp;IF(LEN(INDEX('Providers'!$E$4:$E$503,11))=0,"",INDEX('Providers'!$E$4:$E$503,11))&amp;") – "&amp;IF(LEN(INDEX('Providers'!$A$4:$A$503,11))=0,"",INDEX('Providers'!$A$4:$A$503,11))</f>
        <v/>
      </c>
      <c r="E1014">
        <f>IF(ISNUMBER(INDEX('Providers'!$K$4:$K$503,11)),TEXT(INDEX('Providers'!$K$4:$K$503,11),"yyyy-mm-dd"),"")</f>
        <v/>
      </c>
      <c r="F1014">
        <f>"Registration"</f>
        <v/>
      </c>
      <c r="G1014">
        <f>""</f>
        <v/>
      </c>
      <c r="H1014">
        <f>"High"</f>
        <v/>
      </c>
      <c r="I1014">
        <f>TRIM(IF(LEN(IF(LEN(INDEX('Providers'!$J$4:$J$503,11))=0,"",INDEX('Providers'!$J$4:$J$503,11)))=0,"","CSR no.: "&amp;IF(LEN(INDEX('Providers'!$J$4:$J$503,11))=0,"",INDEX('Providers'!$J$4:$J$503,11))&amp;". ")&amp;IF(LEN(IF(LEN(INDEX('Providers'!$C$4:$C$503,11))=0,"",INDEX('Providers'!$C$4:$C$503,11)))=0,"","NPI: "&amp;IF(LEN(INDEX('Providers'!$C$4:$C$503,11))=0,"",INDEX('Providers'!$C$4:$C$503,11))&amp;". "))</f>
        <v/>
      </c>
      <c r="J1014">
        <f>IF(LEN(INDEX('Providers'!$AJ$4:$AJ$503,11))=0,"",INDEX('Providers'!$AJ$4:$AJ$503,11))</f>
        <v/>
      </c>
      <c r="K1014">
        <f>IF(LEN(INDEX('Providers'!$AI$4:$AI$503,11))=0,"",INDEX('Providers'!$AI$4:$AI$503,11))</f>
        <v/>
      </c>
    </row>
    <row r="1015">
      <c r="A1015">
        <f>IF(AND(LEN('Providers'!A15)&gt;0,ISNUMBER('Providers'!K15)),1,0)</f>
        <v/>
      </c>
      <c r="B1015">
        <f>B1014+A1015</f>
        <v/>
      </c>
      <c r="C1015">
        <f>IF(1012&gt;$B$4503,"",MATCH(1012-0.5,$B$3:$B$4503,1))</f>
        <v/>
      </c>
      <c r="D1015">
        <f>"State CSR ("&amp;IF(LEN(INDEX('Providers'!$E$4:$E$503,12))=0,"",INDEX('Providers'!$E$4:$E$503,12))&amp;") – "&amp;IF(LEN(INDEX('Providers'!$A$4:$A$503,12))=0,"",INDEX('Providers'!$A$4:$A$503,12))</f>
        <v/>
      </c>
      <c r="E1015">
        <f>IF(ISNUMBER(INDEX('Providers'!$K$4:$K$503,12)),TEXT(INDEX('Providers'!$K$4:$K$503,12),"yyyy-mm-dd"),"")</f>
        <v/>
      </c>
      <c r="F1015">
        <f>"Registration"</f>
        <v/>
      </c>
      <c r="G1015">
        <f>""</f>
        <v/>
      </c>
      <c r="H1015">
        <f>"High"</f>
        <v/>
      </c>
      <c r="I1015">
        <f>TRIM(IF(LEN(IF(LEN(INDEX('Providers'!$J$4:$J$503,12))=0,"",INDEX('Providers'!$J$4:$J$503,12)))=0,"","CSR no.: "&amp;IF(LEN(INDEX('Providers'!$J$4:$J$503,12))=0,"",INDEX('Providers'!$J$4:$J$503,12))&amp;". ")&amp;IF(LEN(IF(LEN(INDEX('Providers'!$C$4:$C$503,12))=0,"",INDEX('Providers'!$C$4:$C$503,12)))=0,"","NPI: "&amp;IF(LEN(INDEX('Providers'!$C$4:$C$503,12))=0,"",INDEX('Providers'!$C$4:$C$503,12))&amp;". "))</f>
        <v/>
      </c>
      <c r="J1015">
        <f>IF(LEN(INDEX('Providers'!$AJ$4:$AJ$503,12))=0,"",INDEX('Providers'!$AJ$4:$AJ$503,12))</f>
        <v/>
      </c>
      <c r="K1015">
        <f>IF(LEN(INDEX('Providers'!$AI$4:$AI$503,12))=0,"",INDEX('Providers'!$AI$4:$AI$503,12))</f>
        <v/>
      </c>
    </row>
    <row r="1016">
      <c r="A1016">
        <f>IF(AND(LEN('Providers'!A16)&gt;0,ISNUMBER('Providers'!K16)),1,0)</f>
        <v/>
      </c>
      <c r="B1016">
        <f>B1015+A1016</f>
        <v/>
      </c>
      <c r="C1016">
        <f>IF(1013&gt;$B$4503,"",MATCH(1013-0.5,$B$3:$B$4503,1))</f>
        <v/>
      </c>
      <c r="D1016">
        <f>"State CSR ("&amp;IF(LEN(INDEX('Providers'!$E$4:$E$503,13))=0,"",INDEX('Providers'!$E$4:$E$503,13))&amp;") – "&amp;IF(LEN(INDEX('Providers'!$A$4:$A$503,13))=0,"",INDEX('Providers'!$A$4:$A$503,13))</f>
        <v/>
      </c>
      <c r="E1016">
        <f>IF(ISNUMBER(INDEX('Providers'!$K$4:$K$503,13)),TEXT(INDEX('Providers'!$K$4:$K$503,13),"yyyy-mm-dd"),"")</f>
        <v/>
      </c>
      <c r="F1016">
        <f>"Registration"</f>
        <v/>
      </c>
      <c r="G1016">
        <f>""</f>
        <v/>
      </c>
      <c r="H1016">
        <f>"High"</f>
        <v/>
      </c>
      <c r="I1016">
        <f>TRIM(IF(LEN(IF(LEN(INDEX('Providers'!$J$4:$J$503,13))=0,"",INDEX('Providers'!$J$4:$J$503,13)))=0,"","CSR no.: "&amp;IF(LEN(INDEX('Providers'!$J$4:$J$503,13))=0,"",INDEX('Providers'!$J$4:$J$503,13))&amp;". ")&amp;IF(LEN(IF(LEN(INDEX('Providers'!$C$4:$C$503,13))=0,"",INDEX('Providers'!$C$4:$C$503,13)))=0,"","NPI: "&amp;IF(LEN(INDEX('Providers'!$C$4:$C$503,13))=0,"",INDEX('Providers'!$C$4:$C$503,13))&amp;". "))</f>
        <v/>
      </c>
      <c r="J1016">
        <f>IF(LEN(INDEX('Providers'!$AJ$4:$AJ$503,13))=0,"",INDEX('Providers'!$AJ$4:$AJ$503,13))</f>
        <v/>
      </c>
      <c r="K1016">
        <f>IF(LEN(INDEX('Providers'!$AI$4:$AI$503,13))=0,"",INDEX('Providers'!$AI$4:$AI$503,13))</f>
        <v/>
      </c>
    </row>
    <row r="1017">
      <c r="A1017">
        <f>IF(AND(LEN('Providers'!A17)&gt;0,ISNUMBER('Providers'!K17)),1,0)</f>
        <v/>
      </c>
      <c r="B1017">
        <f>B1016+A1017</f>
        <v/>
      </c>
      <c r="C1017">
        <f>IF(1014&gt;$B$4503,"",MATCH(1014-0.5,$B$3:$B$4503,1))</f>
        <v/>
      </c>
      <c r="D1017">
        <f>"State CSR ("&amp;IF(LEN(INDEX('Providers'!$E$4:$E$503,14))=0,"",INDEX('Providers'!$E$4:$E$503,14))&amp;") – "&amp;IF(LEN(INDEX('Providers'!$A$4:$A$503,14))=0,"",INDEX('Providers'!$A$4:$A$503,14))</f>
        <v/>
      </c>
      <c r="E1017">
        <f>IF(ISNUMBER(INDEX('Providers'!$K$4:$K$503,14)),TEXT(INDEX('Providers'!$K$4:$K$503,14),"yyyy-mm-dd"),"")</f>
        <v/>
      </c>
      <c r="F1017">
        <f>"Registration"</f>
        <v/>
      </c>
      <c r="G1017">
        <f>""</f>
        <v/>
      </c>
      <c r="H1017">
        <f>"High"</f>
        <v/>
      </c>
      <c r="I1017">
        <f>TRIM(IF(LEN(IF(LEN(INDEX('Providers'!$J$4:$J$503,14))=0,"",INDEX('Providers'!$J$4:$J$503,14)))=0,"","CSR no.: "&amp;IF(LEN(INDEX('Providers'!$J$4:$J$503,14))=0,"",INDEX('Providers'!$J$4:$J$503,14))&amp;". ")&amp;IF(LEN(IF(LEN(INDEX('Providers'!$C$4:$C$503,14))=0,"",INDEX('Providers'!$C$4:$C$503,14)))=0,"","NPI: "&amp;IF(LEN(INDEX('Providers'!$C$4:$C$503,14))=0,"",INDEX('Providers'!$C$4:$C$503,14))&amp;". "))</f>
        <v/>
      </c>
      <c r="J1017">
        <f>IF(LEN(INDEX('Providers'!$AJ$4:$AJ$503,14))=0,"",INDEX('Providers'!$AJ$4:$AJ$503,14))</f>
        <v/>
      </c>
      <c r="K1017">
        <f>IF(LEN(INDEX('Providers'!$AI$4:$AI$503,14))=0,"",INDEX('Providers'!$AI$4:$AI$503,14))</f>
        <v/>
      </c>
    </row>
    <row r="1018">
      <c r="A1018">
        <f>IF(AND(LEN('Providers'!A18)&gt;0,ISNUMBER('Providers'!K18)),1,0)</f>
        <v/>
      </c>
      <c r="B1018">
        <f>B1017+A1018</f>
        <v/>
      </c>
      <c r="C1018">
        <f>IF(1015&gt;$B$4503,"",MATCH(1015-0.5,$B$3:$B$4503,1))</f>
        <v/>
      </c>
      <c r="D1018">
        <f>"State CSR ("&amp;IF(LEN(INDEX('Providers'!$E$4:$E$503,15))=0,"",INDEX('Providers'!$E$4:$E$503,15))&amp;") – "&amp;IF(LEN(INDEX('Providers'!$A$4:$A$503,15))=0,"",INDEX('Providers'!$A$4:$A$503,15))</f>
        <v/>
      </c>
      <c r="E1018">
        <f>IF(ISNUMBER(INDEX('Providers'!$K$4:$K$503,15)),TEXT(INDEX('Providers'!$K$4:$K$503,15),"yyyy-mm-dd"),"")</f>
        <v/>
      </c>
      <c r="F1018">
        <f>"Registration"</f>
        <v/>
      </c>
      <c r="G1018">
        <f>""</f>
        <v/>
      </c>
      <c r="H1018">
        <f>"High"</f>
        <v/>
      </c>
      <c r="I1018">
        <f>TRIM(IF(LEN(IF(LEN(INDEX('Providers'!$J$4:$J$503,15))=0,"",INDEX('Providers'!$J$4:$J$503,15)))=0,"","CSR no.: "&amp;IF(LEN(INDEX('Providers'!$J$4:$J$503,15))=0,"",INDEX('Providers'!$J$4:$J$503,15))&amp;". ")&amp;IF(LEN(IF(LEN(INDEX('Providers'!$C$4:$C$503,15))=0,"",INDEX('Providers'!$C$4:$C$503,15)))=0,"","NPI: "&amp;IF(LEN(INDEX('Providers'!$C$4:$C$503,15))=0,"",INDEX('Providers'!$C$4:$C$503,15))&amp;". "))</f>
        <v/>
      </c>
      <c r="J1018">
        <f>IF(LEN(INDEX('Providers'!$AJ$4:$AJ$503,15))=0,"",INDEX('Providers'!$AJ$4:$AJ$503,15))</f>
        <v/>
      </c>
      <c r="K1018">
        <f>IF(LEN(INDEX('Providers'!$AI$4:$AI$503,15))=0,"",INDEX('Providers'!$AI$4:$AI$503,15))</f>
        <v/>
      </c>
    </row>
    <row r="1019">
      <c r="A1019">
        <f>IF(AND(LEN('Providers'!A19)&gt;0,ISNUMBER('Providers'!K19)),1,0)</f>
        <v/>
      </c>
      <c r="B1019">
        <f>B1018+A1019</f>
        <v/>
      </c>
      <c r="C1019">
        <f>IF(1016&gt;$B$4503,"",MATCH(1016-0.5,$B$3:$B$4503,1))</f>
        <v/>
      </c>
      <c r="D1019">
        <f>"State CSR ("&amp;IF(LEN(INDEX('Providers'!$E$4:$E$503,16))=0,"",INDEX('Providers'!$E$4:$E$503,16))&amp;") – "&amp;IF(LEN(INDEX('Providers'!$A$4:$A$503,16))=0,"",INDEX('Providers'!$A$4:$A$503,16))</f>
        <v/>
      </c>
      <c r="E1019">
        <f>IF(ISNUMBER(INDEX('Providers'!$K$4:$K$503,16)),TEXT(INDEX('Providers'!$K$4:$K$503,16),"yyyy-mm-dd"),"")</f>
        <v/>
      </c>
      <c r="F1019">
        <f>"Registration"</f>
        <v/>
      </c>
      <c r="G1019">
        <f>""</f>
        <v/>
      </c>
      <c r="H1019">
        <f>"High"</f>
        <v/>
      </c>
      <c r="I1019">
        <f>TRIM(IF(LEN(IF(LEN(INDEX('Providers'!$J$4:$J$503,16))=0,"",INDEX('Providers'!$J$4:$J$503,16)))=0,"","CSR no.: "&amp;IF(LEN(INDEX('Providers'!$J$4:$J$503,16))=0,"",INDEX('Providers'!$J$4:$J$503,16))&amp;". ")&amp;IF(LEN(IF(LEN(INDEX('Providers'!$C$4:$C$503,16))=0,"",INDEX('Providers'!$C$4:$C$503,16)))=0,"","NPI: "&amp;IF(LEN(INDEX('Providers'!$C$4:$C$503,16))=0,"",INDEX('Providers'!$C$4:$C$503,16))&amp;". "))</f>
        <v/>
      </c>
      <c r="J1019">
        <f>IF(LEN(INDEX('Providers'!$AJ$4:$AJ$503,16))=0,"",INDEX('Providers'!$AJ$4:$AJ$503,16))</f>
        <v/>
      </c>
      <c r="K1019">
        <f>IF(LEN(INDEX('Providers'!$AI$4:$AI$503,16))=0,"",INDEX('Providers'!$AI$4:$AI$503,16))</f>
        <v/>
      </c>
    </row>
    <row r="1020">
      <c r="A1020">
        <f>IF(AND(LEN('Providers'!A20)&gt;0,ISNUMBER('Providers'!K20)),1,0)</f>
        <v/>
      </c>
      <c r="B1020">
        <f>B1019+A1020</f>
        <v/>
      </c>
      <c r="C1020">
        <f>IF(1017&gt;$B$4503,"",MATCH(1017-0.5,$B$3:$B$4503,1))</f>
        <v/>
      </c>
      <c r="D1020">
        <f>"State CSR ("&amp;IF(LEN(INDEX('Providers'!$E$4:$E$503,17))=0,"",INDEX('Providers'!$E$4:$E$503,17))&amp;") – "&amp;IF(LEN(INDEX('Providers'!$A$4:$A$503,17))=0,"",INDEX('Providers'!$A$4:$A$503,17))</f>
        <v/>
      </c>
      <c r="E1020">
        <f>IF(ISNUMBER(INDEX('Providers'!$K$4:$K$503,17)),TEXT(INDEX('Providers'!$K$4:$K$503,17),"yyyy-mm-dd"),"")</f>
        <v/>
      </c>
      <c r="F1020">
        <f>"Registration"</f>
        <v/>
      </c>
      <c r="G1020">
        <f>""</f>
        <v/>
      </c>
      <c r="H1020">
        <f>"High"</f>
        <v/>
      </c>
      <c r="I1020">
        <f>TRIM(IF(LEN(IF(LEN(INDEX('Providers'!$J$4:$J$503,17))=0,"",INDEX('Providers'!$J$4:$J$503,17)))=0,"","CSR no.: "&amp;IF(LEN(INDEX('Providers'!$J$4:$J$503,17))=0,"",INDEX('Providers'!$J$4:$J$503,17))&amp;". ")&amp;IF(LEN(IF(LEN(INDEX('Providers'!$C$4:$C$503,17))=0,"",INDEX('Providers'!$C$4:$C$503,17)))=0,"","NPI: "&amp;IF(LEN(INDEX('Providers'!$C$4:$C$503,17))=0,"",INDEX('Providers'!$C$4:$C$503,17))&amp;". "))</f>
        <v/>
      </c>
      <c r="J1020">
        <f>IF(LEN(INDEX('Providers'!$AJ$4:$AJ$503,17))=0,"",INDEX('Providers'!$AJ$4:$AJ$503,17))</f>
        <v/>
      </c>
      <c r="K1020">
        <f>IF(LEN(INDEX('Providers'!$AI$4:$AI$503,17))=0,"",INDEX('Providers'!$AI$4:$AI$503,17))</f>
        <v/>
      </c>
    </row>
    <row r="1021">
      <c r="A1021">
        <f>IF(AND(LEN('Providers'!A21)&gt;0,ISNUMBER('Providers'!K21)),1,0)</f>
        <v/>
      </c>
      <c r="B1021">
        <f>B1020+A1021</f>
        <v/>
      </c>
      <c r="C1021">
        <f>IF(1018&gt;$B$4503,"",MATCH(1018-0.5,$B$3:$B$4503,1))</f>
        <v/>
      </c>
      <c r="D1021">
        <f>"State CSR ("&amp;IF(LEN(INDEX('Providers'!$E$4:$E$503,18))=0,"",INDEX('Providers'!$E$4:$E$503,18))&amp;") – "&amp;IF(LEN(INDEX('Providers'!$A$4:$A$503,18))=0,"",INDEX('Providers'!$A$4:$A$503,18))</f>
        <v/>
      </c>
      <c r="E1021">
        <f>IF(ISNUMBER(INDEX('Providers'!$K$4:$K$503,18)),TEXT(INDEX('Providers'!$K$4:$K$503,18),"yyyy-mm-dd"),"")</f>
        <v/>
      </c>
      <c r="F1021">
        <f>"Registration"</f>
        <v/>
      </c>
      <c r="G1021">
        <f>""</f>
        <v/>
      </c>
      <c r="H1021">
        <f>"High"</f>
        <v/>
      </c>
      <c r="I1021">
        <f>TRIM(IF(LEN(IF(LEN(INDEX('Providers'!$J$4:$J$503,18))=0,"",INDEX('Providers'!$J$4:$J$503,18)))=0,"","CSR no.: "&amp;IF(LEN(INDEX('Providers'!$J$4:$J$503,18))=0,"",INDEX('Providers'!$J$4:$J$503,18))&amp;". ")&amp;IF(LEN(IF(LEN(INDEX('Providers'!$C$4:$C$503,18))=0,"",INDEX('Providers'!$C$4:$C$503,18)))=0,"","NPI: "&amp;IF(LEN(INDEX('Providers'!$C$4:$C$503,18))=0,"",INDEX('Providers'!$C$4:$C$503,18))&amp;". "))</f>
        <v/>
      </c>
      <c r="J1021">
        <f>IF(LEN(INDEX('Providers'!$AJ$4:$AJ$503,18))=0,"",INDEX('Providers'!$AJ$4:$AJ$503,18))</f>
        <v/>
      </c>
      <c r="K1021">
        <f>IF(LEN(INDEX('Providers'!$AI$4:$AI$503,18))=0,"",INDEX('Providers'!$AI$4:$AI$503,18))</f>
        <v/>
      </c>
    </row>
    <row r="1022">
      <c r="A1022">
        <f>IF(AND(LEN('Providers'!A22)&gt;0,ISNUMBER('Providers'!K22)),1,0)</f>
        <v/>
      </c>
      <c r="B1022">
        <f>B1021+A1022</f>
        <v/>
      </c>
      <c r="C1022">
        <f>IF(1019&gt;$B$4503,"",MATCH(1019-0.5,$B$3:$B$4503,1))</f>
        <v/>
      </c>
      <c r="D1022">
        <f>"State CSR ("&amp;IF(LEN(INDEX('Providers'!$E$4:$E$503,19))=0,"",INDEX('Providers'!$E$4:$E$503,19))&amp;") – "&amp;IF(LEN(INDEX('Providers'!$A$4:$A$503,19))=0,"",INDEX('Providers'!$A$4:$A$503,19))</f>
        <v/>
      </c>
      <c r="E1022">
        <f>IF(ISNUMBER(INDEX('Providers'!$K$4:$K$503,19)),TEXT(INDEX('Providers'!$K$4:$K$503,19),"yyyy-mm-dd"),"")</f>
        <v/>
      </c>
      <c r="F1022">
        <f>"Registration"</f>
        <v/>
      </c>
      <c r="G1022">
        <f>""</f>
        <v/>
      </c>
      <c r="H1022">
        <f>"High"</f>
        <v/>
      </c>
      <c r="I1022">
        <f>TRIM(IF(LEN(IF(LEN(INDEX('Providers'!$J$4:$J$503,19))=0,"",INDEX('Providers'!$J$4:$J$503,19)))=0,"","CSR no.: "&amp;IF(LEN(INDEX('Providers'!$J$4:$J$503,19))=0,"",INDEX('Providers'!$J$4:$J$503,19))&amp;". ")&amp;IF(LEN(IF(LEN(INDEX('Providers'!$C$4:$C$503,19))=0,"",INDEX('Providers'!$C$4:$C$503,19)))=0,"","NPI: "&amp;IF(LEN(INDEX('Providers'!$C$4:$C$503,19))=0,"",INDEX('Providers'!$C$4:$C$503,19))&amp;". "))</f>
        <v/>
      </c>
      <c r="J1022">
        <f>IF(LEN(INDEX('Providers'!$AJ$4:$AJ$503,19))=0,"",INDEX('Providers'!$AJ$4:$AJ$503,19))</f>
        <v/>
      </c>
      <c r="K1022">
        <f>IF(LEN(INDEX('Providers'!$AI$4:$AI$503,19))=0,"",INDEX('Providers'!$AI$4:$AI$503,19))</f>
        <v/>
      </c>
    </row>
    <row r="1023">
      <c r="A1023">
        <f>IF(AND(LEN('Providers'!A23)&gt;0,ISNUMBER('Providers'!K23)),1,0)</f>
        <v/>
      </c>
      <c r="B1023">
        <f>B1022+A1023</f>
        <v/>
      </c>
      <c r="C1023">
        <f>IF(1020&gt;$B$4503,"",MATCH(1020-0.5,$B$3:$B$4503,1))</f>
        <v/>
      </c>
      <c r="D1023">
        <f>"State CSR ("&amp;IF(LEN(INDEX('Providers'!$E$4:$E$503,20))=0,"",INDEX('Providers'!$E$4:$E$503,20))&amp;") – "&amp;IF(LEN(INDEX('Providers'!$A$4:$A$503,20))=0,"",INDEX('Providers'!$A$4:$A$503,20))</f>
        <v/>
      </c>
      <c r="E1023">
        <f>IF(ISNUMBER(INDEX('Providers'!$K$4:$K$503,20)),TEXT(INDEX('Providers'!$K$4:$K$503,20),"yyyy-mm-dd"),"")</f>
        <v/>
      </c>
      <c r="F1023">
        <f>"Registration"</f>
        <v/>
      </c>
      <c r="G1023">
        <f>""</f>
        <v/>
      </c>
      <c r="H1023">
        <f>"High"</f>
        <v/>
      </c>
      <c r="I1023">
        <f>TRIM(IF(LEN(IF(LEN(INDEX('Providers'!$J$4:$J$503,20))=0,"",INDEX('Providers'!$J$4:$J$503,20)))=0,"","CSR no.: "&amp;IF(LEN(INDEX('Providers'!$J$4:$J$503,20))=0,"",INDEX('Providers'!$J$4:$J$503,20))&amp;". ")&amp;IF(LEN(IF(LEN(INDEX('Providers'!$C$4:$C$503,20))=0,"",INDEX('Providers'!$C$4:$C$503,20)))=0,"","NPI: "&amp;IF(LEN(INDEX('Providers'!$C$4:$C$503,20))=0,"",INDEX('Providers'!$C$4:$C$503,20))&amp;". "))</f>
        <v/>
      </c>
      <c r="J1023">
        <f>IF(LEN(INDEX('Providers'!$AJ$4:$AJ$503,20))=0,"",INDEX('Providers'!$AJ$4:$AJ$503,20))</f>
        <v/>
      </c>
      <c r="K1023">
        <f>IF(LEN(INDEX('Providers'!$AI$4:$AI$503,20))=0,"",INDEX('Providers'!$AI$4:$AI$503,20))</f>
        <v/>
      </c>
    </row>
    <row r="1024">
      <c r="A1024">
        <f>IF(AND(LEN('Providers'!A24)&gt;0,ISNUMBER('Providers'!K24)),1,0)</f>
        <v/>
      </c>
      <c r="B1024">
        <f>B1023+A1024</f>
        <v/>
      </c>
      <c r="C1024">
        <f>IF(1021&gt;$B$4503,"",MATCH(1021-0.5,$B$3:$B$4503,1))</f>
        <v/>
      </c>
      <c r="D1024">
        <f>"State CSR ("&amp;IF(LEN(INDEX('Providers'!$E$4:$E$503,21))=0,"",INDEX('Providers'!$E$4:$E$503,21))&amp;") – "&amp;IF(LEN(INDEX('Providers'!$A$4:$A$503,21))=0,"",INDEX('Providers'!$A$4:$A$503,21))</f>
        <v/>
      </c>
      <c r="E1024">
        <f>IF(ISNUMBER(INDEX('Providers'!$K$4:$K$503,21)),TEXT(INDEX('Providers'!$K$4:$K$503,21),"yyyy-mm-dd"),"")</f>
        <v/>
      </c>
      <c r="F1024">
        <f>"Registration"</f>
        <v/>
      </c>
      <c r="G1024">
        <f>""</f>
        <v/>
      </c>
      <c r="H1024">
        <f>"High"</f>
        <v/>
      </c>
      <c r="I1024">
        <f>TRIM(IF(LEN(IF(LEN(INDEX('Providers'!$J$4:$J$503,21))=0,"",INDEX('Providers'!$J$4:$J$503,21)))=0,"","CSR no.: "&amp;IF(LEN(INDEX('Providers'!$J$4:$J$503,21))=0,"",INDEX('Providers'!$J$4:$J$503,21))&amp;". ")&amp;IF(LEN(IF(LEN(INDEX('Providers'!$C$4:$C$503,21))=0,"",INDEX('Providers'!$C$4:$C$503,21)))=0,"","NPI: "&amp;IF(LEN(INDEX('Providers'!$C$4:$C$503,21))=0,"",INDEX('Providers'!$C$4:$C$503,21))&amp;". "))</f>
        <v/>
      </c>
      <c r="J1024">
        <f>IF(LEN(INDEX('Providers'!$AJ$4:$AJ$503,21))=0,"",INDEX('Providers'!$AJ$4:$AJ$503,21))</f>
        <v/>
      </c>
      <c r="K1024">
        <f>IF(LEN(INDEX('Providers'!$AI$4:$AI$503,21))=0,"",INDEX('Providers'!$AI$4:$AI$503,21))</f>
        <v/>
      </c>
    </row>
    <row r="1025">
      <c r="A1025">
        <f>IF(AND(LEN('Providers'!A25)&gt;0,ISNUMBER('Providers'!K25)),1,0)</f>
        <v/>
      </c>
      <c r="B1025">
        <f>B1024+A1025</f>
        <v/>
      </c>
      <c r="C1025">
        <f>IF(1022&gt;$B$4503,"",MATCH(1022-0.5,$B$3:$B$4503,1))</f>
        <v/>
      </c>
      <c r="D1025">
        <f>"State CSR ("&amp;IF(LEN(INDEX('Providers'!$E$4:$E$503,22))=0,"",INDEX('Providers'!$E$4:$E$503,22))&amp;") – "&amp;IF(LEN(INDEX('Providers'!$A$4:$A$503,22))=0,"",INDEX('Providers'!$A$4:$A$503,22))</f>
        <v/>
      </c>
      <c r="E1025">
        <f>IF(ISNUMBER(INDEX('Providers'!$K$4:$K$503,22)),TEXT(INDEX('Providers'!$K$4:$K$503,22),"yyyy-mm-dd"),"")</f>
        <v/>
      </c>
      <c r="F1025">
        <f>"Registration"</f>
        <v/>
      </c>
      <c r="G1025">
        <f>""</f>
        <v/>
      </c>
      <c r="H1025">
        <f>"High"</f>
        <v/>
      </c>
      <c r="I1025">
        <f>TRIM(IF(LEN(IF(LEN(INDEX('Providers'!$J$4:$J$503,22))=0,"",INDEX('Providers'!$J$4:$J$503,22)))=0,"","CSR no.: "&amp;IF(LEN(INDEX('Providers'!$J$4:$J$503,22))=0,"",INDEX('Providers'!$J$4:$J$503,22))&amp;". ")&amp;IF(LEN(IF(LEN(INDEX('Providers'!$C$4:$C$503,22))=0,"",INDEX('Providers'!$C$4:$C$503,22)))=0,"","NPI: "&amp;IF(LEN(INDEX('Providers'!$C$4:$C$503,22))=0,"",INDEX('Providers'!$C$4:$C$503,22))&amp;". "))</f>
        <v/>
      </c>
      <c r="J1025">
        <f>IF(LEN(INDEX('Providers'!$AJ$4:$AJ$503,22))=0,"",INDEX('Providers'!$AJ$4:$AJ$503,22))</f>
        <v/>
      </c>
      <c r="K1025">
        <f>IF(LEN(INDEX('Providers'!$AI$4:$AI$503,22))=0,"",INDEX('Providers'!$AI$4:$AI$503,22))</f>
        <v/>
      </c>
    </row>
    <row r="1026">
      <c r="A1026">
        <f>IF(AND(LEN('Providers'!A26)&gt;0,ISNUMBER('Providers'!K26)),1,0)</f>
        <v/>
      </c>
      <c r="B1026">
        <f>B1025+A1026</f>
        <v/>
      </c>
      <c r="C1026">
        <f>IF(1023&gt;$B$4503,"",MATCH(1023-0.5,$B$3:$B$4503,1))</f>
        <v/>
      </c>
      <c r="D1026">
        <f>"State CSR ("&amp;IF(LEN(INDEX('Providers'!$E$4:$E$503,23))=0,"",INDEX('Providers'!$E$4:$E$503,23))&amp;") – "&amp;IF(LEN(INDEX('Providers'!$A$4:$A$503,23))=0,"",INDEX('Providers'!$A$4:$A$503,23))</f>
        <v/>
      </c>
      <c r="E1026">
        <f>IF(ISNUMBER(INDEX('Providers'!$K$4:$K$503,23)),TEXT(INDEX('Providers'!$K$4:$K$503,23),"yyyy-mm-dd"),"")</f>
        <v/>
      </c>
      <c r="F1026">
        <f>"Registration"</f>
        <v/>
      </c>
      <c r="G1026">
        <f>""</f>
        <v/>
      </c>
      <c r="H1026">
        <f>"High"</f>
        <v/>
      </c>
      <c r="I1026">
        <f>TRIM(IF(LEN(IF(LEN(INDEX('Providers'!$J$4:$J$503,23))=0,"",INDEX('Providers'!$J$4:$J$503,23)))=0,"","CSR no.: "&amp;IF(LEN(INDEX('Providers'!$J$4:$J$503,23))=0,"",INDEX('Providers'!$J$4:$J$503,23))&amp;". ")&amp;IF(LEN(IF(LEN(INDEX('Providers'!$C$4:$C$503,23))=0,"",INDEX('Providers'!$C$4:$C$503,23)))=0,"","NPI: "&amp;IF(LEN(INDEX('Providers'!$C$4:$C$503,23))=0,"",INDEX('Providers'!$C$4:$C$503,23))&amp;". "))</f>
        <v/>
      </c>
      <c r="J1026">
        <f>IF(LEN(INDEX('Providers'!$AJ$4:$AJ$503,23))=0,"",INDEX('Providers'!$AJ$4:$AJ$503,23))</f>
        <v/>
      </c>
      <c r="K1026">
        <f>IF(LEN(INDEX('Providers'!$AI$4:$AI$503,23))=0,"",INDEX('Providers'!$AI$4:$AI$503,23))</f>
        <v/>
      </c>
    </row>
    <row r="1027">
      <c r="A1027">
        <f>IF(AND(LEN('Providers'!A27)&gt;0,ISNUMBER('Providers'!K27)),1,0)</f>
        <v/>
      </c>
      <c r="B1027">
        <f>B1026+A1027</f>
        <v/>
      </c>
      <c r="C1027">
        <f>IF(1024&gt;$B$4503,"",MATCH(1024-0.5,$B$3:$B$4503,1))</f>
        <v/>
      </c>
      <c r="D1027">
        <f>"State CSR ("&amp;IF(LEN(INDEX('Providers'!$E$4:$E$503,24))=0,"",INDEX('Providers'!$E$4:$E$503,24))&amp;") – "&amp;IF(LEN(INDEX('Providers'!$A$4:$A$503,24))=0,"",INDEX('Providers'!$A$4:$A$503,24))</f>
        <v/>
      </c>
      <c r="E1027">
        <f>IF(ISNUMBER(INDEX('Providers'!$K$4:$K$503,24)),TEXT(INDEX('Providers'!$K$4:$K$503,24),"yyyy-mm-dd"),"")</f>
        <v/>
      </c>
      <c r="F1027">
        <f>"Registration"</f>
        <v/>
      </c>
      <c r="G1027">
        <f>""</f>
        <v/>
      </c>
      <c r="H1027">
        <f>"High"</f>
        <v/>
      </c>
      <c r="I1027">
        <f>TRIM(IF(LEN(IF(LEN(INDEX('Providers'!$J$4:$J$503,24))=0,"",INDEX('Providers'!$J$4:$J$503,24)))=0,"","CSR no.: "&amp;IF(LEN(INDEX('Providers'!$J$4:$J$503,24))=0,"",INDEX('Providers'!$J$4:$J$503,24))&amp;". ")&amp;IF(LEN(IF(LEN(INDEX('Providers'!$C$4:$C$503,24))=0,"",INDEX('Providers'!$C$4:$C$503,24)))=0,"","NPI: "&amp;IF(LEN(INDEX('Providers'!$C$4:$C$503,24))=0,"",INDEX('Providers'!$C$4:$C$503,24))&amp;". "))</f>
        <v/>
      </c>
      <c r="J1027">
        <f>IF(LEN(INDEX('Providers'!$AJ$4:$AJ$503,24))=0,"",INDEX('Providers'!$AJ$4:$AJ$503,24))</f>
        <v/>
      </c>
      <c r="K1027">
        <f>IF(LEN(INDEX('Providers'!$AI$4:$AI$503,24))=0,"",INDEX('Providers'!$AI$4:$AI$503,24))</f>
        <v/>
      </c>
    </row>
    <row r="1028">
      <c r="A1028">
        <f>IF(AND(LEN('Providers'!A28)&gt;0,ISNUMBER('Providers'!K28)),1,0)</f>
        <v/>
      </c>
      <c r="B1028">
        <f>B1027+A1028</f>
        <v/>
      </c>
      <c r="C1028">
        <f>IF(1025&gt;$B$4503,"",MATCH(1025-0.5,$B$3:$B$4503,1))</f>
        <v/>
      </c>
      <c r="D1028">
        <f>"State CSR ("&amp;IF(LEN(INDEX('Providers'!$E$4:$E$503,25))=0,"",INDEX('Providers'!$E$4:$E$503,25))&amp;") – "&amp;IF(LEN(INDEX('Providers'!$A$4:$A$503,25))=0,"",INDEX('Providers'!$A$4:$A$503,25))</f>
        <v/>
      </c>
      <c r="E1028">
        <f>IF(ISNUMBER(INDEX('Providers'!$K$4:$K$503,25)),TEXT(INDEX('Providers'!$K$4:$K$503,25),"yyyy-mm-dd"),"")</f>
        <v/>
      </c>
      <c r="F1028">
        <f>"Registration"</f>
        <v/>
      </c>
      <c r="G1028">
        <f>""</f>
        <v/>
      </c>
      <c r="H1028">
        <f>"High"</f>
        <v/>
      </c>
      <c r="I1028">
        <f>TRIM(IF(LEN(IF(LEN(INDEX('Providers'!$J$4:$J$503,25))=0,"",INDEX('Providers'!$J$4:$J$503,25)))=0,"","CSR no.: "&amp;IF(LEN(INDEX('Providers'!$J$4:$J$503,25))=0,"",INDEX('Providers'!$J$4:$J$503,25))&amp;". ")&amp;IF(LEN(IF(LEN(INDEX('Providers'!$C$4:$C$503,25))=0,"",INDEX('Providers'!$C$4:$C$503,25)))=0,"","NPI: "&amp;IF(LEN(INDEX('Providers'!$C$4:$C$503,25))=0,"",INDEX('Providers'!$C$4:$C$503,25))&amp;". "))</f>
        <v/>
      </c>
      <c r="J1028">
        <f>IF(LEN(INDEX('Providers'!$AJ$4:$AJ$503,25))=0,"",INDEX('Providers'!$AJ$4:$AJ$503,25))</f>
        <v/>
      </c>
      <c r="K1028">
        <f>IF(LEN(INDEX('Providers'!$AI$4:$AI$503,25))=0,"",INDEX('Providers'!$AI$4:$AI$503,25))</f>
        <v/>
      </c>
    </row>
    <row r="1029">
      <c r="A1029">
        <f>IF(AND(LEN('Providers'!A29)&gt;0,ISNUMBER('Providers'!K29)),1,0)</f>
        <v/>
      </c>
      <c r="B1029">
        <f>B1028+A1029</f>
        <v/>
      </c>
      <c r="C1029">
        <f>IF(1026&gt;$B$4503,"",MATCH(1026-0.5,$B$3:$B$4503,1))</f>
        <v/>
      </c>
      <c r="D1029">
        <f>"State CSR ("&amp;IF(LEN(INDEX('Providers'!$E$4:$E$503,26))=0,"",INDEX('Providers'!$E$4:$E$503,26))&amp;") – "&amp;IF(LEN(INDEX('Providers'!$A$4:$A$503,26))=0,"",INDEX('Providers'!$A$4:$A$503,26))</f>
        <v/>
      </c>
      <c r="E1029">
        <f>IF(ISNUMBER(INDEX('Providers'!$K$4:$K$503,26)),TEXT(INDEX('Providers'!$K$4:$K$503,26),"yyyy-mm-dd"),"")</f>
        <v/>
      </c>
      <c r="F1029">
        <f>"Registration"</f>
        <v/>
      </c>
      <c r="G1029">
        <f>""</f>
        <v/>
      </c>
      <c r="H1029">
        <f>"High"</f>
        <v/>
      </c>
      <c r="I1029">
        <f>TRIM(IF(LEN(IF(LEN(INDEX('Providers'!$J$4:$J$503,26))=0,"",INDEX('Providers'!$J$4:$J$503,26)))=0,"","CSR no.: "&amp;IF(LEN(INDEX('Providers'!$J$4:$J$503,26))=0,"",INDEX('Providers'!$J$4:$J$503,26))&amp;". ")&amp;IF(LEN(IF(LEN(INDEX('Providers'!$C$4:$C$503,26))=0,"",INDEX('Providers'!$C$4:$C$503,26)))=0,"","NPI: "&amp;IF(LEN(INDEX('Providers'!$C$4:$C$503,26))=0,"",INDEX('Providers'!$C$4:$C$503,26))&amp;". "))</f>
        <v/>
      </c>
      <c r="J1029">
        <f>IF(LEN(INDEX('Providers'!$AJ$4:$AJ$503,26))=0,"",INDEX('Providers'!$AJ$4:$AJ$503,26))</f>
        <v/>
      </c>
      <c r="K1029">
        <f>IF(LEN(INDEX('Providers'!$AI$4:$AI$503,26))=0,"",INDEX('Providers'!$AI$4:$AI$503,26))</f>
        <v/>
      </c>
    </row>
    <row r="1030">
      <c r="A1030">
        <f>IF(AND(LEN('Providers'!A30)&gt;0,ISNUMBER('Providers'!K30)),1,0)</f>
        <v/>
      </c>
      <c r="B1030">
        <f>B1029+A1030</f>
        <v/>
      </c>
      <c r="C1030">
        <f>IF(1027&gt;$B$4503,"",MATCH(1027-0.5,$B$3:$B$4503,1))</f>
        <v/>
      </c>
      <c r="D1030">
        <f>"State CSR ("&amp;IF(LEN(INDEX('Providers'!$E$4:$E$503,27))=0,"",INDEX('Providers'!$E$4:$E$503,27))&amp;") – "&amp;IF(LEN(INDEX('Providers'!$A$4:$A$503,27))=0,"",INDEX('Providers'!$A$4:$A$503,27))</f>
        <v/>
      </c>
      <c r="E1030">
        <f>IF(ISNUMBER(INDEX('Providers'!$K$4:$K$503,27)),TEXT(INDEX('Providers'!$K$4:$K$503,27),"yyyy-mm-dd"),"")</f>
        <v/>
      </c>
      <c r="F1030">
        <f>"Registration"</f>
        <v/>
      </c>
      <c r="G1030">
        <f>""</f>
        <v/>
      </c>
      <c r="H1030">
        <f>"High"</f>
        <v/>
      </c>
      <c r="I1030">
        <f>TRIM(IF(LEN(IF(LEN(INDEX('Providers'!$J$4:$J$503,27))=0,"",INDEX('Providers'!$J$4:$J$503,27)))=0,"","CSR no.: "&amp;IF(LEN(INDEX('Providers'!$J$4:$J$503,27))=0,"",INDEX('Providers'!$J$4:$J$503,27))&amp;". ")&amp;IF(LEN(IF(LEN(INDEX('Providers'!$C$4:$C$503,27))=0,"",INDEX('Providers'!$C$4:$C$503,27)))=0,"","NPI: "&amp;IF(LEN(INDEX('Providers'!$C$4:$C$503,27))=0,"",INDEX('Providers'!$C$4:$C$503,27))&amp;". "))</f>
        <v/>
      </c>
      <c r="J1030">
        <f>IF(LEN(INDEX('Providers'!$AJ$4:$AJ$503,27))=0,"",INDEX('Providers'!$AJ$4:$AJ$503,27))</f>
        <v/>
      </c>
      <c r="K1030">
        <f>IF(LEN(INDEX('Providers'!$AI$4:$AI$503,27))=0,"",INDEX('Providers'!$AI$4:$AI$503,27))</f>
        <v/>
      </c>
    </row>
    <row r="1031">
      <c r="A1031">
        <f>IF(AND(LEN('Providers'!A31)&gt;0,ISNUMBER('Providers'!K31)),1,0)</f>
        <v/>
      </c>
      <c r="B1031">
        <f>B1030+A1031</f>
        <v/>
      </c>
      <c r="C1031">
        <f>IF(1028&gt;$B$4503,"",MATCH(1028-0.5,$B$3:$B$4503,1))</f>
        <v/>
      </c>
      <c r="D1031">
        <f>"State CSR ("&amp;IF(LEN(INDEX('Providers'!$E$4:$E$503,28))=0,"",INDEX('Providers'!$E$4:$E$503,28))&amp;") – "&amp;IF(LEN(INDEX('Providers'!$A$4:$A$503,28))=0,"",INDEX('Providers'!$A$4:$A$503,28))</f>
        <v/>
      </c>
      <c r="E1031">
        <f>IF(ISNUMBER(INDEX('Providers'!$K$4:$K$503,28)),TEXT(INDEX('Providers'!$K$4:$K$503,28),"yyyy-mm-dd"),"")</f>
        <v/>
      </c>
      <c r="F1031">
        <f>"Registration"</f>
        <v/>
      </c>
      <c r="G1031">
        <f>""</f>
        <v/>
      </c>
      <c r="H1031">
        <f>"High"</f>
        <v/>
      </c>
      <c r="I1031">
        <f>TRIM(IF(LEN(IF(LEN(INDEX('Providers'!$J$4:$J$503,28))=0,"",INDEX('Providers'!$J$4:$J$503,28)))=0,"","CSR no.: "&amp;IF(LEN(INDEX('Providers'!$J$4:$J$503,28))=0,"",INDEX('Providers'!$J$4:$J$503,28))&amp;". ")&amp;IF(LEN(IF(LEN(INDEX('Providers'!$C$4:$C$503,28))=0,"",INDEX('Providers'!$C$4:$C$503,28)))=0,"","NPI: "&amp;IF(LEN(INDEX('Providers'!$C$4:$C$503,28))=0,"",INDEX('Providers'!$C$4:$C$503,28))&amp;". "))</f>
        <v/>
      </c>
      <c r="J1031">
        <f>IF(LEN(INDEX('Providers'!$AJ$4:$AJ$503,28))=0,"",INDEX('Providers'!$AJ$4:$AJ$503,28))</f>
        <v/>
      </c>
      <c r="K1031">
        <f>IF(LEN(INDEX('Providers'!$AI$4:$AI$503,28))=0,"",INDEX('Providers'!$AI$4:$AI$503,28))</f>
        <v/>
      </c>
    </row>
    <row r="1032">
      <c r="A1032">
        <f>IF(AND(LEN('Providers'!A32)&gt;0,ISNUMBER('Providers'!K32)),1,0)</f>
        <v/>
      </c>
      <c r="B1032">
        <f>B1031+A1032</f>
        <v/>
      </c>
      <c r="C1032">
        <f>IF(1029&gt;$B$4503,"",MATCH(1029-0.5,$B$3:$B$4503,1))</f>
        <v/>
      </c>
      <c r="D1032">
        <f>"State CSR ("&amp;IF(LEN(INDEX('Providers'!$E$4:$E$503,29))=0,"",INDEX('Providers'!$E$4:$E$503,29))&amp;") – "&amp;IF(LEN(INDEX('Providers'!$A$4:$A$503,29))=0,"",INDEX('Providers'!$A$4:$A$503,29))</f>
        <v/>
      </c>
      <c r="E1032">
        <f>IF(ISNUMBER(INDEX('Providers'!$K$4:$K$503,29)),TEXT(INDEX('Providers'!$K$4:$K$503,29),"yyyy-mm-dd"),"")</f>
        <v/>
      </c>
      <c r="F1032">
        <f>"Registration"</f>
        <v/>
      </c>
      <c r="G1032">
        <f>""</f>
        <v/>
      </c>
      <c r="H1032">
        <f>"High"</f>
        <v/>
      </c>
      <c r="I1032">
        <f>TRIM(IF(LEN(IF(LEN(INDEX('Providers'!$J$4:$J$503,29))=0,"",INDEX('Providers'!$J$4:$J$503,29)))=0,"","CSR no.: "&amp;IF(LEN(INDEX('Providers'!$J$4:$J$503,29))=0,"",INDEX('Providers'!$J$4:$J$503,29))&amp;". ")&amp;IF(LEN(IF(LEN(INDEX('Providers'!$C$4:$C$503,29))=0,"",INDEX('Providers'!$C$4:$C$503,29)))=0,"","NPI: "&amp;IF(LEN(INDEX('Providers'!$C$4:$C$503,29))=0,"",INDEX('Providers'!$C$4:$C$503,29))&amp;". "))</f>
        <v/>
      </c>
      <c r="J1032">
        <f>IF(LEN(INDEX('Providers'!$AJ$4:$AJ$503,29))=0,"",INDEX('Providers'!$AJ$4:$AJ$503,29))</f>
        <v/>
      </c>
      <c r="K1032">
        <f>IF(LEN(INDEX('Providers'!$AI$4:$AI$503,29))=0,"",INDEX('Providers'!$AI$4:$AI$503,29))</f>
        <v/>
      </c>
    </row>
    <row r="1033">
      <c r="A1033">
        <f>IF(AND(LEN('Providers'!A33)&gt;0,ISNUMBER('Providers'!K33)),1,0)</f>
        <v/>
      </c>
      <c r="B1033">
        <f>B1032+A1033</f>
        <v/>
      </c>
      <c r="C1033">
        <f>IF(1030&gt;$B$4503,"",MATCH(1030-0.5,$B$3:$B$4503,1))</f>
        <v/>
      </c>
      <c r="D1033">
        <f>"State CSR ("&amp;IF(LEN(INDEX('Providers'!$E$4:$E$503,30))=0,"",INDEX('Providers'!$E$4:$E$503,30))&amp;") – "&amp;IF(LEN(INDEX('Providers'!$A$4:$A$503,30))=0,"",INDEX('Providers'!$A$4:$A$503,30))</f>
        <v/>
      </c>
      <c r="E1033">
        <f>IF(ISNUMBER(INDEX('Providers'!$K$4:$K$503,30)),TEXT(INDEX('Providers'!$K$4:$K$503,30),"yyyy-mm-dd"),"")</f>
        <v/>
      </c>
      <c r="F1033">
        <f>"Registration"</f>
        <v/>
      </c>
      <c r="G1033">
        <f>""</f>
        <v/>
      </c>
      <c r="H1033">
        <f>"High"</f>
        <v/>
      </c>
      <c r="I1033">
        <f>TRIM(IF(LEN(IF(LEN(INDEX('Providers'!$J$4:$J$503,30))=0,"",INDEX('Providers'!$J$4:$J$503,30)))=0,"","CSR no.: "&amp;IF(LEN(INDEX('Providers'!$J$4:$J$503,30))=0,"",INDEX('Providers'!$J$4:$J$503,30))&amp;". ")&amp;IF(LEN(IF(LEN(INDEX('Providers'!$C$4:$C$503,30))=0,"",INDEX('Providers'!$C$4:$C$503,30)))=0,"","NPI: "&amp;IF(LEN(INDEX('Providers'!$C$4:$C$503,30))=0,"",INDEX('Providers'!$C$4:$C$503,30))&amp;". "))</f>
        <v/>
      </c>
      <c r="J1033">
        <f>IF(LEN(INDEX('Providers'!$AJ$4:$AJ$503,30))=0,"",INDEX('Providers'!$AJ$4:$AJ$503,30))</f>
        <v/>
      </c>
      <c r="K1033">
        <f>IF(LEN(INDEX('Providers'!$AI$4:$AI$503,30))=0,"",INDEX('Providers'!$AI$4:$AI$503,30))</f>
        <v/>
      </c>
    </row>
    <row r="1034">
      <c r="A1034">
        <f>IF(AND(LEN('Providers'!A34)&gt;0,ISNUMBER('Providers'!K34)),1,0)</f>
        <v/>
      </c>
      <c r="B1034">
        <f>B1033+A1034</f>
        <v/>
      </c>
      <c r="C1034">
        <f>IF(1031&gt;$B$4503,"",MATCH(1031-0.5,$B$3:$B$4503,1))</f>
        <v/>
      </c>
      <c r="D1034">
        <f>"State CSR ("&amp;IF(LEN(INDEX('Providers'!$E$4:$E$503,31))=0,"",INDEX('Providers'!$E$4:$E$503,31))&amp;") – "&amp;IF(LEN(INDEX('Providers'!$A$4:$A$503,31))=0,"",INDEX('Providers'!$A$4:$A$503,31))</f>
        <v/>
      </c>
      <c r="E1034">
        <f>IF(ISNUMBER(INDEX('Providers'!$K$4:$K$503,31)),TEXT(INDEX('Providers'!$K$4:$K$503,31),"yyyy-mm-dd"),"")</f>
        <v/>
      </c>
      <c r="F1034">
        <f>"Registration"</f>
        <v/>
      </c>
      <c r="G1034">
        <f>""</f>
        <v/>
      </c>
      <c r="H1034">
        <f>"High"</f>
        <v/>
      </c>
      <c r="I1034">
        <f>TRIM(IF(LEN(IF(LEN(INDEX('Providers'!$J$4:$J$503,31))=0,"",INDEX('Providers'!$J$4:$J$503,31)))=0,"","CSR no.: "&amp;IF(LEN(INDEX('Providers'!$J$4:$J$503,31))=0,"",INDEX('Providers'!$J$4:$J$503,31))&amp;". ")&amp;IF(LEN(IF(LEN(INDEX('Providers'!$C$4:$C$503,31))=0,"",INDEX('Providers'!$C$4:$C$503,31)))=0,"","NPI: "&amp;IF(LEN(INDEX('Providers'!$C$4:$C$503,31))=0,"",INDEX('Providers'!$C$4:$C$503,31))&amp;". "))</f>
        <v/>
      </c>
      <c r="J1034">
        <f>IF(LEN(INDEX('Providers'!$AJ$4:$AJ$503,31))=0,"",INDEX('Providers'!$AJ$4:$AJ$503,31))</f>
        <v/>
      </c>
      <c r="K1034">
        <f>IF(LEN(INDEX('Providers'!$AI$4:$AI$503,31))=0,"",INDEX('Providers'!$AI$4:$AI$503,31))</f>
        <v/>
      </c>
    </row>
    <row r="1035">
      <c r="A1035">
        <f>IF(AND(LEN('Providers'!A35)&gt;0,ISNUMBER('Providers'!K35)),1,0)</f>
        <v/>
      </c>
      <c r="B1035">
        <f>B1034+A1035</f>
        <v/>
      </c>
      <c r="C1035">
        <f>IF(1032&gt;$B$4503,"",MATCH(1032-0.5,$B$3:$B$4503,1))</f>
        <v/>
      </c>
      <c r="D1035">
        <f>"State CSR ("&amp;IF(LEN(INDEX('Providers'!$E$4:$E$503,32))=0,"",INDEX('Providers'!$E$4:$E$503,32))&amp;") – "&amp;IF(LEN(INDEX('Providers'!$A$4:$A$503,32))=0,"",INDEX('Providers'!$A$4:$A$503,32))</f>
        <v/>
      </c>
      <c r="E1035">
        <f>IF(ISNUMBER(INDEX('Providers'!$K$4:$K$503,32)),TEXT(INDEX('Providers'!$K$4:$K$503,32),"yyyy-mm-dd"),"")</f>
        <v/>
      </c>
      <c r="F1035">
        <f>"Registration"</f>
        <v/>
      </c>
      <c r="G1035">
        <f>""</f>
        <v/>
      </c>
      <c r="H1035">
        <f>"High"</f>
        <v/>
      </c>
      <c r="I1035">
        <f>TRIM(IF(LEN(IF(LEN(INDEX('Providers'!$J$4:$J$503,32))=0,"",INDEX('Providers'!$J$4:$J$503,32)))=0,"","CSR no.: "&amp;IF(LEN(INDEX('Providers'!$J$4:$J$503,32))=0,"",INDEX('Providers'!$J$4:$J$503,32))&amp;". ")&amp;IF(LEN(IF(LEN(INDEX('Providers'!$C$4:$C$503,32))=0,"",INDEX('Providers'!$C$4:$C$503,32)))=0,"","NPI: "&amp;IF(LEN(INDEX('Providers'!$C$4:$C$503,32))=0,"",INDEX('Providers'!$C$4:$C$503,32))&amp;". "))</f>
        <v/>
      </c>
      <c r="J1035">
        <f>IF(LEN(INDEX('Providers'!$AJ$4:$AJ$503,32))=0,"",INDEX('Providers'!$AJ$4:$AJ$503,32))</f>
        <v/>
      </c>
      <c r="K1035">
        <f>IF(LEN(INDEX('Providers'!$AI$4:$AI$503,32))=0,"",INDEX('Providers'!$AI$4:$AI$503,32))</f>
        <v/>
      </c>
    </row>
    <row r="1036">
      <c r="A1036">
        <f>IF(AND(LEN('Providers'!A36)&gt;0,ISNUMBER('Providers'!K36)),1,0)</f>
        <v/>
      </c>
      <c r="B1036">
        <f>B1035+A1036</f>
        <v/>
      </c>
      <c r="C1036">
        <f>IF(1033&gt;$B$4503,"",MATCH(1033-0.5,$B$3:$B$4503,1))</f>
        <v/>
      </c>
      <c r="D1036">
        <f>"State CSR ("&amp;IF(LEN(INDEX('Providers'!$E$4:$E$503,33))=0,"",INDEX('Providers'!$E$4:$E$503,33))&amp;") – "&amp;IF(LEN(INDEX('Providers'!$A$4:$A$503,33))=0,"",INDEX('Providers'!$A$4:$A$503,33))</f>
        <v/>
      </c>
      <c r="E1036">
        <f>IF(ISNUMBER(INDEX('Providers'!$K$4:$K$503,33)),TEXT(INDEX('Providers'!$K$4:$K$503,33),"yyyy-mm-dd"),"")</f>
        <v/>
      </c>
      <c r="F1036">
        <f>"Registration"</f>
        <v/>
      </c>
      <c r="G1036">
        <f>""</f>
        <v/>
      </c>
      <c r="H1036">
        <f>"High"</f>
        <v/>
      </c>
      <c r="I1036">
        <f>TRIM(IF(LEN(IF(LEN(INDEX('Providers'!$J$4:$J$503,33))=0,"",INDEX('Providers'!$J$4:$J$503,33)))=0,"","CSR no.: "&amp;IF(LEN(INDEX('Providers'!$J$4:$J$503,33))=0,"",INDEX('Providers'!$J$4:$J$503,33))&amp;". ")&amp;IF(LEN(IF(LEN(INDEX('Providers'!$C$4:$C$503,33))=0,"",INDEX('Providers'!$C$4:$C$503,33)))=0,"","NPI: "&amp;IF(LEN(INDEX('Providers'!$C$4:$C$503,33))=0,"",INDEX('Providers'!$C$4:$C$503,33))&amp;". "))</f>
        <v/>
      </c>
      <c r="J1036">
        <f>IF(LEN(INDEX('Providers'!$AJ$4:$AJ$503,33))=0,"",INDEX('Providers'!$AJ$4:$AJ$503,33))</f>
        <v/>
      </c>
      <c r="K1036">
        <f>IF(LEN(INDEX('Providers'!$AI$4:$AI$503,33))=0,"",INDEX('Providers'!$AI$4:$AI$503,33))</f>
        <v/>
      </c>
    </row>
    <row r="1037">
      <c r="A1037">
        <f>IF(AND(LEN('Providers'!A37)&gt;0,ISNUMBER('Providers'!K37)),1,0)</f>
        <v/>
      </c>
      <c r="B1037">
        <f>B1036+A1037</f>
        <v/>
      </c>
      <c r="C1037">
        <f>IF(1034&gt;$B$4503,"",MATCH(1034-0.5,$B$3:$B$4503,1))</f>
        <v/>
      </c>
      <c r="D1037">
        <f>"State CSR ("&amp;IF(LEN(INDEX('Providers'!$E$4:$E$503,34))=0,"",INDEX('Providers'!$E$4:$E$503,34))&amp;") – "&amp;IF(LEN(INDEX('Providers'!$A$4:$A$503,34))=0,"",INDEX('Providers'!$A$4:$A$503,34))</f>
        <v/>
      </c>
      <c r="E1037">
        <f>IF(ISNUMBER(INDEX('Providers'!$K$4:$K$503,34)),TEXT(INDEX('Providers'!$K$4:$K$503,34),"yyyy-mm-dd"),"")</f>
        <v/>
      </c>
      <c r="F1037">
        <f>"Registration"</f>
        <v/>
      </c>
      <c r="G1037">
        <f>""</f>
        <v/>
      </c>
      <c r="H1037">
        <f>"High"</f>
        <v/>
      </c>
      <c r="I1037">
        <f>TRIM(IF(LEN(IF(LEN(INDEX('Providers'!$J$4:$J$503,34))=0,"",INDEX('Providers'!$J$4:$J$503,34)))=0,"","CSR no.: "&amp;IF(LEN(INDEX('Providers'!$J$4:$J$503,34))=0,"",INDEX('Providers'!$J$4:$J$503,34))&amp;". ")&amp;IF(LEN(IF(LEN(INDEX('Providers'!$C$4:$C$503,34))=0,"",INDEX('Providers'!$C$4:$C$503,34)))=0,"","NPI: "&amp;IF(LEN(INDEX('Providers'!$C$4:$C$503,34))=0,"",INDEX('Providers'!$C$4:$C$503,34))&amp;". "))</f>
        <v/>
      </c>
      <c r="J1037">
        <f>IF(LEN(INDEX('Providers'!$AJ$4:$AJ$503,34))=0,"",INDEX('Providers'!$AJ$4:$AJ$503,34))</f>
        <v/>
      </c>
      <c r="K1037">
        <f>IF(LEN(INDEX('Providers'!$AI$4:$AI$503,34))=0,"",INDEX('Providers'!$AI$4:$AI$503,34))</f>
        <v/>
      </c>
    </row>
    <row r="1038">
      <c r="A1038">
        <f>IF(AND(LEN('Providers'!A38)&gt;0,ISNUMBER('Providers'!K38)),1,0)</f>
        <v/>
      </c>
      <c r="B1038">
        <f>B1037+A1038</f>
        <v/>
      </c>
      <c r="C1038">
        <f>IF(1035&gt;$B$4503,"",MATCH(1035-0.5,$B$3:$B$4503,1))</f>
        <v/>
      </c>
      <c r="D1038">
        <f>"State CSR ("&amp;IF(LEN(INDEX('Providers'!$E$4:$E$503,35))=0,"",INDEX('Providers'!$E$4:$E$503,35))&amp;") – "&amp;IF(LEN(INDEX('Providers'!$A$4:$A$503,35))=0,"",INDEX('Providers'!$A$4:$A$503,35))</f>
        <v/>
      </c>
      <c r="E1038">
        <f>IF(ISNUMBER(INDEX('Providers'!$K$4:$K$503,35)),TEXT(INDEX('Providers'!$K$4:$K$503,35),"yyyy-mm-dd"),"")</f>
        <v/>
      </c>
      <c r="F1038">
        <f>"Registration"</f>
        <v/>
      </c>
      <c r="G1038">
        <f>""</f>
        <v/>
      </c>
      <c r="H1038">
        <f>"High"</f>
        <v/>
      </c>
      <c r="I1038">
        <f>TRIM(IF(LEN(IF(LEN(INDEX('Providers'!$J$4:$J$503,35))=0,"",INDEX('Providers'!$J$4:$J$503,35)))=0,"","CSR no.: "&amp;IF(LEN(INDEX('Providers'!$J$4:$J$503,35))=0,"",INDEX('Providers'!$J$4:$J$503,35))&amp;". ")&amp;IF(LEN(IF(LEN(INDEX('Providers'!$C$4:$C$503,35))=0,"",INDEX('Providers'!$C$4:$C$503,35)))=0,"","NPI: "&amp;IF(LEN(INDEX('Providers'!$C$4:$C$503,35))=0,"",INDEX('Providers'!$C$4:$C$503,35))&amp;". "))</f>
        <v/>
      </c>
      <c r="J1038">
        <f>IF(LEN(INDEX('Providers'!$AJ$4:$AJ$503,35))=0,"",INDEX('Providers'!$AJ$4:$AJ$503,35))</f>
        <v/>
      </c>
      <c r="K1038">
        <f>IF(LEN(INDEX('Providers'!$AI$4:$AI$503,35))=0,"",INDEX('Providers'!$AI$4:$AI$503,35))</f>
        <v/>
      </c>
    </row>
    <row r="1039">
      <c r="A1039">
        <f>IF(AND(LEN('Providers'!A39)&gt;0,ISNUMBER('Providers'!K39)),1,0)</f>
        <v/>
      </c>
      <c r="B1039">
        <f>B1038+A1039</f>
        <v/>
      </c>
      <c r="C1039">
        <f>IF(1036&gt;$B$4503,"",MATCH(1036-0.5,$B$3:$B$4503,1))</f>
        <v/>
      </c>
      <c r="D1039">
        <f>"State CSR ("&amp;IF(LEN(INDEX('Providers'!$E$4:$E$503,36))=0,"",INDEX('Providers'!$E$4:$E$503,36))&amp;") – "&amp;IF(LEN(INDEX('Providers'!$A$4:$A$503,36))=0,"",INDEX('Providers'!$A$4:$A$503,36))</f>
        <v/>
      </c>
      <c r="E1039">
        <f>IF(ISNUMBER(INDEX('Providers'!$K$4:$K$503,36)),TEXT(INDEX('Providers'!$K$4:$K$503,36),"yyyy-mm-dd"),"")</f>
        <v/>
      </c>
      <c r="F1039">
        <f>"Registration"</f>
        <v/>
      </c>
      <c r="G1039">
        <f>""</f>
        <v/>
      </c>
      <c r="H1039">
        <f>"High"</f>
        <v/>
      </c>
      <c r="I1039">
        <f>TRIM(IF(LEN(IF(LEN(INDEX('Providers'!$J$4:$J$503,36))=0,"",INDEX('Providers'!$J$4:$J$503,36)))=0,"","CSR no.: "&amp;IF(LEN(INDEX('Providers'!$J$4:$J$503,36))=0,"",INDEX('Providers'!$J$4:$J$503,36))&amp;". ")&amp;IF(LEN(IF(LEN(INDEX('Providers'!$C$4:$C$503,36))=0,"",INDEX('Providers'!$C$4:$C$503,36)))=0,"","NPI: "&amp;IF(LEN(INDEX('Providers'!$C$4:$C$503,36))=0,"",INDEX('Providers'!$C$4:$C$503,36))&amp;". "))</f>
        <v/>
      </c>
      <c r="J1039">
        <f>IF(LEN(INDEX('Providers'!$AJ$4:$AJ$503,36))=0,"",INDEX('Providers'!$AJ$4:$AJ$503,36))</f>
        <v/>
      </c>
      <c r="K1039">
        <f>IF(LEN(INDEX('Providers'!$AI$4:$AI$503,36))=0,"",INDEX('Providers'!$AI$4:$AI$503,36))</f>
        <v/>
      </c>
    </row>
    <row r="1040">
      <c r="A1040">
        <f>IF(AND(LEN('Providers'!A40)&gt;0,ISNUMBER('Providers'!K40)),1,0)</f>
        <v/>
      </c>
      <c r="B1040">
        <f>B1039+A1040</f>
        <v/>
      </c>
      <c r="C1040">
        <f>IF(1037&gt;$B$4503,"",MATCH(1037-0.5,$B$3:$B$4503,1))</f>
        <v/>
      </c>
      <c r="D1040">
        <f>"State CSR ("&amp;IF(LEN(INDEX('Providers'!$E$4:$E$503,37))=0,"",INDEX('Providers'!$E$4:$E$503,37))&amp;") – "&amp;IF(LEN(INDEX('Providers'!$A$4:$A$503,37))=0,"",INDEX('Providers'!$A$4:$A$503,37))</f>
        <v/>
      </c>
      <c r="E1040">
        <f>IF(ISNUMBER(INDEX('Providers'!$K$4:$K$503,37)),TEXT(INDEX('Providers'!$K$4:$K$503,37),"yyyy-mm-dd"),"")</f>
        <v/>
      </c>
      <c r="F1040">
        <f>"Registration"</f>
        <v/>
      </c>
      <c r="G1040">
        <f>""</f>
        <v/>
      </c>
      <c r="H1040">
        <f>"High"</f>
        <v/>
      </c>
      <c r="I1040">
        <f>TRIM(IF(LEN(IF(LEN(INDEX('Providers'!$J$4:$J$503,37))=0,"",INDEX('Providers'!$J$4:$J$503,37)))=0,"","CSR no.: "&amp;IF(LEN(INDEX('Providers'!$J$4:$J$503,37))=0,"",INDEX('Providers'!$J$4:$J$503,37))&amp;". ")&amp;IF(LEN(IF(LEN(INDEX('Providers'!$C$4:$C$503,37))=0,"",INDEX('Providers'!$C$4:$C$503,37)))=0,"","NPI: "&amp;IF(LEN(INDEX('Providers'!$C$4:$C$503,37))=0,"",INDEX('Providers'!$C$4:$C$503,37))&amp;". "))</f>
        <v/>
      </c>
      <c r="J1040">
        <f>IF(LEN(INDEX('Providers'!$AJ$4:$AJ$503,37))=0,"",INDEX('Providers'!$AJ$4:$AJ$503,37))</f>
        <v/>
      </c>
      <c r="K1040">
        <f>IF(LEN(INDEX('Providers'!$AI$4:$AI$503,37))=0,"",INDEX('Providers'!$AI$4:$AI$503,37))</f>
        <v/>
      </c>
    </row>
    <row r="1041">
      <c r="A1041">
        <f>IF(AND(LEN('Providers'!A41)&gt;0,ISNUMBER('Providers'!K41)),1,0)</f>
        <v/>
      </c>
      <c r="B1041">
        <f>B1040+A1041</f>
        <v/>
      </c>
      <c r="C1041">
        <f>IF(1038&gt;$B$4503,"",MATCH(1038-0.5,$B$3:$B$4503,1))</f>
        <v/>
      </c>
      <c r="D1041">
        <f>"State CSR ("&amp;IF(LEN(INDEX('Providers'!$E$4:$E$503,38))=0,"",INDEX('Providers'!$E$4:$E$503,38))&amp;") – "&amp;IF(LEN(INDEX('Providers'!$A$4:$A$503,38))=0,"",INDEX('Providers'!$A$4:$A$503,38))</f>
        <v/>
      </c>
      <c r="E1041">
        <f>IF(ISNUMBER(INDEX('Providers'!$K$4:$K$503,38)),TEXT(INDEX('Providers'!$K$4:$K$503,38),"yyyy-mm-dd"),"")</f>
        <v/>
      </c>
      <c r="F1041">
        <f>"Registration"</f>
        <v/>
      </c>
      <c r="G1041">
        <f>""</f>
        <v/>
      </c>
      <c r="H1041">
        <f>"High"</f>
        <v/>
      </c>
      <c r="I1041">
        <f>TRIM(IF(LEN(IF(LEN(INDEX('Providers'!$J$4:$J$503,38))=0,"",INDEX('Providers'!$J$4:$J$503,38)))=0,"","CSR no.: "&amp;IF(LEN(INDEX('Providers'!$J$4:$J$503,38))=0,"",INDEX('Providers'!$J$4:$J$503,38))&amp;". ")&amp;IF(LEN(IF(LEN(INDEX('Providers'!$C$4:$C$503,38))=0,"",INDEX('Providers'!$C$4:$C$503,38)))=0,"","NPI: "&amp;IF(LEN(INDEX('Providers'!$C$4:$C$503,38))=0,"",INDEX('Providers'!$C$4:$C$503,38))&amp;". "))</f>
        <v/>
      </c>
      <c r="J1041">
        <f>IF(LEN(INDEX('Providers'!$AJ$4:$AJ$503,38))=0,"",INDEX('Providers'!$AJ$4:$AJ$503,38))</f>
        <v/>
      </c>
      <c r="K1041">
        <f>IF(LEN(INDEX('Providers'!$AI$4:$AI$503,38))=0,"",INDEX('Providers'!$AI$4:$AI$503,38))</f>
        <v/>
      </c>
    </row>
    <row r="1042">
      <c r="A1042">
        <f>IF(AND(LEN('Providers'!A42)&gt;0,ISNUMBER('Providers'!K42)),1,0)</f>
        <v/>
      </c>
      <c r="B1042">
        <f>B1041+A1042</f>
        <v/>
      </c>
      <c r="C1042">
        <f>IF(1039&gt;$B$4503,"",MATCH(1039-0.5,$B$3:$B$4503,1))</f>
        <v/>
      </c>
      <c r="D1042">
        <f>"State CSR ("&amp;IF(LEN(INDEX('Providers'!$E$4:$E$503,39))=0,"",INDEX('Providers'!$E$4:$E$503,39))&amp;") – "&amp;IF(LEN(INDEX('Providers'!$A$4:$A$503,39))=0,"",INDEX('Providers'!$A$4:$A$503,39))</f>
        <v/>
      </c>
      <c r="E1042">
        <f>IF(ISNUMBER(INDEX('Providers'!$K$4:$K$503,39)),TEXT(INDEX('Providers'!$K$4:$K$503,39),"yyyy-mm-dd"),"")</f>
        <v/>
      </c>
      <c r="F1042">
        <f>"Registration"</f>
        <v/>
      </c>
      <c r="G1042">
        <f>""</f>
        <v/>
      </c>
      <c r="H1042">
        <f>"High"</f>
        <v/>
      </c>
      <c r="I1042">
        <f>TRIM(IF(LEN(IF(LEN(INDEX('Providers'!$J$4:$J$503,39))=0,"",INDEX('Providers'!$J$4:$J$503,39)))=0,"","CSR no.: "&amp;IF(LEN(INDEX('Providers'!$J$4:$J$503,39))=0,"",INDEX('Providers'!$J$4:$J$503,39))&amp;". ")&amp;IF(LEN(IF(LEN(INDEX('Providers'!$C$4:$C$503,39))=0,"",INDEX('Providers'!$C$4:$C$503,39)))=0,"","NPI: "&amp;IF(LEN(INDEX('Providers'!$C$4:$C$503,39))=0,"",INDEX('Providers'!$C$4:$C$503,39))&amp;". "))</f>
        <v/>
      </c>
      <c r="J1042">
        <f>IF(LEN(INDEX('Providers'!$AJ$4:$AJ$503,39))=0,"",INDEX('Providers'!$AJ$4:$AJ$503,39))</f>
        <v/>
      </c>
      <c r="K1042">
        <f>IF(LEN(INDEX('Providers'!$AI$4:$AI$503,39))=0,"",INDEX('Providers'!$AI$4:$AI$503,39))</f>
        <v/>
      </c>
    </row>
    <row r="1043">
      <c r="A1043">
        <f>IF(AND(LEN('Providers'!A43)&gt;0,ISNUMBER('Providers'!K43)),1,0)</f>
        <v/>
      </c>
      <c r="B1043">
        <f>B1042+A1043</f>
        <v/>
      </c>
      <c r="C1043">
        <f>IF(1040&gt;$B$4503,"",MATCH(1040-0.5,$B$3:$B$4503,1))</f>
        <v/>
      </c>
      <c r="D1043">
        <f>"State CSR ("&amp;IF(LEN(INDEX('Providers'!$E$4:$E$503,40))=0,"",INDEX('Providers'!$E$4:$E$503,40))&amp;") – "&amp;IF(LEN(INDEX('Providers'!$A$4:$A$503,40))=0,"",INDEX('Providers'!$A$4:$A$503,40))</f>
        <v/>
      </c>
      <c r="E1043">
        <f>IF(ISNUMBER(INDEX('Providers'!$K$4:$K$503,40)),TEXT(INDEX('Providers'!$K$4:$K$503,40),"yyyy-mm-dd"),"")</f>
        <v/>
      </c>
      <c r="F1043">
        <f>"Registration"</f>
        <v/>
      </c>
      <c r="G1043">
        <f>""</f>
        <v/>
      </c>
      <c r="H1043">
        <f>"High"</f>
        <v/>
      </c>
      <c r="I1043">
        <f>TRIM(IF(LEN(IF(LEN(INDEX('Providers'!$J$4:$J$503,40))=0,"",INDEX('Providers'!$J$4:$J$503,40)))=0,"","CSR no.: "&amp;IF(LEN(INDEX('Providers'!$J$4:$J$503,40))=0,"",INDEX('Providers'!$J$4:$J$503,40))&amp;". ")&amp;IF(LEN(IF(LEN(INDEX('Providers'!$C$4:$C$503,40))=0,"",INDEX('Providers'!$C$4:$C$503,40)))=0,"","NPI: "&amp;IF(LEN(INDEX('Providers'!$C$4:$C$503,40))=0,"",INDEX('Providers'!$C$4:$C$503,40))&amp;". "))</f>
        <v/>
      </c>
      <c r="J1043">
        <f>IF(LEN(INDEX('Providers'!$AJ$4:$AJ$503,40))=0,"",INDEX('Providers'!$AJ$4:$AJ$503,40))</f>
        <v/>
      </c>
      <c r="K1043">
        <f>IF(LEN(INDEX('Providers'!$AI$4:$AI$503,40))=0,"",INDEX('Providers'!$AI$4:$AI$503,40))</f>
        <v/>
      </c>
    </row>
    <row r="1044">
      <c r="A1044">
        <f>IF(AND(LEN('Providers'!A44)&gt;0,ISNUMBER('Providers'!K44)),1,0)</f>
        <v/>
      </c>
      <c r="B1044">
        <f>B1043+A1044</f>
        <v/>
      </c>
      <c r="C1044">
        <f>IF(1041&gt;$B$4503,"",MATCH(1041-0.5,$B$3:$B$4503,1))</f>
        <v/>
      </c>
      <c r="D1044">
        <f>"State CSR ("&amp;IF(LEN(INDEX('Providers'!$E$4:$E$503,41))=0,"",INDEX('Providers'!$E$4:$E$503,41))&amp;") – "&amp;IF(LEN(INDEX('Providers'!$A$4:$A$503,41))=0,"",INDEX('Providers'!$A$4:$A$503,41))</f>
        <v/>
      </c>
      <c r="E1044">
        <f>IF(ISNUMBER(INDEX('Providers'!$K$4:$K$503,41)),TEXT(INDEX('Providers'!$K$4:$K$503,41),"yyyy-mm-dd"),"")</f>
        <v/>
      </c>
      <c r="F1044">
        <f>"Registration"</f>
        <v/>
      </c>
      <c r="G1044">
        <f>""</f>
        <v/>
      </c>
      <c r="H1044">
        <f>"High"</f>
        <v/>
      </c>
      <c r="I1044">
        <f>TRIM(IF(LEN(IF(LEN(INDEX('Providers'!$J$4:$J$503,41))=0,"",INDEX('Providers'!$J$4:$J$503,41)))=0,"","CSR no.: "&amp;IF(LEN(INDEX('Providers'!$J$4:$J$503,41))=0,"",INDEX('Providers'!$J$4:$J$503,41))&amp;". ")&amp;IF(LEN(IF(LEN(INDEX('Providers'!$C$4:$C$503,41))=0,"",INDEX('Providers'!$C$4:$C$503,41)))=0,"","NPI: "&amp;IF(LEN(INDEX('Providers'!$C$4:$C$503,41))=0,"",INDEX('Providers'!$C$4:$C$503,41))&amp;". "))</f>
        <v/>
      </c>
      <c r="J1044">
        <f>IF(LEN(INDEX('Providers'!$AJ$4:$AJ$503,41))=0,"",INDEX('Providers'!$AJ$4:$AJ$503,41))</f>
        <v/>
      </c>
      <c r="K1044">
        <f>IF(LEN(INDEX('Providers'!$AI$4:$AI$503,41))=0,"",INDEX('Providers'!$AI$4:$AI$503,41))</f>
        <v/>
      </c>
    </row>
    <row r="1045">
      <c r="A1045">
        <f>IF(AND(LEN('Providers'!A45)&gt;0,ISNUMBER('Providers'!K45)),1,0)</f>
        <v/>
      </c>
      <c r="B1045">
        <f>B1044+A1045</f>
        <v/>
      </c>
      <c r="C1045">
        <f>IF(1042&gt;$B$4503,"",MATCH(1042-0.5,$B$3:$B$4503,1))</f>
        <v/>
      </c>
      <c r="D1045">
        <f>"State CSR ("&amp;IF(LEN(INDEX('Providers'!$E$4:$E$503,42))=0,"",INDEX('Providers'!$E$4:$E$503,42))&amp;") – "&amp;IF(LEN(INDEX('Providers'!$A$4:$A$503,42))=0,"",INDEX('Providers'!$A$4:$A$503,42))</f>
        <v/>
      </c>
      <c r="E1045">
        <f>IF(ISNUMBER(INDEX('Providers'!$K$4:$K$503,42)),TEXT(INDEX('Providers'!$K$4:$K$503,42),"yyyy-mm-dd"),"")</f>
        <v/>
      </c>
      <c r="F1045">
        <f>"Registration"</f>
        <v/>
      </c>
      <c r="G1045">
        <f>""</f>
        <v/>
      </c>
      <c r="H1045">
        <f>"High"</f>
        <v/>
      </c>
      <c r="I1045">
        <f>TRIM(IF(LEN(IF(LEN(INDEX('Providers'!$J$4:$J$503,42))=0,"",INDEX('Providers'!$J$4:$J$503,42)))=0,"","CSR no.: "&amp;IF(LEN(INDEX('Providers'!$J$4:$J$503,42))=0,"",INDEX('Providers'!$J$4:$J$503,42))&amp;". ")&amp;IF(LEN(IF(LEN(INDEX('Providers'!$C$4:$C$503,42))=0,"",INDEX('Providers'!$C$4:$C$503,42)))=0,"","NPI: "&amp;IF(LEN(INDEX('Providers'!$C$4:$C$503,42))=0,"",INDEX('Providers'!$C$4:$C$503,42))&amp;". "))</f>
        <v/>
      </c>
      <c r="J1045">
        <f>IF(LEN(INDEX('Providers'!$AJ$4:$AJ$503,42))=0,"",INDEX('Providers'!$AJ$4:$AJ$503,42))</f>
        <v/>
      </c>
      <c r="K1045">
        <f>IF(LEN(INDEX('Providers'!$AI$4:$AI$503,42))=0,"",INDEX('Providers'!$AI$4:$AI$503,42))</f>
        <v/>
      </c>
    </row>
    <row r="1046">
      <c r="A1046">
        <f>IF(AND(LEN('Providers'!A46)&gt;0,ISNUMBER('Providers'!K46)),1,0)</f>
        <v/>
      </c>
      <c r="B1046">
        <f>B1045+A1046</f>
        <v/>
      </c>
      <c r="C1046">
        <f>IF(1043&gt;$B$4503,"",MATCH(1043-0.5,$B$3:$B$4503,1))</f>
        <v/>
      </c>
      <c r="D1046">
        <f>"State CSR ("&amp;IF(LEN(INDEX('Providers'!$E$4:$E$503,43))=0,"",INDEX('Providers'!$E$4:$E$503,43))&amp;") – "&amp;IF(LEN(INDEX('Providers'!$A$4:$A$503,43))=0,"",INDEX('Providers'!$A$4:$A$503,43))</f>
        <v/>
      </c>
      <c r="E1046">
        <f>IF(ISNUMBER(INDEX('Providers'!$K$4:$K$503,43)),TEXT(INDEX('Providers'!$K$4:$K$503,43),"yyyy-mm-dd"),"")</f>
        <v/>
      </c>
      <c r="F1046">
        <f>"Registration"</f>
        <v/>
      </c>
      <c r="G1046">
        <f>""</f>
        <v/>
      </c>
      <c r="H1046">
        <f>"High"</f>
        <v/>
      </c>
      <c r="I1046">
        <f>TRIM(IF(LEN(IF(LEN(INDEX('Providers'!$J$4:$J$503,43))=0,"",INDEX('Providers'!$J$4:$J$503,43)))=0,"","CSR no.: "&amp;IF(LEN(INDEX('Providers'!$J$4:$J$503,43))=0,"",INDEX('Providers'!$J$4:$J$503,43))&amp;". ")&amp;IF(LEN(IF(LEN(INDEX('Providers'!$C$4:$C$503,43))=0,"",INDEX('Providers'!$C$4:$C$503,43)))=0,"","NPI: "&amp;IF(LEN(INDEX('Providers'!$C$4:$C$503,43))=0,"",INDEX('Providers'!$C$4:$C$503,43))&amp;". "))</f>
        <v/>
      </c>
      <c r="J1046">
        <f>IF(LEN(INDEX('Providers'!$AJ$4:$AJ$503,43))=0,"",INDEX('Providers'!$AJ$4:$AJ$503,43))</f>
        <v/>
      </c>
      <c r="K1046">
        <f>IF(LEN(INDEX('Providers'!$AI$4:$AI$503,43))=0,"",INDEX('Providers'!$AI$4:$AI$503,43))</f>
        <v/>
      </c>
    </row>
    <row r="1047">
      <c r="A1047">
        <f>IF(AND(LEN('Providers'!A47)&gt;0,ISNUMBER('Providers'!K47)),1,0)</f>
        <v/>
      </c>
      <c r="B1047">
        <f>B1046+A1047</f>
        <v/>
      </c>
      <c r="C1047">
        <f>IF(1044&gt;$B$4503,"",MATCH(1044-0.5,$B$3:$B$4503,1))</f>
        <v/>
      </c>
      <c r="D1047">
        <f>"State CSR ("&amp;IF(LEN(INDEX('Providers'!$E$4:$E$503,44))=0,"",INDEX('Providers'!$E$4:$E$503,44))&amp;") – "&amp;IF(LEN(INDEX('Providers'!$A$4:$A$503,44))=0,"",INDEX('Providers'!$A$4:$A$503,44))</f>
        <v/>
      </c>
      <c r="E1047">
        <f>IF(ISNUMBER(INDEX('Providers'!$K$4:$K$503,44)),TEXT(INDEX('Providers'!$K$4:$K$503,44),"yyyy-mm-dd"),"")</f>
        <v/>
      </c>
      <c r="F1047">
        <f>"Registration"</f>
        <v/>
      </c>
      <c r="G1047">
        <f>""</f>
        <v/>
      </c>
      <c r="H1047">
        <f>"High"</f>
        <v/>
      </c>
      <c r="I1047">
        <f>TRIM(IF(LEN(IF(LEN(INDEX('Providers'!$J$4:$J$503,44))=0,"",INDEX('Providers'!$J$4:$J$503,44)))=0,"","CSR no.: "&amp;IF(LEN(INDEX('Providers'!$J$4:$J$503,44))=0,"",INDEX('Providers'!$J$4:$J$503,44))&amp;". ")&amp;IF(LEN(IF(LEN(INDEX('Providers'!$C$4:$C$503,44))=0,"",INDEX('Providers'!$C$4:$C$503,44)))=0,"","NPI: "&amp;IF(LEN(INDEX('Providers'!$C$4:$C$503,44))=0,"",INDEX('Providers'!$C$4:$C$503,44))&amp;". "))</f>
        <v/>
      </c>
      <c r="J1047">
        <f>IF(LEN(INDEX('Providers'!$AJ$4:$AJ$503,44))=0,"",INDEX('Providers'!$AJ$4:$AJ$503,44))</f>
        <v/>
      </c>
      <c r="K1047">
        <f>IF(LEN(INDEX('Providers'!$AI$4:$AI$503,44))=0,"",INDEX('Providers'!$AI$4:$AI$503,44))</f>
        <v/>
      </c>
    </row>
    <row r="1048">
      <c r="A1048">
        <f>IF(AND(LEN('Providers'!A48)&gt;0,ISNUMBER('Providers'!K48)),1,0)</f>
        <v/>
      </c>
      <c r="B1048">
        <f>B1047+A1048</f>
        <v/>
      </c>
      <c r="C1048">
        <f>IF(1045&gt;$B$4503,"",MATCH(1045-0.5,$B$3:$B$4503,1))</f>
        <v/>
      </c>
      <c r="D1048">
        <f>"State CSR ("&amp;IF(LEN(INDEX('Providers'!$E$4:$E$503,45))=0,"",INDEX('Providers'!$E$4:$E$503,45))&amp;") – "&amp;IF(LEN(INDEX('Providers'!$A$4:$A$503,45))=0,"",INDEX('Providers'!$A$4:$A$503,45))</f>
        <v/>
      </c>
      <c r="E1048">
        <f>IF(ISNUMBER(INDEX('Providers'!$K$4:$K$503,45)),TEXT(INDEX('Providers'!$K$4:$K$503,45),"yyyy-mm-dd"),"")</f>
        <v/>
      </c>
      <c r="F1048">
        <f>"Registration"</f>
        <v/>
      </c>
      <c r="G1048">
        <f>""</f>
        <v/>
      </c>
      <c r="H1048">
        <f>"High"</f>
        <v/>
      </c>
      <c r="I1048">
        <f>TRIM(IF(LEN(IF(LEN(INDEX('Providers'!$J$4:$J$503,45))=0,"",INDEX('Providers'!$J$4:$J$503,45)))=0,"","CSR no.: "&amp;IF(LEN(INDEX('Providers'!$J$4:$J$503,45))=0,"",INDEX('Providers'!$J$4:$J$503,45))&amp;". ")&amp;IF(LEN(IF(LEN(INDEX('Providers'!$C$4:$C$503,45))=0,"",INDEX('Providers'!$C$4:$C$503,45)))=0,"","NPI: "&amp;IF(LEN(INDEX('Providers'!$C$4:$C$503,45))=0,"",INDEX('Providers'!$C$4:$C$503,45))&amp;". "))</f>
        <v/>
      </c>
      <c r="J1048">
        <f>IF(LEN(INDEX('Providers'!$AJ$4:$AJ$503,45))=0,"",INDEX('Providers'!$AJ$4:$AJ$503,45))</f>
        <v/>
      </c>
      <c r="K1048">
        <f>IF(LEN(INDEX('Providers'!$AI$4:$AI$503,45))=0,"",INDEX('Providers'!$AI$4:$AI$503,45))</f>
        <v/>
      </c>
    </row>
    <row r="1049">
      <c r="A1049">
        <f>IF(AND(LEN('Providers'!A49)&gt;0,ISNUMBER('Providers'!K49)),1,0)</f>
        <v/>
      </c>
      <c r="B1049">
        <f>B1048+A1049</f>
        <v/>
      </c>
      <c r="C1049">
        <f>IF(1046&gt;$B$4503,"",MATCH(1046-0.5,$B$3:$B$4503,1))</f>
        <v/>
      </c>
      <c r="D1049">
        <f>"State CSR ("&amp;IF(LEN(INDEX('Providers'!$E$4:$E$503,46))=0,"",INDEX('Providers'!$E$4:$E$503,46))&amp;") – "&amp;IF(LEN(INDEX('Providers'!$A$4:$A$503,46))=0,"",INDEX('Providers'!$A$4:$A$503,46))</f>
        <v/>
      </c>
      <c r="E1049">
        <f>IF(ISNUMBER(INDEX('Providers'!$K$4:$K$503,46)),TEXT(INDEX('Providers'!$K$4:$K$503,46),"yyyy-mm-dd"),"")</f>
        <v/>
      </c>
      <c r="F1049">
        <f>"Registration"</f>
        <v/>
      </c>
      <c r="G1049">
        <f>""</f>
        <v/>
      </c>
      <c r="H1049">
        <f>"High"</f>
        <v/>
      </c>
      <c r="I1049">
        <f>TRIM(IF(LEN(IF(LEN(INDEX('Providers'!$J$4:$J$503,46))=0,"",INDEX('Providers'!$J$4:$J$503,46)))=0,"","CSR no.: "&amp;IF(LEN(INDEX('Providers'!$J$4:$J$503,46))=0,"",INDEX('Providers'!$J$4:$J$503,46))&amp;". ")&amp;IF(LEN(IF(LEN(INDEX('Providers'!$C$4:$C$503,46))=0,"",INDEX('Providers'!$C$4:$C$503,46)))=0,"","NPI: "&amp;IF(LEN(INDEX('Providers'!$C$4:$C$503,46))=0,"",INDEX('Providers'!$C$4:$C$503,46))&amp;". "))</f>
        <v/>
      </c>
      <c r="J1049">
        <f>IF(LEN(INDEX('Providers'!$AJ$4:$AJ$503,46))=0,"",INDEX('Providers'!$AJ$4:$AJ$503,46))</f>
        <v/>
      </c>
      <c r="K1049">
        <f>IF(LEN(INDEX('Providers'!$AI$4:$AI$503,46))=0,"",INDEX('Providers'!$AI$4:$AI$503,46))</f>
        <v/>
      </c>
    </row>
    <row r="1050">
      <c r="A1050">
        <f>IF(AND(LEN('Providers'!A50)&gt;0,ISNUMBER('Providers'!K50)),1,0)</f>
        <v/>
      </c>
      <c r="B1050">
        <f>B1049+A1050</f>
        <v/>
      </c>
      <c r="C1050">
        <f>IF(1047&gt;$B$4503,"",MATCH(1047-0.5,$B$3:$B$4503,1))</f>
        <v/>
      </c>
      <c r="D1050">
        <f>"State CSR ("&amp;IF(LEN(INDEX('Providers'!$E$4:$E$503,47))=0,"",INDEX('Providers'!$E$4:$E$503,47))&amp;") – "&amp;IF(LEN(INDEX('Providers'!$A$4:$A$503,47))=0,"",INDEX('Providers'!$A$4:$A$503,47))</f>
        <v/>
      </c>
      <c r="E1050">
        <f>IF(ISNUMBER(INDEX('Providers'!$K$4:$K$503,47)),TEXT(INDEX('Providers'!$K$4:$K$503,47),"yyyy-mm-dd"),"")</f>
        <v/>
      </c>
      <c r="F1050">
        <f>"Registration"</f>
        <v/>
      </c>
      <c r="G1050">
        <f>""</f>
        <v/>
      </c>
      <c r="H1050">
        <f>"High"</f>
        <v/>
      </c>
      <c r="I1050">
        <f>TRIM(IF(LEN(IF(LEN(INDEX('Providers'!$J$4:$J$503,47))=0,"",INDEX('Providers'!$J$4:$J$503,47)))=0,"","CSR no.: "&amp;IF(LEN(INDEX('Providers'!$J$4:$J$503,47))=0,"",INDEX('Providers'!$J$4:$J$503,47))&amp;". ")&amp;IF(LEN(IF(LEN(INDEX('Providers'!$C$4:$C$503,47))=0,"",INDEX('Providers'!$C$4:$C$503,47)))=0,"","NPI: "&amp;IF(LEN(INDEX('Providers'!$C$4:$C$503,47))=0,"",INDEX('Providers'!$C$4:$C$503,47))&amp;". "))</f>
        <v/>
      </c>
      <c r="J1050">
        <f>IF(LEN(INDEX('Providers'!$AJ$4:$AJ$503,47))=0,"",INDEX('Providers'!$AJ$4:$AJ$503,47))</f>
        <v/>
      </c>
      <c r="K1050">
        <f>IF(LEN(INDEX('Providers'!$AI$4:$AI$503,47))=0,"",INDEX('Providers'!$AI$4:$AI$503,47))</f>
        <v/>
      </c>
    </row>
    <row r="1051">
      <c r="A1051">
        <f>IF(AND(LEN('Providers'!A51)&gt;0,ISNUMBER('Providers'!K51)),1,0)</f>
        <v/>
      </c>
      <c r="B1051">
        <f>B1050+A1051</f>
        <v/>
      </c>
      <c r="C1051">
        <f>IF(1048&gt;$B$4503,"",MATCH(1048-0.5,$B$3:$B$4503,1))</f>
        <v/>
      </c>
      <c r="D1051">
        <f>"State CSR ("&amp;IF(LEN(INDEX('Providers'!$E$4:$E$503,48))=0,"",INDEX('Providers'!$E$4:$E$503,48))&amp;") – "&amp;IF(LEN(INDEX('Providers'!$A$4:$A$503,48))=0,"",INDEX('Providers'!$A$4:$A$503,48))</f>
        <v/>
      </c>
      <c r="E1051">
        <f>IF(ISNUMBER(INDEX('Providers'!$K$4:$K$503,48)),TEXT(INDEX('Providers'!$K$4:$K$503,48),"yyyy-mm-dd"),"")</f>
        <v/>
      </c>
      <c r="F1051">
        <f>"Registration"</f>
        <v/>
      </c>
      <c r="G1051">
        <f>""</f>
        <v/>
      </c>
      <c r="H1051">
        <f>"High"</f>
        <v/>
      </c>
      <c r="I1051">
        <f>TRIM(IF(LEN(IF(LEN(INDEX('Providers'!$J$4:$J$503,48))=0,"",INDEX('Providers'!$J$4:$J$503,48)))=0,"","CSR no.: "&amp;IF(LEN(INDEX('Providers'!$J$4:$J$503,48))=0,"",INDEX('Providers'!$J$4:$J$503,48))&amp;". ")&amp;IF(LEN(IF(LEN(INDEX('Providers'!$C$4:$C$503,48))=0,"",INDEX('Providers'!$C$4:$C$503,48)))=0,"","NPI: "&amp;IF(LEN(INDEX('Providers'!$C$4:$C$503,48))=0,"",INDEX('Providers'!$C$4:$C$503,48))&amp;". "))</f>
        <v/>
      </c>
      <c r="J1051">
        <f>IF(LEN(INDEX('Providers'!$AJ$4:$AJ$503,48))=0,"",INDEX('Providers'!$AJ$4:$AJ$503,48))</f>
        <v/>
      </c>
      <c r="K1051">
        <f>IF(LEN(INDEX('Providers'!$AI$4:$AI$503,48))=0,"",INDEX('Providers'!$AI$4:$AI$503,48))</f>
        <v/>
      </c>
    </row>
    <row r="1052">
      <c r="A1052">
        <f>IF(AND(LEN('Providers'!A52)&gt;0,ISNUMBER('Providers'!K52)),1,0)</f>
        <v/>
      </c>
      <c r="B1052">
        <f>B1051+A1052</f>
        <v/>
      </c>
      <c r="C1052">
        <f>IF(1049&gt;$B$4503,"",MATCH(1049-0.5,$B$3:$B$4503,1))</f>
        <v/>
      </c>
      <c r="D1052">
        <f>"State CSR ("&amp;IF(LEN(INDEX('Providers'!$E$4:$E$503,49))=0,"",INDEX('Providers'!$E$4:$E$503,49))&amp;") – "&amp;IF(LEN(INDEX('Providers'!$A$4:$A$503,49))=0,"",INDEX('Providers'!$A$4:$A$503,49))</f>
        <v/>
      </c>
      <c r="E1052">
        <f>IF(ISNUMBER(INDEX('Providers'!$K$4:$K$503,49)),TEXT(INDEX('Providers'!$K$4:$K$503,49),"yyyy-mm-dd"),"")</f>
        <v/>
      </c>
      <c r="F1052">
        <f>"Registration"</f>
        <v/>
      </c>
      <c r="G1052">
        <f>""</f>
        <v/>
      </c>
      <c r="H1052">
        <f>"High"</f>
        <v/>
      </c>
      <c r="I1052">
        <f>TRIM(IF(LEN(IF(LEN(INDEX('Providers'!$J$4:$J$503,49))=0,"",INDEX('Providers'!$J$4:$J$503,49)))=0,"","CSR no.: "&amp;IF(LEN(INDEX('Providers'!$J$4:$J$503,49))=0,"",INDEX('Providers'!$J$4:$J$503,49))&amp;". ")&amp;IF(LEN(IF(LEN(INDEX('Providers'!$C$4:$C$503,49))=0,"",INDEX('Providers'!$C$4:$C$503,49)))=0,"","NPI: "&amp;IF(LEN(INDEX('Providers'!$C$4:$C$503,49))=0,"",INDEX('Providers'!$C$4:$C$503,49))&amp;". "))</f>
        <v/>
      </c>
      <c r="J1052">
        <f>IF(LEN(INDEX('Providers'!$AJ$4:$AJ$503,49))=0,"",INDEX('Providers'!$AJ$4:$AJ$503,49))</f>
        <v/>
      </c>
      <c r="K1052">
        <f>IF(LEN(INDEX('Providers'!$AI$4:$AI$503,49))=0,"",INDEX('Providers'!$AI$4:$AI$503,49))</f>
        <v/>
      </c>
    </row>
    <row r="1053">
      <c r="A1053">
        <f>IF(AND(LEN('Providers'!A53)&gt;0,ISNUMBER('Providers'!K53)),1,0)</f>
        <v/>
      </c>
      <c r="B1053">
        <f>B1052+A1053</f>
        <v/>
      </c>
      <c r="C1053">
        <f>IF(1050&gt;$B$4503,"",MATCH(1050-0.5,$B$3:$B$4503,1))</f>
        <v/>
      </c>
      <c r="D1053">
        <f>"State CSR ("&amp;IF(LEN(INDEX('Providers'!$E$4:$E$503,50))=0,"",INDEX('Providers'!$E$4:$E$503,50))&amp;") – "&amp;IF(LEN(INDEX('Providers'!$A$4:$A$503,50))=0,"",INDEX('Providers'!$A$4:$A$503,50))</f>
        <v/>
      </c>
      <c r="E1053">
        <f>IF(ISNUMBER(INDEX('Providers'!$K$4:$K$503,50)),TEXT(INDEX('Providers'!$K$4:$K$503,50),"yyyy-mm-dd"),"")</f>
        <v/>
      </c>
      <c r="F1053">
        <f>"Registration"</f>
        <v/>
      </c>
      <c r="G1053">
        <f>""</f>
        <v/>
      </c>
      <c r="H1053">
        <f>"High"</f>
        <v/>
      </c>
      <c r="I1053">
        <f>TRIM(IF(LEN(IF(LEN(INDEX('Providers'!$J$4:$J$503,50))=0,"",INDEX('Providers'!$J$4:$J$503,50)))=0,"","CSR no.: "&amp;IF(LEN(INDEX('Providers'!$J$4:$J$503,50))=0,"",INDEX('Providers'!$J$4:$J$503,50))&amp;". ")&amp;IF(LEN(IF(LEN(INDEX('Providers'!$C$4:$C$503,50))=0,"",INDEX('Providers'!$C$4:$C$503,50)))=0,"","NPI: "&amp;IF(LEN(INDEX('Providers'!$C$4:$C$503,50))=0,"",INDEX('Providers'!$C$4:$C$503,50))&amp;". "))</f>
        <v/>
      </c>
      <c r="J1053">
        <f>IF(LEN(INDEX('Providers'!$AJ$4:$AJ$503,50))=0,"",INDEX('Providers'!$AJ$4:$AJ$503,50))</f>
        <v/>
      </c>
      <c r="K1053">
        <f>IF(LEN(INDEX('Providers'!$AI$4:$AI$503,50))=0,"",INDEX('Providers'!$AI$4:$AI$503,50))</f>
        <v/>
      </c>
    </row>
    <row r="1054">
      <c r="A1054">
        <f>IF(AND(LEN('Providers'!A54)&gt;0,ISNUMBER('Providers'!K54)),1,0)</f>
        <v/>
      </c>
      <c r="B1054">
        <f>B1053+A1054</f>
        <v/>
      </c>
      <c r="C1054">
        <f>IF(1051&gt;$B$4503,"",MATCH(1051-0.5,$B$3:$B$4503,1))</f>
        <v/>
      </c>
      <c r="D1054">
        <f>"State CSR ("&amp;IF(LEN(INDEX('Providers'!$E$4:$E$503,51))=0,"",INDEX('Providers'!$E$4:$E$503,51))&amp;") – "&amp;IF(LEN(INDEX('Providers'!$A$4:$A$503,51))=0,"",INDEX('Providers'!$A$4:$A$503,51))</f>
        <v/>
      </c>
      <c r="E1054">
        <f>IF(ISNUMBER(INDEX('Providers'!$K$4:$K$503,51)),TEXT(INDEX('Providers'!$K$4:$K$503,51),"yyyy-mm-dd"),"")</f>
        <v/>
      </c>
      <c r="F1054">
        <f>"Registration"</f>
        <v/>
      </c>
      <c r="G1054">
        <f>""</f>
        <v/>
      </c>
      <c r="H1054">
        <f>"High"</f>
        <v/>
      </c>
      <c r="I1054">
        <f>TRIM(IF(LEN(IF(LEN(INDEX('Providers'!$J$4:$J$503,51))=0,"",INDEX('Providers'!$J$4:$J$503,51)))=0,"","CSR no.: "&amp;IF(LEN(INDEX('Providers'!$J$4:$J$503,51))=0,"",INDEX('Providers'!$J$4:$J$503,51))&amp;". ")&amp;IF(LEN(IF(LEN(INDEX('Providers'!$C$4:$C$503,51))=0,"",INDEX('Providers'!$C$4:$C$503,51)))=0,"","NPI: "&amp;IF(LEN(INDEX('Providers'!$C$4:$C$503,51))=0,"",INDEX('Providers'!$C$4:$C$503,51))&amp;". "))</f>
        <v/>
      </c>
      <c r="J1054">
        <f>IF(LEN(INDEX('Providers'!$AJ$4:$AJ$503,51))=0,"",INDEX('Providers'!$AJ$4:$AJ$503,51))</f>
        <v/>
      </c>
      <c r="K1054">
        <f>IF(LEN(INDEX('Providers'!$AI$4:$AI$503,51))=0,"",INDEX('Providers'!$AI$4:$AI$503,51))</f>
        <v/>
      </c>
    </row>
    <row r="1055">
      <c r="A1055">
        <f>IF(AND(LEN('Providers'!A55)&gt;0,ISNUMBER('Providers'!K55)),1,0)</f>
        <v/>
      </c>
      <c r="B1055">
        <f>B1054+A1055</f>
        <v/>
      </c>
      <c r="C1055">
        <f>IF(1052&gt;$B$4503,"",MATCH(1052-0.5,$B$3:$B$4503,1))</f>
        <v/>
      </c>
      <c r="D1055">
        <f>"State CSR ("&amp;IF(LEN(INDEX('Providers'!$E$4:$E$503,52))=0,"",INDEX('Providers'!$E$4:$E$503,52))&amp;") – "&amp;IF(LEN(INDEX('Providers'!$A$4:$A$503,52))=0,"",INDEX('Providers'!$A$4:$A$503,52))</f>
        <v/>
      </c>
      <c r="E1055">
        <f>IF(ISNUMBER(INDEX('Providers'!$K$4:$K$503,52)),TEXT(INDEX('Providers'!$K$4:$K$503,52),"yyyy-mm-dd"),"")</f>
        <v/>
      </c>
      <c r="F1055">
        <f>"Registration"</f>
        <v/>
      </c>
      <c r="G1055">
        <f>""</f>
        <v/>
      </c>
      <c r="H1055">
        <f>"High"</f>
        <v/>
      </c>
      <c r="I1055">
        <f>TRIM(IF(LEN(IF(LEN(INDEX('Providers'!$J$4:$J$503,52))=0,"",INDEX('Providers'!$J$4:$J$503,52)))=0,"","CSR no.: "&amp;IF(LEN(INDEX('Providers'!$J$4:$J$503,52))=0,"",INDEX('Providers'!$J$4:$J$503,52))&amp;". ")&amp;IF(LEN(IF(LEN(INDEX('Providers'!$C$4:$C$503,52))=0,"",INDEX('Providers'!$C$4:$C$503,52)))=0,"","NPI: "&amp;IF(LEN(INDEX('Providers'!$C$4:$C$503,52))=0,"",INDEX('Providers'!$C$4:$C$503,52))&amp;". "))</f>
        <v/>
      </c>
      <c r="J1055">
        <f>IF(LEN(INDEX('Providers'!$AJ$4:$AJ$503,52))=0,"",INDEX('Providers'!$AJ$4:$AJ$503,52))</f>
        <v/>
      </c>
      <c r="K1055">
        <f>IF(LEN(INDEX('Providers'!$AI$4:$AI$503,52))=0,"",INDEX('Providers'!$AI$4:$AI$503,52))</f>
        <v/>
      </c>
    </row>
    <row r="1056">
      <c r="A1056">
        <f>IF(AND(LEN('Providers'!A56)&gt;0,ISNUMBER('Providers'!K56)),1,0)</f>
        <v/>
      </c>
      <c r="B1056">
        <f>B1055+A1056</f>
        <v/>
      </c>
      <c r="C1056">
        <f>IF(1053&gt;$B$4503,"",MATCH(1053-0.5,$B$3:$B$4503,1))</f>
        <v/>
      </c>
      <c r="D1056">
        <f>"State CSR ("&amp;IF(LEN(INDEX('Providers'!$E$4:$E$503,53))=0,"",INDEX('Providers'!$E$4:$E$503,53))&amp;") – "&amp;IF(LEN(INDEX('Providers'!$A$4:$A$503,53))=0,"",INDEX('Providers'!$A$4:$A$503,53))</f>
        <v/>
      </c>
      <c r="E1056">
        <f>IF(ISNUMBER(INDEX('Providers'!$K$4:$K$503,53)),TEXT(INDEX('Providers'!$K$4:$K$503,53),"yyyy-mm-dd"),"")</f>
        <v/>
      </c>
      <c r="F1056">
        <f>"Registration"</f>
        <v/>
      </c>
      <c r="G1056">
        <f>""</f>
        <v/>
      </c>
      <c r="H1056">
        <f>"High"</f>
        <v/>
      </c>
      <c r="I1056">
        <f>TRIM(IF(LEN(IF(LEN(INDEX('Providers'!$J$4:$J$503,53))=0,"",INDEX('Providers'!$J$4:$J$503,53)))=0,"","CSR no.: "&amp;IF(LEN(INDEX('Providers'!$J$4:$J$503,53))=0,"",INDEX('Providers'!$J$4:$J$503,53))&amp;". ")&amp;IF(LEN(IF(LEN(INDEX('Providers'!$C$4:$C$503,53))=0,"",INDEX('Providers'!$C$4:$C$503,53)))=0,"","NPI: "&amp;IF(LEN(INDEX('Providers'!$C$4:$C$503,53))=0,"",INDEX('Providers'!$C$4:$C$503,53))&amp;". "))</f>
        <v/>
      </c>
      <c r="J1056">
        <f>IF(LEN(INDEX('Providers'!$AJ$4:$AJ$503,53))=0,"",INDEX('Providers'!$AJ$4:$AJ$503,53))</f>
        <v/>
      </c>
      <c r="K1056">
        <f>IF(LEN(INDEX('Providers'!$AI$4:$AI$503,53))=0,"",INDEX('Providers'!$AI$4:$AI$503,53))</f>
        <v/>
      </c>
    </row>
    <row r="1057">
      <c r="A1057">
        <f>IF(AND(LEN('Providers'!A57)&gt;0,ISNUMBER('Providers'!K57)),1,0)</f>
        <v/>
      </c>
      <c r="B1057">
        <f>B1056+A1057</f>
        <v/>
      </c>
      <c r="C1057">
        <f>IF(1054&gt;$B$4503,"",MATCH(1054-0.5,$B$3:$B$4503,1))</f>
        <v/>
      </c>
      <c r="D1057">
        <f>"State CSR ("&amp;IF(LEN(INDEX('Providers'!$E$4:$E$503,54))=0,"",INDEX('Providers'!$E$4:$E$503,54))&amp;") – "&amp;IF(LEN(INDEX('Providers'!$A$4:$A$503,54))=0,"",INDEX('Providers'!$A$4:$A$503,54))</f>
        <v/>
      </c>
      <c r="E1057">
        <f>IF(ISNUMBER(INDEX('Providers'!$K$4:$K$503,54)),TEXT(INDEX('Providers'!$K$4:$K$503,54),"yyyy-mm-dd"),"")</f>
        <v/>
      </c>
      <c r="F1057">
        <f>"Registration"</f>
        <v/>
      </c>
      <c r="G1057">
        <f>""</f>
        <v/>
      </c>
      <c r="H1057">
        <f>"High"</f>
        <v/>
      </c>
      <c r="I1057">
        <f>TRIM(IF(LEN(IF(LEN(INDEX('Providers'!$J$4:$J$503,54))=0,"",INDEX('Providers'!$J$4:$J$503,54)))=0,"","CSR no.: "&amp;IF(LEN(INDEX('Providers'!$J$4:$J$503,54))=0,"",INDEX('Providers'!$J$4:$J$503,54))&amp;". ")&amp;IF(LEN(IF(LEN(INDEX('Providers'!$C$4:$C$503,54))=0,"",INDEX('Providers'!$C$4:$C$503,54)))=0,"","NPI: "&amp;IF(LEN(INDEX('Providers'!$C$4:$C$503,54))=0,"",INDEX('Providers'!$C$4:$C$503,54))&amp;". "))</f>
        <v/>
      </c>
      <c r="J1057">
        <f>IF(LEN(INDEX('Providers'!$AJ$4:$AJ$503,54))=0,"",INDEX('Providers'!$AJ$4:$AJ$503,54))</f>
        <v/>
      </c>
      <c r="K1057">
        <f>IF(LEN(INDEX('Providers'!$AI$4:$AI$503,54))=0,"",INDEX('Providers'!$AI$4:$AI$503,54))</f>
        <v/>
      </c>
    </row>
    <row r="1058">
      <c r="A1058">
        <f>IF(AND(LEN('Providers'!A58)&gt;0,ISNUMBER('Providers'!K58)),1,0)</f>
        <v/>
      </c>
      <c r="B1058">
        <f>B1057+A1058</f>
        <v/>
      </c>
      <c r="C1058">
        <f>IF(1055&gt;$B$4503,"",MATCH(1055-0.5,$B$3:$B$4503,1))</f>
        <v/>
      </c>
      <c r="D1058">
        <f>"State CSR ("&amp;IF(LEN(INDEX('Providers'!$E$4:$E$503,55))=0,"",INDEX('Providers'!$E$4:$E$503,55))&amp;") – "&amp;IF(LEN(INDEX('Providers'!$A$4:$A$503,55))=0,"",INDEX('Providers'!$A$4:$A$503,55))</f>
        <v/>
      </c>
      <c r="E1058">
        <f>IF(ISNUMBER(INDEX('Providers'!$K$4:$K$503,55)),TEXT(INDEX('Providers'!$K$4:$K$503,55),"yyyy-mm-dd"),"")</f>
        <v/>
      </c>
      <c r="F1058">
        <f>"Registration"</f>
        <v/>
      </c>
      <c r="G1058">
        <f>""</f>
        <v/>
      </c>
      <c r="H1058">
        <f>"High"</f>
        <v/>
      </c>
      <c r="I1058">
        <f>TRIM(IF(LEN(IF(LEN(INDEX('Providers'!$J$4:$J$503,55))=0,"",INDEX('Providers'!$J$4:$J$503,55)))=0,"","CSR no.: "&amp;IF(LEN(INDEX('Providers'!$J$4:$J$503,55))=0,"",INDEX('Providers'!$J$4:$J$503,55))&amp;". ")&amp;IF(LEN(IF(LEN(INDEX('Providers'!$C$4:$C$503,55))=0,"",INDEX('Providers'!$C$4:$C$503,55)))=0,"","NPI: "&amp;IF(LEN(INDEX('Providers'!$C$4:$C$503,55))=0,"",INDEX('Providers'!$C$4:$C$503,55))&amp;". "))</f>
        <v/>
      </c>
      <c r="J1058">
        <f>IF(LEN(INDEX('Providers'!$AJ$4:$AJ$503,55))=0,"",INDEX('Providers'!$AJ$4:$AJ$503,55))</f>
        <v/>
      </c>
      <c r="K1058">
        <f>IF(LEN(INDEX('Providers'!$AI$4:$AI$503,55))=0,"",INDEX('Providers'!$AI$4:$AI$503,55))</f>
        <v/>
      </c>
    </row>
    <row r="1059">
      <c r="A1059">
        <f>IF(AND(LEN('Providers'!A59)&gt;0,ISNUMBER('Providers'!K59)),1,0)</f>
        <v/>
      </c>
      <c r="B1059">
        <f>B1058+A1059</f>
        <v/>
      </c>
      <c r="C1059">
        <f>IF(1056&gt;$B$4503,"",MATCH(1056-0.5,$B$3:$B$4503,1))</f>
        <v/>
      </c>
      <c r="D1059">
        <f>"State CSR ("&amp;IF(LEN(INDEX('Providers'!$E$4:$E$503,56))=0,"",INDEX('Providers'!$E$4:$E$503,56))&amp;") – "&amp;IF(LEN(INDEX('Providers'!$A$4:$A$503,56))=0,"",INDEX('Providers'!$A$4:$A$503,56))</f>
        <v/>
      </c>
      <c r="E1059">
        <f>IF(ISNUMBER(INDEX('Providers'!$K$4:$K$503,56)),TEXT(INDEX('Providers'!$K$4:$K$503,56),"yyyy-mm-dd"),"")</f>
        <v/>
      </c>
      <c r="F1059">
        <f>"Registration"</f>
        <v/>
      </c>
      <c r="G1059">
        <f>""</f>
        <v/>
      </c>
      <c r="H1059">
        <f>"High"</f>
        <v/>
      </c>
      <c r="I1059">
        <f>TRIM(IF(LEN(IF(LEN(INDEX('Providers'!$J$4:$J$503,56))=0,"",INDEX('Providers'!$J$4:$J$503,56)))=0,"","CSR no.: "&amp;IF(LEN(INDEX('Providers'!$J$4:$J$503,56))=0,"",INDEX('Providers'!$J$4:$J$503,56))&amp;". ")&amp;IF(LEN(IF(LEN(INDEX('Providers'!$C$4:$C$503,56))=0,"",INDEX('Providers'!$C$4:$C$503,56)))=0,"","NPI: "&amp;IF(LEN(INDEX('Providers'!$C$4:$C$503,56))=0,"",INDEX('Providers'!$C$4:$C$503,56))&amp;". "))</f>
        <v/>
      </c>
      <c r="J1059">
        <f>IF(LEN(INDEX('Providers'!$AJ$4:$AJ$503,56))=0,"",INDEX('Providers'!$AJ$4:$AJ$503,56))</f>
        <v/>
      </c>
      <c r="K1059">
        <f>IF(LEN(INDEX('Providers'!$AI$4:$AI$503,56))=0,"",INDEX('Providers'!$AI$4:$AI$503,56))</f>
        <v/>
      </c>
    </row>
    <row r="1060">
      <c r="A1060">
        <f>IF(AND(LEN('Providers'!A60)&gt;0,ISNUMBER('Providers'!K60)),1,0)</f>
        <v/>
      </c>
      <c r="B1060">
        <f>B1059+A1060</f>
        <v/>
      </c>
      <c r="C1060">
        <f>IF(1057&gt;$B$4503,"",MATCH(1057-0.5,$B$3:$B$4503,1))</f>
        <v/>
      </c>
      <c r="D1060">
        <f>"State CSR ("&amp;IF(LEN(INDEX('Providers'!$E$4:$E$503,57))=0,"",INDEX('Providers'!$E$4:$E$503,57))&amp;") – "&amp;IF(LEN(INDEX('Providers'!$A$4:$A$503,57))=0,"",INDEX('Providers'!$A$4:$A$503,57))</f>
        <v/>
      </c>
      <c r="E1060">
        <f>IF(ISNUMBER(INDEX('Providers'!$K$4:$K$503,57)),TEXT(INDEX('Providers'!$K$4:$K$503,57),"yyyy-mm-dd"),"")</f>
        <v/>
      </c>
      <c r="F1060">
        <f>"Registration"</f>
        <v/>
      </c>
      <c r="G1060">
        <f>""</f>
        <v/>
      </c>
      <c r="H1060">
        <f>"High"</f>
        <v/>
      </c>
      <c r="I1060">
        <f>TRIM(IF(LEN(IF(LEN(INDEX('Providers'!$J$4:$J$503,57))=0,"",INDEX('Providers'!$J$4:$J$503,57)))=0,"","CSR no.: "&amp;IF(LEN(INDEX('Providers'!$J$4:$J$503,57))=0,"",INDEX('Providers'!$J$4:$J$503,57))&amp;". ")&amp;IF(LEN(IF(LEN(INDEX('Providers'!$C$4:$C$503,57))=0,"",INDEX('Providers'!$C$4:$C$503,57)))=0,"","NPI: "&amp;IF(LEN(INDEX('Providers'!$C$4:$C$503,57))=0,"",INDEX('Providers'!$C$4:$C$503,57))&amp;". "))</f>
        <v/>
      </c>
      <c r="J1060">
        <f>IF(LEN(INDEX('Providers'!$AJ$4:$AJ$503,57))=0,"",INDEX('Providers'!$AJ$4:$AJ$503,57))</f>
        <v/>
      </c>
      <c r="K1060">
        <f>IF(LEN(INDEX('Providers'!$AI$4:$AI$503,57))=0,"",INDEX('Providers'!$AI$4:$AI$503,57))</f>
        <v/>
      </c>
    </row>
    <row r="1061">
      <c r="A1061">
        <f>IF(AND(LEN('Providers'!A61)&gt;0,ISNUMBER('Providers'!K61)),1,0)</f>
        <v/>
      </c>
      <c r="B1061">
        <f>B1060+A1061</f>
        <v/>
      </c>
      <c r="C1061">
        <f>IF(1058&gt;$B$4503,"",MATCH(1058-0.5,$B$3:$B$4503,1))</f>
        <v/>
      </c>
      <c r="D1061">
        <f>"State CSR ("&amp;IF(LEN(INDEX('Providers'!$E$4:$E$503,58))=0,"",INDEX('Providers'!$E$4:$E$503,58))&amp;") – "&amp;IF(LEN(INDEX('Providers'!$A$4:$A$503,58))=0,"",INDEX('Providers'!$A$4:$A$503,58))</f>
        <v/>
      </c>
      <c r="E1061">
        <f>IF(ISNUMBER(INDEX('Providers'!$K$4:$K$503,58)),TEXT(INDEX('Providers'!$K$4:$K$503,58),"yyyy-mm-dd"),"")</f>
        <v/>
      </c>
      <c r="F1061">
        <f>"Registration"</f>
        <v/>
      </c>
      <c r="G1061">
        <f>""</f>
        <v/>
      </c>
      <c r="H1061">
        <f>"High"</f>
        <v/>
      </c>
      <c r="I1061">
        <f>TRIM(IF(LEN(IF(LEN(INDEX('Providers'!$J$4:$J$503,58))=0,"",INDEX('Providers'!$J$4:$J$503,58)))=0,"","CSR no.: "&amp;IF(LEN(INDEX('Providers'!$J$4:$J$503,58))=0,"",INDEX('Providers'!$J$4:$J$503,58))&amp;". ")&amp;IF(LEN(IF(LEN(INDEX('Providers'!$C$4:$C$503,58))=0,"",INDEX('Providers'!$C$4:$C$503,58)))=0,"","NPI: "&amp;IF(LEN(INDEX('Providers'!$C$4:$C$503,58))=0,"",INDEX('Providers'!$C$4:$C$503,58))&amp;". "))</f>
        <v/>
      </c>
      <c r="J1061">
        <f>IF(LEN(INDEX('Providers'!$AJ$4:$AJ$503,58))=0,"",INDEX('Providers'!$AJ$4:$AJ$503,58))</f>
        <v/>
      </c>
      <c r="K1061">
        <f>IF(LEN(INDEX('Providers'!$AI$4:$AI$503,58))=0,"",INDEX('Providers'!$AI$4:$AI$503,58))</f>
        <v/>
      </c>
    </row>
    <row r="1062">
      <c r="A1062">
        <f>IF(AND(LEN('Providers'!A62)&gt;0,ISNUMBER('Providers'!K62)),1,0)</f>
        <v/>
      </c>
      <c r="B1062">
        <f>B1061+A1062</f>
        <v/>
      </c>
      <c r="C1062">
        <f>IF(1059&gt;$B$4503,"",MATCH(1059-0.5,$B$3:$B$4503,1))</f>
        <v/>
      </c>
      <c r="D1062">
        <f>"State CSR ("&amp;IF(LEN(INDEX('Providers'!$E$4:$E$503,59))=0,"",INDEX('Providers'!$E$4:$E$503,59))&amp;") – "&amp;IF(LEN(INDEX('Providers'!$A$4:$A$503,59))=0,"",INDEX('Providers'!$A$4:$A$503,59))</f>
        <v/>
      </c>
      <c r="E1062">
        <f>IF(ISNUMBER(INDEX('Providers'!$K$4:$K$503,59)),TEXT(INDEX('Providers'!$K$4:$K$503,59),"yyyy-mm-dd"),"")</f>
        <v/>
      </c>
      <c r="F1062">
        <f>"Registration"</f>
        <v/>
      </c>
      <c r="G1062">
        <f>""</f>
        <v/>
      </c>
      <c r="H1062">
        <f>"High"</f>
        <v/>
      </c>
      <c r="I1062">
        <f>TRIM(IF(LEN(IF(LEN(INDEX('Providers'!$J$4:$J$503,59))=0,"",INDEX('Providers'!$J$4:$J$503,59)))=0,"","CSR no.: "&amp;IF(LEN(INDEX('Providers'!$J$4:$J$503,59))=0,"",INDEX('Providers'!$J$4:$J$503,59))&amp;". ")&amp;IF(LEN(IF(LEN(INDEX('Providers'!$C$4:$C$503,59))=0,"",INDEX('Providers'!$C$4:$C$503,59)))=0,"","NPI: "&amp;IF(LEN(INDEX('Providers'!$C$4:$C$503,59))=0,"",INDEX('Providers'!$C$4:$C$503,59))&amp;". "))</f>
        <v/>
      </c>
      <c r="J1062">
        <f>IF(LEN(INDEX('Providers'!$AJ$4:$AJ$503,59))=0,"",INDEX('Providers'!$AJ$4:$AJ$503,59))</f>
        <v/>
      </c>
      <c r="K1062">
        <f>IF(LEN(INDEX('Providers'!$AI$4:$AI$503,59))=0,"",INDEX('Providers'!$AI$4:$AI$503,59))</f>
        <v/>
      </c>
    </row>
    <row r="1063">
      <c r="A1063">
        <f>IF(AND(LEN('Providers'!A63)&gt;0,ISNUMBER('Providers'!K63)),1,0)</f>
        <v/>
      </c>
      <c r="B1063">
        <f>B1062+A1063</f>
        <v/>
      </c>
      <c r="C1063">
        <f>IF(1060&gt;$B$4503,"",MATCH(1060-0.5,$B$3:$B$4503,1))</f>
        <v/>
      </c>
      <c r="D1063">
        <f>"State CSR ("&amp;IF(LEN(INDEX('Providers'!$E$4:$E$503,60))=0,"",INDEX('Providers'!$E$4:$E$503,60))&amp;") – "&amp;IF(LEN(INDEX('Providers'!$A$4:$A$503,60))=0,"",INDEX('Providers'!$A$4:$A$503,60))</f>
        <v/>
      </c>
      <c r="E1063">
        <f>IF(ISNUMBER(INDEX('Providers'!$K$4:$K$503,60)),TEXT(INDEX('Providers'!$K$4:$K$503,60),"yyyy-mm-dd"),"")</f>
        <v/>
      </c>
      <c r="F1063">
        <f>"Registration"</f>
        <v/>
      </c>
      <c r="G1063">
        <f>""</f>
        <v/>
      </c>
      <c r="H1063">
        <f>"High"</f>
        <v/>
      </c>
      <c r="I1063">
        <f>TRIM(IF(LEN(IF(LEN(INDEX('Providers'!$J$4:$J$503,60))=0,"",INDEX('Providers'!$J$4:$J$503,60)))=0,"","CSR no.: "&amp;IF(LEN(INDEX('Providers'!$J$4:$J$503,60))=0,"",INDEX('Providers'!$J$4:$J$503,60))&amp;". ")&amp;IF(LEN(IF(LEN(INDEX('Providers'!$C$4:$C$503,60))=0,"",INDEX('Providers'!$C$4:$C$503,60)))=0,"","NPI: "&amp;IF(LEN(INDEX('Providers'!$C$4:$C$503,60))=0,"",INDEX('Providers'!$C$4:$C$503,60))&amp;". "))</f>
        <v/>
      </c>
      <c r="J1063">
        <f>IF(LEN(INDEX('Providers'!$AJ$4:$AJ$503,60))=0,"",INDEX('Providers'!$AJ$4:$AJ$503,60))</f>
        <v/>
      </c>
      <c r="K1063">
        <f>IF(LEN(INDEX('Providers'!$AI$4:$AI$503,60))=0,"",INDEX('Providers'!$AI$4:$AI$503,60))</f>
        <v/>
      </c>
    </row>
    <row r="1064">
      <c r="A1064">
        <f>IF(AND(LEN('Providers'!A64)&gt;0,ISNUMBER('Providers'!K64)),1,0)</f>
        <v/>
      </c>
      <c r="B1064">
        <f>B1063+A1064</f>
        <v/>
      </c>
      <c r="C1064">
        <f>IF(1061&gt;$B$4503,"",MATCH(1061-0.5,$B$3:$B$4503,1))</f>
        <v/>
      </c>
      <c r="D1064">
        <f>"State CSR ("&amp;IF(LEN(INDEX('Providers'!$E$4:$E$503,61))=0,"",INDEX('Providers'!$E$4:$E$503,61))&amp;") – "&amp;IF(LEN(INDEX('Providers'!$A$4:$A$503,61))=0,"",INDEX('Providers'!$A$4:$A$503,61))</f>
        <v/>
      </c>
      <c r="E1064">
        <f>IF(ISNUMBER(INDEX('Providers'!$K$4:$K$503,61)),TEXT(INDEX('Providers'!$K$4:$K$503,61),"yyyy-mm-dd"),"")</f>
        <v/>
      </c>
      <c r="F1064">
        <f>"Registration"</f>
        <v/>
      </c>
      <c r="G1064">
        <f>""</f>
        <v/>
      </c>
      <c r="H1064">
        <f>"High"</f>
        <v/>
      </c>
      <c r="I1064">
        <f>TRIM(IF(LEN(IF(LEN(INDEX('Providers'!$J$4:$J$503,61))=0,"",INDEX('Providers'!$J$4:$J$503,61)))=0,"","CSR no.: "&amp;IF(LEN(INDEX('Providers'!$J$4:$J$503,61))=0,"",INDEX('Providers'!$J$4:$J$503,61))&amp;". ")&amp;IF(LEN(IF(LEN(INDEX('Providers'!$C$4:$C$503,61))=0,"",INDEX('Providers'!$C$4:$C$503,61)))=0,"","NPI: "&amp;IF(LEN(INDEX('Providers'!$C$4:$C$503,61))=0,"",INDEX('Providers'!$C$4:$C$503,61))&amp;". "))</f>
        <v/>
      </c>
      <c r="J1064">
        <f>IF(LEN(INDEX('Providers'!$AJ$4:$AJ$503,61))=0,"",INDEX('Providers'!$AJ$4:$AJ$503,61))</f>
        <v/>
      </c>
      <c r="K1064">
        <f>IF(LEN(INDEX('Providers'!$AI$4:$AI$503,61))=0,"",INDEX('Providers'!$AI$4:$AI$503,61))</f>
        <v/>
      </c>
    </row>
    <row r="1065">
      <c r="A1065">
        <f>IF(AND(LEN('Providers'!A65)&gt;0,ISNUMBER('Providers'!K65)),1,0)</f>
        <v/>
      </c>
      <c r="B1065">
        <f>B1064+A1065</f>
        <v/>
      </c>
      <c r="C1065">
        <f>IF(1062&gt;$B$4503,"",MATCH(1062-0.5,$B$3:$B$4503,1))</f>
        <v/>
      </c>
      <c r="D1065">
        <f>"State CSR ("&amp;IF(LEN(INDEX('Providers'!$E$4:$E$503,62))=0,"",INDEX('Providers'!$E$4:$E$503,62))&amp;") – "&amp;IF(LEN(INDEX('Providers'!$A$4:$A$503,62))=0,"",INDEX('Providers'!$A$4:$A$503,62))</f>
        <v/>
      </c>
      <c r="E1065">
        <f>IF(ISNUMBER(INDEX('Providers'!$K$4:$K$503,62)),TEXT(INDEX('Providers'!$K$4:$K$503,62),"yyyy-mm-dd"),"")</f>
        <v/>
      </c>
      <c r="F1065">
        <f>"Registration"</f>
        <v/>
      </c>
      <c r="G1065">
        <f>""</f>
        <v/>
      </c>
      <c r="H1065">
        <f>"High"</f>
        <v/>
      </c>
      <c r="I1065">
        <f>TRIM(IF(LEN(IF(LEN(INDEX('Providers'!$J$4:$J$503,62))=0,"",INDEX('Providers'!$J$4:$J$503,62)))=0,"","CSR no.: "&amp;IF(LEN(INDEX('Providers'!$J$4:$J$503,62))=0,"",INDEX('Providers'!$J$4:$J$503,62))&amp;". ")&amp;IF(LEN(IF(LEN(INDEX('Providers'!$C$4:$C$503,62))=0,"",INDEX('Providers'!$C$4:$C$503,62)))=0,"","NPI: "&amp;IF(LEN(INDEX('Providers'!$C$4:$C$503,62))=0,"",INDEX('Providers'!$C$4:$C$503,62))&amp;". "))</f>
        <v/>
      </c>
      <c r="J1065">
        <f>IF(LEN(INDEX('Providers'!$AJ$4:$AJ$503,62))=0,"",INDEX('Providers'!$AJ$4:$AJ$503,62))</f>
        <v/>
      </c>
      <c r="K1065">
        <f>IF(LEN(INDEX('Providers'!$AI$4:$AI$503,62))=0,"",INDEX('Providers'!$AI$4:$AI$503,62))</f>
        <v/>
      </c>
    </row>
    <row r="1066">
      <c r="A1066">
        <f>IF(AND(LEN('Providers'!A66)&gt;0,ISNUMBER('Providers'!K66)),1,0)</f>
        <v/>
      </c>
      <c r="B1066">
        <f>B1065+A1066</f>
        <v/>
      </c>
      <c r="C1066">
        <f>IF(1063&gt;$B$4503,"",MATCH(1063-0.5,$B$3:$B$4503,1))</f>
        <v/>
      </c>
      <c r="D1066">
        <f>"State CSR ("&amp;IF(LEN(INDEX('Providers'!$E$4:$E$503,63))=0,"",INDEX('Providers'!$E$4:$E$503,63))&amp;") – "&amp;IF(LEN(INDEX('Providers'!$A$4:$A$503,63))=0,"",INDEX('Providers'!$A$4:$A$503,63))</f>
        <v/>
      </c>
      <c r="E1066">
        <f>IF(ISNUMBER(INDEX('Providers'!$K$4:$K$503,63)),TEXT(INDEX('Providers'!$K$4:$K$503,63),"yyyy-mm-dd"),"")</f>
        <v/>
      </c>
      <c r="F1066">
        <f>"Registration"</f>
        <v/>
      </c>
      <c r="G1066">
        <f>""</f>
        <v/>
      </c>
      <c r="H1066">
        <f>"High"</f>
        <v/>
      </c>
      <c r="I1066">
        <f>TRIM(IF(LEN(IF(LEN(INDEX('Providers'!$J$4:$J$503,63))=0,"",INDEX('Providers'!$J$4:$J$503,63)))=0,"","CSR no.: "&amp;IF(LEN(INDEX('Providers'!$J$4:$J$503,63))=0,"",INDEX('Providers'!$J$4:$J$503,63))&amp;". ")&amp;IF(LEN(IF(LEN(INDEX('Providers'!$C$4:$C$503,63))=0,"",INDEX('Providers'!$C$4:$C$503,63)))=0,"","NPI: "&amp;IF(LEN(INDEX('Providers'!$C$4:$C$503,63))=0,"",INDEX('Providers'!$C$4:$C$503,63))&amp;". "))</f>
        <v/>
      </c>
      <c r="J1066">
        <f>IF(LEN(INDEX('Providers'!$AJ$4:$AJ$503,63))=0,"",INDEX('Providers'!$AJ$4:$AJ$503,63))</f>
        <v/>
      </c>
      <c r="K1066">
        <f>IF(LEN(INDEX('Providers'!$AI$4:$AI$503,63))=0,"",INDEX('Providers'!$AI$4:$AI$503,63))</f>
        <v/>
      </c>
    </row>
    <row r="1067">
      <c r="A1067">
        <f>IF(AND(LEN('Providers'!A67)&gt;0,ISNUMBER('Providers'!K67)),1,0)</f>
        <v/>
      </c>
      <c r="B1067">
        <f>B1066+A1067</f>
        <v/>
      </c>
      <c r="C1067">
        <f>IF(1064&gt;$B$4503,"",MATCH(1064-0.5,$B$3:$B$4503,1))</f>
        <v/>
      </c>
      <c r="D1067">
        <f>"State CSR ("&amp;IF(LEN(INDEX('Providers'!$E$4:$E$503,64))=0,"",INDEX('Providers'!$E$4:$E$503,64))&amp;") – "&amp;IF(LEN(INDEX('Providers'!$A$4:$A$503,64))=0,"",INDEX('Providers'!$A$4:$A$503,64))</f>
        <v/>
      </c>
      <c r="E1067">
        <f>IF(ISNUMBER(INDEX('Providers'!$K$4:$K$503,64)),TEXT(INDEX('Providers'!$K$4:$K$503,64),"yyyy-mm-dd"),"")</f>
        <v/>
      </c>
      <c r="F1067">
        <f>"Registration"</f>
        <v/>
      </c>
      <c r="G1067">
        <f>""</f>
        <v/>
      </c>
      <c r="H1067">
        <f>"High"</f>
        <v/>
      </c>
      <c r="I1067">
        <f>TRIM(IF(LEN(IF(LEN(INDEX('Providers'!$J$4:$J$503,64))=0,"",INDEX('Providers'!$J$4:$J$503,64)))=0,"","CSR no.: "&amp;IF(LEN(INDEX('Providers'!$J$4:$J$503,64))=0,"",INDEX('Providers'!$J$4:$J$503,64))&amp;". ")&amp;IF(LEN(IF(LEN(INDEX('Providers'!$C$4:$C$503,64))=0,"",INDEX('Providers'!$C$4:$C$503,64)))=0,"","NPI: "&amp;IF(LEN(INDEX('Providers'!$C$4:$C$503,64))=0,"",INDEX('Providers'!$C$4:$C$503,64))&amp;". "))</f>
        <v/>
      </c>
      <c r="J1067">
        <f>IF(LEN(INDEX('Providers'!$AJ$4:$AJ$503,64))=0,"",INDEX('Providers'!$AJ$4:$AJ$503,64))</f>
        <v/>
      </c>
      <c r="K1067">
        <f>IF(LEN(INDEX('Providers'!$AI$4:$AI$503,64))=0,"",INDEX('Providers'!$AI$4:$AI$503,64))</f>
        <v/>
      </c>
    </row>
    <row r="1068">
      <c r="A1068">
        <f>IF(AND(LEN('Providers'!A68)&gt;0,ISNUMBER('Providers'!K68)),1,0)</f>
        <v/>
      </c>
      <c r="B1068">
        <f>B1067+A1068</f>
        <v/>
      </c>
      <c r="C1068">
        <f>IF(1065&gt;$B$4503,"",MATCH(1065-0.5,$B$3:$B$4503,1))</f>
        <v/>
      </c>
      <c r="D1068">
        <f>"State CSR ("&amp;IF(LEN(INDEX('Providers'!$E$4:$E$503,65))=0,"",INDEX('Providers'!$E$4:$E$503,65))&amp;") – "&amp;IF(LEN(INDEX('Providers'!$A$4:$A$503,65))=0,"",INDEX('Providers'!$A$4:$A$503,65))</f>
        <v/>
      </c>
      <c r="E1068">
        <f>IF(ISNUMBER(INDEX('Providers'!$K$4:$K$503,65)),TEXT(INDEX('Providers'!$K$4:$K$503,65),"yyyy-mm-dd"),"")</f>
        <v/>
      </c>
      <c r="F1068">
        <f>"Registration"</f>
        <v/>
      </c>
      <c r="G1068">
        <f>""</f>
        <v/>
      </c>
      <c r="H1068">
        <f>"High"</f>
        <v/>
      </c>
      <c r="I1068">
        <f>TRIM(IF(LEN(IF(LEN(INDEX('Providers'!$J$4:$J$503,65))=0,"",INDEX('Providers'!$J$4:$J$503,65)))=0,"","CSR no.: "&amp;IF(LEN(INDEX('Providers'!$J$4:$J$503,65))=0,"",INDEX('Providers'!$J$4:$J$503,65))&amp;". ")&amp;IF(LEN(IF(LEN(INDEX('Providers'!$C$4:$C$503,65))=0,"",INDEX('Providers'!$C$4:$C$503,65)))=0,"","NPI: "&amp;IF(LEN(INDEX('Providers'!$C$4:$C$503,65))=0,"",INDEX('Providers'!$C$4:$C$503,65))&amp;". "))</f>
        <v/>
      </c>
      <c r="J1068">
        <f>IF(LEN(INDEX('Providers'!$AJ$4:$AJ$503,65))=0,"",INDEX('Providers'!$AJ$4:$AJ$503,65))</f>
        <v/>
      </c>
      <c r="K1068">
        <f>IF(LEN(INDEX('Providers'!$AI$4:$AI$503,65))=0,"",INDEX('Providers'!$AI$4:$AI$503,65))</f>
        <v/>
      </c>
    </row>
    <row r="1069">
      <c r="A1069">
        <f>IF(AND(LEN('Providers'!A69)&gt;0,ISNUMBER('Providers'!K69)),1,0)</f>
        <v/>
      </c>
      <c r="B1069">
        <f>B1068+A1069</f>
        <v/>
      </c>
      <c r="C1069">
        <f>IF(1066&gt;$B$4503,"",MATCH(1066-0.5,$B$3:$B$4503,1))</f>
        <v/>
      </c>
      <c r="D1069">
        <f>"State CSR ("&amp;IF(LEN(INDEX('Providers'!$E$4:$E$503,66))=0,"",INDEX('Providers'!$E$4:$E$503,66))&amp;") – "&amp;IF(LEN(INDEX('Providers'!$A$4:$A$503,66))=0,"",INDEX('Providers'!$A$4:$A$503,66))</f>
        <v/>
      </c>
      <c r="E1069">
        <f>IF(ISNUMBER(INDEX('Providers'!$K$4:$K$503,66)),TEXT(INDEX('Providers'!$K$4:$K$503,66),"yyyy-mm-dd"),"")</f>
        <v/>
      </c>
      <c r="F1069">
        <f>"Registration"</f>
        <v/>
      </c>
      <c r="G1069">
        <f>""</f>
        <v/>
      </c>
      <c r="H1069">
        <f>"High"</f>
        <v/>
      </c>
      <c r="I1069">
        <f>TRIM(IF(LEN(IF(LEN(INDEX('Providers'!$J$4:$J$503,66))=0,"",INDEX('Providers'!$J$4:$J$503,66)))=0,"","CSR no.: "&amp;IF(LEN(INDEX('Providers'!$J$4:$J$503,66))=0,"",INDEX('Providers'!$J$4:$J$503,66))&amp;". ")&amp;IF(LEN(IF(LEN(INDEX('Providers'!$C$4:$C$503,66))=0,"",INDEX('Providers'!$C$4:$C$503,66)))=0,"","NPI: "&amp;IF(LEN(INDEX('Providers'!$C$4:$C$503,66))=0,"",INDEX('Providers'!$C$4:$C$503,66))&amp;". "))</f>
        <v/>
      </c>
      <c r="J1069">
        <f>IF(LEN(INDEX('Providers'!$AJ$4:$AJ$503,66))=0,"",INDEX('Providers'!$AJ$4:$AJ$503,66))</f>
        <v/>
      </c>
      <c r="K1069">
        <f>IF(LEN(INDEX('Providers'!$AI$4:$AI$503,66))=0,"",INDEX('Providers'!$AI$4:$AI$503,66))</f>
        <v/>
      </c>
    </row>
    <row r="1070">
      <c r="A1070">
        <f>IF(AND(LEN('Providers'!A70)&gt;0,ISNUMBER('Providers'!K70)),1,0)</f>
        <v/>
      </c>
      <c r="B1070">
        <f>B1069+A1070</f>
        <v/>
      </c>
      <c r="C1070">
        <f>IF(1067&gt;$B$4503,"",MATCH(1067-0.5,$B$3:$B$4503,1))</f>
        <v/>
      </c>
      <c r="D1070">
        <f>"State CSR ("&amp;IF(LEN(INDEX('Providers'!$E$4:$E$503,67))=0,"",INDEX('Providers'!$E$4:$E$503,67))&amp;") – "&amp;IF(LEN(INDEX('Providers'!$A$4:$A$503,67))=0,"",INDEX('Providers'!$A$4:$A$503,67))</f>
        <v/>
      </c>
      <c r="E1070">
        <f>IF(ISNUMBER(INDEX('Providers'!$K$4:$K$503,67)),TEXT(INDEX('Providers'!$K$4:$K$503,67),"yyyy-mm-dd"),"")</f>
        <v/>
      </c>
      <c r="F1070">
        <f>"Registration"</f>
        <v/>
      </c>
      <c r="G1070">
        <f>""</f>
        <v/>
      </c>
      <c r="H1070">
        <f>"High"</f>
        <v/>
      </c>
      <c r="I1070">
        <f>TRIM(IF(LEN(IF(LEN(INDEX('Providers'!$J$4:$J$503,67))=0,"",INDEX('Providers'!$J$4:$J$503,67)))=0,"","CSR no.: "&amp;IF(LEN(INDEX('Providers'!$J$4:$J$503,67))=0,"",INDEX('Providers'!$J$4:$J$503,67))&amp;". ")&amp;IF(LEN(IF(LEN(INDEX('Providers'!$C$4:$C$503,67))=0,"",INDEX('Providers'!$C$4:$C$503,67)))=0,"","NPI: "&amp;IF(LEN(INDEX('Providers'!$C$4:$C$503,67))=0,"",INDEX('Providers'!$C$4:$C$503,67))&amp;". "))</f>
        <v/>
      </c>
      <c r="J1070">
        <f>IF(LEN(INDEX('Providers'!$AJ$4:$AJ$503,67))=0,"",INDEX('Providers'!$AJ$4:$AJ$503,67))</f>
        <v/>
      </c>
      <c r="K1070">
        <f>IF(LEN(INDEX('Providers'!$AI$4:$AI$503,67))=0,"",INDEX('Providers'!$AI$4:$AI$503,67))</f>
        <v/>
      </c>
    </row>
    <row r="1071">
      <c r="A1071">
        <f>IF(AND(LEN('Providers'!A71)&gt;0,ISNUMBER('Providers'!K71)),1,0)</f>
        <v/>
      </c>
      <c r="B1071">
        <f>B1070+A1071</f>
        <v/>
      </c>
      <c r="C1071">
        <f>IF(1068&gt;$B$4503,"",MATCH(1068-0.5,$B$3:$B$4503,1))</f>
        <v/>
      </c>
      <c r="D1071">
        <f>"State CSR ("&amp;IF(LEN(INDEX('Providers'!$E$4:$E$503,68))=0,"",INDEX('Providers'!$E$4:$E$503,68))&amp;") – "&amp;IF(LEN(INDEX('Providers'!$A$4:$A$503,68))=0,"",INDEX('Providers'!$A$4:$A$503,68))</f>
        <v/>
      </c>
      <c r="E1071">
        <f>IF(ISNUMBER(INDEX('Providers'!$K$4:$K$503,68)),TEXT(INDEX('Providers'!$K$4:$K$503,68),"yyyy-mm-dd"),"")</f>
        <v/>
      </c>
      <c r="F1071">
        <f>"Registration"</f>
        <v/>
      </c>
      <c r="G1071">
        <f>""</f>
        <v/>
      </c>
      <c r="H1071">
        <f>"High"</f>
        <v/>
      </c>
      <c r="I1071">
        <f>TRIM(IF(LEN(IF(LEN(INDEX('Providers'!$J$4:$J$503,68))=0,"",INDEX('Providers'!$J$4:$J$503,68)))=0,"","CSR no.: "&amp;IF(LEN(INDEX('Providers'!$J$4:$J$503,68))=0,"",INDEX('Providers'!$J$4:$J$503,68))&amp;". ")&amp;IF(LEN(IF(LEN(INDEX('Providers'!$C$4:$C$503,68))=0,"",INDEX('Providers'!$C$4:$C$503,68)))=0,"","NPI: "&amp;IF(LEN(INDEX('Providers'!$C$4:$C$503,68))=0,"",INDEX('Providers'!$C$4:$C$503,68))&amp;". "))</f>
        <v/>
      </c>
      <c r="J1071">
        <f>IF(LEN(INDEX('Providers'!$AJ$4:$AJ$503,68))=0,"",INDEX('Providers'!$AJ$4:$AJ$503,68))</f>
        <v/>
      </c>
      <c r="K1071">
        <f>IF(LEN(INDEX('Providers'!$AI$4:$AI$503,68))=0,"",INDEX('Providers'!$AI$4:$AI$503,68))</f>
        <v/>
      </c>
    </row>
    <row r="1072">
      <c r="A1072">
        <f>IF(AND(LEN('Providers'!A72)&gt;0,ISNUMBER('Providers'!K72)),1,0)</f>
        <v/>
      </c>
      <c r="B1072">
        <f>B1071+A1072</f>
        <v/>
      </c>
      <c r="C1072">
        <f>IF(1069&gt;$B$4503,"",MATCH(1069-0.5,$B$3:$B$4503,1))</f>
        <v/>
      </c>
      <c r="D1072">
        <f>"State CSR ("&amp;IF(LEN(INDEX('Providers'!$E$4:$E$503,69))=0,"",INDEX('Providers'!$E$4:$E$503,69))&amp;") – "&amp;IF(LEN(INDEX('Providers'!$A$4:$A$503,69))=0,"",INDEX('Providers'!$A$4:$A$503,69))</f>
        <v/>
      </c>
      <c r="E1072">
        <f>IF(ISNUMBER(INDEX('Providers'!$K$4:$K$503,69)),TEXT(INDEX('Providers'!$K$4:$K$503,69),"yyyy-mm-dd"),"")</f>
        <v/>
      </c>
      <c r="F1072">
        <f>"Registration"</f>
        <v/>
      </c>
      <c r="G1072">
        <f>""</f>
        <v/>
      </c>
      <c r="H1072">
        <f>"High"</f>
        <v/>
      </c>
      <c r="I1072">
        <f>TRIM(IF(LEN(IF(LEN(INDEX('Providers'!$J$4:$J$503,69))=0,"",INDEX('Providers'!$J$4:$J$503,69)))=0,"","CSR no.: "&amp;IF(LEN(INDEX('Providers'!$J$4:$J$503,69))=0,"",INDEX('Providers'!$J$4:$J$503,69))&amp;". ")&amp;IF(LEN(IF(LEN(INDEX('Providers'!$C$4:$C$503,69))=0,"",INDEX('Providers'!$C$4:$C$503,69)))=0,"","NPI: "&amp;IF(LEN(INDEX('Providers'!$C$4:$C$503,69))=0,"",INDEX('Providers'!$C$4:$C$503,69))&amp;". "))</f>
        <v/>
      </c>
      <c r="J1072">
        <f>IF(LEN(INDEX('Providers'!$AJ$4:$AJ$503,69))=0,"",INDEX('Providers'!$AJ$4:$AJ$503,69))</f>
        <v/>
      </c>
      <c r="K1072">
        <f>IF(LEN(INDEX('Providers'!$AI$4:$AI$503,69))=0,"",INDEX('Providers'!$AI$4:$AI$503,69))</f>
        <v/>
      </c>
    </row>
    <row r="1073">
      <c r="A1073">
        <f>IF(AND(LEN('Providers'!A73)&gt;0,ISNUMBER('Providers'!K73)),1,0)</f>
        <v/>
      </c>
      <c r="B1073">
        <f>B1072+A1073</f>
        <v/>
      </c>
      <c r="C1073">
        <f>IF(1070&gt;$B$4503,"",MATCH(1070-0.5,$B$3:$B$4503,1))</f>
        <v/>
      </c>
      <c r="D1073">
        <f>"State CSR ("&amp;IF(LEN(INDEX('Providers'!$E$4:$E$503,70))=0,"",INDEX('Providers'!$E$4:$E$503,70))&amp;") – "&amp;IF(LEN(INDEX('Providers'!$A$4:$A$503,70))=0,"",INDEX('Providers'!$A$4:$A$503,70))</f>
        <v/>
      </c>
      <c r="E1073">
        <f>IF(ISNUMBER(INDEX('Providers'!$K$4:$K$503,70)),TEXT(INDEX('Providers'!$K$4:$K$503,70),"yyyy-mm-dd"),"")</f>
        <v/>
      </c>
      <c r="F1073">
        <f>"Registration"</f>
        <v/>
      </c>
      <c r="G1073">
        <f>""</f>
        <v/>
      </c>
      <c r="H1073">
        <f>"High"</f>
        <v/>
      </c>
      <c r="I1073">
        <f>TRIM(IF(LEN(IF(LEN(INDEX('Providers'!$J$4:$J$503,70))=0,"",INDEX('Providers'!$J$4:$J$503,70)))=0,"","CSR no.: "&amp;IF(LEN(INDEX('Providers'!$J$4:$J$503,70))=0,"",INDEX('Providers'!$J$4:$J$503,70))&amp;". ")&amp;IF(LEN(IF(LEN(INDEX('Providers'!$C$4:$C$503,70))=0,"",INDEX('Providers'!$C$4:$C$503,70)))=0,"","NPI: "&amp;IF(LEN(INDEX('Providers'!$C$4:$C$503,70))=0,"",INDEX('Providers'!$C$4:$C$503,70))&amp;". "))</f>
        <v/>
      </c>
      <c r="J1073">
        <f>IF(LEN(INDEX('Providers'!$AJ$4:$AJ$503,70))=0,"",INDEX('Providers'!$AJ$4:$AJ$503,70))</f>
        <v/>
      </c>
      <c r="K1073">
        <f>IF(LEN(INDEX('Providers'!$AI$4:$AI$503,70))=0,"",INDEX('Providers'!$AI$4:$AI$503,70))</f>
        <v/>
      </c>
    </row>
    <row r="1074">
      <c r="A1074">
        <f>IF(AND(LEN('Providers'!A74)&gt;0,ISNUMBER('Providers'!K74)),1,0)</f>
        <v/>
      </c>
      <c r="B1074">
        <f>B1073+A1074</f>
        <v/>
      </c>
      <c r="C1074">
        <f>IF(1071&gt;$B$4503,"",MATCH(1071-0.5,$B$3:$B$4503,1))</f>
        <v/>
      </c>
      <c r="D1074">
        <f>"State CSR ("&amp;IF(LEN(INDEX('Providers'!$E$4:$E$503,71))=0,"",INDEX('Providers'!$E$4:$E$503,71))&amp;") – "&amp;IF(LEN(INDEX('Providers'!$A$4:$A$503,71))=0,"",INDEX('Providers'!$A$4:$A$503,71))</f>
        <v/>
      </c>
      <c r="E1074">
        <f>IF(ISNUMBER(INDEX('Providers'!$K$4:$K$503,71)),TEXT(INDEX('Providers'!$K$4:$K$503,71),"yyyy-mm-dd"),"")</f>
        <v/>
      </c>
      <c r="F1074">
        <f>"Registration"</f>
        <v/>
      </c>
      <c r="G1074">
        <f>""</f>
        <v/>
      </c>
      <c r="H1074">
        <f>"High"</f>
        <v/>
      </c>
      <c r="I1074">
        <f>TRIM(IF(LEN(IF(LEN(INDEX('Providers'!$J$4:$J$503,71))=0,"",INDEX('Providers'!$J$4:$J$503,71)))=0,"","CSR no.: "&amp;IF(LEN(INDEX('Providers'!$J$4:$J$503,71))=0,"",INDEX('Providers'!$J$4:$J$503,71))&amp;". ")&amp;IF(LEN(IF(LEN(INDEX('Providers'!$C$4:$C$503,71))=0,"",INDEX('Providers'!$C$4:$C$503,71)))=0,"","NPI: "&amp;IF(LEN(INDEX('Providers'!$C$4:$C$503,71))=0,"",INDEX('Providers'!$C$4:$C$503,71))&amp;". "))</f>
        <v/>
      </c>
      <c r="J1074">
        <f>IF(LEN(INDEX('Providers'!$AJ$4:$AJ$503,71))=0,"",INDEX('Providers'!$AJ$4:$AJ$503,71))</f>
        <v/>
      </c>
      <c r="K1074">
        <f>IF(LEN(INDEX('Providers'!$AI$4:$AI$503,71))=0,"",INDEX('Providers'!$AI$4:$AI$503,71))</f>
        <v/>
      </c>
    </row>
    <row r="1075">
      <c r="A1075">
        <f>IF(AND(LEN('Providers'!A75)&gt;0,ISNUMBER('Providers'!K75)),1,0)</f>
        <v/>
      </c>
      <c r="B1075">
        <f>B1074+A1075</f>
        <v/>
      </c>
      <c r="C1075">
        <f>IF(1072&gt;$B$4503,"",MATCH(1072-0.5,$B$3:$B$4503,1))</f>
        <v/>
      </c>
      <c r="D1075">
        <f>"State CSR ("&amp;IF(LEN(INDEX('Providers'!$E$4:$E$503,72))=0,"",INDEX('Providers'!$E$4:$E$503,72))&amp;") – "&amp;IF(LEN(INDEX('Providers'!$A$4:$A$503,72))=0,"",INDEX('Providers'!$A$4:$A$503,72))</f>
        <v/>
      </c>
      <c r="E1075">
        <f>IF(ISNUMBER(INDEX('Providers'!$K$4:$K$503,72)),TEXT(INDEX('Providers'!$K$4:$K$503,72),"yyyy-mm-dd"),"")</f>
        <v/>
      </c>
      <c r="F1075">
        <f>"Registration"</f>
        <v/>
      </c>
      <c r="G1075">
        <f>""</f>
        <v/>
      </c>
      <c r="H1075">
        <f>"High"</f>
        <v/>
      </c>
      <c r="I1075">
        <f>TRIM(IF(LEN(IF(LEN(INDEX('Providers'!$J$4:$J$503,72))=0,"",INDEX('Providers'!$J$4:$J$503,72)))=0,"","CSR no.: "&amp;IF(LEN(INDEX('Providers'!$J$4:$J$503,72))=0,"",INDEX('Providers'!$J$4:$J$503,72))&amp;". ")&amp;IF(LEN(IF(LEN(INDEX('Providers'!$C$4:$C$503,72))=0,"",INDEX('Providers'!$C$4:$C$503,72)))=0,"","NPI: "&amp;IF(LEN(INDEX('Providers'!$C$4:$C$503,72))=0,"",INDEX('Providers'!$C$4:$C$503,72))&amp;". "))</f>
        <v/>
      </c>
      <c r="J1075">
        <f>IF(LEN(INDEX('Providers'!$AJ$4:$AJ$503,72))=0,"",INDEX('Providers'!$AJ$4:$AJ$503,72))</f>
        <v/>
      </c>
      <c r="K1075">
        <f>IF(LEN(INDEX('Providers'!$AI$4:$AI$503,72))=0,"",INDEX('Providers'!$AI$4:$AI$503,72))</f>
        <v/>
      </c>
    </row>
    <row r="1076">
      <c r="A1076">
        <f>IF(AND(LEN('Providers'!A76)&gt;0,ISNUMBER('Providers'!K76)),1,0)</f>
        <v/>
      </c>
      <c r="B1076">
        <f>B1075+A1076</f>
        <v/>
      </c>
      <c r="C1076">
        <f>IF(1073&gt;$B$4503,"",MATCH(1073-0.5,$B$3:$B$4503,1))</f>
        <v/>
      </c>
      <c r="D1076">
        <f>"State CSR ("&amp;IF(LEN(INDEX('Providers'!$E$4:$E$503,73))=0,"",INDEX('Providers'!$E$4:$E$503,73))&amp;") – "&amp;IF(LEN(INDEX('Providers'!$A$4:$A$503,73))=0,"",INDEX('Providers'!$A$4:$A$503,73))</f>
        <v/>
      </c>
      <c r="E1076">
        <f>IF(ISNUMBER(INDEX('Providers'!$K$4:$K$503,73)),TEXT(INDEX('Providers'!$K$4:$K$503,73),"yyyy-mm-dd"),"")</f>
        <v/>
      </c>
      <c r="F1076">
        <f>"Registration"</f>
        <v/>
      </c>
      <c r="G1076">
        <f>""</f>
        <v/>
      </c>
      <c r="H1076">
        <f>"High"</f>
        <v/>
      </c>
      <c r="I1076">
        <f>TRIM(IF(LEN(IF(LEN(INDEX('Providers'!$J$4:$J$503,73))=0,"",INDEX('Providers'!$J$4:$J$503,73)))=0,"","CSR no.: "&amp;IF(LEN(INDEX('Providers'!$J$4:$J$503,73))=0,"",INDEX('Providers'!$J$4:$J$503,73))&amp;". ")&amp;IF(LEN(IF(LEN(INDEX('Providers'!$C$4:$C$503,73))=0,"",INDEX('Providers'!$C$4:$C$503,73)))=0,"","NPI: "&amp;IF(LEN(INDEX('Providers'!$C$4:$C$503,73))=0,"",INDEX('Providers'!$C$4:$C$503,73))&amp;". "))</f>
        <v/>
      </c>
      <c r="J1076">
        <f>IF(LEN(INDEX('Providers'!$AJ$4:$AJ$503,73))=0,"",INDEX('Providers'!$AJ$4:$AJ$503,73))</f>
        <v/>
      </c>
      <c r="K1076">
        <f>IF(LEN(INDEX('Providers'!$AI$4:$AI$503,73))=0,"",INDEX('Providers'!$AI$4:$AI$503,73))</f>
        <v/>
      </c>
    </row>
    <row r="1077">
      <c r="A1077">
        <f>IF(AND(LEN('Providers'!A77)&gt;0,ISNUMBER('Providers'!K77)),1,0)</f>
        <v/>
      </c>
      <c r="B1077">
        <f>B1076+A1077</f>
        <v/>
      </c>
      <c r="C1077">
        <f>IF(1074&gt;$B$4503,"",MATCH(1074-0.5,$B$3:$B$4503,1))</f>
        <v/>
      </c>
      <c r="D1077">
        <f>"State CSR ("&amp;IF(LEN(INDEX('Providers'!$E$4:$E$503,74))=0,"",INDEX('Providers'!$E$4:$E$503,74))&amp;") – "&amp;IF(LEN(INDEX('Providers'!$A$4:$A$503,74))=0,"",INDEX('Providers'!$A$4:$A$503,74))</f>
        <v/>
      </c>
      <c r="E1077">
        <f>IF(ISNUMBER(INDEX('Providers'!$K$4:$K$503,74)),TEXT(INDEX('Providers'!$K$4:$K$503,74),"yyyy-mm-dd"),"")</f>
        <v/>
      </c>
      <c r="F1077">
        <f>"Registration"</f>
        <v/>
      </c>
      <c r="G1077">
        <f>""</f>
        <v/>
      </c>
      <c r="H1077">
        <f>"High"</f>
        <v/>
      </c>
      <c r="I1077">
        <f>TRIM(IF(LEN(IF(LEN(INDEX('Providers'!$J$4:$J$503,74))=0,"",INDEX('Providers'!$J$4:$J$503,74)))=0,"","CSR no.: "&amp;IF(LEN(INDEX('Providers'!$J$4:$J$503,74))=0,"",INDEX('Providers'!$J$4:$J$503,74))&amp;". ")&amp;IF(LEN(IF(LEN(INDEX('Providers'!$C$4:$C$503,74))=0,"",INDEX('Providers'!$C$4:$C$503,74)))=0,"","NPI: "&amp;IF(LEN(INDEX('Providers'!$C$4:$C$503,74))=0,"",INDEX('Providers'!$C$4:$C$503,74))&amp;". "))</f>
        <v/>
      </c>
      <c r="J1077">
        <f>IF(LEN(INDEX('Providers'!$AJ$4:$AJ$503,74))=0,"",INDEX('Providers'!$AJ$4:$AJ$503,74))</f>
        <v/>
      </c>
      <c r="K1077">
        <f>IF(LEN(INDEX('Providers'!$AI$4:$AI$503,74))=0,"",INDEX('Providers'!$AI$4:$AI$503,74))</f>
        <v/>
      </c>
    </row>
    <row r="1078">
      <c r="A1078">
        <f>IF(AND(LEN('Providers'!A78)&gt;0,ISNUMBER('Providers'!K78)),1,0)</f>
        <v/>
      </c>
      <c r="B1078">
        <f>B1077+A1078</f>
        <v/>
      </c>
      <c r="C1078">
        <f>IF(1075&gt;$B$4503,"",MATCH(1075-0.5,$B$3:$B$4503,1))</f>
        <v/>
      </c>
      <c r="D1078">
        <f>"State CSR ("&amp;IF(LEN(INDEX('Providers'!$E$4:$E$503,75))=0,"",INDEX('Providers'!$E$4:$E$503,75))&amp;") – "&amp;IF(LEN(INDEX('Providers'!$A$4:$A$503,75))=0,"",INDEX('Providers'!$A$4:$A$503,75))</f>
        <v/>
      </c>
      <c r="E1078">
        <f>IF(ISNUMBER(INDEX('Providers'!$K$4:$K$503,75)),TEXT(INDEX('Providers'!$K$4:$K$503,75),"yyyy-mm-dd"),"")</f>
        <v/>
      </c>
      <c r="F1078">
        <f>"Registration"</f>
        <v/>
      </c>
      <c r="G1078">
        <f>""</f>
        <v/>
      </c>
      <c r="H1078">
        <f>"High"</f>
        <v/>
      </c>
      <c r="I1078">
        <f>TRIM(IF(LEN(IF(LEN(INDEX('Providers'!$J$4:$J$503,75))=0,"",INDEX('Providers'!$J$4:$J$503,75)))=0,"","CSR no.: "&amp;IF(LEN(INDEX('Providers'!$J$4:$J$503,75))=0,"",INDEX('Providers'!$J$4:$J$503,75))&amp;". ")&amp;IF(LEN(IF(LEN(INDEX('Providers'!$C$4:$C$503,75))=0,"",INDEX('Providers'!$C$4:$C$503,75)))=0,"","NPI: "&amp;IF(LEN(INDEX('Providers'!$C$4:$C$503,75))=0,"",INDEX('Providers'!$C$4:$C$503,75))&amp;". "))</f>
        <v/>
      </c>
      <c r="J1078">
        <f>IF(LEN(INDEX('Providers'!$AJ$4:$AJ$503,75))=0,"",INDEX('Providers'!$AJ$4:$AJ$503,75))</f>
        <v/>
      </c>
      <c r="K1078">
        <f>IF(LEN(INDEX('Providers'!$AI$4:$AI$503,75))=0,"",INDEX('Providers'!$AI$4:$AI$503,75))</f>
        <v/>
      </c>
    </row>
    <row r="1079">
      <c r="A1079">
        <f>IF(AND(LEN('Providers'!A79)&gt;0,ISNUMBER('Providers'!K79)),1,0)</f>
        <v/>
      </c>
      <c r="B1079">
        <f>B1078+A1079</f>
        <v/>
      </c>
      <c r="C1079">
        <f>IF(1076&gt;$B$4503,"",MATCH(1076-0.5,$B$3:$B$4503,1))</f>
        <v/>
      </c>
      <c r="D1079">
        <f>"State CSR ("&amp;IF(LEN(INDEX('Providers'!$E$4:$E$503,76))=0,"",INDEX('Providers'!$E$4:$E$503,76))&amp;") – "&amp;IF(LEN(INDEX('Providers'!$A$4:$A$503,76))=0,"",INDEX('Providers'!$A$4:$A$503,76))</f>
        <v/>
      </c>
      <c r="E1079">
        <f>IF(ISNUMBER(INDEX('Providers'!$K$4:$K$503,76)),TEXT(INDEX('Providers'!$K$4:$K$503,76),"yyyy-mm-dd"),"")</f>
        <v/>
      </c>
      <c r="F1079">
        <f>"Registration"</f>
        <v/>
      </c>
      <c r="G1079">
        <f>""</f>
        <v/>
      </c>
      <c r="H1079">
        <f>"High"</f>
        <v/>
      </c>
      <c r="I1079">
        <f>TRIM(IF(LEN(IF(LEN(INDEX('Providers'!$J$4:$J$503,76))=0,"",INDEX('Providers'!$J$4:$J$503,76)))=0,"","CSR no.: "&amp;IF(LEN(INDEX('Providers'!$J$4:$J$503,76))=0,"",INDEX('Providers'!$J$4:$J$503,76))&amp;". ")&amp;IF(LEN(IF(LEN(INDEX('Providers'!$C$4:$C$503,76))=0,"",INDEX('Providers'!$C$4:$C$503,76)))=0,"","NPI: "&amp;IF(LEN(INDEX('Providers'!$C$4:$C$503,76))=0,"",INDEX('Providers'!$C$4:$C$503,76))&amp;". "))</f>
        <v/>
      </c>
      <c r="J1079">
        <f>IF(LEN(INDEX('Providers'!$AJ$4:$AJ$503,76))=0,"",INDEX('Providers'!$AJ$4:$AJ$503,76))</f>
        <v/>
      </c>
      <c r="K1079">
        <f>IF(LEN(INDEX('Providers'!$AI$4:$AI$503,76))=0,"",INDEX('Providers'!$AI$4:$AI$503,76))</f>
        <v/>
      </c>
    </row>
    <row r="1080">
      <c r="A1080">
        <f>IF(AND(LEN('Providers'!A80)&gt;0,ISNUMBER('Providers'!K80)),1,0)</f>
        <v/>
      </c>
      <c r="B1080">
        <f>B1079+A1080</f>
        <v/>
      </c>
      <c r="C1080">
        <f>IF(1077&gt;$B$4503,"",MATCH(1077-0.5,$B$3:$B$4503,1))</f>
        <v/>
      </c>
      <c r="D1080">
        <f>"State CSR ("&amp;IF(LEN(INDEX('Providers'!$E$4:$E$503,77))=0,"",INDEX('Providers'!$E$4:$E$503,77))&amp;") – "&amp;IF(LEN(INDEX('Providers'!$A$4:$A$503,77))=0,"",INDEX('Providers'!$A$4:$A$503,77))</f>
        <v/>
      </c>
      <c r="E1080">
        <f>IF(ISNUMBER(INDEX('Providers'!$K$4:$K$503,77)),TEXT(INDEX('Providers'!$K$4:$K$503,77),"yyyy-mm-dd"),"")</f>
        <v/>
      </c>
      <c r="F1080">
        <f>"Registration"</f>
        <v/>
      </c>
      <c r="G1080">
        <f>""</f>
        <v/>
      </c>
      <c r="H1080">
        <f>"High"</f>
        <v/>
      </c>
      <c r="I1080">
        <f>TRIM(IF(LEN(IF(LEN(INDEX('Providers'!$J$4:$J$503,77))=0,"",INDEX('Providers'!$J$4:$J$503,77)))=0,"","CSR no.: "&amp;IF(LEN(INDEX('Providers'!$J$4:$J$503,77))=0,"",INDEX('Providers'!$J$4:$J$503,77))&amp;". ")&amp;IF(LEN(IF(LEN(INDEX('Providers'!$C$4:$C$503,77))=0,"",INDEX('Providers'!$C$4:$C$503,77)))=0,"","NPI: "&amp;IF(LEN(INDEX('Providers'!$C$4:$C$503,77))=0,"",INDEX('Providers'!$C$4:$C$503,77))&amp;". "))</f>
        <v/>
      </c>
      <c r="J1080">
        <f>IF(LEN(INDEX('Providers'!$AJ$4:$AJ$503,77))=0,"",INDEX('Providers'!$AJ$4:$AJ$503,77))</f>
        <v/>
      </c>
      <c r="K1080">
        <f>IF(LEN(INDEX('Providers'!$AI$4:$AI$503,77))=0,"",INDEX('Providers'!$AI$4:$AI$503,77))</f>
        <v/>
      </c>
    </row>
    <row r="1081">
      <c r="A1081">
        <f>IF(AND(LEN('Providers'!A81)&gt;0,ISNUMBER('Providers'!K81)),1,0)</f>
        <v/>
      </c>
      <c r="B1081">
        <f>B1080+A1081</f>
        <v/>
      </c>
      <c r="C1081">
        <f>IF(1078&gt;$B$4503,"",MATCH(1078-0.5,$B$3:$B$4503,1))</f>
        <v/>
      </c>
      <c r="D1081">
        <f>"State CSR ("&amp;IF(LEN(INDEX('Providers'!$E$4:$E$503,78))=0,"",INDEX('Providers'!$E$4:$E$503,78))&amp;") – "&amp;IF(LEN(INDEX('Providers'!$A$4:$A$503,78))=0,"",INDEX('Providers'!$A$4:$A$503,78))</f>
        <v/>
      </c>
      <c r="E1081">
        <f>IF(ISNUMBER(INDEX('Providers'!$K$4:$K$503,78)),TEXT(INDEX('Providers'!$K$4:$K$503,78),"yyyy-mm-dd"),"")</f>
        <v/>
      </c>
      <c r="F1081">
        <f>"Registration"</f>
        <v/>
      </c>
      <c r="G1081">
        <f>""</f>
        <v/>
      </c>
      <c r="H1081">
        <f>"High"</f>
        <v/>
      </c>
      <c r="I1081">
        <f>TRIM(IF(LEN(IF(LEN(INDEX('Providers'!$J$4:$J$503,78))=0,"",INDEX('Providers'!$J$4:$J$503,78)))=0,"","CSR no.: "&amp;IF(LEN(INDEX('Providers'!$J$4:$J$503,78))=0,"",INDEX('Providers'!$J$4:$J$503,78))&amp;". ")&amp;IF(LEN(IF(LEN(INDEX('Providers'!$C$4:$C$503,78))=0,"",INDEX('Providers'!$C$4:$C$503,78)))=0,"","NPI: "&amp;IF(LEN(INDEX('Providers'!$C$4:$C$503,78))=0,"",INDEX('Providers'!$C$4:$C$503,78))&amp;". "))</f>
        <v/>
      </c>
      <c r="J1081">
        <f>IF(LEN(INDEX('Providers'!$AJ$4:$AJ$503,78))=0,"",INDEX('Providers'!$AJ$4:$AJ$503,78))</f>
        <v/>
      </c>
      <c r="K1081">
        <f>IF(LEN(INDEX('Providers'!$AI$4:$AI$503,78))=0,"",INDEX('Providers'!$AI$4:$AI$503,78))</f>
        <v/>
      </c>
    </row>
    <row r="1082">
      <c r="A1082">
        <f>IF(AND(LEN('Providers'!A82)&gt;0,ISNUMBER('Providers'!K82)),1,0)</f>
        <v/>
      </c>
      <c r="B1082">
        <f>B1081+A1082</f>
        <v/>
      </c>
      <c r="C1082">
        <f>IF(1079&gt;$B$4503,"",MATCH(1079-0.5,$B$3:$B$4503,1))</f>
        <v/>
      </c>
      <c r="D1082">
        <f>"State CSR ("&amp;IF(LEN(INDEX('Providers'!$E$4:$E$503,79))=0,"",INDEX('Providers'!$E$4:$E$503,79))&amp;") – "&amp;IF(LEN(INDEX('Providers'!$A$4:$A$503,79))=0,"",INDEX('Providers'!$A$4:$A$503,79))</f>
        <v/>
      </c>
      <c r="E1082">
        <f>IF(ISNUMBER(INDEX('Providers'!$K$4:$K$503,79)),TEXT(INDEX('Providers'!$K$4:$K$503,79),"yyyy-mm-dd"),"")</f>
        <v/>
      </c>
      <c r="F1082">
        <f>"Registration"</f>
        <v/>
      </c>
      <c r="G1082">
        <f>""</f>
        <v/>
      </c>
      <c r="H1082">
        <f>"High"</f>
        <v/>
      </c>
      <c r="I1082">
        <f>TRIM(IF(LEN(IF(LEN(INDEX('Providers'!$J$4:$J$503,79))=0,"",INDEX('Providers'!$J$4:$J$503,79)))=0,"","CSR no.: "&amp;IF(LEN(INDEX('Providers'!$J$4:$J$503,79))=0,"",INDEX('Providers'!$J$4:$J$503,79))&amp;". ")&amp;IF(LEN(IF(LEN(INDEX('Providers'!$C$4:$C$503,79))=0,"",INDEX('Providers'!$C$4:$C$503,79)))=0,"","NPI: "&amp;IF(LEN(INDEX('Providers'!$C$4:$C$503,79))=0,"",INDEX('Providers'!$C$4:$C$503,79))&amp;". "))</f>
        <v/>
      </c>
      <c r="J1082">
        <f>IF(LEN(INDEX('Providers'!$AJ$4:$AJ$503,79))=0,"",INDEX('Providers'!$AJ$4:$AJ$503,79))</f>
        <v/>
      </c>
      <c r="K1082">
        <f>IF(LEN(INDEX('Providers'!$AI$4:$AI$503,79))=0,"",INDEX('Providers'!$AI$4:$AI$503,79))</f>
        <v/>
      </c>
    </row>
    <row r="1083">
      <c r="A1083">
        <f>IF(AND(LEN('Providers'!A83)&gt;0,ISNUMBER('Providers'!K83)),1,0)</f>
        <v/>
      </c>
      <c r="B1083">
        <f>B1082+A1083</f>
        <v/>
      </c>
      <c r="C1083">
        <f>IF(1080&gt;$B$4503,"",MATCH(1080-0.5,$B$3:$B$4503,1))</f>
        <v/>
      </c>
      <c r="D1083">
        <f>"State CSR ("&amp;IF(LEN(INDEX('Providers'!$E$4:$E$503,80))=0,"",INDEX('Providers'!$E$4:$E$503,80))&amp;") – "&amp;IF(LEN(INDEX('Providers'!$A$4:$A$503,80))=0,"",INDEX('Providers'!$A$4:$A$503,80))</f>
        <v/>
      </c>
      <c r="E1083">
        <f>IF(ISNUMBER(INDEX('Providers'!$K$4:$K$503,80)),TEXT(INDEX('Providers'!$K$4:$K$503,80),"yyyy-mm-dd"),"")</f>
        <v/>
      </c>
      <c r="F1083">
        <f>"Registration"</f>
        <v/>
      </c>
      <c r="G1083">
        <f>""</f>
        <v/>
      </c>
      <c r="H1083">
        <f>"High"</f>
        <v/>
      </c>
      <c r="I1083">
        <f>TRIM(IF(LEN(IF(LEN(INDEX('Providers'!$J$4:$J$503,80))=0,"",INDEX('Providers'!$J$4:$J$503,80)))=0,"","CSR no.: "&amp;IF(LEN(INDEX('Providers'!$J$4:$J$503,80))=0,"",INDEX('Providers'!$J$4:$J$503,80))&amp;". ")&amp;IF(LEN(IF(LEN(INDEX('Providers'!$C$4:$C$503,80))=0,"",INDEX('Providers'!$C$4:$C$503,80)))=0,"","NPI: "&amp;IF(LEN(INDEX('Providers'!$C$4:$C$503,80))=0,"",INDEX('Providers'!$C$4:$C$503,80))&amp;". "))</f>
        <v/>
      </c>
      <c r="J1083">
        <f>IF(LEN(INDEX('Providers'!$AJ$4:$AJ$503,80))=0,"",INDEX('Providers'!$AJ$4:$AJ$503,80))</f>
        <v/>
      </c>
      <c r="K1083">
        <f>IF(LEN(INDEX('Providers'!$AI$4:$AI$503,80))=0,"",INDEX('Providers'!$AI$4:$AI$503,80))</f>
        <v/>
      </c>
    </row>
    <row r="1084">
      <c r="A1084">
        <f>IF(AND(LEN('Providers'!A84)&gt;0,ISNUMBER('Providers'!K84)),1,0)</f>
        <v/>
      </c>
      <c r="B1084">
        <f>B1083+A1084</f>
        <v/>
      </c>
      <c r="C1084">
        <f>IF(1081&gt;$B$4503,"",MATCH(1081-0.5,$B$3:$B$4503,1))</f>
        <v/>
      </c>
      <c r="D1084">
        <f>"State CSR ("&amp;IF(LEN(INDEX('Providers'!$E$4:$E$503,81))=0,"",INDEX('Providers'!$E$4:$E$503,81))&amp;") – "&amp;IF(LEN(INDEX('Providers'!$A$4:$A$503,81))=0,"",INDEX('Providers'!$A$4:$A$503,81))</f>
        <v/>
      </c>
      <c r="E1084">
        <f>IF(ISNUMBER(INDEX('Providers'!$K$4:$K$503,81)),TEXT(INDEX('Providers'!$K$4:$K$503,81),"yyyy-mm-dd"),"")</f>
        <v/>
      </c>
      <c r="F1084">
        <f>"Registration"</f>
        <v/>
      </c>
      <c r="G1084">
        <f>""</f>
        <v/>
      </c>
      <c r="H1084">
        <f>"High"</f>
        <v/>
      </c>
      <c r="I1084">
        <f>TRIM(IF(LEN(IF(LEN(INDEX('Providers'!$J$4:$J$503,81))=0,"",INDEX('Providers'!$J$4:$J$503,81)))=0,"","CSR no.: "&amp;IF(LEN(INDEX('Providers'!$J$4:$J$503,81))=0,"",INDEX('Providers'!$J$4:$J$503,81))&amp;". ")&amp;IF(LEN(IF(LEN(INDEX('Providers'!$C$4:$C$503,81))=0,"",INDEX('Providers'!$C$4:$C$503,81)))=0,"","NPI: "&amp;IF(LEN(INDEX('Providers'!$C$4:$C$503,81))=0,"",INDEX('Providers'!$C$4:$C$503,81))&amp;". "))</f>
        <v/>
      </c>
      <c r="J1084">
        <f>IF(LEN(INDEX('Providers'!$AJ$4:$AJ$503,81))=0,"",INDEX('Providers'!$AJ$4:$AJ$503,81))</f>
        <v/>
      </c>
      <c r="K1084">
        <f>IF(LEN(INDEX('Providers'!$AI$4:$AI$503,81))=0,"",INDEX('Providers'!$AI$4:$AI$503,81))</f>
        <v/>
      </c>
    </row>
    <row r="1085">
      <c r="A1085">
        <f>IF(AND(LEN('Providers'!A85)&gt;0,ISNUMBER('Providers'!K85)),1,0)</f>
        <v/>
      </c>
      <c r="B1085">
        <f>B1084+A1085</f>
        <v/>
      </c>
      <c r="C1085">
        <f>IF(1082&gt;$B$4503,"",MATCH(1082-0.5,$B$3:$B$4503,1))</f>
        <v/>
      </c>
      <c r="D1085">
        <f>"State CSR ("&amp;IF(LEN(INDEX('Providers'!$E$4:$E$503,82))=0,"",INDEX('Providers'!$E$4:$E$503,82))&amp;") – "&amp;IF(LEN(INDEX('Providers'!$A$4:$A$503,82))=0,"",INDEX('Providers'!$A$4:$A$503,82))</f>
        <v/>
      </c>
      <c r="E1085">
        <f>IF(ISNUMBER(INDEX('Providers'!$K$4:$K$503,82)),TEXT(INDEX('Providers'!$K$4:$K$503,82),"yyyy-mm-dd"),"")</f>
        <v/>
      </c>
      <c r="F1085">
        <f>"Registration"</f>
        <v/>
      </c>
      <c r="G1085">
        <f>""</f>
        <v/>
      </c>
      <c r="H1085">
        <f>"High"</f>
        <v/>
      </c>
      <c r="I1085">
        <f>TRIM(IF(LEN(IF(LEN(INDEX('Providers'!$J$4:$J$503,82))=0,"",INDEX('Providers'!$J$4:$J$503,82)))=0,"","CSR no.: "&amp;IF(LEN(INDEX('Providers'!$J$4:$J$503,82))=0,"",INDEX('Providers'!$J$4:$J$503,82))&amp;". ")&amp;IF(LEN(IF(LEN(INDEX('Providers'!$C$4:$C$503,82))=0,"",INDEX('Providers'!$C$4:$C$503,82)))=0,"","NPI: "&amp;IF(LEN(INDEX('Providers'!$C$4:$C$503,82))=0,"",INDEX('Providers'!$C$4:$C$503,82))&amp;". "))</f>
        <v/>
      </c>
      <c r="J1085">
        <f>IF(LEN(INDEX('Providers'!$AJ$4:$AJ$503,82))=0,"",INDEX('Providers'!$AJ$4:$AJ$503,82))</f>
        <v/>
      </c>
      <c r="K1085">
        <f>IF(LEN(INDEX('Providers'!$AI$4:$AI$503,82))=0,"",INDEX('Providers'!$AI$4:$AI$503,82))</f>
        <v/>
      </c>
    </row>
    <row r="1086">
      <c r="A1086">
        <f>IF(AND(LEN('Providers'!A86)&gt;0,ISNUMBER('Providers'!K86)),1,0)</f>
        <v/>
      </c>
      <c r="B1086">
        <f>B1085+A1086</f>
        <v/>
      </c>
      <c r="C1086">
        <f>IF(1083&gt;$B$4503,"",MATCH(1083-0.5,$B$3:$B$4503,1))</f>
        <v/>
      </c>
      <c r="D1086">
        <f>"State CSR ("&amp;IF(LEN(INDEX('Providers'!$E$4:$E$503,83))=0,"",INDEX('Providers'!$E$4:$E$503,83))&amp;") – "&amp;IF(LEN(INDEX('Providers'!$A$4:$A$503,83))=0,"",INDEX('Providers'!$A$4:$A$503,83))</f>
        <v/>
      </c>
      <c r="E1086">
        <f>IF(ISNUMBER(INDEX('Providers'!$K$4:$K$503,83)),TEXT(INDEX('Providers'!$K$4:$K$503,83),"yyyy-mm-dd"),"")</f>
        <v/>
      </c>
      <c r="F1086">
        <f>"Registration"</f>
        <v/>
      </c>
      <c r="G1086">
        <f>""</f>
        <v/>
      </c>
      <c r="H1086">
        <f>"High"</f>
        <v/>
      </c>
      <c r="I1086">
        <f>TRIM(IF(LEN(IF(LEN(INDEX('Providers'!$J$4:$J$503,83))=0,"",INDEX('Providers'!$J$4:$J$503,83)))=0,"","CSR no.: "&amp;IF(LEN(INDEX('Providers'!$J$4:$J$503,83))=0,"",INDEX('Providers'!$J$4:$J$503,83))&amp;". ")&amp;IF(LEN(IF(LEN(INDEX('Providers'!$C$4:$C$503,83))=0,"",INDEX('Providers'!$C$4:$C$503,83)))=0,"","NPI: "&amp;IF(LEN(INDEX('Providers'!$C$4:$C$503,83))=0,"",INDEX('Providers'!$C$4:$C$503,83))&amp;". "))</f>
        <v/>
      </c>
      <c r="J1086">
        <f>IF(LEN(INDEX('Providers'!$AJ$4:$AJ$503,83))=0,"",INDEX('Providers'!$AJ$4:$AJ$503,83))</f>
        <v/>
      </c>
      <c r="K1086">
        <f>IF(LEN(INDEX('Providers'!$AI$4:$AI$503,83))=0,"",INDEX('Providers'!$AI$4:$AI$503,83))</f>
        <v/>
      </c>
    </row>
    <row r="1087">
      <c r="A1087">
        <f>IF(AND(LEN('Providers'!A87)&gt;0,ISNUMBER('Providers'!K87)),1,0)</f>
        <v/>
      </c>
      <c r="B1087">
        <f>B1086+A1087</f>
        <v/>
      </c>
      <c r="C1087">
        <f>IF(1084&gt;$B$4503,"",MATCH(1084-0.5,$B$3:$B$4503,1))</f>
        <v/>
      </c>
      <c r="D1087">
        <f>"State CSR ("&amp;IF(LEN(INDEX('Providers'!$E$4:$E$503,84))=0,"",INDEX('Providers'!$E$4:$E$503,84))&amp;") – "&amp;IF(LEN(INDEX('Providers'!$A$4:$A$503,84))=0,"",INDEX('Providers'!$A$4:$A$503,84))</f>
        <v/>
      </c>
      <c r="E1087">
        <f>IF(ISNUMBER(INDEX('Providers'!$K$4:$K$503,84)),TEXT(INDEX('Providers'!$K$4:$K$503,84),"yyyy-mm-dd"),"")</f>
        <v/>
      </c>
      <c r="F1087">
        <f>"Registration"</f>
        <v/>
      </c>
      <c r="G1087">
        <f>""</f>
        <v/>
      </c>
      <c r="H1087">
        <f>"High"</f>
        <v/>
      </c>
      <c r="I1087">
        <f>TRIM(IF(LEN(IF(LEN(INDEX('Providers'!$J$4:$J$503,84))=0,"",INDEX('Providers'!$J$4:$J$503,84)))=0,"","CSR no.: "&amp;IF(LEN(INDEX('Providers'!$J$4:$J$503,84))=0,"",INDEX('Providers'!$J$4:$J$503,84))&amp;". ")&amp;IF(LEN(IF(LEN(INDEX('Providers'!$C$4:$C$503,84))=0,"",INDEX('Providers'!$C$4:$C$503,84)))=0,"","NPI: "&amp;IF(LEN(INDEX('Providers'!$C$4:$C$503,84))=0,"",INDEX('Providers'!$C$4:$C$503,84))&amp;". "))</f>
        <v/>
      </c>
      <c r="J1087">
        <f>IF(LEN(INDEX('Providers'!$AJ$4:$AJ$503,84))=0,"",INDEX('Providers'!$AJ$4:$AJ$503,84))</f>
        <v/>
      </c>
      <c r="K1087">
        <f>IF(LEN(INDEX('Providers'!$AI$4:$AI$503,84))=0,"",INDEX('Providers'!$AI$4:$AI$503,84))</f>
        <v/>
      </c>
    </row>
    <row r="1088">
      <c r="A1088">
        <f>IF(AND(LEN('Providers'!A88)&gt;0,ISNUMBER('Providers'!K88)),1,0)</f>
        <v/>
      </c>
      <c r="B1088">
        <f>B1087+A1088</f>
        <v/>
      </c>
      <c r="C1088">
        <f>IF(1085&gt;$B$4503,"",MATCH(1085-0.5,$B$3:$B$4503,1))</f>
        <v/>
      </c>
      <c r="D1088">
        <f>"State CSR ("&amp;IF(LEN(INDEX('Providers'!$E$4:$E$503,85))=0,"",INDEX('Providers'!$E$4:$E$503,85))&amp;") – "&amp;IF(LEN(INDEX('Providers'!$A$4:$A$503,85))=0,"",INDEX('Providers'!$A$4:$A$503,85))</f>
        <v/>
      </c>
      <c r="E1088">
        <f>IF(ISNUMBER(INDEX('Providers'!$K$4:$K$503,85)),TEXT(INDEX('Providers'!$K$4:$K$503,85),"yyyy-mm-dd"),"")</f>
        <v/>
      </c>
      <c r="F1088">
        <f>"Registration"</f>
        <v/>
      </c>
      <c r="G1088">
        <f>""</f>
        <v/>
      </c>
      <c r="H1088">
        <f>"High"</f>
        <v/>
      </c>
      <c r="I1088">
        <f>TRIM(IF(LEN(IF(LEN(INDEX('Providers'!$J$4:$J$503,85))=0,"",INDEX('Providers'!$J$4:$J$503,85)))=0,"","CSR no.: "&amp;IF(LEN(INDEX('Providers'!$J$4:$J$503,85))=0,"",INDEX('Providers'!$J$4:$J$503,85))&amp;". ")&amp;IF(LEN(IF(LEN(INDEX('Providers'!$C$4:$C$503,85))=0,"",INDEX('Providers'!$C$4:$C$503,85)))=0,"","NPI: "&amp;IF(LEN(INDEX('Providers'!$C$4:$C$503,85))=0,"",INDEX('Providers'!$C$4:$C$503,85))&amp;". "))</f>
        <v/>
      </c>
      <c r="J1088">
        <f>IF(LEN(INDEX('Providers'!$AJ$4:$AJ$503,85))=0,"",INDEX('Providers'!$AJ$4:$AJ$503,85))</f>
        <v/>
      </c>
      <c r="K1088">
        <f>IF(LEN(INDEX('Providers'!$AI$4:$AI$503,85))=0,"",INDEX('Providers'!$AI$4:$AI$503,85))</f>
        <v/>
      </c>
    </row>
    <row r="1089">
      <c r="A1089">
        <f>IF(AND(LEN('Providers'!A89)&gt;0,ISNUMBER('Providers'!K89)),1,0)</f>
        <v/>
      </c>
      <c r="B1089">
        <f>B1088+A1089</f>
        <v/>
      </c>
      <c r="C1089">
        <f>IF(1086&gt;$B$4503,"",MATCH(1086-0.5,$B$3:$B$4503,1))</f>
        <v/>
      </c>
      <c r="D1089">
        <f>"State CSR ("&amp;IF(LEN(INDEX('Providers'!$E$4:$E$503,86))=0,"",INDEX('Providers'!$E$4:$E$503,86))&amp;") – "&amp;IF(LEN(INDEX('Providers'!$A$4:$A$503,86))=0,"",INDEX('Providers'!$A$4:$A$503,86))</f>
        <v/>
      </c>
      <c r="E1089">
        <f>IF(ISNUMBER(INDEX('Providers'!$K$4:$K$503,86)),TEXT(INDEX('Providers'!$K$4:$K$503,86),"yyyy-mm-dd"),"")</f>
        <v/>
      </c>
      <c r="F1089">
        <f>"Registration"</f>
        <v/>
      </c>
      <c r="G1089">
        <f>""</f>
        <v/>
      </c>
      <c r="H1089">
        <f>"High"</f>
        <v/>
      </c>
      <c r="I1089">
        <f>TRIM(IF(LEN(IF(LEN(INDEX('Providers'!$J$4:$J$503,86))=0,"",INDEX('Providers'!$J$4:$J$503,86)))=0,"","CSR no.: "&amp;IF(LEN(INDEX('Providers'!$J$4:$J$503,86))=0,"",INDEX('Providers'!$J$4:$J$503,86))&amp;". ")&amp;IF(LEN(IF(LEN(INDEX('Providers'!$C$4:$C$503,86))=0,"",INDEX('Providers'!$C$4:$C$503,86)))=0,"","NPI: "&amp;IF(LEN(INDEX('Providers'!$C$4:$C$503,86))=0,"",INDEX('Providers'!$C$4:$C$503,86))&amp;". "))</f>
        <v/>
      </c>
      <c r="J1089">
        <f>IF(LEN(INDEX('Providers'!$AJ$4:$AJ$503,86))=0,"",INDEX('Providers'!$AJ$4:$AJ$503,86))</f>
        <v/>
      </c>
      <c r="K1089">
        <f>IF(LEN(INDEX('Providers'!$AI$4:$AI$503,86))=0,"",INDEX('Providers'!$AI$4:$AI$503,86))</f>
        <v/>
      </c>
    </row>
    <row r="1090">
      <c r="A1090">
        <f>IF(AND(LEN('Providers'!A90)&gt;0,ISNUMBER('Providers'!K90)),1,0)</f>
        <v/>
      </c>
      <c r="B1090">
        <f>B1089+A1090</f>
        <v/>
      </c>
      <c r="C1090">
        <f>IF(1087&gt;$B$4503,"",MATCH(1087-0.5,$B$3:$B$4503,1))</f>
        <v/>
      </c>
      <c r="D1090">
        <f>"State CSR ("&amp;IF(LEN(INDEX('Providers'!$E$4:$E$503,87))=0,"",INDEX('Providers'!$E$4:$E$503,87))&amp;") – "&amp;IF(LEN(INDEX('Providers'!$A$4:$A$503,87))=0,"",INDEX('Providers'!$A$4:$A$503,87))</f>
        <v/>
      </c>
      <c r="E1090">
        <f>IF(ISNUMBER(INDEX('Providers'!$K$4:$K$503,87)),TEXT(INDEX('Providers'!$K$4:$K$503,87),"yyyy-mm-dd"),"")</f>
        <v/>
      </c>
      <c r="F1090">
        <f>"Registration"</f>
        <v/>
      </c>
      <c r="G1090">
        <f>""</f>
        <v/>
      </c>
      <c r="H1090">
        <f>"High"</f>
        <v/>
      </c>
      <c r="I1090">
        <f>TRIM(IF(LEN(IF(LEN(INDEX('Providers'!$J$4:$J$503,87))=0,"",INDEX('Providers'!$J$4:$J$503,87)))=0,"","CSR no.: "&amp;IF(LEN(INDEX('Providers'!$J$4:$J$503,87))=0,"",INDEX('Providers'!$J$4:$J$503,87))&amp;". ")&amp;IF(LEN(IF(LEN(INDEX('Providers'!$C$4:$C$503,87))=0,"",INDEX('Providers'!$C$4:$C$503,87)))=0,"","NPI: "&amp;IF(LEN(INDEX('Providers'!$C$4:$C$503,87))=0,"",INDEX('Providers'!$C$4:$C$503,87))&amp;". "))</f>
        <v/>
      </c>
      <c r="J1090">
        <f>IF(LEN(INDEX('Providers'!$AJ$4:$AJ$503,87))=0,"",INDEX('Providers'!$AJ$4:$AJ$503,87))</f>
        <v/>
      </c>
      <c r="K1090">
        <f>IF(LEN(INDEX('Providers'!$AI$4:$AI$503,87))=0,"",INDEX('Providers'!$AI$4:$AI$503,87))</f>
        <v/>
      </c>
    </row>
    <row r="1091">
      <c r="A1091">
        <f>IF(AND(LEN('Providers'!A91)&gt;0,ISNUMBER('Providers'!K91)),1,0)</f>
        <v/>
      </c>
      <c r="B1091">
        <f>B1090+A1091</f>
        <v/>
      </c>
      <c r="C1091">
        <f>IF(1088&gt;$B$4503,"",MATCH(1088-0.5,$B$3:$B$4503,1))</f>
        <v/>
      </c>
      <c r="D1091">
        <f>"State CSR ("&amp;IF(LEN(INDEX('Providers'!$E$4:$E$503,88))=0,"",INDEX('Providers'!$E$4:$E$503,88))&amp;") – "&amp;IF(LEN(INDEX('Providers'!$A$4:$A$503,88))=0,"",INDEX('Providers'!$A$4:$A$503,88))</f>
        <v/>
      </c>
      <c r="E1091">
        <f>IF(ISNUMBER(INDEX('Providers'!$K$4:$K$503,88)),TEXT(INDEX('Providers'!$K$4:$K$503,88),"yyyy-mm-dd"),"")</f>
        <v/>
      </c>
      <c r="F1091">
        <f>"Registration"</f>
        <v/>
      </c>
      <c r="G1091">
        <f>""</f>
        <v/>
      </c>
      <c r="H1091">
        <f>"High"</f>
        <v/>
      </c>
      <c r="I1091">
        <f>TRIM(IF(LEN(IF(LEN(INDEX('Providers'!$J$4:$J$503,88))=0,"",INDEX('Providers'!$J$4:$J$503,88)))=0,"","CSR no.: "&amp;IF(LEN(INDEX('Providers'!$J$4:$J$503,88))=0,"",INDEX('Providers'!$J$4:$J$503,88))&amp;". ")&amp;IF(LEN(IF(LEN(INDEX('Providers'!$C$4:$C$503,88))=0,"",INDEX('Providers'!$C$4:$C$503,88)))=0,"","NPI: "&amp;IF(LEN(INDEX('Providers'!$C$4:$C$503,88))=0,"",INDEX('Providers'!$C$4:$C$503,88))&amp;". "))</f>
        <v/>
      </c>
      <c r="J1091">
        <f>IF(LEN(INDEX('Providers'!$AJ$4:$AJ$503,88))=0,"",INDEX('Providers'!$AJ$4:$AJ$503,88))</f>
        <v/>
      </c>
      <c r="K1091">
        <f>IF(LEN(INDEX('Providers'!$AI$4:$AI$503,88))=0,"",INDEX('Providers'!$AI$4:$AI$503,88))</f>
        <v/>
      </c>
    </row>
    <row r="1092">
      <c r="A1092">
        <f>IF(AND(LEN('Providers'!A92)&gt;0,ISNUMBER('Providers'!K92)),1,0)</f>
        <v/>
      </c>
      <c r="B1092">
        <f>B1091+A1092</f>
        <v/>
      </c>
      <c r="C1092">
        <f>IF(1089&gt;$B$4503,"",MATCH(1089-0.5,$B$3:$B$4503,1))</f>
        <v/>
      </c>
      <c r="D1092">
        <f>"State CSR ("&amp;IF(LEN(INDEX('Providers'!$E$4:$E$503,89))=0,"",INDEX('Providers'!$E$4:$E$503,89))&amp;") – "&amp;IF(LEN(INDEX('Providers'!$A$4:$A$503,89))=0,"",INDEX('Providers'!$A$4:$A$503,89))</f>
        <v/>
      </c>
      <c r="E1092">
        <f>IF(ISNUMBER(INDEX('Providers'!$K$4:$K$503,89)),TEXT(INDEX('Providers'!$K$4:$K$503,89),"yyyy-mm-dd"),"")</f>
        <v/>
      </c>
      <c r="F1092">
        <f>"Registration"</f>
        <v/>
      </c>
      <c r="G1092">
        <f>""</f>
        <v/>
      </c>
      <c r="H1092">
        <f>"High"</f>
        <v/>
      </c>
      <c r="I1092">
        <f>TRIM(IF(LEN(IF(LEN(INDEX('Providers'!$J$4:$J$503,89))=0,"",INDEX('Providers'!$J$4:$J$503,89)))=0,"","CSR no.: "&amp;IF(LEN(INDEX('Providers'!$J$4:$J$503,89))=0,"",INDEX('Providers'!$J$4:$J$503,89))&amp;". ")&amp;IF(LEN(IF(LEN(INDEX('Providers'!$C$4:$C$503,89))=0,"",INDEX('Providers'!$C$4:$C$503,89)))=0,"","NPI: "&amp;IF(LEN(INDEX('Providers'!$C$4:$C$503,89))=0,"",INDEX('Providers'!$C$4:$C$503,89))&amp;". "))</f>
        <v/>
      </c>
      <c r="J1092">
        <f>IF(LEN(INDEX('Providers'!$AJ$4:$AJ$503,89))=0,"",INDEX('Providers'!$AJ$4:$AJ$503,89))</f>
        <v/>
      </c>
      <c r="K1092">
        <f>IF(LEN(INDEX('Providers'!$AI$4:$AI$503,89))=0,"",INDEX('Providers'!$AI$4:$AI$503,89))</f>
        <v/>
      </c>
    </row>
    <row r="1093">
      <c r="A1093">
        <f>IF(AND(LEN('Providers'!A93)&gt;0,ISNUMBER('Providers'!K93)),1,0)</f>
        <v/>
      </c>
      <c r="B1093">
        <f>B1092+A1093</f>
        <v/>
      </c>
      <c r="C1093">
        <f>IF(1090&gt;$B$4503,"",MATCH(1090-0.5,$B$3:$B$4503,1))</f>
        <v/>
      </c>
      <c r="D1093">
        <f>"State CSR ("&amp;IF(LEN(INDEX('Providers'!$E$4:$E$503,90))=0,"",INDEX('Providers'!$E$4:$E$503,90))&amp;") – "&amp;IF(LEN(INDEX('Providers'!$A$4:$A$503,90))=0,"",INDEX('Providers'!$A$4:$A$503,90))</f>
        <v/>
      </c>
      <c r="E1093">
        <f>IF(ISNUMBER(INDEX('Providers'!$K$4:$K$503,90)),TEXT(INDEX('Providers'!$K$4:$K$503,90),"yyyy-mm-dd"),"")</f>
        <v/>
      </c>
      <c r="F1093">
        <f>"Registration"</f>
        <v/>
      </c>
      <c r="G1093">
        <f>""</f>
        <v/>
      </c>
      <c r="H1093">
        <f>"High"</f>
        <v/>
      </c>
      <c r="I1093">
        <f>TRIM(IF(LEN(IF(LEN(INDEX('Providers'!$J$4:$J$503,90))=0,"",INDEX('Providers'!$J$4:$J$503,90)))=0,"","CSR no.: "&amp;IF(LEN(INDEX('Providers'!$J$4:$J$503,90))=0,"",INDEX('Providers'!$J$4:$J$503,90))&amp;". ")&amp;IF(LEN(IF(LEN(INDEX('Providers'!$C$4:$C$503,90))=0,"",INDEX('Providers'!$C$4:$C$503,90)))=0,"","NPI: "&amp;IF(LEN(INDEX('Providers'!$C$4:$C$503,90))=0,"",INDEX('Providers'!$C$4:$C$503,90))&amp;". "))</f>
        <v/>
      </c>
      <c r="J1093">
        <f>IF(LEN(INDEX('Providers'!$AJ$4:$AJ$503,90))=0,"",INDEX('Providers'!$AJ$4:$AJ$503,90))</f>
        <v/>
      </c>
      <c r="K1093">
        <f>IF(LEN(INDEX('Providers'!$AI$4:$AI$503,90))=0,"",INDEX('Providers'!$AI$4:$AI$503,90))</f>
        <v/>
      </c>
    </row>
    <row r="1094">
      <c r="A1094">
        <f>IF(AND(LEN('Providers'!A94)&gt;0,ISNUMBER('Providers'!K94)),1,0)</f>
        <v/>
      </c>
      <c r="B1094">
        <f>B1093+A1094</f>
        <v/>
      </c>
      <c r="C1094">
        <f>IF(1091&gt;$B$4503,"",MATCH(1091-0.5,$B$3:$B$4503,1))</f>
        <v/>
      </c>
      <c r="D1094">
        <f>"State CSR ("&amp;IF(LEN(INDEX('Providers'!$E$4:$E$503,91))=0,"",INDEX('Providers'!$E$4:$E$503,91))&amp;") – "&amp;IF(LEN(INDEX('Providers'!$A$4:$A$503,91))=0,"",INDEX('Providers'!$A$4:$A$503,91))</f>
        <v/>
      </c>
      <c r="E1094">
        <f>IF(ISNUMBER(INDEX('Providers'!$K$4:$K$503,91)),TEXT(INDEX('Providers'!$K$4:$K$503,91),"yyyy-mm-dd"),"")</f>
        <v/>
      </c>
      <c r="F1094">
        <f>"Registration"</f>
        <v/>
      </c>
      <c r="G1094">
        <f>""</f>
        <v/>
      </c>
      <c r="H1094">
        <f>"High"</f>
        <v/>
      </c>
      <c r="I1094">
        <f>TRIM(IF(LEN(IF(LEN(INDEX('Providers'!$J$4:$J$503,91))=0,"",INDEX('Providers'!$J$4:$J$503,91)))=0,"","CSR no.: "&amp;IF(LEN(INDEX('Providers'!$J$4:$J$503,91))=0,"",INDEX('Providers'!$J$4:$J$503,91))&amp;". ")&amp;IF(LEN(IF(LEN(INDEX('Providers'!$C$4:$C$503,91))=0,"",INDEX('Providers'!$C$4:$C$503,91)))=0,"","NPI: "&amp;IF(LEN(INDEX('Providers'!$C$4:$C$503,91))=0,"",INDEX('Providers'!$C$4:$C$503,91))&amp;". "))</f>
        <v/>
      </c>
      <c r="J1094">
        <f>IF(LEN(INDEX('Providers'!$AJ$4:$AJ$503,91))=0,"",INDEX('Providers'!$AJ$4:$AJ$503,91))</f>
        <v/>
      </c>
      <c r="K1094">
        <f>IF(LEN(INDEX('Providers'!$AI$4:$AI$503,91))=0,"",INDEX('Providers'!$AI$4:$AI$503,91))</f>
        <v/>
      </c>
    </row>
    <row r="1095">
      <c r="A1095">
        <f>IF(AND(LEN('Providers'!A95)&gt;0,ISNUMBER('Providers'!K95)),1,0)</f>
        <v/>
      </c>
      <c r="B1095">
        <f>B1094+A1095</f>
        <v/>
      </c>
      <c r="C1095">
        <f>IF(1092&gt;$B$4503,"",MATCH(1092-0.5,$B$3:$B$4503,1))</f>
        <v/>
      </c>
      <c r="D1095">
        <f>"State CSR ("&amp;IF(LEN(INDEX('Providers'!$E$4:$E$503,92))=0,"",INDEX('Providers'!$E$4:$E$503,92))&amp;") – "&amp;IF(LEN(INDEX('Providers'!$A$4:$A$503,92))=0,"",INDEX('Providers'!$A$4:$A$503,92))</f>
        <v/>
      </c>
      <c r="E1095">
        <f>IF(ISNUMBER(INDEX('Providers'!$K$4:$K$503,92)),TEXT(INDEX('Providers'!$K$4:$K$503,92),"yyyy-mm-dd"),"")</f>
        <v/>
      </c>
      <c r="F1095">
        <f>"Registration"</f>
        <v/>
      </c>
      <c r="G1095">
        <f>""</f>
        <v/>
      </c>
      <c r="H1095">
        <f>"High"</f>
        <v/>
      </c>
      <c r="I1095">
        <f>TRIM(IF(LEN(IF(LEN(INDEX('Providers'!$J$4:$J$503,92))=0,"",INDEX('Providers'!$J$4:$J$503,92)))=0,"","CSR no.: "&amp;IF(LEN(INDEX('Providers'!$J$4:$J$503,92))=0,"",INDEX('Providers'!$J$4:$J$503,92))&amp;". ")&amp;IF(LEN(IF(LEN(INDEX('Providers'!$C$4:$C$503,92))=0,"",INDEX('Providers'!$C$4:$C$503,92)))=0,"","NPI: "&amp;IF(LEN(INDEX('Providers'!$C$4:$C$503,92))=0,"",INDEX('Providers'!$C$4:$C$503,92))&amp;". "))</f>
        <v/>
      </c>
      <c r="J1095">
        <f>IF(LEN(INDEX('Providers'!$AJ$4:$AJ$503,92))=0,"",INDEX('Providers'!$AJ$4:$AJ$503,92))</f>
        <v/>
      </c>
      <c r="K1095">
        <f>IF(LEN(INDEX('Providers'!$AI$4:$AI$503,92))=0,"",INDEX('Providers'!$AI$4:$AI$503,92))</f>
        <v/>
      </c>
    </row>
    <row r="1096">
      <c r="A1096">
        <f>IF(AND(LEN('Providers'!A96)&gt;0,ISNUMBER('Providers'!K96)),1,0)</f>
        <v/>
      </c>
      <c r="B1096">
        <f>B1095+A1096</f>
        <v/>
      </c>
      <c r="C1096">
        <f>IF(1093&gt;$B$4503,"",MATCH(1093-0.5,$B$3:$B$4503,1))</f>
        <v/>
      </c>
      <c r="D1096">
        <f>"State CSR ("&amp;IF(LEN(INDEX('Providers'!$E$4:$E$503,93))=0,"",INDEX('Providers'!$E$4:$E$503,93))&amp;") – "&amp;IF(LEN(INDEX('Providers'!$A$4:$A$503,93))=0,"",INDEX('Providers'!$A$4:$A$503,93))</f>
        <v/>
      </c>
      <c r="E1096">
        <f>IF(ISNUMBER(INDEX('Providers'!$K$4:$K$503,93)),TEXT(INDEX('Providers'!$K$4:$K$503,93),"yyyy-mm-dd"),"")</f>
        <v/>
      </c>
      <c r="F1096">
        <f>"Registration"</f>
        <v/>
      </c>
      <c r="G1096">
        <f>""</f>
        <v/>
      </c>
      <c r="H1096">
        <f>"High"</f>
        <v/>
      </c>
      <c r="I1096">
        <f>TRIM(IF(LEN(IF(LEN(INDEX('Providers'!$J$4:$J$503,93))=0,"",INDEX('Providers'!$J$4:$J$503,93)))=0,"","CSR no.: "&amp;IF(LEN(INDEX('Providers'!$J$4:$J$503,93))=0,"",INDEX('Providers'!$J$4:$J$503,93))&amp;". ")&amp;IF(LEN(IF(LEN(INDEX('Providers'!$C$4:$C$503,93))=0,"",INDEX('Providers'!$C$4:$C$503,93)))=0,"","NPI: "&amp;IF(LEN(INDEX('Providers'!$C$4:$C$503,93))=0,"",INDEX('Providers'!$C$4:$C$503,93))&amp;". "))</f>
        <v/>
      </c>
      <c r="J1096">
        <f>IF(LEN(INDEX('Providers'!$AJ$4:$AJ$503,93))=0,"",INDEX('Providers'!$AJ$4:$AJ$503,93))</f>
        <v/>
      </c>
      <c r="K1096">
        <f>IF(LEN(INDEX('Providers'!$AI$4:$AI$503,93))=0,"",INDEX('Providers'!$AI$4:$AI$503,93))</f>
        <v/>
      </c>
    </row>
    <row r="1097">
      <c r="A1097">
        <f>IF(AND(LEN('Providers'!A97)&gt;0,ISNUMBER('Providers'!K97)),1,0)</f>
        <v/>
      </c>
      <c r="B1097">
        <f>B1096+A1097</f>
        <v/>
      </c>
      <c r="C1097">
        <f>IF(1094&gt;$B$4503,"",MATCH(1094-0.5,$B$3:$B$4503,1))</f>
        <v/>
      </c>
      <c r="D1097">
        <f>"State CSR ("&amp;IF(LEN(INDEX('Providers'!$E$4:$E$503,94))=0,"",INDEX('Providers'!$E$4:$E$503,94))&amp;") – "&amp;IF(LEN(INDEX('Providers'!$A$4:$A$503,94))=0,"",INDEX('Providers'!$A$4:$A$503,94))</f>
        <v/>
      </c>
      <c r="E1097">
        <f>IF(ISNUMBER(INDEX('Providers'!$K$4:$K$503,94)),TEXT(INDEX('Providers'!$K$4:$K$503,94),"yyyy-mm-dd"),"")</f>
        <v/>
      </c>
      <c r="F1097">
        <f>"Registration"</f>
        <v/>
      </c>
      <c r="G1097">
        <f>""</f>
        <v/>
      </c>
      <c r="H1097">
        <f>"High"</f>
        <v/>
      </c>
      <c r="I1097">
        <f>TRIM(IF(LEN(IF(LEN(INDEX('Providers'!$J$4:$J$503,94))=0,"",INDEX('Providers'!$J$4:$J$503,94)))=0,"","CSR no.: "&amp;IF(LEN(INDEX('Providers'!$J$4:$J$503,94))=0,"",INDEX('Providers'!$J$4:$J$503,94))&amp;". ")&amp;IF(LEN(IF(LEN(INDEX('Providers'!$C$4:$C$503,94))=0,"",INDEX('Providers'!$C$4:$C$503,94)))=0,"","NPI: "&amp;IF(LEN(INDEX('Providers'!$C$4:$C$503,94))=0,"",INDEX('Providers'!$C$4:$C$503,94))&amp;". "))</f>
        <v/>
      </c>
      <c r="J1097">
        <f>IF(LEN(INDEX('Providers'!$AJ$4:$AJ$503,94))=0,"",INDEX('Providers'!$AJ$4:$AJ$503,94))</f>
        <v/>
      </c>
      <c r="K1097">
        <f>IF(LEN(INDEX('Providers'!$AI$4:$AI$503,94))=0,"",INDEX('Providers'!$AI$4:$AI$503,94))</f>
        <v/>
      </c>
    </row>
    <row r="1098">
      <c r="A1098">
        <f>IF(AND(LEN('Providers'!A98)&gt;0,ISNUMBER('Providers'!K98)),1,0)</f>
        <v/>
      </c>
      <c r="B1098">
        <f>B1097+A1098</f>
        <v/>
      </c>
      <c r="C1098">
        <f>IF(1095&gt;$B$4503,"",MATCH(1095-0.5,$B$3:$B$4503,1))</f>
        <v/>
      </c>
      <c r="D1098">
        <f>"State CSR ("&amp;IF(LEN(INDEX('Providers'!$E$4:$E$503,95))=0,"",INDEX('Providers'!$E$4:$E$503,95))&amp;") – "&amp;IF(LEN(INDEX('Providers'!$A$4:$A$503,95))=0,"",INDEX('Providers'!$A$4:$A$503,95))</f>
        <v/>
      </c>
      <c r="E1098">
        <f>IF(ISNUMBER(INDEX('Providers'!$K$4:$K$503,95)),TEXT(INDEX('Providers'!$K$4:$K$503,95),"yyyy-mm-dd"),"")</f>
        <v/>
      </c>
      <c r="F1098">
        <f>"Registration"</f>
        <v/>
      </c>
      <c r="G1098">
        <f>""</f>
        <v/>
      </c>
      <c r="H1098">
        <f>"High"</f>
        <v/>
      </c>
      <c r="I1098">
        <f>TRIM(IF(LEN(IF(LEN(INDEX('Providers'!$J$4:$J$503,95))=0,"",INDEX('Providers'!$J$4:$J$503,95)))=0,"","CSR no.: "&amp;IF(LEN(INDEX('Providers'!$J$4:$J$503,95))=0,"",INDEX('Providers'!$J$4:$J$503,95))&amp;". ")&amp;IF(LEN(IF(LEN(INDEX('Providers'!$C$4:$C$503,95))=0,"",INDEX('Providers'!$C$4:$C$503,95)))=0,"","NPI: "&amp;IF(LEN(INDEX('Providers'!$C$4:$C$503,95))=0,"",INDEX('Providers'!$C$4:$C$503,95))&amp;". "))</f>
        <v/>
      </c>
      <c r="J1098">
        <f>IF(LEN(INDEX('Providers'!$AJ$4:$AJ$503,95))=0,"",INDEX('Providers'!$AJ$4:$AJ$503,95))</f>
        <v/>
      </c>
      <c r="K1098">
        <f>IF(LEN(INDEX('Providers'!$AI$4:$AI$503,95))=0,"",INDEX('Providers'!$AI$4:$AI$503,95))</f>
        <v/>
      </c>
    </row>
    <row r="1099">
      <c r="A1099">
        <f>IF(AND(LEN('Providers'!A99)&gt;0,ISNUMBER('Providers'!K99)),1,0)</f>
        <v/>
      </c>
      <c r="B1099">
        <f>B1098+A1099</f>
        <v/>
      </c>
      <c r="C1099">
        <f>IF(1096&gt;$B$4503,"",MATCH(1096-0.5,$B$3:$B$4503,1))</f>
        <v/>
      </c>
      <c r="D1099">
        <f>"State CSR ("&amp;IF(LEN(INDEX('Providers'!$E$4:$E$503,96))=0,"",INDEX('Providers'!$E$4:$E$503,96))&amp;") – "&amp;IF(LEN(INDEX('Providers'!$A$4:$A$503,96))=0,"",INDEX('Providers'!$A$4:$A$503,96))</f>
        <v/>
      </c>
      <c r="E1099">
        <f>IF(ISNUMBER(INDEX('Providers'!$K$4:$K$503,96)),TEXT(INDEX('Providers'!$K$4:$K$503,96),"yyyy-mm-dd"),"")</f>
        <v/>
      </c>
      <c r="F1099">
        <f>"Registration"</f>
        <v/>
      </c>
      <c r="G1099">
        <f>""</f>
        <v/>
      </c>
      <c r="H1099">
        <f>"High"</f>
        <v/>
      </c>
      <c r="I1099">
        <f>TRIM(IF(LEN(IF(LEN(INDEX('Providers'!$J$4:$J$503,96))=0,"",INDEX('Providers'!$J$4:$J$503,96)))=0,"","CSR no.: "&amp;IF(LEN(INDEX('Providers'!$J$4:$J$503,96))=0,"",INDEX('Providers'!$J$4:$J$503,96))&amp;". ")&amp;IF(LEN(IF(LEN(INDEX('Providers'!$C$4:$C$503,96))=0,"",INDEX('Providers'!$C$4:$C$503,96)))=0,"","NPI: "&amp;IF(LEN(INDEX('Providers'!$C$4:$C$503,96))=0,"",INDEX('Providers'!$C$4:$C$503,96))&amp;". "))</f>
        <v/>
      </c>
      <c r="J1099">
        <f>IF(LEN(INDEX('Providers'!$AJ$4:$AJ$503,96))=0,"",INDEX('Providers'!$AJ$4:$AJ$503,96))</f>
        <v/>
      </c>
      <c r="K1099">
        <f>IF(LEN(INDEX('Providers'!$AI$4:$AI$503,96))=0,"",INDEX('Providers'!$AI$4:$AI$503,96))</f>
        <v/>
      </c>
    </row>
    <row r="1100">
      <c r="A1100">
        <f>IF(AND(LEN('Providers'!A100)&gt;0,ISNUMBER('Providers'!K100)),1,0)</f>
        <v/>
      </c>
      <c r="B1100">
        <f>B1099+A1100</f>
        <v/>
      </c>
      <c r="C1100">
        <f>IF(1097&gt;$B$4503,"",MATCH(1097-0.5,$B$3:$B$4503,1))</f>
        <v/>
      </c>
      <c r="D1100">
        <f>"State CSR ("&amp;IF(LEN(INDEX('Providers'!$E$4:$E$503,97))=0,"",INDEX('Providers'!$E$4:$E$503,97))&amp;") – "&amp;IF(LEN(INDEX('Providers'!$A$4:$A$503,97))=0,"",INDEX('Providers'!$A$4:$A$503,97))</f>
        <v/>
      </c>
      <c r="E1100">
        <f>IF(ISNUMBER(INDEX('Providers'!$K$4:$K$503,97)),TEXT(INDEX('Providers'!$K$4:$K$503,97),"yyyy-mm-dd"),"")</f>
        <v/>
      </c>
      <c r="F1100">
        <f>"Registration"</f>
        <v/>
      </c>
      <c r="G1100">
        <f>""</f>
        <v/>
      </c>
      <c r="H1100">
        <f>"High"</f>
        <v/>
      </c>
      <c r="I1100">
        <f>TRIM(IF(LEN(IF(LEN(INDEX('Providers'!$J$4:$J$503,97))=0,"",INDEX('Providers'!$J$4:$J$503,97)))=0,"","CSR no.: "&amp;IF(LEN(INDEX('Providers'!$J$4:$J$503,97))=0,"",INDEX('Providers'!$J$4:$J$503,97))&amp;". ")&amp;IF(LEN(IF(LEN(INDEX('Providers'!$C$4:$C$503,97))=0,"",INDEX('Providers'!$C$4:$C$503,97)))=0,"","NPI: "&amp;IF(LEN(INDEX('Providers'!$C$4:$C$503,97))=0,"",INDEX('Providers'!$C$4:$C$503,97))&amp;". "))</f>
        <v/>
      </c>
      <c r="J1100">
        <f>IF(LEN(INDEX('Providers'!$AJ$4:$AJ$503,97))=0,"",INDEX('Providers'!$AJ$4:$AJ$503,97))</f>
        <v/>
      </c>
      <c r="K1100">
        <f>IF(LEN(INDEX('Providers'!$AI$4:$AI$503,97))=0,"",INDEX('Providers'!$AI$4:$AI$503,97))</f>
        <v/>
      </c>
    </row>
    <row r="1101">
      <c r="A1101">
        <f>IF(AND(LEN('Providers'!A101)&gt;0,ISNUMBER('Providers'!K101)),1,0)</f>
        <v/>
      </c>
      <c r="B1101">
        <f>B1100+A1101</f>
        <v/>
      </c>
      <c r="C1101">
        <f>IF(1098&gt;$B$4503,"",MATCH(1098-0.5,$B$3:$B$4503,1))</f>
        <v/>
      </c>
      <c r="D1101">
        <f>"State CSR ("&amp;IF(LEN(INDEX('Providers'!$E$4:$E$503,98))=0,"",INDEX('Providers'!$E$4:$E$503,98))&amp;") – "&amp;IF(LEN(INDEX('Providers'!$A$4:$A$503,98))=0,"",INDEX('Providers'!$A$4:$A$503,98))</f>
        <v/>
      </c>
      <c r="E1101">
        <f>IF(ISNUMBER(INDEX('Providers'!$K$4:$K$503,98)),TEXT(INDEX('Providers'!$K$4:$K$503,98),"yyyy-mm-dd"),"")</f>
        <v/>
      </c>
      <c r="F1101">
        <f>"Registration"</f>
        <v/>
      </c>
      <c r="G1101">
        <f>""</f>
        <v/>
      </c>
      <c r="H1101">
        <f>"High"</f>
        <v/>
      </c>
      <c r="I1101">
        <f>TRIM(IF(LEN(IF(LEN(INDEX('Providers'!$J$4:$J$503,98))=0,"",INDEX('Providers'!$J$4:$J$503,98)))=0,"","CSR no.: "&amp;IF(LEN(INDEX('Providers'!$J$4:$J$503,98))=0,"",INDEX('Providers'!$J$4:$J$503,98))&amp;". ")&amp;IF(LEN(IF(LEN(INDEX('Providers'!$C$4:$C$503,98))=0,"",INDEX('Providers'!$C$4:$C$503,98)))=0,"","NPI: "&amp;IF(LEN(INDEX('Providers'!$C$4:$C$503,98))=0,"",INDEX('Providers'!$C$4:$C$503,98))&amp;". "))</f>
        <v/>
      </c>
      <c r="J1101">
        <f>IF(LEN(INDEX('Providers'!$AJ$4:$AJ$503,98))=0,"",INDEX('Providers'!$AJ$4:$AJ$503,98))</f>
        <v/>
      </c>
      <c r="K1101">
        <f>IF(LEN(INDEX('Providers'!$AI$4:$AI$503,98))=0,"",INDEX('Providers'!$AI$4:$AI$503,98))</f>
        <v/>
      </c>
    </row>
    <row r="1102">
      <c r="A1102">
        <f>IF(AND(LEN('Providers'!A102)&gt;0,ISNUMBER('Providers'!K102)),1,0)</f>
        <v/>
      </c>
      <c r="B1102">
        <f>B1101+A1102</f>
        <v/>
      </c>
      <c r="C1102">
        <f>IF(1099&gt;$B$4503,"",MATCH(1099-0.5,$B$3:$B$4503,1))</f>
        <v/>
      </c>
      <c r="D1102">
        <f>"State CSR ("&amp;IF(LEN(INDEX('Providers'!$E$4:$E$503,99))=0,"",INDEX('Providers'!$E$4:$E$503,99))&amp;") – "&amp;IF(LEN(INDEX('Providers'!$A$4:$A$503,99))=0,"",INDEX('Providers'!$A$4:$A$503,99))</f>
        <v/>
      </c>
      <c r="E1102">
        <f>IF(ISNUMBER(INDEX('Providers'!$K$4:$K$503,99)),TEXT(INDEX('Providers'!$K$4:$K$503,99),"yyyy-mm-dd"),"")</f>
        <v/>
      </c>
      <c r="F1102">
        <f>"Registration"</f>
        <v/>
      </c>
      <c r="G1102">
        <f>""</f>
        <v/>
      </c>
      <c r="H1102">
        <f>"High"</f>
        <v/>
      </c>
      <c r="I1102">
        <f>TRIM(IF(LEN(IF(LEN(INDEX('Providers'!$J$4:$J$503,99))=0,"",INDEX('Providers'!$J$4:$J$503,99)))=0,"","CSR no.: "&amp;IF(LEN(INDEX('Providers'!$J$4:$J$503,99))=0,"",INDEX('Providers'!$J$4:$J$503,99))&amp;". ")&amp;IF(LEN(IF(LEN(INDEX('Providers'!$C$4:$C$503,99))=0,"",INDEX('Providers'!$C$4:$C$503,99)))=0,"","NPI: "&amp;IF(LEN(INDEX('Providers'!$C$4:$C$503,99))=0,"",INDEX('Providers'!$C$4:$C$503,99))&amp;". "))</f>
        <v/>
      </c>
      <c r="J1102">
        <f>IF(LEN(INDEX('Providers'!$AJ$4:$AJ$503,99))=0,"",INDEX('Providers'!$AJ$4:$AJ$503,99))</f>
        <v/>
      </c>
      <c r="K1102">
        <f>IF(LEN(INDEX('Providers'!$AI$4:$AI$503,99))=0,"",INDEX('Providers'!$AI$4:$AI$503,99))</f>
        <v/>
      </c>
    </row>
    <row r="1103">
      <c r="A1103">
        <f>IF(AND(LEN('Providers'!A103)&gt;0,ISNUMBER('Providers'!K103)),1,0)</f>
        <v/>
      </c>
      <c r="B1103">
        <f>B1102+A1103</f>
        <v/>
      </c>
      <c r="C1103">
        <f>IF(1100&gt;$B$4503,"",MATCH(1100-0.5,$B$3:$B$4503,1))</f>
        <v/>
      </c>
      <c r="D1103">
        <f>"State CSR ("&amp;IF(LEN(INDEX('Providers'!$E$4:$E$503,100))=0,"",INDEX('Providers'!$E$4:$E$503,100))&amp;") – "&amp;IF(LEN(INDEX('Providers'!$A$4:$A$503,100))=0,"",INDEX('Providers'!$A$4:$A$503,100))</f>
        <v/>
      </c>
      <c r="E1103">
        <f>IF(ISNUMBER(INDEX('Providers'!$K$4:$K$503,100)),TEXT(INDEX('Providers'!$K$4:$K$503,100),"yyyy-mm-dd"),"")</f>
        <v/>
      </c>
      <c r="F1103">
        <f>"Registration"</f>
        <v/>
      </c>
      <c r="G1103">
        <f>""</f>
        <v/>
      </c>
      <c r="H1103">
        <f>"High"</f>
        <v/>
      </c>
      <c r="I1103">
        <f>TRIM(IF(LEN(IF(LEN(INDEX('Providers'!$J$4:$J$503,100))=0,"",INDEX('Providers'!$J$4:$J$503,100)))=0,"","CSR no.: "&amp;IF(LEN(INDEX('Providers'!$J$4:$J$503,100))=0,"",INDEX('Providers'!$J$4:$J$503,100))&amp;". ")&amp;IF(LEN(IF(LEN(INDEX('Providers'!$C$4:$C$503,100))=0,"",INDEX('Providers'!$C$4:$C$503,100)))=0,"","NPI: "&amp;IF(LEN(INDEX('Providers'!$C$4:$C$503,100))=0,"",INDEX('Providers'!$C$4:$C$503,100))&amp;". "))</f>
        <v/>
      </c>
      <c r="J1103">
        <f>IF(LEN(INDEX('Providers'!$AJ$4:$AJ$503,100))=0,"",INDEX('Providers'!$AJ$4:$AJ$503,100))</f>
        <v/>
      </c>
      <c r="K1103">
        <f>IF(LEN(INDEX('Providers'!$AI$4:$AI$503,100))=0,"",INDEX('Providers'!$AI$4:$AI$503,100))</f>
        <v/>
      </c>
    </row>
    <row r="1104">
      <c r="A1104">
        <f>IF(AND(LEN('Providers'!A104)&gt;0,ISNUMBER('Providers'!K104)),1,0)</f>
        <v/>
      </c>
      <c r="B1104">
        <f>B1103+A1104</f>
        <v/>
      </c>
      <c r="C1104">
        <f>IF(1101&gt;$B$4503,"",MATCH(1101-0.5,$B$3:$B$4503,1))</f>
        <v/>
      </c>
      <c r="D1104">
        <f>"State CSR ("&amp;IF(LEN(INDEX('Providers'!$E$4:$E$503,101))=0,"",INDEX('Providers'!$E$4:$E$503,101))&amp;") – "&amp;IF(LEN(INDEX('Providers'!$A$4:$A$503,101))=0,"",INDEX('Providers'!$A$4:$A$503,101))</f>
        <v/>
      </c>
      <c r="E1104">
        <f>IF(ISNUMBER(INDEX('Providers'!$K$4:$K$503,101)),TEXT(INDEX('Providers'!$K$4:$K$503,101),"yyyy-mm-dd"),"")</f>
        <v/>
      </c>
      <c r="F1104">
        <f>"Registration"</f>
        <v/>
      </c>
      <c r="G1104">
        <f>""</f>
        <v/>
      </c>
      <c r="H1104">
        <f>"High"</f>
        <v/>
      </c>
      <c r="I1104">
        <f>TRIM(IF(LEN(IF(LEN(INDEX('Providers'!$J$4:$J$503,101))=0,"",INDEX('Providers'!$J$4:$J$503,101)))=0,"","CSR no.: "&amp;IF(LEN(INDEX('Providers'!$J$4:$J$503,101))=0,"",INDEX('Providers'!$J$4:$J$503,101))&amp;". ")&amp;IF(LEN(IF(LEN(INDEX('Providers'!$C$4:$C$503,101))=0,"",INDEX('Providers'!$C$4:$C$503,101)))=0,"","NPI: "&amp;IF(LEN(INDEX('Providers'!$C$4:$C$503,101))=0,"",INDEX('Providers'!$C$4:$C$503,101))&amp;". "))</f>
        <v/>
      </c>
      <c r="J1104">
        <f>IF(LEN(INDEX('Providers'!$AJ$4:$AJ$503,101))=0,"",INDEX('Providers'!$AJ$4:$AJ$503,101))</f>
        <v/>
      </c>
      <c r="K1104">
        <f>IF(LEN(INDEX('Providers'!$AI$4:$AI$503,101))=0,"",INDEX('Providers'!$AI$4:$AI$503,101))</f>
        <v/>
      </c>
    </row>
    <row r="1105">
      <c r="A1105">
        <f>IF(AND(LEN('Providers'!A105)&gt;0,ISNUMBER('Providers'!K105)),1,0)</f>
        <v/>
      </c>
      <c r="B1105">
        <f>B1104+A1105</f>
        <v/>
      </c>
      <c r="C1105">
        <f>IF(1102&gt;$B$4503,"",MATCH(1102-0.5,$B$3:$B$4503,1))</f>
        <v/>
      </c>
      <c r="D1105">
        <f>"State CSR ("&amp;IF(LEN(INDEX('Providers'!$E$4:$E$503,102))=0,"",INDEX('Providers'!$E$4:$E$503,102))&amp;") – "&amp;IF(LEN(INDEX('Providers'!$A$4:$A$503,102))=0,"",INDEX('Providers'!$A$4:$A$503,102))</f>
        <v/>
      </c>
      <c r="E1105">
        <f>IF(ISNUMBER(INDEX('Providers'!$K$4:$K$503,102)),TEXT(INDEX('Providers'!$K$4:$K$503,102),"yyyy-mm-dd"),"")</f>
        <v/>
      </c>
      <c r="F1105">
        <f>"Registration"</f>
        <v/>
      </c>
      <c r="G1105">
        <f>""</f>
        <v/>
      </c>
      <c r="H1105">
        <f>"High"</f>
        <v/>
      </c>
      <c r="I1105">
        <f>TRIM(IF(LEN(IF(LEN(INDEX('Providers'!$J$4:$J$503,102))=0,"",INDEX('Providers'!$J$4:$J$503,102)))=0,"","CSR no.: "&amp;IF(LEN(INDEX('Providers'!$J$4:$J$503,102))=0,"",INDEX('Providers'!$J$4:$J$503,102))&amp;". ")&amp;IF(LEN(IF(LEN(INDEX('Providers'!$C$4:$C$503,102))=0,"",INDEX('Providers'!$C$4:$C$503,102)))=0,"","NPI: "&amp;IF(LEN(INDEX('Providers'!$C$4:$C$503,102))=0,"",INDEX('Providers'!$C$4:$C$503,102))&amp;". "))</f>
        <v/>
      </c>
      <c r="J1105">
        <f>IF(LEN(INDEX('Providers'!$AJ$4:$AJ$503,102))=0,"",INDEX('Providers'!$AJ$4:$AJ$503,102))</f>
        <v/>
      </c>
      <c r="K1105">
        <f>IF(LEN(INDEX('Providers'!$AI$4:$AI$503,102))=0,"",INDEX('Providers'!$AI$4:$AI$503,102))</f>
        <v/>
      </c>
    </row>
    <row r="1106">
      <c r="A1106">
        <f>IF(AND(LEN('Providers'!A106)&gt;0,ISNUMBER('Providers'!K106)),1,0)</f>
        <v/>
      </c>
      <c r="B1106">
        <f>B1105+A1106</f>
        <v/>
      </c>
      <c r="C1106">
        <f>IF(1103&gt;$B$4503,"",MATCH(1103-0.5,$B$3:$B$4503,1))</f>
        <v/>
      </c>
      <c r="D1106">
        <f>"State CSR ("&amp;IF(LEN(INDEX('Providers'!$E$4:$E$503,103))=0,"",INDEX('Providers'!$E$4:$E$503,103))&amp;") – "&amp;IF(LEN(INDEX('Providers'!$A$4:$A$503,103))=0,"",INDEX('Providers'!$A$4:$A$503,103))</f>
        <v/>
      </c>
      <c r="E1106">
        <f>IF(ISNUMBER(INDEX('Providers'!$K$4:$K$503,103)),TEXT(INDEX('Providers'!$K$4:$K$503,103),"yyyy-mm-dd"),"")</f>
        <v/>
      </c>
      <c r="F1106">
        <f>"Registration"</f>
        <v/>
      </c>
      <c r="G1106">
        <f>""</f>
        <v/>
      </c>
      <c r="H1106">
        <f>"High"</f>
        <v/>
      </c>
      <c r="I1106">
        <f>TRIM(IF(LEN(IF(LEN(INDEX('Providers'!$J$4:$J$503,103))=0,"",INDEX('Providers'!$J$4:$J$503,103)))=0,"","CSR no.: "&amp;IF(LEN(INDEX('Providers'!$J$4:$J$503,103))=0,"",INDEX('Providers'!$J$4:$J$503,103))&amp;". ")&amp;IF(LEN(IF(LEN(INDEX('Providers'!$C$4:$C$503,103))=0,"",INDEX('Providers'!$C$4:$C$503,103)))=0,"","NPI: "&amp;IF(LEN(INDEX('Providers'!$C$4:$C$503,103))=0,"",INDEX('Providers'!$C$4:$C$503,103))&amp;". "))</f>
        <v/>
      </c>
      <c r="J1106">
        <f>IF(LEN(INDEX('Providers'!$AJ$4:$AJ$503,103))=0,"",INDEX('Providers'!$AJ$4:$AJ$503,103))</f>
        <v/>
      </c>
      <c r="K1106">
        <f>IF(LEN(INDEX('Providers'!$AI$4:$AI$503,103))=0,"",INDEX('Providers'!$AI$4:$AI$503,103))</f>
        <v/>
      </c>
    </row>
    <row r="1107">
      <c r="A1107">
        <f>IF(AND(LEN('Providers'!A107)&gt;0,ISNUMBER('Providers'!K107)),1,0)</f>
        <v/>
      </c>
      <c r="B1107">
        <f>B1106+A1107</f>
        <v/>
      </c>
      <c r="C1107">
        <f>IF(1104&gt;$B$4503,"",MATCH(1104-0.5,$B$3:$B$4503,1))</f>
        <v/>
      </c>
      <c r="D1107">
        <f>"State CSR ("&amp;IF(LEN(INDEX('Providers'!$E$4:$E$503,104))=0,"",INDEX('Providers'!$E$4:$E$503,104))&amp;") – "&amp;IF(LEN(INDEX('Providers'!$A$4:$A$503,104))=0,"",INDEX('Providers'!$A$4:$A$503,104))</f>
        <v/>
      </c>
      <c r="E1107">
        <f>IF(ISNUMBER(INDEX('Providers'!$K$4:$K$503,104)),TEXT(INDEX('Providers'!$K$4:$K$503,104),"yyyy-mm-dd"),"")</f>
        <v/>
      </c>
      <c r="F1107">
        <f>"Registration"</f>
        <v/>
      </c>
      <c r="G1107">
        <f>""</f>
        <v/>
      </c>
      <c r="H1107">
        <f>"High"</f>
        <v/>
      </c>
      <c r="I1107">
        <f>TRIM(IF(LEN(IF(LEN(INDEX('Providers'!$J$4:$J$503,104))=0,"",INDEX('Providers'!$J$4:$J$503,104)))=0,"","CSR no.: "&amp;IF(LEN(INDEX('Providers'!$J$4:$J$503,104))=0,"",INDEX('Providers'!$J$4:$J$503,104))&amp;". ")&amp;IF(LEN(IF(LEN(INDEX('Providers'!$C$4:$C$503,104))=0,"",INDEX('Providers'!$C$4:$C$503,104)))=0,"","NPI: "&amp;IF(LEN(INDEX('Providers'!$C$4:$C$503,104))=0,"",INDEX('Providers'!$C$4:$C$503,104))&amp;". "))</f>
        <v/>
      </c>
      <c r="J1107">
        <f>IF(LEN(INDEX('Providers'!$AJ$4:$AJ$503,104))=0,"",INDEX('Providers'!$AJ$4:$AJ$503,104))</f>
        <v/>
      </c>
      <c r="K1107">
        <f>IF(LEN(INDEX('Providers'!$AI$4:$AI$503,104))=0,"",INDEX('Providers'!$AI$4:$AI$503,104))</f>
        <v/>
      </c>
    </row>
    <row r="1108">
      <c r="A1108">
        <f>IF(AND(LEN('Providers'!A108)&gt;0,ISNUMBER('Providers'!K108)),1,0)</f>
        <v/>
      </c>
      <c r="B1108">
        <f>B1107+A1108</f>
        <v/>
      </c>
      <c r="C1108">
        <f>IF(1105&gt;$B$4503,"",MATCH(1105-0.5,$B$3:$B$4503,1))</f>
        <v/>
      </c>
      <c r="D1108">
        <f>"State CSR ("&amp;IF(LEN(INDEX('Providers'!$E$4:$E$503,105))=0,"",INDEX('Providers'!$E$4:$E$503,105))&amp;") – "&amp;IF(LEN(INDEX('Providers'!$A$4:$A$503,105))=0,"",INDEX('Providers'!$A$4:$A$503,105))</f>
        <v/>
      </c>
      <c r="E1108">
        <f>IF(ISNUMBER(INDEX('Providers'!$K$4:$K$503,105)),TEXT(INDEX('Providers'!$K$4:$K$503,105),"yyyy-mm-dd"),"")</f>
        <v/>
      </c>
      <c r="F1108">
        <f>"Registration"</f>
        <v/>
      </c>
      <c r="G1108">
        <f>""</f>
        <v/>
      </c>
      <c r="H1108">
        <f>"High"</f>
        <v/>
      </c>
      <c r="I1108">
        <f>TRIM(IF(LEN(IF(LEN(INDEX('Providers'!$J$4:$J$503,105))=0,"",INDEX('Providers'!$J$4:$J$503,105)))=0,"","CSR no.: "&amp;IF(LEN(INDEX('Providers'!$J$4:$J$503,105))=0,"",INDEX('Providers'!$J$4:$J$503,105))&amp;". ")&amp;IF(LEN(IF(LEN(INDEX('Providers'!$C$4:$C$503,105))=0,"",INDEX('Providers'!$C$4:$C$503,105)))=0,"","NPI: "&amp;IF(LEN(INDEX('Providers'!$C$4:$C$503,105))=0,"",INDEX('Providers'!$C$4:$C$503,105))&amp;". "))</f>
        <v/>
      </c>
      <c r="J1108">
        <f>IF(LEN(INDEX('Providers'!$AJ$4:$AJ$503,105))=0,"",INDEX('Providers'!$AJ$4:$AJ$503,105))</f>
        <v/>
      </c>
      <c r="K1108">
        <f>IF(LEN(INDEX('Providers'!$AI$4:$AI$503,105))=0,"",INDEX('Providers'!$AI$4:$AI$503,105))</f>
        <v/>
      </c>
    </row>
    <row r="1109">
      <c r="A1109">
        <f>IF(AND(LEN('Providers'!A109)&gt;0,ISNUMBER('Providers'!K109)),1,0)</f>
        <v/>
      </c>
      <c r="B1109">
        <f>B1108+A1109</f>
        <v/>
      </c>
      <c r="C1109">
        <f>IF(1106&gt;$B$4503,"",MATCH(1106-0.5,$B$3:$B$4503,1))</f>
        <v/>
      </c>
      <c r="D1109">
        <f>"State CSR ("&amp;IF(LEN(INDEX('Providers'!$E$4:$E$503,106))=0,"",INDEX('Providers'!$E$4:$E$503,106))&amp;") – "&amp;IF(LEN(INDEX('Providers'!$A$4:$A$503,106))=0,"",INDEX('Providers'!$A$4:$A$503,106))</f>
        <v/>
      </c>
      <c r="E1109">
        <f>IF(ISNUMBER(INDEX('Providers'!$K$4:$K$503,106)),TEXT(INDEX('Providers'!$K$4:$K$503,106),"yyyy-mm-dd"),"")</f>
        <v/>
      </c>
      <c r="F1109">
        <f>"Registration"</f>
        <v/>
      </c>
      <c r="G1109">
        <f>""</f>
        <v/>
      </c>
      <c r="H1109">
        <f>"High"</f>
        <v/>
      </c>
      <c r="I1109">
        <f>TRIM(IF(LEN(IF(LEN(INDEX('Providers'!$J$4:$J$503,106))=0,"",INDEX('Providers'!$J$4:$J$503,106)))=0,"","CSR no.: "&amp;IF(LEN(INDEX('Providers'!$J$4:$J$503,106))=0,"",INDEX('Providers'!$J$4:$J$503,106))&amp;". ")&amp;IF(LEN(IF(LEN(INDEX('Providers'!$C$4:$C$503,106))=0,"",INDEX('Providers'!$C$4:$C$503,106)))=0,"","NPI: "&amp;IF(LEN(INDEX('Providers'!$C$4:$C$503,106))=0,"",INDEX('Providers'!$C$4:$C$503,106))&amp;". "))</f>
        <v/>
      </c>
      <c r="J1109">
        <f>IF(LEN(INDEX('Providers'!$AJ$4:$AJ$503,106))=0,"",INDEX('Providers'!$AJ$4:$AJ$503,106))</f>
        <v/>
      </c>
      <c r="K1109">
        <f>IF(LEN(INDEX('Providers'!$AI$4:$AI$503,106))=0,"",INDEX('Providers'!$AI$4:$AI$503,106))</f>
        <v/>
      </c>
    </row>
    <row r="1110">
      <c r="A1110">
        <f>IF(AND(LEN('Providers'!A110)&gt;0,ISNUMBER('Providers'!K110)),1,0)</f>
        <v/>
      </c>
      <c r="B1110">
        <f>B1109+A1110</f>
        <v/>
      </c>
      <c r="C1110">
        <f>IF(1107&gt;$B$4503,"",MATCH(1107-0.5,$B$3:$B$4503,1))</f>
        <v/>
      </c>
      <c r="D1110">
        <f>"State CSR ("&amp;IF(LEN(INDEX('Providers'!$E$4:$E$503,107))=0,"",INDEX('Providers'!$E$4:$E$503,107))&amp;") – "&amp;IF(LEN(INDEX('Providers'!$A$4:$A$503,107))=0,"",INDEX('Providers'!$A$4:$A$503,107))</f>
        <v/>
      </c>
      <c r="E1110">
        <f>IF(ISNUMBER(INDEX('Providers'!$K$4:$K$503,107)),TEXT(INDEX('Providers'!$K$4:$K$503,107),"yyyy-mm-dd"),"")</f>
        <v/>
      </c>
      <c r="F1110">
        <f>"Registration"</f>
        <v/>
      </c>
      <c r="G1110">
        <f>""</f>
        <v/>
      </c>
      <c r="H1110">
        <f>"High"</f>
        <v/>
      </c>
      <c r="I1110">
        <f>TRIM(IF(LEN(IF(LEN(INDEX('Providers'!$J$4:$J$503,107))=0,"",INDEX('Providers'!$J$4:$J$503,107)))=0,"","CSR no.: "&amp;IF(LEN(INDEX('Providers'!$J$4:$J$503,107))=0,"",INDEX('Providers'!$J$4:$J$503,107))&amp;". ")&amp;IF(LEN(IF(LEN(INDEX('Providers'!$C$4:$C$503,107))=0,"",INDEX('Providers'!$C$4:$C$503,107)))=0,"","NPI: "&amp;IF(LEN(INDEX('Providers'!$C$4:$C$503,107))=0,"",INDEX('Providers'!$C$4:$C$503,107))&amp;". "))</f>
        <v/>
      </c>
      <c r="J1110">
        <f>IF(LEN(INDEX('Providers'!$AJ$4:$AJ$503,107))=0,"",INDEX('Providers'!$AJ$4:$AJ$503,107))</f>
        <v/>
      </c>
      <c r="K1110">
        <f>IF(LEN(INDEX('Providers'!$AI$4:$AI$503,107))=0,"",INDEX('Providers'!$AI$4:$AI$503,107))</f>
        <v/>
      </c>
    </row>
    <row r="1111">
      <c r="A1111">
        <f>IF(AND(LEN('Providers'!A111)&gt;0,ISNUMBER('Providers'!K111)),1,0)</f>
        <v/>
      </c>
      <c r="B1111">
        <f>B1110+A1111</f>
        <v/>
      </c>
      <c r="C1111">
        <f>IF(1108&gt;$B$4503,"",MATCH(1108-0.5,$B$3:$B$4503,1))</f>
        <v/>
      </c>
      <c r="D1111">
        <f>"State CSR ("&amp;IF(LEN(INDEX('Providers'!$E$4:$E$503,108))=0,"",INDEX('Providers'!$E$4:$E$503,108))&amp;") – "&amp;IF(LEN(INDEX('Providers'!$A$4:$A$503,108))=0,"",INDEX('Providers'!$A$4:$A$503,108))</f>
        <v/>
      </c>
      <c r="E1111">
        <f>IF(ISNUMBER(INDEX('Providers'!$K$4:$K$503,108)),TEXT(INDEX('Providers'!$K$4:$K$503,108),"yyyy-mm-dd"),"")</f>
        <v/>
      </c>
      <c r="F1111">
        <f>"Registration"</f>
        <v/>
      </c>
      <c r="G1111">
        <f>""</f>
        <v/>
      </c>
      <c r="H1111">
        <f>"High"</f>
        <v/>
      </c>
      <c r="I1111">
        <f>TRIM(IF(LEN(IF(LEN(INDEX('Providers'!$J$4:$J$503,108))=0,"",INDEX('Providers'!$J$4:$J$503,108)))=0,"","CSR no.: "&amp;IF(LEN(INDEX('Providers'!$J$4:$J$503,108))=0,"",INDEX('Providers'!$J$4:$J$503,108))&amp;". ")&amp;IF(LEN(IF(LEN(INDEX('Providers'!$C$4:$C$503,108))=0,"",INDEX('Providers'!$C$4:$C$503,108)))=0,"","NPI: "&amp;IF(LEN(INDEX('Providers'!$C$4:$C$503,108))=0,"",INDEX('Providers'!$C$4:$C$503,108))&amp;". "))</f>
        <v/>
      </c>
      <c r="J1111">
        <f>IF(LEN(INDEX('Providers'!$AJ$4:$AJ$503,108))=0,"",INDEX('Providers'!$AJ$4:$AJ$503,108))</f>
        <v/>
      </c>
      <c r="K1111">
        <f>IF(LEN(INDEX('Providers'!$AI$4:$AI$503,108))=0,"",INDEX('Providers'!$AI$4:$AI$503,108))</f>
        <v/>
      </c>
    </row>
    <row r="1112">
      <c r="A1112">
        <f>IF(AND(LEN('Providers'!A112)&gt;0,ISNUMBER('Providers'!K112)),1,0)</f>
        <v/>
      </c>
      <c r="B1112">
        <f>B1111+A1112</f>
        <v/>
      </c>
      <c r="C1112">
        <f>IF(1109&gt;$B$4503,"",MATCH(1109-0.5,$B$3:$B$4503,1))</f>
        <v/>
      </c>
      <c r="D1112">
        <f>"State CSR ("&amp;IF(LEN(INDEX('Providers'!$E$4:$E$503,109))=0,"",INDEX('Providers'!$E$4:$E$503,109))&amp;") – "&amp;IF(LEN(INDEX('Providers'!$A$4:$A$503,109))=0,"",INDEX('Providers'!$A$4:$A$503,109))</f>
        <v/>
      </c>
      <c r="E1112">
        <f>IF(ISNUMBER(INDEX('Providers'!$K$4:$K$503,109)),TEXT(INDEX('Providers'!$K$4:$K$503,109),"yyyy-mm-dd"),"")</f>
        <v/>
      </c>
      <c r="F1112">
        <f>"Registration"</f>
        <v/>
      </c>
      <c r="G1112">
        <f>""</f>
        <v/>
      </c>
      <c r="H1112">
        <f>"High"</f>
        <v/>
      </c>
      <c r="I1112">
        <f>TRIM(IF(LEN(IF(LEN(INDEX('Providers'!$J$4:$J$503,109))=0,"",INDEX('Providers'!$J$4:$J$503,109)))=0,"","CSR no.: "&amp;IF(LEN(INDEX('Providers'!$J$4:$J$503,109))=0,"",INDEX('Providers'!$J$4:$J$503,109))&amp;". ")&amp;IF(LEN(IF(LEN(INDEX('Providers'!$C$4:$C$503,109))=0,"",INDEX('Providers'!$C$4:$C$503,109)))=0,"","NPI: "&amp;IF(LEN(INDEX('Providers'!$C$4:$C$503,109))=0,"",INDEX('Providers'!$C$4:$C$503,109))&amp;". "))</f>
        <v/>
      </c>
      <c r="J1112">
        <f>IF(LEN(INDEX('Providers'!$AJ$4:$AJ$503,109))=0,"",INDEX('Providers'!$AJ$4:$AJ$503,109))</f>
        <v/>
      </c>
      <c r="K1112">
        <f>IF(LEN(INDEX('Providers'!$AI$4:$AI$503,109))=0,"",INDEX('Providers'!$AI$4:$AI$503,109))</f>
        <v/>
      </c>
    </row>
    <row r="1113">
      <c r="A1113">
        <f>IF(AND(LEN('Providers'!A113)&gt;0,ISNUMBER('Providers'!K113)),1,0)</f>
        <v/>
      </c>
      <c r="B1113">
        <f>B1112+A1113</f>
        <v/>
      </c>
      <c r="C1113">
        <f>IF(1110&gt;$B$4503,"",MATCH(1110-0.5,$B$3:$B$4503,1))</f>
        <v/>
      </c>
      <c r="D1113">
        <f>"State CSR ("&amp;IF(LEN(INDEX('Providers'!$E$4:$E$503,110))=0,"",INDEX('Providers'!$E$4:$E$503,110))&amp;") – "&amp;IF(LEN(INDEX('Providers'!$A$4:$A$503,110))=0,"",INDEX('Providers'!$A$4:$A$503,110))</f>
        <v/>
      </c>
      <c r="E1113">
        <f>IF(ISNUMBER(INDEX('Providers'!$K$4:$K$503,110)),TEXT(INDEX('Providers'!$K$4:$K$503,110),"yyyy-mm-dd"),"")</f>
        <v/>
      </c>
      <c r="F1113">
        <f>"Registration"</f>
        <v/>
      </c>
      <c r="G1113">
        <f>""</f>
        <v/>
      </c>
      <c r="H1113">
        <f>"High"</f>
        <v/>
      </c>
      <c r="I1113">
        <f>TRIM(IF(LEN(IF(LEN(INDEX('Providers'!$J$4:$J$503,110))=0,"",INDEX('Providers'!$J$4:$J$503,110)))=0,"","CSR no.: "&amp;IF(LEN(INDEX('Providers'!$J$4:$J$503,110))=0,"",INDEX('Providers'!$J$4:$J$503,110))&amp;". ")&amp;IF(LEN(IF(LEN(INDEX('Providers'!$C$4:$C$503,110))=0,"",INDEX('Providers'!$C$4:$C$503,110)))=0,"","NPI: "&amp;IF(LEN(INDEX('Providers'!$C$4:$C$503,110))=0,"",INDEX('Providers'!$C$4:$C$503,110))&amp;". "))</f>
        <v/>
      </c>
      <c r="J1113">
        <f>IF(LEN(INDEX('Providers'!$AJ$4:$AJ$503,110))=0,"",INDEX('Providers'!$AJ$4:$AJ$503,110))</f>
        <v/>
      </c>
      <c r="K1113">
        <f>IF(LEN(INDEX('Providers'!$AI$4:$AI$503,110))=0,"",INDEX('Providers'!$AI$4:$AI$503,110))</f>
        <v/>
      </c>
    </row>
    <row r="1114">
      <c r="A1114">
        <f>IF(AND(LEN('Providers'!A114)&gt;0,ISNUMBER('Providers'!K114)),1,0)</f>
        <v/>
      </c>
      <c r="B1114">
        <f>B1113+A1114</f>
        <v/>
      </c>
      <c r="C1114">
        <f>IF(1111&gt;$B$4503,"",MATCH(1111-0.5,$B$3:$B$4503,1))</f>
        <v/>
      </c>
      <c r="D1114">
        <f>"State CSR ("&amp;IF(LEN(INDEX('Providers'!$E$4:$E$503,111))=0,"",INDEX('Providers'!$E$4:$E$503,111))&amp;") – "&amp;IF(LEN(INDEX('Providers'!$A$4:$A$503,111))=0,"",INDEX('Providers'!$A$4:$A$503,111))</f>
        <v/>
      </c>
      <c r="E1114">
        <f>IF(ISNUMBER(INDEX('Providers'!$K$4:$K$503,111)),TEXT(INDEX('Providers'!$K$4:$K$503,111),"yyyy-mm-dd"),"")</f>
        <v/>
      </c>
      <c r="F1114">
        <f>"Registration"</f>
        <v/>
      </c>
      <c r="G1114">
        <f>""</f>
        <v/>
      </c>
      <c r="H1114">
        <f>"High"</f>
        <v/>
      </c>
      <c r="I1114">
        <f>TRIM(IF(LEN(IF(LEN(INDEX('Providers'!$J$4:$J$503,111))=0,"",INDEX('Providers'!$J$4:$J$503,111)))=0,"","CSR no.: "&amp;IF(LEN(INDEX('Providers'!$J$4:$J$503,111))=0,"",INDEX('Providers'!$J$4:$J$503,111))&amp;". ")&amp;IF(LEN(IF(LEN(INDEX('Providers'!$C$4:$C$503,111))=0,"",INDEX('Providers'!$C$4:$C$503,111)))=0,"","NPI: "&amp;IF(LEN(INDEX('Providers'!$C$4:$C$503,111))=0,"",INDEX('Providers'!$C$4:$C$503,111))&amp;". "))</f>
        <v/>
      </c>
      <c r="J1114">
        <f>IF(LEN(INDEX('Providers'!$AJ$4:$AJ$503,111))=0,"",INDEX('Providers'!$AJ$4:$AJ$503,111))</f>
        <v/>
      </c>
      <c r="K1114">
        <f>IF(LEN(INDEX('Providers'!$AI$4:$AI$503,111))=0,"",INDEX('Providers'!$AI$4:$AI$503,111))</f>
        <v/>
      </c>
    </row>
    <row r="1115">
      <c r="A1115">
        <f>IF(AND(LEN('Providers'!A115)&gt;0,ISNUMBER('Providers'!K115)),1,0)</f>
        <v/>
      </c>
      <c r="B1115">
        <f>B1114+A1115</f>
        <v/>
      </c>
      <c r="C1115">
        <f>IF(1112&gt;$B$4503,"",MATCH(1112-0.5,$B$3:$B$4503,1))</f>
        <v/>
      </c>
      <c r="D1115">
        <f>"State CSR ("&amp;IF(LEN(INDEX('Providers'!$E$4:$E$503,112))=0,"",INDEX('Providers'!$E$4:$E$503,112))&amp;") – "&amp;IF(LEN(INDEX('Providers'!$A$4:$A$503,112))=0,"",INDEX('Providers'!$A$4:$A$503,112))</f>
        <v/>
      </c>
      <c r="E1115">
        <f>IF(ISNUMBER(INDEX('Providers'!$K$4:$K$503,112)),TEXT(INDEX('Providers'!$K$4:$K$503,112),"yyyy-mm-dd"),"")</f>
        <v/>
      </c>
      <c r="F1115">
        <f>"Registration"</f>
        <v/>
      </c>
      <c r="G1115">
        <f>""</f>
        <v/>
      </c>
      <c r="H1115">
        <f>"High"</f>
        <v/>
      </c>
      <c r="I1115">
        <f>TRIM(IF(LEN(IF(LEN(INDEX('Providers'!$J$4:$J$503,112))=0,"",INDEX('Providers'!$J$4:$J$503,112)))=0,"","CSR no.: "&amp;IF(LEN(INDEX('Providers'!$J$4:$J$503,112))=0,"",INDEX('Providers'!$J$4:$J$503,112))&amp;". ")&amp;IF(LEN(IF(LEN(INDEX('Providers'!$C$4:$C$503,112))=0,"",INDEX('Providers'!$C$4:$C$503,112)))=0,"","NPI: "&amp;IF(LEN(INDEX('Providers'!$C$4:$C$503,112))=0,"",INDEX('Providers'!$C$4:$C$503,112))&amp;". "))</f>
        <v/>
      </c>
      <c r="J1115">
        <f>IF(LEN(INDEX('Providers'!$AJ$4:$AJ$503,112))=0,"",INDEX('Providers'!$AJ$4:$AJ$503,112))</f>
        <v/>
      </c>
      <c r="K1115">
        <f>IF(LEN(INDEX('Providers'!$AI$4:$AI$503,112))=0,"",INDEX('Providers'!$AI$4:$AI$503,112))</f>
        <v/>
      </c>
    </row>
    <row r="1116">
      <c r="A1116">
        <f>IF(AND(LEN('Providers'!A116)&gt;0,ISNUMBER('Providers'!K116)),1,0)</f>
        <v/>
      </c>
      <c r="B1116">
        <f>B1115+A1116</f>
        <v/>
      </c>
      <c r="C1116">
        <f>IF(1113&gt;$B$4503,"",MATCH(1113-0.5,$B$3:$B$4503,1))</f>
        <v/>
      </c>
      <c r="D1116">
        <f>"State CSR ("&amp;IF(LEN(INDEX('Providers'!$E$4:$E$503,113))=0,"",INDEX('Providers'!$E$4:$E$503,113))&amp;") – "&amp;IF(LEN(INDEX('Providers'!$A$4:$A$503,113))=0,"",INDEX('Providers'!$A$4:$A$503,113))</f>
        <v/>
      </c>
      <c r="E1116">
        <f>IF(ISNUMBER(INDEX('Providers'!$K$4:$K$503,113)),TEXT(INDEX('Providers'!$K$4:$K$503,113),"yyyy-mm-dd"),"")</f>
        <v/>
      </c>
      <c r="F1116">
        <f>"Registration"</f>
        <v/>
      </c>
      <c r="G1116">
        <f>""</f>
        <v/>
      </c>
      <c r="H1116">
        <f>"High"</f>
        <v/>
      </c>
      <c r="I1116">
        <f>TRIM(IF(LEN(IF(LEN(INDEX('Providers'!$J$4:$J$503,113))=0,"",INDEX('Providers'!$J$4:$J$503,113)))=0,"","CSR no.: "&amp;IF(LEN(INDEX('Providers'!$J$4:$J$503,113))=0,"",INDEX('Providers'!$J$4:$J$503,113))&amp;". ")&amp;IF(LEN(IF(LEN(INDEX('Providers'!$C$4:$C$503,113))=0,"",INDEX('Providers'!$C$4:$C$503,113)))=0,"","NPI: "&amp;IF(LEN(INDEX('Providers'!$C$4:$C$503,113))=0,"",INDEX('Providers'!$C$4:$C$503,113))&amp;". "))</f>
        <v/>
      </c>
      <c r="J1116">
        <f>IF(LEN(INDEX('Providers'!$AJ$4:$AJ$503,113))=0,"",INDEX('Providers'!$AJ$4:$AJ$503,113))</f>
        <v/>
      </c>
      <c r="K1116">
        <f>IF(LEN(INDEX('Providers'!$AI$4:$AI$503,113))=0,"",INDEX('Providers'!$AI$4:$AI$503,113))</f>
        <v/>
      </c>
    </row>
    <row r="1117">
      <c r="A1117">
        <f>IF(AND(LEN('Providers'!A117)&gt;0,ISNUMBER('Providers'!K117)),1,0)</f>
        <v/>
      </c>
      <c r="B1117">
        <f>B1116+A1117</f>
        <v/>
      </c>
      <c r="C1117">
        <f>IF(1114&gt;$B$4503,"",MATCH(1114-0.5,$B$3:$B$4503,1))</f>
        <v/>
      </c>
      <c r="D1117">
        <f>"State CSR ("&amp;IF(LEN(INDEX('Providers'!$E$4:$E$503,114))=0,"",INDEX('Providers'!$E$4:$E$503,114))&amp;") – "&amp;IF(LEN(INDEX('Providers'!$A$4:$A$503,114))=0,"",INDEX('Providers'!$A$4:$A$503,114))</f>
        <v/>
      </c>
      <c r="E1117">
        <f>IF(ISNUMBER(INDEX('Providers'!$K$4:$K$503,114)),TEXT(INDEX('Providers'!$K$4:$K$503,114),"yyyy-mm-dd"),"")</f>
        <v/>
      </c>
      <c r="F1117">
        <f>"Registration"</f>
        <v/>
      </c>
      <c r="G1117">
        <f>""</f>
        <v/>
      </c>
      <c r="H1117">
        <f>"High"</f>
        <v/>
      </c>
      <c r="I1117">
        <f>TRIM(IF(LEN(IF(LEN(INDEX('Providers'!$J$4:$J$503,114))=0,"",INDEX('Providers'!$J$4:$J$503,114)))=0,"","CSR no.: "&amp;IF(LEN(INDEX('Providers'!$J$4:$J$503,114))=0,"",INDEX('Providers'!$J$4:$J$503,114))&amp;". ")&amp;IF(LEN(IF(LEN(INDEX('Providers'!$C$4:$C$503,114))=0,"",INDEX('Providers'!$C$4:$C$503,114)))=0,"","NPI: "&amp;IF(LEN(INDEX('Providers'!$C$4:$C$503,114))=0,"",INDEX('Providers'!$C$4:$C$503,114))&amp;". "))</f>
        <v/>
      </c>
      <c r="J1117">
        <f>IF(LEN(INDEX('Providers'!$AJ$4:$AJ$503,114))=0,"",INDEX('Providers'!$AJ$4:$AJ$503,114))</f>
        <v/>
      </c>
      <c r="K1117">
        <f>IF(LEN(INDEX('Providers'!$AI$4:$AI$503,114))=0,"",INDEX('Providers'!$AI$4:$AI$503,114))</f>
        <v/>
      </c>
    </row>
    <row r="1118">
      <c r="A1118">
        <f>IF(AND(LEN('Providers'!A118)&gt;0,ISNUMBER('Providers'!K118)),1,0)</f>
        <v/>
      </c>
      <c r="B1118">
        <f>B1117+A1118</f>
        <v/>
      </c>
      <c r="C1118">
        <f>IF(1115&gt;$B$4503,"",MATCH(1115-0.5,$B$3:$B$4503,1))</f>
        <v/>
      </c>
      <c r="D1118">
        <f>"State CSR ("&amp;IF(LEN(INDEX('Providers'!$E$4:$E$503,115))=0,"",INDEX('Providers'!$E$4:$E$503,115))&amp;") – "&amp;IF(LEN(INDEX('Providers'!$A$4:$A$503,115))=0,"",INDEX('Providers'!$A$4:$A$503,115))</f>
        <v/>
      </c>
      <c r="E1118">
        <f>IF(ISNUMBER(INDEX('Providers'!$K$4:$K$503,115)),TEXT(INDEX('Providers'!$K$4:$K$503,115),"yyyy-mm-dd"),"")</f>
        <v/>
      </c>
      <c r="F1118">
        <f>"Registration"</f>
        <v/>
      </c>
      <c r="G1118">
        <f>""</f>
        <v/>
      </c>
      <c r="H1118">
        <f>"High"</f>
        <v/>
      </c>
      <c r="I1118">
        <f>TRIM(IF(LEN(IF(LEN(INDEX('Providers'!$J$4:$J$503,115))=0,"",INDEX('Providers'!$J$4:$J$503,115)))=0,"","CSR no.: "&amp;IF(LEN(INDEX('Providers'!$J$4:$J$503,115))=0,"",INDEX('Providers'!$J$4:$J$503,115))&amp;". ")&amp;IF(LEN(IF(LEN(INDEX('Providers'!$C$4:$C$503,115))=0,"",INDEX('Providers'!$C$4:$C$503,115)))=0,"","NPI: "&amp;IF(LEN(INDEX('Providers'!$C$4:$C$503,115))=0,"",INDEX('Providers'!$C$4:$C$503,115))&amp;". "))</f>
        <v/>
      </c>
      <c r="J1118">
        <f>IF(LEN(INDEX('Providers'!$AJ$4:$AJ$503,115))=0,"",INDEX('Providers'!$AJ$4:$AJ$503,115))</f>
        <v/>
      </c>
      <c r="K1118">
        <f>IF(LEN(INDEX('Providers'!$AI$4:$AI$503,115))=0,"",INDEX('Providers'!$AI$4:$AI$503,115))</f>
        <v/>
      </c>
    </row>
    <row r="1119">
      <c r="A1119">
        <f>IF(AND(LEN('Providers'!A119)&gt;0,ISNUMBER('Providers'!K119)),1,0)</f>
        <v/>
      </c>
      <c r="B1119">
        <f>B1118+A1119</f>
        <v/>
      </c>
      <c r="C1119">
        <f>IF(1116&gt;$B$4503,"",MATCH(1116-0.5,$B$3:$B$4503,1))</f>
        <v/>
      </c>
      <c r="D1119">
        <f>"State CSR ("&amp;IF(LEN(INDEX('Providers'!$E$4:$E$503,116))=0,"",INDEX('Providers'!$E$4:$E$503,116))&amp;") – "&amp;IF(LEN(INDEX('Providers'!$A$4:$A$503,116))=0,"",INDEX('Providers'!$A$4:$A$503,116))</f>
        <v/>
      </c>
      <c r="E1119">
        <f>IF(ISNUMBER(INDEX('Providers'!$K$4:$K$503,116)),TEXT(INDEX('Providers'!$K$4:$K$503,116),"yyyy-mm-dd"),"")</f>
        <v/>
      </c>
      <c r="F1119">
        <f>"Registration"</f>
        <v/>
      </c>
      <c r="G1119">
        <f>""</f>
        <v/>
      </c>
      <c r="H1119">
        <f>"High"</f>
        <v/>
      </c>
      <c r="I1119">
        <f>TRIM(IF(LEN(IF(LEN(INDEX('Providers'!$J$4:$J$503,116))=0,"",INDEX('Providers'!$J$4:$J$503,116)))=0,"","CSR no.: "&amp;IF(LEN(INDEX('Providers'!$J$4:$J$503,116))=0,"",INDEX('Providers'!$J$4:$J$503,116))&amp;". ")&amp;IF(LEN(IF(LEN(INDEX('Providers'!$C$4:$C$503,116))=0,"",INDEX('Providers'!$C$4:$C$503,116)))=0,"","NPI: "&amp;IF(LEN(INDEX('Providers'!$C$4:$C$503,116))=0,"",INDEX('Providers'!$C$4:$C$503,116))&amp;". "))</f>
        <v/>
      </c>
      <c r="J1119">
        <f>IF(LEN(INDEX('Providers'!$AJ$4:$AJ$503,116))=0,"",INDEX('Providers'!$AJ$4:$AJ$503,116))</f>
        <v/>
      </c>
      <c r="K1119">
        <f>IF(LEN(INDEX('Providers'!$AI$4:$AI$503,116))=0,"",INDEX('Providers'!$AI$4:$AI$503,116))</f>
        <v/>
      </c>
    </row>
    <row r="1120">
      <c r="A1120">
        <f>IF(AND(LEN('Providers'!A120)&gt;0,ISNUMBER('Providers'!K120)),1,0)</f>
        <v/>
      </c>
      <c r="B1120">
        <f>B1119+A1120</f>
        <v/>
      </c>
      <c r="C1120">
        <f>IF(1117&gt;$B$4503,"",MATCH(1117-0.5,$B$3:$B$4503,1))</f>
        <v/>
      </c>
      <c r="D1120">
        <f>"State CSR ("&amp;IF(LEN(INDEX('Providers'!$E$4:$E$503,117))=0,"",INDEX('Providers'!$E$4:$E$503,117))&amp;") – "&amp;IF(LEN(INDEX('Providers'!$A$4:$A$503,117))=0,"",INDEX('Providers'!$A$4:$A$503,117))</f>
        <v/>
      </c>
      <c r="E1120">
        <f>IF(ISNUMBER(INDEX('Providers'!$K$4:$K$503,117)),TEXT(INDEX('Providers'!$K$4:$K$503,117),"yyyy-mm-dd"),"")</f>
        <v/>
      </c>
      <c r="F1120">
        <f>"Registration"</f>
        <v/>
      </c>
      <c r="G1120">
        <f>""</f>
        <v/>
      </c>
      <c r="H1120">
        <f>"High"</f>
        <v/>
      </c>
      <c r="I1120">
        <f>TRIM(IF(LEN(IF(LEN(INDEX('Providers'!$J$4:$J$503,117))=0,"",INDEX('Providers'!$J$4:$J$503,117)))=0,"","CSR no.: "&amp;IF(LEN(INDEX('Providers'!$J$4:$J$503,117))=0,"",INDEX('Providers'!$J$4:$J$503,117))&amp;". ")&amp;IF(LEN(IF(LEN(INDEX('Providers'!$C$4:$C$503,117))=0,"",INDEX('Providers'!$C$4:$C$503,117)))=0,"","NPI: "&amp;IF(LEN(INDEX('Providers'!$C$4:$C$503,117))=0,"",INDEX('Providers'!$C$4:$C$503,117))&amp;". "))</f>
        <v/>
      </c>
      <c r="J1120">
        <f>IF(LEN(INDEX('Providers'!$AJ$4:$AJ$503,117))=0,"",INDEX('Providers'!$AJ$4:$AJ$503,117))</f>
        <v/>
      </c>
      <c r="K1120">
        <f>IF(LEN(INDEX('Providers'!$AI$4:$AI$503,117))=0,"",INDEX('Providers'!$AI$4:$AI$503,117))</f>
        <v/>
      </c>
    </row>
    <row r="1121">
      <c r="A1121">
        <f>IF(AND(LEN('Providers'!A121)&gt;0,ISNUMBER('Providers'!K121)),1,0)</f>
        <v/>
      </c>
      <c r="B1121">
        <f>B1120+A1121</f>
        <v/>
      </c>
      <c r="C1121">
        <f>IF(1118&gt;$B$4503,"",MATCH(1118-0.5,$B$3:$B$4503,1))</f>
        <v/>
      </c>
      <c r="D1121">
        <f>"State CSR ("&amp;IF(LEN(INDEX('Providers'!$E$4:$E$503,118))=0,"",INDEX('Providers'!$E$4:$E$503,118))&amp;") – "&amp;IF(LEN(INDEX('Providers'!$A$4:$A$503,118))=0,"",INDEX('Providers'!$A$4:$A$503,118))</f>
        <v/>
      </c>
      <c r="E1121">
        <f>IF(ISNUMBER(INDEX('Providers'!$K$4:$K$503,118)),TEXT(INDEX('Providers'!$K$4:$K$503,118),"yyyy-mm-dd"),"")</f>
        <v/>
      </c>
      <c r="F1121">
        <f>"Registration"</f>
        <v/>
      </c>
      <c r="G1121">
        <f>""</f>
        <v/>
      </c>
      <c r="H1121">
        <f>"High"</f>
        <v/>
      </c>
      <c r="I1121">
        <f>TRIM(IF(LEN(IF(LEN(INDEX('Providers'!$J$4:$J$503,118))=0,"",INDEX('Providers'!$J$4:$J$503,118)))=0,"","CSR no.: "&amp;IF(LEN(INDEX('Providers'!$J$4:$J$503,118))=0,"",INDEX('Providers'!$J$4:$J$503,118))&amp;". ")&amp;IF(LEN(IF(LEN(INDEX('Providers'!$C$4:$C$503,118))=0,"",INDEX('Providers'!$C$4:$C$503,118)))=0,"","NPI: "&amp;IF(LEN(INDEX('Providers'!$C$4:$C$503,118))=0,"",INDEX('Providers'!$C$4:$C$503,118))&amp;". "))</f>
        <v/>
      </c>
      <c r="J1121">
        <f>IF(LEN(INDEX('Providers'!$AJ$4:$AJ$503,118))=0,"",INDEX('Providers'!$AJ$4:$AJ$503,118))</f>
        <v/>
      </c>
      <c r="K1121">
        <f>IF(LEN(INDEX('Providers'!$AI$4:$AI$503,118))=0,"",INDEX('Providers'!$AI$4:$AI$503,118))</f>
        <v/>
      </c>
    </row>
    <row r="1122">
      <c r="A1122">
        <f>IF(AND(LEN('Providers'!A122)&gt;0,ISNUMBER('Providers'!K122)),1,0)</f>
        <v/>
      </c>
      <c r="B1122">
        <f>B1121+A1122</f>
        <v/>
      </c>
      <c r="C1122">
        <f>IF(1119&gt;$B$4503,"",MATCH(1119-0.5,$B$3:$B$4503,1))</f>
        <v/>
      </c>
      <c r="D1122">
        <f>"State CSR ("&amp;IF(LEN(INDEX('Providers'!$E$4:$E$503,119))=0,"",INDEX('Providers'!$E$4:$E$503,119))&amp;") – "&amp;IF(LEN(INDEX('Providers'!$A$4:$A$503,119))=0,"",INDEX('Providers'!$A$4:$A$503,119))</f>
        <v/>
      </c>
      <c r="E1122">
        <f>IF(ISNUMBER(INDEX('Providers'!$K$4:$K$503,119)),TEXT(INDEX('Providers'!$K$4:$K$503,119),"yyyy-mm-dd"),"")</f>
        <v/>
      </c>
      <c r="F1122">
        <f>"Registration"</f>
        <v/>
      </c>
      <c r="G1122">
        <f>""</f>
        <v/>
      </c>
      <c r="H1122">
        <f>"High"</f>
        <v/>
      </c>
      <c r="I1122">
        <f>TRIM(IF(LEN(IF(LEN(INDEX('Providers'!$J$4:$J$503,119))=0,"",INDEX('Providers'!$J$4:$J$503,119)))=0,"","CSR no.: "&amp;IF(LEN(INDEX('Providers'!$J$4:$J$503,119))=0,"",INDEX('Providers'!$J$4:$J$503,119))&amp;". ")&amp;IF(LEN(IF(LEN(INDEX('Providers'!$C$4:$C$503,119))=0,"",INDEX('Providers'!$C$4:$C$503,119)))=0,"","NPI: "&amp;IF(LEN(INDEX('Providers'!$C$4:$C$503,119))=0,"",INDEX('Providers'!$C$4:$C$503,119))&amp;". "))</f>
        <v/>
      </c>
      <c r="J1122">
        <f>IF(LEN(INDEX('Providers'!$AJ$4:$AJ$503,119))=0,"",INDEX('Providers'!$AJ$4:$AJ$503,119))</f>
        <v/>
      </c>
      <c r="K1122">
        <f>IF(LEN(INDEX('Providers'!$AI$4:$AI$503,119))=0,"",INDEX('Providers'!$AI$4:$AI$503,119))</f>
        <v/>
      </c>
    </row>
    <row r="1123">
      <c r="A1123">
        <f>IF(AND(LEN('Providers'!A123)&gt;0,ISNUMBER('Providers'!K123)),1,0)</f>
        <v/>
      </c>
      <c r="B1123">
        <f>B1122+A1123</f>
        <v/>
      </c>
      <c r="C1123">
        <f>IF(1120&gt;$B$4503,"",MATCH(1120-0.5,$B$3:$B$4503,1))</f>
        <v/>
      </c>
      <c r="D1123">
        <f>"State CSR ("&amp;IF(LEN(INDEX('Providers'!$E$4:$E$503,120))=0,"",INDEX('Providers'!$E$4:$E$503,120))&amp;") – "&amp;IF(LEN(INDEX('Providers'!$A$4:$A$503,120))=0,"",INDEX('Providers'!$A$4:$A$503,120))</f>
        <v/>
      </c>
      <c r="E1123">
        <f>IF(ISNUMBER(INDEX('Providers'!$K$4:$K$503,120)),TEXT(INDEX('Providers'!$K$4:$K$503,120),"yyyy-mm-dd"),"")</f>
        <v/>
      </c>
      <c r="F1123">
        <f>"Registration"</f>
        <v/>
      </c>
      <c r="G1123">
        <f>""</f>
        <v/>
      </c>
      <c r="H1123">
        <f>"High"</f>
        <v/>
      </c>
      <c r="I1123">
        <f>TRIM(IF(LEN(IF(LEN(INDEX('Providers'!$J$4:$J$503,120))=0,"",INDEX('Providers'!$J$4:$J$503,120)))=0,"","CSR no.: "&amp;IF(LEN(INDEX('Providers'!$J$4:$J$503,120))=0,"",INDEX('Providers'!$J$4:$J$503,120))&amp;". ")&amp;IF(LEN(IF(LEN(INDEX('Providers'!$C$4:$C$503,120))=0,"",INDEX('Providers'!$C$4:$C$503,120)))=0,"","NPI: "&amp;IF(LEN(INDEX('Providers'!$C$4:$C$503,120))=0,"",INDEX('Providers'!$C$4:$C$503,120))&amp;". "))</f>
        <v/>
      </c>
      <c r="J1123">
        <f>IF(LEN(INDEX('Providers'!$AJ$4:$AJ$503,120))=0,"",INDEX('Providers'!$AJ$4:$AJ$503,120))</f>
        <v/>
      </c>
      <c r="K1123">
        <f>IF(LEN(INDEX('Providers'!$AI$4:$AI$503,120))=0,"",INDEX('Providers'!$AI$4:$AI$503,120))</f>
        <v/>
      </c>
    </row>
    <row r="1124">
      <c r="A1124">
        <f>IF(AND(LEN('Providers'!A124)&gt;0,ISNUMBER('Providers'!K124)),1,0)</f>
        <v/>
      </c>
      <c r="B1124">
        <f>B1123+A1124</f>
        <v/>
      </c>
      <c r="C1124">
        <f>IF(1121&gt;$B$4503,"",MATCH(1121-0.5,$B$3:$B$4503,1))</f>
        <v/>
      </c>
      <c r="D1124">
        <f>"State CSR ("&amp;IF(LEN(INDEX('Providers'!$E$4:$E$503,121))=0,"",INDEX('Providers'!$E$4:$E$503,121))&amp;") – "&amp;IF(LEN(INDEX('Providers'!$A$4:$A$503,121))=0,"",INDEX('Providers'!$A$4:$A$503,121))</f>
        <v/>
      </c>
      <c r="E1124">
        <f>IF(ISNUMBER(INDEX('Providers'!$K$4:$K$503,121)),TEXT(INDEX('Providers'!$K$4:$K$503,121),"yyyy-mm-dd"),"")</f>
        <v/>
      </c>
      <c r="F1124">
        <f>"Registration"</f>
        <v/>
      </c>
      <c r="G1124">
        <f>""</f>
        <v/>
      </c>
      <c r="H1124">
        <f>"High"</f>
        <v/>
      </c>
      <c r="I1124">
        <f>TRIM(IF(LEN(IF(LEN(INDEX('Providers'!$J$4:$J$503,121))=0,"",INDEX('Providers'!$J$4:$J$503,121)))=0,"","CSR no.: "&amp;IF(LEN(INDEX('Providers'!$J$4:$J$503,121))=0,"",INDEX('Providers'!$J$4:$J$503,121))&amp;". ")&amp;IF(LEN(IF(LEN(INDEX('Providers'!$C$4:$C$503,121))=0,"",INDEX('Providers'!$C$4:$C$503,121)))=0,"","NPI: "&amp;IF(LEN(INDEX('Providers'!$C$4:$C$503,121))=0,"",INDEX('Providers'!$C$4:$C$503,121))&amp;". "))</f>
        <v/>
      </c>
      <c r="J1124">
        <f>IF(LEN(INDEX('Providers'!$AJ$4:$AJ$503,121))=0,"",INDEX('Providers'!$AJ$4:$AJ$503,121))</f>
        <v/>
      </c>
      <c r="K1124">
        <f>IF(LEN(INDEX('Providers'!$AI$4:$AI$503,121))=0,"",INDEX('Providers'!$AI$4:$AI$503,121))</f>
        <v/>
      </c>
    </row>
    <row r="1125">
      <c r="A1125">
        <f>IF(AND(LEN('Providers'!A125)&gt;0,ISNUMBER('Providers'!K125)),1,0)</f>
        <v/>
      </c>
      <c r="B1125">
        <f>B1124+A1125</f>
        <v/>
      </c>
      <c r="C1125">
        <f>IF(1122&gt;$B$4503,"",MATCH(1122-0.5,$B$3:$B$4503,1))</f>
        <v/>
      </c>
      <c r="D1125">
        <f>"State CSR ("&amp;IF(LEN(INDEX('Providers'!$E$4:$E$503,122))=0,"",INDEX('Providers'!$E$4:$E$503,122))&amp;") – "&amp;IF(LEN(INDEX('Providers'!$A$4:$A$503,122))=0,"",INDEX('Providers'!$A$4:$A$503,122))</f>
        <v/>
      </c>
      <c r="E1125">
        <f>IF(ISNUMBER(INDEX('Providers'!$K$4:$K$503,122)),TEXT(INDEX('Providers'!$K$4:$K$503,122),"yyyy-mm-dd"),"")</f>
        <v/>
      </c>
      <c r="F1125">
        <f>"Registration"</f>
        <v/>
      </c>
      <c r="G1125">
        <f>""</f>
        <v/>
      </c>
      <c r="H1125">
        <f>"High"</f>
        <v/>
      </c>
      <c r="I1125">
        <f>TRIM(IF(LEN(IF(LEN(INDEX('Providers'!$J$4:$J$503,122))=0,"",INDEX('Providers'!$J$4:$J$503,122)))=0,"","CSR no.: "&amp;IF(LEN(INDEX('Providers'!$J$4:$J$503,122))=0,"",INDEX('Providers'!$J$4:$J$503,122))&amp;". ")&amp;IF(LEN(IF(LEN(INDEX('Providers'!$C$4:$C$503,122))=0,"",INDEX('Providers'!$C$4:$C$503,122)))=0,"","NPI: "&amp;IF(LEN(INDEX('Providers'!$C$4:$C$503,122))=0,"",INDEX('Providers'!$C$4:$C$503,122))&amp;". "))</f>
        <v/>
      </c>
      <c r="J1125">
        <f>IF(LEN(INDEX('Providers'!$AJ$4:$AJ$503,122))=0,"",INDEX('Providers'!$AJ$4:$AJ$503,122))</f>
        <v/>
      </c>
      <c r="K1125">
        <f>IF(LEN(INDEX('Providers'!$AI$4:$AI$503,122))=0,"",INDEX('Providers'!$AI$4:$AI$503,122))</f>
        <v/>
      </c>
    </row>
    <row r="1126">
      <c r="A1126">
        <f>IF(AND(LEN('Providers'!A126)&gt;0,ISNUMBER('Providers'!K126)),1,0)</f>
        <v/>
      </c>
      <c r="B1126">
        <f>B1125+A1126</f>
        <v/>
      </c>
      <c r="C1126">
        <f>IF(1123&gt;$B$4503,"",MATCH(1123-0.5,$B$3:$B$4503,1))</f>
        <v/>
      </c>
      <c r="D1126">
        <f>"State CSR ("&amp;IF(LEN(INDEX('Providers'!$E$4:$E$503,123))=0,"",INDEX('Providers'!$E$4:$E$503,123))&amp;") – "&amp;IF(LEN(INDEX('Providers'!$A$4:$A$503,123))=0,"",INDEX('Providers'!$A$4:$A$503,123))</f>
        <v/>
      </c>
      <c r="E1126">
        <f>IF(ISNUMBER(INDEX('Providers'!$K$4:$K$503,123)),TEXT(INDEX('Providers'!$K$4:$K$503,123),"yyyy-mm-dd"),"")</f>
        <v/>
      </c>
      <c r="F1126">
        <f>"Registration"</f>
        <v/>
      </c>
      <c r="G1126">
        <f>""</f>
        <v/>
      </c>
      <c r="H1126">
        <f>"High"</f>
        <v/>
      </c>
      <c r="I1126">
        <f>TRIM(IF(LEN(IF(LEN(INDEX('Providers'!$J$4:$J$503,123))=0,"",INDEX('Providers'!$J$4:$J$503,123)))=0,"","CSR no.: "&amp;IF(LEN(INDEX('Providers'!$J$4:$J$503,123))=0,"",INDEX('Providers'!$J$4:$J$503,123))&amp;". ")&amp;IF(LEN(IF(LEN(INDEX('Providers'!$C$4:$C$503,123))=0,"",INDEX('Providers'!$C$4:$C$503,123)))=0,"","NPI: "&amp;IF(LEN(INDEX('Providers'!$C$4:$C$503,123))=0,"",INDEX('Providers'!$C$4:$C$503,123))&amp;". "))</f>
        <v/>
      </c>
      <c r="J1126">
        <f>IF(LEN(INDEX('Providers'!$AJ$4:$AJ$503,123))=0,"",INDEX('Providers'!$AJ$4:$AJ$503,123))</f>
        <v/>
      </c>
      <c r="K1126">
        <f>IF(LEN(INDEX('Providers'!$AI$4:$AI$503,123))=0,"",INDEX('Providers'!$AI$4:$AI$503,123))</f>
        <v/>
      </c>
    </row>
    <row r="1127">
      <c r="A1127">
        <f>IF(AND(LEN('Providers'!A127)&gt;0,ISNUMBER('Providers'!K127)),1,0)</f>
        <v/>
      </c>
      <c r="B1127">
        <f>B1126+A1127</f>
        <v/>
      </c>
      <c r="C1127">
        <f>IF(1124&gt;$B$4503,"",MATCH(1124-0.5,$B$3:$B$4503,1))</f>
        <v/>
      </c>
      <c r="D1127">
        <f>"State CSR ("&amp;IF(LEN(INDEX('Providers'!$E$4:$E$503,124))=0,"",INDEX('Providers'!$E$4:$E$503,124))&amp;") – "&amp;IF(LEN(INDEX('Providers'!$A$4:$A$503,124))=0,"",INDEX('Providers'!$A$4:$A$503,124))</f>
        <v/>
      </c>
      <c r="E1127">
        <f>IF(ISNUMBER(INDEX('Providers'!$K$4:$K$503,124)),TEXT(INDEX('Providers'!$K$4:$K$503,124),"yyyy-mm-dd"),"")</f>
        <v/>
      </c>
      <c r="F1127">
        <f>"Registration"</f>
        <v/>
      </c>
      <c r="G1127">
        <f>""</f>
        <v/>
      </c>
      <c r="H1127">
        <f>"High"</f>
        <v/>
      </c>
      <c r="I1127">
        <f>TRIM(IF(LEN(IF(LEN(INDEX('Providers'!$J$4:$J$503,124))=0,"",INDEX('Providers'!$J$4:$J$503,124)))=0,"","CSR no.: "&amp;IF(LEN(INDEX('Providers'!$J$4:$J$503,124))=0,"",INDEX('Providers'!$J$4:$J$503,124))&amp;". ")&amp;IF(LEN(IF(LEN(INDEX('Providers'!$C$4:$C$503,124))=0,"",INDEX('Providers'!$C$4:$C$503,124)))=0,"","NPI: "&amp;IF(LEN(INDEX('Providers'!$C$4:$C$503,124))=0,"",INDEX('Providers'!$C$4:$C$503,124))&amp;". "))</f>
        <v/>
      </c>
      <c r="J1127">
        <f>IF(LEN(INDEX('Providers'!$AJ$4:$AJ$503,124))=0,"",INDEX('Providers'!$AJ$4:$AJ$503,124))</f>
        <v/>
      </c>
      <c r="K1127">
        <f>IF(LEN(INDEX('Providers'!$AI$4:$AI$503,124))=0,"",INDEX('Providers'!$AI$4:$AI$503,124))</f>
        <v/>
      </c>
    </row>
    <row r="1128">
      <c r="A1128">
        <f>IF(AND(LEN('Providers'!A128)&gt;0,ISNUMBER('Providers'!K128)),1,0)</f>
        <v/>
      </c>
      <c r="B1128">
        <f>B1127+A1128</f>
        <v/>
      </c>
      <c r="C1128">
        <f>IF(1125&gt;$B$4503,"",MATCH(1125-0.5,$B$3:$B$4503,1))</f>
        <v/>
      </c>
      <c r="D1128">
        <f>"State CSR ("&amp;IF(LEN(INDEX('Providers'!$E$4:$E$503,125))=0,"",INDEX('Providers'!$E$4:$E$503,125))&amp;") – "&amp;IF(LEN(INDEX('Providers'!$A$4:$A$503,125))=0,"",INDEX('Providers'!$A$4:$A$503,125))</f>
        <v/>
      </c>
      <c r="E1128">
        <f>IF(ISNUMBER(INDEX('Providers'!$K$4:$K$503,125)),TEXT(INDEX('Providers'!$K$4:$K$503,125),"yyyy-mm-dd"),"")</f>
        <v/>
      </c>
      <c r="F1128">
        <f>"Registration"</f>
        <v/>
      </c>
      <c r="G1128">
        <f>""</f>
        <v/>
      </c>
      <c r="H1128">
        <f>"High"</f>
        <v/>
      </c>
      <c r="I1128">
        <f>TRIM(IF(LEN(IF(LEN(INDEX('Providers'!$J$4:$J$503,125))=0,"",INDEX('Providers'!$J$4:$J$503,125)))=0,"","CSR no.: "&amp;IF(LEN(INDEX('Providers'!$J$4:$J$503,125))=0,"",INDEX('Providers'!$J$4:$J$503,125))&amp;". ")&amp;IF(LEN(IF(LEN(INDEX('Providers'!$C$4:$C$503,125))=0,"",INDEX('Providers'!$C$4:$C$503,125)))=0,"","NPI: "&amp;IF(LEN(INDEX('Providers'!$C$4:$C$503,125))=0,"",INDEX('Providers'!$C$4:$C$503,125))&amp;". "))</f>
        <v/>
      </c>
      <c r="J1128">
        <f>IF(LEN(INDEX('Providers'!$AJ$4:$AJ$503,125))=0,"",INDEX('Providers'!$AJ$4:$AJ$503,125))</f>
        <v/>
      </c>
      <c r="K1128">
        <f>IF(LEN(INDEX('Providers'!$AI$4:$AI$503,125))=0,"",INDEX('Providers'!$AI$4:$AI$503,125))</f>
        <v/>
      </c>
    </row>
    <row r="1129">
      <c r="A1129">
        <f>IF(AND(LEN('Providers'!A129)&gt;0,ISNUMBER('Providers'!K129)),1,0)</f>
        <v/>
      </c>
      <c r="B1129">
        <f>B1128+A1129</f>
        <v/>
      </c>
      <c r="C1129">
        <f>IF(1126&gt;$B$4503,"",MATCH(1126-0.5,$B$3:$B$4503,1))</f>
        <v/>
      </c>
      <c r="D1129">
        <f>"State CSR ("&amp;IF(LEN(INDEX('Providers'!$E$4:$E$503,126))=0,"",INDEX('Providers'!$E$4:$E$503,126))&amp;") – "&amp;IF(LEN(INDEX('Providers'!$A$4:$A$503,126))=0,"",INDEX('Providers'!$A$4:$A$503,126))</f>
        <v/>
      </c>
      <c r="E1129">
        <f>IF(ISNUMBER(INDEX('Providers'!$K$4:$K$503,126)),TEXT(INDEX('Providers'!$K$4:$K$503,126),"yyyy-mm-dd"),"")</f>
        <v/>
      </c>
      <c r="F1129">
        <f>"Registration"</f>
        <v/>
      </c>
      <c r="G1129">
        <f>""</f>
        <v/>
      </c>
      <c r="H1129">
        <f>"High"</f>
        <v/>
      </c>
      <c r="I1129">
        <f>TRIM(IF(LEN(IF(LEN(INDEX('Providers'!$J$4:$J$503,126))=0,"",INDEX('Providers'!$J$4:$J$503,126)))=0,"","CSR no.: "&amp;IF(LEN(INDEX('Providers'!$J$4:$J$503,126))=0,"",INDEX('Providers'!$J$4:$J$503,126))&amp;". ")&amp;IF(LEN(IF(LEN(INDEX('Providers'!$C$4:$C$503,126))=0,"",INDEX('Providers'!$C$4:$C$503,126)))=0,"","NPI: "&amp;IF(LEN(INDEX('Providers'!$C$4:$C$503,126))=0,"",INDEX('Providers'!$C$4:$C$503,126))&amp;". "))</f>
        <v/>
      </c>
      <c r="J1129">
        <f>IF(LEN(INDEX('Providers'!$AJ$4:$AJ$503,126))=0,"",INDEX('Providers'!$AJ$4:$AJ$503,126))</f>
        <v/>
      </c>
      <c r="K1129">
        <f>IF(LEN(INDEX('Providers'!$AI$4:$AI$503,126))=0,"",INDEX('Providers'!$AI$4:$AI$503,126))</f>
        <v/>
      </c>
    </row>
    <row r="1130">
      <c r="A1130">
        <f>IF(AND(LEN('Providers'!A130)&gt;0,ISNUMBER('Providers'!K130)),1,0)</f>
        <v/>
      </c>
      <c r="B1130">
        <f>B1129+A1130</f>
        <v/>
      </c>
      <c r="C1130">
        <f>IF(1127&gt;$B$4503,"",MATCH(1127-0.5,$B$3:$B$4503,1))</f>
        <v/>
      </c>
      <c r="D1130">
        <f>"State CSR ("&amp;IF(LEN(INDEX('Providers'!$E$4:$E$503,127))=0,"",INDEX('Providers'!$E$4:$E$503,127))&amp;") – "&amp;IF(LEN(INDEX('Providers'!$A$4:$A$503,127))=0,"",INDEX('Providers'!$A$4:$A$503,127))</f>
        <v/>
      </c>
      <c r="E1130">
        <f>IF(ISNUMBER(INDEX('Providers'!$K$4:$K$503,127)),TEXT(INDEX('Providers'!$K$4:$K$503,127),"yyyy-mm-dd"),"")</f>
        <v/>
      </c>
      <c r="F1130">
        <f>"Registration"</f>
        <v/>
      </c>
      <c r="G1130">
        <f>""</f>
        <v/>
      </c>
      <c r="H1130">
        <f>"High"</f>
        <v/>
      </c>
      <c r="I1130">
        <f>TRIM(IF(LEN(IF(LEN(INDEX('Providers'!$J$4:$J$503,127))=0,"",INDEX('Providers'!$J$4:$J$503,127)))=0,"","CSR no.: "&amp;IF(LEN(INDEX('Providers'!$J$4:$J$503,127))=0,"",INDEX('Providers'!$J$4:$J$503,127))&amp;". ")&amp;IF(LEN(IF(LEN(INDEX('Providers'!$C$4:$C$503,127))=0,"",INDEX('Providers'!$C$4:$C$503,127)))=0,"","NPI: "&amp;IF(LEN(INDEX('Providers'!$C$4:$C$503,127))=0,"",INDEX('Providers'!$C$4:$C$503,127))&amp;". "))</f>
        <v/>
      </c>
      <c r="J1130">
        <f>IF(LEN(INDEX('Providers'!$AJ$4:$AJ$503,127))=0,"",INDEX('Providers'!$AJ$4:$AJ$503,127))</f>
        <v/>
      </c>
      <c r="K1130">
        <f>IF(LEN(INDEX('Providers'!$AI$4:$AI$503,127))=0,"",INDEX('Providers'!$AI$4:$AI$503,127))</f>
        <v/>
      </c>
    </row>
    <row r="1131">
      <c r="A1131">
        <f>IF(AND(LEN('Providers'!A131)&gt;0,ISNUMBER('Providers'!K131)),1,0)</f>
        <v/>
      </c>
      <c r="B1131">
        <f>B1130+A1131</f>
        <v/>
      </c>
      <c r="C1131">
        <f>IF(1128&gt;$B$4503,"",MATCH(1128-0.5,$B$3:$B$4503,1))</f>
        <v/>
      </c>
      <c r="D1131">
        <f>"State CSR ("&amp;IF(LEN(INDEX('Providers'!$E$4:$E$503,128))=0,"",INDEX('Providers'!$E$4:$E$503,128))&amp;") – "&amp;IF(LEN(INDEX('Providers'!$A$4:$A$503,128))=0,"",INDEX('Providers'!$A$4:$A$503,128))</f>
        <v/>
      </c>
      <c r="E1131">
        <f>IF(ISNUMBER(INDEX('Providers'!$K$4:$K$503,128)),TEXT(INDEX('Providers'!$K$4:$K$503,128),"yyyy-mm-dd"),"")</f>
        <v/>
      </c>
      <c r="F1131">
        <f>"Registration"</f>
        <v/>
      </c>
      <c r="G1131">
        <f>""</f>
        <v/>
      </c>
      <c r="H1131">
        <f>"High"</f>
        <v/>
      </c>
      <c r="I1131">
        <f>TRIM(IF(LEN(IF(LEN(INDEX('Providers'!$J$4:$J$503,128))=0,"",INDEX('Providers'!$J$4:$J$503,128)))=0,"","CSR no.: "&amp;IF(LEN(INDEX('Providers'!$J$4:$J$503,128))=0,"",INDEX('Providers'!$J$4:$J$503,128))&amp;". ")&amp;IF(LEN(IF(LEN(INDEX('Providers'!$C$4:$C$503,128))=0,"",INDEX('Providers'!$C$4:$C$503,128)))=0,"","NPI: "&amp;IF(LEN(INDEX('Providers'!$C$4:$C$503,128))=0,"",INDEX('Providers'!$C$4:$C$503,128))&amp;". "))</f>
        <v/>
      </c>
      <c r="J1131">
        <f>IF(LEN(INDEX('Providers'!$AJ$4:$AJ$503,128))=0,"",INDEX('Providers'!$AJ$4:$AJ$503,128))</f>
        <v/>
      </c>
      <c r="K1131">
        <f>IF(LEN(INDEX('Providers'!$AI$4:$AI$503,128))=0,"",INDEX('Providers'!$AI$4:$AI$503,128))</f>
        <v/>
      </c>
    </row>
    <row r="1132">
      <c r="A1132">
        <f>IF(AND(LEN('Providers'!A132)&gt;0,ISNUMBER('Providers'!K132)),1,0)</f>
        <v/>
      </c>
      <c r="B1132">
        <f>B1131+A1132</f>
        <v/>
      </c>
      <c r="C1132">
        <f>IF(1129&gt;$B$4503,"",MATCH(1129-0.5,$B$3:$B$4503,1))</f>
        <v/>
      </c>
      <c r="D1132">
        <f>"State CSR ("&amp;IF(LEN(INDEX('Providers'!$E$4:$E$503,129))=0,"",INDEX('Providers'!$E$4:$E$503,129))&amp;") – "&amp;IF(LEN(INDEX('Providers'!$A$4:$A$503,129))=0,"",INDEX('Providers'!$A$4:$A$503,129))</f>
        <v/>
      </c>
      <c r="E1132">
        <f>IF(ISNUMBER(INDEX('Providers'!$K$4:$K$503,129)),TEXT(INDEX('Providers'!$K$4:$K$503,129),"yyyy-mm-dd"),"")</f>
        <v/>
      </c>
      <c r="F1132">
        <f>"Registration"</f>
        <v/>
      </c>
      <c r="G1132">
        <f>""</f>
        <v/>
      </c>
      <c r="H1132">
        <f>"High"</f>
        <v/>
      </c>
      <c r="I1132">
        <f>TRIM(IF(LEN(IF(LEN(INDEX('Providers'!$J$4:$J$503,129))=0,"",INDEX('Providers'!$J$4:$J$503,129)))=0,"","CSR no.: "&amp;IF(LEN(INDEX('Providers'!$J$4:$J$503,129))=0,"",INDEX('Providers'!$J$4:$J$503,129))&amp;". ")&amp;IF(LEN(IF(LEN(INDEX('Providers'!$C$4:$C$503,129))=0,"",INDEX('Providers'!$C$4:$C$503,129)))=0,"","NPI: "&amp;IF(LEN(INDEX('Providers'!$C$4:$C$503,129))=0,"",INDEX('Providers'!$C$4:$C$503,129))&amp;". "))</f>
        <v/>
      </c>
      <c r="J1132">
        <f>IF(LEN(INDEX('Providers'!$AJ$4:$AJ$503,129))=0,"",INDEX('Providers'!$AJ$4:$AJ$503,129))</f>
        <v/>
      </c>
      <c r="K1132">
        <f>IF(LEN(INDEX('Providers'!$AI$4:$AI$503,129))=0,"",INDEX('Providers'!$AI$4:$AI$503,129))</f>
        <v/>
      </c>
    </row>
    <row r="1133">
      <c r="A1133">
        <f>IF(AND(LEN('Providers'!A133)&gt;0,ISNUMBER('Providers'!K133)),1,0)</f>
        <v/>
      </c>
      <c r="B1133">
        <f>B1132+A1133</f>
        <v/>
      </c>
      <c r="C1133">
        <f>IF(1130&gt;$B$4503,"",MATCH(1130-0.5,$B$3:$B$4503,1))</f>
        <v/>
      </c>
      <c r="D1133">
        <f>"State CSR ("&amp;IF(LEN(INDEX('Providers'!$E$4:$E$503,130))=0,"",INDEX('Providers'!$E$4:$E$503,130))&amp;") – "&amp;IF(LEN(INDEX('Providers'!$A$4:$A$503,130))=0,"",INDEX('Providers'!$A$4:$A$503,130))</f>
        <v/>
      </c>
      <c r="E1133">
        <f>IF(ISNUMBER(INDEX('Providers'!$K$4:$K$503,130)),TEXT(INDEX('Providers'!$K$4:$K$503,130),"yyyy-mm-dd"),"")</f>
        <v/>
      </c>
      <c r="F1133">
        <f>"Registration"</f>
        <v/>
      </c>
      <c r="G1133">
        <f>""</f>
        <v/>
      </c>
      <c r="H1133">
        <f>"High"</f>
        <v/>
      </c>
      <c r="I1133">
        <f>TRIM(IF(LEN(IF(LEN(INDEX('Providers'!$J$4:$J$503,130))=0,"",INDEX('Providers'!$J$4:$J$503,130)))=0,"","CSR no.: "&amp;IF(LEN(INDEX('Providers'!$J$4:$J$503,130))=0,"",INDEX('Providers'!$J$4:$J$503,130))&amp;". ")&amp;IF(LEN(IF(LEN(INDEX('Providers'!$C$4:$C$503,130))=0,"",INDEX('Providers'!$C$4:$C$503,130)))=0,"","NPI: "&amp;IF(LEN(INDEX('Providers'!$C$4:$C$503,130))=0,"",INDEX('Providers'!$C$4:$C$503,130))&amp;". "))</f>
        <v/>
      </c>
      <c r="J1133">
        <f>IF(LEN(INDEX('Providers'!$AJ$4:$AJ$503,130))=0,"",INDEX('Providers'!$AJ$4:$AJ$503,130))</f>
        <v/>
      </c>
      <c r="K1133">
        <f>IF(LEN(INDEX('Providers'!$AI$4:$AI$503,130))=0,"",INDEX('Providers'!$AI$4:$AI$503,130))</f>
        <v/>
      </c>
    </row>
    <row r="1134">
      <c r="A1134">
        <f>IF(AND(LEN('Providers'!A134)&gt;0,ISNUMBER('Providers'!K134)),1,0)</f>
        <v/>
      </c>
      <c r="B1134">
        <f>B1133+A1134</f>
        <v/>
      </c>
      <c r="C1134">
        <f>IF(1131&gt;$B$4503,"",MATCH(1131-0.5,$B$3:$B$4503,1))</f>
        <v/>
      </c>
      <c r="D1134">
        <f>"State CSR ("&amp;IF(LEN(INDEX('Providers'!$E$4:$E$503,131))=0,"",INDEX('Providers'!$E$4:$E$503,131))&amp;") – "&amp;IF(LEN(INDEX('Providers'!$A$4:$A$503,131))=0,"",INDEX('Providers'!$A$4:$A$503,131))</f>
        <v/>
      </c>
      <c r="E1134">
        <f>IF(ISNUMBER(INDEX('Providers'!$K$4:$K$503,131)),TEXT(INDEX('Providers'!$K$4:$K$503,131),"yyyy-mm-dd"),"")</f>
        <v/>
      </c>
      <c r="F1134">
        <f>"Registration"</f>
        <v/>
      </c>
      <c r="G1134">
        <f>""</f>
        <v/>
      </c>
      <c r="H1134">
        <f>"High"</f>
        <v/>
      </c>
      <c r="I1134">
        <f>TRIM(IF(LEN(IF(LEN(INDEX('Providers'!$J$4:$J$503,131))=0,"",INDEX('Providers'!$J$4:$J$503,131)))=0,"","CSR no.: "&amp;IF(LEN(INDEX('Providers'!$J$4:$J$503,131))=0,"",INDEX('Providers'!$J$4:$J$503,131))&amp;". ")&amp;IF(LEN(IF(LEN(INDEX('Providers'!$C$4:$C$503,131))=0,"",INDEX('Providers'!$C$4:$C$503,131)))=0,"","NPI: "&amp;IF(LEN(INDEX('Providers'!$C$4:$C$503,131))=0,"",INDEX('Providers'!$C$4:$C$503,131))&amp;". "))</f>
        <v/>
      </c>
      <c r="J1134">
        <f>IF(LEN(INDEX('Providers'!$AJ$4:$AJ$503,131))=0,"",INDEX('Providers'!$AJ$4:$AJ$503,131))</f>
        <v/>
      </c>
      <c r="K1134">
        <f>IF(LEN(INDEX('Providers'!$AI$4:$AI$503,131))=0,"",INDEX('Providers'!$AI$4:$AI$503,131))</f>
        <v/>
      </c>
    </row>
    <row r="1135">
      <c r="A1135">
        <f>IF(AND(LEN('Providers'!A135)&gt;0,ISNUMBER('Providers'!K135)),1,0)</f>
        <v/>
      </c>
      <c r="B1135">
        <f>B1134+A1135</f>
        <v/>
      </c>
      <c r="C1135">
        <f>IF(1132&gt;$B$4503,"",MATCH(1132-0.5,$B$3:$B$4503,1))</f>
        <v/>
      </c>
      <c r="D1135">
        <f>"State CSR ("&amp;IF(LEN(INDEX('Providers'!$E$4:$E$503,132))=0,"",INDEX('Providers'!$E$4:$E$503,132))&amp;") – "&amp;IF(LEN(INDEX('Providers'!$A$4:$A$503,132))=0,"",INDEX('Providers'!$A$4:$A$503,132))</f>
        <v/>
      </c>
      <c r="E1135">
        <f>IF(ISNUMBER(INDEX('Providers'!$K$4:$K$503,132)),TEXT(INDEX('Providers'!$K$4:$K$503,132),"yyyy-mm-dd"),"")</f>
        <v/>
      </c>
      <c r="F1135">
        <f>"Registration"</f>
        <v/>
      </c>
      <c r="G1135">
        <f>""</f>
        <v/>
      </c>
      <c r="H1135">
        <f>"High"</f>
        <v/>
      </c>
      <c r="I1135">
        <f>TRIM(IF(LEN(IF(LEN(INDEX('Providers'!$J$4:$J$503,132))=0,"",INDEX('Providers'!$J$4:$J$503,132)))=0,"","CSR no.: "&amp;IF(LEN(INDEX('Providers'!$J$4:$J$503,132))=0,"",INDEX('Providers'!$J$4:$J$503,132))&amp;". ")&amp;IF(LEN(IF(LEN(INDEX('Providers'!$C$4:$C$503,132))=0,"",INDEX('Providers'!$C$4:$C$503,132)))=0,"","NPI: "&amp;IF(LEN(INDEX('Providers'!$C$4:$C$503,132))=0,"",INDEX('Providers'!$C$4:$C$503,132))&amp;". "))</f>
        <v/>
      </c>
      <c r="J1135">
        <f>IF(LEN(INDEX('Providers'!$AJ$4:$AJ$503,132))=0,"",INDEX('Providers'!$AJ$4:$AJ$503,132))</f>
        <v/>
      </c>
      <c r="K1135">
        <f>IF(LEN(INDEX('Providers'!$AI$4:$AI$503,132))=0,"",INDEX('Providers'!$AI$4:$AI$503,132))</f>
        <v/>
      </c>
    </row>
    <row r="1136">
      <c r="A1136">
        <f>IF(AND(LEN('Providers'!A136)&gt;0,ISNUMBER('Providers'!K136)),1,0)</f>
        <v/>
      </c>
      <c r="B1136">
        <f>B1135+A1136</f>
        <v/>
      </c>
      <c r="C1136">
        <f>IF(1133&gt;$B$4503,"",MATCH(1133-0.5,$B$3:$B$4503,1))</f>
        <v/>
      </c>
      <c r="D1136">
        <f>"State CSR ("&amp;IF(LEN(INDEX('Providers'!$E$4:$E$503,133))=0,"",INDEX('Providers'!$E$4:$E$503,133))&amp;") – "&amp;IF(LEN(INDEX('Providers'!$A$4:$A$503,133))=0,"",INDEX('Providers'!$A$4:$A$503,133))</f>
        <v/>
      </c>
      <c r="E1136">
        <f>IF(ISNUMBER(INDEX('Providers'!$K$4:$K$503,133)),TEXT(INDEX('Providers'!$K$4:$K$503,133),"yyyy-mm-dd"),"")</f>
        <v/>
      </c>
      <c r="F1136">
        <f>"Registration"</f>
        <v/>
      </c>
      <c r="G1136">
        <f>""</f>
        <v/>
      </c>
      <c r="H1136">
        <f>"High"</f>
        <v/>
      </c>
      <c r="I1136">
        <f>TRIM(IF(LEN(IF(LEN(INDEX('Providers'!$J$4:$J$503,133))=0,"",INDEX('Providers'!$J$4:$J$503,133)))=0,"","CSR no.: "&amp;IF(LEN(INDEX('Providers'!$J$4:$J$503,133))=0,"",INDEX('Providers'!$J$4:$J$503,133))&amp;". ")&amp;IF(LEN(IF(LEN(INDEX('Providers'!$C$4:$C$503,133))=0,"",INDEX('Providers'!$C$4:$C$503,133)))=0,"","NPI: "&amp;IF(LEN(INDEX('Providers'!$C$4:$C$503,133))=0,"",INDEX('Providers'!$C$4:$C$503,133))&amp;". "))</f>
        <v/>
      </c>
      <c r="J1136">
        <f>IF(LEN(INDEX('Providers'!$AJ$4:$AJ$503,133))=0,"",INDEX('Providers'!$AJ$4:$AJ$503,133))</f>
        <v/>
      </c>
      <c r="K1136">
        <f>IF(LEN(INDEX('Providers'!$AI$4:$AI$503,133))=0,"",INDEX('Providers'!$AI$4:$AI$503,133))</f>
        <v/>
      </c>
    </row>
    <row r="1137">
      <c r="A1137">
        <f>IF(AND(LEN('Providers'!A137)&gt;0,ISNUMBER('Providers'!K137)),1,0)</f>
        <v/>
      </c>
      <c r="B1137">
        <f>B1136+A1137</f>
        <v/>
      </c>
      <c r="C1137">
        <f>IF(1134&gt;$B$4503,"",MATCH(1134-0.5,$B$3:$B$4503,1))</f>
        <v/>
      </c>
      <c r="D1137">
        <f>"State CSR ("&amp;IF(LEN(INDEX('Providers'!$E$4:$E$503,134))=0,"",INDEX('Providers'!$E$4:$E$503,134))&amp;") – "&amp;IF(LEN(INDEX('Providers'!$A$4:$A$503,134))=0,"",INDEX('Providers'!$A$4:$A$503,134))</f>
        <v/>
      </c>
      <c r="E1137">
        <f>IF(ISNUMBER(INDEX('Providers'!$K$4:$K$503,134)),TEXT(INDEX('Providers'!$K$4:$K$503,134),"yyyy-mm-dd"),"")</f>
        <v/>
      </c>
      <c r="F1137">
        <f>"Registration"</f>
        <v/>
      </c>
      <c r="G1137">
        <f>""</f>
        <v/>
      </c>
      <c r="H1137">
        <f>"High"</f>
        <v/>
      </c>
      <c r="I1137">
        <f>TRIM(IF(LEN(IF(LEN(INDEX('Providers'!$J$4:$J$503,134))=0,"",INDEX('Providers'!$J$4:$J$503,134)))=0,"","CSR no.: "&amp;IF(LEN(INDEX('Providers'!$J$4:$J$503,134))=0,"",INDEX('Providers'!$J$4:$J$503,134))&amp;". ")&amp;IF(LEN(IF(LEN(INDEX('Providers'!$C$4:$C$503,134))=0,"",INDEX('Providers'!$C$4:$C$503,134)))=0,"","NPI: "&amp;IF(LEN(INDEX('Providers'!$C$4:$C$503,134))=0,"",INDEX('Providers'!$C$4:$C$503,134))&amp;". "))</f>
        <v/>
      </c>
      <c r="J1137">
        <f>IF(LEN(INDEX('Providers'!$AJ$4:$AJ$503,134))=0,"",INDEX('Providers'!$AJ$4:$AJ$503,134))</f>
        <v/>
      </c>
      <c r="K1137">
        <f>IF(LEN(INDEX('Providers'!$AI$4:$AI$503,134))=0,"",INDEX('Providers'!$AI$4:$AI$503,134))</f>
        <v/>
      </c>
    </row>
    <row r="1138">
      <c r="A1138">
        <f>IF(AND(LEN('Providers'!A138)&gt;0,ISNUMBER('Providers'!K138)),1,0)</f>
        <v/>
      </c>
      <c r="B1138">
        <f>B1137+A1138</f>
        <v/>
      </c>
      <c r="C1138">
        <f>IF(1135&gt;$B$4503,"",MATCH(1135-0.5,$B$3:$B$4503,1))</f>
        <v/>
      </c>
      <c r="D1138">
        <f>"State CSR ("&amp;IF(LEN(INDEX('Providers'!$E$4:$E$503,135))=0,"",INDEX('Providers'!$E$4:$E$503,135))&amp;") – "&amp;IF(LEN(INDEX('Providers'!$A$4:$A$503,135))=0,"",INDEX('Providers'!$A$4:$A$503,135))</f>
        <v/>
      </c>
      <c r="E1138">
        <f>IF(ISNUMBER(INDEX('Providers'!$K$4:$K$503,135)),TEXT(INDEX('Providers'!$K$4:$K$503,135),"yyyy-mm-dd"),"")</f>
        <v/>
      </c>
      <c r="F1138">
        <f>"Registration"</f>
        <v/>
      </c>
      <c r="G1138">
        <f>""</f>
        <v/>
      </c>
      <c r="H1138">
        <f>"High"</f>
        <v/>
      </c>
      <c r="I1138">
        <f>TRIM(IF(LEN(IF(LEN(INDEX('Providers'!$J$4:$J$503,135))=0,"",INDEX('Providers'!$J$4:$J$503,135)))=0,"","CSR no.: "&amp;IF(LEN(INDEX('Providers'!$J$4:$J$503,135))=0,"",INDEX('Providers'!$J$4:$J$503,135))&amp;". ")&amp;IF(LEN(IF(LEN(INDEX('Providers'!$C$4:$C$503,135))=0,"",INDEX('Providers'!$C$4:$C$503,135)))=0,"","NPI: "&amp;IF(LEN(INDEX('Providers'!$C$4:$C$503,135))=0,"",INDEX('Providers'!$C$4:$C$503,135))&amp;". "))</f>
        <v/>
      </c>
      <c r="J1138">
        <f>IF(LEN(INDEX('Providers'!$AJ$4:$AJ$503,135))=0,"",INDEX('Providers'!$AJ$4:$AJ$503,135))</f>
        <v/>
      </c>
      <c r="K1138">
        <f>IF(LEN(INDEX('Providers'!$AI$4:$AI$503,135))=0,"",INDEX('Providers'!$AI$4:$AI$503,135))</f>
        <v/>
      </c>
    </row>
    <row r="1139">
      <c r="A1139">
        <f>IF(AND(LEN('Providers'!A139)&gt;0,ISNUMBER('Providers'!K139)),1,0)</f>
        <v/>
      </c>
      <c r="B1139">
        <f>B1138+A1139</f>
        <v/>
      </c>
      <c r="C1139">
        <f>IF(1136&gt;$B$4503,"",MATCH(1136-0.5,$B$3:$B$4503,1))</f>
        <v/>
      </c>
      <c r="D1139">
        <f>"State CSR ("&amp;IF(LEN(INDEX('Providers'!$E$4:$E$503,136))=0,"",INDEX('Providers'!$E$4:$E$503,136))&amp;") – "&amp;IF(LEN(INDEX('Providers'!$A$4:$A$503,136))=0,"",INDEX('Providers'!$A$4:$A$503,136))</f>
        <v/>
      </c>
      <c r="E1139">
        <f>IF(ISNUMBER(INDEX('Providers'!$K$4:$K$503,136)),TEXT(INDEX('Providers'!$K$4:$K$503,136),"yyyy-mm-dd"),"")</f>
        <v/>
      </c>
      <c r="F1139">
        <f>"Registration"</f>
        <v/>
      </c>
      <c r="G1139">
        <f>""</f>
        <v/>
      </c>
      <c r="H1139">
        <f>"High"</f>
        <v/>
      </c>
      <c r="I1139">
        <f>TRIM(IF(LEN(IF(LEN(INDEX('Providers'!$J$4:$J$503,136))=0,"",INDEX('Providers'!$J$4:$J$503,136)))=0,"","CSR no.: "&amp;IF(LEN(INDEX('Providers'!$J$4:$J$503,136))=0,"",INDEX('Providers'!$J$4:$J$503,136))&amp;". ")&amp;IF(LEN(IF(LEN(INDEX('Providers'!$C$4:$C$503,136))=0,"",INDEX('Providers'!$C$4:$C$503,136)))=0,"","NPI: "&amp;IF(LEN(INDEX('Providers'!$C$4:$C$503,136))=0,"",INDEX('Providers'!$C$4:$C$503,136))&amp;". "))</f>
        <v/>
      </c>
      <c r="J1139">
        <f>IF(LEN(INDEX('Providers'!$AJ$4:$AJ$503,136))=0,"",INDEX('Providers'!$AJ$4:$AJ$503,136))</f>
        <v/>
      </c>
      <c r="K1139">
        <f>IF(LEN(INDEX('Providers'!$AI$4:$AI$503,136))=0,"",INDEX('Providers'!$AI$4:$AI$503,136))</f>
        <v/>
      </c>
    </row>
    <row r="1140">
      <c r="A1140">
        <f>IF(AND(LEN('Providers'!A140)&gt;0,ISNUMBER('Providers'!K140)),1,0)</f>
        <v/>
      </c>
      <c r="B1140">
        <f>B1139+A1140</f>
        <v/>
      </c>
      <c r="C1140">
        <f>IF(1137&gt;$B$4503,"",MATCH(1137-0.5,$B$3:$B$4503,1))</f>
        <v/>
      </c>
      <c r="D1140">
        <f>"State CSR ("&amp;IF(LEN(INDEX('Providers'!$E$4:$E$503,137))=0,"",INDEX('Providers'!$E$4:$E$503,137))&amp;") – "&amp;IF(LEN(INDEX('Providers'!$A$4:$A$503,137))=0,"",INDEX('Providers'!$A$4:$A$503,137))</f>
        <v/>
      </c>
      <c r="E1140">
        <f>IF(ISNUMBER(INDEX('Providers'!$K$4:$K$503,137)),TEXT(INDEX('Providers'!$K$4:$K$503,137),"yyyy-mm-dd"),"")</f>
        <v/>
      </c>
      <c r="F1140">
        <f>"Registration"</f>
        <v/>
      </c>
      <c r="G1140">
        <f>""</f>
        <v/>
      </c>
      <c r="H1140">
        <f>"High"</f>
        <v/>
      </c>
      <c r="I1140">
        <f>TRIM(IF(LEN(IF(LEN(INDEX('Providers'!$J$4:$J$503,137))=0,"",INDEX('Providers'!$J$4:$J$503,137)))=0,"","CSR no.: "&amp;IF(LEN(INDEX('Providers'!$J$4:$J$503,137))=0,"",INDEX('Providers'!$J$4:$J$503,137))&amp;". ")&amp;IF(LEN(IF(LEN(INDEX('Providers'!$C$4:$C$503,137))=0,"",INDEX('Providers'!$C$4:$C$503,137)))=0,"","NPI: "&amp;IF(LEN(INDEX('Providers'!$C$4:$C$503,137))=0,"",INDEX('Providers'!$C$4:$C$503,137))&amp;". "))</f>
        <v/>
      </c>
      <c r="J1140">
        <f>IF(LEN(INDEX('Providers'!$AJ$4:$AJ$503,137))=0,"",INDEX('Providers'!$AJ$4:$AJ$503,137))</f>
        <v/>
      </c>
      <c r="K1140">
        <f>IF(LEN(INDEX('Providers'!$AI$4:$AI$503,137))=0,"",INDEX('Providers'!$AI$4:$AI$503,137))</f>
        <v/>
      </c>
    </row>
    <row r="1141">
      <c r="A1141">
        <f>IF(AND(LEN('Providers'!A141)&gt;0,ISNUMBER('Providers'!K141)),1,0)</f>
        <v/>
      </c>
      <c r="B1141">
        <f>B1140+A1141</f>
        <v/>
      </c>
      <c r="C1141">
        <f>IF(1138&gt;$B$4503,"",MATCH(1138-0.5,$B$3:$B$4503,1))</f>
        <v/>
      </c>
      <c r="D1141">
        <f>"State CSR ("&amp;IF(LEN(INDEX('Providers'!$E$4:$E$503,138))=0,"",INDEX('Providers'!$E$4:$E$503,138))&amp;") – "&amp;IF(LEN(INDEX('Providers'!$A$4:$A$503,138))=0,"",INDEX('Providers'!$A$4:$A$503,138))</f>
        <v/>
      </c>
      <c r="E1141">
        <f>IF(ISNUMBER(INDEX('Providers'!$K$4:$K$503,138)),TEXT(INDEX('Providers'!$K$4:$K$503,138),"yyyy-mm-dd"),"")</f>
        <v/>
      </c>
      <c r="F1141">
        <f>"Registration"</f>
        <v/>
      </c>
      <c r="G1141">
        <f>""</f>
        <v/>
      </c>
      <c r="H1141">
        <f>"High"</f>
        <v/>
      </c>
      <c r="I1141">
        <f>TRIM(IF(LEN(IF(LEN(INDEX('Providers'!$J$4:$J$503,138))=0,"",INDEX('Providers'!$J$4:$J$503,138)))=0,"","CSR no.: "&amp;IF(LEN(INDEX('Providers'!$J$4:$J$503,138))=0,"",INDEX('Providers'!$J$4:$J$503,138))&amp;". ")&amp;IF(LEN(IF(LEN(INDEX('Providers'!$C$4:$C$503,138))=0,"",INDEX('Providers'!$C$4:$C$503,138)))=0,"","NPI: "&amp;IF(LEN(INDEX('Providers'!$C$4:$C$503,138))=0,"",INDEX('Providers'!$C$4:$C$503,138))&amp;". "))</f>
        <v/>
      </c>
      <c r="J1141">
        <f>IF(LEN(INDEX('Providers'!$AJ$4:$AJ$503,138))=0,"",INDEX('Providers'!$AJ$4:$AJ$503,138))</f>
        <v/>
      </c>
      <c r="K1141">
        <f>IF(LEN(INDEX('Providers'!$AI$4:$AI$503,138))=0,"",INDEX('Providers'!$AI$4:$AI$503,138))</f>
        <v/>
      </c>
    </row>
    <row r="1142">
      <c r="A1142">
        <f>IF(AND(LEN('Providers'!A142)&gt;0,ISNUMBER('Providers'!K142)),1,0)</f>
        <v/>
      </c>
      <c r="B1142">
        <f>B1141+A1142</f>
        <v/>
      </c>
      <c r="C1142">
        <f>IF(1139&gt;$B$4503,"",MATCH(1139-0.5,$B$3:$B$4503,1))</f>
        <v/>
      </c>
      <c r="D1142">
        <f>"State CSR ("&amp;IF(LEN(INDEX('Providers'!$E$4:$E$503,139))=0,"",INDEX('Providers'!$E$4:$E$503,139))&amp;") – "&amp;IF(LEN(INDEX('Providers'!$A$4:$A$503,139))=0,"",INDEX('Providers'!$A$4:$A$503,139))</f>
        <v/>
      </c>
      <c r="E1142">
        <f>IF(ISNUMBER(INDEX('Providers'!$K$4:$K$503,139)),TEXT(INDEX('Providers'!$K$4:$K$503,139),"yyyy-mm-dd"),"")</f>
        <v/>
      </c>
      <c r="F1142">
        <f>"Registration"</f>
        <v/>
      </c>
      <c r="G1142">
        <f>""</f>
        <v/>
      </c>
      <c r="H1142">
        <f>"High"</f>
        <v/>
      </c>
      <c r="I1142">
        <f>TRIM(IF(LEN(IF(LEN(INDEX('Providers'!$J$4:$J$503,139))=0,"",INDEX('Providers'!$J$4:$J$503,139)))=0,"","CSR no.: "&amp;IF(LEN(INDEX('Providers'!$J$4:$J$503,139))=0,"",INDEX('Providers'!$J$4:$J$503,139))&amp;". ")&amp;IF(LEN(IF(LEN(INDEX('Providers'!$C$4:$C$503,139))=0,"",INDEX('Providers'!$C$4:$C$503,139)))=0,"","NPI: "&amp;IF(LEN(INDEX('Providers'!$C$4:$C$503,139))=0,"",INDEX('Providers'!$C$4:$C$503,139))&amp;". "))</f>
        <v/>
      </c>
      <c r="J1142">
        <f>IF(LEN(INDEX('Providers'!$AJ$4:$AJ$503,139))=0,"",INDEX('Providers'!$AJ$4:$AJ$503,139))</f>
        <v/>
      </c>
      <c r="K1142">
        <f>IF(LEN(INDEX('Providers'!$AI$4:$AI$503,139))=0,"",INDEX('Providers'!$AI$4:$AI$503,139))</f>
        <v/>
      </c>
    </row>
    <row r="1143">
      <c r="A1143">
        <f>IF(AND(LEN('Providers'!A143)&gt;0,ISNUMBER('Providers'!K143)),1,0)</f>
        <v/>
      </c>
      <c r="B1143">
        <f>B1142+A1143</f>
        <v/>
      </c>
      <c r="C1143">
        <f>IF(1140&gt;$B$4503,"",MATCH(1140-0.5,$B$3:$B$4503,1))</f>
        <v/>
      </c>
      <c r="D1143">
        <f>"State CSR ("&amp;IF(LEN(INDEX('Providers'!$E$4:$E$503,140))=0,"",INDEX('Providers'!$E$4:$E$503,140))&amp;") – "&amp;IF(LEN(INDEX('Providers'!$A$4:$A$503,140))=0,"",INDEX('Providers'!$A$4:$A$503,140))</f>
        <v/>
      </c>
      <c r="E1143">
        <f>IF(ISNUMBER(INDEX('Providers'!$K$4:$K$503,140)),TEXT(INDEX('Providers'!$K$4:$K$503,140),"yyyy-mm-dd"),"")</f>
        <v/>
      </c>
      <c r="F1143">
        <f>"Registration"</f>
        <v/>
      </c>
      <c r="G1143">
        <f>""</f>
        <v/>
      </c>
      <c r="H1143">
        <f>"High"</f>
        <v/>
      </c>
      <c r="I1143">
        <f>TRIM(IF(LEN(IF(LEN(INDEX('Providers'!$J$4:$J$503,140))=0,"",INDEX('Providers'!$J$4:$J$503,140)))=0,"","CSR no.: "&amp;IF(LEN(INDEX('Providers'!$J$4:$J$503,140))=0,"",INDEX('Providers'!$J$4:$J$503,140))&amp;". ")&amp;IF(LEN(IF(LEN(INDEX('Providers'!$C$4:$C$503,140))=0,"",INDEX('Providers'!$C$4:$C$503,140)))=0,"","NPI: "&amp;IF(LEN(INDEX('Providers'!$C$4:$C$503,140))=0,"",INDEX('Providers'!$C$4:$C$503,140))&amp;". "))</f>
        <v/>
      </c>
      <c r="J1143">
        <f>IF(LEN(INDEX('Providers'!$AJ$4:$AJ$503,140))=0,"",INDEX('Providers'!$AJ$4:$AJ$503,140))</f>
        <v/>
      </c>
      <c r="K1143">
        <f>IF(LEN(INDEX('Providers'!$AI$4:$AI$503,140))=0,"",INDEX('Providers'!$AI$4:$AI$503,140))</f>
        <v/>
      </c>
    </row>
    <row r="1144">
      <c r="A1144">
        <f>IF(AND(LEN('Providers'!A144)&gt;0,ISNUMBER('Providers'!K144)),1,0)</f>
        <v/>
      </c>
      <c r="B1144">
        <f>B1143+A1144</f>
        <v/>
      </c>
      <c r="C1144">
        <f>IF(1141&gt;$B$4503,"",MATCH(1141-0.5,$B$3:$B$4503,1))</f>
        <v/>
      </c>
      <c r="D1144">
        <f>"State CSR ("&amp;IF(LEN(INDEX('Providers'!$E$4:$E$503,141))=0,"",INDEX('Providers'!$E$4:$E$503,141))&amp;") – "&amp;IF(LEN(INDEX('Providers'!$A$4:$A$503,141))=0,"",INDEX('Providers'!$A$4:$A$503,141))</f>
        <v/>
      </c>
      <c r="E1144">
        <f>IF(ISNUMBER(INDEX('Providers'!$K$4:$K$503,141)),TEXT(INDEX('Providers'!$K$4:$K$503,141),"yyyy-mm-dd"),"")</f>
        <v/>
      </c>
      <c r="F1144">
        <f>"Registration"</f>
        <v/>
      </c>
      <c r="G1144">
        <f>""</f>
        <v/>
      </c>
      <c r="H1144">
        <f>"High"</f>
        <v/>
      </c>
      <c r="I1144">
        <f>TRIM(IF(LEN(IF(LEN(INDEX('Providers'!$J$4:$J$503,141))=0,"",INDEX('Providers'!$J$4:$J$503,141)))=0,"","CSR no.: "&amp;IF(LEN(INDEX('Providers'!$J$4:$J$503,141))=0,"",INDEX('Providers'!$J$4:$J$503,141))&amp;". ")&amp;IF(LEN(IF(LEN(INDEX('Providers'!$C$4:$C$503,141))=0,"",INDEX('Providers'!$C$4:$C$503,141)))=0,"","NPI: "&amp;IF(LEN(INDEX('Providers'!$C$4:$C$503,141))=0,"",INDEX('Providers'!$C$4:$C$503,141))&amp;". "))</f>
        <v/>
      </c>
      <c r="J1144">
        <f>IF(LEN(INDEX('Providers'!$AJ$4:$AJ$503,141))=0,"",INDEX('Providers'!$AJ$4:$AJ$503,141))</f>
        <v/>
      </c>
      <c r="K1144">
        <f>IF(LEN(INDEX('Providers'!$AI$4:$AI$503,141))=0,"",INDEX('Providers'!$AI$4:$AI$503,141))</f>
        <v/>
      </c>
    </row>
    <row r="1145">
      <c r="A1145">
        <f>IF(AND(LEN('Providers'!A145)&gt;0,ISNUMBER('Providers'!K145)),1,0)</f>
        <v/>
      </c>
      <c r="B1145">
        <f>B1144+A1145</f>
        <v/>
      </c>
      <c r="C1145">
        <f>IF(1142&gt;$B$4503,"",MATCH(1142-0.5,$B$3:$B$4503,1))</f>
        <v/>
      </c>
      <c r="D1145">
        <f>"State CSR ("&amp;IF(LEN(INDEX('Providers'!$E$4:$E$503,142))=0,"",INDEX('Providers'!$E$4:$E$503,142))&amp;") – "&amp;IF(LEN(INDEX('Providers'!$A$4:$A$503,142))=0,"",INDEX('Providers'!$A$4:$A$503,142))</f>
        <v/>
      </c>
      <c r="E1145">
        <f>IF(ISNUMBER(INDEX('Providers'!$K$4:$K$503,142)),TEXT(INDEX('Providers'!$K$4:$K$503,142),"yyyy-mm-dd"),"")</f>
        <v/>
      </c>
      <c r="F1145">
        <f>"Registration"</f>
        <v/>
      </c>
      <c r="G1145">
        <f>""</f>
        <v/>
      </c>
      <c r="H1145">
        <f>"High"</f>
        <v/>
      </c>
      <c r="I1145">
        <f>TRIM(IF(LEN(IF(LEN(INDEX('Providers'!$J$4:$J$503,142))=0,"",INDEX('Providers'!$J$4:$J$503,142)))=0,"","CSR no.: "&amp;IF(LEN(INDEX('Providers'!$J$4:$J$503,142))=0,"",INDEX('Providers'!$J$4:$J$503,142))&amp;". ")&amp;IF(LEN(IF(LEN(INDEX('Providers'!$C$4:$C$503,142))=0,"",INDEX('Providers'!$C$4:$C$503,142)))=0,"","NPI: "&amp;IF(LEN(INDEX('Providers'!$C$4:$C$503,142))=0,"",INDEX('Providers'!$C$4:$C$503,142))&amp;". "))</f>
        <v/>
      </c>
      <c r="J1145">
        <f>IF(LEN(INDEX('Providers'!$AJ$4:$AJ$503,142))=0,"",INDEX('Providers'!$AJ$4:$AJ$503,142))</f>
        <v/>
      </c>
      <c r="K1145">
        <f>IF(LEN(INDEX('Providers'!$AI$4:$AI$503,142))=0,"",INDEX('Providers'!$AI$4:$AI$503,142))</f>
        <v/>
      </c>
    </row>
    <row r="1146">
      <c r="A1146">
        <f>IF(AND(LEN('Providers'!A146)&gt;0,ISNUMBER('Providers'!K146)),1,0)</f>
        <v/>
      </c>
      <c r="B1146">
        <f>B1145+A1146</f>
        <v/>
      </c>
      <c r="C1146">
        <f>IF(1143&gt;$B$4503,"",MATCH(1143-0.5,$B$3:$B$4503,1))</f>
        <v/>
      </c>
      <c r="D1146">
        <f>"State CSR ("&amp;IF(LEN(INDEX('Providers'!$E$4:$E$503,143))=0,"",INDEX('Providers'!$E$4:$E$503,143))&amp;") – "&amp;IF(LEN(INDEX('Providers'!$A$4:$A$503,143))=0,"",INDEX('Providers'!$A$4:$A$503,143))</f>
        <v/>
      </c>
      <c r="E1146">
        <f>IF(ISNUMBER(INDEX('Providers'!$K$4:$K$503,143)),TEXT(INDEX('Providers'!$K$4:$K$503,143),"yyyy-mm-dd"),"")</f>
        <v/>
      </c>
      <c r="F1146">
        <f>"Registration"</f>
        <v/>
      </c>
      <c r="G1146">
        <f>""</f>
        <v/>
      </c>
      <c r="H1146">
        <f>"High"</f>
        <v/>
      </c>
      <c r="I1146">
        <f>TRIM(IF(LEN(IF(LEN(INDEX('Providers'!$J$4:$J$503,143))=0,"",INDEX('Providers'!$J$4:$J$503,143)))=0,"","CSR no.: "&amp;IF(LEN(INDEX('Providers'!$J$4:$J$503,143))=0,"",INDEX('Providers'!$J$4:$J$503,143))&amp;". ")&amp;IF(LEN(IF(LEN(INDEX('Providers'!$C$4:$C$503,143))=0,"",INDEX('Providers'!$C$4:$C$503,143)))=0,"","NPI: "&amp;IF(LEN(INDEX('Providers'!$C$4:$C$503,143))=0,"",INDEX('Providers'!$C$4:$C$503,143))&amp;". "))</f>
        <v/>
      </c>
      <c r="J1146">
        <f>IF(LEN(INDEX('Providers'!$AJ$4:$AJ$503,143))=0,"",INDEX('Providers'!$AJ$4:$AJ$503,143))</f>
        <v/>
      </c>
      <c r="K1146">
        <f>IF(LEN(INDEX('Providers'!$AI$4:$AI$503,143))=0,"",INDEX('Providers'!$AI$4:$AI$503,143))</f>
        <v/>
      </c>
    </row>
    <row r="1147">
      <c r="A1147">
        <f>IF(AND(LEN('Providers'!A147)&gt;0,ISNUMBER('Providers'!K147)),1,0)</f>
        <v/>
      </c>
      <c r="B1147">
        <f>B1146+A1147</f>
        <v/>
      </c>
      <c r="C1147">
        <f>IF(1144&gt;$B$4503,"",MATCH(1144-0.5,$B$3:$B$4503,1))</f>
        <v/>
      </c>
      <c r="D1147">
        <f>"State CSR ("&amp;IF(LEN(INDEX('Providers'!$E$4:$E$503,144))=0,"",INDEX('Providers'!$E$4:$E$503,144))&amp;") – "&amp;IF(LEN(INDEX('Providers'!$A$4:$A$503,144))=0,"",INDEX('Providers'!$A$4:$A$503,144))</f>
        <v/>
      </c>
      <c r="E1147">
        <f>IF(ISNUMBER(INDEX('Providers'!$K$4:$K$503,144)),TEXT(INDEX('Providers'!$K$4:$K$503,144),"yyyy-mm-dd"),"")</f>
        <v/>
      </c>
      <c r="F1147">
        <f>"Registration"</f>
        <v/>
      </c>
      <c r="G1147">
        <f>""</f>
        <v/>
      </c>
      <c r="H1147">
        <f>"High"</f>
        <v/>
      </c>
      <c r="I1147">
        <f>TRIM(IF(LEN(IF(LEN(INDEX('Providers'!$J$4:$J$503,144))=0,"",INDEX('Providers'!$J$4:$J$503,144)))=0,"","CSR no.: "&amp;IF(LEN(INDEX('Providers'!$J$4:$J$503,144))=0,"",INDEX('Providers'!$J$4:$J$503,144))&amp;". ")&amp;IF(LEN(IF(LEN(INDEX('Providers'!$C$4:$C$503,144))=0,"",INDEX('Providers'!$C$4:$C$503,144)))=0,"","NPI: "&amp;IF(LEN(INDEX('Providers'!$C$4:$C$503,144))=0,"",INDEX('Providers'!$C$4:$C$503,144))&amp;". "))</f>
        <v/>
      </c>
      <c r="J1147">
        <f>IF(LEN(INDEX('Providers'!$AJ$4:$AJ$503,144))=0,"",INDEX('Providers'!$AJ$4:$AJ$503,144))</f>
        <v/>
      </c>
      <c r="K1147">
        <f>IF(LEN(INDEX('Providers'!$AI$4:$AI$503,144))=0,"",INDEX('Providers'!$AI$4:$AI$503,144))</f>
        <v/>
      </c>
    </row>
    <row r="1148">
      <c r="A1148">
        <f>IF(AND(LEN('Providers'!A148)&gt;0,ISNUMBER('Providers'!K148)),1,0)</f>
        <v/>
      </c>
      <c r="B1148">
        <f>B1147+A1148</f>
        <v/>
      </c>
      <c r="C1148">
        <f>IF(1145&gt;$B$4503,"",MATCH(1145-0.5,$B$3:$B$4503,1))</f>
        <v/>
      </c>
      <c r="D1148">
        <f>"State CSR ("&amp;IF(LEN(INDEX('Providers'!$E$4:$E$503,145))=0,"",INDEX('Providers'!$E$4:$E$503,145))&amp;") – "&amp;IF(LEN(INDEX('Providers'!$A$4:$A$503,145))=0,"",INDEX('Providers'!$A$4:$A$503,145))</f>
        <v/>
      </c>
      <c r="E1148">
        <f>IF(ISNUMBER(INDEX('Providers'!$K$4:$K$503,145)),TEXT(INDEX('Providers'!$K$4:$K$503,145),"yyyy-mm-dd"),"")</f>
        <v/>
      </c>
      <c r="F1148">
        <f>"Registration"</f>
        <v/>
      </c>
      <c r="G1148">
        <f>""</f>
        <v/>
      </c>
      <c r="H1148">
        <f>"High"</f>
        <v/>
      </c>
      <c r="I1148">
        <f>TRIM(IF(LEN(IF(LEN(INDEX('Providers'!$J$4:$J$503,145))=0,"",INDEX('Providers'!$J$4:$J$503,145)))=0,"","CSR no.: "&amp;IF(LEN(INDEX('Providers'!$J$4:$J$503,145))=0,"",INDEX('Providers'!$J$4:$J$503,145))&amp;". ")&amp;IF(LEN(IF(LEN(INDEX('Providers'!$C$4:$C$503,145))=0,"",INDEX('Providers'!$C$4:$C$503,145)))=0,"","NPI: "&amp;IF(LEN(INDEX('Providers'!$C$4:$C$503,145))=0,"",INDEX('Providers'!$C$4:$C$503,145))&amp;". "))</f>
        <v/>
      </c>
      <c r="J1148">
        <f>IF(LEN(INDEX('Providers'!$AJ$4:$AJ$503,145))=0,"",INDEX('Providers'!$AJ$4:$AJ$503,145))</f>
        <v/>
      </c>
      <c r="K1148">
        <f>IF(LEN(INDEX('Providers'!$AI$4:$AI$503,145))=0,"",INDEX('Providers'!$AI$4:$AI$503,145))</f>
        <v/>
      </c>
    </row>
    <row r="1149">
      <c r="A1149">
        <f>IF(AND(LEN('Providers'!A149)&gt;0,ISNUMBER('Providers'!K149)),1,0)</f>
        <v/>
      </c>
      <c r="B1149">
        <f>B1148+A1149</f>
        <v/>
      </c>
      <c r="C1149">
        <f>IF(1146&gt;$B$4503,"",MATCH(1146-0.5,$B$3:$B$4503,1))</f>
        <v/>
      </c>
      <c r="D1149">
        <f>"State CSR ("&amp;IF(LEN(INDEX('Providers'!$E$4:$E$503,146))=0,"",INDEX('Providers'!$E$4:$E$503,146))&amp;") – "&amp;IF(LEN(INDEX('Providers'!$A$4:$A$503,146))=0,"",INDEX('Providers'!$A$4:$A$503,146))</f>
        <v/>
      </c>
      <c r="E1149">
        <f>IF(ISNUMBER(INDEX('Providers'!$K$4:$K$503,146)),TEXT(INDEX('Providers'!$K$4:$K$503,146),"yyyy-mm-dd"),"")</f>
        <v/>
      </c>
      <c r="F1149">
        <f>"Registration"</f>
        <v/>
      </c>
      <c r="G1149">
        <f>""</f>
        <v/>
      </c>
      <c r="H1149">
        <f>"High"</f>
        <v/>
      </c>
      <c r="I1149">
        <f>TRIM(IF(LEN(IF(LEN(INDEX('Providers'!$J$4:$J$503,146))=0,"",INDEX('Providers'!$J$4:$J$503,146)))=0,"","CSR no.: "&amp;IF(LEN(INDEX('Providers'!$J$4:$J$503,146))=0,"",INDEX('Providers'!$J$4:$J$503,146))&amp;". ")&amp;IF(LEN(IF(LEN(INDEX('Providers'!$C$4:$C$503,146))=0,"",INDEX('Providers'!$C$4:$C$503,146)))=0,"","NPI: "&amp;IF(LEN(INDEX('Providers'!$C$4:$C$503,146))=0,"",INDEX('Providers'!$C$4:$C$503,146))&amp;". "))</f>
        <v/>
      </c>
      <c r="J1149">
        <f>IF(LEN(INDEX('Providers'!$AJ$4:$AJ$503,146))=0,"",INDEX('Providers'!$AJ$4:$AJ$503,146))</f>
        <v/>
      </c>
      <c r="K1149">
        <f>IF(LEN(INDEX('Providers'!$AI$4:$AI$503,146))=0,"",INDEX('Providers'!$AI$4:$AI$503,146))</f>
        <v/>
      </c>
    </row>
    <row r="1150">
      <c r="A1150">
        <f>IF(AND(LEN('Providers'!A150)&gt;0,ISNUMBER('Providers'!K150)),1,0)</f>
        <v/>
      </c>
      <c r="B1150">
        <f>B1149+A1150</f>
        <v/>
      </c>
      <c r="C1150">
        <f>IF(1147&gt;$B$4503,"",MATCH(1147-0.5,$B$3:$B$4503,1))</f>
        <v/>
      </c>
      <c r="D1150">
        <f>"State CSR ("&amp;IF(LEN(INDEX('Providers'!$E$4:$E$503,147))=0,"",INDEX('Providers'!$E$4:$E$503,147))&amp;") – "&amp;IF(LEN(INDEX('Providers'!$A$4:$A$503,147))=0,"",INDEX('Providers'!$A$4:$A$503,147))</f>
        <v/>
      </c>
      <c r="E1150">
        <f>IF(ISNUMBER(INDEX('Providers'!$K$4:$K$503,147)),TEXT(INDEX('Providers'!$K$4:$K$503,147),"yyyy-mm-dd"),"")</f>
        <v/>
      </c>
      <c r="F1150">
        <f>"Registration"</f>
        <v/>
      </c>
      <c r="G1150">
        <f>""</f>
        <v/>
      </c>
      <c r="H1150">
        <f>"High"</f>
        <v/>
      </c>
      <c r="I1150">
        <f>TRIM(IF(LEN(IF(LEN(INDEX('Providers'!$J$4:$J$503,147))=0,"",INDEX('Providers'!$J$4:$J$503,147)))=0,"","CSR no.: "&amp;IF(LEN(INDEX('Providers'!$J$4:$J$503,147))=0,"",INDEX('Providers'!$J$4:$J$503,147))&amp;". ")&amp;IF(LEN(IF(LEN(INDEX('Providers'!$C$4:$C$503,147))=0,"",INDEX('Providers'!$C$4:$C$503,147)))=0,"","NPI: "&amp;IF(LEN(INDEX('Providers'!$C$4:$C$503,147))=0,"",INDEX('Providers'!$C$4:$C$503,147))&amp;". "))</f>
        <v/>
      </c>
      <c r="J1150">
        <f>IF(LEN(INDEX('Providers'!$AJ$4:$AJ$503,147))=0,"",INDEX('Providers'!$AJ$4:$AJ$503,147))</f>
        <v/>
      </c>
      <c r="K1150">
        <f>IF(LEN(INDEX('Providers'!$AI$4:$AI$503,147))=0,"",INDEX('Providers'!$AI$4:$AI$503,147))</f>
        <v/>
      </c>
    </row>
    <row r="1151">
      <c r="A1151">
        <f>IF(AND(LEN('Providers'!A151)&gt;0,ISNUMBER('Providers'!K151)),1,0)</f>
        <v/>
      </c>
      <c r="B1151">
        <f>B1150+A1151</f>
        <v/>
      </c>
      <c r="C1151">
        <f>IF(1148&gt;$B$4503,"",MATCH(1148-0.5,$B$3:$B$4503,1))</f>
        <v/>
      </c>
      <c r="D1151">
        <f>"State CSR ("&amp;IF(LEN(INDEX('Providers'!$E$4:$E$503,148))=0,"",INDEX('Providers'!$E$4:$E$503,148))&amp;") – "&amp;IF(LEN(INDEX('Providers'!$A$4:$A$503,148))=0,"",INDEX('Providers'!$A$4:$A$503,148))</f>
        <v/>
      </c>
      <c r="E1151">
        <f>IF(ISNUMBER(INDEX('Providers'!$K$4:$K$503,148)),TEXT(INDEX('Providers'!$K$4:$K$503,148),"yyyy-mm-dd"),"")</f>
        <v/>
      </c>
      <c r="F1151">
        <f>"Registration"</f>
        <v/>
      </c>
      <c r="G1151">
        <f>""</f>
        <v/>
      </c>
      <c r="H1151">
        <f>"High"</f>
        <v/>
      </c>
      <c r="I1151">
        <f>TRIM(IF(LEN(IF(LEN(INDEX('Providers'!$J$4:$J$503,148))=0,"",INDEX('Providers'!$J$4:$J$503,148)))=0,"","CSR no.: "&amp;IF(LEN(INDEX('Providers'!$J$4:$J$503,148))=0,"",INDEX('Providers'!$J$4:$J$503,148))&amp;". ")&amp;IF(LEN(IF(LEN(INDEX('Providers'!$C$4:$C$503,148))=0,"",INDEX('Providers'!$C$4:$C$503,148)))=0,"","NPI: "&amp;IF(LEN(INDEX('Providers'!$C$4:$C$503,148))=0,"",INDEX('Providers'!$C$4:$C$503,148))&amp;". "))</f>
        <v/>
      </c>
      <c r="J1151">
        <f>IF(LEN(INDEX('Providers'!$AJ$4:$AJ$503,148))=0,"",INDEX('Providers'!$AJ$4:$AJ$503,148))</f>
        <v/>
      </c>
      <c r="K1151">
        <f>IF(LEN(INDEX('Providers'!$AI$4:$AI$503,148))=0,"",INDEX('Providers'!$AI$4:$AI$503,148))</f>
        <v/>
      </c>
    </row>
    <row r="1152">
      <c r="A1152">
        <f>IF(AND(LEN('Providers'!A152)&gt;0,ISNUMBER('Providers'!K152)),1,0)</f>
        <v/>
      </c>
      <c r="B1152">
        <f>B1151+A1152</f>
        <v/>
      </c>
      <c r="C1152">
        <f>IF(1149&gt;$B$4503,"",MATCH(1149-0.5,$B$3:$B$4503,1))</f>
        <v/>
      </c>
      <c r="D1152">
        <f>"State CSR ("&amp;IF(LEN(INDEX('Providers'!$E$4:$E$503,149))=0,"",INDEX('Providers'!$E$4:$E$503,149))&amp;") – "&amp;IF(LEN(INDEX('Providers'!$A$4:$A$503,149))=0,"",INDEX('Providers'!$A$4:$A$503,149))</f>
        <v/>
      </c>
      <c r="E1152">
        <f>IF(ISNUMBER(INDEX('Providers'!$K$4:$K$503,149)),TEXT(INDEX('Providers'!$K$4:$K$503,149),"yyyy-mm-dd"),"")</f>
        <v/>
      </c>
      <c r="F1152">
        <f>"Registration"</f>
        <v/>
      </c>
      <c r="G1152">
        <f>""</f>
        <v/>
      </c>
      <c r="H1152">
        <f>"High"</f>
        <v/>
      </c>
      <c r="I1152">
        <f>TRIM(IF(LEN(IF(LEN(INDEX('Providers'!$J$4:$J$503,149))=0,"",INDEX('Providers'!$J$4:$J$503,149)))=0,"","CSR no.: "&amp;IF(LEN(INDEX('Providers'!$J$4:$J$503,149))=0,"",INDEX('Providers'!$J$4:$J$503,149))&amp;". ")&amp;IF(LEN(IF(LEN(INDEX('Providers'!$C$4:$C$503,149))=0,"",INDEX('Providers'!$C$4:$C$503,149)))=0,"","NPI: "&amp;IF(LEN(INDEX('Providers'!$C$4:$C$503,149))=0,"",INDEX('Providers'!$C$4:$C$503,149))&amp;". "))</f>
        <v/>
      </c>
      <c r="J1152">
        <f>IF(LEN(INDEX('Providers'!$AJ$4:$AJ$503,149))=0,"",INDEX('Providers'!$AJ$4:$AJ$503,149))</f>
        <v/>
      </c>
      <c r="K1152">
        <f>IF(LEN(INDEX('Providers'!$AI$4:$AI$503,149))=0,"",INDEX('Providers'!$AI$4:$AI$503,149))</f>
        <v/>
      </c>
    </row>
    <row r="1153">
      <c r="A1153">
        <f>IF(AND(LEN('Providers'!A153)&gt;0,ISNUMBER('Providers'!K153)),1,0)</f>
        <v/>
      </c>
      <c r="B1153">
        <f>B1152+A1153</f>
        <v/>
      </c>
      <c r="C1153">
        <f>IF(1150&gt;$B$4503,"",MATCH(1150-0.5,$B$3:$B$4503,1))</f>
        <v/>
      </c>
      <c r="D1153">
        <f>"State CSR ("&amp;IF(LEN(INDEX('Providers'!$E$4:$E$503,150))=0,"",INDEX('Providers'!$E$4:$E$503,150))&amp;") – "&amp;IF(LEN(INDEX('Providers'!$A$4:$A$503,150))=0,"",INDEX('Providers'!$A$4:$A$503,150))</f>
        <v/>
      </c>
      <c r="E1153">
        <f>IF(ISNUMBER(INDEX('Providers'!$K$4:$K$503,150)),TEXT(INDEX('Providers'!$K$4:$K$503,150),"yyyy-mm-dd"),"")</f>
        <v/>
      </c>
      <c r="F1153">
        <f>"Registration"</f>
        <v/>
      </c>
      <c r="G1153">
        <f>""</f>
        <v/>
      </c>
      <c r="H1153">
        <f>"High"</f>
        <v/>
      </c>
      <c r="I1153">
        <f>TRIM(IF(LEN(IF(LEN(INDEX('Providers'!$J$4:$J$503,150))=0,"",INDEX('Providers'!$J$4:$J$503,150)))=0,"","CSR no.: "&amp;IF(LEN(INDEX('Providers'!$J$4:$J$503,150))=0,"",INDEX('Providers'!$J$4:$J$503,150))&amp;". ")&amp;IF(LEN(IF(LEN(INDEX('Providers'!$C$4:$C$503,150))=0,"",INDEX('Providers'!$C$4:$C$503,150)))=0,"","NPI: "&amp;IF(LEN(INDEX('Providers'!$C$4:$C$503,150))=0,"",INDEX('Providers'!$C$4:$C$503,150))&amp;". "))</f>
        <v/>
      </c>
      <c r="J1153">
        <f>IF(LEN(INDEX('Providers'!$AJ$4:$AJ$503,150))=0,"",INDEX('Providers'!$AJ$4:$AJ$503,150))</f>
        <v/>
      </c>
      <c r="K1153">
        <f>IF(LEN(INDEX('Providers'!$AI$4:$AI$503,150))=0,"",INDEX('Providers'!$AI$4:$AI$503,150))</f>
        <v/>
      </c>
    </row>
    <row r="1154">
      <c r="A1154">
        <f>IF(AND(LEN('Providers'!A154)&gt;0,ISNUMBER('Providers'!K154)),1,0)</f>
        <v/>
      </c>
      <c r="B1154">
        <f>B1153+A1154</f>
        <v/>
      </c>
      <c r="C1154">
        <f>IF(1151&gt;$B$4503,"",MATCH(1151-0.5,$B$3:$B$4503,1))</f>
        <v/>
      </c>
      <c r="D1154">
        <f>"State CSR ("&amp;IF(LEN(INDEX('Providers'!$E$4:$E$503,151))=0,"",INDEX('Providers'!$E$4:$E$503,151))&amp;") – "&amp;IF(LEN(INDEX('Providers'!$A$4:$A$503,151))=0,"",INDEX('Providers'!$A$4:$A$503,151))</f>
        <v/>
      </c>
      <c r="E1154">
        <f>IF(ISNUMBER(INDEX('Providers'!$K$4:$K$503,151)),TEXT(INDEX('Providers'!$K$4:$K$503,151),"yyyy-mm-dd"),"")</f>
        <v/>
      </c>
      <c r="F1154">
        <f>"Registration"</f>
        <v/>
      </c>
      <c r="G1154">
        <f>""</f>
        <v/>
      </c>
      <c r="H1154">
        <f>"High"</f>
        <v/>
      </c>
      <c r="I1154">
        <f>TRIM(IF(LEN(IF(LEN(INDEX('Providers'!$J$4:$J$503,151))=0,"",INDEX('Providers'!$J$4:$J$503,151)))=0,"","CSR no.: "&amp;IF(LEN(INDEX('Providers'!$J$4:$J$503,151))=0,"",INDEX('Providers'!$J$4:$J$503,151))&amp;". ")&amp;IF(LEN(IF(LEN(INDEX('Providers'!$C$4:$C$503,151))=0,"",INDEX('Providers'!$C$4:$C$503,151)))=0,"","NPI: "&amp;IF(LEN(INDEX('Providers'!$C$4:$C$503,151))=0,"",INDEX('Providers'!$C$4:$C$503,151))&amp;". "))</f>
        <v/>
      </c>
      <c r="J1154">
        <f>IF(LEN(INDEX('Providers'!$AJ$4:$AJ$503,151))=0,"",INDEX('Providers'!$AJ$4:$AJ$503,151))</f>
        <v/>
      </c>
      <c r="K1154">
        <f>IF(LEN(INDEX('Providers'!$AI$4:$AI$503,151))=0,"",INDEX('Providers'!$AI$4:$AI$503,151))</f>
        <v/>
      </c>
    </row>
    <row r="1155">
      <c r="A1155">
        <f>IF(AND(LEN('Providers'!A155)&gt;0,ISNUMBER('Providers'!K155)),1,0)</f>
        <v/>
      </c>
      <c r="B1155">
        <f>B1154+A1155</f>
        <v/>
      </c>
      <c r="C1155">
        <f>IF(1152&gt;$B$4503,"",MATCH(1152-0.5,$B$3:$B$4503,1))</f>
        <v/>
      </c>
      <c r="D1155">
        <f>"State CSR ("&amp;IF(LEN(INDEX('Providers'!$E$4:$E$503,152))=0,"",INDEX('Providers'!$E$4:$E$503,152))&amp;") – "&amp;IF(LEN(INDEX('Providers'!$A$4:$A$503,152))=0,"",INDEX('Providers'!$A$4:$A$503,152))</f>
        <v/>
      </c>
      <c r="E1155">
        <f>IF(ISNUMBER(INDEX('Providers'!$K$4:$K$503,152)),TEXT(INDEX('Providers'!$K$4:$K$503,152),"yyyy-mm-dd"),"")</f>
        <v/>
      </c>
      <c r="F1155">
        <f>"Registration"</f>
        <v/>
      </c>
      <c r="G1155">
        <f>""</f>
        <v/>
      </c>
      <c r="H1155">
        <f>"High"</f>
        <v/>
      </c>
      <c r="I1155">
        <f>TRIM(IF(LEN(IF(LEN(INDEX('Providers'!$J$4:$J$503,152))=0,"",INDEX('Providers'!$J$4:$J$503,152)))=0,"","CSR no.: "&amp;IF(LEN(INDEX('Providers'!$J$4:$J$503,152))=0,"",INDEX('Providers'!$J$4:$J$503,152))&amp;". ")&amp;IF(LEN(IF(LEN(INDEX('Providers'!$C$4:$C$503,152))=0,"",INDEX('Providers'!$C$4:$C$503,152)))=0,"","NPI: "&amp;IF(LEN(INDEX('Providers'!$C$4:$C$503,152))=0,"",INDEX('Providers'!$C$4:$C$503,152))&amp;". "))</f>
        <v/>
      </c>
      <c r="J1155">
        <f>IF(LEN(INDEX('Providers'!$AJ$4:$AJ$503,152))=0,"",INDEX('Providers'!$AJ$4:$AJ$503,152))</f>
        <v/>
      </c>
      <c r="K1155">
        <f>IF(LEN(INDEX('Providers'!$AI$4:$AI$503,152))=0,"",INDEX('Providers'!$AI$4:$AI$503,152))</f>
        <v/>
      </c>
    </row>
    <row r="1156">
      <c r="A1156">
        <f>IF(AND(LEN('Providers'!A156)&gt;0,ISNUMBER('Providers'!K156)),1,0)</f>
        <v/>
      </c>
      <c r="B1156">
        <f>B1155+A1156</f>
        <v/>
      </c>
      <c r="C1156">
        <f>IF(1153&gt;$B$4503,"",MATCH(1153-0.5,$B$3:$B$4503,1))</f>
        <v/>
      </c>
      <c r="D1156">
        <f>"State CSR ("&amp;IF(LEN(INDEX('Providers'!$E$4:$E$503,153))=0,"",INDEX('Providers'!$E$4:$E$503,153))&amp;") – "&amp;IF(LEN(INDEX('Providers'!$A$4:$A$503,153))=0,"",INDEX('Providers'!$A$4:$A$503,153))</f>
        <v/>
      </c>
      <c r="E1156">
        <f>IF(ISNUMBER(INDEX('Providers'!$K$4:$K$503,153)),TEXT(INDEX('Providers'!$K$4:$K$503,153),"yyyy-mm-dd"),"")</f>
        <v/>
      </c>
      <c r="F1156">
        <f>"Registration"</f>
        <v/>
      </c>
      <c r="G1156">
        <f>""</f>
        <v/>
      </c>
      <c r="H1156">
        <f>"High"</f>
        <v/>
      </c>
      <c r="I1156">
        <f>TRIM(IF(LEN(IF(LEN(INDEX('Providers'!$J$4:$J$503,153))=0,"",INDEX('Providers'!$J$4:$J$503,153)))=0,"","CSR no.: "&amp;IF(LEN(INDEX('Providers'!$J$4:$J$503,153))=0,"",INDEX('Providers'!$J$4:$J$503,153))&amp;". ")&amp;IF(LEN(IF(LEN(INDEX('Providers'!$C$4:$C$503,153))=0,"",INDEX('Providers'!$C$4:$C$503,153)))=0,"","NPI: "&amp;IF(LEN(INDEX('Providers'!$C$4:$C$503,153))=0,"",INDEX('Providers'!$C$4:$C$503,153))&amp;". "))</f>
        <v/>
      </c>
      <c r="J1156">
        <f>IF(LEN(INDEX('Providers'!$AJ$4:$AJ$503,153))=0,"",INDEX('Providers'!$AJ$4:$AJ$503,153))</f>
        <v/>
      </c>
      <c r="K1156">
        <f>IF(LEN(INDEX('Providers'!$AI$4:$AI$503,153))=0,"",INDEX('Providers'!$AI$4:$AI$503,153))</f>
        <v/>
      </c>
    </row>
    <row r="1157">
      <c r="A1157">
        <f>IF(AND(LEN('Providers'!A157)&gt;0,ISNUMBER('Providers'!K157)),1,0)</f>
        <v/>
      </c>
      <c r="B1157">
        <f>B1156+A1157</f>
        <v/>
      </c>
      <c r="C1157">
        <f>IF(1154&gt;$B$4503,"",MATCH(1154-0.5,$B$3:$B$4503,1))</f>
        <v/>
      </c>
      <c r="D1157">
        <f>"State CSR ("&amp;IF(LEN(INDEX('Providers'!$E$4:$E$503,154))=0,"",INDEX('Providers'!$E$4:$E$503,154))&amp;") – "&amp;IF(LEN(INDEX('Providers'!$A$4:$A$503,154))=0,"",INDEX('Providers'!$A$4:$A$503,154))</f>
        <v/>
      </c>
      <c r="E1157">
        <f>IF(ISNUMBER(INDEX('Providers'!$K$4:$K$503,154)),TEXT(INDEX('Providers'!$K$4:$K$503,154),"yyyy-mm-dd"),"")</f>
        <v/>
      </c>
      <c r="F1157">
        <f>"Registration"</f>
        <v/>
      </c>
      <c r="G1157">
        <f>""</f>
        <v/>
      </c>
      <c r="H1157">
        <f>"High"</f>
        <v/>
      </c>
      <c r="I1157">
        <f>TRIM(IF(LEN(IF(LEN(INDEX('Providers'!$J$4:$J$503,154))=0,"",INDEX('Providers'!$J$4:$J$503,154)))=0,"","CSR no.: "&amp;IF(LEN(INDEX('Providers'!$J$4:$J$503,154))=0,"",INDEX('Providers'!$J$4:$J$503,154))&amp;". ")&amp;IF(LEN(IF(LEN(INDEX('Providers'!$C$4:$C$503,154))=0,"",INDEX('Providers'!$C$4:$C$503,154)))=0,"","NPI: "&amp;IF(LEN(INDEX('Providers'!$C$4:$C$503,154))=0,"",INDEX('Providers'!$C$4:$C$503,154))&amp;". "))</f>
        <v/>
      </c>
      <c r="J1157">
        <f>IF(LEN(INDEX('Providers'!$AJ$4:$AJ$503,154))=0,"",INDEX('Providers'!$AJ$4:$AJ$503,154))</f>
        <v/>
      </c>
      <c r="K1157">
        <f>IF(LEN(INDEX('Providers'!$AI$4:$AI$503,154))=0,"",INDEX('Providers'!$AI$4:$AI$503,154))</f>
        <v/>
      </c>
    </row>
    <row r="1158">
      <c r="A1158">
        <f>IF(AND(LEN('Providers'!A158)&gt;0,ISNUMBER('Providers'!K158)),1,0)</f>
        <v/>
      </c>
      <c r="B1158">
        <f>B1157+A1158</f>
        <v/>
      </c>
      <c r="C1158">
        <f>IF(1155&gt;$B$4503,"",MATCH(1155-0.5,$B$3:$B$4503,1))</f>
        <v/>
      </c>
      <c r="D1158">
        <f>"State CSR ("&amp;IF(LEN(INDEX('Providers'!$E$4:$E$503,155))=0,"",INDEX('Providers'!$E$4:$E$503,155))&amp;") – "&amp;IF(LEN(INDEX('Providers'!$A$4:$A$503,155))=0,"",INDEX('Providers'!$A$4:$A$503,155))</f>
        <v/>
      </c>
      <c r="E1158">
        <f>IF(ISNUMBER(INDEX('Providers'!$K$4:$K$503,155)),TEXT(INDEX('Providers'!$K$4:$K$503,155),"yyyy-mm-dd"),"")</f>
        <v/>
      </c>
      <c r="F1158">
        <f>"Registration"</f>
        <v/>
      </c>
      <c r="G1158">
        <f>""</f>
        <v/>
      </c>
      <c r="H1158">
        <f>"High"</f>
        <v/>
      </c>
      <c r="I1158">
        <f>TRIM(IF(LEN(IF(LEN(INDEX('Providers'!$J$4:$J$503,155))=0,"",INDEX('Providers'!$J$4:$J$503,155)))=0,"","CSR no.: "&amp;IF(LEN(INDEX('Providers'!$J$4:$J$503,155))=0,"",INDEX('Providers'!$J$4:$J$503,155))&amp;". ")&amp;IF(LEN(IF(LEN(INDEX('Providers'!$C$4:$C$503,155))=0,"",INDEX('Providers'!$C$4:$C$503,155)))=0,"","NPI: "&amp;IF(LEN(INDEX('Providers'!$C$4:$C$503,155))=0,"",INDEX('Providers'!$C$4:$C$503,155))&amp;". "))</f>
        <v/>
      </c>
      <c r="J1158">
        <f>IF(LEN(INDEX('Providers'!$AJ$4:$AJ$503,155))=0,"",INDEX('Providers'!$AJ$4:$AJ$503,155))</f>
        <v/>
      </c>
      <c r="K1158">
        <f>IF(LEN(INDEX('Providers'!$AI$4:$AI$503,155))=0,"",INDEX('Providers'!$AI$4:$AI$503,155))</f>
        <v/>
      </c>
    </row>
    <row r="1159">
      <c r="A1159">
        <f>IF(AND(LEN('Providers'!A159)&gt;0,ISNUMBER('Providers'!K159)),1,0)</f>
        <v/>
      </c>
      <c r="B1159">
        <f>B1158+A1159</f>
        <v/>
      </c>
      <c r="C1159">
        <f>IF(1156&gt;$B$4503,"",MATCH(1156-0.5,$B$3:$B$4503,1))</f>
        <v/>
      </c>
      <c r="D1159">
        <f>"State CSR ("&amp;IF(LEN(INDEX('Providers'!$E$4:$E$503,156))=0,"",INDEX('Providers'!$E$4:$E$503,156))&amp;") – "&amp;IF(LEN(INDEX('Providers'!$A$4:$A$503,156))=0,"",INDEX('Providers'!$A$4:$A$503,156))</f>
        <v/>
      </c>
      <c r="E1159">
        <f>IF(ISNUMBER(INDEX('Providers'!$K$4:$K$503,156)),TEXT(INDEX('Providers'!$K$4:$K$503,156),"yyyy-mm-dd"),"")</f>
        <v/>
      </c>
      <c r="F1159">
        <f>"Registration"</f>
        <v/>
      </c>
      <c r="G1159">
        <f>""</f>
        <v/>
      </c>
      <c r="H1159">
        <f>"High"</f>
        <v/>
      </c>
      <c r="I1159">
        <f>TRIM(IF(LEN(IF(LEN(INDEX('Providers'!$J$4:$J$503,156))=0,"",INDEX('Providers'!$J$4:$J$503,156)))=0,"","CSR no.: "&amp;IF(LEN(INDEX('Providers'!$J$4:$J$503,156))=0,"",INDEX('Providers'!$J$4:$J$503,156))&amp;". ")&amp;IF(LEN(IF(LEN(INDEX('Providers'!$C$4:$C$503,156))=0,"",INDEX('Providers'!$C$4:$C$503,156)))=0,"","NPI: "&amp;IF(LEN(INDEX('Providers'!$C$4:$C$503,156))=0,"",INDEX('Providers'!$C$4:$C$503,156))&amp;". "))</f>
        <v/>
      </c>
      <c r="J1159">
        <f>IF(LEN(INDEX('Providers'!$AJ$4:$AJ$503,156))=0,"",INDEX('Providers'!$AJ$4:$AJ$503,156))</f>
        <v/>
      </c>
      <c r="K1159">
        <f>IF(LEN(INDEX('Providers'!$AI$4:$AI$503,156))=0,"",INDEX('Providers'!$AI$4:$AI$503,156))</f>
        <v/>
      </c>
    </row>
    <row r="1160">
      <c r="A1160">
        <f>IF(AND(LEN('Providers'!A160)&gt;0,ISNUMBER('Providers'!K160)),1,0)</f>
        <v/>
      </c>
      <c r="B1160">
        <f>B1159+A1160</f>
        <v/>
      </c>
      <c r="C1160">
        <f>IF(1157&gt;$B$4503,"",MATCH(1157-0.5,$B$3:$B$4503,1))</f>
        <v/>
      </c>
      <c r="D1160">
        <f>"State CSR ("&amp;IF(LEN(INDEX('Providers'!$E$4:$E$503,157))=0,"",INDEX('Providers'!$E$4:$E$503,157))&amp;") – "&amp;IF(LEN(INDEX('Providers'!$A$4:$A$503,157))=0,"",INDEX('Providers'!$A$4:$A$503,157))</f>
        <v/>
      </c>
      <c r="E1160">
        <f>IF(ISNUMBER(INDEX('Providers'!$K$4:$K$503,157)),TEXT(INDEX('Providers'!$K$4:$K$503,157),"yyyy-mm-dd"),"")</f>
        <v/>
      </c>
      <c r="F1160">
        <f>"Registration"</f>
        <v/>
      </c>
      <c r="G1160">
        <f>""</f>
        <v/>
      </c>
      <c r="H1160">
        <f>"High"</f>
        <v/>
      </c>
      <c r="I1160">
        <f>TRIM(IF(LEN(IF(LEN(INDEX('Providers'!$J$4:$J$503,157))=0,"",INDEX('Providers'!$J$4:$J$503,157)))=0,"","CSR no.: "&amp;IF(LEN(INDEX('Providers'!$J$4:$J$503,157))=0,"",INDEX('Providers'!$J$4:$J$503,157))&amp;". ")&amp;IF(LEN(IF(LEN(INDEX('Providers'!$C$4:$C$503,157))=0,"",INDEX('Providers'!$C$4:$C$503,157)))=0,"","NPI: "&amp;IF(LEN(INDEX('Providers'!$C$4:$C$503,157))=0,"",INDEX('Providers'!$C$4:$C$503,157))&amp;". "))</f>
        <v/>
      </c>
      <c r="J1160">
        <f>IF(LEN(INDEX('Providers'!$AJ$4:$AJ$503,157))=0,"",INDEX('Providers'!$AJ$4:$AJ$503,157))</f>
        <v/>
      </c>
      <c r="K1160">
        <f>IF(LEN(INDEX('Providers'!$AI$4:$AI$503,157))=0,"",INDEX('Providers'!$AI$4:$AI$503,157))</f>
        <v/>
      </c>
    </row>
    <row r="1161">
      <c r="A1161">
        <f>IF(AND(LEN('Providers'!A161)&gt;0,ISNUMBER('Providers'!K161)),1,0)</f>
        <v/>
      </c>
      <c r="B1161">
        <f>B1160+A1161</f>
        <v/>
      </c>
      <c r="C1161">
        <f>IF(1158&gt;$B$4503,"",MATCH(1158-0.5,$B$3:$B$4503,1))</f>
        <v/>
      </c>
      <c r="D1161">
        <f>"State CSR ("&amp;IF(LEN(INDEX('Providers'!$E$4:$E$503,158))=0,"",INDEX('Providers'!$E$4:$E$503,158))&amp;") – "&amp;IF(LEN(INDEX('Providers'!$A$4:$A$503,158))=0,"",INDEX('Providers'!$A$4:$A$503,158))</f>
        <v/>
      </c>
      <c r="E1161">
        <f>IF(ISNUMBER(INDEX('Providers'!$K$4:$K$503,158)),TEXT(INDEX('Providers'!$K$4:$K$503,158),"yyyy-mm-dd"),"")</f>
        <v/>
      </c>
      <c r="F1161">
        <f>"Registration"</f>
        <v/>
      </c>
      <c r="G1161">
        <f>""</f>
        <v/>
      </c>
      <c r="H1161">
        <f>"High"</f>
        <v/>
      </c>
      <c r="I1161">
        <f>TRIM(IF(LEN(IF(LEN(INDEX('Providers'!$J$4:$J$503,158))=0,"",INDEX('Providers'!$J$4:$J$503,158)))=0,"","CSR no.: "&amp;IF(LEN(INDEX('Providers'!$J$4:$J$503,158))=0,"",INDEX('Providers'!$J$4:$J$503,158))&amp;". ")&amp;IF(LEN(IF(LEN(INDEX('Providers'!$C$4:$C$503,158))=0,"",INDEX('Providers'!$C$4:$C$503,158)))=0,"","NPI: "&amp;IF(LEN(INDEX('Providers'!$C$4:$C$503,158))=0,"",INDEX('Providers'!$C$4:$C$503,158))&amp;". "))</f>
        <v/>
      </c>
      <c r="J1161">
        <f>IF(LEN(INDEX('Providers'!$AJ$4:$AJ$503,158))=0,"",INDEX('Providers'!$AJ$4:$AJ$503,158))</f>
        <v/>
      </c>
      <c r="K1161">
        <f>IF(LEN(INDEX('Providers'!$AI$4:$AI$503,158))=0,"",INDEX('Providers'!$AI$4:$AI$503,158))</f>
        <v/>
      </c>
    </row>
    <row r="1162">
      <c r="A1162">
        <f>IF(AND(LEN('Providers'!A162)&gt;0,ISNUMBER('Providers'!K162)),1,0)</f>
        <v/>
      </c>
      <c r="B1162">
        <f>B1161+A1162</f>
        <v/>
      </c>
      <c r="C1162">
        <f>IF(1159&gt;$B$4503,"",MATCH(1159-0.5,$B$3:$B$4503,1))</f>
        <v/>
      </c>
      <c r="D1162">
        <f>"State CSR ("&amp;IF(LEN(INDEX('Providers'!$E$4:$E$503,159))=0,"",INDEX('Providers'!$E$4:$E$503,159))&amp;") – "&amp;IF(LEN(INDEX('Providers'!$A$4:$A$503,159))=0,"",INDEX('Providers'!$A$4:$A$503,159))</f>
        <v/>
      </c>
      <c r="E1162">
        <f>IF(ISNUMBER(INDEX('Providers'!$K$4:$K$503,159)),TEXT(INDEX('Providers'!$K$4:$K$503,159),"yyyy-mm-dd"),"")</f>
        <v/>
      </c>
      <c r="F1162">
        <f>"Registration"</f>
        <v/>
      </c>
      <c r="G1162">
        <f>""</f>
        <v/>
      </c>
      <c r="H1162">
        <f>"High"</f>
        <v/>
      </c>
      <c r="I1162">
        <f>TRIM(IF(LEN(IF(LEN(INDEX('Providers'!$J$4:$J$503,159))=0,"",INDEX('Providers'!$J$4:$J$503,159)))=0,"","CSR no.: "&amp;IF(LEN(INDEX('Providers'!$J$4:$J$503,159))=0,"",INDEX('Providers'!$J$4:$J$503,159))&amp;". ")&amp;IF(LEN(IF(LEN(INDEX('Providers'!$C$4:$C$503,159))=0,"",INDEX('Providers'!$C$4:$C$503,159)))=0,"","NPI: "&amp;IF(LEN(INDEX('Providers'!$C$4:$C$503,159))=0,"",INDEX('Providers'!$C$4:$C$503,159))&amp;". "))</f>
        <v/>
      </c>
      <c r="J1162">
        <f>IF(LEN(INDEX('Providers'!$AJ$4:$AJ$503,159))=0,"",INDEX('Providers'!$AJ$4:$AJ$503,159))</f>
        <v/>
      </c>
      <c r="K1162">
        <f>IF(LEN(INDEX('Providers'!$AI$4:$AI$503,159))=0,"",INDEX('Providers'!$AI$4:$AI$503,159))</f>
        <v/>
      </c>
    </row>
    <row r="1163">
      <c r="A1163">
        <f>IF(AND(LEN('Providers'!A163)&gt;0,ISNUMBER('Providers'!K163)),1,0)</f>
        <v/>
      </c>
      <c r="B1163">
        <f>B1162+A1163</f>
        <v/>
      </c>
      <c r="C1163">
        <f>IF(1160&gt;$B$4503,"",MATCH(1160-0.5,$B$3:$B$4503,1))</f>
        <v/>
      </c>
      <c r="D1163">
        <f>"State CSR ("&amp;IF(LEN(INDEX('Providers'!$E$4:$E$503,160))=0,"",INDEX('Providers'!$E$4:$E$503,160))&amp;") – "&amp;IF(LEN(INDEX('Providers'!$A$4:$A$503,160))=0,"",INDEX('Providers'!$A$4:$A$503,160))</f>
        <v/>
      </c>
      <c r="E1163">
        <f>IF(ISNUMBER(INDEX('Providers'!$K$4:$K$503,160)),TEXT(INDEX('Providers'!$K$4:$K$503,160),"yyyy-mm-dd"),"")</f>
        <v/>
      </c>
      <c r="F1163">
        <f>"Registration"</f>
        <v/>
      </c>
      <c r="G1163">
        <f>""</f>
        <v/>
      </c>
      <c r="H1163">
        <f>"High"</f>
        <v/>
      </c>
      <c r="I1163">
        <f>TRIM(IF(LEN(IF(LEN(INDEX('Providers'!$J$4:$J$503,160))=0,"",INDEX('Providers'!$J$4:$J$503,160)))=0,"","CSR no.: "&amp;IF(LEN(INDEX('Providers'!$J$4:$J$503,160))=0,"",INDEX('Providers'!$J$4:$J$503,160))&amp;". ")&amp;IF(LEN(IF(LEN(INDEX('Providers'!$C$4:$C$503,160))=0,"",INDEX('Providers'!$C$4:$C$503,160)))=0,"","NPI: "&amp;IF(LEN(INDEX('Providers'!$C$4:$C$503,160))=0,"",INDEX('Providers'!$C$4:$C$503,160))&amp;". "))</f>
        <v/>
      </c>
      <c r="J1163">
        <f>IF(LEN(INDEX('Providers'!$AJ$4:$AJ$503,160))=0,"",INDEX('Providers'!$AJ$4:$AJ$503,160))</f>
        <v/>
      </c>
      <c r="K1163">
        <f>IF(LEN(INDEX('Providers'!$AI$4:$AI$503,160))=0,"",INDEX('Providers'!$AI$4:$AI$503,160))</f>
        <v/>
      </c>
    </row>
    <row r="1164">
      <c r="A1164">
        <f>IF(AND(LEN('Providers'!A164)&gt;0,ISNUMBER('Providers'!K164)),1,0)</f>
        <v/>
      </c>
      <c r="B1164">
        <f>B1163+A1164</f>
        <v/>
      </c>
      <c r="C1164">
        <f>IF(1161&gt;$B$4503,"",MATCH(1161-0.5,$B$3:$B$4503,1))</f>
        <v/>
      </c>
      <c r="D1164">
        <f>"State CSR ("&amp;IF(LEN(INDEX('Providers'!$E$4:$E$503,161))=0,"",INDEX('Providers'!$E$4:$E$503,161))&amp;") – "&amp;IF(LEN(INDEX('Providers'!$A$4:$A$503,161))=0,"",INDEX('Providers'!$A$4:$A$503,161))</f>
        <v/>
      </c>
      <c r="E1164">
        <f>IF(ISNUMBER(INDEX('Providers'!$K$4:$K$503,161)),TEXT(INDEX('Providers'!$K$4:$K$503,161),"yyyy-mm-dd"),"")</f>
        <v/>
      </c>
      <c r="F1164">
        <f>"Registration"</f>
        <v/>
      </c>
      <c r="G1164">
        <f>""</f>
        <v/>
      </c>
      <c r="H1164">
        <f>"High"</f>
        <v/>
      </c>
      <c r="I1164">
        <f>TRIM(IF(LEN(IF(LEN(INDEX('Providers'!$J$4:$J$503,161))=0,"",INDEX('Providers'!$J$4:$J$503,161)))=0,"","CSR no.: "&amp;IF(LEN(INDEX('Providers'!$J$4:$J$503,161))=0,"",INDEX('Providers'!$J$4:$J$503,161))&amp;". ")&amp;IF(LEN(IF(LEN(INDEX('Providers'!$C$4:$C$503,161))=0,"",INDEX('Providers'!$C$4:$C$503,161)))=0,"","NPI: "&amp;IF(LEN(INDEX('Providers'!$C$4:$C$503,161))=0,"",INDEX('Providers'!$C$4:$C$503,161))&amp;". "))</f>
        <v/>
      </c>
      <c r="J1164">
        <f>IF(LEN(INDEX('Providers'!$AJ$4:$AJ$503,161))=0,"",INDEX('Providers'!$AJ$4:$AJ$503,161))</f>
        <v/>
      </c>
      <c r="K1164">
        <f>IF(LEN(INDEX('Providers'!$AI$4:$AI$503,161))=0,"",INDEX('Providers'!$AI$4:$AI$503,161))</f>
        <v/>
      </c>
    </row>
    <row r="1165">
      <c r="A1165">
        <f>IF(AND(LEN('Providers'!A165)&gt;0,ISNUMBER('Providers'!K165)),1,0)</f>
        <v/>
      </c>
      <c r="B1165">
        <f>B1164+A1165</f>
        <v/>
      </c>
      <c r="C1165">
        <f>IF(1162&gt;$B$4503,"",MATCH(1162-0.5,$B$3:$B$4503,1))</f>
        <v/>
      </c>
      <c r="D1165">
        <f>"State CSR ("&amp;IF(LEN(INDEX('Providers'!$E$4:$E$503,162))=0,"",INDEX('Providers'!$E$4:$E$503,162))&amp;") – "&amp;IF(LEN(INDEX('Providers'!$A$4:$A$503,162))=0,"",INDEX('Providers'!$A$4:$A$503,162))</f>
        <v/>
      </c>
      <c r="E1165">
        <f>IF(ISNUMBER(INDEX('Providers'!$K$4:$K$503,162)),TEXT(INDEX('Providers'!$K$4:$K$503,162),"yyyy-mm-dd"),"")</f>
        <v/>
      </c>
      <c r="F1165">
        <f>"Registration"</f>
        <v/>
      </c>
      <c r="G1165">
        <f>""</f>
        <v/>
      </c>
      <c r="H1165">
        <f>"High"</f>
        <v/>
      </c>
      <c r="I1165">
        <f>TRIM(IF(LEN(IF(LEN(INDEX('Providers'!$J$4:$J$503,162))=0,"",INDEX('Providers'!$J$4:$J$503,162)))=0,"","CSR no.: "&amp;IF(LEN(INDEX('Providers'!$J$4:$J$503,162))=0,"",INDEX('Providers'!$J$4:$J$503,162))&amp;". ")&amp;IF(LEN(IF(LEN(INDEX('Providers'!$C$4:$C$503,162))=0,"",INDEX('Providers'!$C$4:$C$503,162)))=0,"","NPI: "&amp;IF(LEN(INDEX('Providers'!$C$4:$C$503,162))=0,"",INDEX('Providers'!$C$4:$C$503,162))&amp;". "))</f>
        <v/>
      </c>
      <c r="J1165">
        <f>IF(LEN(INDEX('Providers'!$AJ$4:$AJ$503,162))=0,"",INDEX('Providers'!$AJ$4:$AJ$503,162))</f>
        <v/>
      </c>
      <c r="K1165">
        <f>IF(LEN(INDEX('Providers'!$AI$4:$AI$503,162))=0,"",INDEX('Providers'!$AI$4:$AI$503,162))</f>
        <v/>
      </c>
    </row>
    <row r="1166">
      <c r="A1166">
        <f>IF(AND(LEN('Providers'!A166)&gt;0,ISNUMBER('Providers'!K166)),1,0)</f>
        <v/>
      </c>
      <c r="B1166">
        <f>B1165+A1166</f>
        <v/>
      </c>
      <c r="C1166">
        <f>IF(1163&gt;$B$4503,"",MATCH(1163-0.5,$B$3:$B$4503,1))</f>
        <v/>
      </c>
      <c r="D1166">
        <f>"State CSR ("&amp;IF(LEN(INDEX('Providers'!$E$4:$E$503,163))=0,"",INDEX('Providers'!$E$4:$E$503,163))&amp;") – "&amp;IF(LEN(INDEX('Providers'!$A$4:$A$503,163))=0,"",INDEX('Providers'!$A$4:$A$503,163))</f>
        <v/>
      </c>
      <c r="E1166">
        <f>IF(ISNUMBER(INDEX('Providers'!$K$4:$K$503,163)),TEXT(INDEX('Providers'!$K$4:$K$503,163),"yyyy-mm-dd"),"")</f>
        <v/>
      </c>
      <c r="F1166">
        <f>"Registration"</f>
        <v/>
      </c>
      <c r="G1166">
        <f>""</f>
        <v/>
      </c>
      <c r="H1166">
        <f>"High"</f>
        <v/>
      </c>
      <c r="I1166">
        <f>TRIM(IF(LEN(IF(LEN(INDEX('Providers'!$J$4:$J$503,163))=0,"",INDEX('Providers'!$J$4:$J$503,163)))=0,"","CSR no.: "&amp;IF(LEN(INDEX('Providers'!$J$4:$J$503,163))=0,"",INDEX('Providers'!$J$4:$J$503,163))&amp;". ")&amp;IF(LEN(IF(LEN(INDEX('Providers'!$C$4:$C$503,163))=0,"",INDEX('Providers'!$C$4:$C$503,163)))=0,"","NPI: "&amp;IF(LEN(INDEX('Providers'!$C$4:$C$503,163))=0,"",INDEX('Providers'!$C$4:$C$503,163))&amp;". "))</f>
        <v/>
      </c>
      <c r="J1166">
        <f>IF(LEN(INDEX('Providers'!$AJ$4:$AJ$503,163))=0,"",INDEX('Providers'!$AJ$4:$AJ$503,163))</f>
        <v/>
      </c>
      <c r="K1166">
        <f>IF(LEN(INDEX('Providers'!$AI$4:$AI$503,163))=0,"",INDEX('Providers'!$AI$4:$AI$503,163))</f>
        <v/>
      </c>
    </row>
    <row r="1167">
      <c r="A1167">
        <f>IF(AND(LEN('Providers'!A167)&gt;0,ISNUMBER('Providers'!K167)),1,0)</f>
        <v/>
      </c>
      <c r="B1167">
        <f>B1166+A1167</f>
        <v/>
      </c>
      <c r="C1167">
        <f>IF(1164&gt;$B$4503,"",MATCH(1164-0.5,$B$3:$B$4503,1))</f>
        <v/>
      </c>
      <c r="D1167">
        <f>"State CSR ("&amp;IF(LEN(INDEX('Providers'!$E$4:$E$503,164))=0,"",INDEX('Providers'!$E$4:$E$503,164))&amp;") – "&amp;IF(LEN(INDEX('Providers'!$A$4:$A$503,164))=0,"",INDEX('Providers'!$A$4:$A$503,164))</f>
        <v/>
      </c>
      <c r="E1167">
        <f>IF(ISNUMBER(INDEX('Providers'!$K$4:$K$503,164)),TEXT(INDEX('Providers'!$K$4:$K$503,164),"yyyy-mm-dd"),"")</f>
        <v/>
      </c>
      <c r="F1167">
        <f>"Registration"</f>
        <v/>
      </c>
      <c r="G1167">
        <f>""</f>
        <v/>
      </c>
      <c r="H1167">
        <f>"High"</f>
        <v/>
      </c>
      <c r="I1167">
        <f>TRIM(IF(LEN(IF(LEN(INDEX('Providers'!$J$4:$J$503,164))=0,"",INDEX('Providers'!$J$4:$J$503,164)))=0,"","CSR no.: "&amp;IF(LEN(INDEX('Providers'!$J$4:$J$503,164))=0,"",INDEX('Providers'!$J$4:$J$503,164))&amp;". ")&amp;IF(LEN(IF(LEN(INDEX('Providers'!$C$4:$C$503,164))=0,"",INDEX('Providers'!$C$4:$C$503,164)))=0,"","NPI: "&amp;IF(LEN(INDEX('Providers'!$C$4:$C$503,164))=0,"",INDEX('Providers'!$C$4:$C$503,164))&amp;". "))</f>
        <v/>
      </c>
      <c r="J1167">
        <f>IF(LEN(INDEX('Providers'!$AJ$4:$AJ$503,164))=0,"",INDEX('Providers'!$AJ$4:$AJ$503,164))</f>
        <v/>
      </c>
      <c r="K1167">
        <f>IF(LEN(INDEX('Providers'!$AI$4:$AI$503,164))=0,"",INDEX('Providers'!$AI$4:$AI$503,164))</f>
        <v/>
      </c>
    </row>
    <row r="1168">
      <c r="A1168">
        <f>IF(AND(LEN('Providers'!A168)&gt;0,ISNUMBER('Providers'!K168)),1,0)</f>
        <v/>
      </c>
      <c r="B1168">
        <f>B1167+A1168</f>
        <v/>
      </c>
      <c r="C1168">
        <f>IF(1165&gt;$B$4503,"",MATCH(1165-0.5,$B$3:$B$4503,1))</f>
        <v/>
      </c>
      <c r="D1168">
        <f>"State CSR ("&amp;IF(LEN(INDEX('Providers'!$E$4:$E$503,165))=0,"",INDEX('Providers'!$E$4:$E$503,165))&amp;") – "&amp;IF(LEN(INDEX('Providers'!$A$4:$A$503,165))=0,"",INDEX('Providers'!$A$4:$A$503,165))</f>
        <v/>
      </c>
      <c r="E1168">
        <f>IF(ISNUMBER(INDEX('Providers'!$K$4:$K$503,165)),TEXT(INDEX('Providers'!$K$4:$K$503,165),"yyyy-mm-dd"),"")</f>
        <v/>
      </c>
      <c r="F1168">
        <f>"Registration"</f>
        <v/>
      </c>
      <c r="G1168">
        <f>""</f>
        <v/>
      </c>
      <c r="H1168">
        <f>"High"</f>
        <v/>
      </c>
      <c r="I1168">
        <f>TRIM(IF(LEN(IF(LEN(INDEX('Providers'!$J$4:$J$503,165))=0,"",INDEX('Providers'!$J$4:$J$503,165)))=0,"","CSR no.: "&amp;IF(LEN(INDEX('Providers'!$J$4:$J$503,165))=0,"",INDEX('Providers'!$J$4:$J$503,165))&amp;". ")&amp;IF(LEN(IF(LEN(INDEX('Providers'!$C$4:$C$503,165))=0,"",INDEX('Providers'!$C$4:$C$503,165)))=0,"","NPI: "&amp;IF(LEN(INDEX('Providers'!$C$4:$C$503,165))=0,"",INDEX('Providers'!$C$4:$C$503,165))&amp;". "))</f>
        <v/>
      </c>
      <c r="J1168">
        <f>IF(LEN(INDEX('Providers'!$AJ$4:$AJ$503,165))=0,"",INDEX('Providers'!$AJ$4:$AJ$503,165))</f>
        <v/>
      </c>
      <c r="K1168">
        <f>IF(LEN(INDEX('Providers'!$AI$4:$AI$503,165))=0,"",INDEX('Providers'!$AI$4:$AI$503,165))</f>
        <v/>
      </c>
    </row>
    <row r="1169">
      <c r="A1169">
        <f>IF(AND(LEN('Providers'!A169)&gt;0,ISNUMBER('Providers'!K169)),1,0)</f>
        <v/>
      </c>
      <c r="B1169">
        <f>B1168+A1169</f>
        <v/>
      </c>
      <c r="C1169">
        <f>IF(1166&gt;$B$4503,"",MATCH(1166-0.5,$B$3:$B$4503,1))</f>
        <v/>
      </c>
      <c r="D1169">
        <f>"State CSR ("&amp;IF(LEN(INDEX('Providers'!$E$4:$E$503,166))=0,"",INDEX('Providers'!$E$4:$E$503,166))&amp;") – "&amp;IF(LEN(INDEX('Providers'!$A$4:$A$503,166))=0,"",INDEX('Providers'!$A$4:$A$503,166))</f>
        <v/>
      </c>
      <c r="E1169">
        <f>IF(ISNUMBER(INDEX('Providers'!$K$4:$K$503,166)),TEXT(INDEX('Providers'!$K$4:$K$503,166),"yyyy-mm-dd"),"")</f>
        <v/>
      </c>
      <c r="F1169">
        <f>"Registration"</f>
        <v/>
      </c>
      <c r="G1169">
        <f>""</f>
        <v/>
      </c>
      <c r="H1169">
        <f>"High"</f>
        <v/>
      </c>
      <c r="I1169">
        <f>TRIM(IF(LEN(IF(LEN(INDEX('Providers'!$J$4:$J$503,166))=0,"",INDEX('Providers'!$J$4:$J$503,166)))=0,"","CSR no.: "&amp;IF(LEN(INDEX('Providers'!$J$4:$J$503,166))=0,"",INDEX('Providers'!$J$4:$J$503,166))&amp;". ")&amp;IF(LEN(IF(LEN(INDEX('Providers'!$C$4:$C$503,166))=0,"",INDEX('Providers'!$C$4:$C$503,166)))=0,"","NPI: "&amp;IF(LEN(INDEX('Providers'!$C$4:$C$503,166))=0,"",INDEX('Providers'!$C$4:$C$503,166))&amp;". "))</f>
        <v/>
      </c>
      <c r="J1169">
        <f>IF(LEN(INDEX('Providers'!$AJ$4:$AJ$503,166))=0,"",INDEX('Providers'!$AJ$4:$AJ$503,166))</f>
        <v/>
      </c>
      <c r="K1169">
        <f>IF(LEN(INDEX('Providers'!$AI$4:$AI$503,166))=0,"",INDEX('Providers'!$AI$4:$AI$503,166))</f>
        <v/>
      </c>
    </row>
    <row r="1170">
      <c r="A1170">
        <f>IF(AND(LEN('Providers'!A170)&gt;0,ISNUMBER('Providers'!K170)),1,0)</f>
        <v/>
      </c>
      <c r="B1170">
        <f>B1169+A1170</f>
        <v/>
      </c>
      <c r="C1170">
        <f>IF(1167&gt;$B$4503,"",MATCH(1167-0.5,$B$3:$B$4503,1))</f>
        <v/>
      </c>
      <c r="D1170">
        <f>"State CSR ("&amp;IF(LEN(INDEX('Providers'!$E$4:$E$503,167))=0,"",INDEX('Providers'!$E$4:$E$503,167))&amp;") – "&amp;IF(LEN(INDEX('Providers'!$A$4:$A$503,167))=0,"",INDEX('Providers'!$A$4:$A$503,167))</f>
        <v/>
      </c>
      <c r="E1170">
        <f>IF(ISNUMBER(INDEX('Providers'!$K$4:$K$503,167)),TEXT(INDEX('Providers'!$K$4:$K$503,167),"yyyy-mm-dd"),"")</f>
        <v/>
      </c>
      <c r="F1170">
        <f>"Registration"</f>
        <v/>
      </c>
      <c r="G1170">
        <f>""</f>
        <v/>
      </c>
      <c r="H1170">
        <f>"High"</f>
        <v/>
      </c>
      <c r="I1170">
        <f>TRIM(IF(LEN(IF(LEN(INDEX('Providers'!$J$4:$J$503,167))=0,"",INDEX('Providers'!$J$4:$J$503,167)))=0,"","CSR no.: "&amp;IF(LEN(INDEX('Providers'!$J$4:$J$503,167))=0,"",INDEX('Providers'!$J$4:$J$503,167))&amp;". ")&amp;IF(LEN(IF(LEN(INDEX('Providers'!$C$4:$C$503,167))=0,"",INDEX('Providers'!$C$4:$C$503,167)))=0,"","NPI: "&amp;IF(LEN(INDEX('Providers'!$C$4:$C$503,167))=0,"",INDEX('Providers'!$C$4:$C$503,167))&amp;". "))</f>
        <v/>
      </c>
      <c r="J1170">
        <f>IF(LEN(INDEX('Providers'!$AJ$4:$AJ$503,167))=0,"",INDEX('Providers'!$AJ$4:$AJ$503,167))</f>
        <v/>
      </c>
      <c r="K1170">
        <f>IF(LEN(INDEX('Providers'!$AI$4:$AI$503,167))=0,"",INDEX('Providers'!$AI$4:$AI$503,167))</f>
        <v/>
      </c>
    </row>
    <row r="1171">
      <c r="A1171">
        <f>IF(AND(LEN('Providers'!A171)&gt;0,ISNUMBER('Providers'!K171)),1,0)</f>
        <v/>
      </c>
      <c r="B1171">
        <f>B1170+A1171</f>
        <v/>
      </c>
      <c r="C1171">
        <f>IF(1168&gt;$B$4503,"",MATCH(1168-0.5,$B$3:$B$4503,1))</f>
        <v/>
      </c>
      <c r="D1171">
        <f>"State CSR ("&amp;IF(LEN(INDEX('Providers'!$E$4:$E$503,168))=0,"",INDEX('Providers'!$E$4:$E$503,168))&amp;") – "&amp;IF(LEN(INDEX('Providers'!$A$4:$A$503,168))=0,"",INDEX('Providers'!$A$4:$A$503,168))</f>
        <v/>
      </c>
      <c r="E1171">
        <f>IF(ISNUMBER(INDEX('Providers'!$K$4:$K$503,168)),TEXT(INDEX('Providers'!$K$4:$K$503,168),"yyyy-mm-dd"),"")</f>
        <v/>
      </c>
      <c r="F1171">
        <f>"Registration"</f>
        <v/>
      </c>
      <c r="G1171">
        <f>""</f>
        <v/>
      </c>
      <c r="H1171">
        <f>"High"</f>
        <v/>
      </c>
      <c r="I1171">
        <f>TRIM(IF(LEN(IF(LEN(INDEX('Providers'!$J$4:$J$503,168))=0,"",INDEX('Providers'!$J$4:$J$503,168)))=0,"","CSR no.: "&amp;IF(LEN(INDEX('Providers'!$J$4:$J$503,168))=0,"",INDEX('Providers'!$J$4:$J$503,168))&amp;". ")&amp;IF(LEN(IF(LEN(INDEX('Providers'!$C$4:$C$503,168))=0,"",INDEX('Providers'!$C$4:$C$503,168)))=0,"","NPI: "&amp;IF(LEN(INDEX('Providers'!$C$4:$C$503,168))=0,"",INDEX('Providers'!$C$4:$C$503,168))&amp;". "))</f>
        <v/>
      </c>
      <c r="J1171">
        <f>IF(LEN(INDEX('Providers'!$AJ$4:$AJ$503,168))=0,"",INDEX('Providers'!$AJ$4:$AJ$503,168))</f>
        <v/>
      </c>
      <c r="K1171">
        <f>IF(LEN(INDEX('Providers'!$AI$4:$AI$503,168))=0,"",INDEX('Providers'!$AI$4:$AI$503,168))</f>
        <v/>
      </c>
    </row>
    <row r="1172">
      <c r="A1172">
        <f>IF(AND(LEN('Providers'!A172)&gt;0,ISNUMBER('Providers'!K172)),1,0)</f>
        <v/>
      </c>
      <c r="B1172">
        <f>B1171+A1172</f>
        <v/>
      </c>
      <c r="C1172">
        <f>IF(1169&gt;$B$4503,"",MATCH(1169-0.5,$B$3:$B$4503,1))</f>
        <v/>
      </c>
      <c r="D1172">
        <f>"State CSR ("&amp;IF(LEN(INDEX('Providers'!$E$4:$E$503,169))=0,"",INDEX('Providers'!$E$4:$E$503,169))&amp;") – "&amp;IF(LEN(INDEX('Providers'!$A$4:$A$503,169))=0,"",INDEX('Providers'!$A$4:$A$503,169))</f>
        <v/>
      </c>
      <c r="E1172">
        <f>IF(ISNUMBER(INDEX('Providers'!$K$4:$K$503,169)),TEXT(INDEX('Providers'!$K$4:$K$503,169),"yyyy-mm-dd"),"")</f>
        <v/>
      </c>
      <c r="F1172">
        <f>"Registration"</f>
        <v/>
      </c>
      <c r="G1172">
        <f>""</f>
        <v/>
      </c>
      <c r="H1172">
        <f>"High"</f>
        <v/>
      </c>
      <c r="I1172">
        <f>TRIM(IF(LEN(IF(LEN(INDEX('Providers'!$J$4:$J$503,169))=0,"",INDEX('Providers'!$J$4:$J$503,169)))=0,"","CSR no.: "&amp;IF(LEN(INDEX('Providers'!$J$4:$J$503,169))=0,"",INDEX('Providers'!$J$4:$J$503,169))&amp;". ")&amp;IF(LEN(IF(LEN(INDEX('Providers'!$C$4:$C$503,169))=0,"",INDEX('Providers'!$C$4:$C$503,169)))=0,"","NPI: "&amp;IF(LEN(INDEX('Providers'!$C$4:$C$503,169))=0,"",INDEX('Providers'!$C$4:$C$503,169))&amp;". "))</f>
        <v/>
      </c>
      <c r="J1172">
        <f>IF(LEN(INDEX('Providers'!$AJ$4:$AJ$503,169))=0,"",INDEX('Providers'!$AJ$4:$AJ$503,169))</f>
        <v/>
      </c>
      <c r="K1172">
        <f>IF(LEN(INDEX('Providers'!$AI$4:$AI$503,169))=0,"",INDEX('Providers'!$AI$4:$AI$503,169))</f>
        <v/>
      </c>
    </row>
    <row r="1173">
      <c r="A1173">
        <f>IF(AND(LEN('Providers'!A173)&gt;0,ISNUMBER('Providers'!K173)),1,0)</f>
        <v/>
      </c>
      <c r="B1173">
        <f>B1172+A1173</f>
        <v/>
      </c>
      <c r="C1173">
        <f>IF(1170&gt;$B$4503,"",MATCH(1170-0.5,$B$3:$B$4503,1))</f>
        <v/>
      </c>
      <c r="D1173">
        <f>"State CSR ("&amp;IF(LEN(INDEX('Providers'!$E$4:$E$503,170))=0,"",INDEX('Providers'!$E$4:$E$503,170))&amp;") – "&amp;IF(LEN(INDEX('Providers'!$A$4:$A$503,170))=0,"",INDEX('Providers'!$A$4:$A$503,170))</f>
        <v/>
      </c>
      <c r="E1173">
        <f>IF(ISNUMBER(INDEX('Providers'!$K$4:$K$503,170)),TEXT(INDEX('Providers'!$K$4:$K$503,170),"yyyy-mm-dd"),"")</f>
        <v/>
      </c>
      <c r="F1173">
        <f>"Registration"</f>
        <v/>
      </c>
      <c r="G1173">
        <f>""</f>
        <v/>
      </c>
      <c r="H1173">
        <f>"High"</f>
        <v/>
      </c>
      <c r="I1173">
        <f>TRIM(IF(LEN(IF(LEN(INDEX('Providers'!$J$4:$J$503,170))=0,"",INDEX('Providers'!$J$4:$J$503,170)))=0,"","CSR no.: "&amp;IF(LEN(INDEX('Providers'!$J$4:$J$503,170))=0,"",INDEX('Providers'!$J$4:$J$503,170))&amp;". ")&amp;IF(LEN(IF(LEN(INDEX('Providers'!$C$4:$C$503,170))=0,"",INDEX('Providers'!$C$4:$C$503,170)))=0,"","NPI: "&amp;IF(LEN(INDEX('Providers'!$C$4:$C$503,170))=0,"",INDEX('Providers'!$C$4:$C$503,170))&amp;". "))</f>
        <v/>
      </c>
      <c r="J1173">
        <f>IF(LEN(INDEX('Providers'!$AJ$4:$AJ$503,170))=0,"",INDEX('Providers'!$AJ$4:$AJ$503,170))</f>
        <v/>
      </c>
      <c r="K1173">
        <f>IF(LEN(INDEX('Providers'!$AI$4:$AI$503,170))=0,"",INDEX('Providers'!$AI$4:$AI$503,170))</f>
        <v/>
      </c>
    </row>
    <row r="1174">
      <c r="A1174">
        <f>IF(AND(LEN('Providers'!A174)&gt;0,ISNUMBER('Providers'!K174)),1,0)</f>
        <v/>
      </c>
      <c r="B1174">
        <f>B1173+A1174</f>
        <v/>
      </c>
      <c r="C1174">
        <f>IF(1171&gt;$B$4503,"",MATCH(1171-0.5,$B$3:$B$4503,1))</f>
        <v/>
      </c>
      <c r="D1174">
        <f>"State CSR ("&amp;IF(LEN(INDEX('Providers'!$E$4:$E$503,171))=0,"",INDEX('Providers'!$E$4:$E$503,171))&amp;") – "&amp;IF(LEN(INDEX('Providers'!$A$4:$A$503,171))=0,"",INDEX('Providers'!$A$4:$A$503,171))</f>
        <v/>
      </c>
      <c r="E1174">
        <f>IF(ISNUMBER(INDEX('Providers'!$K$4:$K$503,171)),TEXT(INDEX('Providers'!$K$4:$K$503,171),"yyyy-mm-dd"),"")</f>
        <v/>
      </c>
      <c r="F1174">
        <f>"Registration"</f>
        <v/>
      </c>
      <c r="G1174">
        <f>""</f>
        <v/>
      </c>
      <c r="H1174">
        <f>"High"</f>
        <v/>
      </c>
      <c r="I1174">
        <f>TRIM(IF(LEN(IF(LEN(INDEX('Providers'!$J$4:$J$503,171))=0,"",INDEX('Providers'!$J$4:$J$503,171)))=0,"","CSR no.: "&amp;IF(LEN(INDEX('Providers'!$J$4:$J$503,171))=0,"",INDEX('Providers'!$J$4:$J$503,171))&amp;". ")&amp;IF(LEN(IF(LEN(INDEX('Providers'!$C$4:$C$503,171))=0,"",INDEX('Providers'!$C$4:$C$503,171)))=0,"","NPI: "&amp;IF(LEN(INDEX('Providers'!$C$4:$C$503,171))=0,"",INDEX('Providers'!$C$4:$C$503,171))&amp;". "))</f>
        <v/>
      </c>
      <c r="J1174">
        <f>IF(LEN(INDEX('Providers'!$AJ$4:$AJ$503,171))=0,"",INDEX('Providers'!$AJ$4:$AJ$503,171))</f>
        <v/>
      </c>
      <c r="K1174">
        <f>IF(LEN(INDEX('Providers'!$AI$4:$AI$503,171))=0,"",INDEX('Providers'!$AI$4:$AI$503,171))</f>
        <v/>
      </c>
    </row>
    <row r="1175">
      <c r="A1175">
        <f>IF(AND(LEN('Providers'!A175)&gt;0,ISNUMBER('Providers'!K175)),1,0)</f>
        <v/>
      </c>
      <c r="B1175">
        <f>B1174+A1175</f>
        <v/>
      </c>
      <c r="C1175">
        <f>IF(1172&gt;$B$4503,"",MATCH(1172-0.5,$B$3:$B$4503,1))</f>
        <v/>
      </c>
      <c r="D1175">
        <f>"State CSR ("&amp;IF(LEN(INDEX('Providers'!$E$4:$E$503,172))=0,"",INDEX('Providers'!$E$4:$E$503,172))&amp;") – "&amp;IF(LEN(INDEX('Providers'!$A$4:$A$503,172))=0,"",INDEX('Providers'!$A$4:$A$503,172))</f>
        <v/>
      </c>
      <c r="E1175">
        <f>IF(ISNUMBER(INDEX('Providers'!$K$4:$K$503,172)),TEXT(INDEX('Providers'!$K$4:$K$503,172),"yyyy-mm-dd"),"")</f>
        <v/>
      </c>
      <c r="F1175">
        <f>"Registration"</f>
        <v/>
      </c>
      <c r="G1175">
        <f>""</f>
        <v/>
      </c>
      <c r="H1175">
        <f>"High"</f>
        <v/>
      </c>
      <c r="I1175">
        <f>TRIM(IF(LEN(IF(LEN(INDEX('Providers'!$J$4:$J$503,172))=0,"",INDEX('Providers'!$J$4:$J$503,172)))=0,"","CSR no.: "&amp;IF(LEN(INDEX('Providers'!$J$4:$J$503,172))=0,"",INDEX('Providers'!$J$4:$J$503,172))&amp;". ")&amp;IF(LEN(IF(LEN(INDEX('Providers'!$C$4:$C$503,172))=0,"",INDEX('Providers'!$C$4:$C$503,172)))=0,"","NPI: "&amp;IF(LEN(INDEX('Providers'!$C$4:$C$503,172))=0,"",INDEX('Providers'!$C$4:$C$503,172))&amp;". "))</f>
        <v/>
      </c>
      <c r="J1175">
        <f>IF(LEN(INDEX('Providers'!$AJ$4:$AJ$503,172))=0,"",INDEX('Providers'!$AJ$4:$AJ$503,172))</f>
        <v/>
      </c>
      <c r="K1175">
        <f>IF(LEN(INDEX('Providers'!$AI$4:$AI$503,172))=0,"",INDEX('Providers'!$AI$4:$AI$503,172))</f>
        <v/>
      </c>
    </row>
    <row r="1176">
      <c r="A1176">
        <f>IF(AND(LEN('Providers'!A176)&gt;0,ISNUMBER('Providers'!K176)),1,0)</f>
        <v/>
      </c>
      <c r="B1176">
        <f>B1175+A1176</f>
        <v/>
      </c>
      <c r="C1176">
        <f>IF(1173&gt;$B$4503,"",MATCH(1173-0.5,$B$3:$B$4503,1))</f>
        <v/>
      </c>
      <c r="D1176">
        <f>"State CSR ("&amp;IF(LEN(INDEX('Providers'!$E$4:$E$503,173))=0,"",INDEX('Providers'!$E$4:$E$503,173))&amp;") – "&amp;IF(LEN(INDEX('Providers'!$A$4:$A$503,173))=0,"",INDEX('Providers'!$A$4:$A$503,173))</f>
        <v/>
      </c>
      <c r="E1176">
        <f>IF(ISNUMBER(INDEX('Providers'!$K$4:$K$503,173)),TEXT(INDEX('Providers'!$K$4:$K$503,173),"yyyy-mm-dd"),"")</f>
        <v/>
      </c>
      <c r="F1176">
        <f>"Registration"</f>
        <v/>
      </c>
      <c r="G1176">
        <f>""</f>
        <v/>
      </c>
      <c r="H1176">
        <f>"High"</f>
        <v/>
      </c>
      <c r="I1176">
        <f>TRIM(IF(LEN(IF(LEN(INDEX('Providers'!$J$4:$J$503,173))=0,"",INDEX('Providers'!$J$4:$J$503,173)))=0,"","CSR no.: "&amp;IF(LEN(INDEX('Providers'!$J$4:$J$503,173))=0,"",INDEX('Providers'!$J$4:$J$503,173))&amp;". ")&amp;IF(LEN(IF(LEN(INDEX('Providers'!$C$4:$C$503,173))=0,"",INDEX('Providers'!$C$4:$C$503,173)))=0,"","NPI: "&amp;IF(LEN(INDEX('Providers'!$C$4:$C$503,173))=0,"",INDEX('Providers'!$C$4:$C$503,173))&amp;". "))</f>
        <v/>
      </c>
      <c r="J1176">
        <f>IF(LEN(INDEX('Providers'!$AJ$4:$AJ$503,173))=0,"",INDEX('Providers'!$AJ$4:$AJ$503,173))</f>
        <v/>
      </c>
      <c r="K1176">
        <f>IF(LEN(INDEX('Providers'!$AI$4:$AI$503,173))=0,"",INDEX('Providers'!$AI$4:$AI$503,173))</f>
        <v/>
      </c>
    </row>
    <row r="1177">
      <c r="A1177">
        <f>IF(AND(LEN('Providers'!A177)&gt;0,ISNUMBER('Providers'!K177)),1,0)</f>
        <v/>
      </c>
      <c r="B1177">
        <f>B1176+A1177</f>
        <v/>
      </c>
      <c r="C1177">
        <f>IF(1174&gt;$B$4503,"",MATCH(1174-0.5,$B$3:$B$4503,1))</f>
        <v/>
      </c>
      <c r="D1177">
        <f>"State CSR ("&amp;IF(LEN(INDEX('Providers'!$E$4:$E$503,174))=0,"",INDEX('Providers'!$E$4:$E$503,174))&amp;") – "&amp;IF(LEN(INDEX('Providers'!$A$4:$A$503,174))=0,"",INDEX('Providers'!$A$4:$A$503,174))</f>
        <v/>
      </c>
      <c r="E1177">
        <f>IF(ISNUMBER(INDEX('Providers'!$K$4:$K$503,174)),TEXT(INDEX('Providers'!$K$4:$K$503,174),"yyyy-mm-dd"),"")</f>
        <v/>
      </c>
      <c r="F1177">
        <f>"Registration"</f>
        <v/>
      </c>
      <c r="G1177">
        <f>""</f>
        <v/>
      </c>
      <c r="H1177">
        <f>"High"</f>
        <v/>
      </c>
      <c r="I1177">
        <f>TRIM(IF(LEN(IF(LEN(INDEX('Providers'!$J$4:$J$503,174))=0,"",INDEX('Providers'!$J$4:$J$503,174)))=0,"","CSR no.: "&amp;IF(LEN(INDEX('Providers'!$J$4:$J$503,174))=0,"",INDEX('Providers'!$J$4:$J$503,174))&amp;". ")&amp;IF(LEN(IF(LEN(INDEX('Providers'!$C$4:$C$503,174))=0,"",INDEX('Providers'!$C$4:$C$503,174)))=0,"","NPI: "&amp;IF(LEN(INDEX('Providers'!$C$4:$C$503,174))=0,"",INDEX('Providers'!$C$4:$C$503,174))&amp;". "))</f>
        <v/>
      </c>
      <c r="J1177">
        <f>IF(LEN(INDEX('Providers'!$AJ$4:$AJ$503,174))=0,"",INDEX('Providers'!$AJ$4:$AJ$503,174))</f>
        <v/>
      </c>
      <c r="K1177">
        <f>IF(LEN(INDEX('Providers'!$AI$4:$AI$503,174))=0,"",INDEX('Providers'!$AI$4:$AI$503,174))</f>
        <v/>
      </c>
    </row>
    <row r="1178">
      <c r="A1178">
        <f>IF(AND(LEN('Providers'!A178)&gt;0,ISNUMBER('Providers'!K178)),1,0)</f>
        <v/>
      </c>
      <c r="B1178">
        <f>B1177+A1178</f>
        <v/>
      </c>
      <c r="C1178">
        <f>IF(1175&gt;$B$4503,"",MATCH(1175-0.5,$B$3:$B$4503,1))</f>
        <v/>
      </c>
      <c r="D1178">
        <f>"State CSR ("&amp;IF(LEN(INDEX('Providers'!$E$4:$E$503,175))=0,"",INDEX('Providers'!$E$4:$E$503,175))&amp;") – "&amp;IF(LEN(INDEX('Providers'!$A$4:$A$503,175))=0,"",INDEX('Providers'!$A$4:$A$503,175))</f>
        <v/>
      </c>
      <c r="E1178">
        <f>IF(ISNUMBER(INDEX('Providers'!$K$4:$K$503,175)),TEXT(INDEX('Providers'!$K$4:$K$503,175),"yyyy-mm-dd"),"")</f>
        <v/>
      </c>
      <c r="F1178">
        <f>"Registration"</f>
        <v/>
      </c>
      <c r="G1178">
        <f>""</f>
        <v/>
      </c>
      <c r="H1178">
        <f>"High"</f>
        <v/>
      </c>
      <c r="I1178">
        <f>TRIM(IF(LEN(IF(LEN(INDEX('Providers'!$J$4:$J$503,175))=0,"",INDEX('Providers'!$J$4:$J$503,175)))=0,"","CSR no.: "&amp;IF(LEN(INDEX('Providers'!$J$4:$J$503,175))=0,"",INDEX('Providers'!$J$4:$J$503,175))&amp;". ")&amp;IF(LEN(IF(LEN(INDEX('Providers'!$C$4:$C$503,175))=0,"",INDEX('Providers'!$C$4:$C$503,175)))=0,"","NPI: "&amp;IF(LEN(INDEX('Providers'!$C$4:$C$503,175))=0,"",INDEX('Providers'!$C$4:$C$503,175))&amp;". "))</f>
        <v/>
      </c>
      <c r="J1178">
        <f>IF(LEN(INDEX('Providers'!$AJ$4:$AJ$503,175))=0,"",INDEX('Providers'!$AJ$4:$AJ$503,175))</f>
        <v/>
      </c>
      <c r="K1178">
        <f>IF(LEN(INDEX('Providers'!$AI$4:$AI$503,175))=0,"",INDEX('Providers'!$AI$4:$AI$503,175))</f>
        <v/>
      </c>
    </row>
    <row r="1179">
      <c r="A1179">
        <f>IF(AND(LEN('Providers'!A179)&gt;0,ISNUMBER('Providers'!K179)),1,0)</f>
        <v/>
      </c>
      <c r="B1179">
        <f>B1178+A1179</f>
        <v/>
      </c>
      <c r="C1179">
        <f>IF(1176&gt;$B$4503,"",MATCH(1176-0.5,$B$3:$B$4503,1))</f>
        <v/>
      </c>
      <c r="D1179">
        <f>"State CSR ("&amp;IF(LEN(INDEX('Providers'!$E$4:$E$503,176))=0,"",INDEX('Providers'!$E$4:$E$503,176))&amp;") – "&amp;IF(LEN(INDEX('Providers'!$A$4:$A$503,176))=0,"",INDEX('Providers'!$A$4:$A$503,176))</f>
        <v/>
      </c>
      <c r="E1179">
        <f>IF(ISNUMBER(INDEX('Providers'!$K$4:$K$503,176)),TEXT(INDEX('Providers'!$K$4:$K$503,176),"yyyy-mm-dd"),"")</f>
        <v/>
      </c>
      <c r="F1179">
        <f>"Registration"</f>
        <v/>
      </c>
      <c r="G1179">
        <f>""</f>
        <v/>
      </c>
      <c r="H1179">
        <f>"High"</f>
        <v/>
      </c>
      <c r="I1179">
        <f>TRIM(IF(LEN(IF(LEN(INDEX('Providers'!$J$4:$J$503,176))=0,"",INDEX('Providers'!$J$4:$J$503,176)))=0,"","CSR no.: "&amp;IF(LEN(INDEX('Providers'!$J$4:$J$503,176))=0,"",INDEX('Providers'!$J$4:$J$503,176))&amp;". ")&amp;IF(LEN(IF(LEN(INDEX('Providers'!$C$4:$C$503,176))=0,"",INDEX('Providers'!$C$4:$C$503,176)))=0,"","NPI: "&amp;IF(LEN(INDEX('Providers'!$C$4:$C$503,176))=0,"",INDEX('Providers'!$C$4:$C$503,176))&amp;". "))</f>
        <v/>
      </c>
      <c r="J1179">
        <f>IF(LEN(INDEX('Providers'!$AJ$4:$AJ$503,176))=0,"",INDEX('Providers'!$AJ$4:$AJ$503,176))</f>
        <v/>
      </c>
      <c r="K1179">
        <f>IF(LEN(INDEX('Providers'!$AI$4:$AI$503,176))=0,"",INDEX('Providers'!$AI$4:$AI$503,176))</f>
        <v/>
      </c>
    </row>
    <row r="1180">
      <c r="A1180">
        <f>IF(AND(LEN('Providers'!A180)&gt;0,ISNUMBER('Providers'!K180)),1,0)</f>
        <v/>
      </c>
      <c r="B1180">
        <f>B1179+A1180</f>
        <v/>
      </c>
      <c r="C1180">
        <f>IF(1177&gt;$B$4503,"",MATCH(1177-0.5,$B$3:$B$4503,1))</f>
        <v/>
      </c>
      <c r="D1180">
        <f>"State CSR ("&amp;IF(LEN(INDEX('Providers'!$E$4:$E$503,177))=0,"",INDEX('Providers'!$E$4:$E$503,177))&amp;") – "&amp;IF(LEN(INDEX('Providers'!$A$4:$A$503,177))=0,"",INDEX('Providers'!$A$4:$A$503,177))</f>
        <v/>
      </c>
      <c r="E1180">
        <f>IF(ISNUMBER(INDEX('Providers'!$K$4:$K$503,177)),TEXT(INDEX('Providers'!$K$4:$K$503,177),"yyyy-mm-dd"),"")</f>
        <v/>
      </c>
      <c r="F1180">
        <f>"Registration"</f>
        <v/>
      </c>
      <c r="G1180">
        <f>""</f>
        <v/>
      </c>
      <c r="H1180">
        <f>"High"</f>
        <v/>
      </c>
      <c r="I1180">
        <f>TRIM(IF(LEN(IF(LEN(INDEX('Providers'!$J$4:$J$503,177))=0,"",INDEX('Providers'!$J$4:$J$503,177)))=0,"","CSR no.: "&amp;IF(LEN(INDEX('Providers'!$J$4:$J$503,177))=0,"",INDEX('Providers'!$J$4:$J$503,177))&amp;". ")&amp;IF(LEN(IF(LEN(INDEX('Providers'!$C$4:$C$503,177))=0,"",INDEX('Providers'!$C$4:$C$503,177)))=0,"","NPI: "&amp;IF(LEN(INDEX('Providers'!$C$4:$C$503,177))=0,"",INDEX('Providers'!$C$4:$C$503,177))&amp;". "))</f>
        <v/>
      </c>
      <c r="J1180">
        <f>IF(LEN(INDEX('Providers'!$AJ$4:$AJ$503,177))=0,"",INDEX('Providers'!$AJ$4:$AJ$503,177))</f>
        <v/>
      </c>
      <c r="K1180">
        <f>IF(LEN(INDEX('Providers'!$AI$4:$AI$503,177))=0,"",INDEX('Providers'!$AI$4:$AI$503,177))</f>
        <v/>
      </c>
    </row>
    <row r="1181">
      <c r="A1181">
        <f>IF(AND(LEN('Providers'!A181)&gt;0,ISNUMBER('Providers'!K181)),1,0)</f>
        <v/>
      </c>
      <c r="B1181">
        <f>B1180+A1181</f>
        <v/>
      </c>
      <c r="C1181">
        <f>IF(1178&gt;$B$4503,"",MATCH(1178-0.5,$B$3:$B$4503,1))</f>
        <v/>
      </c>
      <c r="D1181">
        <f>"State CSR ("&amp;IF(LEN(INDEX('Providers'!$E$4:$E$503,178))=0,"",INDEX('Providers'!$E$4:$E$503,178))&amp;") – "&amp;IF(LEN(INDEX('Providers'!$A$4:$A$503,178))=0,"",INDEX('Providers'!$A$4:$A$503,178))</f>
        <v/>
      </c>
      <c r="E1181">
        <f>IF(ISNUMBER(INDEX('Providers'!$K$4:$K$503,178)),TEXT(INDEX('Providers'!$K$4:$K$503,178),"yyyy-mm-dd"),"")</f>
        <v/>
      </c>
      <c r="F1181">
        <f>"Registration"</f>
        <v/>
      </c>
      <c r="G1181">
        <f>""</f>
        <v/>
      </c>
      <c r="H1181">
        <f>"High"</f>
        <v/>
      </c>
      <c r="I1181">
        <f>TRIM(IF(LEN(IF(LEN(INDEX('Providers'!$J$4:$J$503,178))=0,"",INDEX('Providers'!$J$4:$J$503,178)))=0,"","CSR no.: "&amp;IF(LEN(INDEX('Providers'!$J$4:$J$503,178))=0,"",INDEX('Providers'!$J$4:$J$503,178))&amp;". ")&amp;IF(LEN(IF(LEN(INDEX('Providers'!$C$4:$C$503,178))=0,"",INDEX('Providers'!$C$4:$C$503,178)))=0,"","NPI: "&amp;IF(LEN(INDEX('Providers'!$C$4:$C$503,178))=0,"",INDEX('Providers'!$C$4:$C$503,178))&amp;". "))</f>
        <v/>
      </c>
      <c r="J1181">
        <f>IF(LEN(INDEX('Providers'!$AJ$4:$AJ$503,178))=0,"",INDEX('Providers'!$AJ$4:$AJ$503,178))</f>
        <v/>
      </c>
      <c r="K1181">
        <f>IF(LEN(INDEX('Providers'!$AI$4:$AI$503,178))=0,"",INDEX('Providers'!$AI$4:$AI$503,178))</f>
        <v/>
      </c>
    </row>
    <row r="1182">
      <c r="A1182">
        <f>IF(AND(LEN('Providers'!A182)&gt;0,ISNUMBER('Providers'!K182)),1,0)</f>
        <v/>
      </c>
      <c r="B1182">
        <f>B1181+A1182</f>
        <v/>
      </c>
      <c r="C1182">
        <f>IF(1179&gt;$B$4503,"",MATCH(1179-0.5,$B$3:$B$4503,1))</f>
        <v/>
      </c>
      <c r="D1182">
        <f>"State CSR ("&amp;IF(LEN(INDEX('Providers'!$E$4:$E$503,179))=0,"",INDEX('Providers'!$E$4:$E$503,179))&amp;") – "&amp;IF(LEN(INDEX('Providers'!$A$4:$A$503,179))=0,"",INDEX('Providers'!$A$4:$A$503,179))</f>
        <v/>
      </c>
      <c r="E1182">
        <f>IF(ISNUMBER(INDEX('Providers'!$K$4:$K$503,179)),TEXT(INDEX('Providers'!$K$4:$K$503,179),"yyyy-mm-dd"),"")</f>
        <v/>
      </c>
      <c r="F1182">
        <f>"Registration"</f>
        <v/>
      </c>
      <c r="G1182">
        <f>""</f>
        <v/>
      </c>
      <c r="H1182">
        <f>"High"</f>
        <v/>
      </c>
      <c r="I1182">
        <f>TRIM(IF(LEN(IF(LEN(INDEX('Providers'!$J$4:$J$503,179))=0,"",INDEX('Providers'!$J$4:$J$503,179)))=0,"","CSR no.: "&amp;IF(LEN(INDEX('Providers'!$J$4:$J$503,179))=0,"",INDEX('Providers'!$J$4:$J$503,179))&amp;". ")&amp;IF(LEN(IF(LEN(INDEX('Providers'!$C$4:$C$503,179))=0,"",INDEX('Providers'!$C$4:$C$503,179)))=0,"","NPI: "&amp;IF(LEN(INDEX('Providers'!$C$4:$C$503,179))=0,"",INDEX('Providers'!$C$4:$C$503,179))&amp;". "))</f>
        <v/>
      </c>
      <c r="J1182">
        <f>IF(LEN(INDEX('Providers'!$AJ$4:$AJ$503,179))=0,"",INDEX('Providers'!$AJ$4:$AJ$503,179))</f>
        <v/>
      </c>
      <c r="K1182">
        <f>IF(LEN(INDEX('Providers'!$AI$4:$AI$503,179))=0,"",INDEX('Providers'!$AI$4:$AI$503,179))</f>
        <v/>
      </c>
    </row>
    <row r="1183">
      <c r="A1183">
        <f>IF(AND(LEN('Providers'!A183)&gt;0,ISNUMBER('Providers'!K183)),1,0)</f>
        <v/>
      </c>
      <c r="B1183">
        <f>B1182+A1183</f>
        <v/>
      </c>
      <c r="C1183">
        <f>IF(1180&gt;$B$4503,"",MATCH(1180-0.5,$B$3:$B$4503,1))</f>
        <v/>
      </c>
      <c r="D1183">
        <f>"State CSR ("&amp;IF(LEN(INDEX('Providers'!$E$4:$E$503,180))=0,"",INDEX('Providers'!$E$4:$E$503,180))&amp;") – "&amp;IF(LEN(INDEX('Providers'!$A$4:$A$503,180))=0,"",INDEX('Providers'!$A$4:$A$503,180))</f>
        <v/>
      </c>
      <c r="E1183">
        <f>IF(ISNUMBER(INDEX('Providers'!$K$4:$K$503,180)),TEXT(INDEX('Providers'!$K$4:$K$503,180),"yyyy-mm-dd"),"")</f>
        <v/>
      </c>
      <c r="F1183">
        <f>"Registration"</f>
        <v/>
      </c>
      <c r="G1183">
        <f>""</f>
        <v/>
      </c>
      <c r="H1183">
        <f>"High"</f>
        <v/>
      </c>
      <c r="I1183">
        <f>TRIM(IF(LEN(IF(LEN(INDEX('Providers'!$J$4:$J$503,180))=0,"",INDEX('Providers'!$J$4:$J$503,180)))=0,"","CSR no.: "&amp;IF(LEN(INDEX('Providers'!$J$4:$J$503,180))=0,"",INDEX('Providers'!$J$4:$J$503,180))&amp;". ")&amp;IF(LEN(IF(LEN(INDEX('Providers'!$C$4:$C$503,180))=0,"",INDEX('Providers'!$C$4:$C$503,180)))=0,"","NPI: "&amp;IF(LEN(INDEX('Providers'!$C$4:$C$503,180))=0,"",INDEX('Providers'!$C$4:$C$503,180))&amp;". "))</f>
        <v/>
      </c>
      <c r="J1183">
        <f>IF(LEN(INDEX('Providers'!$AJ$4:$AJ$503,180))=0,"",INDEX('Providers'!$AJ$4:$AJ$503,180))</f>
        <v/>
      </c>
      <c r="K1183">
        <f>IF(LEN(INDEX('Providers'!$AI$4:$AI$503,180))=0,"",INDEX('Providers'!$AI$4:$AI$503,180))</f>
        <v/>
      </c>
    </row>
    <row r="1184">
      <c r="A1184">
        <f>IF(AND(LEN('Providers'!A184)&gt;0,ISNUMBER('Providers'!K184)),1,0)</f>
        <v/>
      </c>
      <c r="B1184">
        <f>B1183+A1184</f>
        <v/>
      </c>
      <c r="C1184">
        <f>IF(1181&gt;$B$4503,"",MATCH(1181-0.5,$B$3:$B$4503,1))</f>
        <v/>
      </c>
      <c r="D1184">
        <f>"State CSR ("&amp;IF(LEN(INDEX('Providers'!$E$4:$E$503,181))=0,"",INDEX('Providers'!$E$4:$E$503,181))&amp;") – "&amp;IF(LEN(INDEX('Providers'!$A$4:$A$503,181))=0,"",INDEX('Providers'!$A$4:$A$503,181))</f>
        <v/>
      </c>
      <c r="E1184">
        <f>IF(ISNUMBER(INDEX('Providers'!$K$4:$K$503,181)),TEXT(INDEX('Providers'!$K$4:$K$503,181),"yyyy-mm-dd"),"")</f>
        <v/>
      </c>
      <c r="F1184">
        <f>"Registration"</f>
        <v/>
      </c>
      <c r="G1184">
        <f>""</f>
        <v/>
      </c>
      <c r="H1184">
        <f>"High"</f>
        <v/>
      </c>
      <c r="I1184">
        <f>TRIM(IF(LEN(IF(LEN(INDEX('Providers'!$J$4:$J$503,181))=0,"",INDEX('Providers'!$J$4:$J$503,181)))=0,"","CSR no.: "&amp;IF(LEN(INDEX('Providers'!$J$4:$J$503,181))=0,"",INDEX('Providers'!$J$4:$J$503,181))&amp;". ")&amp;IF(LEN(IF(LEN(INDEX('Providers'!$C$4:$C$503,181))=0,"",INDEX('Providers'!$C$4:$C$503,181)))=0,"","NPI: "&amp;IF(LEN(INDEX('Providers'!$C$4:$C$503,181))=0,"",INDEX('Providers'!$C$4:$C$503,181))&amp;". "))</f>
        <v/>
      </c>
      <c r="J1184">
        <f>IF(LEN(INDEX('Providers'!$AJ$4:$AJ$503,181))=0,"",INDEX('Providers'!$AJ$4:$AJ$503,181))</f>
        <v/>
      </c>
      <c r="K1184">
        <f>IF(LEN(INDEX('Providers'!$AI$4:$AI$503,181))=0,"",INDEX('Providers'!$AI$4:$AI$503,181))</f>
        <v/>
      </c>
    </row>
    <row r="1185">
      <c r="A1185">
        <f>IF(AND(LEN('Providers'!A185)&gt;0,ISNUMBER('Providers'!K185)),1,0)</f>
        <v/>
      </c>
      <c r="B1185">
        <f>B1184+A1185</f>
        <v/>
      </c>
      <c r="C1185">
        <f>IF(1182&gt;$B$4503,"",MATCH(1182-0.5,$B$3:$B$4503,1))</f>
        <v/>
      </c>
      <c r="D1185">
        <f>"State CSR ("&amp;IF(LEN(INDEX('Providers'!$E$4:$E$503,182))=0,"",INDEX('Providers'!$E$4:$E$503,182))&amp;") – "&amp;IF(LEN(INDEX('Providers'!$A$4:$A$503,182))=0,"",INDEX('Providers'!$A$4:$A$503,182))</f>
        <v/>
      </c>
      <c r="E1185">
        <f>IF(ISNUMBER(INDEX('Providers'!$K$4:$K$503,182)),TEXT(INDEX('Providers'!$K$4:$K$503,182),"yyyy-mm-dd"),"")</f>
        <v/>
      </c>
      <c r="F1185">
        <f>"Registration"</f>
        <v/>
      </c>
      <c r="G1185">
        <f>""</f>
        <v/>
      </c>
      <c r="H1185">
        <f>"High"</f>
        <v/>
      </c>
      <c r="I1185">
        <f>TRIM(IF(LEN(IF(LEN(INDEX('Providers'!$J$4:$J$503,182))=0,"",INDEX('Providers'!$J$4:$J$503,182)))=0,"","CSR no.: "&amp;IF(LEN(INDEX('Providers'!$J$4:$J$503,182))=0,"",INDEX('Providers'!$J$4:$J$503,182))&amp;". ")&amp;IF(LEN(IF(LEN(INDEX('Providers'!$C$4:$C$503,182))=0,"",INDEX('Providers'!$C$4:$C$503,182)))=0,"","NPI: "&amp;IF(LEN(INDEX('Providers'!$C$4:$C$503,182))=0,"",INDEX('Providers'!$C$4:$C$503,182))&amp;". "))</f>
        <v/>
      </c>
      <c r="J1185">
        <f>IF(LEN(INDEX('Providers'!$AJ$4:$AJ$503,182))=0,"",INDEX('Providers'!$AJ$4:$AJ$503,182))</f>
        <v/>
      </c>
      <c r="K1185">
        <f>IF(LEN(INDEX('Providers'!$AI$4:$AI$503,182))=0,"",INDEX('Providers'!$AI$4:$AI$503,182))</f>
        <v/>
      </c>
    </row>
    <row r="1186">
      <c r="A1186">
        <f>IF(AND(LEN('Providers'!A186)&gt;0,ISNUMBER('Providers'!K186)),1,0)</f>
        <v/>
      </c>
      <c r="B1186">
        <f>B1185+A1186</f>
        <v/>
      </c>
      <c r="C1186">
        <f>IF(1183&gt;$B$4503,"",MATCH(1183-0.5,$B$3:$B$4503,1))</f>
        <v/>
      </c>
      <c r="D1186">
        <f>"State CSR ("&amp;IF(LEN(INDEX('Providers'!$E$4:$E$503,183))=0,"",INDEX('Providers'!$E$4:$E$503,183))&amp;") – "&amp;IF(LEN(INDEX('Providers'!$A$4:$A$503,183))=0,"",INDEX('Providers'!$A$4:$A$503,183))</f>
        <v/>
      </c>
      <c r="E1186">
        <f>IF(ISNUMBER(INDEX('Providers'!$K$4:$K$503,183)),TEXT(INDEX('Providers'!$K$4:$K$503,183),"yyyy-mm-dd"),"")</f>
        <v/>
      </c>
      <c r="F1186">
        <f>"Registration"</f>
        <v/>
      </c>
      <c r="G1186">
        <f>""</f>
        <v/>
      </c>
      <c r="H1186">
        <f>"High"</f>
        <v/>
      </c>
      <c r="I1186">
        <f>TRIM(IF(LEN(IF(LEN(INDEX('Providers'!$J$4:$J$503,183))=0,"",INDEX('Providers'!$J$4:$J$503,183)))=0,"","CSR no.: "&amp;IF(LEN(INDEX('Providers'!$J$4:$J$503,183))=0,"",INDEX('Providers'!$J$4:$J$503,183))&amp;". ")&amp;IF(LEN(IF(LEN(INDEX('Providers'!$C$4:$C$503,183))=0,"",INDEX('Providers'!$C$4:$C$503,183)))=0,"","NPI: "&amp;IF(LEN(INDEX('Providers'!$C$4:$C$503,183))=0,"",INDEX('Providers'!$C$4:$C$503,183))&amp;". "))</f>
        <v/>
      </c>
      <c r="J1186">
        <f>IF(LEN(INDEX('Providers'!$AJ$4:$AJ$503,183))=0,"",INDEX('Providers'!$AJ$4:$AJ$503,183))</f>
        <v/>
      </c>
      <c r="K1186">
        <f>IF(LEN(INDEX('Providers'!$AI$4:$AI$503,183))=0,"",INDEX('Providers'!$AI$4:$AI$503,183))</f>
        <v/>
      </c>
    </row>
    <row r="1187">
      <c r="A1187">
        <f>IF(AND(LEN('Providers'!A187)&gt;0,ISNUMBER('Providers'!K187)),1,0)</f>
        <v/>
      </c>
      <c r="B1187">
        <f>B1186+A1187</f>
        <v/>
      </c>
      <c r="C1187">
        <f>IF(1184&gt;$B$4503,"",MATCH(1184-0.5,$B$3:$B$4503,1))</f>
        <v/>
      </c>
      <c r="D1187">
        <f>"State CSR ("&amp;IF(LEN(INDEX('Providers'!$E$4:$E$503,184))=0,"",INDEX('Providers'!$E$4:$E$503,184))&amp;") – "&amp;IF(LEN(INDEX('Providers'!$A$4:$A$503,184))=0,"",INDEX('Providers'!$A$4:$A$503,184))</f>
        <v/>
      </c>
      <c r="E1187">
        <f>IF(ISNUMBER(INDEX('Providers'!$K$4:$K$503,184)),TEXT(INDEX('Providers'!$K$4:$K$503,184),"yyyy-mm-dd"),"")</f>
        <v/>
      </c>
      <c r="F1187">
        <f>"Registration"</f>
        <v/>
      </c>
      <c r="G1187">
        <f>""</f>
        <v/>
      </c>
      <c r="H1187">
        <f>"High"</f>
        <v/>
      </c>
      <c r="I1187">
        <f>TRIM(IF(LEN(IF(LEN(INDEX('Providers'!$J$4:$J$503,184))=0,"",INDEX('Providers'!$J$4:$J$503,184)))=0,"","CSR no.: "&amp;IF(LEN(INDEX('Providers'!$J$4:$J$503,184))=0,"",INDEX('Providers'!$J$4:$J$503,184))&amp;". ")&amp;IF(LEN(IF(LEN(INDEX('Providers'!$C$4:$C$503,184))=0,"",INDEX('Providers'!$C$4:$C$503,184)))=0,"","NPI: "&amp;IF(LEN(INDEX('Providers'!$C$4:$C$503,184))=0,"",INDEX('Providers'!$C$4:$C$503,184))&amp;". "))</f>
        <v/>
      </c>
      <c r="J1187">
        <f>IF(LEN(INDEX('Providers'!$AJ$4:$AJ$503,184))=0,"",INDEX('Providers'!$AJ$4:$AJ$503,184))</f>
        <v/>
      </c>
      <c r="K1187">
        <f>IF(LEN(INDEX('Providers'!$AI$4:$AI$503,184))=0,"",INDEX('Providers'!$AI$4:$AI$503,184))</f>
        <v/>
      </c>
    </row>
    <row r="1188">
      <c r="A1188">
        <f>IF(AND(LEN('Providers'!A188)&gt;0,ISNUMBER('Providers'!K188)),1,0)</f>
        <v/>
      </c>
      <c r="B1188">
        <f>B1187+A1188</f>
        <v/>
      </c>
      <c r="C1188">
        <f>IF(1185&gt;$B$4503,"",MATCH(1185-0.5,$B$3:$B$4503,1))</f>
        <v/>
      </c>
      <c r="D1188">
        <f>"State CSR ("&amp;IF(LEN(INDEX('Providers'!$E$4:$E$503,185))=0,"",INDEX('Providers'!$E$4:$E$503,185))&amp;") – "&amp;IF(LEN(INDEX('Providers'!$A$4:$A$503,185))=0,"",INDEX('Providers'!$A$4:$A$503,185))</f>
        <v/>
      </c>
      <c r="E1188">
        <f>IF(ISNUMBER(INDEX('Providers'!$K$4:$K$503,185)),TEXT(INDEX('Providers'!$K$4:$K$503,185),"yyyy-mm-dd"),"")</f>
        <v/>
      </c>
      <c r="F1188">
        <f>"Registration"</f>
        <v/>
      </c>
      <c r="G1188">
        <f>""</f>
        <v/>
      </c>
      <c r="H1188">
        <f>"High"</f>
        <v/>
      </c>
      <c r="I1188">
        <f>TRIM(IF(LEN(IF(LEN(INDEX('Providers'!$J$4:$J$503,185))=0,"",INDEX('Providers'!$J$4:$J$503,185)))=0,"","CSR no.: "&amp;IF(LEN(INDEX('Providers'!$J$4:$J$503,185))=0,"",INDEX('Providers'!$J$4:$J$503,185))&amp;". ")&amp;IF(LEN(IF(LEN(INDEX('Providers'!$C$4:$C$503,185))=0,"",INDEX('Providers'!$C$4:$C$503,185)))=0,"","NPI: "&amp;IF(LEN(INDEX('Providers'!$C$4:$C$503,185))=0,"",INDEX('Providers'!$C$4:$C$503,185))&amp;". "))</f>
        <v/>
      </c>
      <c r="J1188">
        <f>IF(LEN(INDEX('Providers'!$AJ$4:$AJ$503,185))=0,"",INDEX('Providers'!$AJ$4:$AJ$503,185))</f>
        <v/>
      </c>
      <c r="K1188">
        <f>IF(LEN(INDEX('Providers'!$AI$4:$AI$503,185))=0,"",INDEX('Providers'!$AI$4:$AI$503,185))</f>
        <v/>
      </c>
    </row>
    <row r="1189">
      <c r="A1189">
        <f>IF(AND(LEN('Providers'!A189)&gt;0,ISNUMBER('Providers'!K189)),1,0)</f>
        <v/>
      </c>
      <c r="B1189">
        <f>B1188+A1189</f>
        <v/>
      </c>
      <c r="C1189">
        <f>IF(1186&gt;$B$4503,"",MATCH(1186-0.5,$B$3:$B$4503,1))</f>
        <v/>
      </c>
      <c r="D1189">
        <f>"State CSR ("&amp;IF(LEN(INDEX('Providers'!$E$4:$E$503,186))=0,"",INDEX('Providers'!$E$4:$E$503,186))&amp;") – "&amp;IF(LEN(INDEX('Providers'!$A$4:$A$503,186))=0,"",INDEX('Providers'!$A$4:$A$503,186))</f>
        <v/>
      </c>
      <c r="E1189">
        <f>IF(ISNUMBER(INDEX('Providers'!$K$4:$K$503,186)),TEXT(INDEX('Providers'!$K$4:$K$503,186),"yyyy-mm-dd"),"")</f>
        <v/>
      </c>
      <c r="F1189">
        <f>"Registration"</f>
        <v/>
      </c>
      <c r="G1189">
        <f>""</f>
        <v/>
      </c>
      <c r="H1189">
        <f>"High"</f>
        <v/>
      </c>
      <c r="I1189">
        <f>TRIM(IF(LEN(IF(LEN(INDEX('Providers'!$J$4:$J$503,186))=0,"",INDEX('Providers'!$J$4:$J$503,186)))=0,"","CSR no.: "&amp;IF(LEN(INDEX('Providers'!$J$4:$J$503,186))=0,"",INDEX('Providers'!$J$4:$J$503,186))&amp;". ")&amp;IF(LEN(IF(LEN(INDEX('Providers'!$C$4:$C$503,186))=0,"",INDEX('Providers'!$C$4:$C$503,186)))=0,"","NPI: "&amp;IF(LEN(INDEX('Providers'!$C$4:$C$503,186))=0,"",INDEX('Providers'!$C$4:$C$503,186))&amp;". "))</f>
        <v/>
      </c>
      <c r="J1189">
        <f>IF(LEN(INDEX('Providers'!$AJ$4:$AJ$503,186))=0,"",INDEX('Providers'!$AJ$4:$AJ$503,186))</f>
        <v/>
      </c>
      <c r="K1189">
        <f>IF(LEN(INDEX('Providers'!$AI$4:$AI$503,186))=0,"",INDEX('Providers'!$AI$4:$AI$503,186))</f>
        <v/>
      </c>
    </row>
    <row r="1190">
      <c r="A1190">
        <f>IF(AND(LEN('Providers'!A190)&gt;0,ISNUMBER('Providers'!K190)),1,0)</f>
        <v/>
      </c>
      <c r="B1190">
        <f>B1189+A1190</f>
        <v/>
      </c>
      <c r="C1190">
        <f>IF(1187&gt;$B$4503,"",MATCH(1187-0.5,$B$3:$B$4503,1))</f>
        <v/>
      </c>
      <c r="D1190">
        <f>"State CSR ("&amp;IF(LEN(INDEX('Providers'!$E$4:$E$503,187))=0,"",INDEX('Providers'!$E$4:$E$503,187))&amp;") – "&amp;IF(LEN(INDEX('Providers'!$A$4:$A$503,187))=0,"",INDEX('Providers'!$A$4:$A$503,187))</f>
        <v/>
      </c>
      <c r="E1190">
        <f>IF(ISNUMBER(INDEX('Providers'!$K$4:$K$503,187)),TEXT(INDEX('Providers'!$K$4:$K$503,187),"yyyy-mm-dd"),"")</f>
        <v/>
      </c>
      <c r="F1190">
        <f>"Registration"</f>
        <v/>
      </c>
      <c r="G1190">
        <f>""</f>
        <v/>
      </c>
      <c r="H1190">
        <f>"High"</f>
        <v/>
      </c>
      <c r="I1190">
        <f>TRIM(IF(LEN(IF(LEN(INDEX('Providers'!$J$4:$J$503,187))=0,"",INDEX('Providers'!$J$4:$J$503,187)))=0,"","CSR no.: "&amp;IF(LEN(INDEX('Providers'!$J$4:$J$503,187))=0,"",INDEX('Providers'!$J$4:$J$503,187))&amp;". ")&amp;IF(LEN(IF(LEN(INDEX('Providers'!$C$4:$C$503,187))=0,"",INDEX('Providers'!$C$4:$C$503,187)))=0,"","NPI: "&amp;IF(LEN(INDEX('Providers'!$C$4:$C$503,187))=0,"",INDEX('Providers'!$C$4:$C$503,187))&amp;". "))</f>
        <v/>
      </c>
      <c r="J1190">
        <f>IF(LEN(INDEX('Providers'!$AJ$4:$AJ$503,187))=0,"",INDEX('Providers'!$AJ$4:$AJ$503,187))</f>
        <v/>
      </c>
      <c r="K1190">
        <f>IF(LEN(INDEX('Providers'!$AI$4:$AI$503,187))=0,"",INDEX('Providers'!$AI$4:$AI$503,187))</f>
        <v/>
      </c>
    </row>
    <row r="1191">
      <c r="A1191">
        <f>IF(AND(LEN('Providers'!A191)&gt;0,ISNUMBER('Providers'!K191)),1,0)</f>
        <v/>
      </c>
      <c r="B1191">
        <f>B1190+A1191</f>
        <v/>
      </c>
      <c r="C1191">
        <f>IF(1188&gt;$B$4503,"",MATCH(1188-0.5,$B$3:$B$4503,1))</f>
        <v/>
      </c>
      <c r="D1191">
        <f>"State CSR ("&amp;IF(LEN(INDEX('Providers'!$E$4:$E$503,188))=0,"",INDEX('Providers'!$E$4:$E$503,188))&amp;") – "&amp;IF(LEN(INDEX('Providers'!$A$4:$A$503,188))=0,"",INDEX('Providers'!$A$4:$A$503,188))</f>
        <v/>
      </c>
      <c r="E1191">
        <f>IF(ISNUMBER(INDEX('Providers'!$K$4:$K$503,188)),TEXT(INDEX('Providers'!$K$4:$K$503,188),"yyyy-mm-dd"),"")</f>
        <v/>
      </c>
      <c r="F1191">
        <f>"Registration"</f>
        <v/>
      </c>
      <c r="G1191">
        <f>""</f>
        <v/>
      </c>
      <c r="H1191">
        <f>"High"</f>
        <v/>
      </c>
      <c r="I1191">
        <f>TRIM(IF(LEN(IF(LEN(INDEX('Providers'!$J$4:$J$503,188))=0,"",INDEX('Providers'!$J$4:$J$503,188)))=0,"","CSR no.: "&amp;IF(LEN(INDEX('Providers'!$J$4:$J$503,188))=0,"",INDEX('Providers'!$J$4:$J$503,188))&amp;". ")&amp;IF(LEN(IF(LEN(INDEX('Providers'!$C$4:$C$503,188))=0,"",INDEX('Providers'!$C$4:$C$503,188)))=0,"","NPI: "&amp;IF(LEN(INDEX('Providers'!$C$4:$C$503,188))=0,"",INDEX('Providers'!$C$4:$C$503,188))&amp;". "))</f>
        <v/>
      </c>
      <c r="J1191">
        <f>IF(LEN(INDEX('Providers'!$AJ$4:$AJ$503,188))=0,"",INDEX('Providers'!$AJ$4:$AJ$503,188))</f>
        <v/>
      </c>
      <c r="K1191">
        <f>IF(LEN(INDEX('Providers'!$AI$4:$AI$503,188))=0,"",INDEX('Providers'!$AI$4:$AI$503,188))</f>
        <v/>
      </c>
    </row>
    <row r="1192">
      <c r="A1192">
        <f>IF(AND(LEN('Providers'!A192)&gt;0,ISNUMBER('Providers'!K192)),1,0)</f>
        <v/>
      </c>
      <c r="B1192">
        <f>B1191+A1192</f>
        <v/>
      </c>
      <c r="C1192">
        <f>IF(1189&gt;$B$4503,"",MATCH(1189-0.5,$B$3:$B$4503,1))</f>
        <v/>
      </c>
      <c r="D1192">
        <f>"State CSR ("&amp;IF(LEN(INDEX('Providers'!$E$4:$E$503,189))=0,"",INDEX('Providers'!$E$4:$E$503,189))&amp;") – "&amp;IF(LEN(INDEX('Providers'!$A$4:$A$503,189))=0,"",INDEX('Providers'!$A$4:$A$503,189))</f>
        <v/>
      </c>
      <c r="E1192">
        <f>IF(ISNUMBER(INDEX('Providers'!$K$4:$K$503,189)),TEXT(INDEX('Providers'!$K$4:$K$503,189),"yyyy-mm-dd"),"")</f>
        <v/>
      </c>
      <c r="F1192">
        <f>"Registration"</f>
        <v/>
      </c>
      <c r="G1192">
        <f>""</f>
        <v/>
      </c>
      <c r="H1192">
        <f>"High"</f>
        <v/>
      </c>
      <c r="I1192">
        <f>TRIM(IF(LEN(IF(LEN(INDEX('Providers'!$J$4:$J$503,189))=0,"",INDEX('Providers'!$J$4:$J$503,189)))=0,"","CSR no.: "&amp;IF(LEN(INDEX('Providers'!$J$4:$J$503,189))=0,"",INDEX('Providers'!$J$4:$J$503,189))&amp;". ")&amp;IF(LEN(IF(LEN(INDEX('Providers'!$C$4:$C$503,189))=0,"",INDEX('Providers'!$C$4:$C$503,189)))=0,"","NPI: "&amp;IF(LEN(INDEX('Providers'!$C$4:$C$503,189))=0,"",INDEX('Providers'!$C$4:$C$503,189))&amp;". "))</f>
        <v/>
      </c>
      <c r="J1192">
        <f>IF(LEN(INDEX('Providers'!$AJ$4:$AJ$503,189))=0,"",INDEX('Providers'!$AJ$4:$AJ$503,189))</f>
        <v/>
      </c>
      <c r="K1192">
        <f>IF(LEN(INDEX('Providers'!$AI$4:$AI$503,189))=0,"",INDEX('Providers'!$AI$4:$AI$503,189))</f>
        <v/>
      </c>
    </row>
    <row r="1193">
      <c r="A1193">
        <f>IF(AND(LEN('Providers'!A193)&gt;0,ISNUMBER('Providers'!K193)),1,0)</f>
        <v/>
      </c>
      <c r="B1193">
        <f>B1192+A1193</f>
        <v/>
      </c>
      <c r="C1193">
        <f>IF(1190&gt;$B$4503,"",MATCH(1190-0.5,$B$3:$B$4503,1))</f>
        <v/>
      </c>
      <c r="D1193">
        <f>"State CSR ("&amp;IF(LEN(INDEX('Providers'!$E$4:$E$503,190))=0,"",INDEX('Providers'!$E$4:$E$503,190))&amp;") – "&amp;IF(LEN(INDEX('Providers'!$A$4:$A$503,190))=0,"",INDEX('Providers'!$A$4:$A$503,190))</f>
        <v/>
      </c>
      <c r="E1193">
        <f>IF(ISNUMBER(INDEX('Providers'!$K$4:$K$503,190)),TEXT(INDEX('Providers'!$K$4:$K$503,190),"yyyy-mm-dd"),"")</f>
        <v/>
      </c>
      <c r="F1193">
        <f>"Registration"</f>
        <v/>
      </c>
      <c r="G1193">
        <f>""</f>
        <v/>
      </c>
      <c r="H1193">
        <f>"High"</f>
        <v/>
      </c>
      <c r="I1193">
        <f>TRIM(IF(LEN(IF(LEN(INDEX('Providers'!$J$4:$J$503,190))=0,"",INDEX('Providers'!$J$4:$J$503,190)))=0,"","CSR no.: "&amp;IF(LEN(INDEX('Providers'!$J$4:$J$503,190))=0,"",INDEX('Providers'!$J$4:$J$503,190))&amp;". ")&amp;IF(LEN(IF(LEN(INDEX('Providers'!$C$4:$C$503,190))=0,"",INDEX('Providers'!$C$4:$C$503,190)))=0,"","NPI: "&amp;IF(LEN(INDEX('Providers'!$C$4:$C$503,190))=0,"",INDEX('Providers'!$C$4:$C$503,190))&amp;". "))</f>
        <v/>
      </c>
      <c r="J1193">
        <f>IF(LEN(INDEX('Providers'!$AJ$4:$AJ$503,190))=0,"",INDEX('Providers'!$AJ$4:$AJ$503,190))</f>
        <v/>
      </c>
      <c r="K1193">
        <f>IF(LEN(INDEX('Providers'!$AI$4:$AI$503,190))=0,"",INDEX('Providers'!$AI$4:$AI$503,190))</f>
        <v/>
      </c>
    </row>
    <row r="1194">
      <c r="A1194">
        <f>IF(AND(LEN('Providers'!A194)&gt;0,ISNUMBER('Providers'!K194)),1,0)</f>
        <v/>
      </c>
      <c r="B1194">
        <f>B1193+A1194</f>
        <v/>
      </c>
      <c r="C1194">
        <f>IF(1191&gt;$B$4503,"",MATCH(1191-0.5,$B$3:$B$4503,1))</f>
        <v/>
      </c>
      <c r="D1194">
        <f>"State CSR ("&amp;IF(LEN(INDEX('Providers'!$E$4:$E$503,191))=0,"",INDEX('Providers'!$E$4:$E$503,191))&amp;") – "&amp;IF(LEN(INDEX('Providers'!$A$4:$A$503,191))=0,"",INDEX('Providers'!$A$4:$A$503,191))</f>
        <v/>
      </c>
      <c r="E1194">
        <f>IF(ISNUMBER(INDEX('Providers'!$K$4:$K$503,191)),TEXT(INDEX('Providers'!$K$4:$K$503,191),"yyyy-mm-dd"),"")</f>
        <v/>
      </c>
      <c r="F1194">
        <f>"Registration"</f>
        <v/>
      </c>
      <c r="G1194">
        <f>""</f>
        <v/>
      </c>
      <c r="H1194">
        <f>"High"</f>
        <v/>
      </c>
      <c r="I1194">
        <f>TRIM(IF(LEN(IF(LEN(INDEX('Providers'!$J$4:$J$503,191))=0,"",INDEX('Providers'!$J$4:$J$503,191)))=0,"","CSR no.: "&amp;IF(LEN(INDEX('Providers'!$J$4:$J$503,191))=0,"",INDEX('Providers'!$J$4:$J$503,191))&amp;". ")&amp;IF(LEN(IF(LEN(INDEX('Providers'!$C$4:$C$503,191))=0,"",INDEX('Providers'!$C$4:$C$503,191)))=0,"","NPI: "&amp;IF(LEN(INDEX('Providers'!$C$4:$C$503,191))=0,"",INDEX('Providers'!$C$4:$C$503,191))&amp;". "))</f>
        <v/>
      </c>
      <c r="J1194">
        <f>IF(LEN(INDEX('Providers'!$AJ$4:$AJ$503,191))=0,"",INDEX('Providers'!$AJ$4:$AJ$503,191))</f>
        <v/>
      </c>
      <c r="K1194">
        <f>IF(LEN(INDEX('Providers'!$AI$4:$AI$503,191))=0,"",INDEX('Providers'!$AI$4:$AI$503,191))</f>
        <v/>
      </c>
    </row>
    <row r="1195">
      <c r="A1195">
        <f>IF(AND(LEN('Providers'!A195)&gt;0,ISNUMBER('Providers'!K195)),1,0)</f>
        <v/>
      </c>
      <c r="B1195">
        <f>B1194+A1195</f>
        <v/>
      </c>
      <c r="C1195">
        <f>IF(1192&gt;$B$4503,"",MATCH(1192-0.5,$B$3:$B$4503,1))</f>
        <v/>
      </c>
      <c r="D1195">
        <f>"State CSR ("&amp;IF(LEN(INDEX('Providers'!$E$4:$E$503,192))=0,"",INDEX('Providers'!$E$4:$E$503,192))&amp;") – "&amp;IF(LEN(INDEX('Providers'!$A$4:$A$503,192))=0,"",INDEX('Providers'!$A$4:$A$503,192))</f>
        <v/>
      </c>
      <c r="E1195">
        <f>IF(ISNUMBER(INDEX('Providers'!$K$4:$K$503,192)),TEXT(INDEX('Providers'!$K$4:$K$503,192),"yyyy-mm-dd"),"")</f>
        <v/>
      </c>
      <c r="F1195">
        <f>"Registration"</f>
        <v/>
      </c>
      <c r="G1195">
        <f>""</f>
        <v/>
      </c>
      <c r="H1195">
        <f>"High"</f>
        <v/>
      </c>
      <c r="I1195">
        <f>TRIM(IF(LEN(IF(LEN(INDEX('Providers'!$J$4:$J$503,192))=0,"",INDEX('Providers'!$J$4:$J$503,192)))=0,"","CSR no.: "&amp;IF(LEN(INDEX('Providers'!$J$4:$J$503,192))=0,"",INDEX('Providers'!$J$4:$J$503,192))&amp;". ")&amp;IF(LEN(IF(LEN(INDEX('Providers'!$C$4:$C$503,192))=0,"",INDEX('Providers'!$C$4:$C$503,192)))=0,"","NPI: "&amp;IF(LEN(INDEX('Providers'!$C$4:$C$503,192))=0,"",INDEX('Providers'!$C$4:$C$503,192))&amp;". "))</f>
        <v/>
      </c>
      <c r="J1195">
        <f>IF(LEN(INDEX('Providers'!$AJ$4:$AJ$503,192))=0,"",INDEX('Providers'!$AJ$4:$AJ$503,192))</f>
        <v/>
      </c>
      <c r="K1195">
        <f>IF(LEN(INDEX('Providers'!$AI$4:$AI$503,192))=0,"",INDEX('Providers'!$AI$4:$AI$503,192))</f>
        <v/>
      </c>
    </row>
    <row r="1196">
      <c r="A1196">
        <f>IF(AND(LEN('Providers'!A196)&gt;0,ISNUMBER('Providers'!K196)),1,0)</f>
        <v/>
      </c>
      <c r="B1196">
        <f>B1195+A1196</f>
        <v/>
      </c>
      <c r="C1196">
        <f>IF(1193&gt;$B$4503,"",MATCH(1193-0.5,$B$3:$B$4503,1))</f>
        <v/>
      </c>
      <c r="D1196">
        <f>"State CSR ("&amp;IF(LEN(INDEX('Providers'!$E$4:$E$503,193))=0,"",INDEX('Providers'!$E$4:$E$503,193))&amp;") – "&amp;IF(LEN(INDEX('Providers'!$A$4:$A$503,193))=0,"",INDEX('Providers'!$A$4:$A$503,193))</f>
        <v/>
      </c>
      <c r="E1196">
        <f>IF(ISNUMBER(INDEX('Providers'!$K$4:$K$503,193)),TEXT(INDEX('Providers'!$K$4:$K$503,193),"yyyy-mm-dd"),"")</f>
        <v/>
      </c>
      <c r="F1196">
        <f>"Registration"</f>
        <v/>
      </c>
      <c r="G1196">
        <f>""</f>
        <v/>
      </c>
      <c r="H1196">
        <f>"High"</f>
        <v/>
      </c>
      <c r="I1196">
        <f>TRIM(IF(LEN(IF(LEN(INDEX('Providers'!$J$4:$J$503,193))=0,"",INDEX('Providers'!$J$4:$J$503,193)))=0,"","CSR no.: "&amp;IF(LEN(INDEX('Providers'!$J$4:$J$503,193))=0,"",INDEX('Providers'!$J$4:$J$503,193))&amp;". ")&amp;IF(LEN(IF(LEN(INDEX('Providers'!$C$4:$C$503,193))=0,"",INDEX('Providers'!$C$4:$C$503,193)))=0,"","NPI: "&amp;IF(LEN(INDEX('Providers'!$C$4:$C$503,193))=0,"",INDEX('Providers'!$C$4:$C$503,193))&amp;". "))</f>
        <v/>
      </c>
      <c r="J1196">
        <f>IF(LEN(INDEX('Providers'!$AJ$4:$AJ$503,193))=0,"",INDEX('Providers'!$AJ$4:$AJ$503,193))</f>
        <v/>
      </c>
      <c r="K1196">
        <f>IF(LEN(INDEX('Providers'!$AI$4:$AI$503,193))=0,"",INDEX('Providers'!$AI$4:$AI$503,193))</f>
        <v/>
      </c>
    </row>
    <row r="1197">
      <c r="A1197">
        <f>IF(AND(LEN('Providers'!A197)&gt;0,ISNUMBER('Providers'!K197)),1,0)</f>
        <v/>
      </c>
      <c r="B1197">
        <f>B1196+A1197</f>
        <v/>
      </c>
      <c r="C1197">
        <f>IF(1194&gt;$B$4503,"",MATCH(1194-0.5,$B$3:$B$4503,1))</f>
        <v/>
      </c>
      <c r="D1197">
        <f>"State CSR ("&amp;IF(LEN(INDEX('Providers'!$E$4:$E$503,194))=0,"",INDEX('Providers'!$E$4:$E$503,194))&amp;") – "&amp;IF(LEN(INDEX('Providers'!$A$4:$A$503,194))=0,"",INDEX('Providers'!$A$4:$A$503,194))</f>
        <v/>
      </c>
      <c r="E1197">
        <f>IF(ISNUMBER(INDEX('Providers'!$K$4:$K$503,194)),TEXT(INDEX('Providers'!$K$4:$K$503,194),"yyyy-mm-dd"),"")</f>
        <v/>
      </c>
      <c r="F1197">
        <f>"Registration"</f>
        <v/>
      </c>
      <c r="G1197">
        <f>""</f>
        <v/>
      </c>
      <c r="H1197">
        <f>"High"</f>
        <v/>
      </c>
      <c r="I1197">
        <f>TRIM(IF(LEN(IF(LEN(INDEX('Providers'!$J$4:$J$503,194))=0,"",INDEX('Providers'!$J$4:$J$503,194)))=0,"","CSR no.: "&amp;IF(LEN(INDEX('Providers'!$J$4:$J$503,194))=0,"",INDEX('Providers'!$J$4:$J$503,194))&amp;". ")&amp;IF(LEN(IF(LEN(INDEX('Providers'!$C$4:$C$503,194))=0,"",INDEX('Providers'!$C$4:$C$503,194)))=0,"","NPI: "&amp;IF(LEN(INDEX('Providers'!$C$4:$C$503,194))=0,"",INDEX('Providers'!$C$4:$C$503,194))&amp;". "))</f>
        <v/>
      </c>
      <c r="J1197">
        <f>IF(LEN(INDEX('Providers'!$AJ$4:$AJ$503,194))=0,"",INDEX('Providers'!$AJ$4:$AJ$503,194))</f>
        <v/>
      </c>
      <c r="K1197">
        <f>IF(LEN(INDEX('Providers'!$AI$4:$AI$503,194))=0,"",INDEX('Providers'!$AI$4:$AI$503,194))</f>
        <v/>
      </c>
    </row>
    <row r="1198">
      <c r="A1198">
        <f>IF(AND(LEN('Providers'!A198)&gt;0,ISNUMBER('Providers'!K198)),1,0)</f>
        <v/>
      </c>
      <c r="B1198">
        <f>B1197+A1198</f>
        <v/>
      </c>
      <c r="C1198">
        <f>IF(1195&gt;$B$4503,"",MATCH(1195-0.5,$B$3:$B$4503,1))</f>
        <v/>
      </c>
      <c r="D1198">
        <f>"State CSR ("&amp;IF(LEN(INDEX('Providers'!$E$4:$E$503,195))=0,"",INDEX('Providers'!$E$4:$E$503,195))&amp;") – "&amp;IF(LEN(INDEX('Providers'!$A$4:$A$503,195))=0,"",INDEX('Providers'!$A$4:$A$503,195))</f>
        <v/>
      </c>
      <c r="E1198">
        <f>IF(ISNUMBER(INDEX('Providers'!$K$4:$K$503,195)),TEXT(INDEX('Providers'!$K$4:$K$503,195),"yyyy-mm-dd"),"")</f>
        <v/>
      </c>
      <c r="F1198">
        <f>"Registration"</f>
        <v/>
      </c>
      <c r="G1198">
        <f>""</f>
        <v/>
      </c>
      <c r="H1198">
        <f>"High"</f>
        <v/>
      </c>
      <c r="I1198">
        <f>TRIM(IF(LEN(IF(LEN(INDEX('Providers'!$J$4:$J$503,195))=0,"",INDEX('Providers'!$J$4:$J$503,195)))=0,"","CSR no.: "&amp;IF(LEN(INDEX('Providers'!$J$4:$J$503,195))=0,"",INDEX('Providers'!$J$4:$J$503,195))&amp;". ")&amp;IF(LEN(IF(LEN(INDEX('Providers'!$C$4:$C$503,195))=0,"",INDEX('Providers'!$C$4:$C$503,195)))=0,"","NPI: "&amp;IF(LEN(INDEX('Providers'!$C$4:$C$503,195))=0,"",INDEX('Providers'!$C$4:$C$503,195))&amp;". "))</f>
        <v/>
      </c>
      <c r="J1198">
        <f>IF(LEN(INDEX('Providers'!$AJ$4:$AJ$503,195))=0,"",INDEX('Providers'!$AJ$4:$AJ$503,195))</f>
        <v/>
      </c>
      <c r="K1198">
        <f>IF(LEN(INDEX('Providers'!$AI$4:$AI$503,195))=0,"",INDEX('Providers'!$AI$4:$AI$503,195))</f>
        <v/>
      </c>
    </row>
    <row r="1199">
      <c r="A1199">
        <f>IF(AND(LEN('Providers'!A199)&gt;0,ISNUMBER('Providers'!K199)),1,0)</f>
        <v/>
      </c>
      <c r="B1199">
        <f>B1198+A1199</f>
        <v/>
      </c>
      <c r="C1199">
        <f>IF(1196&gt;$B$4503,"",MATCH(1196-0.5,$B$3:$B$4503,1))</f>
        <v/>
      </c>
      <c r="D1199">
        <f>"State CSR ("&amp;IF(LEN(INDEX('Providers'!$E$4:$E$503,196))=0,"",INDEX('Providers'!$E$4:$E$503,196))&amp;") – "&amp;IF(LEN(INDEX('Providers'!$A$4:$A$503,196))=0,"",INDEX('Providers'!$A$4:$A$503,196))</f>
        <v/>
      </c>
      <c r="E1199">
        <f>IF(ISNUMBER(INDEX('Providers'!$K$4:$K$503,196)),TEXT(INDEX('Providers'!$K$4:$K$503,196),"yyyy-mm-dd"),"")</f>
        <v/>
      </c>
      <c r="F1199">
        <f>"Registration"</f>
        <v/>
      </c>
      <c r="G1199">
        <f>""</f>
        <v/>
      </c>
      <c r="H1199">
        <f>"High"</f>
        <v/>
      </c>
      <c r="I1199">
        <f>TRIM(IF(LEN(IF(LEN(INDEX('Providers'!$J$4:$J$503,196))=0,"",INDEX('Providers'!$J$4:$J$503,196)))=0,"","CSR no.: "&amp;IF(LEN(INDEX('Providers'!$J$4:$J$503,196))=0,"",INDEX('Providers'!$J$4:$J$503,196))&amp;". ")&amp;IF(LEN(IF(LEN(INDEX('Providers'!$C$4:$C$503,196))=0,"",INDEX('Providers'!$C$4:$C$503,196)))=0,"","NPI: "&amp;IF(LEN(INDEX('Providers'!$C$4:$C$503,196))=0,"",INDEX('Providers'!$C$4:$C$503,196))&amp;". "))</f>
        <v/>
      </c>
      <c r="J1199">
        <f>IF(LEN(INDEX('Providers'!$AJ$4:$AJ$503,196))=0,"",INDEX('Providers'!$AJ$4:$AJ$503,196))</f>
        <v/>
      </c>
      <c r="K1199">
        <f>IF(LEN(INDEX('Providers'!$AI$4:$AI$503,196))=0,"",INDEX('Providers'!$AI$4:$AI$503,196))</f>
        <v/>
      </c>
    </row>
    <row r="1200">
      <c r="A1200">
        <f>IF(AND(LEN('Providers'!A200)&gt;0,ISNUMBER('Providers'!K200)),1,0)</f>
        <v/>
      </c>
      <c r="B1200">
        <f>B1199+A1200</f>
        <v/>
      </c>
      <c r="C1200">
        <f>IF(1197&gt;$B$4503,"",MATCH(1197-0.5,$B$3:$B$4503,1))</f>
        <v/>
      </c>
      <c r="D1200">
        <f>"State CSR ("&amp;IF(LEN(INDEX('Providers'!$E$4:$E$503,197))=0,"",INDEX('Providers'!$E$4:$E$503,197))&amp;") – "&amp;IF(LEN(INDEX('Providers'!$A$4:$A$503,197))=0,"",INDEX('Providers'!$A$4:$A$503,197))</f>
        <v/>
      </c>
      <c r="E1200">
        <f>IF(ISNUMBER(INDEX('Providers'!$K$4:$K$503,197)),TEXT(INDEX('Providers'!$K$4:$K$503,197),"yyyy-mm-dd"),"")</f>
        <v/>
      </c>
      <c r="F1200">
        <f>"Registration"</f>
        <v/>
      </c>
      <c r="G1200">
        <f>""</f>
        <v/>
      </c>
      <c r="H1200">
        <f>"High"</f>
        <v/>
      </c>
      <c r="I1200">
        <f>TRIM(IF(LEN(IF(LEN(INDEX('Providers'!$J$4:$J$503,197))=0,"",INDEX('Providers'!$J$4:$J$503,197)))=0,"","CSR no.: "&amp;IF(LEN(INDEX('Providers'!$J$4:$J$503,197))=0,"",INDEX('Providers'!$J$4:$J$503,197))&amp;". ")&amp;IF(LEN(IF(LEN(INDEX('Providers'!$C$4:$C$503,197))=0,"",INDEX('Providers'!$C$4:$C$503,197)))=0,"","NPI: "&amp;IF(LEN(INDEX('Providers'!$C$4:$C$503,197))=0,"",INDEX('Providers'!$C$4:$C$503,197))&amp;". "))</f>
        <v/>
      </c>
      <c r="J1200">
        <f>IF(LEN(INDEX('Providers'!$AJ$4:$AJ$503,197))=0,"",INDEX('Providers'!$AJ$4:$AJ$503,197))</f>
        <v/>
      </c>
      <c r="K1200">
        <f>IF(LEN(INDEX('Providers'!$AI$4:$AI$503,197))=0,"",INDEX('Providers'!$AI$4:$AI$503,197))</f>
        <v/>
      </c>
    </row>
    <row r="1201">
      <c r="A1201">
        <f>IF(AND(LEN('Providers'!A201)&gt;0,ISNUMBER('Providers'!K201)),1,0)</f>
        <v/>
      </c>
      <c r="B1201">
        <f>B1200+A1201</f>
        <v/>
      </c>
      <c r="C1201">
        <f>IF(1198&gt;$B$4503,"",MATCH(1198-0.5,$B$3:$B$4503,1))</f>
        <v/>
      </c>
      <c r="D1201">
        <f>"State CSR ("&amp;IF(LEN(INDEX('Providers'!$E$4:$E$503,198))=0,"",INDEX('Providers'!$E$4:$E$503,198))&amp;") – "&amp;IF(LEN(INDEX('Providers'!$A$4:$A$503,198))=0,"",INDEX('Providers'!$A$4:$A$503,198))</f>
        <v/>
      </c>
      <c r="E1201">
        <f>IF(ISNUMBER(INDEX('Providers'!$K$4:$K$503,198)),TEXT(INDEX('Providers'!$K$4:$K$503,198),"yyyy-mm-dd"),"")</f>
        <v/>
      </c>
      <c r="F1201">
        <f>"Registration"</f>
        <v/>
      </c>
      <c r="G1201">
        <f>""</f>
        <v/>
      </c>
      <c r="H1201">
        <f>"High"</f>
        <v/>
      </c>
      <c r="I1201">
        <f>TRIM(IF(LEN(IF(LEN(INDEX('Providers'!$J$4:$J$503,198))=0,"",INDEX('Providers'!$J$4:$J$503,198)))=0,"","CSR no.: "&amp;IF(LEN(INDEX('Providers'!$J$4:$J$503,198))=0,"",INDEX('Providers'!$J$4:$J$503,198))&amp;". ")&amp;IF(LEN(IF(LEN(INDEX('Providers'!$C$4:$C$503,198))=0,"",INDEX('Providers'!$C$4:$C$503,198)))=0,"","NPI: "&amp;IF(LEN(INDEX('Providers'!$C$4:$C$503,198))=0,"",INDEX('Providers'!$C$4:$C$503,198))&amp;". "))</f>
        <v/>
      </c>
      <c r="J1201">
        <f>IF(LEN(INDEX('Providers'!$AJ$4:$AJ$503,198))=0,"",INDEX('Providers'!$AJ$4:$AJ$503,198))</f>
        <v/>
      </c>
      <c r="K1201">
        <f>IF(LEN(INDEX('Providers'!$AI$4:$AI$503,198))=0,"",INDEX('Providers'!$AI$4:$AI$503,198))</f>
        <v/>
      </c>
    </row>
    <row r="1202">
      <c r="A1202">
        <f>IF(AND(LEN('Providers'!A202)&gt;0,ISNUMBER('Providers'!K202)),1,0)</f>
        <v/>
      </c>
      <c r="B1202">
        <f>B1201+A1202</f>
        <v/>
      </c>
      <c r="C1202">
        <f>IF(1199&gt;$B$4503,"",MATCH(1199-0.5,$B$3:$B$4503,1))</f>
        <v/>
      </c>
      <c r="D1202">
        <f>"State CSR ("&amp;IF(LEN(INDEX('Providers'!$E$4:$E$503,199))=0,"",INDEX('Providers'!$E$4:$E$503,199))&amp;") – "&amp;IF(LEN(INDEX('Providers'!$A$4:$A$503,199))=0,"",INDEX('Providers'!$A$4:$A$503,199))</f>
        <v/>
      </c>
      <c r="E1202">
        <f>IF(ISNUMBER(INDEX('Providers'!$K$4:$K$503,199)),TEXT(INDEX('Providers'!$K$4:$K$503,199),"yyyy-mm-dd"),"")</f>
        <v/>
      </c>
      <c r="F1202">
        <f>"Registration"</f>
        <v/>
      </c>
      <c r="G1202">
        <f>""</f>
        <v/>
      </c>
      <c r="H1202">
        <f>"High"</f>
        <v/>
      </c>
      <c r="I1202">
        <f>TRIM(IF(LEN(IF(LEN(INDEX('Providers'!$J$4:$J$503,199))=0,"",INDEX('Providers'!$J$4:$J$503,199)))=0,"","CSR no.: "&amp;IF(LEN(INDEX('Providers'!$J$4:$J$503,199))=0,"",INDEX('Providers'!$J$4:$J$503,199))&amp;". ")&amp;IF(LEN(IF(LEN(INDEX('Providers'!$C$4:$C$503,199))=0,"",INDEX('Providers'!$C$4:$C$503,199)))=0,"","NPI: "&amp;IF(LEN(INDEX('Providers'!$C$4:$C$503,199))=0,"",INDEX('Providers'!$C$4:$C$503,199))&amp;". "))</f>
        <v/>
      </c>
      <c r="J1202">
        <f>IF(LEN(INDEX('Providers'!$AJ$4:$AJ$503,199))=0,"",INDEX('Providers'!$AJ$4:$AJ$503,199))</f>
        <v/>
      </c>
      <c r="K1202">
        <f>IF(LEN(INDEX('Providers'!$AI$4:$AI$503,199))=0,"",INDEX('Providers'!$AI$4:$AI$503,199))</f>
        <v/>
      </c>
    </row>
    <row r="1203">
      <c r="A1203">
        <f>IF(AND(LEN('Providers'!A203)&gt;0,ISNUMBER('Providers'!K203)),1,0)</f>
        <v/>
      </c>
      <c r="B1203">
        <f>B1202+A1203</f>
        <v/>
      </c>
      <c r="C1203">
        <f>IF(1200&gt;$B$4503,"",MATCH(1200-0.5,$B$3:$B$4503,1))</f>
        <v/>
      </c>
      <c r="D1203">
        <f>"State CSR ("&amp;IF(LEN(INDEX('Providers'!$E$4:$E$503,200))=0,"",INDEX('Providers'!$E$4:$E$503,200))&amp;") – "&amp;IF(LEN(INDEX('Providers'!$A$4:$A$503,200))=0,"",INDEX('Providers'!$A$4:$A$503,200))</f>
        <v/>
      </c>
      <c r="E1203">
        <f>IF(ISNUMBER(INDEX('Providers'!$K$4:$K$503,200)),TEXT(INDEX('Providers'!$K$4:$K$503,200),"yyyy-mm-dd"),"")</f>
        <v/>
      </c>
      <c r="F1203">
        <f>"Registration"</f>
        <v/>
      </c>
      <c r="G1203">
        <f>""</f>
        <v/>
      </c>
      <c r="H1203">
        <f>"High"</f>
        <v/>
      </c>
      <c r="I1203">
        <f>TRIM(IF(LEN(IF(LEN(INDEX('Providers'!$J$4:$J$503,200))=0,"",INDEX('Providers'!$J$4:$J$503,200)))=0,"","CSR no.: "&amp;IF(LEN(INDEX('Providers'!$J$4:$J$503,200))=0,"",INDEX('Providers'!$J$4:$J$503,200))&amp;". ")&amp;IF(LEN(IF(LEN(INDEX('Providers'!$C$4:$C$503,200))=0,"",INDEX('Providers'!$C$4:$C$503,200)))=0,"","NPI: "&amp;IF(LEN(INDEX('Providers'!$C$4:$C$503,200))=0,"",INDEX('Providers'!$C$4:$C$503,200))&amp;". "))</f>
        <v/>
      </c>
      <c r="J1203">
        <f>IF(LEN(INDEX('Providers'!$AJ$4:$AJ$503,200))=0,"",INDEX('Providers'!$AJ$4:$AJ$503,200))</f>
        <v/>
      </c>
      <c r="K1203">
        <f>IF(LEN(INDEX('Providers'!$AI$4:$AI$503,200))=0,"",INDEX('Providers'!$AI$4:$AI$503,200))</f>
        <v/>
      </c>
    </row>
    <row r="1204">
      <c r="A1204">
        <f>IF(AND(LEN('Providers'!A204)&gt;0,ISNUMBER('Providers'!K204)),1,0)</f>
        <v/>
      </c>
      <c r="B1204">
        <f>B1203+A1204</f>
        <v/>
      </c>
      <c r="C1204">
        <f>IF(1201&gt;$B$4503,"",MATCH(1201-0.5,$B$3:$B$4503,1))</f>
        <v/>
      </c>
      <c r="D1204">
        <f>"State CSR ("&amp;IF(LEN(INDEX('Providers'!$E$4:$E$503,201))=0,"",INDEX('Providers'!$E$4:$E$503,201))&amp;") – "&amp;IF(LEN(INDEX('Providers'!$A$4:$A$503,201))=0,"",INDEX('Providers'!$A$4:$A$503,201))</f>
        <v/>
      </c>
      <c r="E1204">
        <f>IF(ISNUMBER(INDEX('Providers'!$K$4:$K$503,201)),TEXT(INDEX('Providers'!$K$4:$K$503,201),"yyyy-mm-dd"),"")</f>
        <v/>
      </c>
      <c r="F1204">
        <f>"Registration"</f>
        <v/>
      </c>
      <c r="G1204">
        <f>""</f>
        <v/>
      </c>
      <c r="H1204">
        <f>"High"</f>
        <v/>
      </c>
      <c r="I1204">
        <f>TRIM(IF(LEN(IF(LEN(INDEX('Providers'!$J$4:$J$503,201))=0,"",INDEX('Providers'!$J$4:$J$503,201)))=0,"","CSR no.: "&amp;IF(LEN(INDEX('Providers'!$J$4:$J$503,201))=0,"",INDEX('Providers'!$J$4:$J$503,201))&amp;". ")&amp;IF(LEN(IF(LEN(INDEX('Providers'!$C$4:$C$503,201))=0,"",INDEX('Providers'!$C$4:$C$503,201)))=0,"","NPI: "&amp;IF(LEN(INDEX('Providers'!$C$4:$C$503,201))=0,"",INDEX('Providers'!$C$4:$C$503,201))&amp;". "))</f>
        <v/>
      </c>
      <c r="J1204">
        <f>IF(LEN(INDEX('Providers'!$AJ$4:$AJ$503,201))=0,"",INDEX('Providers'!$AJ$4:$AJ$503,201))</f>
        <v/>
      </c>
      <c r="K1204">
        <f>IF(LEN(INDEX('Providers'!$AI$4:$AI$503,201))=0,"",INDEX('Providers'!$AI$4:$AI$503,201))</f>
        <v/>
      </c>
    </row>
    <row r="1205">
      <c r="A1205">
        <f>IF(AND(LEN('Providers'!A205)&gt;0,ISNUMBER('Providers'!K205)),1,0)</f>
        <v/>
      </c>
      <c r="B1205">
        <f>B1204+A1205</f>
        <v/>
      </c>
      <c r="C1205">
        <f>IF(1202&gt;$B$4503,"",MATCH(1202-0.5,$B$3:$B$4503,1))</f>
        <v/>
      </c>
      <c r="D1205">
        <f>"State CSR ("&amp;IF(LEN(INDEX('Providers'!$E$4:$E$503,202))=0,"",INDEX('Providers'!$E$4:$E$503,202))&amp;") – "&amp;IF(LEN(INDEX('Providers'!$A$4:$A$503,202))=0,"",INDEX('Providers'!$A$4:$A$503,202))</f>
        <v/>
      </c>
      <c r="E1205">
        <f>IF(ISNUMBER(INDEX('Providers'!$K$4:$K$503,202)),TEXT(INDEX('Providers'!$K$4:$K$503,202),"yyyy-mm-dd"),"")</f>
        <v/>
      </c>
      <c r="F1205">
        <f>"Registration"</f>
        <v/>
      </c>
      <c r="G1205">
        <f>""</f>
        <v/>
      </c>
      <c r="H1205">
        <f>"High"</f>
        <v/>
      </c>
      <c r="I1205">
        <f>TRIM(IF(LEN(IF(LEN(INDEX('Providers'!$J$4:$J$503,202))=0,"",INDEX('Providers'!$J$4:$J$503,202)))=0,"","CSR no.: "&amp;IF(LEN(INDEX('Providers'!$J$4:$J$503,202))=0,"",INDEX('Providers'!$J$4:$J$503,202))&amp;". ")&amp;IF(LEN(IF(LEN(INDEX('Providers'!$C$4:$C$503,202))=0,"",INDEX('Providers'!$C$4:$C$503,202)))=0,"","NPI: "&amp;IF(LEN(INDEX('Providers'!$C$4:$C$503,202))=0,"",INDEX('Providers'!$C$4:$C$503,202))&amp;". "))</f>
        <v/>
      </c>
      <c r="J1205">
        <f>IF(LEN(INDEX('Providers'!$AJ$4:$AJ$503,202))=0,"",INDEX('Providers'!$AJ$4:$AJ$503,202))</f>
        <v/>
      </c>
      <c r="K1205">
        <f>IF(LEN(INDEX('Providers'!$AI$4:$AI$503,202))=0,"",INDEX('Providers'!$AI$4:$AI$503,202))</f>
        <v/>
      </c>
    </row>
    <row r="1206">
      <c r="A1206">
        <f>IF(AND(LEN('Providers'!A206)&gt;0,ISNUMBER('Providers'!K206)),1,0)</f>
        <v/>
      </c>
      <c r="B1206">
        <f>B1205+A1206</f>
        <v/>
      </c>
      <c r="C1206">
        <f>IF(1203&gt;$B$4503,"",MATCH(1203-0.5,$B$3:$B$4503,1))</f>
        <v/>
      </c>
      <c r="D1206">
        <f>"State CSR ("&amp;IF(LEN(INDEX('Providers'!$E$4:$E$503,203))=0,"",INDEX('Providers'!$E$4:$E$503,203))&amp;") – "&amp;IF(LEN(INDEX('Providers'!$A$4:$A$503,203))=0,"",INDEX('Providers'!$A$4:$A$503,203))</f>
        <v/>
      </c>
      <c r="E1206">
        <f>IF(ISNUMBER(INDEX('Providers'!$K$4:$K$503,203)),TEXT(INDEX('Providers'!$K$4:$K$503,203),"yyyy-mm-dd"),"")</f>
        <v/>
      </c>
      <c r="F1206">
        <f>"Registration"</f>
        <v/>
      </c>
      <c r="G1206">
        <f>""</f>
        <v/>
      </c>
      <c r="H1206">
        <f>"High"</f>
        <v/>
      </c>
      <c r="I1206">
        <f>TRIM(IF(LEN(IF(LEN(INDEX('Providers'!$J$4:$J$503,203))=0,"",INDEX('Providers'!$J$4:$J$503,203)))=0,"","CSR no.: "&amp;IF(LEN(INDEX('Providers'!$J$4:$J$503,203))=0,"",INDEX('Providers'!$J$4:$J$503,203))&amp;". ")&amp;IF(LEN(IF(LEN(INDEX('Providers'!$C$4:$C$503,203))=0,"",INDEX('Providers'!$C$4:$C$503,203)))=0,"","NPI: "&amp;IF(LEN(INDEX('Providers'!$C$4:$C$503,203))=0,"",INDEX('Providers'!$C$4:$C$503,203))&amp;". "))</f>
        <v/>
      </c>
      <c r="J1206">
        <f>IF(LEN(INDEX('Providers'!$AJ$4:$AJ$503,203))=0,"",INDEX('Providers'!$AJ$4:$AJ$503,203))</f>
        <v/>
      </c>
      <c r="K1206">
        <f>IF(LEN(INDEX('Providers'!$AI$4:$AI$503,203))=0,"",INDEX('Providers'!$AI$4:$AI$503,203))</f>
        <v/>
      </c>
    </row>
    <row r="1207">
      <c r="A1207">
        <f>IF(AND(LEN('Providers'!A207)&gt;0,ISNUMBER('Providers'!K207)),1,0)</f>
        <v/>
      </c>
      <c r="B1207">
        <f>B1206+A1207</f>
        <v/>
      </c>
      <c r="C1207">
        <f>IF(1204&gt;$B$4503,"",MATCH(1204-0.5,$B$3:$B$4503,1))</f>
        <v/>
      </c>
      <c r="D1207">
        <f>"State CSR ("&amp;IF(LEN(INDEX('Providers'!$E$4:$E$503,204))=0,"",INDEX('Providers'!$E$4:$E$503,204))&amp;") – "&amp;IF(LEN(INDEX('Providers'!$A$4:$A$503,204))=0,"",INDEX('Providers'!$A$4:$A$503,204))</f>
        <v/>
      </c>
      <c r="E1207">
        <f>IF(ISNUMBER(INDEX('Providers'!$K$4:$K$503,204)),TEXT(INDEX('Providers'!$K$4:$K$503,204),"yyyy-mm-dd"),"")</f>
        <v/>
      </c>
      <c r="F1207">
        <f>"Registration"</f>
        <v/>
      </c>
      <c r="G1207">
        <f>""</f>
        <v/>
      </c>
      <c r="H1207">
        <f>"High"</f>
        <v/>
      </c>
      <c r="I1207">
        <f>TRIM(IF(LEN(IF(LEN(INDEX('Providers'!$J$4:$J$503,204))=0,"",INDEX('Providers'!$J$4:$J$503,204)))=0,"","CSR no.: "&amp;IF(LEN(INDEX('Providers'!$J$4:$J$503,204))=0,"",INDEX('Providers'!$J$4:$J$503,204))&amp;". ")&amp;IF(LEN(IF(LEN(INDEX('Providers'!$C$4:$C$503,204))=0,"",INDEX('Providers'!$C$4:$C$503,204)))=0,"","NPI: "&amp;IF(LEN(INDEX('Providers'!$C$4:$C$503,204))=0,"",INDEX('Providers'!$C$4:$C$503,204))&amp;". "))</f>
        <v/>
      </c>
      <c r="J1207">
        <f>IF(LEN(INDEX('Providers'!$AJ$4:$AJ$503,204))=0,"",INDEX('Providers'!$AJ$4:$AJ$503,204))</f>
        <v/>
      </c>
      <c r="K1207">
        <f>IF(LEN(INDEX('Providers'!$AI$4:$AI$503,204))=0,"",INDEX('Providers'!$AI$4:$AI$503,204))</f>
        <v/>
      </c>
    </row>
    <row r="1208">
      <c r="A1208">
        <f>IF(AND(LEN('Providers'!A208)&gt;0,ISNUMBER('Providers'!K208)),1,0)</f>
        <v/>
      </c>
      <c r="B1208">
        <f>B1207+A1208</f>
        <v/>
      </c>
      <c r="C1208">
        <f>IF(1205&gt;$B$4503,"",MATCH(1205-0.5,$B$3:$B$4503,1))</f>
        <v/>
      </c>
      <c r="D1208">
        <f>"State CSR ("&amp;IF(LEN(INDEX('Providers'!$E$4:$E$503,205))=0,"",INDEX('Providers'!$E$4:$E$503,205))&amp;") – "&amp;IF(LEN(INDEX('Providers'!$A$4:$A$503,205))=0,"",INDEX('Providers'!$A$4:$A$503,205))</f>
        <v/>
      </c>
      <c r="E1208">
        <f>IF(ISNUMBER(INDEX('Providers'!$K$4:$K$503,205)),TEXT(INDEX('Providers'!$K$4:$K$503,205),"yyyy-mm-dd"),"")</f>
        <v/>
      </c>
      <c r="F1208">
        <f>"Registration"</f>
        <v/>
      </c>
      <c r="G1208">
        <f>""</f>
        <v/>
      </c>
      <c r="H1208">
        <f>"High"</f>
        <v/>
      </c>
      <c r="I1208">
        <f>TRIM(IF(LEN(IF(LEN(INDEX('Providers'!$J$4:$J$503,205))=0,"",INDEX('Providers'!$J$4:$J$503,205)))=0,"","CSR no.: "&amp;IF(LEN(INDEX('Providers'!$J$4:$J$503,205))=0,"",INDEX('Providers'!$J$4:$J$503,205))&amp;". ")&amp;IF(LEN(IF(LEN(INDEX('Providers'!$C$4:$C$503,205))=0,"",INDEX('Providers'!$C$4:$C$503,205)))=0,"","NPI: "&amp;IF(LEN(INDEX('Providers'!$C$4:$C$503,205))=0,"",INDEX('Providers'!$C$4:$C$503,205))&amp;". "))</f>
        <v/>
      </c>
      <c r="J1208">
        <f>IF(LEN(INDEX('Providers'!$AJ$4:$AJ$503,205))=0,"",INDEX('Providers'!$AJ$4:$AJ$503,205))</f>
        <v/>
      </c>
      <c r="K1208">
        <f>IF(LEN(INDEX('Providers'!$AI$4:$AI$503,205))=0,"",INDEX('Providers'!$AI$4:$AI$503,205))</f>
        <v/>
      </c>
    </row>
    <row r="1209">
      <c r="A1209">
        <f>IF(AND(LEN('Providers'!A209)&gt;0,ISNUMBER('Providers'!K209)),1,0)</f>
        <v/>
      </c>
      <c r="B1209">
        <f>B1208+A1209</f>
        <v/>
      </c>
      <c r="C1209">
        <f>IF(1206&gt;$B$4503,"",MATCH(1206-0.5,$B$3:$B$4503,1))</f>
        <v/>
      </c>
      <c r="D1209">
        <f>"State CSR ("&amp;IF(LEN(INDEX('Providers'!$E$4:$E$503,206))=0,"",INDEX('Providers'!$E$4:$E$503,206))&amp;") – "&amp;IF(LEN(INDEX('Providers'!$A$4:$A$503,206))=0,"",INDEX('Providers'!$A$4:$A$503,206))</f>
        <v/>
      </c>
      <c r="E1209">
        <f>IF(ISNUMBER(INDEX('Providers'!$K$4:$K$503,206)),TEXT(INDEX('Providers'!$K$4:$K$503,206),"yyyy-mm-dd"),"")</f>
        <v/>
      </c>
      <c r="F1209">
        <f>"Registration"</f>
        <v/>
      </c>
      <c r="G1209">
        <f>""</f>
        <v/>
      </c>
      <c r="H1209">
        <f>"High"</f>
        <v/>
      </c>
      <c r="I1209">
        <f>TRIM(IF(LEN(IF(LEN(INDEX('Providers'!$J$4:$J$503,206))=0,"",INDEX('Providers'!$J$4:$J$503,206)))=0,"","CSR no.: "&amp;IF(LEN(INDEX('Providers'!$J$4:$J$503,206))=0,"",INDEX('Providers'!$J$4:$J$503,206))&amp;". ")&amp;IF(LEN(IF(LEN(INDEX('Providers'!$C$4:$C$503,206))=0,"",INDEX('Providers'!$C$4:$C$503,206)))=0,"","NPI: "&amp;IF(LEN(INDEX('Providers'!$C$4:$C$503,206))=0,"",INDEX('Providers'!$C$4:$C$503,206))&amp;". "))</f>
        <v/>
      </c>
      <c r="J1209">
        <f>IF(LEN(INDEX('Providers'!$AJ$4:$AJ$503,206))=0,"",INDEX('Providers'!$AJ$4:$AJ$503,206))</f>
        <v/>
      </c>
      <c r="K1209">
        <f>IF(LEN(INDEX('Providers'!$AI$4:$AI$503,206))=0,"",INDEX('Providers'!$AI$4:$AI$503,206))</f>
        <v/>
      </c>
    </row>
    <row r="1210">
      <c r="A1210">
        <f>IF(AND(LEN('Providers'!A210)&gt;0,ISNUMBER('Providers'!K210)),1,0)</f>
        <v/>
      </c>
      <c r="B1210">
        <f>B1209+A1210</f>
        <v/>
      </c>
      <c r="C1210">
        <f>IF(1207&gt;$B$4503,"",MATCH(1207-0.5,$B$3:$B$4503,1))</f>
        <v/>
      </c>
      <c r="D1210">
        <f>"State CSR ("&amp;IF(LEN(INDEX('Providers'!$E$4:$E$503,207))=0,"",INDEX('Providers'!$E$4:$E$503,207))&amp;") – "&amp;IF(LEN(INDEX('Providers'!$A$4:$A$503,207))=0,"",INDEX('Providers'!$A$4:$A$503,207))</f>
        <v/>
      </c>
      <c r="E1210">
        <f>IF(ISNUMBER(INDEX('Providers'!$K$4:$K$503,207)),TEXT(INDEX('Providers'!$K$4:$K$503,207),"yyyy-mm-dd"),"")</f>
        <v/>
      </c>
      <c r="F1210">
        <f>"Registration"</f>
        <v/>
      </c>
      <c r="G1210">
        <f>""</f>
        <v/>
      </c>
      <c r="H1210">
        <f>"High"</f>
        <v/>
      </c>
      <c r="I1210">
        <f>TRIM(IF(LEN(IF(LEN(INDEX('Providers'!$J$4:$J$503,207))=0,"",INDEX('Providers'!$J$4:$J$503,207)))=0,"","CSR no.: "&amp;IF(LEN(INDEX('Providers'!$J$4:$J$503,207))=0,"",INDEX('Providers'!$J$4:$J$503,207))&amp;". ")&amp;IF(LEN(IF(LEN(INDEX('Providers'!$C$4:$C$503,207))=0,"",INDEX('Providers'!$C$4:$C$503,207)))=0,"","NPI: "&amp;IF(LEN(INDEX('Providers'!$C$4:$C$503,207))=0,"",INDEX('Providers'!$C$4:$C$503,207))&amp;". "))</f>
        <v/>
      </c>
      <c r="J1210">
        <f>IF(LEN(INDEX('Providers'!$AJ$4:$AJ$503,207))=0,"",INDEX('Providers'!$AJ$4:$AJ$503,207))</f>
        <v/>
      </c>
      <c r="K1210">
        <f>IF(LEN(INDEX('Providers'!$AI$4:$AI$503,207))=0,"",INDEX('Providers'!$AI$4:$AI$503,207))</f>
        <v/>
      </c>
    </row>
    <row r="1211">
      <c r="A1211">
        <f>IF(AND(LEN('Providers'!A211)&gt;0,ISNUMBER('Providers'!K211)),1,0)</f>
        <v/>
      </c>
      <c r="B1211">
        <f>B1210+A1211</f>
        <v/>
      </c>
      <c r="C1211">
        <f>IF(1208&gt;$B$4503,"",MATCH(1208-0.5,$B$3:$B$4503,1))</f>
        <v/>
      </c>
      <c r="D1211">
        <f>"State CSR ("&amp;IF(LEN(INDEX('Providers'!$E$4:$E$503,208))=0,"",INDEX('Providers'!$E$4:$E$503,208))&amp;") – "&amp;IF(LEN(INDEX('Providers'!$A$4:$A$503,208))=0,"",INDEX('Providers'!$A$4:$A$503,208))</f>
        <v/>
      </c>
      <c r="E1211">
        <f>IF(ISNUMBER(INDEX('Providers'!$K$4:$K$503,208)),TEXT(INDEX('Providers'!$K$4:$K$503,208),"yyyy-mm-dd"),"")</f>
        <v/>
      </c>
      <c r="F1211">
        <f>"Registration"</f>
        <v/>
      </c>
      <c r="G1211">
        <f>""</f>
        <v/>
      </c>
      <c r="H1211">
        <f>"High"</f>
        <v/>
      </c>
      <c r="I1211">
        <f>TRIM(IF(LEN(IF(LEN(INDEX('Providers'!$J$4:$J$503,208))=0,"",INDEX('Providers'!$J$4:$J$503,208)))=0,"","CSR no.: "&amp;IF(LEN(INDEX('Providers'!$J$4:$J$503,208))=0,"",INDEX('Providers'!$J$4:$J$503,208))&amp;". ")&amp;IF(LEN(IF(LEN(INDEX('Providers'!$C$4:$C$503,208))=0,"",INDEX('Providers'!$C$4:$C$503,208)))=0,"","NPI: "&amp;IF(LEN(INDEX('Providers'!$C$4:$C$503,208))=0,"",INDEX('Providers'!$C$4:$C$503,208))&amp;". "))</f>
        <v/>
      </c>
      <c r="J1211">
        <f>IF(LEN(INDEX('Providers'!$AJ$4:$AJ$503,208))=0,"",INDEX('Providers'!$AJ$4:$AJ$503,208))</f>
        <v/>
      </c>
      <c r="K1211">
        <f>IF(LEN(INDEX('Providers'!$AI$4:$AI$503,208))=0,"",INDEX('Providers'!$AI$4:$AI$503,208))</f>
        <v/>
      </c>
    </row>
    <row r="1212">
      <c r="A1212">
        <f>IF(AND(LEN('Providers'!A212)&gt;0,ISNUMBER('Providers'!K212)),1,0)</f>
        <v/>
      </c>
      <c r="B1212">
        <f>B1211+A1212</f>
        <v/>
      </c>
      <c r="C1212">
        <f>IF(1209&gt;$B$4503,"",MATCH(1209-0.5,$B$3:$B$4503,1))</f>
        <v/>
      </c>
      <c r="D1212">
        <f>"State CSR ("&amp;IF(LEN(INDEX('Providers'!$E$4:$E$503,209))=0,"",INDEX('Providers'!$E$4:$E$503,209))&amp;") – "&amp;IF(LEN(INDEX('Providers'!$A$4:$A$503,209))=0,"",INDEX('Providers'!$A$4:$A$503,209))</f>
        <v/>
      </c>
      <c r="E1212">
        <f>IF(ISNUMBER(INDEX('Providers'!$K$4:$K$503,209)),TEXT(INDEX('Providers'!$K$4:$K$503,209),"yyyy-mm-dd"),"")</f>
        <v/>
      </c>
      <c r="F1212">
        <f>"Registration"</f>
        <v/>
      </c>
      <c r="G1212">
        <f>""</f>
        <v/>
      </c>
      <c r="H1212">
        <f>"High"</f>
        <v/>
      </c>
      <c r="I1212">
        <f>TRIM(IF(LEN(IF(LEN(INDEX('Providers'!$J$4:$J$503,209))=0,"",INDEX('Providers'!$J$4:$J$503,209)))=0,"","CSR no.: "&amp;IF(LEN(INDEX('Providers'!$J$4:$J$503,209))=0,"",INDEX('Providers'!$J$4:$J$503,209))&amp;". ")&amp;IF(LEN(IF(LEN(INDEX('Providers'!$C$4:$C$503,209))=0,"",INDEX('Providers'!$C$4:$C$503,209)))=0,"","NPI: "&amp;IF(LEN(INDEX('Providers'!$C$4:$C$503,209))=0,"",INDEX('Providers'!$C$4:$C$503,209))&amp;". "))</f>
        <v/>
      </c>
      <c r="J1212">
        <f>IF(LEN(INDEX('Providers'!$AJ$4:$AJ$503,209))=0,"",INDEX('Providers'!$AJ$4:$AJ$503,209))</f>
        <v/>
      </c>
      <c r="K1212">
        <f>IF(LEN(INDEX('Providers'!$AI$4:$AI$503,209))=0,"",INDEX('Providers'!$AI$4:$AI$503,209))</f>
        <v/>
      </c>
    </row>
    <row r="1213">
      <c r="A1213">
        <f>IF(AND(LEN('Providers'!A213)&gt;0,ISNUMBER('Providers'!K213)),1,0)</f>
        <v/>
      </c>
      <c r="B1213">
        <f>B1212+A1213</f>
        <v/>
      </c>
      <c r="C1213">
        <f>IF(1210&gt;$B$4503,"",MATCH(1210-0.5,$B$3:$B$4503,1))</f>
        <v/>
      </c>
      <c r="D1213">
        <f>"State CSR ("&amp;IF(LEN(INDEX('Providers'!$E$4:$E$503,210))=0,"",INDEX('Providers'!$E$4:$E$503,210))&amp;") – "&amp;IF(LEN(INDEX('Providers'!$A$4:$A$503,210))=0,"",INDEX('Providers'!$A$4:$A$503,210))</f>
        <v/>
      </c>
      <c r="E1213">
        <f>IF(ISNUMBER(INDEX('Providers'!$K$4:$K$503,210)),TEXT(INDEX('Providers'!$K$4:$K$503,210),"yyyy-mm-dd"),"")</f>
        <v/>
      </c>
      <c r="F1213">
        <f>"Registration"</f>
        <v/>
      </c>
      <c r="G1213">
        <f>""</f>
        <v/>
      </c>
      <c r="H1213">
        <f>"High"</f>
        <v/>
      </c>
      <c r="I1213">
        <f>TRIM(IF(LEN(IF(LEN(INDEX('Providers'!$J$4:$J$503,210))=0,"",INDEX('Providers'!$J$4:$J$503,210)))=0,"","CSR no.: "&amp;IF(LEN(INDEX('Providers'!$J$4:$J$503,210))=0,"",INDEX('Providers'!$J$4:$J$503,210))&amp;". ")&amp;IF(LEN(IF(LEN(INDEX('Providers'!$C$4:$C$503,210))=0,"",INDEX('Providers'!$C$4:$C$503,210)))=0,"","NPI: "&amp;IF(LEN(INDEX('Providers'!$C$4:$C$503,210))=0,"",INDEX('Providers'!$C$4:$C$503,210))&amp;". "))</f>
        <v/>
      </c>
      <c r="J1213">
        <f>IF(LEN(INDEX('Providers'!$AJ$4:$AJ$503,210))=0,"",INDEX('Providers'!$AJ$4:$AJ$503,210))</f>
        <v/>
      </c>
      <c r="K1213">
        <f>IF(LEN(INDEX('Providers'!$AI$4:$AI$503,210))=0,"",INDEX('Providers'!$AI$4:$AI$503,210))</f>
        <v/>
      </c>
    </row>
    <row r="1214">
      <c r="A1214">
        <f>IF(AND(LEN('Providers'!A214)&gt;0,ISNUMBER('Providers'!K214)),1,0)</f>
        <v/>
      </c>
      <c r="B1214">
        <f>B1213+A1214</f>
        <v/>
      </c>
      <c r="C1214">
        <f>IF(1211&gt;$B$4503,"",MATCH(1211-0.5,$B$3:$B$4503,1))</f>
        <v/>
      </c>
      <c r="D1214">
        <f>"State CSR ("&amp;IF(LEN(INDEX('Providers'!$E$4:$E$503,211))=0,"",INDEX('Providers'!$E$4:$E$503,211))&amp;") – "&amp;IF(LEN(INDEX('Providers'!$A$4:$A$503,211))=0,"",INDEX('Providers'!$A$4:$A$503,211))</f>
        <v/>
      </c>
      <c r="E1214">
        <f>IF(ISNUMBER(INDEX('Providers'!$K$4:$K$503,211)),TEXT(INDEX('Providers'!$K$4:$K$503,211),"yyyy-mm-dd"),"")</f>
        <v/>
      </c>
      <c r="F1214">
        <f>"Registration"</f>
        <v/>
      </c>
      <c r="G1214">
        <f>""</f>
        <v/>
      </c>
      <c r="H1214">
        <f>"High"</f>
        <v/>
      </c>
      <c r="I1214">
        <f>TRIM(IF(LEN(IF(LEN(INDEX('Providers'!$J$4:$J$503,211))=0,"",INDEX('Providers'!$J$4:$J$503,211)))=0,"","CSR no.: "&amp;IF(LEN(INDEX('Providers'!$J$4:$J$503,211))=0,"",INDEX('Providers'!$J$4:$J$503,211))&amp;". ")&amp;IF(LEN(IF(LEN(INDEX('Providers'!$C$4:$C$503,211))=0,"",INDEX('Providers'!$C$4:$C$503,211)))=0,"","NPI: "&amp;IF(LEN(INDEX('Providers'!$C$4:$C$503,211))=0,"",INDEX('Providers'!$C$4:$C$503,211))&amp;". "))</f>
        <v/>
      </c>
      <c r="J1214">
        <f>IF(LEN(INDEX('Providers'!$AJ$4:$AJ$503,211))=0,"",INDEX('Providers'!$AJ$4:$AJ$503,211))</f>
        <v/>
      </c>
      <c r="K1214">
        <f>IF(LEN(INDEX('Providers'!$AI$4:$AI$503,211))=0,"",INDEX('Providers'!$AI$4:$AI$503,211))</f>
        <v/>
      </c>
    </row>
    <row r="1215">
      <c r="A1215">
        <f>IF(AND(LEN('Providers'!A215)&gt;0,ISNUMBER('Providers'!K215)),1,0)</f>
        <v/>
      </c>
      <c r="B1215">
        <f>B1214+A1215</f>
        <v/>
      </c>
      <c r="C1215">
        <f>IF(1212&gt;$B$4503,"",MATCH(1212-0.5,$B$3:$B$4503,1))</f>
        <v/>
      </c>
      <c r="D1215">
        <f>"State CSR ("&amp;IF(LEN(INDEX('Providers'!$E$4:$E$503,212))=0,"",INDEX('Providers'!$E$4:$E$503,212))&amp;") – "&amp;IF(LEN(INDEX('Providers'!$A$4:$A$503,212))=0,"",INDEX('Providers'!$A$4:$A$503,212))</f>
        <v/>
      </c>
      <c r="E1215">
        <f>IF(ISNUMBER(INDEX('Providers'!$K$4:$K$503,212)),TEXT(INDEX('Providers'!$K$4:$K$503,212),"yyyy-mm-dd"),"")</f>
        <v/>
      </c>
      <c r="F1215">
        <f>"Registration"</f>
        <v/>
      </c>
      <c r="G1215">
        <f>""</f>
        <v/>
      </c>
      <c r="H1215">
        <f>"High"</f>
        <v/>
      </c>
      <c r="I1215">
        <f>TRIM(IF(LEN(IF(LEN(INDEX('Providers'!$J$4:$J$503,212))=0,"",INDEX('Providers'!$J$4:$J$503,212)))=0,"","CSR no.: "&amp;IF(LEN(INDEX('Providers'!$J$4:$J$503,212))=0,"",INDEX('Providers'!$J$4:$J$503,212))&amp;". ")&amp;IF(LEN(IF(LEN(INDEX('Providers'!$C$4:$C$503,212))=0,"",INDEX('Providers'!$C$4:$C$503,212)))=0,"","NPI: "&amp;IF(LEN(INDEX('Providers'!$C$4:$C$503,212))=0,"",INDEX('Providers'!$C$4:$C$503,212))&amp;". "))</f>
        <v/>
      </c>
      <c r="J1215">
        <f>IF(LEN(INDEX('Providers'!$AJ$4:$AJ$503,212))=0,"",INDEX('Providers'!$AJ$4:$AJ$503,212))</f>
        <v/>
      </c>
      <c r="K1215">
        <f>IF(LEN(INDEX('Providers'!$AI$4:$AI$503,212))=0,"",INDEX('Providers'!$AI$4:$AI$503,212))</f>
        <v/>
      </c>
    </row>
    <row r="1216">
      <c r="A1216">
        <f>IF(AND(LEN('Providers'!A216)&gt;0,ISNUMBER('Providers'!K216)),1,0)</f>
        <v/>
      </c>
      <c r="B1216">
        <f>B1215+A1216</f>
        <v/>
      </c>
      <c r="C1216">
        <f>IF(1213&gt;$B$4503,"",MATCH(1213-0.5,$B$3:$B$4503,1))</f>
        <v/>
      </c>
      <c r="D1216">
        <f>"State CSR ("&amp;IF(LEN(INDEX('Providers'!$E$4:$E$503,213))=0,"",INDEX('Providers'!$E$4:$E$503,213))&amp;") – "&amp;IF(LEN(INDEX('Providers'!$A$4:$A$503,213))=0,"",INDEX('Providers'!$A$4:$A$503,213))</f>
        <v/>
      </c>
      <c r="E1216">
        <f>IF(ISNUMBER(INDEX('Providers'!$K$4:$K$503,213)),TEXT(INDEX('Providers'!$K$4:$K$503,213),"yyyy-mm-dd"),"")</f>
        <v/>
      </c>
      <c r="F1216">
        <f>"Registration"</f>
        <v/>
      </c>
      <c r="G1216">
        <f>""</f>
        <v/>
      </c>
      <c r="H1216">
        <f>"High"</f>
        <v/>
      </c>
      <c r="I1216">
        <f>TRIM(IF(LEN(IF(LEN(INDEX('Providers'!$J$4:$J$503,213))=0,"",INDEX('Providers'!$J$4:$J$503,213)))=0,"","CSR no.: "&amp;IF(LEN(INDEX('Providers'!$J$4:$J$503,213))=0,"",INDEX('Providers'!$J$4:$J$503,213))&amp;". ")&amp;IF(LEN(IF(LEN(INDEX('Providers'!$C$4:$C$503,213))=0,"",INDEX('Providers'!$C$4:$C$503,213)))=0,"","NPI: "&amp;IF(LEN(INDEX('Providers'!$C$4:$C$503,213))=0,"",INDEX('Providers'!$C$4:$C$503,213))&amp;". "))</f>
        <v/>
      </c>
      <c r="J1216">
        <f>IF(LEN(INDEX('Providers'!$AJ$4:$AJ$503,213))=0,"",INDEX('Providers'!$AJ$4:$AJ$503,213))</f>
        <v/>
      </c>
      <c r="K1216">
        <f>IF(LEN(INDEX('Providers'!$AI$4:$AI$503,213))=0,"",INDEX('Providers'!$AI$4:$AI$503,213))</f>
        <v/>
      </c>
    </row>
    <row r="1217">
      <c r="A1217">
        <f>IF(AND(LEN('Providers'!A217)&gt;0,ISNUMBER('Providers'!K217)),1,0)</f>
        <v/>
      </c>
      <c r="B1217">
        <f>B1216+A1217</f>
        <v/>
      </c>
      <c r="C1217">
        <f>IF(1214&gt;$B$4503,"",MATCH(1214-0.5,$B$3:$B$4503,1))</f>
        <v/>
      </c>
      <c r="D1217">
        <f>"State CSR ("&amp;IF(LEN(INDEX('Providers'!$E$4:$E$503,214))=0,"",INDEX('Providers'!$E$4:$E$503,214))&amp;") – "&amp;IF(LEN(INDEX('Providers'!$A$4:$A$503,214))=0,"",INDEX('Providers'!$A$4:$A$503,214))</f>
        <v/>
      </c>
      <c r="E1217">
        <f>IF(ISNUMBER(INDEX('Providers'!$K$4:$K$503,214)),TEXT(INDEX('Providers'!$K$4:$K$503,214),"yyyy-mm-dd"),"")</f>
        <v/>
      </c>
      <c r="F1217">
        <f>"Registration"</f>
        <v/>
      </c>
      <c r="G1217">
        <f>""</f>
        <v/>
      </c>
      <c r="H1217">
        <f>"High"</f>
        <v/>
      </c>
      <c r="I1217">
        <f>TRIM(IF(LEN(IF(LEN(INDEX('Providers'!$J$4:$J$503,214))=0,"",INDEX('Providers'!$J$4:$J$503,214)))=0,"","CSR no.: "&amp;IF(LEN(INDEX('Providers'!$J$4:$J$503,214))=0,"",INDEX('Providers'!$J$4:$J$503,214))&amp;". ")&amp;IF(LEN(IF(LEN(INDEX('Providers'!$C$4:$C$503,214))=0,"",INDEX('Providers'!$C$4:$C$503,214)))=0,"","NPI: "&amp;IF(LEN(INDEX('Providers'!$C$4:$C$503,214))=0,"",INDEX('Providers'!$C$4:$C$503,214))&amp;". "))</f>
        <v/>
      </c>
      <c r="J1217">
        <f>IF(LEN(INDEX('Providers'!$AJ$4:$AJ$503,214))=0,"",INDEX('Providers'!$AJ$4:$AJ$503,214))</f>
        <v/>
      </c>
      <c r="K1217">
        <f>IF(LEN(INDEX('Providers'!$AI$4:$AI$503,214))=0,"",INDEX('Providers'!$AI$4:$AI$503,214))</f>
        <v/>
      </c>
    </row>
    <row r="1218">
      <c r="A1218">
        <f>IF(AND(LEN('Providers'!A218)&gt;0,ISNUMBER('Providers'!K218)),1,0)</f>
        <v/>
      </c>
      <c r="B1218">
        <f>B1217+A1218</f>
        <v/>
      </c>
      <c r="C1218">
        <f>IF(1215&gt;$B$4503,"",MATCH(1215-0.5,$B$3:$B$4503,1))</f>
        <v/>
      </c>
      <c r="D1218">
        <f>"State CSR ("&amp;IF(LEN(INDEX('Providers'!$E$4:$E$503,215))=0,"",INDEX('Providers'!$E$4:$E$503,215))&amp;") – "&amp;IF(LEN(INDEX('Providers'!$A$4:$A$503,215))=0,"",INDEX('Providers'!$A$4:$A$503,215))</f>
        <v/>
      </c>
      <c r="E1218">
        <f>IF(ISNUMBER(INDEX('Providers'!$K$4:$K$503,215)),TEXT(INDEX('Providers'!$K$4:$K$503,215),"yyyy-mm-dd"),"")</f>
        <v/>
      </c>
      <c r="F1218">
        <f>"Registration"</f>
        <v/>
      </c>
      <c r="G1218">
        <f>""</f>
        <v/>
      </c>
      <c r="H1218">
        <f>"High"</f>
        <v/>
      </c>
      <c r="I1218">
        <f>TRIM(IF(LEN(IF(LEN(INDEX('Providers'!$J$4:$J$503,215))=0,"",INDEX('Providers'!$J$4:$J$503,215)))=0,"","CSR no.: "&amp;IF(LEN(INDEX('Providers'!$J$4:$J$503,215))=0,"",INDEX('Providers'!$J$4:$J$503,215))&amp;". ")&amp;IF(LEN(IF(LEN(INDEX('Providers'!$C$4:$C$503,215))=0,"",INDEX('Providers'!$C$4:$C$503,215)))=0,"","NPI: "&amp;IF(LEN(INDEX('Providers'!$C$4:$C$503,215))=0,"",INDEX('Providers'!$C$4:$C$503,215))&amp;". "))</f>
        <v/>
      </c>
      <c r="J1218">
        <f>IF(LEN(INDEX('Providers'!$AJ$4:$AJ$503,215))=0,"",INDEX('Providers'!$AJ$4:$AJ$503,215))</f>
        <v/>
      </c>
      <c r="K1218">
        <f>IF(LEN(INDEX('Providers'!$AI$4:$AI$503,215))=0,"",INDEX('Providers'!$AI$4:$AI$503,215))</f>
        <v/>
      </c>
    </row>
    <row r="1219">
      <c r="A1219">
        <f>IF(AND(LEN('Providers'!A219)&gt;0,ISNUMBER('Providers'!K219)),1,0)</f>
        <v/>
      </c>
      <c r="B1219">
        <f>B1218+A1219</f>
        <v/>
      </c>
      <c r="C1219">
        <f>IF(1216&gt;$B$4503,"",MATCH(1216-0.5,$B$3:$B$4503,1))</f>
        <v/>
      </c>
      <c r="D1219">
        <f>"State CSR ("&amp;IF(LEN(INDEX('Providers'!$E$4:$E$503,216))=0,"",INDEX('Providers'!$E$4:$E$503,216))&amp;") – "&amp;IF(LEN(INDEX('Providers'!$A$4:$A$503,216))=0,"",INDEX('Providers'!$A$4:$A$503,216))</f>
        <v/>
      </c>
      <c r="E1219">
        <f>IF(ISNUMBER(INDEX('Providers'!$K$4:$K$503,216)),TEXT(INDEX('Providers'!$K$4:$K$503,216),"yyyy-mm-dd"),"")</f>
        <v/>
      </c>
      <c r="F1219">
        <f>"Registration"</f>
        <v/>
      </c>
      <c r="G1219">
        <f>""</f>
        <v/>
      </c>
      <c r="H1219">
        <f>"High"</f>
        <v/>
      </c>
      <c r="I1219">
        <f>TRIM(IF(LEN(IF(LEN(INDEX('Providers'!$J$4:$J$503,216))=0,"",INDEX('Providers'!$J$4:$J$503,216)))=0,"","CSR no.: "&amp;IF(LEN(INDEX('Providers'!$J$4:$J$503,216))=0,"",INDEX('Providers'!$J$4:$J$503,216))&amp;". ")&amp;IF(LEN(IF(LEN(INDEX('Providers'!$C$4:$C$503,216))=0,"",INDEX('Providers'!$C$4:$C$503,216)))=0,"","NPI: "&amp;IF(LEN(INDEX('Providers'!$C$4:$C$503,216))=0,"",INDEX('Providers'!$C$4:$C$503,216))&amp;". "))</f>
        <v/>
      </c>
      <c r="J1219">
        <f>IF(LEN(INDEX('Providers'!$AJ$4:$AJ$503,216))=0,"",INDEX('Providers'!$AJ$4:$AJ$503,216))</f>
        <v/>
      </c>
      <c r="K1219">
        <f>IF(LEN(INDEX('Providers'!$AI$4:$AI$503,216))=0,"",INDEX('Providers'!$AI$4:$AI$503,216))</f>
        <v/>
      </c>
    </row>
    <row r="1220">
      <c r="A1220">
        <f>IF(AND(LEN('Providers'!A220)&gt;0,ISNUMBER('Providers'!K220)),1,0)</f>
        <v/>
      </c>
      <c r="B1220">
        <f>B1219+A1220</f>
        <v/>
      </c>
      <c r="C1220">
        <f>IF(1217&gt;$B$4503,"",MATCH(1217-0.5,$B$3:$B$4503,1))</f>
        <v/>
      </c>
      <c r="D1220">
        <f>"State CSR ("&amp;IF(LEN(INDEX('Providers'!$E$4:$E$503,217))=0,"",INDEX('Providers'!$E$4:$E$503,217))&amp;") – "&amp;IF(LEN(INDEX('Providers'!$A$4:$A$503,217))=0,"",INDEX('Providers'!$A$4:$A$503,217))</f>
        <v/>
      </c>
      <c r="E1220">
        <f>IF(ISNUMBER(INDEX('Providers'!$K$4:$K$503,217)),TEXT(INDEX('Providers'!$K$4:$K$503,217),"yyyy-mm-dd"),"")</f>
        <v/>
      </c>
      <c r="F1220">
        <f>"Registration"</f>
        <v/>
      </c>
      <c r="G1220">
        <f>""</f>
        <v/>
      </c>
      <c r="H1220">
        <f>"High"</f>
        <v/>
      </c>
      <c r="I1220">
        <f>TRIM(IF(LEN(IF(LEN(INDEX('Providers'!$J$4:$J$503,217))=0,"",INDEX('Providers'!$J$4:$J$503,217)))=0,"","CSR no.: "&amp;IF(LEN(INDEX('Providers'!$J$4:$J$503,217))=0,"",INDEX('Providers'!$J$4:$J$503,217))&amp;". ")&amp;IF(LEN(IF(LEN(INDEX('Providers'!$C$4:$C$503,217))=0,"",INDEX('Providers'!$C$4:$C$503,217)))=0,"","NPI: "&amp;IF(LEN(INDEX('Providers'!$C$4:$C$503,217))=0,"",INDEX('Providers'!$C$4:$C$503,217))&amp;". "))</f>
        <v/>
      </c>
      <c r="J1220">
        <f>IF(LEN(INDEX('Providers'!$AJ$4:$AJ$503,217))=0,"",INDEX('Providers'!$AJ$4:$AJ$503,217))</f>
        <v/>
      </c>
      <c r="K1220">
        <f>IF(LEN(INDEX('Providers'!$AI$4:$AI$503,217))=0,"",INDEX('Providers'!$AI$4:$AI$503,217))</f>
        <v/>
      </c>
    </row>
    <row r="1221">
      <c r="A1221">
        <f>IF(AND(LEN('Providers'!A221)&gt;0,ISNUMBER('Providers'!K221)),1,0)</f>
        <v/>
      </c>
      <c r="B1221">
        <f>B1220+A1221</f>
        <v/>
      </c>
      <c r="C1221">
        <f>IF(1218&gt;$B$4503,"",MATCH(1218-0.5,$B$3:$B$4503,1))</f>
        <v/>
      </c>
      <c r="D1221">
        <f>"State CSR ("&amp;IF(LEN(INDEX('Providers'!$E$4:$E$503,218))=0,"",INDEX('Providers'!$E$4:$E$503,218))&amp;") – "&amp;IF(LEN(INDEX('Providers'!$A$4:$A$503,218))=0,"",INDEX('Providers'!$A$4:$A$503,218))</f>
        <v/>
      </c>
      <c r="E1221">
        <f>IF(ISNUMBER(INDEX('Providers'!$K$4:$K$503,218)),TEXT(INDEX('Providers'!$K$4:$K$503,218),"yyyy-mm-dd"),"")</f>
        <v/>
      </c>
      <c r="F1221">
        <f>"Registration"</f>
        <v/>
      </c>
      <c r="G1221">
        <f>""</f>
        <v/>
      </c>
      <c r="H1221">
        <f>"High"</f>
        <v/>
      </c>
      <c r="I1221">
        <f>TRIM(IF(LEN(IF(LEN(INDEX('Providers'!$J$4:$J$503,218))=0,"",INDEX('Providers'!$J$4:$J$503,218)))=0,"","CSR no.: "&amp;IF(LEN(INDEX('Providers'!$J$4:$J$503,218))=0,"",INDEX('Providers'!$J$4:$J$503,218))&amp;". ")&amp;IF(LEN(IF(LEN(INDEX('Providers'!$C$4:$C$503,218))=0,"",INDEX('Providers'!$C$4:$C$503,218)))=0,"","NPI: "&amp;IF(LEN(INDEX('Providers'!$C$4:$C$503,218))=0,"",INDEX('Providers'!$C$4:$C$503,218))&amp;". "))</f>
        <v/>
      </c>
      <c r="J1221">
        <f>IF(LEN(INDEX('Providers'!$AJ$4:$AJ$503,218))=0,"",INDEX('Providers'!$AJ$4:$AJ$503,218))</f>
        <v/>
      </c>
      <c r="K1221">
        <f>IF(LEN(INDEX('Providers'!$AI$4:$AI$503,218))=0,"",INDEX('Providers'!$AI$4:$AI$503,218))</f>
        <v/>
      </c>
    </row>
    <row r="1222">
      <c r="A1222">
        <f>IF(AND(LEN('Providers'!A222)&gt;0,ISNUMBER('Providers'!K222)),1,0)</f>
        <v/>
      </c>
      <c r="B1222">
        <f>B1221+A1222</f>
        <v/>
      </c>
      <c r="C1222">
        <f>IF(1219&gt;$B$4503,"",MATCH(1219-0.5,$B$3:$B$4503,1))</f>
        <v/>
      </c>
      <c r="D1222">
        <f>"State CSR ("&amp;IF(LEN(INDEX('Providers'!$E$4:$E$503,219))=0,"",INDEX('Providers'!$E$4:$E$503,219))&amp;") – "&amp;IF(LEN(INDEX('Providers'!$A$4:$A$503,219))=0,"",INDEX('Providers'!$A$4:$A$503,219))</f>
        <v/>
      </c>
      <c r="E1222">
        <f>IF(ISNUMBER(INDEX('Providers'!$K$4:$K$503,219)),TEXT(INDEX('Providers'!$K$4:$K$503,219),"yyyy-mm-dd"),"")</f>
        <v/>
      </c>
      <c r="F1222">
        <f>"Registration"</f>
        <v/>
      </c>
      <c r="G1222">
        <f>""</f>
        <v/>
      </c>
      <c r="H1222">
        <f>"High"</f>
        <v/>
      </c>
      <c r="I1222">
        <f>TRIM(IF(LEN(IF(LEN(INDEX('Providers'!$J$4:$J$503,219))=0,"",INDEX('Providers'!$J$4:$J$503,219)))=0,"","CSR no.: "&amp;IF(LEN(INDEX('Providers'!$J$4:$J$503,219))=0,"",INDEX('Providers'!$J$4:$J$503,219))&amp;". ")&amp;IF(LEN(IF(LEN(INDEX('Providers'!$C$4:$C$503,219))=0,"",INDEX('Providers'!$C$4:$C$503,219)))=0,"","NPI: "&amp;IF(LEN(INDEX('Providers'!$C$4:$C$503,219))=0,"",INDEX('Providers'!$C$4:$C$503,219))&amp;". "))</f>
        <v/>
      </c>
      <c r="J1222">
        <f>IF(LEN(INDEX('Providers'!$AJ$4:$AJ$503,219))=0,"",INDEX('Providers'!$AJ$4:$AJ$503,219))</f>
        <v/>
      </c>
      <c r="K1222">
        <f>IF(LEN(INDEX('Providers'!$AI$4:$AI$503,219))=0,"",INDEX('Providers'!$AI$4:$AI$503,219))</f>
        <v/>
      </c>
    </row>
    <row r="1223">
      <c r="A1223">
        <f>IF(AND(LEN('Providers'!A223)&gt;0,ISNUMBER('Providers'!K223)),1,0)</f>
        <v/>
      </c>
      <c r="B1223">
        <f>B1222+A1223</f>
        <v/>
      </c>
      <c r="C1223">
        <f>IF(1220&gt;$B$4503,"",MATCH(1220-0.5,$B$3:$B$4503,1))</f>
        <v/>
      </c>
      <c r="D1223">
        <f>"State CSR ("&amp;IF(LEN(INDEX('Providers'!$E$4:$E$503,220))=0,"",INDEX('Providers'!$E$4:$E$503,220))&amp;") – "&amp;IF(LEN(INDEX('Providers'!$A$4:$A$503,220))=0,"",INDEX('Providers'!$A$4:$A$503,220))</f>
        <v/>
      </c>
      <c r="E1223">
        <f>IF(ISNUMBER(INDEX('Providers'!$K$4:$K$503,220)),TEXT(INDEX('Providers'!$K$4:$K$503,220),"yyyy-mm-dd"),"")</f>
        <v/>
      </c>
      <c r="F1223">
        <f>"Registration"</f>
        <v/>
      </c>
      <c r="G1223">
        <f>""</f>
        <v/>
      </c>
      <c r="H1223">
        <f>"High"</f>
        <v/>
      </c>
      <c r="I1223">
        <f>TRIM(IF(LEN(IF(LEN(INDEX('Providers'!$J$4:$J$503,220))=0,"",INDEX('Providers'!$J$4:$J$503,220)))=0,"","CSR no.: "&amp;IF(LEN(INDEX('Providers'!$J$4:$J$503,220))=0,"",INDEX('Providers'!$J$4:$J$503,220))&amp;". ")&amp;IF(LEN(IF(LEN(INDEX('Providers'!$C$4:$C$503,220))=0,"",INDEX('Providers'!$C$4:$C$503,220)))=0,"","NPI: "&amp;IF(LEN(INDEX('Providers'!$C$4:$C$503,220))=0,"",INDEX('Providers'!$C$4:$C$503,220))&amp;". "))</f>
        <v/>
      </c>
      <c r="J1223">
        <f>IF(LEN(INDEX('Providers'!$AJ$4:$AJ$503,220))=0,"",INDEX('Providers'!$AJ$4:$AJ$503,220))</f>
        <v/>
      </c>
      <c r="K1223">
        <f>IF(LEN(INDEX('Providers'!$AI$4:$AI$503,220))=0,"",INDEX('Providers'!$AI$4:$AI$503,220))</f>
        <v/>
      </c>
    </row>
    <row r="1224">
      <c r="A1224">
        <f>IF(AND(LEN('Providers'!A224)&gt;0,ISNUMBER('Providers'!K224)),1,0)</f>
        <v/>
      </c>
      <c r="B1224">
        <f>B1223+A1224</f>
        <v/>
      </c>
      <c r="C1224">
        <f>IF(1221&gt;$B$4503,"",MATCH(1221-0.5,$B$3:$B$4503,1))</f>
        <v/>
      </c>
      <c r="D1224">
        <f>"State CSR ("&amp;IF(LEN(INDEX('Providers'!$E$4:$E$503,221))=0,"",INDEX('Providers'!$E$4:$E$503,221))&amp;") – "&amp;IF(LEN(INDEX('Providers'!$A$4:$A$503,221))=0,"",INDEX('Providers'!$A$4:$A$503,221))</f>
        <v/>
      </c>
      <c r="E1224">
        <f>IF(ISNUMBER(INDEX('Providers'!$K$4:$K$503,221)),TEXT(INDEX('Providers'!$K$4:$K$503,221),"yyyy-mm-dd"),"")</f>
        <v/>
      </c>
      <c r="F1224">
        <f>"Registration"</f>
        <v/>
      </c>
      <c r="G1224">
        <f>""</f>
        <v/>
      </c>
      <c r="H1224">
        <f>"High"</f>
        <v/>
      </c>
      <c r="I1224">
        <f>TRIM(IF(LEN(IF(LEN(INDEX('Providers'!$J$4:$J$503,221))=0,"",INDEX('Providers'!$J$4:$J$503,221)))=0,"","CSR no.: "&amp;IF(LEN(INDEX('Providers'!$J$4:$J$503,221))=0,"",INDEX('Providers'!$J$4:$J$503,221))&amp;". ")&amp;IF(LEN(IF(LEN(INDEX('Providers'!$C$4:$C$503,221))=0,"",INDEX('Providers'!$C$4:$C$503,221)))=0,"","NPI: "&amp;IF(LEN(INDEX('Providers'!$C$4:$C$503,221))=0,"",INDEX('Providers'!$C$4:$C$503,221))&amp;". "))</f>
        <v/>
      </c>
      <c r="J1224">
        <f>IF(LEN(INDEX('Providers'!$AJ$4:$AJ$503,221))=0,"",INDEX('Providers'!$AJ$4:$AJ$503,221))</f>
        <v/>
      </c>
      <c r="K1224">
        <f>IF(LEN(INDEX('Providers'!$AI$4:$AI$503,221))=0,"",INDEX('Providers'!$AI$4:$AI$503,221))</f>
        <v/>
      </c>
    </row>
    <row r="1225">
      <c r="A1225">
        <f>IF(AND(LEN('Providers'!A225)&gt;0,ISNUMBER('Providers'!K225)),1,0)</f>
        <v/>
      </c>
      <c r="B1225">
        <f>B1224+A1225</f>
        <v/>
      </c>
      <c r="C1225">
        <f>IF(1222&gt;$B$4503,"",MATCH(1222-0.5,$B$3:$B$4503,1))</f>
        <v/>
      </c>
      <c r="D1225">
        <f>"State CSR ("&amp;IF(LEN(INDEX('Providers'!$E$4:$E$503,222))=0,"",INDEX('Providers'!$E$4:$E$503,222))&amp;") – "&amp;IF(LEN(INDEX('Providers'!$A$4:$A$503,222))=0,"",INDEX('Providers'!$A$4:$A$503,222))</f>
        <v/>
      </c>
      <c r="E1225">
        <f>IF(ISNUMBER(INDEX('Providers'!$K$4:$K$503,222)),TEXT(INDEX('Providers'!$K$4:$K$503,222),"yyyy-mm-dd"),"")</f>
        <v/>
      </c>
      <c r="F1225">
        <f>"Registration"</f>
        <v/>
      </c>
      <c r="G1225">
        <f>""</f>
        <v/>
      </c>
      <c r="H1225">
        <f>"High"</f>
        <v/>
      </c>
      <c r="I1225">
        <f>TRIM(IF(LEN(IF(LEN(INDEX('Providers'!$J$4:$J$503,222))=0,"",INDEX('Providers'!$J$4:$J$503,222)))=0,"","CSR no.: "&amp;IF(LEN(INDEX('Providers'!$J$4:$J$503,222))=0,"",INDEX('Providers'!$J$4:$J$503,222))&amp;". ")&amp;IF(LEN(IF(LEN(INDEX('Providers'!$C$4:$C$503,222))=0,"",INDEX('Providers'!$C$4:$C$503,222)))=0,"","NPI: "&amp;IF(LEN(INDEX('Providers'!$C$4:$C$503,222))=0,"",INDEX('Providers'!$C$4:$C$503,222))&amp;". "))</f>
        <v/>
      </c>
      <c r="J1225">
        <f>IF(LEN(INDEX('Providers'!$AJ$4:$AJ$503,222))=0,"",INDEX('Providers'!$AJ$4:$AJ$503,222))</f>
        <v/>
      </c>
      <c r="K1225">
        <f>IF(LEN(INDEX('Providers'!$AI$4:$AI$503,222))=0,"",INDEX('Providers'!$AI$4:$AI$503,222))</f>
        <v/>
      </c>
    </row>
    <row r="1226">
      <c r="A1226">
        <f>IF(AND(LEN('Providers'!A226)&gt;0,ISNUMBER('Providers'!K226)),1,0)</f>
        <v/>
      </c>
      <c r="B1226">
        <f>B1225+A1226</f>
        <v/>
      </c>
      <c r="C1226">
        <f>IF(1223&gt;$B$4503,"",MATCH(1223-0.5,$B$3:$B$4503,1))</f>
        <v/>
      </c>
      <c r="D1226">
        <f>"State CSR ("&amp;IF(LEN(INDEX('Providers'!$E$4:$E$503,223))=0,"",INDEX('Providers'!$E$4:$E$503,223))&amp;") – "&amp;IF(LEN(INDEX('Providers'!$A$4:$A$503,223))=0,"",INDEX('Providers'!$A$4:$A$503,223))</f>
        <v/>
      </c>
      <c r="E1226">
        <f>IF(ISNUMBER(INDEX('Providers'!$K$4:$K$503,223)),TEXT(INDEX('Providers'!$K$4:$K$503,223),"yyyy-mm-dd"),"")</f>
        <v/>
      </c>
      <c r="F1226">
        <f>"Registration"</f>
        <v/>
      </c>
      <c r="G1226">
        <f>""</f>
        <v/>
      </c>
      <c r="H1226">
        <f>"High"</f>
        <v/>
      </c>
      <c r="I1226">
        <f>TRIM(IF(LEN(IF(LEN(INDEX('Providers'!$J$4:$J$503,223))=0,"",INDEX('Providers'!$J$4:$J$503,223)))=0,"","CSR no.: "&amp;IF(LEN(INDEX('Providers'!$J$4:$J$503,223))=0,"",INDEX('Providers'!$J$4:$J$503,223))&amp;". ")&amp;IF(LEN(IF(LEN(INDEX('Providers'!$C$4:$C$503,223))=0,"",INDEX('Providers'!$C$4:$C$503,223)))=0,"","NPI: "&amp;IF(LEN(INDEX('Providers'!$C$4:$C$503,223))=0,"",INDEX('Providers'!$C$4:$C$503,223))&amp;". "))</f>
        <v/>
      </c>
      <c r="J1226">
        <f>IF(LEN(INDEX('Providers'!$AJ$4:$AJ$503,223))=0,"",INDEX('Providers'!$AJ$4:$AJ$503,223))</f>
        <v/>
      </c>
      <c r="K1226">
        <f>IF(LEN(INDEX('Providers'!$AI$4:$AI$503,223))=0,"",INDEX('Providers'!$AI$4:$AI$503,223))</f>
        <v/>
      </c>
    </row>
    <row r="1227">
      <c r="A1227">
        <f>IF(AND(LEN('Providers'!A227)&gt;0,ISNUMBER('Providers'!K227)),1,0)</f>
        <v/>
      </c>
      <c r="B1227">
        <f>B1226+A1227</f>
        <v/>
      </c>
      <c r="C1227">
        <f>IF(1224&gt;$B$4503,"",MATCH(1224-0.5,$B$3:$B$4503,1))</f>
        <v/>
      </c>
      <c r="D1227">
        <f>"State CSR ("&amp;IF(LEN(INDEX('Providers'!$E$4:$E$503,224))=0,"",INDEX('Providers'!$E$4:$E$503,224))&amp;") – "&amp;IF(LEN(INDEX('Providers'!$A$4:$A$503,224))=0,"",INDEX('Providers'!$A$4:$A$503,224))</f>
        <v/>
      </c>
      <c r="E1227">
        <f>IF(ISNUMBER(INDEX('Providers'!$K$4:$K$503,224)),TEXT(INDEX('Providers'!$K$4:$K$503,224),"yyyy-mm-dd"),"")</f>
        <v/>
      </c>
      <c r="F1227">
        <f>"Registration"</f>
        <v/>
      </c>
      <c r="G1227">
        <f>""</f>
        <v/>
      </c>
      <c r="H1227">
        <f>"High"</f>
        <v/>
      </c>
      <c r="I1227">
        <f>TRIM(IF(LEN(IF(LEN(INDEX('Providers'!$J$4:$J$503,224))=0,"",INDEX('Providers'!$J$4:$J$503,224)))=0,"","CSR no.: "&amp;IF(LEN(INDEX('Providers'!$J$4:$J$503,224))=0,"",INDEX('Providers'!$J$4:$J$503,224))&amp;". ")&amp;IF(LEN(IF(LEN(INDEX('Providers'!$C$4:$C$503,224))=0,"",INDEX('Providers'!$C$4:$C$503,224)))=0,"","NPI: "&amp;IF(LEN(INDEX('Providers'!$C$4:$C$503,224))=0,"",INDEX('Providers'!$C$4:$C$503,224))&amp;". "))</f>
        <v/>
      </c>
      <c r="J1227">
        <f>IF(LEN(INDEX('Providers'!$AJ$4:$AJ$503,224))=0,"",INDEX('Providers'!$AJ$4:$AJ$503,224))</f>
        <v/>
      </c>
      <c r="K1227">
        <f>IF(LEN(INDEX('Providers'!$AI$4:$AI$503,224))=0,"",INDEX('Providers'!$AI$4:$AI$503,224))</f>
        <v/>
      </c>
    </row>
    <row r="1228">
      <c r="A1228">
        <f>IF(AND(LEN('Providers'!A228)&gt;0,ISNUMBER('Providers'!K228)),1,0)</f>
        <v/>
      </c>
      <c r="B1228">
        <f>B1227+A1228</f>
        <v/>
      </c>
      <c r="C1228">
        <f>IF(1225&gt;$B$4503,"",MATCH(1225-0.5,$B$3:$B$4503,1))</f>
        <v/>
      </c>
      <c r="D1228">
        <f>"State CSR ("&amp;IF(LEN(INDEX('Providers'!$E$4:$E$503,225))=0,"",INDEX('Providers'!$E$4:$E$503,225))&amp;") – "&amp;IF(LEN(INDEX('Providers'!$A$4:$A$503,225))=0,"",INDEX('Providers'!$A$4:$A$503,225))</f>
        <v/>
      </c>
      <c r="E1228">
        <f>IF(ISNUMBER(INDEX('Providers'!$K$4:$K$503,225)),TEXT(INDEX('Providers'!$K$4:$K$503,225),"yyyy-mm-dd"),"")</f>
        <v/>
      </c>
      <c r="F1228">
        <f>"Registration"</f>
        <v/>
      </c>
      <c r="G1228">
        <f>""</f>
        <v/>
      </c>
      <c r="H1228">
        <f>"High"</f>
        <v/>
      </c>
      <c r="I1228">
        <f>TRIM(IF(LEN(IF(LEN(INDEX('Providers'!$J$4:$J$503,225))=0,"",INDEX('Providers'!$J$4:$J$503,225)))=0,"","CSR no.: "&amp;IF(LEN(INDEX('Providers'!$J$4:$J$503,225))=0,"",INDEX('Providers'!$J$4:$J$503,225))&amp;". ")&amp;IF(LEN(IF(LEN(INDEX('Providers'!$C$4:$C$503,225))=0,"",INDEX('Providers'!$C$4:$C$503,225)))=0,"","NPI: "&amp;IF(LEN(INDEX('Providers'!$C$4:$C$503,225))=0,"",INDEX('Providers'!$C$4:$C$503,225))&amp;". "))</f>
        <v/>
      </c>
      <c r="J1228">
        <f>IF(LEN(INDEX('Providers'!$AJ$4:$AJ$503,225))=0,"",INDEX('Providers'!$AJ$4:$AJ$503,225))</f>
        <v/>
      </c>
      <c r="K1228">
        <f>IF(LEN(INDEX('Providers'!$AI$4:$AI$503,225))=0,"",INDEX('Providers'!$AI$4:$AI$503,225))</f>
        <v/>
      </c>
    </row>
    <row r="1229">
      <c r="A1229">
        <f>IF(AND(LEN('Providers'!A229)&gt;0,ISNUMBER('Providers'!K229)),1,0)</f>
        <v/>
      </c>
      <c r="B1229">
        <f>B1228+A1229</f>
        <v/>
      </c>
      <c r="C1229">
        <f>IF(1226&gt;$B$4503,"",MATCH(1226-0.5,$B$3:$B$4503,1))</f>
        <v/>
      </c>
      <c r="D1229">
        <f>"State CSR ("&amp;IF(LEN(INDEX('Providers'!$E$4:$E$503,226))=0,"",INDEX('Providers'!$E$4:$E$503,226))&amp;") – "&amp;IF(LEN(INDEX('Providers'!$A$4:$A$503,226))=0,"",INDEX('Providers'!$A$4:$A$503,226))</f>
        <v/>
      </c>
      <c r="E1229">
        <f>IF(ISNUMBER(INDEX('Providers'!$K$4:$K$503,226)),TEXT(INDEX('Providers'!$K$4:$K$503,226),"yyyy-mm-dd"),"")</f>
        <v/>
      </c>
      <c r="F1229">
        <f>"Registration"</f>
        <v/>
      </c>
      <c r="G1229">
        <f>""</f>
        <v/>
      </c>
      <c r="H1229">
        <f>"High"</f>
        <v/>
      </c>
      <c r="I1229">
        <f>TRIM(IF(LEN(IF(LEN(INDEX('Providers'!$J$4:$J$503,226))=0,"",INDEX('Providers'!$J$4:$J$503,226)))=0,"","CSR no.: "&amp;IF(LEN(INDEX('Providers'!$J$4:$J$503,226))=0,"",INDEX('Providers'!$J$4:$J$503,226))&amp;". ")&amp;IF(LEN(IF(LEN(INDEX('Providers'!$C$4:$C$503,226))=0,"",INDEX('Providers'!$C$4:$C$503,226)))=0,"","NPI: "&amp;IF(LEN(INDEX('Providers'!$C$4:$C$503,226))=0,"",INDEX('Providers'!$C$4:$C$503,226))&amp;". "))</f>
        <v/>
      </c>
      <c r="J1229">
        <f>IF(LEN(INDEX('Providers'!$AJ$4:$AJ$503,226))=0,"",INDEX('Providers'!$AJ$4:$AJ$503,226))</f>
        <v/>
      </c>
      <c r="K1229">
        <f>IF(LEN(INDEX('Providers'!$AI$4:$AI$503,226))=0,"",INDEX('Providers'!$AI$4:$AI$503,226))</f>
        <v/>
      </c>
    </row>
    <row r="1230">
      <c r="A1230">
        <f>IF(AND(LEN('Providers'!A230)&gt;0,ISNUMBER('Providers'!K230)),1,0)</f>
        <v/>
      </c>
      <c r="B1230">
        <f>B1229+A1230</f>
        <v/>
      </c>
      <c r="C1230">
        <f>IF(1227&gt;$B$4503,"",MATCH(1227-0.5,$B$3:$B$4503,1))</f>
        <v/>
      </c>
      <c r="D1230">
        <f>"State CSR ("&amp;IF(LEN(INDEX('Providers'!$E$4:$E$503,227))=0,"",INDEX('Providers'!$E$4:$E$503,227))&amp;") – "&amp;IF(LEN(INDEX('Providers'!$A$4:$A$503,227))=0,"",INDEX('Providers'!$A$4:$A$503,227))</f>
        <v/>
      </c>
      <c r="E1230">
        <f>IF(ISNUMBER(INDEX('Providers'!$K$4:$K$503,227)),TEXT(INDEX('Providers'!$K$4:$K$503,227),"yyyy-mm-dd"),"")</f>
        <v/>
      </c>
      <c r="F1230">
        <f>"Registration"</f>
        <v/>
      </c>
      <c r="G1230">
        <f>""</f>
        <v/>
      </c>
      <c r="H1230">
        <f>"High"</f>
        <v/>
      </c>
      <c r="I1230">
        <f>TRIM(IF(LEN(IF(LEN(INDEX('Providers'!$J$4:$J$503,227))=0,"",INDEX('Providers'!$J$4:$J$503,227)))=0,"","CSR no.: "&amp;IF(LEN(INDEX('Providers'!$J$4:$J$503,227))=0,"",INDEX('Providers'!$J$4:$J$503,227))&amp;". ")&amp;IF(LEN(IF(LEN(INDEX('Providers'!$C$4:$C$503,227))=0,"",INDEX('Providers'!$C$4:$C$503,227)))=0,"","NPI: "&amp;IF(LEN(INDEX('Providers'!$C$4:$C$503,227))=0,"",INDEX('Providers'!$C$4:$C$503,227))&amp;". "))</f>
        <v/>
      </c>
      <c r="J1230">
        <f>IF(LEN(INDEX('Providers'!$AJ$4:$AJ$503,227))=0,"",INDEX('Providers'!$AJ$4:$AJ$503,227))</f>
        <v/>
      </c>
      <c r="K1230">
        <f>IF(LEN(INDEX('Providers'!$AI$4:$AI$503,227))=0,"",INDEX('Providers'!$AI$4:$AI$503,227))</f>
        <v/>
      </c>
    </row>
    <row r="1231">
      <c r="A1231">
        <f>IF(AND(LEN('Providers'!A231)&gt;0,ISNUMBER('Providers'!K231)),1,0)</f>
        <v/>
      </c>
      <c r="B1231">
        <f>B1230+A1231</f>
        <v/>
      </c>
      <c r="C1231">
        <f>IF(1228&gt;$B$4503,"",MATCH(1228-0.5,$B$3:$B$4503,1))</f>
        <v/>
      </c>
      <c r="D1231">
        <f>"State CSR ("&amp;IF(LEN(INDEX('Providers'!$E$4:$E$503,228))=0,"",INDEX('Providers'!$E$4:$E$503,228))&amp;") – "&amp;IF(LEN(INDEX('Providers'!$A$4:$A$503,228))=0,"",INDEX('Providers'!$A$4:$A$503,228))</f>
        <v/>
      </c>
      <c r="E1231">
        <f>IF(ISNUMBER(INDEX('Providers'!$K$4:$K$503,228)),TEXT(INDEX('Providers'!$K$4:$K$503,228),"yyyy-mm-dd"),"")</f>
        <v/>
      </c>
      <c r="F1231">
        <f>"Registration"</f>
        <v/>
      </c>
      <c r="G1231">
        <f>""</f>
        <v/>
      </c>
      <c r="H1231">
        <f>"High"</f>
        <v/>
      </c>
      <c r="I1231">
        <f>TRIM(IF(LEN(IF(LEN(INDEX('Providers'!$J$4:$J$503,228))=0,"",INDEX('Providers'!$J$4:$J$503,228)))=0,"","CSR no.: "&amp;IF(LEN(INDEX('Providers'!$J$4:$J$503,228))=0,"",INDEX('Providers'!$J$4:$J$503,228))&amp;". ")&amp;IF(LEN(IF(LEN(INDEX('Providers'!$C$4:$C$503,228))=0,"",INDEX('Providers'!$C$4:$C$503,228)))=0,"","NPI: "&amp;IF(LEN(INDEX('Providers'!$C$4:$C$503,228))=0,"",INDEX('Providers'!$C$4:$C$503,228))&amp;". "))</f>
        <v/>
      </c>
      <c r="J1231">
        <f>IF(LEN(INDEX('Providers'!$AJ$4:$AJ$503,228))=0,"",INDEX('Providers'!$AJ$4:$AJ$503,228))</f>
        <v/>
      </c>
      <c r="K1231">
        <f>IF(LEN(INDEX('Providers'!$AI$4:$AI$503,228))=0,"",INDEX('Providers'!$AI$4:$AI$503,228))</f>
        <v/>
      </c>
    </row>
    <row r="1232">
      <c r="A1232">
        <f>IF(AND(LEN('Providers'!A232)&gt;0,ISNUMBER('Providers'!K232)),1,0)</f>
        <v/>
      </c>
      <c r="B1232">
        <f>B1231+A1232</f>
        <v/>
      </c>
      <c r="C1232">
        <f>IF(1229&gt;$B$4503,"",MATCH(1229-0.5,$B$3:$B$4503,1))</f>
        <v/>
      </c>
      <c r="D1232">
        <f>"State CSR ("&amp;IF(LEN(INDEX('Providers'!$E$4:$E$503,229))=0,"",INDEX('Providers'!$E$4:$E$503,229))&amp;") – "&amp;IF(LEN(INDEX('Providers'!$A$4:$A$503,229))=0,"",INDEX('Providers'!$A$4:$A$503,229))</f>
        <v/>
      </c>
      <c r="E1232">
        <f>IF(ISNUMBER(INDEX('Providers'!$K$4:$K$503,229)),TEXT(INDEX('Providers'!$K$4:$K$503,229),"yyyy-mm-dd"),"")</f>
        <v/>
      </c>
      <c r="F1232">
        <f>"Registration"</f>
        <v/>
      </c>
      <c r="G1232">
        <f>""</f>
        <v/>
      </c>
      <c r="H1232">
        <f>"High"</f>
        <v/>
      </c>
      <c r="I1232">
        <f>TRIM(IF(LEN(IF(LEN(INDEX('Providers'!$J$4:$J$503,229))=0,"",INDEX('Providers'!$J$4:$J$503,229)))=0,"","CSR no.: "&amp;IF(LEN(INDEX('Providers'!$J$4:$J$503,229))=0,"",INDEX('Providers'!$J$4:$J$503,229))&amp;". ")&amp;IF(LEN(IF(LEN(INDEX('Providers'!$C$4:$C$503,229))=0,"",INDEX('Providers'!$C$4:$C$503,229)))=0,"","NPI: "&amp;IF(LEN(INDEX('Providers'!$C$4:$C$503,229))=0,"",INDEX('Providers'!$C$4:$C$503,229))&amp;". "))</f>
        <v/>
      </c>
      <c r="J1232">
        <f>IF(LEN(INDEX('Providers'!$AJ$4:$AJ$503,229))=0,"",INDEX('Providers'!$AJ$4:$AJ$503,229))</f>
        <v/>
      </c>
      <c r="K1232">
        <f>IF(LEN(INDEX('Providers'!$AI$4:$AI$503,229))=0,"",INDEX('Providers'!$AI$4:$AI$503,229))</f>
        <v/>
      </c>
    </row>
    <row r="1233">
      <c r="A1233">
        <f>IF(AND(LEN('Providers'!A233)&gt;0,ISNUMBER('Providers'!K233)),1,0)</f>
        <v/>
      </c>
      <c r="B1233">
        <f>B1232+A1233</f>
        <v/>
      </c>
      <c r="C1233">
        <f>IF(1230&gt;$B$4503,"",MATCH(1230-0.5,$B$3:$B$4503,1))</f>
        <v/>
      </c>
      <c r="D1233">
        <f>"State CSR ("&amp;IF(LEN(INDEX('Providers'!$E$4:$E$503,230))=0,"",INDEX('Providers'!$E$4:$E$503,230))&amp;") – "&amp;IF(LEN(INDEX('Providers'!$A$4:$A$503,230))=0,"",INDEX('Providers'!$A$4:$A$503,230))</f>
        <v/>
      </c>
      <c r="E1233">
        <f>IF(ISNUMBER(INDEX('Providers'!$K$4:$K$503,230)),TEXT(INDEX('Providers'!$K$4:$K$503,230),"yyyy-mm-dd"),"")</f>
        <v/>
      </c>
      <c r="F1233">
        <f>"Registration"</f>
        <v/>
      </c>
      <c r="G1233">
        <f>""</f>
        <v/>
      </c>
      <c r="H1233">
        <f>"High"</f>
        <v/>
      </c>
      <c r="I1233">
        <f>TRIM(IF(LEN(IF(LEN(INDEX('Providers'!$J$4:$J$503,230))=0,"",INDEX('Providers'!$J$4:$J$503,230)))=0,"","CSR no.: "&amp;IF(LEN(INDEX('Providers'!$J$4:$J$503,230))=0,"",INDEX('Providers'!$J$4:$J$503,230))&amp;". ")&amp;IF(LEN(IF(LEN(INDEX('Providers'!$C$4:$C$503,230))=0,"",INDEX('Providers'!$C$4:$C$503,230)))=0,"","NPI: "&amp;IF(LEN(INDEX('Providers'!$C$4:$C$503,230))=0,"",INDEX('Providers'!$C$4:$C$503,230))&amp;". "))</f>
        <v/>
      </c>
      <c r="J1233">
        <f>IF(LEN(INDEX('Providers'!$AJ$4:$AJ$503,230))=0,"",INDEX('Providers'!$AJ$4:$AJ$503,230))</f>
        <v/>
      </c>
      <c r="K1233">
        <f>IF(LEN(INDEX('Providers'!$AI$4:$AI$503,230))=0,"",INDEX('Providers'!$AI$4:$AI$503,230))</f>
        <v/>
      </c>
    </row>
    <row r="1234">
      <c r="A1234">
        <f>IF(AND(LEN('Providers'!A234)&gt;0,ISNUMBER('Providers'!K234)),1,0)</f>
        <v/>
      </c>
      <c r="B1234">
        <f>B1233+A1234</f>
        <v/>
      </c>
      <c r="C1234">
        <f>IF(1231&gt;$B$4503,"",MATCH(1231-0.5,$B$3:$B$4503,1))</f>
        <v/>
      </c>
      <c r="D1234">
        <f>"State CSR ("&amp;IF(LEN(INDEX('Providers'!$E$4:$E$503,231))=0,"",INDEX('Providers'!$E$4:$E$503,231))&amp;") – "&amp;IF(LEN(INDEX('Providers'!$A$4:$A$503,231))=0,"",INDEX('Providers'!$A$4:$A$503,231))</f>
        <v/>
      </c>
      <c r="E1234">
        <f>IF(ISNUMBER(INDEX('Providers'!$K$4:$K$503,231)),TEXT(INDEX('Providers'!$K$4:$K$503,231),"yyyy-mm-dd"),"")</f>
        <v/>
      </c>
      <c r="F1234">
        <f>"Registration"</f>
        <v/>
      </c>
      <c r="G1234">
        <f>""</f>
        <v/>
      </c>
      <c r="H1234">
        <f>"High"</f>
        <v/>
      </c>
      <c r="I1234">
        <f>TRIM(IF(LEN(IF(LEN(INDEX('Providers'!$J$4:$J$503,231))=0,"",INDEX('Providers'!$J$4:$J$503,231)))=0,"","CSR no.: "&amp;IF(LEN(INDEX('Providers'!$J$4:$J$503,231))=0,"",INDEX('Providers'!$J$4:$J$503,231))&amp;". ")&amp;IF(LEN(IF(LEN(INDEX('Providers'!$C$4:$C$503,231))=0,"",INDEX('Providers'!$C$4:$C$503,231)))=0,"","NPI: "&amp;IF(LEN(INDEX('Providers'!$C$4:$C$503,231))=0,"",INDEX('Providers'!$C$4:$C$503,231))&amp;". "))</f>
        <v/>
      </c>
      <c r="J1234">
        <f>IF(LEN(INDEX('Providers'!$AJ$4:$AJ$503,231))=0,"",INDEX('Providers'!$AJ$4:$AJ$503,231))</f>
        <v/>
      </c>
      <c r="K1234">
        <f>IF(LEN(INDEX('Providers'!$AI$4:$AI$503,231))=0,"",INDEX('Providers'!$AI$4:$AI$503,231))</f>
        <v/>
      </c>
    </row>
    <row r="1235">
      <c r="A1235">
        <f>IF(AND(LEN('Providers'!A235)&gt;0,ISNUMBER('Providers'!K235)),1,0)</f>
        <v/>
      </c>
      <c r="B1235">
        <f>B1234+A1235</f>
        <v/>
      </c>
      <c r="C1235">
        <f>IF(1232&gt;$B$4503,"",MATCH(1232-0.5,$B$3:$B$4503,1))</f>
        <v/>
      </c>
      <c r="D1235">
        <f>"State CSR ("&amp;IF(LEN(INDEX('Providers'!$E$4:$E$503,232))=0,"",INDEX('Providers'!$E$4:$E$503,232))&amp;") – "&amp;IF(LEN(INDEX('Providers'!$A$4:$A$503,232))=0,"",INDEX('Providers'!$A$4:$A$503,232))</f>
        <v/>
      </c>
      <c r="E1235">
        <f>IF(ISNUMBER(INDEX('Providers'!$K$4:$K$503,232)),TEXT(INDEX('Providers'!$K$4:$K$503,232),"yyyy-mm-dd"),"")</f>
        <v/>
      </c>
      <c r="F1235">
        <f>"Registration"</f>
        <v/>
      </c>
      <c r="G1235">
        <f>""</f>
        <v/>
      </c>
      <c r="H1235">
        <f>"High"</f>
        <v/>
      </c>
      <c r="I1235">
        <f>TRIM(IF(LEN(IF(LEN(INDEX('Providers'!$J$4:$J$503,232))=0,"",INDEX('Providers'!$J$4:$J$503,232)))=0,"","CSR no.: "&amp;IF(LEN(INDEX('Providers'!$J$4:$J$503,232))=0,"",INDEX('Providers'!$J$4:$J$503,232))&amp;". ")&amp;IF(LEN(IF(LEN(INDEX('Providers'!$C$4:$C$503,232))=0,"",INDEX('Providers'!$C$4:$C$503,232)))=0,"","NPI: "&amp;IF(LEN(INDEX('Providers'!$C$4:$C$503,232))=0,"",INDEX('Providers'!$C$4:$C$503,232))&amp;". "))</f>
        <v/>
      </c>
      <c r="J1235">
        <f>IF(LEN(INDEX('Providers'!$AJ$4:$AJ$503,232))=0,"",INDEX('Providers'!$AJ$4:$AJ$503,232))</f>
        <v/>
      </c>
      <c r="K1235">
        <f>IF(LEN(INDEX('Providers'!$AI$4:$AI$503,232))=0,"",INDEX('Providers'!$AI$4:$AI$503,232))</f>
        <v/>
      </c>
    </row>
    <row r="1236">
      <c r="A1236">
        <f>IF(AND(LEN('Providers'!A236)&gt;0,ISNUMBER('Providers'!K236)),1,0)</f>
        <v/>
      </c>
      <c r="B1236">
        <f>B1235+A1236</f>
        <v/>
      </c>
      <c r="C1236">
        <f>IF(1233&gt;$B$4503,"",MATCH(1233-0.5,$B$3:$B$4503,1))</f>
        <v/>
      </c>
      <c r="D1236">
        <f>"State CSR ("&amp;IF(LEN(INDEX('Providers'!$E$4:$E$503,233))=0,"",INDEX('Providers'!$E$4:$E$503,233))&amp;") – "&amp;IF(LEN(INDEX('Providers'!$A$4:$A$503,233))=0,"",INDEX('Providers'!$A$4:$A$503,233))</f>
        <v/>
      </c>
      <c r="E1236">
        <f>IF(ISNUMBER(INDEX('Providers'!$K$4:$K$503,233)),TEXT(INDEX('Providers'!$K$4:$K$503,233),"yyyy-mm-dd"),"")</f>
        <v/>
      </c>
      <c r="F1236">
        <f>"Registration"</f>
        <v/>
      </c>
      <c r="G1236">
        <f>""</f>
        <v/>
      </c>
      <c r="H1236">
        <f>"High"</f>
        <v/>
      </c>
      <c r="I1236">
        <f>TRIM(IF(LEN(IF(LEN(INDEX('Providers'!$J$4:$J$503,233))=0,"",INDEX('Providers'!$J$4:$J$503,233)))=0,"","CSR no.: "&amp;IF(LEN(INDEX('Providers'!$J$4:$J$503,233))=0,"",INDEX('Providers'!$J$4:$J$503,233))&amp;". ")&amp;IF(LEN(IF(LEN(INDEX('Providers'!$C$4:$C$503,233))=0,"",INDEX('Providers'!$C$4:$C$503,233)))=0,"","NPI: "&amp;IF(LEN(INDEX('Providers'!$C$4:$C$503,233))=0,"",INDEX('Providers'!$C$4:$C$503,233))&amp;". "))</f>
        <v/>
      </c>
      <c r="J1236">
        <f>IF(LEN(INDEX('Providers'!$AJ$4:$AJ$503,233))=0,"",INDEX('Providers'!$AJ$4:$AJ$503,233))</f>
        <v/>
      </c>
      <c r="K1236">
        <f>IF(LEN(INDEX('Providers'!$AI$4:$AI$503,233))=0,"",INDEX('Providers'!$AI$4:$AI$503,233))</f>
        <v/>
      </c>
    </row>
    <row r="1237">
      <c r="A1237">
        <f>IF(AND(LEN('Providers'!A237)&gt;0,ISNUMBER('Providers'!K237)),1,0)</f>
        <v/>
      </c>
      <c r="B1237">
        <f>B1236+A1237</f>
        <v/>
      </c>
      <c r="C1237">
        <f>IF(1234&gt;$B$4503,"",MATCH(1234-0.5,$B$3:$B$4503,1))</f>
        <v/>
      </c>
      <c r="D1237">
        <f>"State CSR ("&amp;IF(LEN(INDEX('Providers'!$E$4:$E$503,234))=0,"",INDEX('Providers'!$E$4:$E$503,234))&amp;") – "&amp;IF(LEN(INDEX('Providers'!$A$4:$A$503,234))=0,"",INDEX('Providers'!$A$4:$A$503,234))</f>
        <v/>
      </c>
      <c r="E1237">
        <f>IF(ISNUMBER(INDEX('Providers'!$K$4:$K$503,234)),TEXT(INDEX('Providers'!$K$4:$K$503,234),"yyyy-mm-dd"),"")</f>
        <v/>
      </c>
      <c r="F1237">
        <f>"Registration"</f>
        <v/>
      </c>
      <c r="G1237">
        <f>""</f>
        <v/>
      </c>
      <c r="H1237">
        <f>"High"</f>
        <v/>
      </c>
      <c r="I1237">
        <f>TRIM(IF(LEN(IF(LEN(INDEX('Providers'!$J$4:$J$503,234))=0,"",INDEX('Providers'!$J$4:$J$503,234)))=0,"","CSR no.: "&amp;IF(LEN(INDEX('Providers'!$J$4:$J$503,234))=0,"",INDEX('Providers'!$J$4:$J$503,234))&amp;". ")&amp;IF(LEN(IF(LEN(INDEX('Providers'!$C$4:$C$503,234))=0,"",INDEX('Providers'!$C$4:$C$503,234)))=0,"","NPI: "&amp;IF(LEN(INDEX('Providers'!$C$4:$C$503,234))=0,"",INDEX('Providers'!$C$4:$C$503,234))&amp;". "))</f>
        <v/>
      </c>
      <c r="J1237">
        <f>IF(LEN(INDEX('Providers'!$AJ$4:$AJ$503,234))=0,"",INDEX('Providers'!$AJ$4:$AJ$503,234))</f>
        <v/>
      </c>
      <c r="K1237">
        <f>IF(LEN(INDEX('Providers'!$AI$4:$AI$503,234))=0,"",INDEX('Providers'!$AI$4:$AI$503,234))</f>
        <v/>
      </c>
    </row>
    <row r="1238">
      <c r="A1238">
        <f>IF(AND(LEN('Providers'!A238)&gt;0,ISNUMBER('Providers'!K238)),1,0)</f>
        <v/>
      </c>
      <c r="B1238">
        <f>B1237+A1238</f>
        <v/>
      </c>
      <c r="C1238">
        <f>IF(1235&gt;$B$4503,"",MATCH(1235-0.5,$B$3:$B$4503,1))</f>
        <v/>
      </c>
      <c r="D1238">
        <f>"State CSR ("&amp;IF(LEN(INDEX('Providers'!$E$4:$E$503,235))=0,"",INDEX('Providers'!$E$4:$E$503,235))&amp;") – "&amp;IF(LEN(INDEX('Providers'!$A$4:$A$503,235))=0,"",INDEX('Providers'!$A$4:$A$503,235))</f>
        <v/>
      </c>
      <c r="E1238">
        <f>IF(ISNUMBER(INDEX('Providers'!$K$4:$K$503,235)),TEXT(INDEX('Providers'!$K$4:$K$503,235),"yyyy-mm-dd"),"")</f>
        <v/>
      </c>
      <c r="F1238">
        <f>"Registration"</f>
        <v/>
      </c>
      <c r="G1238">
        <f>""</f>
        <v/>
      </c>
      <c r="H1238">
        <f>"High"</f>
        <v/>
      </c>
      <c r="I1238">
        <f>TRIM(IF(LEN(IF(LEN(INDEX('Providers'!$J$4:$J$503,235))=0,"",INDEX('Providers'!$J$4:$J$503,235)))=0,"","CSR no.: "&amp;IF(LEN(INDEX('Providers'!$J$4:$J$503,235))=0,"",INDEX('Providers'!$J$4:$J$503,235))&amp;". ")&amp;IF(LEN(IF(LEN(INDEX('Providers'!$C$4:$C$503,235))=0,"",INDEX('Providers'!$C$4:$C$503,235)))=0,"","NPI: "&amp;IF(LEN(INDEX('Providers'!$C$4:$C$503,235))=0,"",INDEX('Providers'!$C$4:$C$503,235))&amp;". "))</f>
        <v/>
      </c>
      <c r="J1238">
        <f>IF(LEN(INDEX('Providers'!$AJ$4:$AJ$503,235))=0,"",INDEX('Providers'!$AJ$4:$AJ$503,235))</f>
        <v/>
      </c>
      <c r="K1238">
        <f>IF(LEN(INDEX('Providers'!$AI$4:$AI$503,235))=0,"",INDEX('Providers'!$AI$4:$AI$503,235))</f>
        <v/>
      </c>
    </row>
    <row r="1239">
      <c r="A1239">
        <f>IF(AND(LEN('Providers'!A239)&gt;0,ISNUMBER('Providers'!K239)),1,0)</f>
        <v/>
      </c>
      <c r="B1239">
        <f>B1238+A1239</f>
        <v/>
      </c>
      <c r="C1239">
        <f>IF(1236&gt;$B$4503,"",MATCH(1236-0.5,$B$3:$B$4503,1))</f>
        <v/>
      </c>
      <c r="D1239">
        <f>"State CSR ("&amp;IF(LEN(INDEX('Providers'!$E$4:$E$503,236))=0,"",INDEX('Providers'!$E$4:$E$503,236))&amp;") – "&amp;IF(LEN(INDEX('Providers'!$A$4:$A$503,236))=0,"",INDEX('Providers'!$A$4:$A$503,236))</f>
        <v/>
      </c>
      <c r="E1239">
        <f>IF(ISNUMBER(INDEX('Providers'!$K$4:$K$503,236)),TEXT(INDEX('Providers'!$K$4:$K$503,236),"yyyy-mm-dd"),"")</f>
        <v/>
      </c>
      <c r="F1239">
        <f>"Registration"</f>
        <v/>
      </c>
      <c r="G1239">
        <f>""</f>
        <v/>
      </c>
      <c r="H1239">
        <f>"High"</f>
        <v/>
      </c>
      <c r="I1239">
        <f>TRIM(IF(LEN(IF(LEN(INDEX('Providers'!$J$4:$J$503,236))=0,"",INDEX('Providers'!$J$4:$J$503,236)))=0,"","CSR no.: "&amp;IF(LEN(INDEX('Providers'!$J$4:$J$503,236))=0,"",INDEX('Providers'!$J$4:$J$503,236))&amp;". ")&amp;IF(LEN(IF(LEN(INDEX('Providers'!$C$4:$C$503,236))=0,"",INDEX('Providers'!$C$4:$C$503,236)))=0,"","NPI: "&amp;IF(LEN(INDEX('Providers'!$C$4:$C$503,236))=0,"",INDEX('Providers'!$C$4:$C$503,236))&amp;". "))</f>
        <v/>
      </c>
      <c r="J1239">
        <f>IF(LEN(INDEX('Providers'!$AJ$4:$AJ$503,236))=0,"",INDEX('Providers'!$AJ$4:$AJ$503,236))</f>
        <v/>
      </c>
      <c r="K1239">
        <f>IF(LEN(INDEX('Providers'!$AI$4:$AI$503,236))=0,"",INDEX('Providers'!$AI$4:$AI$503,236))</f>
        <v/>
      </c>
    </row>
    <row r="1240">
      <c r="A1240">
        <f>IF(AND(LEN('Providers'!A240)&gt;0,ISNUMBER('Providers'!K240)),1,0)</f>
        <v/>
      </c>
      <c r="B1240">
        <f>B1239+A1240</f>
        <v/>
      </c>
      <c r="C1240">
        <f>IF(1237&gt;$B$4503,"",MATCH(1237-0.5,$B$3:$B$4503,1))</f>
        <v/>
      </c>
      <c r="D1240">
        <f>"State CSR ("&amp;IF(LEN(INDEX('Providers'!$E$4:$E$503,237))=0,"",INDEX('Providers'!$E$4:$E$503,237))&amp;") – "&amp;IF(LEN(INDEX('Providers'!$A$4:$A$503,237))=0,"",INDEX('Providers'!$A$4:$A$503,237))</f>
        <v/>
      </c>
      <c r="E1240">
        <f>IF(ISNUMBER(INDEX('Providers'!$K$4:$K$503,237)),TEXT(INDEX('Providers'!$K$4:$K$503,237),"yyyy-mm-dd"),"")</f>
        <v/>
      </c>
      <c r="F1240">
        <f>"Registration"</f>
        <v/>
      </c>
      <c r="G1240">
        <f>""</f>
        <v/>
      </c>
      <c r="H1240">
        <f>"High"</f>
        <v/>
      </c>
      <c r="I1240">
        <f>TRIM(IF(LEN(IF(LEN(INDEX('Providers'!$J$4:$J$503,237))=0,"",INDEX('Providers'!$J$4:$J$503,237)))=0,"","CSR no.: "&amp;IF(LEN(INDEX('Providers'!$J$4:$J$503,237))=0,"",INDEX('Providers'!$J$4:$J$503,237))&amp;". ")&amp;IF(LEN(IF(LEN(INDEX('Providers'!$C$4:$C$503,237))=0,"",INDEX('Providers'!$C$4:$C$503,237)))=0,"","NPI: "&amp;IF(LEN(INDEX('Providers'!$C$4:$C$503,237))=0,"",INDEX('Providers'!$C$4:$C$503,237))&amp;". "))</f>
        <v/>
      </c>
      <c r="J1240">
        <f>IF(LEN(INDEX('Providers'!$AJ$4:$AJ$503,237))=0,"",INDEX('Providers'!$AJ$4:$AJ$503,237))</f>
        <v/>
      </c>
      <c r="K1240">
        <f>IF(LEN(INDEX('Providers'!$AI$4:$AI$503,237))=0,"",INDEX('Providers'!$AI$4:$AI$503,237))</f>
        <v/>
      </c>
    </row>
    <row r="1241">
      <c r="A1241">
        <f>IF(AND(LEN('Providers'!A241)&gt;0,ISNUMBER('Providers'!K241)),1,0)</f>
        <v/>
      </c>
      <c r="B1241">
        <f>B1240+A1241</f>
        <v/>
      </c>
      <c r="C1241">
        <f>IF(1238&gt;$B$4503,"",MATCH(1238-0.5,$B$3:$B$4503,1))</f>
        <v/>
      </c>
      <c r="D1241">
        <f>"State CSR ("&amp;IF(LEN(INDEX('Providers'!$E$4:$E$503,238))=0,"",INDEX('Providers'!$E$4:$E$503,238))&amp;") – "&amp;IF(LEN(INDEX('Providers'!$A$4:$A$503,238))=0,"",INDEX('Providers'!$A$4:$A$503,238))</f>
        <v/>
      </c>
      <c r="E1241">
        <f>IF(ISNUMBER(INDEX('Providers'!$K$4:$K$503,238)),TEXT(INDEX('Providers'!$K$4:$K$503,238),"yyyy-mm-dd"),"")</f>
        <v/>
      </c>
      <c r="F1241">
        <f>"Registration"</f>
        <v/>
      </c>
      <c r="G1241">
        <f>""</f>
        <v/>
      </c>
      <c r="H1241">
        <f>"High"</f>
        <v/>
      </c>
      <c r="I1241">
        <f>TRIM(IF(LEN(IF(LEN(INDEX('Providers'!$J$4:$J$503,238))=0,"",INDEX('Providers'!$J$4:$J$503,238)))=0,"","CSR no.: "&amp;IF(LEN(INDEX('Providers'!$J$4:$J$503,238))=0,"",INDEX('Providers'!$J$4:$J$503,238))&amp;". ")&amp;IF(LEN(IF(LEN(INDEX('Providers'!$C$4:$C$503,238))=0,"",INDEX('Providers'!$C$4:$C$503,238)))=0,"","NPI: "&amp;IF(LEN(INDEX('Providers'!$C$4:$C$503,238))=0,"",INDEX('Providers'!$C$4:$C$503,238))&amp;". "))</f>
        <v/>
      </c>
      <c r="J1241">
        <f>IF(LEN(INDEX('Providers'!$AJ$4:$AJ$503,238))=0,"",INDEX('Providers'!$AJ$4:$AJ$503,238))</f>
        <v/>
      </c>
      <c r="K1241">
        <f>IF(LEN(INDEX('Providers'!$AI$4:$AI$503,238))=0,"",INDEX('Providers'!$AI$4:$AI$503,238))</f>
        <v/>
      </c>
    </row>
    <row r="1242">
      <c r="A1242">
        <f>IF(AND(LEN('Providers'!A242)&gt;0,ISNUMBER('Providers'!K242)),1,0)</f>
        <v/>
      </c>
      <c r="B1242">
        <f>B1241+A1242</f>
        <v/>
      </c>
      <c r="C1242">
        <f>IF(1239&gt;$B$4503,"",MATCH(1239-0.5,$B$3:$B$4503,1))</f>
        <v/>
      </c>
      <c r="D1242">
        <f>"State CSR ("&amp;IF(LEN(INDEX('Providers'!$E$4:$E$503,239))=0,"",INDEX('Providers'!$E$4:$E$503,239))&amp;") – "&amp;IF(LEN(INDEX('Providers'!$A$4:$A$503,239))=0,"",INDEX('Providers'!$A$4:$A$503,239))</f>
        <v/>
      </c>
      <c r="E1242">
        <f>IF(ISNUMBER(INDEX('Providers'!$K$4:$K$503,239)),TEXT(INDEX('Providers'!$K$4:$K$503,239),"yyyy-mm-dd"),"")</f>
        <v/>
      </c>
      <c r="F1242">
        <f>"Registration"</f>
        <v/>
      </c>
      <c r="G1242">
        <f>""</f>
        <v/>
      </c>
      <c r="H1242">
        <f>"High"</f>
        <v/>
      </c>
      <c r="I1242">
        <f>TRIM(IF(LEN(IF(LEN(INDEX('Providers'!$J$4:$J$503,239))=0,"",INDEX('Providers'!$J$4:$J$503,239)))=0,"","CSR no.: "&amp;IF(LEN(INDEX('Providers'!$J$4:$J$503,239))=0,"",INDEX('Providers'!$J$4:$J$503,239))&amp;". ")&amp;IF(LEN(IF(LEN(INDEX('Providers'!$C$4:$C$503,239))=0,"",INDEX('Providers'!$C$4:$C$503,239)))=0,"","NPI: "&amp;IF(LEN(INDEX('Providers'!$C$4:$C$503,239))=0,"",INDEX('Providers'!$C$4:$C$503,239))&amp;". "))</f>
        <v/>
      </c>
      <c r="J1242">
        <f>IF(LEN(INDEX('Providers'!$AJ$4:$AJ$503,239))=0,"",INDEX('Providers'!$AJ$4:$AJ$503,239))</f>
        <v/>
      </c>
      <c r="K1242">
        <f>IF(LEN(INDEX('Providers'!$AI$4:$AI$503,239))=0,"",INDEX('Providers'!$AI$4:$AI$503,239))</f>
        <v/>
      </c>
    </row>
    <row r="1243">
      <c r="A1243">
        <f>IF(AND(LEN('Providers'!A243)&gt;0,ISNUMBER('Providers'!K243)),1,0)</f>
        <v/>
      </c>
      <c r="B1243">
        <f>B1242+A1243</f>
        <v/>
      </c>
      <c r="C1243">
        <f>IF(1240&gt;$B$4503,"",MATCH(1240-0.5,$B$3:$B$4503,1))</f>
        <v/>
      </c>
      <c r="D1243">
        <f>"State CSR ("&amp;IF(LEN(INDEX('Providers'!$E$4:$E$503,240))=0,"",INDEX('Providers'!$E$4:$E$503,240))&amp;") – "&amp;IF(LEN(INDEX('Providers'!$A$4:$A$503,240))=0,"",INDEX('Providers'!$A$4:$A$503,240))</f>
        <v/>
      </c>
      <c r="E1243">
        <f>IF(ISNUMBER(INDEX('Providers'!$K$4:$K$503,240)),TEXT(INDEX('Providers'!$K$4:$K$503,240),"yyyy-mm-dd"),"")</f>
        <v/>
      </c>
      <c r="F1243">
        <f>"Registration"</f>
        <v/>
      </c>
      <c r="G1243">
        <f>""</f>
        <v/>
      </c>
      <c r="H1243">
        <f>"High"</f>
        <v/>
      </c>
      <c r="I1243">
        <f>TRIM(IF(LEN(IF(LEN(INDEX('Providers'!$J$4:$J$503,240))=0,"",INDEX('Providers'!$J$4:$J$503,240)))=0,"","CSR no.: "&amp;IF(LEN(INDEX('Providers'!$J$4:$J$503,240))=0,"",INDEX('Providers'!$J$4:$J$503,240))&amp;". ")&amp;IF(LEN(IF(LEN(INDEX('Providers'!$C$4:$C$503,240))=0,"",INDEX('Providers'!$C$4:$C$503,240)))=0,"","NPI: "&amp;IF(LEN(INDEX('Providers'!$C$4:$C$503,240))=0,"",INDEX('Providers'!$C$4:$C$503,240))&amp;". "))</f>
        <v/>
      </c>
      <c r="J1243">
        <f>IF(LEN(INDEX('Providers'!$AJ$4:$AJ$503,240))=0,"",INDEX('Providers'!$AJ$4:$AJ$503,240))</f>
        <v/>
      </c>
      <c r="K1243">
        <f>IF(LEN(INDEX('Providers'!$AI$4:$AI$503,240))=0,"",INDEX('Providers'!$AI$4:$AI$503,240))</f>
        <v/>
      </c>
    </row>
    <row r="1244">
      <c r="A1244">
        <f>IF(AND(LEN('Providers'!A244)&gt;0,ISNUMBER('Providers'!K244)),1,0)</f>
        <v/>
      </c>
      <c r="B1244">
        <f>B1243+A1244</f>
        <v/>
      </c>
      <c r="C1244">
        <f>IF(1241&gt;$B$4503,"",MATCH(1241-0.5,$B$3:$B$4503,1))</f>
        <v/>
      </c>
      <c r="D1244">
        <f>"State CSR ("&amp;IF(LEN(INDEX('Providers'!$E$4:$E$503,241))=0,"",INDEX('Providers'!$E$4:$E$503,241))&amp;") – "&amp;IF(LEN(INDEX('Providers'!$A$4:$A$503,241))=0,"",INDEX('Providers'!$A$4:$A$503,241))</f>
        <v/>
      </c>
      <c r="E1244">
        <f>IF(ISNUMBER(INDEX('Providers'!$K$4:$K$503,241)),TEXT(INDEX('Providers'!$K$4:$K$503,241),"yyyy-mm-dd"),"")</f>
        <v/>
      </c>
      <c r="F1244">
        <f>"Registration"</f>
        <v/>
      </c>
      <c r="G1244">
        <f>""</f>
        <v/>
      </c>
      <c r="H1244">
        <f>"High"</f>
        <v/>
      </c>
      <c r="I1244">
        <f>TRIM(IF(LEN(IF(LEN(INDEX('Providers'!$J$4:$J$503,241))=0,"",INDEX('Providers'!$J$4:$J$503,241)))=0,"","CSR no.: "&amp;IF(LEN(INDEX('Providers'!$J$4:$J$503,241))=0,"",INDEX('Providers'!$J$4:$J$503,241))&amp;". ")&amp;IF(LEN(IF(LEN(INDEX('Providers'!$C$4:$C$503,241))=0,"",INDEX('Providers'!$C$4:$C$503,241)))=0,"","NPI: "&amp;IF(LEN(INDEX('Providers'!$C$4:$C$503,241))=0,"",INDEX('Providers'!$C$4:$C$503,241))&amp;". "))</f>
        <v/>
      </c>
      <c r="J1244">
        <f>IF(LEN(INDEX('Providers'!$AJ$4:$AJ$503,241))=0,"",INDEX('Providers'!$AJ$4:$AJ$503,241))</f>
        <v/>
      </c>
      <c r="K1244">
        <f>IF(LEN(INDEX('Providers'!$AI$4:$AI$503,241))=0,"",INDEX('Providers'!$AI$4:$AI$503,241))</f>
        <v/>
      </c>
    </row>
    <row r="1245">
      <c r="A1245">
        <f>IF(AND(LEN('Providers'!A245)&gt;0,ISNUMBER('Providers'!K245)),1,0)</f>
        <v/>
      </c>
      <c r="B1245">
        <f>B1244+A1245</f>
        <v/>
      </c>
      <c r="C1245">
        <f>IF(1242&gt;$B$4503,"",MATCH(1242-0.5,$B$3:$B$4503,1))</f>
        <v/>
      </c>
      <c r="D1245">
        <f>"State CSR ("&amp;IF(LEN(INDEX('Providers'!$E$4:$E$503,242))=0,"",INDEX('Providers'!$E$4:$E$503,242))&amp;") – "&amp;IF(LEN(INDEX('Providers'!$A$4:$A$503,242))=0,"",INDEX('Providers'!$A$4:$A$503,242))</f>
        <v/>
      </c>
      <c r="E1245">
        <f>IF(ISNUMBER(INDEX('Providers'!$K$4:$K$503,242)),TEXT(INDEX('Providers'!$K$4:$K$503,242),"yyyy-mm-dd"),"")</f>
        <v/>
      </c>
      <c r="F1245">
        <f>"Registration"</f>
        <v/>
      </c>
      <c r="G1245">
        <f>""</f>
        <v/>
      </c>
      <c r="H1245">
        <f>"High"</f>
        <v/>
      </c>
      <c r="I1245">
        <f>TRIM(IF(LEN(IF(LEN(INDEX('Providers'!$J$4:$J$503,242))=0,"",INDEX('Providers'!$J$4:$J$503,242)))=0,"","CSR no.: "&amp;IF(LEN(INDEX('Providers'!$J$4:$J$503,242))=0,"",INDEX('Providers'!$J$4:$J$503,242))&amp;". ")&amp;IF(LEN(IF(LEN(INDEX('Providers'!$C$4:$C$503,242))=0,"",INDEX('Providers'!$C$4:$C$503,242)))=0,"","NPI: "&amp;IF(LEN(INDEX('Providers'!$C$4:$C$503,242))=0,"",INDEX('Providers'!$C$4:$C$503,242))&amp;". "))</f>
        <v/>
      </c>
      <c r="J1245">
        <f>IF(LEN(INDEX('Providers'!$AJ$4:$AJ$503,242))=0,"",INDEX('Providers'!$AJ$4:$AJ$503,242))</f>
        <v/>
      </c>
      <c r="K1245">
        <f>IF(LEN(INDEX('Providers'!$AI$4:$AI$503,242))=0,"",INDEX('Providers'!$AI$4:$AI$503,242))</f>
        <v/>
      </c>
    </row>
    <row r="1246">
      <c r="A1246">
        <f>IF(AND(LEN('Providers'!A246)&gt;0,ISNUMBER('Providers'!K246)),1,0)</f>
        <v/>
      </c>
      <c r="B1246">
        <f>B1245+A1246</f>
        <v/>
      </c>
      <c r="C1246">
        <f>IF(1243&gt;$B$4503,"",MATCH(1243-0.5,$B$3:$B$4503,1))</f>
        <v/>
      </c>
      <c r="D1246">
        <f>"State CSR ("&amp;IF(LEN(INDEX('Providers'!$E$4:$E$503,243))=0,"",INDEX('Providers'!$E$4:$E$503,243))&amp;") – "&amp;IF(LEN(INDEX('Providers'!$A$4:$A$503,243))=0,"",INDEX('Providers'!$A$4:$A$503,243))</f>
        <v/>
      </c>
      <c r="E1246">
        <f>IF(ISNUMBER(INDEX('Providers'!$K$4:$K$503,243)),TEXT(INDEX('Providers'!$K$4:$K$503,243),"yyyy-mm-dd"),"")</f>
        <v/>
      </c>
      <c r="F1246">
        <f>"Registration"</f>
        <v/>
      </c>
      <c r="G1246">
        <f>""</f>
        <v/>
      </c>
      <c r="H1246">
        <f>"High"</f>
        <v/>
      </c>
      <c r="I1246">
        <f>TRIM(IF(LEN(IF(LEN(INDEX('Providers'!$J$4:$J$503,243))=0,"",INDEX('Providers'!$J$4:$J$503,243)))=0,"","CSR no.: "&amp;IF(LEN(INDEX('Providers'!$J$4:$J$503,243))=0,"",INDEX('Providers'!$J$4:$J$503,243))&amp;". ")&amp;IF(LEN(IF(LEN(INDEX('Providers'!$C$4:$C$503,243))=0,"",INDEX('Providers'!$C$4:$C$503,243)))=0,"","NPI: "&amp;IF(LEN(INDEX('Providers'!$C$4:$C$503,243))=0,"",INDEX('Providers'!$C$4:$C$503,243))&amp;". "))</f>
        <v/>
      </c>
      <c r="J1246">
        <f>IF(LEN(INDEX('Providers'!$AJ$4:$AJ$503,243))=0,"",INDEX('Providers'!$AJ$4:$AJ$503,243))</f>
        <v/>
      </c>
      <c r="K1246">
        <f>IF(LEN(INDEX('Providers'!$AI$4:$AI$503,243))=0,"",INDEX('Providers'!$AI$4:$AI$503,243))</f>
        <v/>
      </c>
    </row>
    <row r="1247">
      <c r="A1247">
        <f>IF(AND(LEN('Providers'!A247)&gt;0,ISNUMBER('Providers'!K247)),1,0)</f>
        <v/>
      </c>
      <c r="B1247">
        <f>B1246+A1247</f>
        <v/>
      </c>
      <c r="C1247">
        <f>IF(1244&gt;$B$4503,"",MATCH(1244-0.5,$B$3:$B$4503,1))</f>
        <v/>
      </c>
      <c r="D1247">
        <f>"State CSR ("&amp;IF(LEN(INDEX('Providers'!$E$4:$E$503,244))=0,"",INDEX('Providers'!$E$4:$E$503,244))&amp;") – "&amp;IF(LEN(INDEX('Providers'!$A$4:$A$503,244))=0,"",INDEX('Providers'!$A$4:$A$503,244))</f>
        <v/>
      </c>
      <c r="E1247">
        <f>IF(ISNUMBER(INDEX('Providers'!$K$4:$K$503,244)),TEXT(INDEX('Providers'!$K$4:$K$503,244),"yyyy-mm-dd"),"")</f>
        <v/>
      </c>
      <c r="F1247">
        <f>"Registration"</f>
        <v/>
      </c>
      <c r="G1247">
        <f>""</f>
        <v/>
      </c>
      <c r="H1247">
        <f>"High"</f>
        <v/>
      </c>
      <c r="I1247">
        <f>TRIM(IF(LEN(IF(LEN(INDEX('Providers'!$J$4:$J$503,244))=0,"",INDEX('Providers'!$J$4:$J$503,244)))=0,"","CSR no.: "&amp;IF(LEN(INDEX('Providers'!$J$4:$J$503,244))=0,"",INDEX('Providers'!$J$4:$J$503,244))&amp;". ")&amp;IF(LEN(IF(LEN(INDEX('Providers'!$C$4:$C$503,244))=0,"",INDEX('Providers'!$C$4:$C$503,244)))=0,"","NPI: "&amp;IF(LEN(INDEX('Providers'!$C$4:$C$503,244))=0,"",INDEX('Providers'!$C$4:$C$503,244))&amp;". "))</f>
        <v/>
      </c>
      <c r="J1247">
        <f>IF(LEN(INDEX('Providers'!$AJ$4:$AJ$503,244))=0,"",INDEX('Providers'!$AJ$4:$AJ$503,244))</f>
        <v/>
      </c>
      <c r="K1247">
        <f>IF(LEN(INDEX('Providers'!$AI$4:$AI$503,244))=0,"",INDEX('Providers'!$AI$4:$AI$503,244))</f>
        <v/>
      </c>
    </row>
    <row r="1248">
      <c r="A1248">
        <f>IF(AND(LEN('Providers'!A248)&gt;0,ISNUMBER('Providers'!K248)),1,0)</f>
        <v/>
      </c>
      <c r="B1248">
        <f>B1247+A1248</f>
        <v/>
      </c>
      <c r="C1248">
        <f>IF(1245&gt;$B$4503,"",MATCH(1245-0.5,$B$3:$B$4503,1))</f>
        <v/>
      </c>
      <c r="D1248">
        <f>"State CSR ("&amp;IF(LEN(INDEX('Providers'!$E$4:$E$503,245))=0,"",INDEX('Providers'!$E$4:$E$503,245))&amp;") – "&amp;IF(LEN(INDEX('Providers'!$A$4:$A$503,245))=0,"",INDEX('Providers'!$A$4:$A$503,245))</f>
        <v/>
      </c>
      <c r="E1248">
        <f>IF(ISNUMBER(INDEX('Providers'!$K$4:$K$503,245)),TEXT(INDEX('Providers'!$K$4:$K$503,245),"yyyy-mm-dd"),"")</f>
        <v/>
      </c>
      <c r="F1248">
        <f>"Registration"</f>
        <v/>
      </c>
      <c r="G1248">
        <f>""</f>
        <v/>
      </c>
      <c r="H1248">
        <f>"High"</f>
        <v/>
      </c>
      <c r="I1248">
        <f>TRIM(IF(LEN(IF(LEN(INDEX('Providers'!$J$4:$J$503,245))=0,"",INDEX('Providers'!$J$4:$J$503,245)))=0,"","CSR no.: "&amp;IF(LEN(INDEX('Providers'!$J$4:$J$503,245))=0,"",INDEX('Providers'!$J$4:$J$503,245))&amp;". ")&amp;IF(LEN(IF(LEN(INDEX('Providers'!$C$4:$C$503,245))=0,"",INDEX('Providers'!$C$4:$C$503,245)))=0,"","NPI: "&amp;IF(LEN(INDEX('Providers'!$C$4:$C$503,245))=0,"",INDEX('Providers'!$C$4:$C$503,245))&amp;". "))</f>
        <v/>
      </c>
      <c r="J1248">
        <f>IF(LEN(INDEX('Providers'!$AJ$4:$AJ$503,245))=0,"",INDEX('Providers'!$AJ$4:$AJ$503,245))</f>
        <v/>
      </c>
      <c r="K1248">
        <f>IF(LEN(INDEX('Providers'!$AI$4:$AI$503,245))=0,"",INDEX('Providers'!$AI$4:$AI$503,245))</f>
        <v/>
      </c>
    </row>
    <row r="1249">
      <c r="A1249">
        <f>IF(AND(LEN('Providers'!A249)&gt;0,ISNUMBER('Providers'!K249)),1,0)</f>
        <v/>
      </c>
      <c r="B1249">
        <f>B1248+A1249</f>
        <v/>
      </c>
      <c r="C1249">
        <f>IF(1246&gt;$B$4503,"",MATCH(1246-0.5,$B$3:$B$4503,1))</f>
        <v/>
      </c>
      <c r="D1249">
        <f>"State CSR ("&amp;IF(LEN(INDEX('Providers'!$E$4:$E$503,246))=0,"",INDEX('Providers'!$E$4:$E$503,246))&amp;") – "&amp;IF(LEN(INDEX('Providers'!$A$4:$A$503,246))=0,"",INDEX('Providers'!$A$4:$A$503,246))</f>
        <v/>
      </c>
      <c r="E1249">
        <f>IF(ISNUMBER(INDEX('Providers'!$K$4:$K$503,246)),TEXT(INDEX('Providers'!$K$4:$K$503,246),"yyyy-mm-dd"),"")</f>
        <v/>
      </c>
      <c r="F1249">
        <f>"Registration"</f>
        <v/>
      </c>
      <c r="G1249">
        <f>""</f>
        <v/>
      </c>
      <c r="H1249">
        <f>"High"</f>
        <v/>
      </c>
      <c r="I1249">
        <f>TRIM(IF(LEN(IF(LEN(INDEX('Providers'!$J$4:$J$503,246))=0,"",INDEX('Providers'!$J$4:$J$503,246)))=0,"","CSR no.: "&amp;IF(LEN(INDEX('Providers'!$J$4:$J$503,246))=0,"",INDEX('Providers'!$J$4:$J$503,246))&amp;". ")&amp;IF(LEN(IF(LEN(INDEX('Providers'!$C$4:$C$503,246))=0,"",INDEX('Providers'!$C$4:$C$503,246)))=0,"","NPI: "&amp;IF(LEN(INDEX('Providers'!$C$4:$C$503,246))=0,"",INDEX('Providers'!$C$4:$C$503,246))&amp;". "))</f>
        <v/>
      </c>
      <c r="J1249">
        <f>IF(LEN(INDEX('Providers'!$AJ$4:$AJ$503,246))=0,"",INDEX('Providers'!$AJ$4:$AJ$503,246))</f>
        <v/>
      </c>
      <c r="K1249">
        <f>IF(LEN(INDEX('Providers'!$AI$4:$AI$503,246))=0,"",INDEX('Providers'!$AI$4:$AI$503,246))</f>
        <v/>
      </c>
    </row>
    <row r="1250">
      <c r="A1250">
        <f>IF(AND(LEN('Providers'!A250)&gt;0,ISNUMBER('Providers'!K250)),1,0)</f>
        <v/>
      </c>
      <c r="B1250">
        <f>B1249+A1250</f>
        <v/>
      </c>
      <c r="C1250">
        <f>IF(1247&gt;$B$4503,"",MATCH(1247-0.5,$B$3:$B$4503,1))</f>
        <v/>
      </c>
      <c r="D1250">
        <f>"State CSR ("&amp;IF(LEN(INDEX('Providers'!$E$4:$E$503,247))=0,"",INDEX('Providers'!$E$4:$E$503,247))&amp;") – "&amp;IF(LEN(INDEX('Providers'!$A$4:$A$503,247))=0,"",INDEX('Providers'!$A$4:$A$503,247))</f>
        <v/>
      </c>
      <c r="E1250">
        <f>IF(ISNUMBER(INDEX('Providers'!$K$4:$K$503,247)),TEXT(INDEX('Providers'!$K$4:$K$503,247),"yyyy-mm-dd"),"")</f>
        <v/>
      </c>
      <c r="F1250">
        <f>"Registration"</f>
        <v/>
      </c>
      <c r="G1250">
        <f>""</f>
        <v/>
      </c>
      <c r="H1250">
        <f>"High"</f>
        <v/>
      </c>
      <c r="I1250">
        <f>TRIM(IF(LEN(IF(LEN(INDEX('Providers'!$J$4:$J$503,247))=0,"",INDEX('Providers'!$J$4:$J$503,247)))=0,"","CSR no.: "&amp;IF(LEN(INDEX('Providers'!$J$4:$J$503,247))=0,"",INDEX('Providers'!$J$4:$J$503,247))&amp;". ")&amp;IF(LEN(IF(LEN(INDEX('Providers'!$C$4:$C$503,247))=0,"",INDEX('Providers'!$C$4:$C$503,247)))=0,"","NPI: "&amp;IF(LEN(INDEX('Providers'!$C$4:$C$503,247))=0,"",INDEX('Providers'!$C$4:$C$503,247))&amp;". "))</f>
        <v/>
      </c>
      <c r="J1250">
        <f>IF(LEN(INDEX('Providers'!$AJ$4:$AJ$503,247))=0,"",INDEX('Providers'!$AJ$4:$AJ$503,247))</f>
        <v/>
      </c>
      <c r="K1250">
        <f>IF(LEN(INDEX('Providers'!$AI$4:$AI$503,247))=0,"",INDEX('Providers'!$AI$4:$AI$503,247))</f>
        <v/>
      </c>
    </row>
    <row r="1251">
      <c r="A1251">
        <f>IF(AND(LEN('Providers'!A251)&gt;0,ISNUMBER('Providers'!K251)),1,0)</f>
        <v/>
      </c>
      <c r="B1251">
        <f>B1250+A1251</f>
        <v/>
      </c>
      <c r="C1251">
        <f>IF(1248&gt;$B$4503,"",MATCH(1248-0.5,$B$3:$B$4503,1))</f>
        <v/>
      </c>
      <c r="D1251">
        <f>"State CSR ("&amp;IF(LEN(INDEX('Providers'!$E$4:$E$503,248))=0,"",INDEX('Providers'!$E$4:$E$503,248))&amp;") – "&amp;IF(LEN(INDEX('Providers'!$A$4:$A$503,248))=0,"",INDEX('Providers'!$A$4:$A$503,248))</f>
        <v/>
      </c>
      <c r="E1251">
        <f>IF(ISNUMBER(INDEX('Providers'!$K$4:$K$503,248)),TEXT(INDEX('Providers'!$K$4:$K$503,248),"yyyy-mm-dd"),"")</f>
        <v/>
      </c>
      <c r="F1251">
        <f>"Registration"</f>
        <v/>
      </c>
      <c r="G1251">
        <f>""</f>
        <v/>
      </c>
      <c r="H1251">
        <f>"High"</f>
        <v/>
      </c>
      <c r="I1251">
        <f>TRIM(IF(LEN(IF(LEN(INDEX('Providers'!$J$4:$J$503,248))=0,"",INDEX('Providers'!$J$4:$J$503,248)))=0,"","CSR no.: "&amp;IF(LEN(INDEX('Providers'!$J$4:$J$503,248))=0,"",INDEX('Providers'!$J$4:$J$503,248))&amp;". ")&amp;IF(LEN(IF(LEN(INDEX('Providers'!$C$4:$C$503,248))=0,"",INDEX('Providers'!$C$4:$C$503,248)))=0,"","NPI: "&amp;IF(LEN(INDEX('Providers'!$C$4:$C$503,248))=0,"",INDEX('Providers'!$C$4:$C$503,248))&amp;". "))</f>
        <v/>
      </c>
      <c r="J1251">
        <f>IF(LEN(INDEX('Providers'!$AJ$4:$AJ$503,248))=0,"",INDEX('Providers'!$AJ$4:$AJ$503,248))</f>
        <v/>
      </c>
      <c r="K1251">
        <f>IF(LEN(INDEX('Providers'!$AI$4:$AI$503,248))=0,"",INDEX('Providers'!$AI$4:$AI$503,248))</f>
        <v/>
      </c>
    </row>
    <row r="1252">
      <c r="A1252">
        <f>IF(AND(LEN('Providers'!A252)&gt;0,ISNUMBER('Providers'!K252)),1,0)</f>
        <v/>
      </c>
      <c r="B1252">
        <f>B1251+A1252</f>
        <v/>
      </c>
      <c r="C1252">
        <f>IF(1249&gt;$B$4503,"",MATCH(1249-0.5,$B$3:$B$4503,1))</f>
        <v/>
      </c>
      <c r="D1252">
        <f>"State CSR ("&amp;IF(LEN(INDEX('Providers'!$E$4:$E$503,249))=0,"",INDEX('Providers'!$E$4:$E$503,249))&amp;") – "&amp;IF(LEN(INDEX('Providers'!$A$4:$A$503,249))=0,"",INDEX('Providers'!$A$4:$A$503,249))</f>
        <v/>
      </c>
      <c r="E1252">
        <f>IF(ISNUMBER(INDEX('Providers'!$K$4:$K$503,249)),TEXT(INDEX('Providers'!$K$4:$K$503,249),"yyyy-mm-dd"),"")</f>
        <v/>
      </c>
      <c r="F1252">
        <f>"Registration"</f>
        <v/>
      </c>
      <c r="G1252">
        <f>""</f>
        <v/>
      </c>
      <c r="H1252">
        <f>"High"</f>
        <v/>
      </c>
      <c r="I1252">
        <f>TRIM(IF(LEN(IF(LEN(INDEX('Providers'!$J$4:$J$503,249))=0,"",INDEX('Providers'!$J$4:$J$503,249)))=0,"","CSR no.: "&amp;IF(LEN(INDEX('Providers'!$J$4:$J$503,249))=0,"",INDEX('Providers'!$J$4:$J$503,249))&amp;". ")&amp;IF(LEN(IF(LEN(INDEX('Providers'!$C$4:$C$503,249))=0,"",INDEX('Providers'!$C$4:$C$503,249)))=0,"","NPI: "&amp;IF(LEN(INDEX('Providers'!$C$4:$C$503,249))=0,"",INDEX('Providers'!$C$4:$C$503,249))&amp;". "))</f>
        <v/>
      </c>
      <c r="J1252">
        <f>IF(LEN(INDEX('Providers'!$AJ$4:$AJ$503,249))=0,"",INDEX('Providers'!$AJ$4:$AJ$503,249))</f>
        <v/>
      </c>
      <c r="K1252">
        <f>IF(LEN(INDEX('Providers'!$AI$4:$AI$503,249))=0,"",INDEX('Providers'!$AI$4:$AI$503,249))</f>
        <v/>
      </c>
    </row>
    <row r="1253">
      <c r="A1253">
        <f>IF(AND(LEN('Providers'!A253)&gt;0,ISNUMBER('Providers'!K253)),1,0)</f>
        <v/>
      </c>
      <c r="B1253">
        <f>B1252+A1253</f>
        <v/>
      </c>
      <c r="C1253">
        <f>IF(1250&gt;$B$4503,"",MATCH(1250-0.5,$B$3:$B$4503,1))</f>
        <v/>
      </c>
      <c r="D1253">
        <f>"State CSR ("&amp;IF(LEN(INDEX('Providers'!$E$4:$E$503,250))=0,"",INDEX('Providers'!$E$4:$E$503,250))&amp;") – "&amp;IF(LEN(INDEX('Providers'!$A$4:$A$503,250))=0,"",INDEX('Providers'!$A$4:$A$503,250))</f>
        <v/>
      </c>
      <c r="E1253">
        <f>IF(ISNUMBER(INDEX('Providers'!$K$4:$K$503,250)),TEXT(INDEX('Providers'!$K$4:$K$503,250),"yyyy-mm-dd"),"")</f>
        <v/>
      </c>
      <c r="F1253">
        <f>"Registration"</f>
        <v/>
      </c>
      <c r="G1253">
        <f>""</f>
        <v/>
      </c>
      <c r="H1253">
        <f>"High"</f>
        <v/>
      </c>
      <c r="I1253">
        <f>TRIM(IF(LEN(IF(LEN(INDEX('Providers'!$J$4:$J$503,250))=0,"",INDEX('Providers'!$J$4:$J$503,250)))=0,"","CSR no.: "&amp;IF(LEN(INDEX('Providers'!$J$4:$J$503,250))=0,"",INDEX('Providers'!$J$4:$J$503,250))&amp;". ")&amp;IF(LEN(IF(LEN(INDEX('Providers'!$C$4:$C$503,250))=0,"",INDEX('Providers'!$C$4:$C$503,250)))=0,"","NPI: "&amp;IF(LEN(INDEX('Providers'!$C$4:$C$503,250))=0,"",INDEX('Providers'!$C$4:$C$503,250))&amp;". "))</f>
        <v/>
      </c>
      <c r="J1253">
        <f>IF(LEN(INDEX('Providers'!$AJ$4:$AJ$503,250))=0,"",INDEX('Providers'!$AJ$4:$AJ$503,250))</f>
        <v/>
      </c>
      <c r="K1253">
        <f>IF(LEN(INDEX('Providers'!$AI$4:$AI$503,250))=0,"",INDEX('Providers'!$AI$4:$AI$503,250))</f>
        <v/>
      </c>
    </row>
    <row r="1254">
      <c r="A1254">
        <f>IF(AND(LEN('Providers'!A254)&gt;0,ISNUMBER('Providers'!K254)),1,0)</f>
        <v/>
      </c>
      <c r="B1254">
        <f>B1253+A1254</f>
        <v/>
      </c>
      <c r="C1254">
        <f>IF(1251&gt;$B$4503,"",MATCH(1251-0.5,$B$3:$B$4503,1))</f>
        <v/>
      </c>
      <c r="D1254">
        <f>"State CSR ("&amp;IF(LEN(INDEX('Providers'!$E$4:$E$503,251))=0,"",INDEX('Providers'!$E$4:$E$503,251))&amp;") – "&amp;IF(LEN(INDEX('Providers'!$A$4:$A$503,251))=0,"",INDEX('Providers'!$A$4:$A$503,251))</f>
        <v/>
      </c>
      <c r="E1254">
        <f>IF(ISNUMBER(INDEX('Providers'!$K$4:$K$503,251)),TEXT(INDEX('Providers'!$K$4:$K$503,251),"yyyy-mm-dd"),"")</f>
        <v/>
      </c>
      <c r="F1254">
        <f>"Registration"</f>
        <v/>
      </c>
      <c r="G1254">
        <f>""</f>
        <v/>
      </c>
      <c r="H1254">
        <f>"High"</f>
        <v/>
      </c>
      <c r="I1254">
        <f>TRIM(IF(LEN(IF(LEN(INDEX('Providers'!$J$4:$J$503,251))=0,"",INDEX('Providers'!$J$4:$J$503,251)))=0,"","CSR no.: "&amp;IF(LEN(INDEX('Providers'!$J$4:$J$503,251))=0,"",INDEX('Providers'!$J$4:$J$503,251))&amp;". ")&amp;IF(LEN(IF(LEN(INDEX('Providers'!$C$4:$C$503,251))=0,"",INDEX('Providers'!$C$4:$C$503,251)))=0,"","NPI: "&amp;IF(LEN(INDEX('Providers'!$C$4:$C$503,251))=0,"",INDEX('Providers'!$C$4:$C$503,251))&amp;". "))</f>
        <v/>
      </c>
      <c r="J1254">
        <f>IF(LEN(INDEX('Providers'!$AJ$4:$AJ$503,251))=0,"",INDEX('Providers'!$AJ$4:$AJ$503,251))</f>
        <v/>
      </c>
      <c r="K1254">
        <f>IF(LEN(INDEX('Providers'!$AI$4:$AI$503,251))=0,"",INDEX('Providers'!$AI$4:$AI$503,251))</f>
        <v/>
      </c>
    </row>
    <row r="1255">
      <c r="A1255">
        <f>IF(AND(LEN('Providers'!A255)&gt;0,ISNUMBER('Providers'!K255)),1,0)</f>
        <v/>
      </c>
      <c r="B1255">
        <f>B1254+A1255</f>
        <v/>
      </c>
      <c r="C1255">
        <f>IF(1252&gt;$B$4503,"",MATCH(1252-0.5,$B$3:$B$4503,1))</f>
        <v/>
      </c>
      <c r="D1255">
        <f>"State CSR ("&amp;IF(LEN(INDEX('Providers'!$E$4:$E$503,252))=0,"",INDEX('Providers'!$E$4:$E$503,252))&amp;") – "&amp;IF(LEN(INDEX('Providers'!$A$4:$A$503,252))=0,"",INDEX('Providers'!$A$4:$A$503,252))</f>
        <v/>
      </c>
      <c r="E1255">
        <f>IF(ISNUMBER(INDEX('Providers'!$K$4:$K$503,252)),TEXT(INDEX('Providers'!$K$4:$K$503,252),"yyyy-mm-dd"),"")</f>
        <v/>
      </c>
      <c r="F1255">
        <f>"Registration"</f>
        <v/>
      </c>
      <c r="G1255">
        <f>""</f>
        <v/>
      </c>
      <c r="H1255">
        <f>"High"</f>
        <v/>
      </c>
      <c r="I1255">
        <f>TRIM(IF(LEN(IF(LEN(INDEX('Providers'!$J$4:$J$503,252))=0,"",INDEX('Providers'!$J$4:$J$503,252)))=0,"","CSR no.: "&amp;IF(LEN(INDEX('Providers'!$J$4:$J$503,252))=0,"",INDEX('Providers'!$J$4:$J$503,252))&amp;". ")&amp;IF(LEN(IF(LEN(INDEX('Providers'!$C$4:$C$503,252))=0,"",INDEX('Providers'!$C$4:$C$503,252)))=0,"","NPI: "&amp;IF(LEN(INDEX('Providers'!$C$4:$C$503,252))=0,"",INDEX('Providers'!$C$4:$C$503,252))&amp;". "))</f>
        <v/>
      </c>
      <c r="J1255">
        <f>IF(LEN(INDEX('Providers'!$AJ$4:$AJ$503,252))=0,"",INDEX('Providers'!$AJ$4:$AJ$503,252))</f>
        <v/>
      </c>
      <c r="K1255">
        <f>IF(LEN(INDEX('Providers'!$AI$4:$AI$503,252))=0,"",INDEX('Providers'!$AI$4:$AI$503,252))</f>
        <v/>
      </c>
    </row>
    <row r="1256">
      <c r="A1256">
        <f>IF(AND(LEN('Providers'!A256)&gt;0,ISNUMBER('Providers'!K256)),1,0)</f>
        <v/>
      </c>
      <c r="B1256">
        <f>B1255+A1256</f>
        <v/>
      </c>
      <c r="C1256">
        <f>IF(1253&gt;$B$4503,"",MATCH(1253-0.5,$B$3:$B$4503,1))</f>
        <v/>
      </c>
      <c r="D1256">
        <f>"State CSR ("&amp;IF(LEN(INDEX('Providers'!$E$4:$E$503,253))=0,"",INDEX('Providers'!$E$4:$E$503,253))&amp;") – "&amp;IF(LEN(INDEX('Providers'!$A$4:$A$503,253))=0,"",INDEX('Providers'!$A$4:$A$503,253))</f>
        <v/>
      </c>
      <c r="E1256">
        <f>IF(ISNUMBER(INDEX('Providers'!$K$4:$K$503,253)),TEXT(INDEX('Providers'!$K$4:$K$503,253),"yyyy-mm-dd"),"")</f>
        <v/>
      </c>
      <c r="F1256">
        <f>"Registration"</f>
        <v/>
      </c>
      <c r="G1256">
        <f>""</f>
        <v/>
      </c>
      <c r="H1256">
        <f>"High"</f>
        <v/>
      </c>
      <c r="I1256">
        <f>TRIM(IF(LEN(IF(LEN(INDEX('Providers'!$J$4:$J$503,253))=0,"",INDEX('Providers'!$J$4:$J$503,253)))=0,"","CSR no.: "&amp;IF(LEN(INDEX('Providers'!$J$4:$J$503,253))=0,"",INDEX('Providers'!$J$4:$J$503,253))&amp;". ")&amp;IF(LEN(IF(LEN(INDEX('Providers'!$C$4:$C$503,253))=0,"",INDEX('Providers'!$C$4:$C$503,253)))=0,"","NPI: "&amp;IF(LEN(INDEX('Providers'!$C$4:$C$503,253))=0,"",INDEX('Providers'!$C$4:$C$503,253))&amp;". "))</f>
        <v/>
      </c>
      <c r="J1256">
        <f>IF(LEN(INDEX('Providers'!$AJ$4:$AJ$503,253))=0,"",INDEX('Providers'!$AJ$4:$AJ$503,253))</f>
        <v/>
      </c>
      <c r="K1256">
        <f>IF(LEN(INDEX('Providers'!$AI$4:$AI$503,253))=0,"",INDEX('Providers'!$AI$4:$AI$503,253))</f>
        <v/>
      </c>
    </row>
    <row r="1257">
      <c r="A1257">
        <f>IF(AND(LEN('Providers'!A257)&gt;0,ISNUMBER('Providers'!K257)),1,0)</f>
        <v/>
      </c>
      <c r="B1257">
        <f>B1256+A1257</f>
        <v/>
      </c>
      <c r="C1257">
        <f>IF(1254&gt;$B$4503,"",MATCH(1254-0.5,$B$3:$B$4503,1))</f>
        <v/>
      </c>
      <c r="D1257">
        <f>"State CSR ("&amp;IF(LEN(INDEX('Providers'!$E$4:$E$503,254))=0,"",INDEX('Providers'!$E$4:$E$503,254))&amp;") – "&amp;IF(LEN(INDEX('Providers'!$A$4:$A$503,254))=0,"",INDEX('Providers'!$A$4:$A$503,254))</f>
        <v/>
      </c>
      <c r="E1257">
        <f>IF(ISNUMBER(INDEX('Providers'!$K$4:$K$503,254)),TEXT(INDEX('Providers'!$K$4:$K$503,254),"yyyy-mm-dd"),"")</f>
        <v/>
      </c>
      <c r="F1257">
        <f>"Registration"</f>
        <v/>
      </c>
      <c r="G1257">
        <f>""</f>
        <v/>
      </c>
      <c r="H1257">
        <f>"High"</f>
        <v/>
      </c>
      <c r="I1257">
        <f>TRIM(IF(LEN(IF(LEN(INDEX('Providers'!$J$4:$J$503,254))=0,"",INDEX('Providers'!$J$4:$J$503,254)))=0,"","CSR no.: "&amp;IF(LEN(INDEX('Providers'!$J$4:$J$503,254))=0,"",INDEX('Providers'!$J$4:$J$503,254))&amp;". ")&amp;IF(LEN(IF(LEN(INDEX('Providers'!$C$4:$C$503,254))=0,"",INDEX('Providers'!$C$4:$C$503,254)))=0,"","NPI: "&amp;IF(LEN(INDEX('Providers'!$C$4:$C$503,254))=0,"",INDEX('Providers'!$C$4:$C$503,254))&amp;". "))</f>
        <v/>
      </c>
      <c r="J1257">
        <f>IF(LEN(INDEX('Providers'!$AJ$4:$AJ$503,254))=0,"",INDEX('Providers'!$AJ$4:$AJ$503,254))</f>
        <v/>
      </c>
      <c r="K1257">
        <f>IF(LEN(INDEX('Providers'!$AI$4:$AI$503,254))=0,"",INDEX('Providers'!$AI$4:$AI$503,254))</f>
        <v/>
      </c>
    </row>
    <row r="1258">
      <c r="A1258">
        <f>IF(AND(LEN('Providers'!A258)&gt;0,ISNUMBER('Providers'!K258)),1,0)</f>
        <v/>
      </c>
      <c r="B1258">
        <f>B1257+A1258</f>
        <v/>
      </c>
      <c r="C1258">
        <f>IF(1255&gt;$B$4503,"",MATCH(1255-0.5,$B$3:$B$4503,1))</f>
        <v/>
      </c>
      <c r="D1258">
        <f>"State CSR ("&amp;IF(LEN(INDEX('Providers'!$E$4:$E$503,255))=0,"",INDEX('Providers'!$E$4:$E$503,255))&amp;") – "&amp;IF(LEN(INDEX('Providers'!$A$4:$A$503,255))=0,"",INDEX('Providers'!$A$4:$A$503,255))</f>
        <v/>
      </c>
      <c r="E1258">
        <f>IF(ISNUMBER(INDEX('Providers'!$K$4:$K$503,255)),TEXT(INDEX('Providers'!$K$4:$K$503,255),"yyyy-mm-dd"),"")</f>
        <v/>
      </c>
      <c r="F1258">
        <f>"Registration"</f>
        <v/>
      </c>
      <c r="G1258">
        <f>""</f>
        <v/>
      </c>
      <c r="H1258">
        <f>"High"</f>
        <v/>
      </c>
      <c r="I1258">
        <f>TRIM(IF(LEN(IF(LEN(INDEX('Providers'!$J$4:$J$503,255))=0,"",INDEX('Providers'!$J$4:$J$503,255)))=0,"","CSR no.: "&amp;IF(LEN(INDEX('Providers'!$J$4:$J$503,255))=0,"",INDEX('Providers'!$J$4:$J$503,255))&amp;". ")&amp;IF(LEN(IF(LEN(INDEX('Providers'!$C$4:$C$503,255))=0,"",INDEX('Providers'!$C$4:$C$503,255)))=0,"","NPI: "&amp;IF(LEN(INDEX('Providers'!$C$4:$C$503,255))=0,"",INDEX('Providers'!$C$4:$C$503,255))&amp;". "))</f>
        <v/>
      </c>
      <c r="J1258">
        <f>IF(LEN(INDEX('Providers'!$AJ$4:$AJ$503,255))=0,"",INDEX('Providers'!$AJ$4:$AJ$503,255))</f>
        <v/>
      </c>
      <c r="K1258">
        <f>IF(LEN(INDEX('Providers'!$AI$4:$AI$503,255))=0,"",INDEX('Providers'!$AI$4:$AI$503,255))</f>
        <v/>
      </c>
    </row>
    <row r="1259">
      <c r="A1259">
        <f>IF(AND(LEN('Providers'!A259)&gt;0,ISNUMBER('Providers'!K259)),1,0)</f>
        <v/>
      </c>
      <c r="B1259">
        <f>B1258+A1259</f>
        <v/>
      </c>
      <c r="C1259">
        <f>IF(1256&gt;$B$4503,"",MATCH(1256-0.5,$B$3:$B$4503,1))</f>
        <v/>
      </c>
      <c r="D1259">
        <f>"State CSR ("&amp;IF(LEN(INDEX('Providers'!$E$4:$E$503,256))=0,"",INDEX('Providers'!$E$4:$E$503,256))&amp;") – "&amp;IF(LEN(INDEX('Providers'!$A$4:$A$503,256))=0,"",INDEX('Providers'!$A$4:$A$503,256))</f>
        <v/>
      </c>
      <c r="E1259">
        <f>IF(ISNUMBER(INDEX('Providers'!$K$4:$K$503,256)),TEXT(INDEX('Providers'!$K$4:$K$503,256),"yyyy-mm-dd"),"")</f>
        <v/>
      </c>
      <c r="F1259">
        <f>"Registration"</f>
        <v/>
      </c>
      <c r="G1259">
        <f>""</f>
        <v/>
      </c>
      <c r="H1259">
        <f>"High"</f>
        <v/>
      </c>
      <c r="I1259">
        <f>TRIM(IF(LEN(IF(LEN(INDEX('Providers'!$J$4:$J$503,256))=0,"",INDEX('Providers'!$J$4:$J$503,256)))=0,"","CSR no.: "&amp;IF(LEN(INDEX('Providers'!$J$4:$J$503,256))=0,"",INDEX('Providers'!$J$4:$J$503,256))&amp;". ")&amp;IF(LEN(IF(LEN(INDEX('Providers'!$C$4:$C$503,256))=0,"",INDEX('Providers'!$C$4:$C$503,256)))=0,"","NPI: "&amp;IF(LEN(INDEX('Providers'!$C$4:$C$503,256))=0,"",INDEX('Providers'!$C$4:$C$503,256))&amp;". "))</f>
        <v/>
      </c>
      <c r="J1259">
        <f>IF(LEN(INDEX('Providers'!$AJ$4:$AJ$503,256))=0,"",INDEX('Providers'!$AJ$4:$AJ$503,256))</f>
        <v/>
      </c>
      <c r="K1259">
        <f>IF(LEN(INDEX('Providers'!$AI$4:$AI$503,256))=0,"",INDEX('Providers'!$AI$4:$AI$503,256))</f>
        <v/>
      </c>
    </row>
    <row r="1260">
      <c r="A1260">
        <f>IF(AND(LEN('Providers'!A260)&gt;0,ISNUMBER('Providers'!K260)),1,0)</f>
        <v/>
      </c>
      <c r="B1260">
        <f>B1259+A1260</f>
        <v/>
      </c>
      <c r="C1260">
        <f>IF(1257&gt;$B$4503,"",MATCH(1257-0.5,$B$3:$B$4503,1))</f>
        <v/>
      </c>
      <c r="D1260">
        <f>"State CSR ("&amp;IF(LEN(INDEX('Providers'!$E$4:$E$503,257))=0,"",INDEX('Providers'!$E$4:$E$503,257))&amp;") – "&amp;IF(LEN(INDEX('Providers'!$A$4:$A$503,257))=0,"",INDEX('Providers'!$A$4:$A$503,257))</f>
        <v/>
      </c>
      <c r="E1260">
        <f>IF(ISNUMBER(INDEX('Providers'!$K$4:$K$503,257)),TEXT(INDEX('Providers'!$K$4:$K$503,257),"yyyy-mm-dd"),"")</f>
        <v/>
      </c>
      <c r="F1260">
        <f>"Registration"</f>
        <v/>
      </c>
      <c r="G1260">
        <f>""</f>
        <v/>
      </c>
      <c r="H1260">
        <f>"High"</f>
        <v/>
      </c>
      <c r="I1260">
        <f>TRIM(IF(LEN(IF(LEN(INDEX('Providers'!$J$4:$J$503,257))=0,"",INDEX('Providers'!$J$4:$J$503,257)))=0,"","CSR no.: "&amp;IF(LEN(INDEX('Providers'!$J$4:$J$503,257))=0,"",INDEX('Providers'!$J$4:$J$503,257))&amp;". ")&amp;IF(LEN(IF(LEN(INDEX('Providers'!$C$4:$C$503,257))=0,"",INDEX('Providers'!$C$4:$C$503,257)))=0,"","NPI: "&amp;IF(LEN(INDEX('Providers'!$C$4:$C$503,257))=0,"",INDEX('Providers'!$C$4:$C$503,257))&amp;". "))</f>
        <v/>
      </c>
      <c r="J1260">
        <f>IF(LEN(INDEX('Providers'!$AJ$4:$AJ$503,257))=0,"",INDEX('Providers'!$AJ$4:$AJ$503,257))</f>
        <v/>
      </c>
      <c r="K1260">
        <f>IF(LEN(INDEX('Providers'!$AI$4:$AI$503,257))=0,"",INDEX('Providers'!$AI$4:$AI$503,257))</f>
        <v/>
      </c>
    </row>
    <row r="1261">
      <c r="A1261">
        <f>IF(AND(LEN('Providers'!A261)&gt;0,ISNUMBER('Providers'!K261)),1,0)</f>
        <v/>
      </c>
      <c r="B1261">
        <f>B1260+A1261</f>
        <v/>
      </c>
      <c r="C1261">
        <f>IF(1258&gt;$B$4503,"",MATCH(1258-0.5,$B$3:$B$4503,1))</f>
        <v/>
      </c>
      <c r="D1261">
        <f>"State CSR ("&amp;IF(LEN(INDEX('Providers'!$E$4:$E$503,258))=0,"",INDEX('Providers'!$E$4:$E$503,258))&amp;") – "&amp;IF(LEN(INDEX('Providers'!$A$4:$A$503,258))=0,"",INDEX('Providers'!$A$4:$A$503,258))</f>
        <v/>
      </c>
      <c r="E1261">
        <f>IF(ISNUMBER(INDEX('Providers'!$K$4:$K$503,258)),TEXT(INDEX('Providers'!$K$4:$K$503,258),"yyyy-mm-dd"),"")</f>
        <v/>
      </c>
      <c r="F1261">
        <f>"Registration"</f>
        <v/>
      </c>
      <c r="G1261">
        <f>""</f>
        <v/>
      </c>
      <c r="H1261">
        <f>"High"</f>
        <v/>
      </c>
      <c r="I1261">
        <f>TRIM(IF(LEN(IF(LEN(INDEX('Providers'!$J$4:$J$503,258))=0,"",INDEX('Providers'!$J$4:$J$503,258)))=0,"","CSR no.: "&amp;IF(LEN(INDEX('Providers'!$J$4:$J$503,258))=0,"",INDEX('Providers'!$J$4:$J$503,258))&amp;". ")&amp;IF(LEN(IF(LEN(INDEX('Providers'!$C$4:$C$503,258))=0,"",INDEX('Providers'!$C$4:$C$503,258)))=0,"","NPI: "&amp;IF(LEN(INDEX('Providers'!$C$4:$C$503,258))=0,"",INDEX('Providers'!$C$4:$C$503,258))&amp;". "))</f>
        <v/>
      </c>
      <c r="J1261">
        <f>IF(LEN(INDEX('Providers'!$AJ$4:$AJ$503,258))=0,"",INDEX('Providers'!$AJ$4:$AJ$503,258))</f>
        <v/>
      </c>
      <c r="K1261">
        <f>IF(LEN(INDEX('Providers'!$AI$4:$AI$503,258))=0,"",INDEX('Providers'!$AI$4:$AI$503,258))</f>
        <v/>
      </c>
    </row>
    <row r="1262">
      <c r="A1262">
        <f>IF(AND(LEN('Providers'!A262)&gt;0,ISNUMBER('Providers'!K262)),1,0)</f>
        <v/>
      </c>
      <c r="B1262">
        <f>B1261+A1262</f>
        <v/>
      </c>
      <c r="C1262">
        <f>IF(1259&gt;$B$4503,"",MATCH(1259-0.5,$B$3:$B$4503,1))</f>
        <v/>
      </c>
      <c r="D1262">
        <f>"State CSR ("&amp;IF(LEN(INDEX('Providers'!$E$4:$E$503,259))=0,"",INDEX('Providers'!$E$4:$E$503,259))&amp;") – "&amp;IF(LEN(INDEX('Providers'!$A$4:$A$503,259))=0,"",INDEX('Providers'!$A$4:$A$503,259))</f>
        <v/>
      </c>
      <c r="E1262">
        <f>IF(ISNUMBER(INDEX('Providers'!$K$4:$K$503,259)),TEXT(INDEX('Providers'!$K$4:$K$503,259),"yyyy-mm-dd"),"")</f>
        <v/>
      </c>
      <c r="F1262">
        <f>"Registration"</f>
        <v/>
      </c>
      <c r="G1262">
        <f>""</f>
        <v/>
      </c>
      <c r="H1262">
        <f>"High"</f>
        <v/>
      </c>
      <c r="I1262">
        <f>TRIM(IF(LEN(IF(LEN(INDEX('Providers'!$J$4:$J$503,259))=0,"",INDEX('Providers'!$J$4:$J$503,259)))=0,"","CSR no.: "&amp;IF(LEN(INDEX('Providers'!$J$4:$J$503,259))=0,"",INDEX('Providers'!$J$4:$J$503,259))&amp;". ")&amp;IF(LEN(IF(LEN(INDEX('Providers'!$C$4:$C$503,259))=0,"",INDEX('Providers'!$C$4:$C$503,259)))=0,"","NPI: "&amp;IF(LEN(INDEX('Providers'!$C$4:$C$503,259))=0,"",INDEX('Providers'!$C$4:$C$503,259))&amp;". "))</f>
        <v/>
      </c>
      <c r="J1262">
        <f>IF(LEN(INDEX('Providers'!$AJ$4:$AJ$503,259))=0,"",INDEX('Providers'!$AJ$4:$AJ$503,259))</f>
        <v/>
      </c>
      <c r="K1262">
        <f>IF(LEN(INDEX('Providers'!$AI$4:$AI$503,259))=0,"",INDEX('Providers'!$AI$4:$AI$503,259))</f>
        <v/>
      </c>
    </row>
    <row r="1263">
      <c r="A1263">
        <f>IF(AND(LEN('Providers'!A263)&gt;0,ISNUMBER('Providers'!K263)),1,0)</f>
        <v/>
      </c>
      <c r="B1263">
        <f>B1262+A1263</f>
        <v/>
      </c>
      <c r="C1263">
        <f>IF(1260&gt;$B$4503,"",MATCH(1260-0.5,$B$3:$B$4503,1))</f>
        <v/>
      </c>
      <c r="D1263">
        <f>"State CSR ("&amp;IF(LEN(INDEX('Providers'!$E$4:$E$503,260))=0,"",INDEX('Providers'!$E$4:$E$503,260))&amp;") – "&amp;IF(LEN(INDEX('Providers'!$A$4:$A$503,260))=0,"",INDEX('Providers'!$A$4:$A$503,260))</f>
        <v/>
      </c>
      <c r="E1263">
        <f>IF(ISNUMBER(INDEX('Providers'!$K$4:$K$503,260)),TEXT(INDEX('Providers'!$K$4:$K$503,260),"yyyy-mm-dd"),"")</f>
        <v/>
      </c>
      <c r="F1263">
        <f>"Registration"</f>
        <v/>
      </c>
      <c r="G1263">
        <f>""</f>
        <v/>
      </c>
      <c r="H1263">
        <f>"High"</f>
        <v/>
      </c>
      <c r="I1263">
        <f>TRIM(IF(LEN(IF(LEN(INDEX('Providers'!$J$4:$J$503,260))=0,"",INDEX('Providers'!$J$4:$J$503,260)))=0,"","CSR no.: "&amp;IF(LEN(INDEX('Providers'!$J$4:$J$503,260))=0,"",INDEX('Providers'!$J$4:$J$503,260))&amp;". ")&amp;IF(LEN(IF(LEN(INDEX('Providers'!$C$4:$C$503,260))=0,"",INDEX('Providers'!$C$4:$C$503,260)))=0,"","NPI: "&amp;IF(LEN(INDEX('Providers'!$C$4:$C$503,260))=0,"",INDEX('Providers'!$C$4:$C$503,260))&amp;". "))</f>
        <v/>
      </c>
      <c r="J1263">
        <f>IF(LEN(INDEX('Providers'!$AJ$4:$AJ$503,260))=0,"",INDEX('Providers'!$AJ$4:$AJ$503,260))</f>
        <v/>
      </c>
      <c r="K1263">
        <f>IF(LEN(INDEX('Providers'!$AI$4:$AI$503,260))=0,"",INDEX('Providers'!$AI$4:$AI$503,260))</f>
        <v/>
      </c>
    </row>
    <row r="1264">
      <c r="A1264">
        <f>IF(AND(LEN('Providers'!A264)&gt;0,ISNUMBER('Providers'!K264)),1,0)</f>
        <v/>
      </c>
      <c r="B1264">
        <f>B1263+A1264</f>
        <v/>
      </c>
      <c r="C1264">
        <f>IF(1261&gt;$B$4503,"",MATCH(1261-0.5,$B$3:$B$4503,1))</f>
        <v/>
      </c>
      <c r="D1264">
        <f>"State CSR ("&amp;IF(LEN(INDEX('Providers'!$E$4:$E$503,261))=0,"",INDEX('Providers'!$E$4:$E$503,261))&amp;") – "&amp;IF(LEN(INDEX('Providers'!$A$4:$A$503,261))=0,"",INDEX('Providers'!$A$4:$A$503,261))</f>
        <v/>
      </c>
      <c r="E1264">
        <f>IF(ISNUMBER(INDEX('Providers'!$K$4:$K$503,261)),TEXT(INDEX('Providers'!$K$4:$K$503,261),"yyyy-mm-dd"),"")</f>
        <v/>
      </c>
      <c r="F1264">
        <f>"Registration"</f>
        <v/>
      </c>
      <c r="G1264">
        <f>""</f>
        <v/>
      </c>
      <c r="H1264">
        <f>"High"</f>
        <v/>
      </c>
      <c r="I1264">
        <f>TRIM(IF(LEN(IF(LEN(INDEX('Providers'!$J$4:$J$503,261))=0,"",INDEX('Providers'!$J$4:$J$503,261)))=0,"","CSR no.: "&amp;IF(LEN(INDEX('Providers'!$J$4:$J$503,261))=0,"",INDEX('Providers'!$J$4:$J$503,261))&amp;". ")&amp;IF(LEN(IF(LEN(INDEX('Providers'!$C$4:$C$503,261))=0,"",INDEX('Providers'!$C$4:$C$503,261)))=0,"","NPI: "&amp;IF(LEN(INDEX('Providers'!$C$4:$C$503,261))=0,"",INDEX('Providers'!$C$4:$C$503,261))&amp;". "))</f>
        <v/>
      </c>
      <c r="J1264">
        <f>IF(LEN(INDEX('Providers'!$AJ$4:$AJ$503,261))=0,"",INDEX('Providers'!$AJ$4:$AJ$503,261))</f>
        <v/>
      </c>
      <c r="K1264">
        <f>IF(LEN(INDEX('Providers'!$AI$4:$AI$503,261))=0,"",INDEX('Providers'!$AI$4:$AI$503,261))</f>
        <v/>
      </c>
    </row>
    <row r="1265">
      <c r="A1265">
        <f>IF(AND(LEN('Providers'!A265)&gt;0,ISNUMBER('Providers'!K265)),1,0)</f>
        <v/>
      </c>
      <c r="B1265">
        <f>B1264+A1265</f>
        <v/>
      </c>
      <c r="C1265">
        <f>IF(1262&gt;$B$4503,"",MATCH(1262-0.5,$B$3:$B$4503,1))</f>
        <v/>
      </c>
      <c r="D1265">
        <f>"State CSR ("&amp;IF(LEN(INDEX('Providers'!$E$4:$E$503,262))=0,"",INDEX('Providers'!$E$4:$E$503,262))&amp;") – "&amp;IF(LEN(INDEX('Providers'!$A$4:$A$503,262))=0,"",INDEX('Providers'!$A$4:$A$503,262))</f>
        <v/>
      </c>
      <c r="E1265">
        <f>IF(ISNUMBER(INDEX('Providers'!$K$4:$K$503,262)),TEXT(INDEX('Providers'!$K$4:$K$503,262),"yyyy-mm-dd"),"")</f>
        <v/>
      </c>
      <c r="F1265">
        <f>"Registration"</f>
        <v/>
      </c>
      <c r="G1265">
        <f>""</f>
        <v/>
      </c>
      <c r="H1265">
        <f>"High"</f>
        <v/>
      </c>
      <c r="I1265">
        <f>TRIM(IF(LEN(IF(LEN(INDEX('Providers'!$J$4:$J$503,262))=0,"",INDEX('Providers'!$J$4:$J$503,262)))=0,"","CSR no.: "&amp;IF(LEN(INDEX('Providers'!$J$4:$J$503,262))=0,"",INDEX('Providers'!$J$4:$J$503,262))&amp;". ")&amp;IF(LEN(IF(LEN(INDEX('Providers'!$C$4:$C$503,262))=0,"",INDEX('Providers'!$C$4:$C$503,262)))=0,"","NPI: "&amp;IF(LEN(INDEX('Providers'!$C$4:$C$503,262))=0,"",INDEX('Providers'!$C$4:$C$503,262))&amp;". "))</f>
        <v/>
      </c>
      <c r="J1265">
        <f>IF(LEN(INDEX('Providers'!$AJ$4:$AJ$503,262))=0,"",INDEX('Providers'!$AJ$4:$AJ$503,262))</f>
        <v/>
      </c>
      <c r="K1265">
        <f>IF(LEN(INDEX('Providers'!$AI$4:$AI$503,262))=0,"",INDEX('Providers'!$AI$4:$AI$503,262))</f>
        <v/>
      </c>
    </row>
    <row r="1266">
      <c r="A1266">
        <f>IF(AND(LEN('Providers'!A266)&gt;0,ISNUMBER('Providers'!K266)),1,0)</f>
        <v/>
      </c>
      <c r="B1266">
        <f>B1265+A1266</f>
        <v/>
      </c>
      <c r="C1266">
        <f>IF(1263&gt;$B$4503,"",MATCH(1263-0.5,$B$3:$B$4503,1))</f>
        <v/>
      </c>
      <c r="D1266">
        <f>"State CSR ("&amp;IF(LEN(INDEX('Providers'!$E$4:$E$503,263))=0,"",INDEX('Providers'!$E$4:$E$503,263))&amp;") – "&amp;IF(LEN(INDEX('Providers'!$A$4:$A$503,263))=0,"",INDEX('Providers'!$A$4:$A$503,263))</f>
        <v/>
      </c>
      <c r="E1266">
        <f>IF(ISNUMBER(INDEX('Providers'!$K$4:$K$503,263)),TEXT(INDEX('Providers'!$K$4:$K$503,263),"yyyy-mm-dd"),"")</f>
        <v/>
      </c>
      <c r="F1266">
        <f>"Registration"</f>
        <v/>
      </c>
      <c r="G1266">
        <f>""</f>
        <v/>
      </c>
      <c r="H1266">
        <f>"High"</f>
        <v/>
      </c>
      <c r="I1266">
        <f>TRIM(IF(LEN(IF(LEN(INDEX('Providers'!$J$4:$J$503,263))=0,"",INDEX('Providers'!$J$4:$J$503,263)))=0,"","CSR no.: "&amp;IF(LEN(INDEX('Providers'!$J$4:$J$503,263))=0,"",INDEX('Providers'!$J$4:$J$503,263))&amp;". ")&amp;IF(LEN(IF(LEN(INDEX('Providers'!$C$4:$C$503,263))=0,"",INDEX('Providers'!$C$4:$C$503,263)))=0,"","NPI: "&amp;IF(LEN(INDEX('Providers'!$C$4:$C$503,263))=0,"",INDEX('Providers'!$C$4:$C$503,263))&amp;". "))</f>
        <v/>
      </c>
      <c r="J1266">
        <f>IF(LEN(INDEX('Providers'!$AJ$4:$AJ$503,263))=0,"",INDEX('Providers'!$AJ$4:$AJ$503,263))</f>
        <v/>
      </c>
      <c r="K1266">
        <f>IF(LEN(INDEX('Providers'!$AI$4:$AI$503,263))=0,"",INDEX('Providers'!$AI$4:$AI$503,263))</f>
        <v/>
      </c>
    </row>
    <row r="1267">
      <c r="A1267">
        <f>IF(AND(LEN('Providers'!A267)&gt;0,ISNUMBER('Providers'!K267)),1,0)</f>
        <v/>
      </c>
      <c r="B1267">
        <f>B1266+A1267</f>
        <v/>
      </c>
      <c r="C1267">
        <f>IF(1264&gt;$B$4503,"",MATCH(1264-0.5,$B$3:$B$4503,1))</f>
        <v/>
      </c>
      <c r="D1267">
        <f>"State CSR ("&amp;IF(LEN(INDEX('Providers'!$E$4:$E$503,264))=0,"",INDEX('Providers'!$E$4:$E$503,264))&amp;") – "&amp;IF(LEN(INDEX('Providers'!$A$4:$A$503,264))=0,"",INDEX('Providers'!$A$4:$A$503,264))</f>
        <v/>
      </c>
      <c r="E1267">
        <f>IF(ISNUMBER(INDEX('Providers'!$K$4:$K$503,264)),TEXT(INDEX('Providers'!$K$4:$K$503,264),"yyyy-mm-dd"),"")</f>
        <v/>
      </c>
      <c r="F1267">
        <f>"Registration"</f>
        <v/>
      </c>
      <c r="G1267">
        <f>""</f>
        <v/>
      </c>
      <c r="H1267">
        <f>"High"</f>
        <v/>
      </c>
      <c r="I1267">
        <f>TRIM(IF(LEN(IF(LEN(INDEX('Providers'!$J$4:$J$503,264))=0,"",INDEX('Providers'!$J$4:$J$503,264)))=0,"","CSR no.: "&amp;IF(LEN(INDEX('Providers'!$J$4:$J$503,264))=0,"",INDEX('Providers'!$J$4:$J$503,264))&amp;". ")&amp;IF(LEN(IF(LEN(INDEX('Providers'!$C$4:$C$503,264))=0,"",INDEX('Providers'!$C$4:$C$503,264)))=0,"","NPI: "&amp;IF(LEN(INDEX('Providers'!$C$4:$C$503,264))=0,"",INDEX('Providers'!$C$4:$C$503,264))&amp;". "))</f>
        <v/>
      </c>
      <c r="J1267">
        <f>IF(LEN(INDEX('Providers'!$AJ$4:$AJ$503,264))=0,"",INDEX('Providers'!$AJ$4:$AJ$503,264))</f>
        <v/>
      </c>
      <c r="K1267">
        <f>IF(LEN(INDEX('Providers'!$AI$4:$AI$503,264))=0,"",INDEX('Providers'!$AI$4:$AI$503,264))</f>
        <v/>
      </c>
    </row>
    <row r="1268">
      <c r="A1268">
        <f>IF(AND(LEN('Providers'!A268)&gt;0,ISNUMBER('Providers'!K268)),1,0)</f>
        <v/>
      </c>
      <c r="B1268">
        <f>B1267+A1268</f>
        <v/>
      </c>
      <c r="C1268">
        <f>IF(1265&gt;$B$4503,"",MATCH(1265-0.5,$B$3:$B$4503,1))</f>
        <v/>
      </c>
      <c r="D1268">
        <f>"State CSR ("&amp;IF(LEN(INDEX('Providers'!$E$4:$E$503,265))=0,"",INDEX('Providers'!$E$4:$E$503,265))&amp;") – "&amp;IF(LEN(INDEX('Providers'!$A$4:$A$503,265))=0,"",INDEX('Providers'!$A$4:$A$503,265))</f>
        <v/>
      </c>
      <c r="E1268">
        <f>IF(ISNUMBER(INDEX('Providers'!$K$4:$K$503,265)),TEXT(INDEX('Providers'!$K$4:$K$503,265),"yyyy-mm-dd"),"")</f>
        <v/>
      </c>
      <c r="F1268">
        <f>"Registration"</f>
        <v/>
      </c>
      <c r="G1268">
        <f>""</f>
        <v/>
      </c>
      <c r="H1268">
        <f>"High"</f>
        <v/>
      </c>
      <c r="I1268">
        <f>TRIM(IF(LEN(IF(LEN(INDEX('Providers'!$J$4:$J$503,265))=0,"",INDEX('Providers'!$J$4:$J$503,265)))=0,"","CSR no.: "&amp;IF(LEN(INDEX('Providers'!$J$4:$J$503,265))=0,"",INDEX('Providers'!$J$4:$J$503,265))&amp;". ")&amp;IF(LEN(IF(LEN(INDEX('Providers'!$C$4:$C$503,265))=0,"",INDEX('Providers'!$C$4:$C$503,265)))=0,"","NPI: "&amp;IF(LEN(INDEX('Providers'!$C$4:$C$503,265))=0,"",INDEX('Providers'!$C$4:$C$503,265))&amp;". "))</f>
        <v/>
      </c>
      <c r="J1268">
        <f>IF(LEN(INDEX('Providers'!$AJ$4:$AJ$503,265))=0,"",INDEX('Providers'!$AJ$4:$AJ$503,265))</f>
        <v/>
      </c>
      <c r="K1268">
        <f>IF(LEN(INDEX('Providers'!$AI$4:$AI$503,265))=0,"",INDEX('Providers'!$AI$4:$AI$503,265))</f>
        <v/>
      </c>
    </row>
    <row r="1269">
      <c r="A1269">
        <f>IF(AND(LEN('Providers'!A269)&gt;0,ISNUMBER('Providers'!K269)),1,0)</f>
        <v/>
      </c>
      <c r="B1269">
        <f>B1268+A1269</f>
        <v/>
      </c>
      <c r="C1269">
        <f>IF(1266&gt;$B$4503,"",MATCH(1266-0.5,$B$3:$B$4503,1))</f>
        <v/>
      </c>
      <c r="D1269">
        <f>"State CSR ("&amp;IF(LEN(INDEX('Providers'!$E$4:$E$503,266))=0,"",INDEX('Providers'!$E$4:$E$503,266))&amp;") – "&amp;IF(LEN(INDEX('Providers'!$A$4:$A$503,266))=0,"",INDEX('Providers'!$A$4:$A$503,266))</f>
        <v/>
      </c>
      <c r="E1269">
        <f>IF(ISNUMBER(INDEX('Providers'!$K$4:$K$503,266)),TEXT(INDEX('Providers'!$K$4:$K$503,266),"yyyy-mm-dd"),"")</f>
        <v/>
      </c>
      <c r="F1269">
        <f>"Registration"</f>
        <v/>
      </c>
      <c r="G1269">
        <f>""</f>
        <v/>
      </c>
      <c r="H1269">
        <f>"High"</f>
        <v/>
      </c>
      <c r="I1269">
        <f>TRIM(IF(LEN(IF(LEN(INDEX('Providers'!$J$4:$J$503,266))=0,"",INDEX('Providers'!$J$4:$J$503,266)))=0,"","CSR no.: "&amp;IF(LEN(INDEX('Providers'!$J$4:$J$503,266))=0,"",INDEX('Providers'!$J$4:$J$503,266))&amp;". ")&amp;IF(LEN(IF(LEN(INDEX('Providers'!$C$4:$C$503,266))=0,"",INDEX('Providers'!$C$4:$C$503,266)))=0,"","NPI: "&amp;IF(LEN(INDEX('Providers'!$C$4:$C$503,266))=0,"",INDEX('Providers'!$C$4:$C$503,266))&amp;". "))</f>
        <v/>
      </c>
      <c r="J1269">
        <f>IF(LEN(INDEX('Providers'!$AJ$4:$AJ$503,266))=0,"",INDEX('Providers'!$AJ$4:$AJ$503,266))</f>
        <v/>
      </c>
      <c r="K1269">
        <f>IF(LEN(INDEX('Providers'!$AI$4:$AI$503,266))=0,"",INDEX('Providers'!$AI$4:$AI$503,266))</f>
        <v/>
      </c>
    </row>
    <row r="1270">
      <c r="A1270">
        <f>IF(AND(LEN('Providers'!A270)&gt;0,ISNUMBER('Providers'!K270)),1,0)</f>
        <v/>
      </c>
      <c r="B1270">
        <f>B1269+A1270</f>
        <v/>
      </c>
      <c r="C1270">
        <f>IF(1267&gt;$B$4503,"",MATCH(1267-0.5,$B$3:$B$4503,1))</f>
        <v/>
      </c>
      <c r="D1270">
        <f>"State CSR ("&amp;IF(LEN(INDEX('Providers'!$E$4:$E$503,267))=0,"",INDEX('Providers'!$E$4:$E$503,267))&amp;") – "&amp;IF(LEN(INDEX('Providers'!$A$4:$A$503,267))=0,"",INDEX('Providers'!$A$4:$A$503,267))</f>
        <v/>
      </c>
      <c r="E1270">
        <f>IF(ISNUMBER(INDEX('Providers'!$K$4:$K$503,267)),TEXT(INDEX('Providers'!$K$4:$K$503,267),"yyyy-mm-dd"),"")</f>
        <v/>
      </c>
      <c r="F1270">
        <f>"Registration"</f>
        <v/>
      </c>
      <c r="G1270">
        <f>""</f>
        <v/>
      </c>
      <c r="H1270">
        <f>"High"</f>
        <v/>
      </c>
      <c r="I1270">
        <f>TRIM(IF(LEN(IF(LEN(INDEX('Providers'!$J$4:$J$503,267))=0,"",INDEX('Providers'!$J$4:$J$503,267)))=0,"","CSR no.: "&amp;IF(LEN(INDEX('Providers'!$J$4:$J$503,267))=0,"",INDEX('Providers'!$J$4:$J$503,267))&amp;". ")&amp;IF(LEN(IF(LEN(INDEX('Providers'!$C$4:$C$503,267))=0,"",INDEX('Providers'!$C$4:$C$503,267)))=0,"","NPI: "&amp;IF(LEN(INDEX('Providers'!$C$4:$C$503,267))=0,"",INDEX('Providers'!$C$4:$C$503,267))&amp;". "))</f>
        <v/>
      </c>
      <c r="J1270">
        <f>IF(LEN(INDEX('Providers'!$AJ$4:$AJ$503,267))=0,"",INDEX('Providers'!$AJ$4:$AJ$503,267))</f>
        <v/>
      </c>
      <c r="K1270">
        <f>IF(LEN(INDEX('Providers'!$AI$4:$AI$503,267))=0,"",INDEX('Providers'!$AI$4:$AI$503,267))</f>
        <v/>
      </c>
    </row>
    <row r="1271">
      <c r="A1271">
        <f>IF(AND(LEN('Providers'!A271)&gt;0,ISNUMBER('Providers'!K271)),1,0)</f>
        <v/>
      </c>
      <c r="B1271">
        <f>B1270+A1271</f>
        <v/>
      </c>
      <c r="C1271">
        <f>IF(1268&gt;$B$4503,"",MATCH(1268-0.5,$B$3:$B$4503,1))</f>
        <v/>
      </c>
      <c r="D1271">
        <f>"State CSR ("&amp;IF(LEN(INDEX('Providers'!$E$4:$E$503,268))=0,"",INDEX('Providers'!$E$4:$E$503,268))&amp;") – "&amp;IF(LEN(INDEX('Providers'!$A$4:$A$503,268))=0,"",INDEX('Providers'!$A$4:$A$503,268))</f>
        <v/>
      </c>
      <c r="E1271">
        <f>IF(ISNUMBER(INDEX('Providers'!$K$4:$K$503,268)),TEXT(INDEX('Providers'!$K$4:$K$503,268),"yyyy-mm-dd"),"")</f>
        <v/>
      </c>
      <c r="F1271">
        <f>"Registration"</f>
        <v/>
      </c>
      <c r="G1271">
        <f>""</f>
        <v/>
      </c>
      <c r="H1271">
        <f>"High"</f>
        <v/>
      </c>
      <c r="I1271">
        <f>TRIM(IF(LEN(IF(LEN(INDEX('Providers'!$J$4:$J$503,268))=0,"",INDEX('Providers'!$J$4:$J$503,268)))=0,"","CSR no.: "&amp;IF(LEN(INDEX('Providers'!$J$4:$J$503,268))=0,"",INDEX('Providers'!$J$4:$J$503,268))&amp;". ")&amp;IF(LEN(IF(LEN(INDEX('Providers'!$C$4:$C$503,268))=0,"",INDEX('Providers'!$C$4:$C$503,268)))=0,"","NPI: "&amp;IF(LEN(INDEX('Providers'!$C$4:$C$503,268))=0,"",INDEX('Providers'!$C$4:$C$503,268))&amp;". "))</f>
        <v/>
      </c>
      <c r="J1271">
        <f>IF(LEN(INDEX('Providers'!$AJ$4:$AJ$503,268))=0,"",INDEX('Providers'!$AJ$4:$AJ$503,268))</f>
        <v/>
      </c>
      <c r="K1271">
        <f>IF(LEN(INDEX('Providers'!$AI$4:$AI$503,268))=0,"",INDEX('Providers'!$AI$4:$AI$503,268))</f>
        <v/>
      </c>
    </row>
    <row r="1272">
      <c r="A1272">
        <f>IF(AND(LEN('Providers'!A272)&gt;0,ISNUMBER('Providers'!K272)),1,0)</f>
        <v/>
      </c>
      <c r="B1272">
        <f>B1271+A1272</f>
        <v/>
      </c>
      <c r="C1272">
        <f>IF(1269&gt;$B$4503,"",MATCH(1269-0.5,$B$3:$B$4503,1))</f>
        <v/>
      </c>
      <c r="D1272">
        <f>"State CSR ("&amp;IF(LEN(INDEX('Providers'!$E$4:$E$503,269))=0,"",INDEX('Providers'!$E$4:$E$503,269))&amp;") – "&amp;IF(LEN(INDEX('Providers'!$A$4:$A$503,269))=0,"",INDEX('Providers'!$A$4:$A$503,269))</f>
        <v/>
      </c>
      <c r="E1272">
        <f>IF(ISNUMBER(INDEX('Providers'!$K$4:$K$503,269)),TEXT(INDEX('Providers'!$K$4:$K$503,269),"yyyy-mm-dd"),"")</f>
        <v/>
      </c>
      <c r="F1272">
        <f>"Registration"</f>
        <v/>
      </c>
      <c r="G1272">
        <f>""</f>
        <v/>
      </c>
      <c r="H1272">
        <f>"High"</f>
        <v/>
      </c>
      <c r="I1272">
        <f>TRIM(IF(LEN(IF(LEN(INDEX('Providers'!$J$4:$J$503,269))=0,"",INDEX('Providers'!$J$4:$J$503,269)))=0,"","CSR no.: "&amp;IF(LEN(INDEX('Providers'!$J$4:$J$503,269))=0,"",INDEX('Providers'!$J$4:$J$503,269))&amp;". ")&amp;IF(LEN(IF(LEN(INDEX('Providers'!$C$4:$C$503,269))=0,"",INDEX('Providers'!$C$4:$C$503,269)))=0,"","NPI: "&amp;IF(LEN(INDEX('Providers'!$C$4:$C$503,269))=0,"",INDEX('Providers'!$C$4:$C$503,269))&amp;". "))</f>
        <v/>
      </c>
      <c r="J1272">
        <f>IF(LEN(INDEX('Providers'!$AJ$4:$AJ$503,269))=0,"",INDEX('Providers'!$AJ$4:$AJ$503,269))</f>
        <v/>
      </c>
      <c r="K1272">
        <f>IF(LEN(INDEX('Providers'!$AI$4:$AI$503,269))=0,"",INDEX('Providers'!$AI$4:$AI$503,269))</f>
        <v/>
      </c>
    </row>
    <row r="1273">
      <c r="A1273">
        <f>IF(AND(LEN('Providers'!A273)&gt;0,ISNUMBER('Providers'!K273)),1,0)</f>
        <v/>
      </c>
      <c r="B1273">
        <f>B1272+A1273</f>
        <v/>
      </c>
      <c r="C1273">
        <f>IF(1270&gt;$B$4503,"",MATCH(1270-0.5,$B$3:$B$4503,1))</f>
        <v/>
      </c>
      <c r="D1273">
        <f>"State CSR ("&amp;IF(LEN(INDEX('Providers'!$E$4:$E$503,270))=0,"",INDEX('Providers'!$E$4:$E$503,270))&amp;") – "&amp;IF(LEN(INDEX('Providers'!$A$4:$A$503,270))=0,"",INDEX('Providers'!$A$4:$A$503,270))</f>
        <v/>
      </c>
      <c r="E1273">
        <f>IF(ISNUMBER(INDEX('Providers'!$K$4:$K$503,270)),TEXT(INDEX('Providers'!$K$4:$K$503,270),"yyyy-mm-dd"),"")</f>
        <v/>
      </c>
      <c r="F1273">
        <f>"Registration"</f>
        <v/>
      </c>
      <c r="G1273">
        <f>""</f>
        <v/>
      </c>
      <c r="H1273">
        <f>"High"</f>
        <v/>
      </c>
      <c r="I1273">
        <f>TRIM(IF(LEN(IF(LEN(INDEX('Providers'!$J$4:$J$503,270))=0,"",INDEX('Providers'!$J$4:$J$503,270)))=0,"","CSR no.: "&amp;IF(LEN(INDEX('Providers'!$J$4:$J$503,270))=0,"",INDEX('Providers'!$J$4:$J$503,270))&amp;". ")&amp;IF(LEN(IF(LEN(INDEX('Providers'!$C$4:$C$503,270))=0,"",INDEX('Providers'!$C$4:$C$503,270)))=0,"","NPI: "&amp;IF(LEN(INDEX('Providers'!$C$4:$C$503,270))=0,"",INDEX('Providers'!$C$4:$C$503,270))&amp;". "))</f>
        <v/>
      </c>
      <c r="J1273">
        <f>IF(LEN(INDEX('Providers'!$AJ$4:$AJ$503,270))=0,"",INDEX('Providers'!$AJ$4:$AJ$503,270))</f>
        <v/>
      </c>
      <c r="K1273">
        <f>IF(LEN(INDEX('Providers'!$AI$4:$AI$503,270))=0,"",INDEX('Providers'!$AI$4:$AI$503,270))</f>
        <v/>
      </c>
    </row>
    <row r="1274">
      <c r="A1274">
        <f>IF(AND(LEN('Providers'!A274)&gt;0,ISNUMBER('Providers'!K274)),1,0)</f>
        <v/>
      </c>
      <c r="B1274">
        <f>B1273+A1274</f>
        <v/>
      </c>
      <c r="C1274">
        <f>IF(1271&gt;$B$4503,"",MATCH(1271-0.5,$B$3:$B$4503,1))</f>
        <v/>
      </c>
      <c r="D1274">
        <f>"State CSR ("&amp;IF(LEN(INDEX('Providers'!$E$4:$E$503,271))=0,"",INDEX('Providers'!$E$4:$E$503,271))&amp;") – "&amp;IF(LEN(INDEX('Providers'!$A$4:$A$503,271))=0,"",INDEX('Providers'!$A$4:$A$503,271))</f>
        <v/>
      </c>
      <c r="E1274">
        <f>IF(ISNUMBER(INDEX('Providers'!$K$4:$K$503,271)),TEXT(INDEX('Providers'!$K$4:$K$503,271),"yyyy-mm-dd"),"")</f>
        <v/>
      </c>
      <c r="F1274">
        <f>"Registration"</f>
        <v/>
      </c>
      <c r="G1274">
        <f>""</f>
        <v/>
      </c>
      <c r="H1274">
        <f>"High"</f>
        <v/>
      </c>
      <c r="I1274">
        <f>TRIM(IF(LEN(IF(LEN(INDEX('Providers'!$J$4:$J$503,271))=0,"",INDEX('Providers'!$J$4:$J$503,271)))=0,"","CSR no.: "&amp;IF(LEN(INDEX('Providers'!$J$4:$J$503,271))=0,"",INDEX('Providers'!$J$4:$J$503,271))&amp;". ")&amp;IF(LEN(IF(LEN(INDEX('Providers'!$C$4:$C$503,271))=0,"",INDEX('Providers'!$C$4:$C$503,271)))=0,"","NPI: "&amp;IF(LEN(INDEX('Providers'!$C$4:$C$503,271))=0,"",INDEX('Providers'!$C$4:$C$503,271))&amp;". "))</f>
        <v/>
      </c>
      <c r="J1274">
        <f>IF(LEN(INDEX('Providers'!$AJ$4:$AJ$503,271))=0,"",INDEX('Providers'!$AJ$4:$AJ$503,271))</f>
        <v/>
      </c>
      <c r="K1274">
        <f>IF(LEN(INDEX('Providers'!$AI$4:$AI$503,271))=0,"",INDEX('Providers'!$AI$4:$AI$503,271))</f>
        <v/>
      </c>
    </row>
    <row r="1275">
      <c r="A1275">
        <f>IF(AND(LEN('Providers'!A275)&gt;0,ISNUMBER('Providers'!K275)),1,0)</f>
        <v/>
      </c>
      <c r="B1275">
        <f>B1274+A1275</f>
        <v/>
      </c>
      <c r="C1275">
        <f>IF(1272&gt;$B$4503,"",MATCH(1272-0.5,$B$3:$B$4503,1))</f>
        <v/>
      </c>
      <c r="D1275">
        <f>"State CSR ("&amp;IF(LEN(INDEX('Providers'!$E$4:$E$503,272))=0,"",INDEX('Providers'!$E$4:$E$503,272))&amp;") – "&amp;IF(LEN(INDEX('Providers'!$A$4:$A$503,272))=0,"",INDEX('Providers'!$A$4:$A$503,272))</f>
        <v/>
      </c>
      <c r="E1275">
        <f>IF(ISNUMBER(INDEX('Providers'!$K$4:$K$503,272)),TEXT(INDEX('Providers'!$K$4:$K$503,272),"yyyy-mm-dd"),"")</f>
        <v/>
      </c>
      <c r="F1275">
        <f>"Registration"</f>
        <v/>
      </c>
      <c r="G1275">
        <f>""</f>
        <v/>
      </c>
      <c r="H1275">
        <f>"High"</f>
        <v/>
      </c>
      <c r="I1275">
        <f>TRIM(IF(LEN(IF(LEN(INDEX('Providers'!$J$4:$J$503,272))=0,"",INDEX('Providers'!$J$4:$J$503,272)))=0,"","CSR no.: "&amp;IF(LEN(INDEX('Providers'!$J$4:$J$503,272))=0,"",INDEX('Providers'!$J$4:$J$503,272))&amp;". ")&amp;IF(LEN(IF(LEN(INDEX('Providers'!$C$4:$C$503,272))=0,"",INDEX('Providers'!$C$4:$C$503,272)))=0,"","NPI: "&amp;IF(LEN(INDEX('Providers'!$C$4:$C$503,272))=0,"",INDEX('Providers'!$C$4:$C$503,272))&amp;". "))</f>
        <v/>
      </c>
      <c r="J1275">
        <f>IF(LEN(INDEX('Providers'!$AJ$4:$AJ$503,272))=0,"",INDEX('Providers'!$AJ$4:$AJ$503,272))</f>
        <v/>
      </c>
      <c r="K1275">
        <f>IF(LEN(INDEX('Providers'!$AI$4:$AI$503,272))=0,"",INDEX('Providers'!$AI$4:$AI$503,272))</f>
        <v/>
      </c>
    </row>
    <row r="1276">
      <c r="A1276">
        <f>IF(AND(LEN('Providers'!A276)&gt;0,ISNUMBER('Providers'!K276)),1,0)</f>
        <v/>
      </c>
      <c r="B1276">
        <f>B1275+A1276</f>
        <v/>
      </c>
      <c r="C1276">
        <f>IF(1273&gt;$B$4503,"",MATCH(1273-0.5,$B$3:$B$4503,1))</f>
        <v/>
      </c>
      <c r="D1276">
        <f>"State CSR ("&amp;IF(LEN(INDEX('Providers'!$E$4:$E$503,273))=0,"",INDEX('Providers'!$E$4:$E$503,273))&amp;") – "&amp;IF(LEN(INDEX('Providers'!$A$4:$A$503,273))=0,"",INDEX('Providers'!$A$4:$A$503,273))</f>
        <v/>
      </c>
      <c r="E1276">
        <f>IF(ISNUMBER(INDEX('Providers'!$K$4:$K$503,273)),TEXT(INDEX('Providers'!$K$4:$K$503,273),"yyyy-mm-dd"),"")</f>
        <v/>
      </c>
      <c r="F1276">
        <f>"Registration"</f>
        <v/>
      </c>
      <c r="G1276">
        <f>""</f>
        <v/>
      </c>
      <c r="H1276">
        <f>"High"</f>
        <v/>
      </c>
      <c r="I1276">
        <f>TRIM(IF(LEN(IF(LEN(INDEX('Providers'!$J$4:$J$503,273))=0,"",INDEX('Providers'!$J$4:$J$503,273)))=0,"","CSR no.: "&amp;IF(LEN(INDEX('Providers'!$J$4:$J$503,273))=0,"",INDEX('Providers'!$J$4:$J$503,273))&amp;". ")&amp;IF(LEN(IF(LEN(INDEX('Providers'!$C$4:$C$503,273))=0,"",INDEX('Providers'!$C$4:$C$503,273)))=0,"","NPI: "&amp;IF(LEN(INDEX('Providers'!$C$4:$C$503,273))=0,"",INDEX('Providers'!$C$4:$C$503,273))&amp;". "))</f>
        <v/>
      </c>
      <c r="J1276">
        <f>IF(LEN(INDEX('Providers'!$AJ$4:$AJ$503,273))=0,"",INDEX('Providers'!$AJ$4:$AJ$503,273))</f>
        <v/>
      </c>
      <c r="K1276">
        <f>IF(LEN(INDEX('Providers'!$AI$4:$AI$503,273))=0,"",INDEX('Providers'!$AI$4:$AI$503,273))</f>
        <v/>
      </c>
    </row>
    <row r="1277">
      <c r="A1277">
        <f>IF(AND(LEN('Providers'!A277)&gt;0,ISNUMBER('Providers'!K277)),1,0)</f>
        <v/>
      </c>
      <c r="B1277">
        <f>B1276+A1277</f>
        <v/>
      </c>
      <c r="C1277">
        <f>IF(1274&gt;$B$4503,"",MATCH(1274-0.5,$B$3:$B$4503,1))</f>
        <v/>
      </c>
      <c r="D1277">
        <f>"State CSR ("&amp;IF(LEN(INDEX('Providers'!$E$4:$E$503,274))=0,"",INDEX('Providers'!$E$4:$E$503,274))&amp;") – "&amp;IF(LEN(INDEX('Providers'!$A$4:$A$503,274))=0,"",INDEX('Providers'!$A$4:$A$503,274))</f>
        <v/>
      </c>
      <c r="E1277">
        <f>IF(ISNUMBER(INDEX('Providers'!$K$4:$K$503,274)),TEXT(INDEX('Providers'!$K$4:$K$503,274),"yyyy-mm-dd"),"")</f>
        <v/>
      </c>
      <c r="F1277">
        <f>"Registration"</f>
        <v/>
      </c>
      <c r="G1277">
        <f>""</f>
        <v/>
      </c>
      <c r="H1277">
        <f>"High"</f>
        <v/>
      </c>
      <c r="I1277">
        <f>TRIM(IF(LEN(IF(LEN(INDEX('Providers'!$J$4:$J$503,274))=0,"",INDEX('Providers'!$J$4:$J$503,274)))=0,"","CSR no.: "&amp;IF(LEN(INDEX('Providers'!$J$4:$J$503,274))=0,"",INDEX('Providers'!$J$4:$J$503,274))&amp;". ")&amp;IF(LEN(IF(LEN(INDEX('Providers'!$C$4:$C$503,274))=0,"",INDEX('Providers'!$C$4:$C$503,274)))=0,"","NPI: "&amp;IF(LEN(INDEX('Providers'!$C$4:$C$503,274))=0,"",INDEX('Providers'!$C$4:$C$503,274))&amp;". "))</f>
        <v/>
      </c>
      <c r="J1277">
        <f>IF(LEN(INDEX('Providers'!$AJ$4:$AJ$503,274))=0,"",INDEX('Providers'!$AJ$4:$AJ$503,274))</f>
        <v/>
      </c>
      <c r="K1277">
        <f>IF(LEN(INDEX('Providers'!$AI$4:$AI$503,274))=0,"",INDEX('Providers'!$AI$4:$AI$503,274))</f>
        <v/>
      </c>
    </row>
    <row r="1278">
      <c r="A1278">
        <f>IF(AND(LEN('Providers'!A278)&gt;0,ISNUMBER('Providers'!K278)),1,0)</f>
        <v/>
      </c>
      <c r="B1278">
        <f>B1277+A1278</f>
        <v/>
      </c>
      <c r="C1278">
        <f>IF(1275&gt;$B$4503,"",MATCH(1275-0.5,$B$3:$B$4503,1))</f>
        <v/>
      </c>
      <c r="D1278">
        <f>"State CSR ("&amp;IF(LEN(INDEX('Providers'!$E$4:$E$503,275))=0,"",INDEX('Providers'!$E$4:$E$503,275))&amp;") – "&amp;IF(LEN(INDEX('Providers'!$A$4:$A$503,275))=0,"",INDEX('Providers'!$A$4:$A$503,275))</f>
        <v/>
      </c>
      <c r="E1278">
        <f>IF(ISNUMBER(INDEX('Providers'!$K$4:$K$503,275)),TEXT(INDEX('Providers'!$K$4:$K$503,275),"yyyy-mm-dd"),"")</f>
        <v/>
      </c>
      <c r="F1278">
        <f>"Registration"</f>
        <v/>
      </c>
      <c r="G1278">
        <f>""</f>
        <v/>
      </c>
      <c r="H1278">
        <f>"High"</f>
        <v/>
      </c>
      <c r="I1278">
        <f>TRIM(IF(LEN(IF(LEN(INDEX('Providers'!$J$4:$J$503,275))=0,"",INDEX('Providers'!$J$4:$J$503,275)))=0,"","CSR no.: "&amp;IF(LEN(INDEX('Providers'!$J$4:$J$503,275))=0,"",INDEX('Providers'!$J$4:$J$503,275))&amp;". ")&amp;IF(LEN(IF(LEN(INDEX('Providers'!$C$4:$C$503,275))=0,"",INDEX('Providers'!$C$4:$C$503,275)))=0,"","NPI: "&amp;IF(LEN(INDEX('Providers'!$C$4:$C$503,275))=0,"",INDEX('Providers'!$C$4:$C$503,275))&amp;". "))</f>
        <v/>
      </c>
      <c r="J1278">
        <f>IF(LEN(INDEX('Providers'!$AJ$4:$AJ$503,275))=0,"",INDEX('Providers'!$AJ$4:$AJ$503,275))</f>
        <v/>
      </c>
      <c r="K1278">
        <f>IF(LEN(INDEX('Providers'!$AI$4:$AI$503,275))=0,"",INDEX('Providers'!$AI$4:$AI$503,275))</f>
        <v/>
      </c>
    </row>
    <row r="1279">
      <c r="A1279">
        <f>IF(AND(LEN('Providers'!A279)&gt;0,ISNUMBER('Providers'!K279)),1,0)</f>
        <v/>
      </c>
      <c r="B1279">
        <f>B1278+A1279</f>
        <v/>
      </c>
      <c r="C1279">
        <f>IF(1276&gt;$B$4503,"",MATCH(1276-0.5,$B$3:$B$4503,1))</f>
        <v/>
      </c>
      <c r="D1279">
        <f>"State CSR ("&amp;IF(LEN(INDEX('Providers'!$E$4:$E$503,276))=0,"",INDEX('Providers'!$E$4:$E$503,276))&amp;") – "&amp;IF(LEN(INDEX('Providers'!$A$4:$A$503,276))=0,"",INDEX('Providers'!$A$4:$A$503,276))</f>
        <v/>
      </c>
      <c r="E1279">
        <f>IF(ISNUMBER(INDEX('Providers'!$K$4:$K$503,276)),TEXT(INDEX('Providers'!$K$4:$K$503,276),"yyyy-mm-dd"),"")</f>
        <v/>
      </c>
      <c r="F1279">
        <f>"Registration"</f>
        <v/>
      </c>
      <c r="G1279">
        <f>""</f>
        <v/>
      </c>
      <c r="H1279">
        <f>"High"</f>
        <v/>
      </c>
      <c r="I1279">
        <f>TRIM(IF(LEN(IF(LEN(INDEX('Providers'!$J$4:$J$503,276))=0,"",INDEX('Providers'!$J$4:$J$503,276)))=0,"","CSR no.: "&amp;IF(LEN(INDEX('Providers'!$J$4:$J$503,276))=0,"",INDEX('Providers'!$J$4:$J$503,276))&amp;". ")&amp;IF(LEN(IF(LEN(INDEX('Providers'!$C$4:$C$503,276))=0,"",INDEX('Providers'!$C$4:$C$503,276)))=0,"","NPI: "&amp;IF(LEN(INDEX('Providers'!$C$4:$C$503,276))=0,"",INDEX('Providers'!$C$4:$C$503,276))&amp;". "))</f>
        <v/>
      </c>
      <c r="J1279">
        <f>IF(LEN(INDEX('Providers'!$AJ$4:$AJ$503,276))=0,"",INDEX('Providers'!$AJ$4:$AJ$503,276))</f>
        <v/>
      </c>
      <c r="K1279">
        <f>IF(LEN(INDEX('Providers'!$AI$4:$AI$503,276))=0,"",INDEX('Providers'!$AI$4:$AI$503,276))</f>
        <v/>
      </c>
    </row>
    <row r="1280">
      <c r="A1280">
        <f>IF(AND(LEN('Providers'!A280)&gt;0,ISNUMBER('Providers'!K280)),1,0)</f>
        <v/>
      </c>
      <c r="B1280">
        <f>B1279+A1280</f>
        <v/>
      </c>
      <c r="C1280">
        <f>IF(1277&gt;$B$4503,"",MATCH(1277-0.5,$B$3:$B$4503,1))</f>
        <v/>
      </c>
      <c r="D1280">
        <f>"State CSR ("&amp;IF(LEN(INDEX('Providers'!$E$4:$E$503,277))=0,"",INDEX('Providers'!$E$4:$E$503,277))&amp;") – "&amp;IF(LEN(INDEX('Providers'!$A$4:$A$503,277))=0,"",INDEX('Providers'!$A$4:$A$503,277))</f>
        <v/>
      </c>
      <c r="E1280">
        <f>IF(ISNUMBER(INDEX('Providers'!$K$4:$K$503,277)),TEXT(INDEX('Providers'!$K$4:$K$503,277),"yyyy-mm-dd"),"")</f>
        <v/>
      </c>
      <c r="F1280">
        <f>"Registration"</f>
        <v/>
      </c>
      <c r="G1280">
        <f>""</f>
        <v/>
      </c>
      <c r="H1280">
        <f>"High"</f>
        <v/>
      </c>
      <c r="I1280">
        <f>TRIM(IF(LEN(IF(LEN(INDEX('Providers'!$J$4:$J$503,277))=0,"",INDEX('Providers'!$J$4:$J$503,277)))=0,"","CSR no.: "&amp;IF(LEN(INDEX('Providers'!$J$4:$J$503,277))=0,"",INDEX('Providers'!$J$4:$J$503,277))&amp;". ")&amp;IF(LEN(IF(LEN(INDEX('Providers'!$C$4:$C$503,277))=0,"",INDEX('Providers'!$C$4:$C$503,277)))=0,"","NPI: "&amp;IF(LEN(INDEX('Providers'!$C$4:$C$503,277))=0,"",INDEX('Providers'!$C$4:$C$503,277))&amp;". "))</f>
        <v/>
      </c>
      <c r="J1280">
        <f>IF(LEN(INDEX('Providers'!$AJ$4:$AJ$503,277))=0,"",INDEX('Providers'!$AJ$4:$AJ$503,277))</f>
        <v/>
      </c>
      <c r="K1280">
        <f>IF(LEN(INDEX('Providers'!$AI$4:$AI$503,277))=0,"",INDEX('Providers'!$AI$4:$AI$503,277))</f>
        <v/>
      </c>
    </row>
    <row r="1281">
      <c r="A1281">
        <f>IF(AND(LEN('Providers'!A281)&gt;0,ISNUMBER('Providers'!K281)),1,0)</f>
        <v/>
      </c>
      <c r="B1281">
        <f>B1280+A1281</f>
        <v/>
      </c>
      <c r="C1281">
        <f>IF(1278&gt;$B$4503,"",MATCH(1278-0.5,$B$3:$B$4503,1))</f>
        <v/>
      </c>
      <c r="D1281">
        <f>"State CSR ("&amp;IF(LEN(INDEX('Providers'!$E$4:$E$503,278))=0,"",INDEX('Providers'!$E$4:$E$503,278))&amp;") – "&amp;IF(LEN(INDEX('Providers'!$A$4:$A$503,278))=0,"",INDEX('Providers'!$A$4:$A$503,278))</f>
        <v/>
      </c>
      <c r="E1281">
        <f>IF(ISNUMBER(INDEX('Providers'!$K$4:$K$503,278)),TEXT(INDEX('Providers'!$K$4:$K$503,278),"yyyy-mm-dd"),"")</f>
        <v/>
      </c>
      <c r="F1281">
        <f>"Registration"</f>
        <v/>
      </c>
      <c r="G1281">
        <f>""</f>
        <v/>
      </c>
      <c r="H1281">
        <f>"High"</f>
        <v/>
      </c>
      <c r="I1281">
        <f>TRIM(IF(LEN(IF(LEN(INDEX('Providers'!$J$4:$J$503,278))=0,"",INDEX('Providers'!$J$4:$J$503,278)))=0,"","CSR no.: "&amp;IF(LEN(INDEX('Providers'!$J$4:$J$503,278))=0,"",INDEX('Providers'!$J$4:$J$503,278))&amp;". ")&amp;IF(LEN(IF(LEN(INDEX('Providers'!$C$4:$C$503,278))=0,"",INDEX('Providers'!$C$4:$C$503,278)))=0,"","NPI: "&amp;IF(LEN(INDEX('Providers'!$C$4:$C$503,278))=0,"",INDEX('Providers'!$C$4:$C$503,278))&amp;". "))</f>
        <v/>
      </c>
      <c r="J1281">
        <f>IF(LEN(INDEX('Providers'!$AJ$4:$AJ$503,278))=0,"",INDEX('Providers'!$AJ$4:$AJ$503,278))</f>
        <v/>
      </c>
      <c r="K1281">
        <f>IF(LEN(INDEX('Providers'!$AI$4:$AI$503,278))=0,"",INDEX('Providers'!$AI$4:$AI$503,278))</f>
        <v/>
      </c>
    </row>
    <row r="1282">
      <c r="A1282">
        <f>IF(AND(LEN('Providers'!A282)&gt;0,ISNUMBER('Providers'!K282)),1,0)</f>
        <v/>
      </c>
      <c r="B1282">
        <f>B1281+A1282</f>
        <v/>
      </c>
      <c r="C1282">
        <f>IF(1279&gt;$B$4503,"",MATCH(1279-0.5,$B$3:$B$4503,1))</f>
        <v/>
      </c>
      <c r="D1282">
        <f>"State CSR ("&amp;IF(LEN(INDEX('Providers'!$E$4:$E$503,279))=0,"",INDEX('Providers'!$E$4:$E$503,279))&amp;") – "&amp;IF(LEN(INDEX('Providers'!$A$4:$A$503,279))=0,"",INDEX('Providers'!$A$4:$A$503,279))</f>
        <v/>
      </c>
      <c r="E1282">
        <f>IF(ISNUMBER(INDEX('Providers'!$K$4:$K$503,279)),TEXT(INDEX('Providers'!$K$4:$K$503,279),"yyyy-mm-dd"),"")</f>
        <v/>
      </c>
      <c r="F1282">
        <f>"Registration"</f>
        <v/>
      </c>
      <c r="G1282">
        <f>""</f>
        <v/>
      </c>
      <c r="H1282">
        <f>"High"</f>
        <v/>
      </c>
      <c r="I1282">
        <f>TRIM(IF(LEN(IF(LEN(INDEX('Providers'!$J$4:$J$503,279))=0,"",INDEX('Providers'!$J$4:$J$503,279)))=0,"","CSR no.: "&amp;IF(LEN(INDEX('Providers'!$J$4:$J$503,279))=0,"",INDEX('Providers'!$J$4:$J$503,279))&amp;". ")&amp;IF(LEN(IF(LEN(INDEX('Providers'!$C$4:$C$503,279))=0,"",INDEX('Providers'!$C$4:$C$503,279)))=0,"","NPI: "&amp;IF(LEN(INDEX('Providers'!$C$4:$C$503,279))=0,"",INDEX('Providers'!$C$4:$C$503,279))&amp;". "))</f>
        <v/>
      </c>
      <c r="J1282">
        <f>IF(LEN(INDEX('Providers'!$AJ$4:$AJ$503,279))=0,"",INDEX('Providers'!$AJ$4:$AJ$503,279))</f>
        <v/>
      </c>
      <c r="K1282">
        <f>IF(LEN(INDEX('Providers'!$AI$4:$AI$503,279))=0,"",INDEX('Providers'!$AI$4:$AI$503,279))</f>
        <v/>
      </c>
    </row>
    <row r="1283">
      <c r="A1283">
        <f>IF(AND(LEN('Providers'!A283)&gt;0,ISNUMBER('Providers'!K283)),1,0)</f>
        <v/>
      </c>
      <c r="B1283">
        <f>B1282+A1283</f>
        <v/>
      </c>
      <c r="C1283">
        <f>IF(1280&gt;$B$4503,"",MATCH(1280-0.5,$B$3:$B$4503,1))</f>
        <v/>
      </c>
      <c r="D1283">
        <f>"State CSR ("&amp;IF(LEN(INDEX('Providers'!$E$4:$E$503,280))=0,"",INDEX('Providers'!$E$4:$E$503,280))&amp;") – "&amp;IF(LEN(INDEX('Providers'!$A$4:$A$503,280))=0,"",INDEX('Providers'!$A$4:$A$503,280))</f>
        <v/>
      </c>
      <c r="E1283">
        <f>IF(ISNUMBER(INDEX('Providers'!$K$4:$K$503,280)),TEXT(INDEX('Providers'!$K$4:$K$503,280),"yyyy-mm-dd"),"")</f>
        <v/>
      </c>
      <c r="F1283">
        <f>"Registration"</f>
        <v/>
      </c>
      <c r="G1283">
        <f>""</f>
        <v/>
      </c>
      <c r="H1283">
        <f>"High"</f>
        <v/>
      </c>
      <c r="I1283">
        <f>TRIM(IF(LEN(IF(LEN(INDEX('Providers'!$J$4:$J$503,280))=0,"",INDEX('Providers'!$J$4:$J$503,280)))=0,"","CSR no.: "&amp;IF(LEN(INDEX('Providers'!$J$4:$J$503,280))=0,"",INDEX('Providers'!$J$4:$J$503,280))&amp;". ")&amp;IF(LEN(IF(LEN(INDEX('Providers'!$C$4:$C$503,280))=0,"",INDEX('Providers'!$C$4:$C$503,280)))=0,"","NPI: "&amp;IF(LEN(INDEX('Providers'!$C$4:$C$503,280))=0,"",INDEX('Providers'!$C$4:$C$503,280))&amp;". "))</f>
        <v/>
      </c>
      <c r="J1283">
        <f>IF(LEN(INDEX('Providers'!$AJ$4:$AJ$503,280))=0,"",INDEX('Providers'!$AJ$4:$AJ$503,280))</f>
        <v/>
      </c>
      <c r="K1283">
        <f>IF(LEN(INDEX('Providers'!$AI$4:$AI$503,280))=0,"",INDEX('Providers'!$AI$4:$AI$503,280))</f>
        <v/>
      </c>
    </row>
    <row r="1284">
      <c r="A1284">
        <f>IF(AND(LEN('Providers'!A284)&gt;0,ISNUMBER('Providers'!K284)),1,0)</f>
        <v/>
      </c>
      <c r="B1284">
        <f>B1283+A1284</f>
        <v/>
      </c>
      <c r="C1284">
        <f>IF(1281&gt;$B$4503,"",MATCH(1281-0.5,$B$3:$B$4503,1))</f>
        <v/>
      </c>
      <c r="D1284">
        <f>"State CSR ("&amp;IF(LEN(INDEX('Providers'!$E$4:$E$503,281))=0,"",INDEX('Providers'!$E$4:$E$503,281))&amp;") – "&amp;IF(LEN(INDEX('Providers'!$A$4:$A$503,281))=0,"",INDEX('Providers'!$A$4:$A$503,281))</f>
        <v/>
      </c>
      <c r="E1284">
        <f>IF(ISNUMBER(INDEX('Providers'!$K$4:$K$503,281)),TEXT(INDEX('Providers'!$K$4:$K$503,281),"yyyy-mm-dd"),"")</f>
        <v/>
      </c>
      <c r="F1284">
        <f>"Registration"</f>
        <v/>
      </c>
      <c r="G1284">
        <f>""</f>
        <v/>
      </c>
      <c r="H1284">
        <f>"High"</f>
        <v/>
      </c>
      <c r="I1284">
        <f>TRIM(IF(LEN(IF(LEN(INDEX('Providers'!$J$4:$J$503,281))=0,"",INDEX('Providers'!$J$4:$J$503,281)))=0,"","CSR no.: "&amp;IF(LEN(INDEX('Providers'!$J$4:$J$503,281))=0,"",INDEX('Providers'!$J$4:$J$503,281))&amp;". ")&amp;IF(LEN(IF(LEN(INDEX('Providers'!$C$4:$C$503,281))=0,"",INDEX('Providers'!$C$4:$C$503,281)))=0,"","NPI: "&amp;IF(LEN(INDEX('Providers'!$C$4:$C$503,281))=0,"",INDEX('Providers'!$C$4:$C$503,281))&amp;". "))</f>
        <v/>
      </c>
      <c r="J1284">
        <f>IF(LEN(INDEX('Providers'!$AJ$4:$AJ$503,281))=0,"",INDEX('Providers'!$AJ$4:$AJ$503,281))</f>
        <v/>
      </c>
      <c r="K1284">
        <f>IF(LEN(INDEX('Providers'!$AI$4:$AI$503,281))=0,"",INDEX('Providers'!$AI$4:$AI$503,281))</f>
        <v/>
      </c>
    </row>
    <row r="1285">
      <c r="A1285">
        <f>IF(AND(LEN('Providers'!A285)&gt;0,ISNUMBER('Providers'!K285)),1,0)</f>
        <v/>
      </c>
      <c r="B1285">
        <f>B1284+A1285</f>
        <v/>
      </c>
      <c r="C1285">
        <f>IF(1282&gt;$B$4503,"",MATCH(1282-0.5,$B$3:$B$4503,1))</f>
        <v/>
      </c>
      <c r="D1285">
        <f>"State CSR ("&amp;IF(LEN(INDEX('Providers'!$E$4:$E$503,282))=0,"",INDEX('Providers'!$E$4:$E$503,282))&amp;") – "&amp;IF(LEN(INDEX('Providers'!$A$4:$A$503,282))=0,"",INDEX('Providers'!$A$4:$A$503,282))</f>
        <v/>
      </c>
      <c r="E1285">
        <f>IF(ISNUMBER(INDEX('Providers'!$K$4:$K$503,282)),TEXT(INDEX('Providers'!$K$4:$K$503,282),"yyyy-mm-dd"),"")</f>
        <v/>
      </c>
      <c r="F1285">
        <f>"Registration"</f>
        <v/>
      </c>
      <c r="G1285">
        <f>""</f>
        <v/>
      </c>
      <c r="H1285">
        <f>"High"</f>
        <v/>
      </c>
      <c r="I1285">
        <f>TRIM(IF(LEN(IF(LEN(INDEX('Providers'!$J$4:$J$503,282))=0,"",INDEX('Providers'!$J$4:$J$503,282)))=0,"","CSR no.: "&amp;IF(LEN(INDEX('Providers'!$J$4:$J$503,282))=0,"",INDEX('Providers'!$J$4:$J$503,282))&amp;". ")&amp;IF(LEN(IF(LEN(INDEX('Providers'!$C$4:$C$503,282))=0,"",INDEX('Providers'!$C$4:$C$503,282)))=0,"","NPI: "&amp;IF(LEN(INDEX('Providers'!$C$4:$C$503,282))=0,"",INDEX('Providers'!$C$4:$C$503,282))&amp;". "))</f>
        <v/>
      </c>
      <c r="J1285">
        <f>IF(LEN(INDEX('Providers'!$AJ$4:$AJ$503,282))=0,"",INDEX('Providers'!$AJ$4:$AJ$503,282))</f>
        <v/>
      </c>
      <c r="K1285">
        <f>IF(LEN(INDEX('Providers'!$AI$4:$AI$503,282))=0,"",INDEX('Providers'!$AI$4:$AI$503,282))</f>
        <v/>
      </c>
    </row>
    <row r="1286">
      <c r="A1286">
        <f>IF(AND(LEN('Providers'!A286)&gt;0,ISNUMBER('Providers'!K286)),1,0)</f>
        <v/>
      </c>
      <c r="B1286">
        <f>B1285+A1286</f>
        <v/>
      </c>
      <c r="C1286">
        <f>IF(1283&gt;$B$4503,"",MATCH(1283-0.5,$B$3:$B$4503,1))</f>
        <v/>
      </c>
      <c r="D1286">
        <f>"State CSR ("&amp;IF(LEN(INDEX('Providers'!$E$4:$E$503,283))=0,"",INDEX('Providers'!$E$4:$E$503,283))&amp;") – "&amp;IF(LEN(INDEX('Providers'!$A$4:$A$503,283))=0,"",INDEX('Providers'!$A$4:$A$503,283))</f>
        <v/>
      </c>
      <c r="E1286">
        <f>IF(ISNUMBER(INDEX('Providers'!$K$4:$K$503,283)),TEXT(INDEX('Providers'!$K$4:$K$503,283),"yyyy-mm-dd"),"")</f>
        <v/>
      </c>
      <c r="F1286">
        <f>"Registration"</f>
        <v/>
      </c>
      <c r="G1286">
        <f>""</f>
        <v/>
      </c>
      <c r="H1286">
        <f>"High"</f>
        <v/>
      </c>
      <c r="I1286">
        <f>TRIM(IF(LEN(IF(LEN(INDEX('Providers'!$J$4:$J$503,283))=0,"",INDEX('Providers'!$J$4:$J$503,283)))=0,"","CSR no.: "&amp;IF(LEN(INDEX('Providers'!$J$4:$J$503,283))=0,"",INDEX('Providers'!$J$4:$J$503,283))&amp;". ")&amp;IF(LEN(IF(LEN(INDEX('Providers'!$C$4:$C$503,283))=0,"",INDEX('Providers'!$C$4:$C$503,283)))=0,"","NPI: "&amp;IF(LEN(INDEX('Providers'!$C$4:$C$503,283))=0,"",INDEX('Providers'!$C$4:$C$503,283))&amp;". "))</f>
        <v/>
      </c>
      <c r="J1286">
        <f>IF(LEN(INDEX('Providers'!$AJ$4:$AJ$503,283))=0,"",INDEX('Providers'!$AJ$4:$AJ$503,283))</f>
        <v/>
      </c>
      <c r="K1286">
        <f>IF(LEN(INDEX('Providers'!$AI$4:$AI$503,283))=0,"",INDEX('Providers'!$AI$4:$AI$503,283))</f>
        <v/>
      </c>
    </row>
    <row r="1287">
      <c r="A1287">
        <f>IF(AND(LEN('Providers'!A287)&gt;0,ISNUMBER('Providers'!K287)),1,0)</f>
        <v/>
      </c>
      <c r="B1287">
        <f>B1286+A1287</f>
        <v/>
      </c>
      <c r="C1287">
        <f>IF(1284&gt;$B$4503,"",MATCH(1284-0.5,$B$3:$B$4503,1))</f>
        <v/>
      </c>
      <c r="D1287">
        <f>"State CSR ("&amp;IF(LEN(INDEX('Providers'!$E$4:$E$503,284))=0,"",INDEX('Providers'!$E$4:$E$503,284))&amp;") – "&amp;IF(LEN(INDEX('Providers'!$A$4:$A$503,284))=0,"",INDEX('Providers'!$A$4:$A$503,284))</f>
        <v/>
      </c>
      <c r="E1287">
        <f>IF(ISNUMBER(INDEX('Providers'!$K$4:$K$503,284)),TEXT(INDEX('Providers'!$K$4:$K$503,284),"yyyy-mm-dd"),"")</f>
        <v/>
      </c>
      <c r="F1287">
        <f>"Registration"</f>
        <v/>
      </c>
      <c r="G1287">
        <f>""</f>
        <v/>
      </c>
      <c r="H1287">
        <f>"High"</f>
        <v/>
      </c>
      <c r="I1287">
        <f>TRIM(IF(LEN(IF(LEN(INDEX('Providers'!$J$4:$J$503,284))=0,"",INDEX('Providers'!$J$4:$J$503,284)))=0,"","CSR no.: "&amp;IF(LEN(INDEX('Providers'!$J$4:$J$503,284))=0,"",INDEX('Providers'!$J$4:$J$503,284))&amp;". ")&amp;IF(LEN(IF(LEN(INDEX('Providers'!$C$4:$C$503,284))=0,"",INDEX('Providers'!$C$4:$C$503,284)))=0,"","NPI: "&amp;IF(LEN(INDEX('Providers'!$C$4:$C$503,284))=0,"",INDEX('Providers'!$C$4:$C$503,284))&amp;". "))</f>
        <v/>
      </c>
      <c r="J1287">
        <f>IF(LEN(INDEX('Providers'!$AJ$4:$AJ$503,284))=0,"",INDEX('Providers'!$AJ$4:$AJ$503,284))</f>
        <v/>
      </c>
      <c r="K1287">
        <f>IF(LEN(INDEX('Providers'!$AI$4:$AI$503,284))=0,"",INDEX('Providers'!$AI$4:$AI$503,284))</f>
        <v/>
      </c>
    </row>
    <row r="1288">
      <c r="A1288">
        <f>IF(AND(LEN('Providers'!A288)&gt;0,ISNUMBER('Providers'!K288)),1,0)</f>
        <v/>
      </c>
      <c r="B1288">
        <f>B1287+A1288</f>
        <v/>
      </c>
      <c r="C1288">
        <f>IF(1285&gt;$B$4503,"",MATCH(1285-0.5,$B$3:$B$4503,1))</f>
        <v/>
      </c>
      <c r="D1288">
        <f>"State CSR ("&amp;IF(LEN(INDEX('Providers'!$E$4:$E$503,285))=0,"",INDEX('Providers'!$E$4:$E$503,285))&amp;") – "&amp;IF(LEN(INDEX('Providers'!$A$4:$A$503,285))=0,"",INDEX('Providers'!$A$4:$A$503,285))</f>
        <v/>
      </c>
      <c r="E1288">
        <f>IF(ISNUMBER(INDEX('Providers'!$K$4:$K$503,285)),TEXT(INDEX('Providers'!$K$4:$K$503,285),"yyyy-mm-dd"),"")</f>
        <v/>
      </c>
      <c r="F1288">
        <f>"Registration"</f>
        <v/>
      </c>
      <c r="G1288">
        <f>""</f>
        <v/>
      </c>
      <c r="H1288">
        <f>"High"</f>
        <v/>
      </c>
      <c r="I1288">
        <f>TRIM(IF(LEN(IF(LEN(INDEX('Providers'!$J$4:$J$503,285))=0,"",INDEX('Providers'!$J$4:$J$503,285)))=0,"","CSR no.: "&amp;IF(LEN(INDEX('Providers'!$J$4:$J$503,285))=0,"",INDEX('Providers'!$J$4:$J$503,285))&amp;". ")&amp;IF(LEN(IF(LEN(INDEX('Providers'!$C$4:$C$503,285))=0,"",INDEX('Providers'!$C$4:$C$503,285)))=0,"","NPI: "&amp;IF(LEN(INDEX('Providers'!$C$4:$C$503,285))=0,"",INDEX('Providers'!$C$4:$C$503,285))&amp;". "))</f>
        <v/>
      </c>
      <c r="J1288">
        <f>IF(LEN(INDEX('Providers'!$AJ$4:$AJ$503,285))=0,"",INDEX('Providers'!$AJ$4:$AJ$503,285))</f>
        <v/>
      </c>
      <c r="K1288">
        <f>IF(LEN(INDEX('Providers'!$AI$4:$AI$503,285))=0,"",INDEX('Providers'!$AI$4:$AI$503,285))</f>
        <v/>
      </c>
    </row>
    <row r="1289">
      <c r="A1289">
        <f>IF(AND(LEN('Providers'!A289)&gt;0,ISNUMBER('Providers'!K289)),1,0)</f>
        <v/>
      </c>
      <c r="B1289">
        <f>B1288+A1289</f>
        <v/>
      </c>
      <c r="C1289">
        <f>IF(1286&gt;$B$4503,"",MATCH(1286-0.5,$B$3:$B$4503,1))</f>
        <v/>
      </c>
      <c r="D1289">
        <f>"State CSR ("&amp;IF(LEN(INDEX('Providers'!$E$4:$E$503,286))=0,"",INDEX('Providers'!$E$4:$E$503,286))&amp;") – "&amp;IF(LEN(INDEX('Providers'!$A$4:$A$503,286))=0,"",INDEX('Providers'!$A$4:$A$503,286))</f>
        <v/>
      </c>
      <c r="E1289">
        <f>IF(ISNUMBER(INDEX('Providers'!$K$4:$K$503,286)),TEXT(INDEX('Providers'!$K$4:$K$503,286),"yyyy-mm-dd"),"")</f>
        <v/>
      </c>
      <c r="F1289">
        <f>"Registration"</f>
        <v/>
      </c>
      <c r="G1289">
        <f>""</f>
        <v/>
      </c>
      <c r="H1289">
        <f>"High"</f>
        <v/>
      </c>
      <c r="I1289">
        <f>TRIM(IF(LEN(IF(LEN(INDEX('Providers'!$J$4:$J$503,286))=0,"",INDEX('Providers'!$J$4:$J$503,286)))=0,"","CSR no.: "&amp;IF(LEN(INDEX('Providers'!$J$4:$J$503,286))=0,"",INDEX('Providers'!$J$4:$J$503,286))&amp;". ")&amp;IF(LEN(IF(LEN(INDEX('Providers'!$C$4:$C$503,286))=0,"",INDEX('Providers'!$C$4:$C$503,286)))=0,"","NPI: "&amp;IF(LEN(INDEX('Providers'!$C$4:$C$503,286))=0,"",INDEX('Providers'!$C$4:$C$503,286))&amp;". "))</f>
        <v/>
      </c>
      <c r="J1289">
        <f>IF(LEN(INDEX('Providers'!$AJ$4:$AJ$503,286))=0,"",INDEX('Providers'!$AJ$4:$AJ$503,286))</f>
        <v/>
      </c>
      <c r="K1289">
        <f>IF(LEN(INDEX('Providers'!$AI$4:$AI$503,286))=0,"",INDEX('Providers'!$AI$4:$AI$503,286))</f>
        <v/>
      </c>
    </row>
    <row r="1290">
      <c r="A1290">
        <f>IF(AND(LEN('Providers'!A290)&gt;0,ISNUMBER('Providers'!K290)),1,0)</f>
        <v/>
      </c>
      <c r="B1290">
        <f>B1289+A1290</f>
        <v/>
      </c>
      <c r="C1290">
        <f>IF(1287&gt;$B$4503,"",MATCH(1287-0.5,$B$3:$B$4503,1))</f>
        <v/>
      </c>
      <c r="D1290">
        <f>"State CSR ("&amp;IF(LEN(INDEX('Providers'!$E$4:$E$503,287))=0,"",INDEX('Providers'!$E$4:$E$503,287))&amp;") – "&amp;IF(LEN(INDEX('Providers'!$A$4:$A$503,287))=0,"",INDEX('Providers'!$A$4:$A$503,287))</f>
        <v/>
      </c>
      <c r="E1290">
        <f>IF(ISNUMBER(INDEX('Providers'!$K$4:$K$503,287)),TEXT(INDEX('Providers'!$K$4:$K$503,287),"yyyy-mm-dd"),"")</f>
        <v/>
      </c>
      <c r="F1290">
        <f>"Registration"</f>
        <v/>
      </c>
      <c r="G1290">
        <f>""</f>
        <v/>
      </c>
      <c r="H1290">
        <f>"High"</f>
        <v/>
      </c>
      <c r="I1290">
        <f>TRIM(IF(LEN(IF(LEN(INDEX('Providers'!$J$4:$J$503,287))=0,"",INDEX('Providers'!$J$4:$J$503,287)))=0,"","CSR no.: "&amp;IF(LEN(INDEX('Providers'!$J$4:$J$503,287))=0,"",INDEX('Providers'!$J$4:$J$503,287))&amp;". ")&amp;IF(LEN(IF(LEN(INDEX('Providers'!$C$4:$C$503,287))=0,"",INDEX('Providers'!$C$4:$C$503,287)))=0,"","NPI: "&amp;IF(LEN(INDEX('Providers'!$C$4:$C$503,287))=0,"",INDEX('Providers'!$C$4:$C$503,287))&amp;". "))</f>
        <v/>
      </c>
      <c r="J1290">
        <f>IF(LEN(INDEX('Providers'!$AJ$4:$AJ$503,287))=0,"",INDEX('Providers'!$AJ$4:$AJ$503,287))</f>
        <v/>
      </c>
      <c r="K1290">
        <f>IF(LEN(INDEX('Providers'!$AI$4:$AI$503,287))=0,"",INDEX('Providers'!$AI$4:$AI$503,287))</f>
        <v/>
      </c>
    </row>
    <row r="1291">
      <c r="A1291">
        <f>IF(AND(LEN('Providers'!A291)&gt;0,ISNUMBER('Providers'!K291)),1,0)</f>
        <v/>
      </c>
      <c r="B1291">
        <f>B1290+A1291</f>
        <v/>
      </c>
      <c r="C1291">
        <f>IF(1288&gt;$B$4503,"",MATCH(1288-0.5,$B$3:$B$4503,1))</f>
        <v/>
      </c>
      <c r="D1291">
        <f>"State CSR ("&amp;IF(LEN(INDEX('Providers'!$E$4:$E$503,288))=0,"",INDEX('Providers'!$E$4:$E$503,288))&amp;") – "&amp;IF(LEN(INDEX('Providers'!$A$4:$A$503,288))=0,"",INDEX('Providers'!$A$4:$A$503,288))</f>
        <v/>
      </c>
      <c r="E1291">
        <f>IF(ISNUMBER(INDEX('Providers'!$K$4:$K$503,288)),TEXT(INDEX('Providers'!$K$4:$K$503,288),"yyyy-mm-dd"),"")</f>
        <v/>
      </c>
      <c r="F1291">
        <f>"Registration"</f>
        <v/>
      </c>
      <c r="G1291">
        <f>""</f>
        <v/>
      </c>
      <c r="H1291">
        <f>"High"</f>
        <v/>
      </c>
      <c r="I1291">
        <f>TRIM(IF(LEN(IF(LEN(INDEX('Providers'!$J$4:$J$503,288))=0,"",INDEX('Providers'!$J$4:$J$503,288)))=0,"","CSR no.: "&amp;IF(LEN(INDEX('Providers'!$J$4:$J$503,288))=0,"",INDEX('Providers'!$J$4:$J$503,288))&amp;". ")&amp;IF(LEN(IF(LEN(INDEX('Providers'!$C$4:$C$503,288))=0,"",INDEX('Providers'!$C$4:$C$503,288)))=0,"","NPI: "&amp;IF(LEN(INDEX('Providers'!$C$4:$C$503,288))=0,"",INDEX('Providers'!$C$4:$C$503,288))&amp;". "))</f>
        <v/>
      </c>
      <c r="J1291">
        <f>IF(LEN(INDEX('Providers'!$AJ$4:$AJ$503,288))=0,"",INDEX('Providers'!$AJ$4:$AJ$503,288))</f>
        <v/>
      </c>
      <c r="K1291">
        <f>IF(LEN(INDEX('Providers'!$AI$4:$AI$503,288))=0,"",INDEX('Providers'!$AI$4:$AI$503,288))</f>
        <v/>
      </c>
    </row>
    <row r="1292">
      <c r="A1292">
        <f>IF(AND(LEN('Providers'!A292)&gt;0,ISNUMBER('Providers'!K292)),1,0)</f>
        <v/>
      </c>
      <c r="B1292">
        <f>B1291+A1292</f>
        <v/>
      </c>
      <c r="C1292">
        <f>IF(1289&gt;$B$4503,"",MATCH(1289-0.5,$B$3:$B$4503,1))</f>
        <v/>
      </c>
      <c r="D1292">
        <f>"State CSR ("&amp;IF(LEN(INDEX('Providers'!$E$4:$E$503,289))=0,"",INDEX('Providers'!$E$4:$E$503,289))&amp;") – "&amp;IF(LEN(INDEX('Providers'!$A$4:$A$503,289))=0,"",INDEX('Providers'!$A$4:$A$503,289))</f>
        <v/>
      </c>
      <c r="E1292">
        <f>IF(ISNUMBER(INDEX('Providers'!$K$4:$K$503,289)),TEXT(INDEX('Providers'!$K$4:$K$503,289),"yyyy-mm-dd"),"")</f>
        <v/>
      </c>
      <c r="F1292">
        <f>"Registration"</f>
        <v/>
      </c>
      <c r="G1292">
        <f>""</f>
        <v/>
      </c>
      <c r="H1292">
        <f>"High"</f>
        <v/>
      </c>
      <c r="I1292">
        <f>TRIM(IF(LEN(IF(LEN(INDEX('Providers'!$J$4:$J$503,289))=0,"",INDEX('Providers'!$J$4:$J$503,289)))=0,"","CSR no.: "&amp;IF(LEN(INDEX('Providers'!$J$4:$J$503,289))=0,"",INDEX('Providers'!$J$4:$J$503,289))&amp;". ")&amp;IF(LEN(IF(LEN(INDEX('Providers'!$C$4:$C$503,289))=0,"",INDEX('Providers'!$C$4:$C$503,289)))=0,"","NPI: "&amp;IF(LEN(INDEX('Providers'!$C$4:$C$503,289))=0,"",INDEX('Providers'!$C$4:$C$503,289))&amp;". "))</f>
        <v/>
      </c>
      <c r="J1292">
        <f>IF(LEN(INDEX('Providers'!$AJ$4:$AJ$503,289))=0,"",INDEX('Providers'!$AJ$4:$AJ$503,289))</f>
        <v/>
      </c>
      <c r="K1292">
        <f>IF(LEN(INDEX('Providers'!$AI$4:$AI$503,289))=0,"",INDEX('Providers'!$AI$4:$AI$503,289))</f>
        <v/>
      </c>
    </row>
    <row r="1293">
      <c r="A1293">
        <f>IF(AND(LEN('Providers'!A293)&gt;0,ISNUMBER('Providers'!K293)),1,0)</f>
        <v/>
      </c>
      <c r="B1293">
        <f>B1292+A1293</f>
        <v/>
      </c>
      <c r="C1293">
        <f>IF(1290&gt;$B$4503,"",MATCH(1290-0.5,$B$3:$B$4503,1))</f>
        <v/>
      </c>
      <c r="D1293">
        <f>"State CSR ("&amp;IF(LEN(INDEX('Providers'!$E$4:$E$503,290))=0,"",INDEX('Providers'!$E$4:$E$503,290))&amp;") – "&amp;IF(LEN(INDEX('Providers'!$A$4:$A$503,290))=0,"",INDEX('Providers'!$A$4:$A$503,290))</f>
        <v/>
      </c>
      <c r="E1293">
        <f>IF(ISNUMBER(INDEX('Providers'!$K$4:$K$503,290)),TEXT(INDEX('Providers'!$K$4:$K$503,290),"yyyy-mm-dd"),"")</f>
        <v/>
      </c>
      <c r="F1293">
        <f>"Registration"</f>
        <v/>
      </c>
      <c r="G1293">
        <f>""</f>
        <v/>
      </c>
      <c r="H1293">
        <f>"High"</f>
        <v/>
      </c>
      <c r="I1293">
        <f>TRIM(IF(LEN(IF(LEN(INDEX('Providers'!$J$4:$J$503,290))=0,"",INDEX('Providers'!$J$4:$J$503,290)))=0,"","CSR no.: "&amp;IF(LEN(INDEX('Providers'!$J$4:$J$503,290))=0,"",INDEX('Providers'!$J$4:$J$503,290))&amp;". ")&amp;IF(LEN(IF(LEN(INDEX('Providers'!$C$4:$C$503,290))=0,"",INDEX('Providers'!$C$4:$C$503,290)))=0,"","NPI: "&amp;IF(LEN(INDEX('Providers'!$C$4:$C$503,290))=0,"",INDEX('Providers'!$C$4:$C$503,290))&amp;". "))</f>
        <v/>
      </c>
      <c r="J1293">
        <f>IF(LEN(INDEX('Providers'!$AJ$4:$AJ$503,290))=0,"",INDEX('Providers'!$AJ$4:$AJ$503,290))</f>
        <v/>
      </c>
      <c r="K1293">
        <f>IF(LEN(INDEX('Providers'!$AI$4:$AI$503,290))=0,"",INDEX('Providers'!$AI$4:$AI$503,290))</f>
        <v/>
      </c>
    </row>
    <row r="1294">
      <c r="A1294">
        <f>IF(AND(LEN('Providers'!A294)&gt;0,ISNUMBER('Providers'!K294)),1,0)</f>
        <v/>
      </c>
      <c r="B1294">
        <f>B1293+A1294</f>
        <v/>
      </c>
      <c r="C1294">
        <f>IF(1291&gt;$B$4503,"",MATCH(1291-0.5,$B$3:$B$4503,1))</f>
        <v/>
      </c>
      <c r="D1294">
        <f>"State CSR ("&amp;IF(LEN(INDEX('Providers'!$E$4:$E$503,291))=0,"",INDEX('Providers'!$E$4:$E$503,291))&amp;") – "&amp;IF(LEN(INDEX('Providers'!$A$4:$A$503,291))=0,"",INDEX('Providers'!$A$4:$A$503,291))</f>
        <v/>
      </c>
      <c r="E1294">
        <f>IF(ISNUMBER(INDEX('Providers'!$K$4:$K$503,291)),TEXT(INDEX('Providers'!$K$4:$K$503,291),"yyyy-mm-dd"),"")</f>
        <v/>
      </c>
      <c r="F1294">
        <f>"Registration"</f>
        <v/>
      </c>
      <c r="G1294">
        <f>""</f>
        <v/>
      </c>
      <c r="H1294">
        <f>"High"</f>
        <v/>
      </c>
      <c r="I1294">
        <f>TRIM(IF(LEN(IF(LEN(INDEX('Providers'!$J$4:$J$503,291))=0,"",INDEX('Providers'!$J$4:$J$503,291)))=0,"","CSR no.: "&amp;IF(LEN(INDEX('Providers'!$J$4:$J$503,291))=0,"",INDEX('Providers'!$J$4:$J$503,291))&amp;". ")&amp;IF(LEN(IF(LEN(INDEX('Providers'!$C$4:$C$503,291))=0,"",INDEX('Providers'!$C$4:$C$503,291)))=0,"","NPI: "&amp;IF(LEN(INDEX('Providers'!$C$4:$C$503,291))=0,"",INDEX('Providers'!$C$4:$C$503,291))&amp;". "))</f>
        <v/>
      </c>
      <c r="J1294">
        <f>IF(LEN(INDEX('Providers'!$AJ$4:$AJ$503,291))=0,"",INDEX('Providers'!$AJ$4:$AJ$503,291))</f>
        <v/>
      </c>
      <c r="K1294">
        <f>IF(LEN(INDEX('Providers'!$AI$4:$AI$503,291))=0,"",INDEX('Providers'!$AI$4:$AI$503,291))</f>
        <v/>
      </c>
    </row>
    <row r="1295">
      <c r="A1295">
        <f>IF(AND(LEN('Providers'!A295)&gt;0,ISNUMBER('Providers'!K295)),1,0)</f>
        <v/>
      </c>
      <c r="B1295">
        <f>B1294+A1295</f>
        <v/>
      </c>
      <c r="C1295">
        <f>IF(1292&gt;$B$4503,"",MATCH(1292-0.5,$B$3:$B$4503,1))</f>
        <v/>
      </c>
      <c r="D1295">
        <f>"State CSR ("&amp;IF(LEN(INDEX('Providers'!$E$4:$E$503,292))=0,"",INDEX('Providers'!$E$4:$E$503,292))&amp;") – "&amp;IF(LEN(INDEX('Providers'!$A$4:$A$503,292))=0,"",INDEX('Providers'!$A$4:$A$503,292))</f>
        <v/>
      </c>
      <c r="E1295">
        <f>IF(ISNUMBER(INDEX('Providers'!$K$4:$K$503,292)),TEXT(INDEX('Providers'!$K$4:$K$503,292),"yyyy-mm-dd"),"")</f>
        <v/>
      </c>
      <c r="F1295">
        <f>"Registration"</f>
        <v/>
      </c>
      <c r="G1295">
        <f>""</f>
        <v/>
      </c>
      <c r="H1295">
        <f>"High"</f>
        <v/>
      </c>
      <c r="I1295">
        <f>TRIM(IF(LEN(IF(LEN(INDEX('Providers'!$J$4:$J$503,292))=0,"",INDEX('Providers'!$J$4:$J$503,292)))=0,"","CSR no.: "&amp;IF(LEN(INDEX('Providers'!$J$4:$J$503,292))=0,"",INDEX('Providers'!$J$4:$J$503,292))&amp;". ")&amp;IF(LEN(IF(LEN(INDEX('Providers'!$C$4:$C$503,292))=0,"",INDEX('Providers'!$C$4:$C$503,292)))=0,"","NPI: "&amp;IF(LEN(INDEX('Providers'!$C$4:$C$503,292))=0,"",INDEX('Providers'!$C$4:$C$503,292))&amp;". "))</f>
        <v/>
      </c>
      <c r="J1295">
        <f>IF(LEN(INDEX('Providers'!$AJ$4:$AJ$503,292))=0,"",INDEX('Providers'!$AJ$4:$AJ$503,292))</f>
        <v/>
      </c>
      <c r="K1295">
        <f>IF(LEN(INDEX('Providers'!$AI$4:$AI$503,292))=0,"",INDEX('Providers'!$AI$4:$AI$503,292))</f>
        <v/>
      </c>
    </row>
    <row r="1296">
      <c r="A1296">
        <f>IF(AND(LEN('Providers'!A296)&gt;0,ISNUMBER('Providers'!K296)),1,0)</f>
        <v/>
      </c>
      <c r="B1296">
        <f>B1295+A1296</f>
        <v/>
      </c>
      <c r="C1296">
        <f>IF(1293&gt;$B$4503,"",MATCH(1293-0.5,$B$3:$B$4503,1))</f>
        <v/>
      </c>
      <c r="D1296">
        <f>"State CSR ("&amp;IF(LEN(INDEX('Providers'!$E$4:$E$503,293))=0,"",INDEX('Providers'!$E$4:$E$503,293))&amp;") – "&amp;IF(LEN(INDEX('Providers'!$A$4:$A$503,293))=0,"",INDEX('Providers'!$A$4:$A$503,293))</f>
        <v/>
      </c>
      <c r="E1296">
        <f>IF(ISNUMBER(INDEX('Providers'!$K$4:$K$503,293)),TEXT(INDEX('Providers'!$K$4:$K$503,293),"yyyy-mm-dd"),"")</f>
        <v/>
      </c>
      <c r="F1296">
        <f>"Registration"</f>
        <v/>
      </c>
      <c r="G1296">
        <f>""</f>
        <v/>
      </c>
      <c r="H1296">
        <f>"High"</f>
        <v/>
      </c>
      <c r="I1296">
        <f>TRIM(IF(LEN(IF(LEN(INDEX('Providers'!$J$4:$J$503,293))=0,"",INDEX('Providers'!$J$4:$J$503,293)))=0,"","CSR no.: "&amp;IF(LEN(INDEX('Providers'!$J$4:$J$503,293))=0,"",INDEX('Providers'!$J$4:$J$503,293))&amp;". ")&amp;IF(LEN(IF(LEN(INDEX('Providers'!$C$4:$C$503,293))=0,"",INDEX('Providers'!$C$4:$C$503,293)))=0,"","NPI: "&amp;IF(LEN(INDEX('Providers'!$C$4:$C$503,293))=0,"",INDEX('Providers'!$C$4:$C$503,293))&amp;". "))</f>
        <v/>
      </c>
      <c r="J1296">
        <f>IF(LEN(INDEX('Providers'!$AJ$4:$AJ$503,293))=0,"",INDEX('Providers'!$AJ$4:$AJ$503,293))</f>
        <v/>
      </c>
      <c r="K1296">
        <f>IF(LEN(INDEX('Providers'!$AI$4:$AI$503,293))=0,"",INDEX('Providers'!$AI$4:$AI$503,293))</f>
        <v/>
      </c>
    </row>
    <row r="1297">
      <c r="A1297">
        <f>IF(AND(LEN('Providers'!A297)&gt;0,ISNUMBER('Providers'!K297)),1,0)</f>
        <v/>
      </c>
      <c r="B1297">
        <f>B1296+A1297</f>
        <v/>
      </c>
      <c r="C1297">
        <f>IF(1294&gt;$B$4503,"",MATCH(1294-0.5,$B$3:$B$4503,1))</f>
        <v/>
      </c>
      <c r="D1297">
        <f>"State CSR ("&amp;IF(LEN(INDEX('Providers'!$E$4:$E$503,294))=0,"",INDEX('Providers'!$E$4:$E$503,294))&amp;") – "&amp;IF(LEN(INDEX('Providers'!$A$4:$A$503,294))=0,"",INDEX('Providers'!$A$4:$A$503,294))</f>
        <v/>
      </c>
      <c r="E1297">
        <f>IF(ISNUMBER(INDEX('Providers'!$K$4:$K$503,294)),TEXT(INDEX('Providers'!$K$4:$K$503,294),"yyyy-mm-dd"),"")</f>
        <v/>
      </c>
      <c r="F1297">
        <f>"Registration"</f>
        <v/>
      </c>
      <c r="G1297">
        <f>""</f>
        <v/>
      </c>
      <c r="H1297">
        <f>"High"</f>
        <v/>
      </c>
      <c r="I1297">
        <f>TRIM(IF(LEN(IF(LEN(INDEX('Providers'!$J$4:$J$503,294))=0,"",INDEX('Providers'!$J$4:$J$503,294)))=0,"","CSR no.: "&amp;IF(LEN(INDEX('Providers'!$J$4:$J$503,294))=0,"",INDEX('Providers'!$J$4:$J$503,294))&amp;". ")&amp;IF(LEN(IF(LEN(INDEX('Providers'!$C$4:$C$503,294))=0,"",INDEX('Providers'!$C$4:$C$503,294)))=0,"","NPI: "&amp;IF(LEN(INDEX('Providers'!$C$4:$C$503,294))=0,"",INDEX('Providers'!$C$4:$C$503,294))&amp;". "))</f>
        <v/>
      </c>
      <c r="J1297">
        <f>IF(LEN(INDEX('Providers'!$AJ$4:$AJ$503,294))=0,"",INDEX('Providers'!$AJ$4:$AJ$503,294))</f>
        <v/>
      </c>
      <c r="K1297">
        <f>IF(LEN(INDEX('Providers'!$AI$4:$AI$503,294))=0,"",INDEX('Providers'!$AI$4:$AI$503,294))</f>
        <v/>
      </c>
    </row>
    <row r="1298">
      <c r="A1298">
        <f>IF(AND(LEN('Providers'!A298)&gt;0,ISNUMBER('Providers'!K298)),1,0)</f>
        <v/>
      </c>
      <c r="B1298">
        <f>B1297+A1298</f>
        <v/>
      </c>
      <c r="C1298">
        <f>IF(1295&gt;$B$4503,"",MATCH(1295-0.5,$B$3:$B$4503,1))</f>
        <v/>
      </c>
      <c r="D1298">
        <f>"State CSR ("&amp;IF(LEN(INDEX('Providers'!$E$4:$E$503,295))=0,"",INDEX('Providers'!$E$4:$E$503,295))&amp;") – "&amp;IF(LEN(INDEX('Providers'!$A$4:$A$503,295))=0,"",INDEX('Providers'!$A$4:$A$503,295))</f>
        <v/>
      </c>
      <c r="E1298">
        <f>IF(ISNUMBER(INDEX('Providers'!$K$4:$K$503,295)),TEXT(INDEX('Providers'!$K$4:$K$503,295),"yyyy-mm-dd"),"")</f>
        <v/>
      </c>
      <c r="F1298">
        <f>"Registration"</f>
        <v/>
      </c>
      <c r="G1298">
        <f>""</f>
        <v/>
      </c>
      <c r="H1298">
        <f>"High"</f>
        <v/>
      </c>
      <c r="I1298">
        <f>TRIM(IF(LEN(IF(LEN(INDEX('Providers'!$J$4:$J$503,295))=0,"",INDEX('Providers'!$J$4:$J$503,295)))=0,"","CSR no.: "&amp;IF(LEN(INDEX('Providers'!$J$4:$J$503,295))=0,"",INDEX('Providers'!$J$4:$J$503,295))&amp;". ")&amp;IF(LEN(IF(LEN(INDEX('Providers'!$C$4:$C$503,295))=0,"",INDEX('Providers'!$C$4:$C$503,295)))=0,"","NPI: "&amp;IF(LEN(INDEX('Providers'!$C$4:$C$503,295))=0,"",INDEX('Providers'!$C$4:$C$503,295))&amp;". "))</f>
        <v/>
      </c>
      <c r="J1298">
        <f>IF(LEN(INDEX('Providers'!$AJ$4:$AJ$503,295))=0,"",INDEX('Providers'!$AJ$4:$AJ$503,295))</f>
        <v/>
      </c>
      <c r="K1298">
        <f>IF(LEN(INDEX('Providers'!$AI$4:$AI$503,295))=0,"",INDEX('Providers'!$AI$4:$AI$503,295))</f>
        <v/>
      </c>
    </row>
    <row r="1299">
      <c r="A1299">
        <f>IF(AND(LEN('Providers'!A299)&gt;0,ISNUMBER('Providers'!K299)),1,0)</f>
        <v/>
      </c>
      <c r="B1299">
        <f>B1298+A1299</f>
        <v/>
      </c>
      <c r="C1299">
        <f>IF(1296&gt;$B$4503,"",MATCH(1296-0.5,$B$3:$B$4503,1))</f>
        <v/>
      </c>
      <c r="D1299">
        <f>"State CSR ("&amp;IF(LEN(INDEX('Providers'!$E$4:$E$503,296))=0,"",INDEX('Providers'!$E$4:$E$503,296))&amp;") – "&amp;IF(LEN(INDEX('Providers'!$A$4:$A$503,296))=0,"",INDEX('Providers'!$A$4:$A$503,296))</f>
        <v/>
      </c>
      <c r="E1299">
        <f>IF(ISNUMBER(INDEX('Providers'!$K$4:$K$503,296)),TEXT(INDEX('Providers'!$K$4:$K$503,296),"yyyy-mm-dd"),"")</f>
        <v/>
      </c>
      <c r="F1299">
        <f>"Registration"</f>
        <v/>
      </c>
      <c r="G1299">
        <f>""</f>
        <v/>
      </c>
      <c r="H1299">
        <f>"High"</f>
        <v/>
      </c>
      <c r="I1299">
        <f>TRIM(IF(LEN(IF(LEN(INDEX('Providers'!$J$4:$J$503,296))=0,"",INDEX('Providers'!$J$4:$J$503,296)))=0,"","CSR no.: "&amp;IF(LEN(INDEX('Providers'!$J$4:$J$503,296))=0,"",INDEX('Providers'!$J$4:$J$503,296))&amp;". ")&amp;IF(LEN(IF(LEN(INDEX('Providers'!$C$4:$C$503,296))=0,"",INDEX('Providers'!$C$4:$C$503,296)))=0,"","NPI: "&amp;IF(LEN(INDEX('Providers'!$C$4:$C$503,296))=0,"",INDEX('Providers'!$C$4:$C$503,296))&amp;". "))</f>
        <v/>
      </c>
      <c r="J1299">
        <f>IF(LEN(INDEX('Providers'!$AJ$4:$AJ$503,296))=0,"",INDEX('Providers'!$AJ$4:$AJ$503,296))</f>
        <v/>
      </c>
      <c r="K1299">
        <f>IF(LEN(INDEX('Providers'!$AI$4:$AI$503,296))=0,"",INDEX('Providers'!$AI$4:$AI$503,296))</f>
        <v/>
      </c>
    </row>
    <row r="1300">
      <c r="A1300">
        <f>IF(AND(LEN('Providers'!A300)&gt;0,ISNUMBER('Providers'!K300)),1,0)</f>
        <v/>
      </c>
      <c r="B1300">
        <f>B1299+A1300</f>
        <v/>
      </c>
      <c r="C1300">
        <f>IF(1297&gt;$B$4503,"",MATCH(1297-0.5,$B$3:$B$4503,1))</f>
        <v/>
      </c>
      <c r="D1300">
        <f>"State CSR ("&amp;IF(LEN(INDEX('Providers'!$E$4:$E$503,297))=0,"",INDEX('Providers'!$E$4:$E$503,297))&amp;") – "&amp;IF(LEN(INDEX('Providers'!$A$4:$A$503,297))=0,"",INDEX('Providers'!$A$4:$A$503,297))</f>
        <v/>
      </c>
      <c r="E1300">
        <f>IF(ISNUMBER(INDEX('Providers'!$K$4:$K$503,297)),TEXT(INDEX('Providers'!$K$4:$K$503,297),"yyyy-mm-dd"),"")</f>
        <v/>
      </c>
      <c r="F1300">
        <f>"Registration"</f>
        <v/>
      </c>
      <c r="G1300">
        <f>""</f>
        <v/>
      </c>
      <c r="H1300">
        <f>"High"</f>
        <v/>
      </c>
      <c r="I1300">
        <f>TRIM(IF(LEN(IF(LEN(INDEX('Providers'!$J$4:$J$503,297))=0,"",INDEX('Providers'!$J$4:$J$503,297)))=0,"","CSR no.: "&amp;IF(LEN(INDEX('Providers'!$J$4:$J$503,297))=0,"",INDEX('Providers'!$J$4:$J$503,297))&amp;". ")&amp;IF(LEN(IF(LEN(INDEX('Providers'!$C$4:$C$503,297))=0,"",INDEX('Providers'!$C$4:$C$503,297)))=0,"","NPI: "&amp;IF(LEN(INDEX('Providers'!$C$4:$C$503,297))=0,"",INDEX('Providers'!$C$4:$C$503,297))&amp;". "))</f>
        <v/>
      </c>
      <c r="J1300">
        <f>IF(LEN(INDEX('Providers'!$AJ$4:$AJ$503,297))=0,"",INDEX('Providers'!$AJ$4:$AJ$503,297))</f>
        <v/>
      </c>
      <c r="K1300">
        <f>IF(LEN(INDEX('Providers'!$AI$4:$AI$503,297))=0,"",INDEX('Providers'!$AI$4:$AI$503,297))</f>
        <v/>
      </c>
    </row>
    <row r="1301">
      <c r="A1301">
        <f>IF(AND(LEN('Providers'!A301)&gt;0,ISNUMBER('Providers'!K301)),1,0)</f>
        <v/>
      </c>
      <c r="B1301">
        <f>B1300+A1301</f>
        <v/>
      </c>
      <c r="C1301">
        <f>IF(1298&gt;$B$4503,"",MATCH(1298-0.5,$B$3:$B$4503,1))</f>
        <v/>
      </c>
      <c r="D1301">
        <f>"State CSR ("&amp;IF(LEN(INDEX('Providers'!$E$4:$E$503,298))=0,"",INDEX('Providers'!$E$4:$E$503,298))&amp;") – "&amp;IF(LEN(INDEX('Providers'!$A$4:$A$503,298))=0,"",INDEX('Providers'!$A$4:$A$503,298))</f>
        <v/>
      </c>
      <c r="E1301">
        <f>IF(ISNUMBER(INDEX('Providers'!$K$4:$K$503,298)),TEXT(INDEX('Providers'!$K$4:$K$503,298),"yyyy-mm-dd"),"")</f>
        <v/>
      </c>
      <c r="F1301">
        <f>"Registration"</f>
        <v/>
      </c>
      <c r="G1301">
        <f>""</f>
        <v/>
      </c>
      <c r="H1301">
        <f>"High"</f>
        <v/>
      </c>
      <c r="I1301">
        <f>TRIM(IF(LEN(IF(LEN(INDEX('Providers'!$J$4:$J$503,298))=0,"",INDEX('Providers'!$J$4:$J$503,298)))=0,"","CSR no.: "&amp;IF(LEN(INDEX('Providers'!$J$4:$J$503,298))=0,"",INDEX('Providers'!$J$4:$J$503,298))&amp;". ")&amp;IF(LEN(IF(LEN(INDEX('Providers'!$C$4:$C$503,298))=0,"",INDEX('Providers'!$C$4:$C$503,298)))=0,"","NPI: "&amp;IF(LEN(INDEX('Providers'!$C$4:$C$503,298))=0,"",INDEX('Providers'!$C$4:$C$503,298))&amp;". "))</f>
        <v/>
      </c>
      <c r="J1301">
        <f>IF(LEN(INDEX('Providers'!$AJ$4:$AJ$503,298))=0,"",INDEX('Providers'!$AJ$4:$AJ$503,298))</f>
        <v/>
      </c>
      <c r="K1301">
        <f>IF(LEN(INDEX('Providers'!$AI$4:$AI$503,298))=0,"",INDEX('Providers'!$AI$4:$AI$503,298))</f>
        <v/>
      </c>
    </row>
    <row r="1302">
      <c r="A1302">
        <f>IF(AND(LEN('Providers'!A302)&gt;0,ISNUMBER('Providers'!K302)),1,0)</f>
        <v/>
      </c>
      <c r="B1302">
        <f>B1301+A1302</f>
        <v/>
      </c>
      <c r="C1302">
        <f>IF(1299&gt;$B$4503,"",MATCH(1299-0.5,$B$3:$B$4503,1))</f>
        <v/>
      </c>
      <c r="D1302">
        <f>"State CSR ("&amp;IF(LEN(INDEX('Providers'!$E$4:$E$503,299))=0,"",INDEX('Providers'!$E$4:$E$503,299))&amp;") – "&amp;IF(LEN(INDEX('Providers'!$A$4:$A$503,299))=0,"",INDEX('Providers'!$A$4:$A$503,299))</f>
        <v/>
      </c>
      <c r="E1302">
        <f>IF(ISNUMBER(INDEX('Providers'!$K$4:$K$503,299)),TEXT(INDEX('Providers'!$K$4:$K$503,299),"yyyy-mm-dd"),"")</f>
        <v/>
      </c>
      <c r="F1302">
        <f>"Registration"</f>
        <v/>
      </c>
      <c r="G1302">
        <f>""</f>
        <v/>
      </c>
      <c r="H1302">
        <f>"High"</f>
        <v/>
      </c>
      <c r="I1302">
        <f>TRIM(IF(LEN(IF(LEN(INDEX('Providers'!$J$4:$J$503,299))=0,"",INDEX('Providers'!$J$4:$J$503,299)))=0,"","CSR no.: "&amp;IF(LEN(INDEX('Providers'!$J$4:$J$503,299))=0,"",INDEX('Providers'!$J$4:$J$503,299))&amp;". ")&amp;IF(LEN(IF(LEN(INDEX('Providers'!$C$4:$C$503,299))=0,"",INDEX('Providers'!$C$4:$C$503,299)))=0,"","NPI: "&amp;IF(LEN(INDEX('Providers'!$C$4:$C$503,299))=0,"",INDEX('Providers'!$C$4:$C$503,299))&amp;". "))</f>
        <v/>
      </c>
      <c r="J1302">
        <f>IF(LEN(INDEX('Providers'!$AJ$4:$AJ$503,299))=0,"",INDEX('Providers'!$AJ$4:$AJ$503,299))</f>
        <v/>
      </c>
      <c r="K1302">
        <f>IF(LEN(INDEX('Providers'!$AI$4:$AI$503,299))=0,"",INDEX('Providers'!$AI$4:$AI$503,299))</f>
        <v/>
      </c>
    </row>
    <row r="1303">
      <c r="A1303">
        <f>IF(AND(LEN('Providers'!A303)&gt;0,ISNUMBER('Providers'!K303)),1,0)</f>
        <v/>
      </c>
      <c r="B1303">
        <f>B1302+A1303</f>
        <v/>
      </c>
      <c r="C1303">
        <f>IF(1300&gt;$B$4503,"",MATCH(1300-0.5,$B$3:$B$4503,1))</f>
        <v/>
      </c>
      <c r="D1303">
        <f>"State CSR ("&amp;IF(LEN(INDEX('Providers'!$E$4:$E$503,300))=0,"",INDEX('Providers'!$E$4:$E$503,300))&amp;") – "&amp;IF(LEN(INDEX('Providers'!$A$4:$A$503,300))=0,"",INDEX('Providers'!$A$4:$A$503,300))</f>
        <v/>
      </c>
      <c r="E1303">
        <f>IF(ISNUMBER(INDEX('Providers'!$K$4:$K$503,300)),TEXT(INDEX('Providers'!$K$4:$K$503,300),"yyyy-mm-dd"),"")</f>
        <v/>
      </c>
      <c r="F1303">
        <f>"Registration"</f>
        <v/>
      </c>
      <c r="G1303">
        <f>""</f>
        <v/>
      </c>
      <c r="H1303">
        <f>"High"</f>
        <v/>
      </c>
      <c r="I1303">
        <f>TRIM(IF(LEN(IF(LEN(INDEX('Providers'!$J$4:$J$503,300))=0,"",INDEX('Providers'!$J$4:$J$503,300)))=0,"","CSR no.: "&amp;IF(LEN(INDEX('Providers'!$J$4:$J$503,300))=0,"",INDEX('Providers'!$J$4:$J$503,300))&amp;". ")&amp;IF(LEN(IF(LEN(INDEX('Providers'!$C$4:$C$503,300))=0,"",INDEX('Providers'!$C$4:$C$503,300)))=0,"","NPI: "&amp;IF(LEN(INDEX('Providers'!$C$4:$C$503,300))=0,"",INDEX('Providers'!$C$4:$C$503,300))&amp;". "))</f>
        <v/>
      </c>
      <c r="J1303">
        <f>IF(LEN(INDEX('Providers'!$AJ$4:$AJ$503,300))=0,"",INDEX('Providers'!$AJ$4:$AJ$503,300))</f>
        <v/>
      </c>
      <c r="K1303">
        <f>IF(LEN(INDEX('Providers'!$AI$4:$AI$503,300))=0,"",INDEX('Providers'!$AI$4:$AI$503,300))</f>
        <v/>
      </c>
    </row>
    <row r="1304">
      <c r="A1304">
        <f>IF(AND(LEN('Providers'!A304)&gt;0,ISNUMBER('Providers'!K304)),1,0)</f>
        <v/>
      </c>
      <c r="B1304">
        <f>B1303+A1304</f>
        <v/>
      </c>
      <c r="C1304">
        <f>IF(1301&gt;$B$4503,"",MATCH(1301-0.5,$B$3:$B$4503,1))</f>
        <v/>
      </c>
      <c r="D1304">
        <f>"State CSR ("&amp;IF(LEN(INDEX('Providers'!$E$4:$E$503,301))=0,"",INDEX('Providers'!$E$4:$E$503,301))&amp;") – "&amp;IF(LEN(INDEX('Providers'!$A$4:$A$503,301))=0,"",INDEX('Providers'!$A$4:$A$503,301))</f>
        <v/>
      </c>
      <c r="E1304">
        <f>IF(ISNUMBER(INDEX('Providers'!$K$4:$K$503,301)),TEXT(INDEX('Providers'!$K$4:$K$503,301),"yyyy-mm-dd"),"")</f>
        <v/>
      </c>
      <c r="F1304">
        <f>"Registration"</f>
        <v/>
      </c>
      <c r="G1304">
        <f>""</f>
        <v/>
      </c>
      <c r="H1304">
        <f>"High"</f>
        <v/>
      </c>
      <c r="I1304">
        <f>TRIM(IF(LEN(IF(LEN(INDEX('Providers'!$J$4:$J$503,301))=0,"",INDEX('Providers'!$J$4:$J$503,301)))=0,"","CSR no.: "&amp;IF(LEN(INDEX('Providers'!$J$4:$J$503,301))=0,"",INDEX('Providers'!$J$4:$J$503,301))&amp;". ")&amp;IF(LEN(IF(LEN(INDEX('Providers'!$C$4:$C$503,301))=0,"",INDEX('Providers'!$C$4:$C$503,301)))=0,"","NPI: "&amp;IF(LEN(INDEX('Providers'!$C$4:$C$503,301))=0,"",INDEX('Providers'!$C$4:$C$503,301))&amp;". "))</f>
        <v/>
      </c>
      <c r="J1304">
        <f>IF(LEN(INDEX('Providers'!$AJ$4:$AJ$503,301))=0,"",INDEX('Providers'!$AJ$4:$AJ$503,301))</f>
        <v/>
      </c>
      <c r="K1304">
        <f>IF(LEN(INDEX('Providers'!$AI$4:$AI$503,301))=0,"",INDEX('Providers'!$AI$4:$AI$503,301))</f>
        <v/>
      </c>
    </row>
    <row r="1305">
      <c r="A1305">
        <f>IF(AND(LEN('Providers'!A305)&gt;0,ISNUMBER('Providers'!K305)),1,0)</f>
        <v/>
      </c>
      <c r="B1305">
        <f>B1304+A1305</f>
        <v/>
      </c>
      <c r="C1305">
        <f>IF(1302&gt;$B$4503,"",MATCH(1302-0.5,$B$3:$B$4503,1))</f>
        <v/>
      </c>
      <c r="D1305">
        <f>"State CSR ("&amp;IF(LEN(INDEX('Providers'!$E$4:$E$503,302))=0,"",INDEX('Providers'!$E$4:$E$503,302))&amp;") – "&amp;IF(LEN(INDEX('Providers'!$A$4:$A$503,302))=0,"",INDEX('Providers'!$A$4:$A$503,302))</f>
        <v/>
      </c>
      <c r="E1305">
        <f>IF(ISNUMBER(INDEX('Providers'!$K$4:$K$503,302)),TEXT(INDEX('Providers'!$K$4:$K$503,302),"yyyy-mm-dd"),"")</f>
        <v/>
      </c>
      <c r="F1305">
        <f>"Registration"</f>
        <v/>
      </c>
      <c r="G1305">
        <f>""</f>
        <v/>
      </c>
      <c r="H1305">
        <f>"High"</f>
        <v/>
      </c>
      <c r="I1305">
        <f>TRIM(IF(LEN(IF(LEN(INDEX('Providers'!$J$4:$J$503,302))=0,"",INDEX('Providers'!$J$4:$J$503,302)))=0,"","CSR no.: "&amp;IF(LEN(INDEX('Providers'!$J$4:$J$503,302))=0,"",INDEX('Providers'!$J$4:$J$503,302))&amp;". ")&amp;IF(LEN(IF(LEN(INDEX('Providers'!$C$4:$C$503,302))=0,"",INDEX('Providers'!$C$4:$C$503,302)))=0,"","NPI: "&amp;IF(LEN(INDEX('Providers'!$C$4:$C$503,302))=0,"",INDEX('Providers'!$C$4:$C$503,302))&amp;". "))</f>
        <v/>
      </c>
      <c r="J1305">
        <f>IF(LEN(INDEX('Providers'!$AJ$4:$AJ$503,302))=0,"",INDEX('Providers'!$AJ$4:$AJ$503,302))</f>
        <v/>
      </c>
      <c r="K1305">
        <f>IF(LEN(INDEX('Providers'!$AI$4:$AI$503,302))=0,"",INDEX('Providers'!$AI$4:$AI$503,302))</f>
        <v/>
      </c>
    </row>
    <row r="1306">
      <c r="A1306">
        <f>IF(AND(LEN('Providers'!A306)&gt;0,ISNUMBER('Providers'!K306)),1,0)</f>
        <v/>
      </c>
      <c r="B1306">
        <f>B1305+A1306</f>
        <v/>
      </c>
      <c r="C1306">
        <f>IF(1303&gt;$B$4503,"",MATCH(1303-0.5,$B$3:$B$4503,1))</f>
        <v/>
      </c>
      <c r="D1306">
        <f>"State CSR ("&amp;IF(LEN(INDEX('Providers'!$E$4:$E$503,303))=0,"",INDEX('Providers'!$E$4:$E$503,303))&amp;") – "&amp;IF(LEN(INDEX('Providers'!$A$4:$A$503,303))=0,"",INDEX('Providers'!$A$4:$A$503,303))</f>
        <v/>
      </c>
      <c r="E1306">
        <f>IF(ISNUMBER(INDEX('Providers'!$K$4:$K$503,303)),TEXT(INDEX('Providers'!$K$4:$K$503,303),"yyyy-mm-dd"),"")</f>
        <v/>
      </c>
      <c r="F1306">
        <f>"Registration"</f>
        <v/>
      </c>
      <c r="G1306">
        <f>""</f>
        <v/>
      </c>
      <c r="H1306">
        <f>"High"</f>
        <v/>
      </c>
      <c r="I1306">
        <f>TRIM(IF(LEN(IF(LEN(INDEX('Providers'!$J$4:$J$503,303))=0,"",INDEX('Providers'!$J$4:$J$503,303)))=0,"","CSR no.: "&amp;IF(LEN(INDEX('Providers'!$J$4:$J$503,303))=0,"",INDEX('Providers'!$J$4:$J$503,303))&amp;". ")&amp;IF(LEN(IF(LEN(INDEX('Providers'!$C$4:$C$503,303))=0,"",INDEX('Providers'!$C$4:$C$503,303)))=0,"","NPI: "&amp;IF(LEN(INDEX('Providers'!$C$4:$C$503,303))=0,"",INDEX('Providers'!$C$4:$C$503,303))&amp;". "))</f>
        <v/>
      </c>
      <c r="J1306">
        <f>IF(LEN(INDEX('Providers'!$AJ$4:$AJ$503,303))=0,"",INDEX('Providers'!$AJ$4:$AJ$503,303))</f>
        <v/>
      </c>
      <c r="K1306">
        <f>IF(LEN(INDEX('Providers'!$AI$4:$AI$503,303))=0,"",INDEX('Providers'!$AI$4:$AI$503,303))</f>
        <v/>
      </c>
    </row>
    <row r="1307">
      <c r="A1307">
        <f>IF(AND(LEN('Providers'!A307)&gt;0,ISNUMBER('Providers'!K307)),1,0)</f>
        <v/>
      </c>
      <c r="B1307">
        <f>B1306+A1307</f>
        <v/>
      </c>
      <c r="C1307">
        <f>IF(1304&gt;$B$4503,"",MATCH(1304-0.5,$B$3:$B$4503,1))</f>
        <v/>
      </c>
      <c r="D1307">
        <f>"State CSR ("&amp;IF(LEN(INDEX('Providers'!$E$4:$E$503,304))=0,"",INDEX('Providers'!$E$4:$E$503,304))&amp;") – "&amp;IF(LEN(INDEX('Providers'!$A$4:$A$503,304))=0,"",INDEX('Providers'!$A$4:$A$503,304))</f>
        <v/>
      </c>
      <c r="E1307">
        <f>IF(ISNUMBER(INDEX('Providers'!$K$4:$K$503,304)),TEXT(INDEX('Providers'!$K$4:$K$503,304),"yyyy-mm-dd"),"")</f>
        <v/>
      </c>
      <c r="F1307">
        <f>"Registration"</f>
        <v/>
      </c>
      <c r="G1307">
        <f>""</f>
        <v/>
      </c>
      <c r="H1307">
        <f>"High"</f>
        <v/>
      </c>
      <c r="I1307">
        <f>TRIM(IF(LEN(IF(LEN(INDEX('Providers'!$J$4:$J$503,304))=0,"",INDEX('Providers'!$J$4:$J$503,304)))=0,"","CSR no.: "&amp;IF(LEN(INDEX('Providers'!$J$4:$J$503,304))=0,"",INDEX('Providers'!$J$4:$J$503,304))&amp;". ")&amp;IF(LEN(IF(LEN(INDEX('Providers'!$C$4:$C$503,304))=0,"",INDEX('Providers'!$C$4:$C$503,304)))=0,"","NPI: "&amp;IF(LEN(INDEX('Providers'!$C$4:$C$503,304))=0,"",INDEX('Providers'!$C$4:$C$503,304))&amp;". "))</f>
        <v/>
      </c>
      <c r="J1307">
        <f>IF(LEN(INDEX('Providers'!$AJ$4:$AJ$503,304))=0,"",INDEX('Providers'!$AJ$4:$AJ$503,304))</f>
        <v/>
      </c>
      <c r="K1307">
        <f>IF(LEN(INDEX('Providers'!$AI$4:$AI$503,304))=0,"",INDEX('Providers'!$AI$4:$AI$503,304))</f>
        <v/>
      </c>
    </row>
    <row r="1308">
      <c r="A1308">
        <f>IF(AND(LEN('Providers'!A308)&gt;0,ISNUMBER('Providers'!K308)),1,0)</f>
        <v/>
      </c>
      <c r="B1308">
        <f>B1307+A1308</f>
        <v/>
      </c>
      <c r="C1308">
        <f>IF(1305&gt;$B$4503,"",MATCH(1305-0.5,$B$3:$B$4503,1))</f>
        <v/>
      </c>
      <c r="D1308">
        <f>"State CSR ("&amp;IF(LEN(INDEX('Providers'!$E$4:$E$503,305))=0,"",INDEX('Providers'!$E$4:$E$503,305))&amp;") – "&amp;IF(LEN(INDEX('Providers'!$A$4:$A$503,305))=0,"",INDEX('Providers'!$A$4:$A$503,305))</f>
        <v/>
      </c>
      <c r="E1308">
        <f>IF(ISNUMBER(INDEX('Providers'!$K$4:$K$503,305)),TEXT(INDEX('Providers'!$K$4:$K$503,305),"yyyy-mm-dd"),"")</f>
        <v/>
      </c>
      <c r="F1308">
        <f>"Registration"</f>
        <v/>
      </c>
      <c r="G1308">
        <f>""</f>
        <v/>
      </c>
      <c r="H1308">
        <f>"High"</f>
        <v/>
      </c>
      <c r="I1308">
        <f>TRIM(IF(LEN(IF(LEN(INDEX('Providers'!$J$4:$J$503,305))=0,"",INDEX('Providers'!$J$4:$J$503,305)))=0,"","CSR no.: "&amp;IF(LEN(INDEX('Providers'!$J$4:$J$503,305))=0,"",INDEX('Providers'!$J$4:$J$503,305))&amp;". ")&amp;IF(LEN(IF(LEN(INDEX('Providers'!$C$4:$C$503,305))=0,"",INDEX('Providers'!$C$4:$C$503,305)))=0,"","NPI: "&amp;IF(LEN(INDEX('Providers'!$C$4:$C$503,305))=0,"",INDEX('Providers'!$C$4:$C$503,305))&amp;". "))</f>
        <v/>
      </c>
      <c r="J1308">
        <f>IF(LEN(INDEX('Providers'!$AJ$4:$AJ$503,305))=0,"",INDEX('Providers'!$AJ$4:$AJ$503,305))</f>
        <v/>
      </c>
      <c r="K1308">
        <f>IF(LEN(INDEX('Providers'!$AI$4:$AI$503,305))=0,"",INDEX('Providers'!$AI$4:$AI$503,305))</f>
        <v/>
      </c>
    </row>
    <row r="1309">
      <c r="A1309">
        <f>IF(AND(LEN('Providers'!A309)&gt;0,ISNUMBER('Providers'!K309)),1,0)</f>
        <v/>
      </c>
      <c r="B1309">
        <f>B1308+A1309</f>
        <v/>
      </c>
      <c r="C1309">
        <f>IF(1306&gt;$B$4503,"",MATCH(1306-0.5,$B$3:$B$4503,1))</f>
        <v/>
      </c>
      <c r="D1309">
        <f>"State CSR ("&amp;IF(LEN(INDEX('Providers'!$E$4:$E$503,306))=0,"",INDEX('Providers'!$E$4:$E$503,306))&amp;") – "&amp;IF(LEN(INDEX('Providers'!$A$4:$A$503,306))=0,"",INDEX('Providers'!$A$4:$A$503,306))</f>
        <v/>
      </c>
      <c r="E1309">
        <f>IF(ISNUMBER(INDEX('Providers'!$K$4:$K$503,306)),TEXT(INDEX('Providers'!$K$4:$K$503,306),"yyyy-mm-dd"),"")</f>
        <v/>
      </c>
      <c r="F1309">
        <f>"Registration"</f>
        <v/>
      </c>
      <c r="G1309">
        <f>""</f>
        <v/>
      </c>
      <c r="H1309">
        <f>"High"</f>
        <v/>
      </c>
      <c r="I1309">
        <f>TRIM(IF(LEN(IF(LEN(INDEX('Providers'!$J$4:$J$503,306))=0,"",INDEX('Providers'!$J$4:$J$503,306)))=0,"","CSR no.: "&amp;IF(LEN(INDEX('Providers'!$J$4:$J$503,306))=0,"",INDEX('Providers'!$J$4:$J$503,306))&amp;". ")&amp;IF(LEN(IF(LEN(INDEX('Providers'!$C$4:$C$503,306))=0,"",INDEX('Providers'!$C$4:$C$503,306)))=0,"","NPI: "&amp;IF(LEN(INDEX('Providers'!$C$4:$C$503,306))=0,"",INDEX('Providers'!$C$4:$C$503,306))&amp;". "))</f>
        <v/>
      </c>
      <c r="J1309">
        <f>IF(LEN(INDEX('Providers'!$AJ$4:$AJ$503,306))=0,"",INDEX('Providers'!$AJ$4:$AJ$503,306))</f>
        <v/>
      </c>
      <c r="K1309">
        <f>IF(LEN(INDEX('Providers'!$AI$4:$AI$503,306))=0,"",INDEX('Providers'!$AI$4:$AI$503,306))</f>
        <v/>
      </c>
    </row>
    <row r="1310">
      <c r="A1310">
        <f>IF(AND(LEN('Providers'!A310)&gt;0,ISNUMBER('Providers'!K310)),1,0)</f>
        <v/>
      </c>
      <c r="B1310">
        <f>B1309+A1310</f>
        <v/>
      </c>
      <c r="C1310">
        <f>IF(1307&gt;$B$4503,"",MATCH(1307-0.5,$B$3:$B$4503,1))</f>
        <v/>
      </c>
      <c r="D1310">
        <f>"State CSR ("&amp;IF(LEN(INDEX('Providers'!$E$4:$E$503,307))=0,"",INDEX('Providers'!$E$4:$E$503,307))&amp;") – "&amp;IF(LEN(INDEX('Providers'!$A$4:$A$503,307))=0,"",INDEX('Providers'!$A$4:$A$503,307))</f>
        <v/>
      </c>
      <c r="E1310">
        <f>IF(ISNUMBER(INDEX('Providers'!$K$4:$K$503,307)),TEXT(INDEX('Providers'!$K$4:$K$503,307),"yyyy-mm-dd"),"")</f>
        <v/>
      </c>
      <c r="F1310">
        <f>"Registration"</f>
        <v/>
      </c>
      <c r="G1310">
        <f>""</f>
        <v/>
      </c>
      <c r="H1310">
        <f>"High"</f>
        <v/>
      </c>
      <c r="I1310">
        <f>TRIM(IF(LEN(IF(LEN(INDEX('Providers'!$J$4:$J$503,307))=0,"",INDEX('Providers'!$J$4:$J$503,307)))=0,"","CSR no.: "&amp;IF(LEN(INDEX('Providers'!$J$4:$J$503,307))=0,"",INDEX('Providers'!$J$4:$J$503,307))&amp;". ")&amp;IF(LEN(IF(LEN(INDEX('Providers'!$C$4:$C$503,307))=0,"",INDEX('Providers'!$C$4:$C$503,307)))=0,"","NPI: "&amp;IF(LEN(INDEX('Providers'!$C$4:$C$503,307))=0,"",INDEX('Providers'!$C$4:$C$503,307))&amp;". "))</f>
        <v/>
      </c>
      <c r="J1310">
        <f>IF(LEN(INDEX('Providers'!$AJ$4:$AJ$503,307))=0,"",INDEX('Providers'!$AJ$4:$AJ$503,307))</f>
        <v/>
      </c>
      <c r="K1310">
        <f>IF(LEN(INDEX('Providers'!$AI$4:$AI$503,307))=0,"",INDEX('Providers'!$AI$4:$AI$503,307))</f>
        <v/>
      </c>
    </row>
    <row r="1311">
      <c r="A1311">
        <f>IF(AND(LEN('Providers'!A311)&gt;0,ISNUMBER('Providers'!K311)),1,0)</f>
        <v/>
      </c>
      <c r="B1311">
        <f>B1310+A1311</f>
        <v/>
      </c>
      <c r="C1311">
        <f>IF(1308&gt;$B$4503,"",MATCH(1308-0.5,$B$3:$B$4503,1))</f>
        <v/>
      </c>
      <c r="D1311">
        <f>"State CSR ("&amp;IF(LEN(INDEX('Providers'!$E$4:$E$503,308))=0,"",INDEX('Providers'!$E$4:$E$503,308))&amp;") – "&amp;IF(LEN(INDEX('Providers'!$A$4:$A$503,308))=0,"",INDEX('Providers'!$A$4:$A$503,308))</f>
        <v/>
      </c>
      <c r="E1311">
        <f>IF(ISNUMBER(INDEX('Providers'!$K$4:$K$503,308)),TEXT(INDEX('Providers'!$K$4:$K$503,308),"yyyy-mm-dd"),"")</f>
        <v/>
      </c>
      <c r="F1311">
        <f>"Registration"</f>
        <v/>
      </c>
      <c r="G1311">
        <f>""</f>
        <v/>
      </c>
      <c r="H1311">
        <f>"High"</f>
        <v/>
      </c>
      <c r="I1311">
        <f>TRIM(IF(LEN(IF(LEN(INDEX('Providers'!$J$4:$J$503,308))=0,"",INDEX('Providers'!$J$4:$J$503,308)))=0,"","CSR no.: "&amp;IF(LEN(INDEX('Providers'!$J$4:$J$503,308))=0,"",INDEX('Providers'!$J$4:$J$503,308))&amp;". ")&amp;IF(LEN(IF(LEN(INDEX('Providers'!$C$4:$C$503,308))=0,"",INDEX('Providers'!$C$4:$C$503,308)))=0,"","NPI: "&amp;IF(LEN(INDEX('Providers'!$C$4:$C$503,308))=0,"",INDEX('Providers'!$C$4:$C$503,308))&amp;". "))</f>
        <v/>
      </c>
      <c r="J1311">
        <f>IF(LEN(INDEX('Providers'!$AJ$4:$AJ$503,308))=0,"",INDEX('Providers'!$AJ$4:$AJ$503,308))</f>
        <v/>
      </c>
      <c r="K1311">
        <f>IF(LEN(INDEX('Providers'!$AI$4:$AI$503,308))=0,"",INDEX('Providers'!$AI$4:$AI$503,308))</f>
        <v/>
      </c>
    </row>
    <row r="1312">
      <c r="A1312">
        <f>IF(AND(LEN('Providers'!A312)&gt;0,ISNUMBER('Providers'!K312)),1,0)</f>
        <v/>
      </c>
      <c r="B1312">
        <f>B1311+A1312</f>
        <v/>
      </c>
      <c r="C1312">
        <f>IF(1309&gt;$B$4503,"",MATCH(1309-0.5,$B$3:$B$4503,1))</f>
        <v/>
      </c>
      <c r="D1312">
        <f>"State CSR ("&amp;IF(LEN(INDEX('Providers'!$E$4:$E$503,309))=0,"",INDEX('Providers'!$E$4:$E$503,309))&amp;") – "&amp;IF(LEN(INDEX('Providers'!$A$4:$A$503,309))=0,"",INDEX('Providers'!$A$4:$A$503,309))</f>
        <v/>
      </c>
      <c r="E1312">
        <f>IF(ISNUMBER(INDEX('Providers'!$K$4:$K$503,309)),TEXT(INDEX('Providers'!$K$4:$K$503,309),"yyyy-mm-dd"),"")</f>
        <v/>
      </c>
      <c r="F1312">
        <f>"Registration"</f>
        <v/>
      </c>
      <c r="G1312">
        <f>""</f>
        <v/>
      </c>
      <c r="H1312">
        <f>"High"</f>
        <v/>
      </c>
      <c r="I1312">
        <f>TRIM(IF(LEN(IF(LEN(INDEX('Providers'!$J$4:$J$503,309))=0,"",INDEX('Providers'!$J$4:$J$503,309)))=0,"","CSR no.: "&amp;IF(LEN(INDEX('Providers'!$J$4:$J$503,309))=0,"",INDEX('Providers'!$J$4:$J$503,309))&amp;". ")&amp;IF(LEN(IF(LEN(INDEX('Providers'!$C$4:$C$503,309))=0,"",INDEX('Providers'!$C$4:$C$503,309)))=0,"","NPI: "&amp;IF(LEN(INDEX('Providers'!$C$4:$C$503,309))=0,"",INDEX('Providers'!$C$4:$C$503,309))&amp;". "))</f>
        <v/>
      </c>
      <c r="J1312">
        <f>IF(LEN(INDEX('Providers'!$AJ$4:$AJ$503,309))=0,"",INDEX('Providers'!$AJ$4:$AJ$503,309))</f>
        <v/>
      </c>
      <c r="K1312">
        <f>IF(LEN(INDEX('Providers'!$AI$4:$AI$503,309))=0,"",INDEX('Providers'!$AI$4:$AI$503,309))</f>
        <v/>
      </c>
    </row>
    <row r="1313">
      <c r="A1313">
        <f>IF(AND(LEN('Providers'!A313)&gt;0,ISNUMBER('Providers'!K313)),1,0)</f>
        <v/>
      </c>
      <c r="B1313">
        <f>B1312+A1313</f>
        <v/>
      </c>
      <c r="C1313">
        <f>IF(1310&gt;$B$4503,"",MATCH(1310-0.5,$B$3:$B$4503,1))</f>
        <v/>
      </c>
      <c r="D1313">
        <f>"State CSR ("&amp;IF(LEN(INDEX('Providers'!$E$4:$E$503,310))=0,"",INDEX('Providers'!$E$4:$E$503,310))&amp;") – "&amp;IF(LEN(INDEX('Providers'!$A$4:$A$503,310))=0,"",INDEX('Providers'!$A$4:$A$503,310))</f>
        <v/>
      </c>
      <c r="E1313">
        <f>IF(ISNUMBER(INDEX('Providers'!$K$4:$K$503,310)),TEXT(INDEX('Providers'!$K$4:$K$503,310),"yyyy-mm-dd"),"")</f>
        <v/>
      </c>
      <c r="F1313">
        <f>"Registration"</f>
        <v/>
      </c>
      <c r="G1313">
        <f>""</f>
        <v/>
      </c>
      <c r="H1313">
        <f>"High"</f>
        <v/>
      </c>
      <c r="I1313">
        <f>TRIM(IF(LEN(IF(LEN(INDEX('Providers'!$J$4:$J$503,310))=0,"",INDEX('Providers'!$J$4:$J$503,310)))=0,"","CSR no.: "&amp;IF(LEN(INDEX('Providers'!$J$4:$J$503,310))=0,"",INDEX('Providers'!$J$4:$J$503,310))&amp;". ")&amp;IF(LEN(IF(LEN(INDEX('Providers'!$C$4:$C$503,310))=0,"",INDEX('Providers'!$C$4:$C$503,310)))=0,"","NPI: "&amp;IF(LEN(INDEX('Providers'!$C$4:$C$503,310))=0,"",INDEX('Providers'!$C$4:$C$503,310))&amp;". "))</f>
        <v/>
      </c>
      <c r="J1313">
        <f>IF(LEN(INDEX('Providers'!$AJ$4:$AJ$503,310))=0,"",INDEX('Providers'!$AJ$4:$AJ$503,310))</f>
        <v/>
      </c>
      <c r="K1313">
        <f>IF(LEN(INDEX('Providers'!$AI$4:$AI$503,310))=0,"",INDEX('Providers'!$AI$4:$AI$503,310))</f>
        <v/>
      </c>
    </row>
    <row r="1314">
      <c r="A1314">
        <f>IF(AND(LEN('Providers'!A314)&gt;0,ISNUMBER('Providers'!K314)),1,0)</f>
        <v/>
      </c>
      <c r="B1314">
        <f>B1313+A1314</f>
        <v/>
      </c>
      <c r="C1314">
        <f>IF(1311&gt;$B$4503,"",MATCH(1311-0.5,$B$3:$B$4503,1))</f>
        <v/>
      </c>
      <c r="D1314">
        <f>"State CSR ("&amp;IF(LEN(INDEX('Providers'!$E$4:$E$503,311))=0,"",INDEX('Providers'!$E$4:$E$503,311))&amp;") – "&amp;IF(LEN(INDEX('Providers'!$A$4:$A$503,311))=0,"",INDEX('Providers'!$A$4:$A$503,311))</f>
        <v/>
      </c>
      <c r="E1314">
        <f>IF(ISNUMBER(INDEX('Providers'!$K$4:$K$503,311)),TEXT(INDEX('Providers'!$K$4:$K$503,311),"yyyy-mm-dd"),"")</f>
        <v/>
      </c>
      <c r="F1314">
        <f>"Registration"</f>
        <v/>
      </c>
      <c r="G1314">
        <f>""</f>
        <v/>
      </c>
      <c r="H1314">
        <f>"High"</f>
        <v/>
      </c>
      <c r="I1314">
        <f>TRIM(IF(LEN(IF(LEN(INDEX('Providers'!$J$4:$J$503,311))=0,"",INDEX('Providers'!$J$4:$J$503,311)))=0,"","CSR no.: "&amp;IF(LEN(INDEX('Providers'!$J$4:$J$503,311))=0,"",INDEX('Providers'!$J$4:$J$503,311))&amp;". ")&amp;IF(LEN(IF(LEN(INDEX('Providers'!$C$4:$C$503,311))=0,"",INDEX('Providers'!$C$4:$C$503,311)))=0,"","NPI: "&amp;IF(LEN(INDEX('Providers'!$C$4:$C$503,311))=0,"",INDEX('Providers'!$C$4:$C$503,311))&amp;". "))</f>
        <v/>
      </c>
      <c r="J1314">
        <f>IF(LEN(INDEX('Providers'!$AJ$4:$AJ$503,311))=0,"",INDEX('Providers'!$AJ$4:$AJ$503,311))</f>
        <v/>
      </c>
      <c r="K1314">
        <f>IF(LEN(INDEX('Providers'!$AI$4:$AI$503,311))=0,"",INDEX('Providers'!$AI$4:$AI$503,311))</f>
        <v/>
      </c>
    </row>
    <row r="1315">
      <c r="A1315">
        <f>IF(AND(LEN('Providers'!A315)&gt;0,ISNUMBER('Providers'!K315)),1,0)</f>
        <v/>
      </c>
      <c r="B1315">
        <f>B1314+A1315</f>
        <v/>
      </c>
      <c r="C1315">
        <f>IF(1312&gt;$B$4503,"",MATCH(1312-0.5,$B$3:$B$4503,1))</f>
        <v/>
      </c>
      <c r="D1315">
        <f>"State CSR ("&amp;IF(LEN(INDEX('Providers'!$E$4:$E$503,312))=0,"",INDEX('Providers'!$E$4:$E$503,312))&amp;") – "&amp;IF(LEN(INDEX('Providers'!$A$4:$A$503,312))=0,"",INDEX('Providers'!$A$4:$A$503,312))</f>
        <v/>
      </c>
      <c r="E1315">
        <f>IF(ISNUMBER(INDEX('Providers'!$K$4:$K$503,312)),TEXT(INDEX('Providers'!$K$4:$K$503,312),"yyyy-mm-dd"),"")</f>
        <v/>
      </c>
      <c r="F1315">
        <f>"Registration"</f>
        <v/>
      </c>
      <c r="G1315">
        <f>""</f>
        <v/>
      </c>
      <c r="H1315">
        <f>"High"</f>
        <v/>
      </c>
      <c r="I1315">
        <f>TRIM(IF(LEN(IF(LEN(INDEX('Providers'!$J$4:$J$503,312))=0,"",INDEX('Providers'!$J$4:$J$503,312)))=0,"","CSR no.: "&amp;IF(LEN(INDEX('Providers'!$J$4:$J$503,312))=0,"",INDEX('Providers'!$J$4:$J$503,312))&amp;". ")&amp;IF(LEN(IF(LEN(INDEX('Providers'!$C$4:$C$503,312))=0,"",INDEX('Providers'!$C$4:$C$503,312)))=0,"","NPI: "&amp;IF(LEN(INDEX('Providers'!$C$4:$C$503,312))=0,"",INDEX('Providers'!$C$4:$C$503,312))&amp;". "))</f>
        <v/>
      </c>
      <c r="J1315">
        <f>IF(LEN(INDEX('Providers'!$AJ$4:$AJ$503,312))=0,"",INDEX('Providers'!$AJ$4:$AJ$503,312))</f>
        <v/>
      </c>
      <c r="K1315">
        <f>IF(LEN(INDEX('Providers'!$AI$4:$AI$503,312))=0,"",INDEX('Providers'!$AI$4:$AI$503,312))</f>
        <v/>
      </c>
    </row>
    <row r="1316">
      <c r="A1316">
        <f>IF(AND(LEN('Providers'!A316)&gt;0,ISNUMBER('Providers'!K316)),1,0)</f>
        <v/>
      </c>
      <c r="B1316">
        <f>B1315+A1316</f>
        <v/>
      </c>
      <c r="C1316">
        <f>IF(1313&gt;$B$4503,"",MATCH(1313-0.5,$B$3:$B$4503,1))</f>
        <v/>
      </c>
      <c r="D1316">
        <f>"State CSR ("&amp;IF(LEN(INDEX('Providers'!$E$4:$E$503,313))=0,"",INDEX('Providers'!$E$4:$E$503,313))&amp;") – "&amp;IF(LEN(INDEX('Providers'!$A$4:$A$503,313))=0,"",INDEX('Providers'!$A$4:$A$503,313))</f>
        <v/>
      </c>
      <c r="E1316">
        <f>IF(ISNUMBER(INDEX('Providers'!$K$4:$K$503,313)),TEXT(INDEX('Providers'!$K$4:$K$503,313),"yyyy-mm-dd"),"")</f>
        <v/>
      </c>
      <c r="F1316">
        <f>"Registration"</f>
        <v/>
      </c>
      <c r="G1316">
        <f>""</f>
        <v/>
      </c>
      <c r="H1316">
        <f>"High"</f>
        <v/>
      </c>
      <c r="I1316">
        <f>TRIM(IF(LEN(IF(LEN(INDEX('Providers'!$J$4:$J$503,313))=0,"",INDEX('Providers'!$J$4:$J$503,313)))=0,"","CSR no.: "&amp;IF(LEN(INDEX('Providers'!$J$4:$J$503,313))=0,"",INDEX('Providers'!$J$4:$J$503,313))&amp;". ")&amp;IF(LEN(IF(LEN(INDEX('Providers'!$C$4:$C$503,313))=0,"",INDEX('Providers'!$C$4:$C$503,313)))=0,"","NPI: "&amp;IF(LEN(INDEX('Providers'!$C$4:$C$503,313))=0,"",INDEX('Providers'!$C$4:$C$503,313))&amp;". "))</f>
        <v/>
      </c>
      <c r="J1316">
        <f>IF(LEN(INDEX('Providers'!$AJ$4:$AJ$503,313))=0,"",INDEX('Providers'!$AJ$4:$AJ$503,313))</f>
        <v/>
      </c>
      <c r="K1316">
        <f>IF(LEN(INDEX('Providers'!$AI$4:$AI$503,313))=0,"",INDEX('Providers'!$AI$4:$AI$503,313))</f>
        <v/>
      </c>
    </row>
    <row r="1317">
      <c r="A1317">
        <f>IF(AND(LEN('Providers'!A317)&gt;0,ISNUMBER('Providers'!K317)),1,0)</f>
        <v/>
      </c>
      <c r="B1317">
        <f>B1316+A1317</f>
        <v/>
      </c>
      <c r="C1317">
        <f>IF(1314&gt;$B$4503,"",MATCH(1314-0.5,$B$3:$B$4503,1))</f>
        <v/>
      </c>
      <c r="D1317">
        <f>"State CSR ("&amp;IF(LEN(INDEX('Providers'!$E$4:$E$503,314))=0,"",INDEX('Providers'!$E$4:$E$503,314))&amp;") – "&amp;IF(LEN(INDEX('Providers'!$A$4:$A$503,314))=0,"",INDEX('Providers'!$A$4:$A$503,314))</f>
        <v/>
      </c>
      <c r="E1317">
        <f>IF(ISNUMBER(INDEX('Providers'!$K$4:$K$503,314)),TEXT(INDEX('Providers'!$K$4:$K$503,314),"yyyy-mm-dd"),"")</f>
        <v/>
      </c>
      <c r="F1317">
        <f>"Registration"</f>
        <v/>
      </c>
      <c r="G1317">
        <f>""</f>
        <v/>
      </c>
      <c r="H1317">
        <f>"High"</f>
        <v/>
      </c>
      <c r="I1317">
        <f>TRIM(IF(LEN(IF(LEN(INDEX('Providers'!$J$4:$J$503,314))=0,"",INDEX('Providers'!$J$4:$J$503,314)))=0,"","CSR no.: "&amp;IF(LEN(INDEX('Providers'!$J$4:$J$503,314))=0,"",INDEX('Providers'!$J$4:$J$503,314))&amp;". ")&amp;IF(LEN(IF(LEN(INDEX('Providers'!$C$4:$C$503,314))=0,"",INDEX('Providers'!$C$4:$C$503,314)))=0,"","NPI: "&amp;IF(LEN(INDEX('Providers'!$C$4:$C$503,314))=0,"",INDEX('Providers'!$C$4:$C$503,314))&amp;". "))</f>
        <v/>
      </c>
      <c r="J1317">
        <f>IF(LEN(INDEX('Providers'!$AJ$4:$AJ$503,314))=0,"",INDEX('Providers'!$AJ$4:$AJ$503,314))</f>
        <v/>
      </c>
      <c r="K1317">
        <f>IF(LEN(INDEX('Providers'!$AI$4:$AI$503,314))=0,"",INDEX('Providers'!$AI$4:$AI$503,314))</f>
        <v/>
      </c>
    </row>
    <row r="1318">
      <c r="A1318">
        <f>IF(AND(LEN('Providers'!A318)&gt;0,ISNUMBER('Providers'!K318)),1,0)</f>
        <v/>
      </c>
      <c r="B1318">
        <f>B1317+A1318</f>
        <v/>
      </c>
      <c r="C1318">
        <f>IF(1315&gt;$B$4503,"",MATCH(1315-0.5,$B$3:$B$4503,1))</f>
        <v/>
      </c>
      <c r="D1318">
        <f>"State CSR ("&amp;IF(LEN(INDEX('Providers'!$E$4:$E$503,315))=0,"",INDEX('Providers'!$E$4:$E$503,315))&amp;") – "&amp;IF(LEN(INDEX('Providers'!$A$4:$A$503,315))=0,"",INDEX('Providers'!$A$4:$A$503,315))</f>
        <v/>
      </c>
      <c r="E1318">
        <f>IF(ISNUMBER(INDEX('Providers'!$K$4:$K$503,315)),TEXT(INDEX('Providers'!$K$4:$K$503,315),"yyyy-mm-dd"),"")</f>
        <v/>
      </c>
      <c r="F1318">
        <f>"Registration"</f>
        <v/>
      </c>
      <c r="G1318">
        <f>""</f>
        <v/>
      </c>
      <c r="H1318">
        <f>"High"</f>
        <v/>
      </c>
      <c r="I1318">
        <f>TRIM(IF(LEN(IF(LEN(INDEX('Providers'!$J$4:$J$503,315))=0,"",INDEX('Providers'!$J$4:$J$503,315)))=0,"","CSR no.: "&amp;IF(LEN(INDEX('Providers'!$J$4:$J$503,315))=0,"",INDEX('Providers'!$J$4:$J$503,315))&amp;". ")&amp;IF(LEN(IF(LEN(INDEX('Providers'!$C$4:$C$503,315))=0,"",INDEX('Providers'!$C$4:$C$503,315)))=0,"","NPI: "&amp;IF(LEN(INDEX('Providers'!$C$4:$C$503,315))=0,"",INDEX('Providers'!$C$4:$C$503,315))&amp;". "))</f>
        <v/>
      </c>
      <c r="J1318">
        <f>IF(LEN(INDEX('Providers'!$AJ$4:$AJ$503,315))=0,"",INDEX('Providers'!$AJ$4:$AJ$503,315))</f>
        <v/>
      </c>
      <c r="K1318">
        <f>IF(LEN(INDEX('Providers'!$AI$4:$AI$503,315))=0,"",INDEX('Providers'!$AI$4:$AI$503,315))</f>
        <v/>
      </c>
    </row>
    <row r="1319">
      <c r="A1319">
        <f>IF(AND(LEN('Providers'!A319)&gt;0,ISNUMBER('Providers'!K319)),1,0)</f>
        <v/>
      </c>
      <c r="B1319">
        <f>B1318+A1319</f>
        <v/>
      </c>
      <c r="C1319">
        <f>IF(1316&gt;$B$4503,"",MATCH(1316-0.5,$B$3:$B$4503,1))</f>
        <v/>
      </c>
      <c r="D1319">
        <f>"State CSR ("&amp;IF(LEN(INDEX('Providers'!$E$4:$E$503,316))=0,"",INDEX('Providers'!$E$4:$E$503,316))&amp;") – "&amp;IF(LEN(INDEX('Providers'!$A$4:$A$503,316))=0,"",INDEX('Providers'!$A$4:$A$503,316))</f>
        <v/>
      </c>
      <c r="E1319">
        <f>IF(ISNUMBER(INDEX('Providers'!$K$4:$K$503,316)),TEXT(INDEX('Providers'!$K$4:$K$503,316),"yyyy-mm-dd"),"")</f>
        <v/>
      </c>
      <c r="F1319">
        <f>"Registration"</f>
        <v/>
      </c>
      <c r="G1319">
        <f>""</f>
        <v/>
      </c>
      <c r="H1319">
        <f>"High"</f>
        <v/>
      </c>
      <c r="I1319">
        <f>TRIM(IF(LEN(IF(LEN(INDEX('Providers'!$J$4:$J$503,316))=0,"",INDEX('Providers'!$J$4:$J$503,316)))=0,"","CSR no.: "&amp;IF(LEN(INDEX('Providers'!$J$4:$J$503,316))=0,"",INDEX('Providers'!$J$4:$J$503,316))&amp;". ")&amp;IF(LEN(IF(LEN(INDEX('Providers'!$C$4:$C$503,316))=0,"",INDEX('Providers'!$C$4:$C$503,316)))=0,"","NPI: "&amp;IF(LEN(INDEX('Providers'!$C$4:$C$503,316))=0,"",INDEX('Providers'!$C$4:$C$503,316))&amp;". "))</f>
        <v/>
      </c>
      <c r="J1319">
        <f>IF(LEN(INDEX('Providers'!$AJ$4:$AJ$503,316))=0,"",INDEX('Providers'!$AJ$4:$AJ$503,316))</f>
        <v/>
      </c>
      <c r="K1319">
        <f>IF(LEN(INDEX('Providers'!$AI$4:$AI$503,316))=0,"",INDEX('Providers'!$AI$4:$AI$503,316))</f>
        <v/>
      </c>
    </row>
    <row r="1320">
      <c r="A1320">
        <f>IF(AND(LEN('Providers'!A320)&gt;0,ISNUMBER('Providers'!K320)),1,0)</f>
        <v/>
      </c>
      <c r="B1320">
        <f>B1319+A1320</f>
        <v/>
      </c>
      <c r="C1320">
        <f>IF(1317&gt;$B$4503,"",MATCH(1317-0.5,$B$3:$B$4503,1))</f>
        <v/>
      </c>
      <c r="D1320">
        <f>"State CSR ("&amp;IF(LEN(INDEX('Providers'!$E$4:$E$503,317))=0,"",INDEX('Providers'!$E$4:$E$503,317))&amp;") – "&amp;IF(LEN(INDEX('Providers'!$A$4:$A$503,317))=0,"",INDEX('Providers'!$A$4:$A$503,317))</f>
        <v/>
      </c>
      <c r="E1320">
        <f>IF(ISNUMBER(INDEX('Providers'!$K$4:$K$503,317)),TEXT(INDEX('Providers'!$K$4:$K$503,317),"yyyy-mm-dd"),"")</f>
        <v/>
      </c>
      <c r="F1320">
        <f>"Registration"</f>
        <v/>
      </c>
      <c r="G1320">
        <f>""</f>
        <v/>
      </c>
      <c r="H1320">
        <f>"High"</f>
        <v/>
      </c>
      <c r="I1320">
        <f>TRIM(IF(LEN(IF(LEN(INDEX('Providers'!$J$4:$J$503,317))=0,"",INDEX('Providers'!$J$4:$J$503,317)))=0,"","CSR no.: "&amp;IF(LEN(INDEX('Providers'!$J$4:$J$503,317))=0,"",INDEX('Providers'!$J$4:$J$503,317))&amp;". ")&amp;IF(LEN(IF(LEN(INDEX('Providers'!$C$4:$C$503,317))=0,"",INDEX('Providers'!$C$4:$C$503,317)))=0,"","NPI: "&amp;IF(LEN(INDEX('Providers'!$C$4:$C$503,317))=0,"",INDEX('Providers'!$C$4:$C$503,317))&amp;". "))</f>
        <v/>
      </c>
      <c r="J1320">
        <f>IF(LEN(INDEX('Providers'!$AJ$4:$AJ$503,317))=0,"",INDEX('Providers'!$AJ$4:$AJ$503,317))</f>
        <v/>
      </c>
      <c r="K1320">
        <f>IF(LEN(INDEX('Providers'!$AI$4:$AI$503,317))=0,"",INDEX('Providers'!$AI$4:$AI$503,317))</f>
        <v/>
      </c>
    </row>
    <row r="1321">
      <c r="A1321">
        <f>IF(AND(LEN('Providers'!A321)&gt;0,ISNUMBER('Providers'!K321)),1,0)</f>
        <v/>
      </c>
      <c r="B1321">
        <f>B1320+A1321</f>
        <v/>
      </c>
      <c r="C1321">
        <f>IF(1318&gt;$B$4503,"",MATCH(1318-0.5,$B$3:$B$4503,1))</f>
        <v/>
      </c>
      <c r="D1321">
        <f>"State CSR ("&amp;IF(LEN(INDEX('Providers'!$E$4:$E$503,318))=0,"",INDEX('Providers'!$E$4:$E$503,318))&amp;") – "&amp;IF(LEN(INDEX('Providers'!$A$4:$A$503,318))=0,"",INDEX('Providers'!$A$4:$A$503,318))</f>
        <v/>
      </c>
      <c r="E1321">
        <f>IF(ISNUMBER(INDEX('Providers'!$K$4:$K$503,318)),TEXT(INDEX('Providers'!$K$4:$K$503,318),"yyyy-mm-dd"),"")</f>
        <v/>
      </c>
      <c r="F1321">
        <f>"Registration"</f>
        <v/>
      </c>
      <c r="G1321">
        <f>""</f>
        <v/>
      </c>
      <c r="H1321">
        <f>"High"</f>
        <v/>
      </c>
      <c r="I1321">
        <f>TRIM(IF(LEN(IF(LEN(INDEX('Providers'!$J$4:$J$503,318))=0,"",INDEX('Providers'!$J$4:$J$503,318)))=0,"","CSR no.: "&amp;IF(LEN(INDEX('Providers'!$J$4:$J$503,318))=0,"",INDEX('Providers'!$J$4:$J$503,318))&amp;". ")&amp;IF(LEN(IF(LEN(INDEX('Providers'!$C$4:$C$503,318))=0,"",INDEX('Providers'!$C$4:$C$503,318)))=0,"","NPI: "&amp;IF(LEN(INDEX('Providers'!$C$4:$C$503,318))=0,"",INDEX('Providers'!$C$4:$C$503,318))&amp;". "))</f>
        <v/>
      </c>
      <c r="J1321">
        <f>IF(LEN(INDEX('Providers'!$AJ$4:$AJ$503,318))=0,"",INDEX('Providers'!$AJ$4:$AJ$503,318))</f>
        <v/>
      </c>
      <c r="K1321">
        <f>IF(LEN(INDEX('Providers'!$AI$4:$AI$503,318))=0,"",INDEX('Providers'!$AI$4:$AI$503,318))</f>
        <v/>
      </c>
    </row>
    <row r="1322">
      <c r="A1322">
        <f>IF(AND(LEN('Providers'!A322)&gt;0,ISNUMBER('Providers'!K322)),1,0)</f>
        <v/>
      </c>
      <c r="B1322">
        <f>B1321+A1322</f>
        <v/>
      </c>
      <c r="C1322">
        <f>IF(1319&gt;$B$4503,"",MATCH(1319-0.5,$B$3:$B$4503,1))</f>
        <v/>
      </c>
      <c r="D1322">
        <f>"State CSR ("&amp;IF(LEN(INDEX('Providers'!$E$4:$E$503,319))=0,"",INDEX('Providers'!$E$4:$E$503,319))&amp;") – "&amp;IF(LEN(INDEX('Providers'!$A$4:$A$503,319))=0,"",INDEX('Providers'!$A$4:$A$503,319))</f>
        <v/>
      </c>
      <c r="E1322">
        <f>IF(ISNUMBER(INDEX('Providers'!$K$4:$K$503,319)),TEXT(INDEX('Providers'!$K$4:$K$503,319),"yyyy-mm-dd"),"")</f>
        <v/>
      </c>
      <c r="F1322">
        <f>"Registration"</f>
        <v/>
      </c>
      <c r="G1322">
        <f>""</f>
        <v/>
      </c>
      <c r="H1322">
        <f>"High"</f>
        <v/>
      </c>
      <c r="I1322">
        <f>TRIM(IF(LEN(IF(LEN(INDEX('Providers'!$J$4:$J$503,319))=0,"",INDEX('Providers'!$J$4:$J$503,319)))=0,"","CSR no.: "&amp;IF(LEN(INDEX('Providers'!$J$4:$J$503,319))=0,"",INDEX('Providers'!$J$4:$J$503,319))&amp;". ")&amp;IF(LEN(IF(LEN(INDEX('Providers'!$C$4:$C$503,319))=0,"",INDEX('Providers'!$C$4:$C$503,319)))=0,"","NPI: "&amp;IF(LEN(INDEX('Providers'!$C$4:$C$503,319))=0,"",INDEX('Providers'!$C$4:$C$503,319))&amp;". "))</f>
        <v/>
      </c>
      <c r="J1322">
        <f>IF(LEN(INDEX('Providers'!$AJ$4:$AJ$503,319))=0,"",INDEX('Providers'!$AJ$4:$AJ$503,319))</f>
        <v/>
      </c>
      <c r="K1322">
        <f>IF(LEN(INDEX('Providers'!$AI$4:$AI$503,319))=0,"",INDEX('Providers'!$AI$4:$AI$503,319))</f>
        <v/>
      </c>
    </row>
    <row r="1323">
      <c r="A1323">
        <f>IF(AND(LEN('Providers'!A323)&gt;0,ISNUMBER('Providers'!K323)),1,0)</f>
        <v/>
      </c>
      <c r="B1323">
        <f>B1322+A1323</f>
        <v/>
      </c>
      <c r="C1323">
        <f>IF(1320&gt;$B$4503,"",MATCH(1320-0.5,$B$3:$B$4503,1))</f>
        <v/>
      </c>
      <c r="D1323">
        <f>"State CSR ("&amp;IF(LEN(INDEX('Providers'!$E$4:$E$503,320))=0,"",INDEX('Providers'!$E$4:$E$503,320))&amp;") – "&amp;IF(LEN(INDEX('Providers'!$A$4:$A$503,320))=0,"",INDEX('Providers'!$A$4:$A$503,320))</f>
        <v/>
      </c>
      <c r="E1323">
        <f>IF(ISNUMBER(INDEX('Providers'!$K$4:$K$503,320)),TEXT(INDEX('Providers'!$K$4:$K$503,320),"yyyy-mm-dd"),"")</f>
        <v/>
      </c>
      <c r="F1323">
        <f>"Registration"</f>
        <v/>
      </c>
      <c r="G1323">
        <f>""</f>
        <v/>
      </c>
      <c r="H1323">
        <f>"High"</f>
        <v/>
      </c>
      <c r="I1323">
        <f>TRIM(IF(LEN(IF(LEN(INDEX('Providers'!$J$4:$J$503,320))=0,"",INDEX('Providers'!$J$4:$J$503,320)))=0,"","CSR no.: "&amp;IF(LEN(INDEX('Providers'!$J$4:$J$503,320))=0,"",INDEX('Providers'!$J$4:$J$503,320))&amp;". ")&amp;IF(LEN(IF(LEN(INDEX('Providers'!$C$4:$C$503,320))=0,"",INDEX('Providers'!$C$4:$C$503,320)))=0,"","NPI: "&amp;IF(LEN(INDEX('Providers'!$C$4:$C$503,320))=0,"",INDEX('Providers'!$C$4:$C$503,320))&amp;". "))</f>
        <v/>
      </c>
      <c r="J1323">
        <f>IF(LEN(INDEX('Providers'!$AJ$4:$AJ$503,320))=0,"",INDEX('Providers'!$AJ$4:$AJ$503,320))</f>
        <v/>
      </c>
      <c r="K1323">
        <f>IF(LEN(INDEX('Providers'!$AI$4:$AI$503,320))=0,"",INDEX('Providers'!$AI$4:$AI$503,320))</f>
        <v/>
      </c>
    </row>
    <row r="1324">
      <c r="A1324">
        <f>IF(AND(LEN('Providers'!A324)&gt;0,ISNUMBER('Providers'!K324)),1,0)</f>
        <v/>
      </c>
      <c r="B1324">
        <f>B1323+A1324</f>
        <v/>
      </c>
      <c r="C1324">
        <f>IF(1321&gt;$B$4503,"",MATCH(1321-0.5,$B$3:$B$4503,1))</f>
        <v/>
      </c>
      <c r="D1324">
        <f>"State CSR ("&amp;IF(LEN(INDEX('Providers'!$E$4:$E$503,321))=0,"",INDEX('Providers'!$E$4:$E$503,321))&amp;") – "&amp;IF(LEN(INDEX('Providers'!$A$4:$A$503,321))=0,"",INDEX('Providers'!$A$4:$A$503,321))</f>
        <v/>
      </c>
      <c r="E1324">
        <f>IF(ISNUMBER(INDEX('Providers'!$K$4:$K$503,321)),TEXT(INDEX('Providers'!$K$4:$K$503,321),"yyyy-mm-dd"),"")</f>
        <v/>
      </c>
      <c r="F1324">
        <f>"Registration"</f>
        <v/>
      </c>
      <c r="G1324">
        <f>""</f>
        <v/>
      </c>
      <c r="H1324">
        <f>"High"</f>
        <v/>
      </c>
      <c r="I1324">
        <f>TRIM(IF(LEN(IF(LEN(INDEX('Providers'!$J$4:$J$503,321))=0,"",INDEX('Providers'!$J$4:$J$503,321)))=0,"","CSR no.: "&amp;IF(LEN(INDEX('Providers'!$J$4:$J$503,321))=0,"",INDEX('Providers'!$J$4:$J$503,321))&amp;". ")&amp;IF(LEN(IF(LEN(INDEX('Providers'!$C$4:$C$503,321))=0,"",INDEX('Providers'!$C$4:$C$503,321)))=0,"","NPI: "&amp;IF(LEN(INDEX('Providers'!$C$4:$C$503,321))=0,"",INDEX('Providers'!$C$4:$C$503,321))&amp;". "))</f>
        <v/>
      </c>
      <c r="J1324">
        <f>IF(LEN(INDEX('Providers'!$AJ$4:$AJ$503,321))=0,"",INDEX('Providers'!$AJ$4:$AJ$503,321))</f>
        <v/>
      </c>
      <c r="K1324">
        <f>IF(LEN(INDEX('Providers'!$AI$4:$AI$503,321))=0,"",INDEX('Providers'!$AI$4:$AI$503,321))</f>
        <v/>
      </c>
    </row>
    <row r="1325">
      <c r="A1325">
        <f>IF(AND(LEN('Providers'!A325)&gt;0,ISNUMBER('Providers'!K325)),1,0)</f>
        <v/>
      </c>
      <c r="B1325">
        <f>B1324+A1325</f>
        <v/>
      </c>
      <c r="C1325">
        <f>IF(1322&gt;$B$4503,"",MATCH(1322-0.5,$B$3:$B$4503,1))</f>
        <v/>
      </c>
      <c r="D1325">
        <f>"State CSR ("&amp;IF(LEN(INDEX('Providers'!$E$4:$E$503,322))=0,"",INDEX('Providers'!$E$4:$E$503,322))&amp;") – "&amp;IF(LEN(INDEX('Providers'!$A$4:$A$503,322))=0,"",INDEX('Providers'!$A$4:$A$503,322))</f>
        <v/>
      </c>
      <c r="E1325">
        <f>IF(ISNUMBER(INDEX('Providers'!$K$4:$K$503,322)),TEXT(INDEX('Providers'!$K$4:$K$503,322),"yyyy-mm-dd"),"")</f>
        <v/>
      </c>
      <c r="F1325">
        <f>"Registration"</f>
        <v/>
      </c>
      <c r="G1325">
        <f>""</f>
        <v/>
      </c>
      <c r="H1325">
        <f>"High"</f>
        <v/>
      </c>
      <c r="I1325">
        <f>TRIM(IF(LEN(IF(LEN(INDEX('Providers'!$J$4:$J$503,322))=0,"",INDEX('Providers'!$J$4:$J$503,322)))=0,"","CSR no.: "&amp;IF(LEN(INDEX('Providers'!$J$4:$J$503,322))=0,"",INDEX('Providers'!$J$4:$J$503,322))&amp;". ")&amp;IF(LEN(IF(LEN(INDEX('Providers'!$C$4:$C$503,322))=0,"",INDEX('Providers'!$C$4:$C$503,322)))=0,"","NPI: "&amp;IF(LEN(INDEX('Providers'!$C$4:$C$503,322))=0,"",INDEX('Providers'!$C$4:$C$503,322))&amp;". "))</f>
        <v/>
      </c>
      <c r="J1325">
        <f>IF(LEN(INDEX('Providers'!$AJ$4:$AJ$503,322))=0,"",INDEX('Providers'!$AJ$4:$AJ$503,322))</f>
        <v/>
      </c>
      <c r="K1325">
        <f>IF(LEN(INDEX('Providers'!$AI$4:$AI$503,322))=0,"",INDEX('Providers'!$AI$4:$AI$503,322))</f>
        <v/>
      </c>
    </row>
    <row r="1326">
      <c r="A1326">
        <f>IF(AND(LEN('Providers'!A326)&gt;0,ISNUMBER('Providers'!K326)),1,0)</f>
        <v/>
      </c>
      <c r="B1326">
        <f>B1325+A1326</f>
        <v/>
      </c>
      <c r="C1326">
        <f>IF(1323&gt;$B$4503,"",MATCH(1323-0.5,$B$3:$B$4503,1))</f>
        <v/>
      </c>
      <c r="D1326">
        <f>"State CSR ("&amp;IF(LEN(INDEX('Providers'!$E$4:$E$503,323))=0,"",INDEX('Providers'!$E$4:$E$503,323))&amp;") – "&amp;IF(LEN(INDEX('Providers'!$A$4:$A$503,323))=0,"",INDEX('Providers'!$A$4:$A$503,323))</f>
        <v/>
      </c>
      <c r="E1326">
        <f>IF(ISNUMBER(INDEX('Providers'!$K$4:$K$503,323)),TEXT(INDEX('Providers'!$K$4:$K$503,323),"yyyy-mm-dd"),"")</f>
        <v/>
      </c>
      <c r="F1326">
        <f>"Registration"</f>
        <v/>
      </c>
      <c r="G1326">
        <f>""</f>
        <v/>
      </c>
      <c r="H1326">
        <f>"High"</f>
        <v/>
      </c>
      <c r="I1326">
        <f>TRIM(IF(LEN(IF(LEN(INDEX('Providers'!$J$4:$J$503,323))=0,"",INDEX('Providers'!$J$4:$J$503,323)))=0,"","CSR no.: "&amp;IF(LEN(INDEX('Providers'!$J$4:$J$503,323))=0,"",INDEX('Providers'!$J$4:$J$503,323))&amp;". ")&amp;IF(LEN(IF(LEN(INDEX('Providers'!$C$4:$C$503,323))=0,"",INDEX('Providers'!$C$4:$C$503,323)))=0,"","NPI: "&amp;IF(LEN(INDEX('Providers'!$C$4:$C$503,323))=0,"",INDEX('Providers'!$C$4:$C$503,323))&amp;". "))</f>
        <v/>
      </c>
      <c r="J1326">
        <f>IF(LEN(INDEX('Providers'!$AJ$4:$AJ$503,323))=0,"",INDEX('Providers'!$AJ$4:$AJ$503,323))</f>
        <v/>
      </c>
      <c r="K1326">
        <f>IF(LEN(INDEX('Providers'!$AI$4:$AI$503,323))=0,"",INDEX('Providers'!$AI$4:$AI$503,323))</f>
        <v/>
      </c>
    </row>
    <row r="1327">
      <c r="A1327">
        <f>IF(AND(LEN('Providers'!A327)&gt;0,ISNUMBER('Providers'!K327)),1,0)</f>
        <v/>
      </c>
      <c r="B1327">
        <f>B1326+A1327</f>
        <v/>
      </c>
      <c r="C1327">
        <f>IF(1324&gt;$B$4503,"",MATCH(1324-0.5,$B$3:$B$4503,1))</f>
        <v/>
      </c>
      <c r="D1327">
        <f>"State CSR ("&amp;IF(LEN(INDEX('Providers'!$E$4:$E$503,324))=0,"",INDEX('Providers'!$E$4:$E$503,324))&amp;") – "&amp;IF(LEN(INDEX('Providers'!$A$4:$A$503,324))=0,"",INDEX('Providers'!$A$4:$A$503,324))</f>
        <v/>
      </c>
      <c r="E1327">
        <f>IF(ISNUMBER(INDEX('Providers'!$K$4:$K$503,324)),TEXT(INDEX('Providers'!$K$4:$K$503,324),"yyyy-mm-dd"),"")</f>
        <v/>
      </c>
      <c r="F1327">
        <f>"Registration"</f>
        <v/>
      </c>
      <c r="G1327">
        <f>""</f>
        <v/>
      </c>
      <c r="H1327">
        <f>"High"</f>
        <v/>
      </c>
      <c r="I1327">
        <f>TRIM(IF(LEN(IF(LEN(INDEX('Providers'!$J$4:$J$503,324))=0,"",INDEX('Providers'!$J$4:$J$503,324)))=0,"","CSR no.: "&amp;IF(LEN(INDEX('Providers'!$J$4:$J$503,324))=0,"",INDEX('Providers'!$J$4:$J$503,324))&amp;". ")&amp;IF(LEN(IF(LEN(INDEX('Providers'!$C$4:$C$503,324))=0,"",INDEX('Providers'!$C$4:$C$503,324)))=0,"","NPI: "&amp;IF(LEN(INDEX('Providers'!$C$4:$C$503,324))=0,"",INDEX('Providers'!$C$4:$C$503,324))&amp;". "))</f>
        <v/>
      </c>
      <c r="J1327">
        <f>IF(LEN(INDEX('Providers'!$AJ$4:$AJ$503,324))=0,"",INDEX('Providers'!$AJ$4:$AJ$503,324))</f>
        <v/>
      </c>
      <c r="K1327">
        <f>IF(LEN(INDEX('Providers'!$AI$4:$AI$503,324))=0,"",INDEX('Providers'!$AI$4:$AI$503,324))</f>
        <v/>
      </c>
    </row>
    <row r="1328">
      <c r="A1328">
        <f>IF(AND(LEN('Providers'!A328)&gt;0,ISNUMBER('Providers'!K328)),1,0)</f>
        <v/>
      </c>
      <c r="B1328">
        <f>B1327+A1328</f>
        <v/>
      </c>
      <c r="C1328">
        <f>IF(1325&gt;$B$4503,"",MATCH(1325-0.5,$B$3:$B$4503,1))</f>
        <v/>
      </c>
      <c r="D1328">
        <f>"State CSR ("&amp;IF(LEN(INDEX('Providers'!$E$4:$E$503,325))=0,"",INDEX('Providers'!$E$4:$E$503,325))&amp;") – "&amp;IF(LEN(INDEX('Providers'!$A$4:$A$503,325))=0,"",INDEX('Providers'!$A$4:$A$503,325))</f>
        <v/>
      </c>
      <c r="E1328">
        <f>IF(ISNUMBER(INDEX('Providers'!$K$4:$K$503,325)),TEXT(INDEX('Providers'!$K$4:$K$503,325),"yyyy-mm-dd"),"")</f>
        <v/>
      </c>
      <c r="F1328">
        <f>"Registration"</f>
        <v/>
      </c>
      <c r="G1328">
        <f>""</f>
        <v/>
      </c>
      <c r="H1328">
        <f>"High"</f>
        <v/>
      </c>
      <c r="I1328">
        <f>TRIM(IF(LEN(IF(LEN(INDEX('Providers'!$J$4:$J$503,325))=0,"",INDEX('Providers'!$J$4:$J$503,325)))=0,"","CSR no.: "&amp;IF(LEN(INDEX('Providers'!$J$4:$J$503,325))=0,"",INDEX('Providers'!$J$4:$J$503,325))&amp;". ")&amp;IF(LEN(IF(LEN(INDEX('Providers'!$C$4:$C$503,325))=0,"",INDEX('Providers'!$C$4:$C$503,325)))=0,"","NPI: "&amp;IF(LEN(INDEX('Providers'!$C$4:$C$503,325))=0,"",INDEX('Providers'!$C$4:$C$503,325))&amp;". "))</f>
        <v/>
      </c>
      <c r="J1328">
        <f>IF(LEN(INDEX('Providers'!$AJ$4:$AJ$503,325))=0,"",INDEX('Providers'!$AJ$4:$AJ$503,325))</f>
        <v/>
      </c>
      <c r="K1328">
        <f>IF(LEN(INDEX('Providers'!$AI$4:$AI$503,325))=0,"",INDEX('Providers'!$AI$4:$AI$503,325))</f>
        <v/>
      </c>
    </row>
    <row r="1329">
      <c r="A1329">
        <f>IF(AND(LEN('Providers'!A329)&gt;0,ISNUMBER('Providers'!K329)),1,0)</f>
        <v/>
      </c>
      <c r="B1329">
        <f>B1328+A1329</f>
        <v/>
      </c>
      <c r="C1329">
        <f>IF(1326&gt;$B$4503,"",MATCH(1326-0.5,$B$3:$B$4503,1))</f>
        <v/>
      </c>
      <c r="D1329">
        <f>"State CSR ("&amp;IF(LEN(INDEX('Providers'!$E$4:$E$503,326))=0,"",INDEX('Providers'!$E$4:$E$503,326))&amp;") – "&amp;IF(LEN(INDEX('Providers'!$A$4:$A$503,326))=0,"",INDEX('Providers'!$A$4:$A$503,326))</f>
        <v/>
      </c>
      <c r="E1329">
        <f>IF(ISNUMBER(INDEX('Providers'!$K$4:$K$503,326)),TEXT(INDEX('Providers'!$K$4:$K$503,326),"yyyy-mm-dd"),"")</f>
        <v/>
      </c>
      <c r="F1329">
        <f>"Registration"</f>
        <v/>
      </c>
      <c r="G1329">
        <f>""</f>
        <v/>
      </c>
      <c r="H1329">
        <f>"High"</f>
        <v/>
      </c>
      <c r="I1329">
        <f>TRIM(IF(LEN(IF(LEN(INDEX('Providers'!$J$4:$J$503,326))=0,"",INDEX('Providers'!$J$4:$J$503,326)))=0,"","CSR no.: "&amp;IF(LEN(INDEX('Providers'!$J$4:$J$503,326))=0,"",INDEX('Providers'!$J$4:$J$503,326))&amp;". ")&amp;IF(LEN(IF(LEN(INDEX('Providers'!$C$4:$C$503,326))=0,"",INDEX('Providers'!$C$4:$C$503,326)))=0,"","NPI: "&amp;IF(LEN(INDEX('Providers'!$C$4:$C$503,326))=0,"",INDEX('Providers'!$C$4:$C$503,326))&amp;". "))</f>
        <v/>
      </c>
      <c r="J1329">
        <f>IF(LEN(INDEX('Providers'!$AJ$4:$AJ$503,326))=0,"",INDEX('Providers'!$AJ$4:$AJ$503,326))</f>
        <v/>
      </c>
      <c r="K1329">
        <f>IF(LEN(INDEX('Providers'!$AI$4:$AI$503,326))=0,"",INDEX('Providers'!$AI$4:$AI$503,326))</f>
        <v/>
      </c>
    </row>
    <row r="1330">
      <c r="A1330">
        <f>IF(AND(LEN('Providers'!A330)&gt;0,ISNUMBER('Providers'!K330)),1,0)</f>
        <v/>
      </c>
      <c r="B1330">
        <f>B1329+A1330</f>
        <v/>
      </c>
      <c r="C1330">
        <f>IF(1327&gt;$B$4503,"",MATCH(1327-0.5,$B$3:$B$4503,1))</f>
        <v/>
      </c>
      <c r="D1330">
        <f>"State CSR ("&amp;IF(LEN(INDEX('Providers'!$E$4:$E$503,327))=0,"",INDEX('Providers'!$E$4:$E$503,327))&amp;") – "&amp;IF(LEN(INDEX('Providers'!$A$4:$A$503,327))=0,"",INDEX('Providers'!$A$4:$A$503,327))</f>
        <v/>
      </c>
      <c r="E1330">
        <f>IF(ISNUMBER(INDEX('Providers'!$K$4:$K$503,327)),TEXT(INDEX('Providers'!$K$4:$K$503,327),"yyyy-mm-dd"),"")</f>
        <v/>
      </c>
      <c r="F1330">
        <f>"Registration"</f>
        <v/>
      </c>
      <c r="G1330">
        <f>""</f>
        <v/>
      </c>
      <c r="H1330">
        <f>"High"</f>
        <v/>
      </c>
      <c r="I1330">
        <f>TRIM(IF(LEN(IF(LEN(INDEX('Providers'!$J$4:$J$503,327))=0,"",INDEX('Providers'!$J$4:$J$503,327)))=0,"","CSR no.: "&amp;IF(LEN(INDEX('Providers'!$J$4:$J$503,327))=0,"",INDEX('Providers'!$J$4:$J$503,327))&amp;". ")&amp;IF(LEN(IF(LEN(INDEX('Providers'!$C$4:$C$503,327))=0,"",INDEX('Providers'!$C$4:$C$503,327)))=0,"","NPI: "&amp;IF(LEN(INDEX('Providers'!$C$4:$C$503,327))=0,"",INDEX('Providers'!$C$4:$C$503,327))&amp;". "))</f>
        <v/>
      </c>
      <c r="J1330">
        <f>IF(LEN(INDEX('Providers'!$AJ$4:$AJ$503,327))=0,"",INDEX('Providers'!$AJ$4:$AJ$503,327))</f>
        <v/>
      </c>
      <c r="K1330">
        <f>IF(LEN(INDEX('Providers'!$AI$4:$AI$503,327))=0,"",INDEX('Providers'!$AI$4:$AI$503,327))</f>
        <v/>
      </c>
    </row>
    <row r="1331">
      <c r="A1331">
        <f>IF(AND(LEN('Providers'!A331)&gt;0,ISNUMBER('Providers'!K331)),1,0)</f>
        <v/>
      </c>
      <c r="B1331">
        <f>B1330+A1331</f>
        <v/>
      </c>
      <c r="C1331">
        <f>IF(1328&gt;$B$4503,"",MATCH(1328-0.5,$B$3:$B$4503,1))</f>
        <v/>
      </c>
      <c r="D1331">
        <f>"State CSR ("&amp;IF(LEN(INDEX('Providers'!$E$4:$E$503,328))=0,"",INDEX('Providers'!$E$4:$E$503,328))&amp;") – "&amp;IF(LEN(INDEX('Providers'!$A$4:$A$503,328))=0,"",INDEX('Providers'!$A$4:$A$503,328))</f>
        <v/>
      </c>
      <c r="E1331">
        <f>IF(ISNUMBER(INDEX('Providers'!$K$4:$K$503,328)),TEXT(INDEX('Providers'!$K$4:$K$503,328),"yyyy-mm-dd"),"")</f>
        <v/>
      </c>
      <c r="F1331">
        <f>"Registration"</f>
        <v/>
      </c>
      <c r="G1331">
        <f>""</f>
        <v/>
      </c>
      <c r="H1331">
        <f>"High"</f>
        <v/>
      </c>
      <c r="I1331">
        <f>TRIM(IF(LEN(IF(LEN(INDEX('Providers'!$J$4:$J$503,328))=0,"",INDEX('Providers'!$J$4:$J$503,328)))=0,"","CSR no.: "&amp;IF(LEN(INDEX('Providers'!$J$4:$J$503,328))=0,"",INDEX('Providers'!$J$4:$J$503,328))&amp;". ")&amp;IF(LEN(IF(LEN(INDEX('Providers'!$C$4:$C$503,328))=0,"",INDEX('Providers'!$C$4:$C$503,328)))=0,"","NPI: "&amp;IF(LEN(INDEX('Providers'!$C$4:$C$503,328))=0,"",INDEX('Providers'!$C$4:$C$503,328))&amp;". "))</f>
        <v/>
      </c>
      <c r="J1331">
        <f>IF(LEN(INDEX('Providers'!$AJ$4:$AJ$503,328))=0,"",INDEX('Providers'!$AJ$4:$AJ$503,328))</f>
        <v/>
      </c>
      <c r="K1331">
        <f>IF(LEN(INDEX('Providers'!$AI$4:$AI$503,328))=0,"",INDEX('Providers'!$AI$4:$AI$503,328))</f>
        <v/>
      </c>
    </row>
    <row r="1332">
      <c r="A1332">
        <f>IF(AND(LEN('Providers'!A332)&gt;0,ISNUMBER('Providers'!K332)),1,0)</f>
        <v/>
      </c>
      <c r="B1332">
        <f>B1331+A1332</f>
        <v/>
      </c>
      <c r="C1332">
        <f>IF(1329&gt;$B$4503,"",MATCH(1329-0.5,$B$3:$B$4503,1))</f>
        <v/>
      </c>
      <c r="D1332">
        <f>"State CSR ("&amp;IF(LEN(INDEX('Providers'!$E$4:$E$503,329))=0,"",INDEX('Providers'!$E$4:$E$503,329))&amp;") – "&amp;IF(LEN(INDEX('Providers'!$A$4:$A$503,329))=0,"",INDEX('Providers'!$A$4:$A$503,329))</f>
        <v/>
      </c>
      <c r="E1332">
        <f>IF(ISNUMBER(INDEX('Providers'!$K$4:$K$503,329)),TEXT(INDEX('Providers'!$K$4:$K$503,329),"yyyy-mm-dd"),"")</f>
        <v/>
      </c>
      <c r="F1332">
        <f>"Registration"</f>
        <v/>
      </c>
      <c r="G1332">
        <f>""</f>
        <v/>
      </c>
      <c r="H1332">
        <f>"High"</f>
        <v/>
      </c>
      <c r="I1332">
        <f>TRIM(IF(LEN(IF(LEN(INDEX('Providers'!$J$4:$J$503,329))=0,"",INDEX('Providers'!$J$4:$J$503,329)))=0,"","CSR no.: "&amp;IF(LEN(INDEX('Providers'!$J$4:$J$503,329))=0,"",INDEX('Providers'!$J$4:$J$503,329))&amp;". ")&amp;IF(LEN(IF(LEN(INDEX('Providers'!$C$4:$C$503,329))=0,"",INDEX('Providers'!$C$4:$C$503,329)))=0,"","NPI: "&amp;IF(LEN(INDEX('Providers'!$C$4:$C$503,329))=0,"",INDEX('Providers'!$C$4:$C$503,329))&amp;". "))</f>
        <v/>
      </c>
      <c r="J1332">
        <f>IF(LEN(INDEX('Providers'!$AJ$4:$AJ$503,329))=0,"",INDEX('Providers'!$AJ$4:$AJ$503,329))</f>
        <v/>
      </c>
      <c r="K1332">
        <f>IF(LEN(INDEX('Providers'!$AI$4:$AI$503,329))=0,"",INDEX('Providers'!$AI$4:$AI$503,329))</f>
        <v/>
      </c>
    </row>
    <row r="1333">
      <c r="A1333">
        <f>IF(AND(LEN('Providers'!A333)&gt;0,ISNUMBER('Providers'!K333)),1,0)</f>
        <v/>
      </c>
      <c r="B1333">
        <f>B1332+A1333</f>
        <v/>
      </c>
      <c r="C1333">
        <f>IF(1330&gt;$B$4503,"",MATCH(1330-0.5,$B$3:$B$4503,1))</f>
        <v/>
      </c>
      <c r="D1333">
        <f>"State CSR ("&amp;IF(LEN(INDEX('Providers'!$E$4:$E$503,330))=0,"",INDEX('Providers'!$E$4:$E$503,330))&amp;") – "&amp;IF(LEN(INDEX('Providers'!$A$4:$A$503,330))=0,"",INDEX('Providers'!$A$4:$A$503,330))</f>
        <v/>
      </c>
      <c r="E1333">
        <f>IF(ISNUMBER(INDEX('Providers'!$K$4:$K$503,330)),TEXT(INDEX('Providers'!$K$4:$K$503,330),"yyyy-mm-dd"),"")</f>
        <v/>
      </c>
      <c r="F1333">
        <f>"Registration"</f>
        <v/>
      </c>
      <c r="G1333">
        <f>""</f>
        <v/>
      </c>
      <c r="H1333">
        <f>"High"</f>
        <v/>
      </c>
      <c r="I1333">
        <f>TRIM(IF(LEN(IF(LEN(INDEX('Providers'!$J$4:$J$503,330))=0,"",INDEX('Providers'!$J$4:$J$503,330)))=0,"","CSR no.: "&amp;IF(LEN(INDEX('Providers'!$J$4:$J$503,330))=0,"",INDEX('Providers'!$J$4:$J$503,330))&amp;". ")&amp;IF(LEN(IF(LEN(INDEX('Providers'!$C$4:$C$503,330))=0,"",INDEX('Providers'!$C$4:$C$503,330)))=0,"","NPI: "&amp;IF(LEN(INDEX('Providers'!$C$4:$C$503,330))=0,"",INDEX('Providers'!$C$4:$C$503,330))&amp;". "))</f>
        <v/>
      </c>
      <c r="J1333">
        <f>IF(LEN(INDEX('Providers'!$AJ$4:$AJ$503,330))=0,"",INDEX('Providers'!$AJ$4:$AJ$503,330))</f>
        <v/>
      </c>
      <c r="K1333">
        <f>IF(LEN(INDEX('Providers'!$AI$4:$AI$503,330))=0,"",INDEX('Providers'!$AI$4:$AI$503,330))</f>
        <v/>
      </c>
    </row>
    <row r="1334">
      <c r="A1334">
        <f>IF(AND(LEN('Providers'!A334)&gt;0,ISNUMBER('Providers'!K334)),1,0)</f>
        <v/>
      </c>
      <c r="B1334">
        <f>B1333+A1334</f>
        <v/>
      </c>
      <c r="C1334">
        <f>IF(1331&gt;$B$4503,"",MATCH(1331-0.5,$B$3:$B$4503,1))</f>
        <v/>
      </c>
      <c r="D1334">
        <f>"State CSR ("&amp;IF(LEN(INDEX('Providers'!$E$4:$E$503,331))=0,"",INDEX('Providers'!$E$4:$E$503,331))&amp;") – "&amp;IF(LEN(INDEX('Providers'!$A$4:$A$503,331))=0,"",INDEX('Providers'!$A$4:$A$503,331))</f>
        <v/>
      </c>
      <c r="E1334">
        <f>IF(ISNUMBER(INDEX('Providers'!$K$4:$K$503,331)),TEXT(INDEX('Providers'!$K$4:$K$503,331),"yyyy-mm-dd"),"")</f>
        <v/>
      </c>
      <c r="F1334">
        <f>"Registration"</f>
        <v/>
      </c>
      <c r="G1334">
        <f>""</f>
        <v/>
      </c>
      <c r="H1334">
        <f>"High"</f>
        <v/>
      </c>
      <c r="I1334">
        <f>TRIM(IF(LEN(IF(LEN(INDEX('Providers'!$J$4:$J$503,331))=0,"",INDEX('Providers'!$J$4:$J$503,331)))=0,"","CSR no.: "&amp;IF(LEN(INDEX('Providers'!$J$4:$J$503,331))=0,"",INDEX('Providers'!$J$4:$J$503,331))&amp;". ")&amp;IF(LEN(IF(LEN(INDEX('Providers'!$C$4:$C$503,331))=0,"",INDEX('Providers'!$C$4:$C$503,331)))=0,"","NPI: "&amp;IF(LEN(INDEX('Providers'!$C$4:$C$503,331))=0,"",INDEX('Providers'!$C$4:$C$503,331))&amp;". "))</f>
        <v/>
      </c>
      <c r="J1334">
        <f>IF(LEN(INDEX('Providers'!$AJ$4:$AJ$503,331))=0,"",INDEX('Providers'!$AJ$4:$AJ$503,331))</f>
        <v/>
      </c>
      <c r="K1334">
        <f>IF(LEN(INDEX('Providers'!$AI$4:$AI$503,331))=0,"",INDEX('Providers'!$AI$4:$AI$503,331))</f>
        <v/>
      </c>
    </row>
    <row r="1335">
      <c r="A1335">
        <f>IF(AND(LEN('Providers'!A335)&gt;0,ISNUMBER('Providers'!K335)),1,0)</f>
        <v/>
      </c>
      <c r="B1335">
        <f>B1334+A1335</f>
        <v/>
      </c>
      <c r="C1335">
        <f>IF(1332&gt;$B$4503,"",MATCH(1332-0.5,$B$3:$B$4503,1))</f>
        <v/>
      </c>
      <c r="D1335">
        <f>"State CSR ("&amp;IF(LEN(INDEX('Providers'!$E$4:$E$503,332))=0,"",INDEX('Providers'!$E$4:$E$503,332))&amp;") – "&amp;IF(LEN(INDEX('Providers'!$A$4:$A$503,332))=0,"",INDEX('Providers'!$A$4:$A$503,332))</f>
        <v/>
      </c>
      <c r="E1335">
        <f>IF(ISNUMBER(INDEX('Providers'!$K$4:$K$503,332)),TEXT(INDEX('Providers'!$K$4:$K$503,332),"yyyy-mm-dd"),"")</f>
        <v/>
      </c>
      <c r="F1335">
        <f>"Registration"</f>
        <v/>
      </c>
      <c r="G1335">
        <f>""</f>
        <v/>
      </c>
      <c r="H1335">
        <f>"High"</f>
        <v/>
      </c>
      <c r="I1335">
        <f>TRIM(IF(LEN(IF(LEN(INDEX('Providers'!$J$4:$J$503,332))=0,"",INDEX('Providers'!$J$4:$J$503,332)))=0,"","CSR no.: "&amp;IF(LEN(INDEX('Providers'!$J$4:$J$503,332))=0,"",INDEX('Providers'!$J$4:$J$503,332))&amp;". ")&amp;IF(LEN(IF(LEN(INDEX('Providers'!$C$4:$C$503,332))=0,"",INDEX('Providers'!$C$4:$C$503,332)))=0,"","NPI: "&amp;IF(LEN(INDEX('Providers'!$C$4:$C$503,332))=0,"",INDEX('Providers'!$C$4:$C$503,332))&amp;". "))</f>
        <v/>
      </c>
      <c r="J1335">
        <f>IF(LEN(INDEX('Providers'!$AJ$4:$AJ$503,332))=0,"",INDEX('Providers'!$AJ$4:$AJ$503,332))</f>
        <v/>
      </c>
      <c r="K1335">
        <f>IF(LEN(INDEX('Providers'!$AI$4:$AI$503,332))=0,"",INDEX('Providers'!$AI$4:$AI$503,332))</f>
        <v/>
      </c>
    </row>
    <row r="1336">
      <c r="A1336">
        <f>IF(AND(LEN('Providers'!A336)&gt;0,ISNUMBER('Providers'!K336)),1,0)</f>
        <v/>
      </c>
      <c r="B1336">
        <f>B1335+A1336</f>
        <v/>
      </c>
      <c r="C1336">
        <f>IF(1333&gt;$B$4503,"",MATCH(1333-0.5,$B$3:$B$4503,1))</f>
        <v/>
      </c>
      <c r="D1336">
        <f>"State CSR ("&amp;IF(LEN(INDEX('Providers'!$E$4:$E$503,333))=0,"",INDEX('Providers'!$E$4:$E$503,333))&amp;") – "&amp;IF(LEN(INDEX('Providers'!$A$4:$A$503,333))=0,"",INDEX('Providers'!$A$4:$A$503,333))</f>
        <v/>
      </c>
      <c r="E1336">
        <f>IF(ISNUMBER(INDEX('Providers'!$K$4:$K$503,333)),TEXT(INDEX('Providers'!$K$4:$K$503,333),"yyyy-mm-dd"),"")</f>
        <v/>
      </c>
      <c r="F1336">
        <f>"Registration"</f>
        <v/>
      </c>
      <c r="G1336">
        <f>""</f>
        <v/>
      </c>
      <c r="H1336">
        <f>"High"</f>
        <v/>
      </c>
      <c r="I1336">
        <f>TRIM(IF(LEN(IF(LEN(INDEX('Providers'!$J$4:$J$503,333))=0,"",INDEX('Providers'!$J$4:$J$503,333)))=0,"","CSR no.: "&amp;IF(LEN(INDEX('Providers'!$J$4:$J$503,333))=0,"",INDEX('Providers'!$J$4:$J$503,333))&amp;". ")&amp;IF(LEN(IF(LEN(INDEX('Providers'!$C$4:$C$503,333))=0,"",INDEX('Providers'!$C$4:$C$503,333)))=0,"","NPI: "&amp;IF(LEN(INDEX('Providers'!$C$4:$C$503,333))=0,"",INDEX('Providers'!$C$4:$C$503,333))&amp;". "))</f>
        <v/>
      </c>
      <c r="J1336">
        <f>IF(LEN(INDEX('Providers'!$AJ$4:$AJ$503,333))=0,"",INDEX('Providers'!$AJ$4:$AJ$503,333))</f>
        <v/>
      </c>
      <c r="K1336">
        <f>IF(LEN(INDEX('Providers'!$AI$4:$AI$503,333))=0,"",INDEX('Providers'!$AI$4:$AI$503,333))</f>
        <v/>
      </c>
    </row>
    <row r="1337">
      <c r="A1337">
        <f>IF(AND(LEN('Providers'!A337)&gt;0,ISNUMBER('Providers'!K337)),1,0)</f>
        <v/>
      </c>
      <c r="B1337">
        <f>B1336+A1337</f>
        <v/>
      </c>
      <c r="C1337">
        <f>IF(1334&gt;$B$4503,"",MATCH(1334-0.5,$B$3:$B$4503,1))</f>
        <v/>
      </c>
      <c r="D1337">
        <f>"State CSR ("&amp;IF(LEN(INDEX('Providers'!$E$4:$E$503,334))=0,"",INDEX('Providers'!$E$4:$E$503,334))&amp;") – "&amp;IF(LEN(INDEX('Providers'!$A$4:$A$503,334))=0,"",INDEX('Providers'!$A$4:$A$503,334))</f>
        <v/>
      </c>
      <c r="E1337">
        <f>IF(ISNUMBER(INDEX('Providers'!$K$4:$K$503,334)),TEXT(INDEX('Providers'!$K$4:$K$503,334),"yyyy-mm-dd"),"")</f>
        <v/>
      </c>
      <c r="F1337">
        <f>"Registration"</f>
        <v/>
      </c>
      <c r="G1337">
        <f>""</f>
        <v/>
      </c>
      <c r="H1337">
        <f>"High"</f>
        <v/>
      </c>
      <c r="I1337">
        <f>TRIM(IF(LEN(IF(LEN(INDEX('Providers'!$J$4:$J$503,334))=0,"",INDEX('Providers'!$J$4:$J$503,334)))=0,"","CSR no.: "&amp;IF(LEN(INDEX('Providers'!$J$4:$J$503,334))=0,"",INDEX('Providers'!$J$4:$J$503,334))&amp;". ")&amp;IF(LEN(IF(LEN(INDEX('Providers'!$C$4:$C$503,334))=0,"",INDEX('Providers'!$C$4:$C$503,334)))=0,"","NPI: "&amp;IF(LEN(INDEX('Providers'!$C$4:$C$503,334))=0,"",INDEX('Providers'!$C$4:$C$503,334))&amp;". "))</f>
        <v/>
      </c>
      <c r="J1337">
        <f>IF(LEN(INDEX('Providers'!$AJ$4:$AJ$503,334))=0,"",INDEX('Providers'!$AJ$4:$AJ$503,334))</f>
        <v/>
      </c>
      <c r="K1337">
        <f>IF(LEN(INDEX('Providers'!$AI$4:$AI$503,334))=0,"",INDEX('Providers'!$AI$4:$AI$503,334))</f>
        <v/>
      </c>
    </row>
    <row r="1338">
      <c r="A1338">
        <f>IF(AND(LEN('Providers'!A338)&gt;0,ISNUMBER('Providers'!K338)),1,0)</f>
        <v/>
      </c>
      <c r="B1338">
        <f>B1337+A1338</f>
        <v/>
      </c>
      <c r="C1338">
        <f>IF(1335&gt;$B$4503,"",MATCH(1335-0.5,$B$3:$B$4503,1))</f>
        <v/>
      </c>
      <c r="D1338">
        <f>"State CSR ("&amp;IF(LEN(INDEX('Providers'!$E$4:$E$503,335))=0,"",INDEX('Providers'!$E$4:$E$503,335))&amp;") – "&amp;IF(LEN(INDEX('Providers'!$A$4:$A$503,335))=0,"",INDEX('Providers'!$A$4:$A$503,335))</f>
        <v/>
      </c>
      <c r="E1338">
        <f>IF(ISNUMBER(INDEX('Providers'!$K$4:$K$503,335)),TEXT(INDEX('Providers'!$K$4:$K$503,335),"yyyy-mm-dd"),"")</f>
        <v/>
      </c>
      <c r="F1338">
        <f>"Registration"</f>
        <v/>
      </c>
      <c r="G1338">
        <f>""</f>
        <v/>
      </c>
      <c r="H1338">
        <f>"High"</f>
        <v/>
      </c>
      <c r="I1338">
        <f>TRIM(IF(LEN(IF(LEN(INDEX('Providers'!$J$4:$J$503,335))=0,"",INDEX('Providers'!$J$4:$J$503,335)))=0,"","CSR no.: "&amp;IF(LEN(INDEX('Providers'!$J$4:$J$503,335))=0,"",INDEX('Providers'!$J$4:$J$503,335))&amp;". ")&amp;IF(LEN(IF(LEN(INDEX('Providers'!$C$4:$C$503,335))=0,"",INDEX('Providers'!$C$4:$C$503,335)))=0,"","NPI: "&amp;IF(LEN(INDEX('Providers'!$C$4:$C$503,335))=0,"",INDEX('Providers'!$C$4:$C$503,335))&amp;". "))</f>
        <v/>
      </c>
      <c r="J1338">
        <f>IF(LEN(INDEX('Providers'!$AJ$4:$AJ$503,335))=0,"",INDEX('Providers'!$AJ$4:$AJ$503,335))</f>
        <v/>
      </c>
      <c r="K1338">
        <f>IF(LEN(INDEX('Providers'!$AI$4:$AI$503,335))=0,"",INDEX('Providers'!$AI$4:$AI$503,335))</f>
        <v/>
      </c>
    </row>
    <row r="1339">
      <c r="A1339">
        <f>IF(AND(LEN('Providers'!A339)&gt;0,ISNUMBER('Providers'!K339)),1,0)</f>
        <v/>
      </c>
      <c r="B1339">
        <f>B1338+A1339</f>
        <v/>
      </c>
      <c r="C1339">
        <f>IF(1336&gt;$B$4503,"",MATCH(1336-0.5,$B$3:$B$4503,1))</f>
        <v/>
      </c>
      <c r="D1339">
        <f>"State CSR ("&amp;IF(LEN(INDEX('Providers'!$E$4:$E$503,336))=0,"",INDEX('Providers'!$E$4:$E$503,336))&amp;") – "&amp;IF(LEN(INDEX('Providers'!$A$4:$A$503,336))=0,"",INDEX('Providers'!$A$4:$A$503,336))</f>
        <v/>
      </c>
      <c r="E1339">
        <f>IF(ISNUMBER(INDEX('Providers'!$K$4:$K$503,336)),TEXT(INDEX('Providers'!$K$4:$K$503,336),"yyyy-mm-dd"),"")</f>
        <v/>
      </c>
      <c r="F1339">
        <f>"Registration"</f>
        <v/>
      </c>
      <c r="G1339">
        <f>""</f>
        <v/>
      </c>
      <c r="H1339">
        <f>"High"</f>
        <v/>
      </c>
      <c r="I1339">
        <f>TRIM(IF(LEN(IF(LEN(INDEX('Providers'!$J$4:$J$503,336))=0,"",INDEX('Providers'!$J$4:$J$503,336)))=0,"","CSR no.: "&amp;IF(LEN(INDEX('Providers'!$J$4:$J$503,336))=0,"",INDEX('Providers'!$J$4:$J$503,336))&amp;". ")&amp;IF(LEN(IF(LEN(INDEX('Providers'!$C$4:$C$503,336))=0,"",INDEX('Providers'!$C$4:$C$503,336)))=0,"","NPI: "&amp;IF(LEN(INDEX('Providers'!$C$4:$C$503,336))=0,"",INDEX('Providers'!$C$4:$C$503,336))&amp;". "))</f>
        <v/>
      </c>
      <c r="J1339">
        <f>IF(LEN(INDEX('Providers'!$AJ$4:$AJ$503,336))=0,"",INDEX('Providers'!$AJ$4:$AJ$503,336))</f>
        <v/>
      </c>
      <c r="K1339">
        <f>IF(LEN(INDEX('Providers'!$AI$4:$AI$503,336))=0,"",INDEX('Providers'!$AI$4:$AI$503,336))</f>
        <v/>
      </c>
    </row>
    <row r="1340">
      <c r="A1340">
        <f>IF(AND(LEN('Providers'!A340)&gt;0,ISNUMBER('Providers'!K340)),1,0)</f>
        <v/>
      </c>
      <c r="B1340">
        <f>B1339+A1340</f>
        <v/>
      </c>
      <c r="C1340">
        <f>IF(1337&gt;$B$4503,"",MATCH(1337-0.5,$B$3:$B$4503,1))</f>
        <v/>
      </c>
      <c r="D1340">
        <f>"State CSR ("&amp;IF(LEN(INDEX('Providers'!$E$4:$E$503,337))=0,"",INDEX('Providers'!$E$4:$E$503,337))&amp;") – "&amp;IF(LEN(INDEX('Providers'!$A$4:$A$503,337))=0,"",INDEX('Providers'!$A$4:$A$503,337))</f>
        <v/>
      </c>
      <c r="E1340">
        <f>IF(ISNUMBER(INDEX('Providers'!$K$4:$K$503,337)),TEXT(INDEX('Providers'!$K$4:$K$503,337),"yyyy-mm-dd"),"")</f>
        <v/>
      </c>
      <c r="F1340">
        <f>"Registration"</f>
        <v/>
      </c>
      <c r="G1340">
        <f>""</f>
        <v/>
      </c>
      <c r="H1340">
        <f>"High"</f>
        <v/>
      </c>
      <c r="I1340">
        <f>TRIM(IF(LEN(IF(LEN(INDEX('Providers'!$J$4:$J$503,337))=0,"",INDEX('Providers'!$J$4:$J$503,337)))=0,"","CSR no.: "&amp;IF(LEN(INDEX('Providers'!$J$4:$J$503,337))=0,"",INDEX('Providers'!$J$4:$J$503,337))&amp;". ")&amp;IF(LEN(IF(LEN(INDEX('Providers'!$C$4:$C$503,337))=0,"",INDEX('Providers'!$C$4:$C$503,337)))=0,"","NPI: "&amp;IF(LEN(INDEX('Providers'!$C$4:$C$503,337))=0,"",INDEX('Providers'!$C$4:$C$503,337))&amp;". "))</f>
        <v/>
      </c>
      <c r="J1340">
        <f>IF(LEN(INDEX('Providers'!$AJ$4:$AJ$503,337))=0,"",INDEX('Providers'!$AJ$4:$AJ$503,337))</f>
        <v/>
      </c>
      <c r="K1340">
        <f>IF(LEN(INDEX('Providers'!$AI$4:$AI$503,337))=0,"",INDEX('Providers'!$AI$4:$AI$503,337))</f>
        <v/>
      </c>
    </row>
    <row r="1341">
      <c r="A1341">
        <f>IF(AND(LEN('Providers'!A341)&gt;0,ISNUMBER('Providers'!K341)),1,0)</f>
        <v/>
      </c>
      <c r="B1341">
        <f>B1340+A1341</f>
        <v/>
      </c>
      <c r="C1341">
        <f>IF(1338&gt;$B$4503,"",MATCH(1338-0.5,$B$3:$B$4503,1))</f>
        <v/>
      </c>
      <c r="D1341">
        <f>"State CSR ("&amp;IF(LEN(INDEX('Providers'!$E$4:$E$503,338))=0,"",INDEX('Providers'!$E$4:$E$503,338))&amp;") – "&amp;IF(LEN(INDEX('Providers'!$A$4:$A$503,338))=0,"",INDEX('Providers'!$A$4:$A$503,338))</f>
        <v/>
      </c>
      <c r="E1341">
        <f>IF(ISNUMBER(INDEX('Providers'!$K$4:$K$503,338)),TEXT(INDEX('Providers'!$K$4:$K$503,338),"yyyy-mm-dd"),"")</f>
        <v/>
      </c>
      <c r="F1341">
        <f>"Registration"</f>
        <v/>
      </c>
      <c r="G1341">
        <f>""</f>
        <v/>
      </c>
      <c r="H1341">
        <f>"High"</f>
        <v/>
      </c>
      <c r="I1341">
        <f>TRIM(IF(LEN(IF(LEN(INDEX('Providers'!$J$4:$J$503,338))=0,"",INDEX('Providers'!$J$4:$J$503,338)))=0,"","CSR no.: "&amp;IF(LEN(INDEX('Providers'!$J$4:$J$503,338))=0,"",INDEX('Providers'!$J$4:$J$503,338))&amp;". ")&amp;IF(LEN(IF(LEN(INDEX('Providers'!$C$4:$C$503,338))=0,"",INDEX('Providers'!$C$4:$C$503,338)))=0,"","NPI: "&amp;IF(LEN(INDEX('Providers'!$C$4:$C$503,338))=0,"",INDEX('Providers'!$C$4:$C$503,338))&amp;". "))</f>
        <v/>
      </c>
      <c r="J1341">
        <f>IF(LEN(INDEX('Providers'!$AJ$4:$AJ$503,338))=0,"",INDEX('Providers'!$AJ$4:$AJ$503,338))</f>
        <v/>
      </c>
      <c r="K1341">
        <f>IF(LEN(INDEX('Providers'!$AI$4:$AI$503,338))=0,"",INDEX('Providers'!$AI$4:$AI$503,338))</f>
        <v/>
      </c>
    </row>
    <row r="1342">
      <c r="A1342">
        <f>IF(AND(LEN('Providers'!A342)&gt;0,ISNUMBER('Providers'!K342)),1,0)</f>
        <v/>
      </c>
      <c r="B1342">
        <f>B1341+A1342</f>
        <v/>
      </c>
      <c r="C1342">
        <f>IF(1339&gt;$B$4503,"",MATCH(1339-0.5,$B$3:$B$4503,1))</f>
        <v/>
      </c>
      <c r="D1342">
        <f>"State CSR ("&amp;IF(LEN(INDEX('Providers'!$E$4:$E$503,339))=0,"",INDEX('Providers'!$E$4:$E$503,339))&amp;") – "&amp;IF(LEN(INDEX('Providers'!$A$4:$A$503,339))=0,"",INDEX('Providers'!$A$4:$A$503,339))</f>
        <v/>
      </c>
      <c r="E1342">
        <f>IF(ISNUMBER(INDEX('Providers'!$K$4:$K$503,339)),TEXT(INDEX('Providers'!$K$4:$K$503,339),"yyyy-mm-dd"),"")</f>
        <v/>
      </c>
      <c r="F1342">
        <f>"Registration"</f>
        <v/>
      </c>
      <c r="G1342">
        <f>""</f>
        <v/>
      </c>
      <c r="H1342">
        <f>"High"</f>
        <v/>
      </c>
      <c r="I1342">
        <f>TRIM(IF(LEN(IF(LEN(INDEX('Providers'!$J$4:$J$503,339))=0,"",INDEX('Providers'!$J$4:$J$503,339)))=0,"","CSR no.: "&amp;IF(LEN(INDEX('Providers'!$J$4:$J$503,339))=0,"",INDEX('Providers'!$J$4:$J$503,339))&amp;". ")&amp;IF(LEN(IF(LEN(INDEX('Providers'!$C$4:$C$503,339))=0,"",INDEX('Providers'!$C$4:$C$503,339)))=0,"","NPI: "&amp;IF(LEN(INDEX('Providers'!$C$4:$C$503,339))=0,"",INDEX('Providers'!$C$4:$C$503,339))&amp;". "))</f>
        <v/>
      </c>
      <c r="J1342">
        <f>IF(LEN(INDEX('Providers'!$AJ$4:$AJ$503,339))=0,"",INDEX('Providers'!$AJ$4:$AJ$503,339))</f>
        <v/>
      </c>
      <c r="K1342">
        <f>IF(LEN(INDEX('Providers'!$AI$4:$AI$503,339))=0,"",INDEX('Providers'!$AI$4:$AI$503,339))</f>
        <v/>
      </c>
    </row>
    <row r="1343">
      <c r="A1343">
        <f>IF(AND(LEN('Providers'!A343)&gt;0,ISNUMBER('Providers'!K343)),1,0)</f>
        <v/>
      </c>
      <c r="B1343">
        <f>B1342+A1343</f>
        <v/>
      </c>
      <c r="C1343">
        <f>IF(1340&gt;$B$4503,"",MATCH(1340-0.5,$B$3:$B$4503,1))</f>
        <v/>
      </c>
      <c r="D1343">
        <f>"State CSR ("&amp;IF(LEN(INDEX('Providers'!$E$4:$E$503,340))=0,"",INDEX('Providers'!$E$4:$E$503,340))&amp;") – "&amp;IF(LEN(INDEX('Providers'!$A$4:$A$503,340))=0,"",INDEX('Providers'!$A$4:$A$503,340))</f>
        <v/>
      </c>
      <c r="E1343">
        <f>IF(ISNUMBER(INDEX('Providers'!$K$4:$K$503,340)),TEXT(INDEX('Providers'!$K$4:$K$503,340),"yyyy-mm-dd"),"")</f>
        <v/>
      </c>
      <c r="F1343">
        <f>"Registration"</f>
        <v/>
      </c>
      <c r="G1343">
        <f>""</f>
        <v/>
      </c>
      <c r="H1343">
        <f>"High"</f>
        <v/>
      </c>
      <c r="I1343">
        <f>TRIM(IF(LEN(IF(LEN(INDEX('Providers'!$J$4:$J$503,340))=0,"",INDEX('Providers'!$J$4:$J$503,340)))=0,"","CSR no.: "&amp;IF(LEN(INDEX('Providers'!$J$4:$J$503,340))=0,"",INDEX('Providers'!$J$4:$J$503,340))&amp;". ")&amp;IF(LEN(IF(LEN(INDEX('Providers'!$C$4:$C$503,340))=0,"",INDEX('Providers'!$C$4:$C$503,340)))=0,"","NPI: "&amp;IF(LEN(INDEX('Providers'!$C$4:$C$503,340))=0,"",INDEX('Providers'!$C$4:$C$503,340))&amp;". "))</f>
        <v/>
      </c>
      <c r="J1343">
        <f>IF(LEN(INDEX('Providers'!$AJ$4:$AJ$503,340))=0,"",INDEX('Providers'!$AJ$4:$AJ$503,340))</f>
        <v/>
      </c>
      <c r="K1343">
        <f>IF(LEN(INDEX('Providers'!$AI$4:$AI$503,340))=0,"",INDEX('Providers'!$AI$4:$AI$503,340))</f>
        <v/>
      </c>
    </row>
    <row r="1344">
      <c r="A1344">
        <f>IF(AND(LEN('Providers'!A344)&gt;0,ISNUMBER('Providers'!K344)),1,0)</f>
        <v/>
      </c>
      <c r="B1344">
        <f>B1343+A1344</f>
        <v/>
      </c>
      <c r="C1344">
        <f>IF(1341&gt;$B$4503,"",MATCH(1341-0.5,$B$3:$B$4503,1))</f>
        <v/>
      </c>
      <c r="D1344">
        <f>"State CSR ("&amp;IF(LEN(INDEX('Providers'!$E$4:$E$503,341))=0,"",INDEX('Providers'!$E$4:$E$503,341))&amp;") – "&amp;IF(LEN(INDEX('Providers'!$A$4:$A$503,341))=0,"",INDEX('Providers'!$A$4:$A$503,341))</f>
        <v/>
      </c>
      <c r="E1344">
        <f>IF(ISNUMBER(INDEX('Providers'!$K$4:$K$503,341)),TEXT(INDEX('Providers'!$K$4:$K$503,341),"yyyy-mm-dd"),"")</f>
        <v/>
      </c>
      <c r="F1344">
        <f>"Registration"</f>
        <v/>
      </c>
      <c r="G1344">
        <f>""</f>
        <v/>
      </c>
      <c r="H1344">
        <f>"High"</f>
        <v/>
      </c>
      <c r="I1344">
        <f>TRIM(IF(LEN(IF(LEN(INDEX('Providers'!$J$4:$J$503,341))=0,"",INDEX('Providers'!$J$4:$J$503,341)))=0,"","CSR no.: "&amp;IF(LEN(INDEX('Providers'!$J$4:$J$503,341))=0,"",INDEX('Providers'!$J$4:$J$503,341))&amp;". ")&amp;IF(LEN(IF(LEN(INDEX('Providers'!$C$4:$C$503,341))=0,"",INDEX('Providers'!$C$4:$C$503,341)))=0,"","NPI: "&amp;IF(LEN(INDEX('Providers'!$C$4:$C$503,341))=0,"",INDEX('Providers'!$C$4:$C$503,341))&amp;". "))</f>
        <v/>
      </c>
      <c r="J1344">
        <f>IF(LEN(INDEX('Providers'!$AJ$4:$AJ$503,341))=0,"",INDEX('Providers'!$AJ$4:$AJ$503,341))</f>
        <v/>
      </c>
      <c r="K1344">
        <f>IF(LEN(INDEX('Providers'!$AI$4:$AI$503,341))=0,"",INDEX('Providers'!$AI$4:$AI$503,341))</f>
        <v/>
      </c>
    </row>
    <row r="1345">
      <c r="A1345">
        <f>IF(AND(LEN('Providers'!A345)&gt;0,ISNUMBER('Providers'!K345)),1,0)</f>
        <v/>
      </c>
      <c r="B1345">
        <f>B1344+A1345</f>
        <v/>
      </c>
      <c r="C1345">
        <f>IF(1342&gt;$B$4503,"",MATCH(1342-0.5,$B$3:$B$4503,1))</f>
        <v/>
      </c>
      <c r="D1345">
        <f>"State CSR ("&amp;IF(LEN(INDEX('Providers'!$E$4:$E$503,342))=0,"",INDEX('Providers'!$E$4:$E$503,342))&amp;") – "&amp;IF(LEN(INDEX('Providers'!$A$4:$A$503,342))=0,"",INDEX('Providers'!$A$4:$A$503,342))</f>
        <v/>
      </c>
      <c r="E1345">
        <f>IF(ISNUMBER(INDEX('Providers'!$K$4:$K$503,342)),TEXT(INDEX('Providers'!$K$4:$K$503,342),"yyyy-mm-dd"),"")</f>
        <v/>
      </c>
      <c r="F1345">
        <f>"Registration"</f>
        <v/>
      </c>
      <c r="G1345">
        <f>""</f>
        <v/>
      </c>
      <c r="H1345">
        <f>"High"</f>
        <v/>
      </c>
      <c r="I1345">
        <f>TRIM(IF(LEN(IF(LEN(INDEX('Providers'!$J$4:$J$503,342))=0,"",INDEX('Providers'!$J$4:$J$503,342)))=0,"","CSR no.: "&amp;IF(LEN(INDEX('Providers'!$J$4:$J$503,342))=0,"",INDEX('Providers'!$J$4:$J$503,342))&amp;". ")&amp;IF(LEN(IF(LEN(INDEX('Providers'!$C$4:$C$503,342))=0,"",INDEX('Providers'!$C$4:$C$503,342)))=0,"","NPI: "&amp;IF(LEN(INDEX('Providers'!$C$4:$C$503,342))=0,"",INDEX('Providers'!$C$4:$C$503,342))&amp;". "))</f>
        <v/>
      </c>
      <c r="J1345">
        <f>IF(LEN(INDEX('Providers'!$AJ$4:$AJ$503,342))=0,"",INDEX('Providers'!$AJ$4:$AJ$503,342))</f>
        <v/>
      </c>
      <c r="K1345">
        <f>IF(LEN(INDEX('Providers'!$AI$4:$AI$503,342))=0,"",INDEX('Providers'!$AI$4:$AI$503,342))</f>
        <v/>
      </c>
    </row>
    <row r="1346">
      <c r="A1346">
        <f>IF(AND(LEN('Providers'!A346)&gt;0,ISNUMBER('Providers'!K346)),1,0)</f>
        <v/>
      </c>
      <c r="B1346">
        <f>B1345+A1346</f>
        <v/>
      </c>
      <c r="C1346">
        <f>IF(1343&gt;$B$4503,"",MATCH(1343-0.5,$B$3:$B$4503,1))</f>
        <v/>
      </c>
      <c r="D1346">
        <f>"State CSR ("&amp;IF(LEN(INDEX('Providers'!$E$4:$E$503,343))=0,"",INDEX('Providers'!$E$4:$E$503,343))&amp;") – "&amp;IF(LEN(INDEX('Providers'!$A$4:$A$503,343))=0,"",INDEX('Providers'!$A$4:$A$503,343))</f>
        <v/>
      </c>
      <c r="E1346">
        <f>IF(ISNUMBER(INDEX('Providers'!$K$4:$K$503,343)),TEXT(INDEX('Providers'!$K$4:$K$503,343),"yyyy-mm-dd"),"")</f>
        <v/>
      </c>
      <c r="F1346">
        <f>"Registration"</f>
        <v/>
      </c>
      <c r="G1346">
        <f>""</f>
        <v/>
      </c>
      <c r="H1346">
        <f>"High"</f>
        <v/>
      </c>
      <c r="I1346">
        <f>TRIM(IF(LEN(IF(LEN(INDEX('Providers'!$J$4:$J$503,343))=0,"",INDEX('Providers'!$J$4:$J$503,343)))=0,"","CSR no.: "&amp;IF(LEN(INDEX('Providers'!$J$4:$J$503,343))=0,"",INDEX('Providers'!$J$4:$J$503,343))&amp;". ")&amp;IF(LEN(IF(LEN(INDEX('Providers'!$C$4:$C$503,343))=0,"",INDEX('Providers'!$C$4:$C$503,343)))=0,"","NPI: "&amp;IF(LEN(INDEX('Providers'!$C$4:$C$503,343))=0,"",INDEX('Providers'!$C$4:$C$503,343))&amp;". "))</f>
        <v/>
      </c>
      <c r="J1346">
        <f>IF(LEN(INDEX('Providers'!$AJ$4:$AJ$503,343))=0,"",INDEX('Providers'!$AJ$4:$AJ$503,343))</f>
        <v/>
      </c>
      <c r="K1346">
        <f>IF(LEN(INDEX('Providers'!$AI$4:$AI$503,343))=0,"",INDEX('Providers'!$AI$4:$AI$503,343))</f>
        <v/>
      </c>
    </row>
    <row r="1347">
      <c r="A1347">
        <f>IF(AND(LEN('Providers'!A347)&gt;0,ISNUMBER('Providers'!K347)),1,0)</f>
        <v/>
      </c>
      <c r="B1347">
        <f>B1346+A1347</f>
        <v/>
      </c>
      <c r="C1347">
        <f>IF(1344&gt;$B$4503,"",MATCH(1344-0.5,$B$3:$B$4503,1))</f>
        <v/>
      </c>
      <c r="D1347">
        <f>"State CSR ("&amp;IF(LEN(INDEX('Providers'!$E$4:$E$503,344))=0,"",INDEX('Providers'!$E$4:$E$503,344))&amp;") – "&amp;IF(LEN(INDEX('Providers'!$A$4:$A$503,344))=0,"",INDEX('Providers'!$A$4:$A$503,344))</f>
        <v/>
      </c>
      <c r="E1347">
        <f>IF(ISNUMBER(INDEX('Providers'!$K$4:$K$503,344)),TEXT(INDEX('Providers'!$K$4:$K$503,344),"yyyy-mm-dd"),"")</f>
        <v/>
      </c>
      <c r="F1347">
        <f>"Registration"</f>
        <v/>
      </c>
      <c r="G1347">
        <f>""</f>
        <v/>
      </c>
      <c r="H1347">
        <f>"High"</f>
        <v/>
      </c>
      <c r="I1347">
        <f>TRIM(IF(LEN(IF(LEN(INDEX('Providers'!$J$4:$J$503,344))=0,"",INDEX('Providers'!$J$4:$J$503,344)))=0,"","CSR no.: "&amp;IF(LEN(INDEX('Providers'!$J$4:$J$503,344))=0,"",INDEX('Providers'!$J$4:$J$503,344))&amp;". ")&amp;IF(LEN(IF(LEN(INDEX('Providers'!$C$4:$C$503,344))=0,"",INDEX('Providers'!$C$4:$C$503,344)))=0,"","NPI: "&amp;IF(LEN(INDEX('Providers'!$C$4:$C$503,344))=0,"",INDEX('Providers'!$C$4:$C$503,344))&amp;". "))</f>
        <v/>
      </c>
      <c r="J1347">
        <f>IF(LEN(INDEX('Providers'!$AJ$4:$AJ$503,344))=0,"",INDEX('Providers'!$AJ$4:$AJ$503,344))</f>
        <v/>
      </c>
      <c r="K1347">
        <f>IF(LEN(INDEX('Providers'!$AI$4:$AI$503,344))=0,"",INDEX('Providers'!$AI$4:$AI$503,344))</f>
        <v/>
      </c>
    </row>
    <row r="1348">
      <c r="A1348">
        <f>IF(AND(LEN('Providers'!A348)&gt;0,ISNUMBER('Providers'!K348)),1,0)</f>
        <v/>
      </c>
      <c r="B1348">
        <f>B1347+A1348</f>
        <v/>
      </c>
      <c r="C1348">
        <f>IF(1345&gt;$B$4503,"",MATCH(1345-0.5,$B$3:$B$4503,1))</f>
        <v/>
      </c>
      <c r="D1348">
        <f>"State CSR ("&amp;IF(LEN(INDEX('Providers'!$E$4:$E$503,345))=0,"",INDEX('Providers'!$E$4:$E$503,345))&amp;") – "&amp;IF(LEN(INDEX('Providers'!$A$4:$A$503,345))=0,"",INDEX('Providers'!$A$4:$A$503,345))</f>
        <v/>
      </c>
      <c r="E1348">
        <f>IF(ISNUMBER(INDEX('Providers'!$K$4:$K$503,345)),TEXT(INDEX('Providers'!$K$4:$K$503,345),"yyyy-mm-dd"),"")</f>
        <v/>
      </c>
      <c r="F1348">
        <f>"Registration"</f>
        <v/>
      </c>
      <c r="G1348">
        <f>""</f>
        <v/>
      </c>
      <c r="H1348">
        <f>"High"</f>
        <v/>
      </c>
      <c r="I1348">
        <f>TRIM(IF(LEN(IF(LEN(INDEX('Providers'!$J$4:$J$503,345))=0,"",INDEX('Providers'!$J$4:$J$503,345)))=0,"","CSR no.: "&amp;IF(LEN(INDEX('Providers'!$J$4:$J$503,345))=0,"",INDEX('Providers'!$J$4:$J$503,345))&amp;". ")&amp;IF(LEN(IF(LEN(INDEX('Providers'!$C$4:$C$503,345))=0,"",INDEX('Providers'!$C$4:$C$503,345)))=0,"","NPI: "&amp;IF(LEN(INDEX('Providers'!$C$4:$C$503,345))=0,"",INDEX('Providers'!$C$4:$C$503,345))&amp;". "))</f>
        <v/>
      </c>
      <c r="J1348">
        <f>IF(LEN(INDEX('Providers'!$AJ$4:$AJ$503,345))=0,"",INDEX('Providers'!$AJ$4:$AJ$503,345))</f>
        <v/>
      </c>
      <c r="K1348">
        <f>IF(LEN(INDEX('Providers'!$AI$4:$AI$503,345))=0,"",INDEX('Providers'!$AI$4:$AI$503,345))</f>
        <v/>
      </c>
    </row>
    <row r="1349">
      <c r="A1349">
        <f>IF(AND(LEN('Providers'!A349)&gt;0,ISNUMBER('Providers'!K349)),1,0)</f>
        <v/>
      </c>
      <c r="B1349">
        <f>B1348+A1349</f>
        <v/>
      </c>
      <c r="C1349">
        <f>IF(1346&gt;$B$4503,"",MATCH(1346-0.5,$B$3:$B$4503,1))</f>
        <v/>
      </c>
      <c r="D1349">
        <f>"State CSR ("&amp;IF(LEN(INDEX('Providers'!$E$4:$E$503,346))=0,"",INDEX('Providers'!$E$4:$E$503,346))&amp;") – "&amp;IF(LEN(INDEX('Providers'!$A$4:$A$503,346))=0,"",INDEX('Providers'!$A$4:$A$503,346))</f>
        <v/>
      </c>
      <c r="E1349">
        <f>IF(ISNUMBER(INDEX('Providers'!$K$4:$K$503,346)),TEXT(INDEX('Providers'!$K$4:$K$503,346),"yyyy-mm-dd"),"")</f>
        <v/>
      </c>
      <c r="F1349">
        <f>"Registration"</f>
        <v/>
      </c>
      <c r="G1349">
        <f>""</f>
        <v/>
      </c>
      <c r="H1349">
        <f>"High"</f>
        <v/>
      </c>
      <c r="I1349">
        <f>TRIM(IF(LEN(IF(LEN(INDEX('Providers'!$J$4:$J$503,346))=0,"",INDEX('Providers'!$J$4:$J$503,346)))=0,"","CSR no.: "&amp;IF(LEN(INDEX('Providers'!$J$4:$J$503,346))=0,"",INDEX('Providers'!$J$4:$J$503,346))&amp;". ")&amp;IF(LEN(IF(LEN(INDEX('Providers'!$C$4:$C$503,346))=0,"",INDEX('Providers'!$C$4:$C$503,346)))=0,"","NPI: "&amp;IF(LEN(INDEX('Providers'!$C$4:$C$503,346))=0,"",INDEX('Providers'!$C$4:$C$503,346))&amp;". "))</f>
        <v/>
      </c>
      <c r="J1349">
        <f>IF(LEN(INDEX('Providers'!$AJ$4:$AJ$503,346))=0,"",INDEX('Providers'!$AJ$4:$AJ$503,346))</f>
        <v/>
      </c>
      <c r="K1349">
        <f>IF(LEN(INDEX('Providers'!$AI$4:$AI$503,346))=0,"",INDEX('Providers'!$AI$4:$AI$503,346))</f>
        <v/>
      </c>
    </row>
    <row r="1350">
      <c r="A1350">
        <f>IF(AND(LEN('Providers'!A350)&gt;0,ISNUMBER('Providers'!K350)),1,0)</f>
        <v/>
      </c>
      <c r="B1350">
        <f>B1349+A1350</f>
        <v/>
      </c>
      <c r="C1350">
        <f>IF(1347&gt;$B$4503,"",MATCH(1347-0.5,$B$3:$B$4503,1))</f>
        <v/>
      </c>
      <c r="D1350">
        <f>"State CSR ("&amp;IF(LEN(INDEX('Providers'!$E$4:$E$503,347))=0,"",INDEX('Providers'!$E$4:$E$503,347))&amp;") – "&amp;IF(LEN(INDEX('Providers'!$A$4:$A$503,347))=0,"",INDEX('Providers'!$A$4:$A$503,347))</f>
        <v/>
      </c>
      <c r="E1350">
        <f>IF(ISNUMBER(INDEX('Providers'!$K$4:$K$503,347)),TEXT(INDEX('Providers'!$K$4:$K$503,347),"yyyy-mm-dd"),"")</f>
        <v/>
      </c>
      <c r="F1350">
        <f>"Registration"</f>
        <v/>
      </c>
      <c r="G1350">
        <f>""</f>
        <v/>
      </c>
      <c r="H1350">
        <f>"High"</f>
        <v/>
      </c>
      <c r="I1350">
        <f>TRIM(IF(LEN(IF(LEN(INDEX('Providers'!$J$4:$J$503,347))=0,"",INDEX('Providers'!$J$4:$J$503,347)))=0,"","CSR no.: "&amp;IF(LEN(INDEX('Providers'!$J$4:$J$503,347))=0,"",INDEX('Providers'!$J$4:$J$503,347))&amp;". ")&amp;IF(LEN(IF(LEN(INDEX('Providers'!$C$4:$C$503,347))=0,"",INDEX('Providers'!$C$4:$C$503,347)))=0,"","NPI: "&amp;IF(LEN(INDEX('Providers'!$C$4:$C$503,347))=0,"",INDEX('Providers'!$C$4:$C$503,347))&amp;". "))</f>
        <v/>
      </c>
      <c r="J1350">
        <f>IF(LEN(INDEX('Providers'!$AJ$4:$AJ$503,347))=0,"",INDEX('Providers'!$AJ$4:$AJ$503,347))</f>
        <v/>
      </c>
      <c r="K1350">
        <f>IF(LEN(INDEX('Providers'!$AI$4:$AI$503,347))=0,"",INDEX('Providers'!$AI$4:$AI$503,347))</f>
        <v/>
      </c>
    </row>
    <row r="1351">
      <c r="A1351">
        <f>IF(AND(LEN('Providers'!A351)&gt;0,ISNUMBER('Providers'!K351)),1,0)</f>
        <v/>
      </c>
      <c r="B1351">
        <f>B1350+A1351</f>
        <v/>
      </c>
      <c r="C1351">
        <f>IF(1348&gt;$B$4503,"",MATCH(1348-0.5,$B$3:$B$4503,1))</f>
        <v/>
      </c>
      <c r="D1351">
        <f>"State CSR ("&amp;IF(LEN(INDEX('Providers'!$E$4:$E$503,348))=0,"",INDEX('Providers'!$E$4:$E$503,348))&amp;") – "&amp;IF(LEN(INDEX('Providers'!$A$4:$A$503,348))=0,"",INDEX('Providers'!$A$4:$A$503,348))</f>
        <v/>
      </c>
      <c r="E1351">
        <f>IF(ISNUMBER(INDEX('Providers'!$K$4:$K$503,348)),TEXT(INDEX('Providers'!$K$4:$K$503,348),"yyyy-mm-dd"),"")</f>
        <v/>
      </c>
      <c r="F1351">
        <f>"Registration"</f>
        <v/>
      </c>
      <c r="G1351">
        <f>""</f>
        <v/>
      </c>
      <c r="H1351">
        <f>"High"</f>
        <v/>
      </c>
      <c r="I1351">
        <f>TRIM(IF(LEN(IF(LEN(INDEX('Providers'!$J$4:$J$503,348))=0,"",INDEX('Providers'!$J$4:$J$503,348)))=0,"","CSR no.: "&amp;IF(LEN(INDEX('Providers'!$J$4:$J$503,348))=0,"",INDEX('Providers'!$J$4:$J$503,348))&amp;". ")&amp;IF(LEN(IF(LEN(INDEX('Providers'!$C$4:$C$503,348))=0,"",INDEX('Providers'!$C$4:$C$503,348)))=0,"","NPI: "&amp;IF(LEN(INDEX('Providers'!$C$4:$C$503,348))=0,"",INDEX('Providers'!$C$4:$C$503,348))&amp;". "))</f>
        <v/>
      </c>
      <c r="J1351">
        <f>IF(LEN(INDEX('Providers'!$AJ$4:$AJ$503,348))=0,"",INDEX('Providers'!$AJ$4:$AJ$503,348))</f>
        <v/>
      </c>
      <c r="K1351">
        <f>IF(LEN(INDEX('Providers'!$AI$4:$AI$503,348))=0,"",INDEX('Providers'!$AI$4:$AI$503,348))</f>
        <v/>
      </c>
    </row>
    <row r="1352">
      <c r="A1352">
        <f>IF(AND(LEN('Providers'!A352)&gt;0,ISNUMBER('Providers'!K352)),1,0)</f>
        <v/>
      </c>
      <c r="B1352">
        <f>B1351+A1352</f>
        <v/>
      </c>
      <c r="C1352">
        <f>IF(1349&gt;$B$4503,"",MATCH(1349-0.5,$B$3:$B$4503,1))</f>
        <v/>
      </c>
      <c r="D1352">
        <f>"State CSR ("&amp;IF(LEN(INDEX('Providers'!$E$4:$E$503,349))=0,"",INDEX('Providers'!$E$4:$E$503,349))&amp;") – "&amp;IF(LEN(INDEX('Providers'!$A$4:$A$503,349))=0,"",INDEX('Providers'!$A$4:$A$503,349))</f>
        <v/>
      </c>
      <c r="E1352">
        <f>IF(ISNUMBER(INDEX('Providers'!$K$4:$K$503,349)),TEXT(INDEX('Providers'!$K$4:$K$503,349),"yyyy-mm-dd"),"")</f>
        <v/>
      </c>
      <c r="F1352">
        <f>"Registration"</f>
        <v/>
      </c>
      <c r="G1352">
        <f>""</f>
        <v/>
      </c>
      <c r="H1352">
        <f>"High"</f>
        <v/>
      </c>
      <c r="I1352">
        <f>TRIM(IF(LEN(IF(LEN(INDEX('Providers'!$J$4:$J$503,349))=0,"",INDEX('Providers'!$J$4:$J$503,349)))=0,"","CSR no.: "&amp;IF(LEN(INDEX('Providers'!$J$4:$J$503,349))=0,"",INDEX('Providers'!$J$4:$J$503,349))&amp;". ")&amp;IF(LEN(IF(LEN(INDEX('Providers'!$C$4:$C$503,349))=0,"",INDEX('Providers'!$C$4:$C$503,349)))=0,"","NPI: "&amp;IF(LEN(INDEX('Providers'!$C$4:$C$503,349))=0,"",INDEX('Providers'!$C$4:$C$503,349))&amp;". "))</f>
        <v/>
      </c>
      <c r="J1352">
        <f>IF(LEN(INDEX('Providers'!$AJ$4:$AJ$503,349))=0,"",INDEX('Providers'!$AJ$4:$AJ$503,349))</f>
        <v/>
      </c>
      <c r="K1352">
        <f>IF(LEN(INDEX('Providers'!$AI$4:$AI$503,349))=0,"",INDEX('Providers'!$AI$4:$AI$503,349))</f>
        <v/>
      </c>
    </row>
    <row r="1353">
      <c r="A1353">
        <f>IF(AND(LEN('Providers'!A353)&gt;0,ISNUMBER('Providers'!K353)),1,0)</f>
        <v/>
      </c>
      <c r="B1353">
        <f>B1352+A1353</f>
        <v/>
      </c>
      <c r="C1353">
        <f>IF(1350&gt;$B$4503,"",MATCH(1350-0.5,$B$3:$B$4503,1))</f>
        <v/>
      </c>
      <c r="D1353">
        <f>"State CSR ("&amp;IF(LEN(INDEX('Providers'!$E$4:$E$503,350))=0,"",INDEX('Providers'!$E$4:$E$503,350))&amp;") – "&amp;IF(LEN(INDEX('Providers'!$A$4:$A$503,350))=0,"",INDEX('Providers'!$A$4:$A$503,350))</f>
        <v/>
      </c>
      <c r="E1353">
        <f>IF(ISNUMBER(INDEX('Providers'!$K$4:$K$503,350)),TEXT(INDEX('Providers'!$K$4:$K$503,350),"yyyy-mm-dd"),"")</f>
        <v/>
      </c>
      <c r="F1353">
        <f>"Registration"</f>
        <v/>
      </c>
      <c r="G1353">
        <f>""</f>
        <v/>
      </c>
      <c r="H1353">
        <f>"High"</f>
        <v/>
      </c>
      <c r="I1353">
        <f>TRIM(IF(LEN(IF(LEN(INDEX('Providers'!$J$4:$J$503,350))=0,"",INDEX('Providers'!$J$4:$J$503,350)))=0,"","CSR no.: "&amp;IF(LEN(INDEX('Providers'!$J$4:$J$503,350))=0,"",INDEX('Providers'!$J$4:$J$503,350))&amp;". ")&amp;IF(LEN(IF(LEN(INDEX('Providers'!$C$4:$C$503,350))=0,"",INDEX('Providers'!$C$4:$C$503,350)))=0,"","NPI: "&amp;IF(LEN(INDEX('Providers'!$C$4:$C$503,350))=0,"",INDEX('Providers'!$C$4:$C$503,350))&amp;". "))</f>
        <v/>
      </c>
      <c r="J1353">
        <f>IF(LEN(INDEX('Providers'!$AJ$4:$AJ$503,350))=0,"",INDEX('Providers'!$AJ$4:$AJ$503,350))</f>
        <v/>
      </c>
      <c r="K1353">
        <f>IF(LEN(INDEX('Providers'!$AI$4:$AI$503,350))=0,"",INDEX('Providers'!$AI$4:$AI$503,350))</f>
        <v/>
      </c>
    </row>
    <row r="1354">
      <c r="A1354">
        <f>IF(AND(LEN('Providers'!A354)&gt;0,ISNUMBER('Providers'!K354)),1,0)</f>
        <v/>
      </c>
      <c r="B1354">
        <f>B1353+A1354</f>
        <v/>
      </c>
      <c r="C1354">
        <f>IF(1351&gt;$B$4503,"",MATCH(1351-0.5,$B$3:$B$4503,1))</f>
        <v/>
      </c>
      <c r="D1354">
        <f>"State CSR ("&amp;IF(LEN(INDEX('Providers'!$E$4:$E$503,351))=0,"",INDEX('Providers'!$E$4:$E$503,351))&amp;") – "&amp;IF(LEN(INDEX('Providers'!$A$4:$A$503,351))=0,"",INDEX('Providers'!$A$4:$A$503,351))</f>
        <v/>
      </c>
      <c r="E1354">
        <f>IF(ISNUMBER(INDEX('Providers'!$K$4:$K$503,351)),TEXT(INDEX('Providers'!$K$4:$K$503,351),"yyyy-mm-dd"),"")</f>
        <v/>
      </c>
      <c r="F1354">
        <f>"Registration"</f>
        <v/>
      </c>
      <c r="G1354">
        <f>""</f>
        <v/>
      </c>
      <c r="H1354">
        <f>"High"</f>
        <v/>
      </c>
      <c r="I1354">
        <f>TRIM(IF(LEN(IF(LEN(INDEX('Providers'!$J$4:$J$503,351))=0,"",INDEX('Providers'!$J$4:$J$503,351)))=0,"","CSR no.: "&amp;IF(LEN(INDEX('Providers'!$J$4:$J$503,351))=0,"",INDEX('Providers'!$J$4:$J$503,351))&amp;". ")&amp;IF(LEN(IF(LEN(INDEX('Providers'!$C$4:$C$503,351))=0,"",INDEX('Providers'!$C$4:$C$503,351)))=0,"","NPI: "&amp;IF(LEN(INDEX('Providers'!$C$4:$C$503,351))=0,"",INDEX('Providers'!$C$4:$C$503,351))&amp;". "))</f>
        <v/>
      </c>
      <c r="J1354">
        <f>IF(LEN(INDEX('Providers'!$AJ$4:$AJ$503,351))=0,"",INDEX('Providers'!$AJ$4:$AJ$503,351))</f>
        <v/>
      </c>
      <c r="K1354">
        <f>IF(LEN(INDEX('Providers'!$AI$4:$AI$503,351))=0,"",INDEX('Providers'!$AI$4:$AI$503,351))</f>
        <v/>
      </c>
    </row>
    <row r="1355">
      <c r="A1355">
        <f>IF(AND(LEN('Providers'!A355)&gt;0,ISNUMBER('Providers'!K355)),1,0)</f>
        <v/>
      </c>
      <c r="B1355">
        <f>B1354+A1355</f>
        <v/>
      </c>
      <c r="C1355">
        <f>IF(1352&gt;$B$4503,"",MATCH(1352-0.5,$B$3:$B$4503,1))</f>
        <v/>
      </c>
      <c r="D1355">
        <f>"State CSR ("&amp;IF(LEN(INDEX('Providers'!$E$4:$E$503,352))=0,"",INDEX('Providers'!$E$4:$E$503,352))&amp;") – "&amp;IF(LEN(INDEX('Providers'!$A$4:$A$503,352))=0,"",INDEX('Providers'!$A$4:$A$503,352))</f>
        <v/>
      </c>
      <c r="E1355">
        <f>IF(ISNUMBER(INDEX('Providers'!$K$4:$K$503,352)),TEXT(INDEX('Providers'!$K$4:$K$503,352),"yyyy-mm-dd"),"")</f>
        <v/>
      </c>
      <c r="F1355">
        <f>"Registration"</f>
        <v/>
      </c>
      <c r="G1355">
        <f>""</f>
        <v/>
      </c>
      <c r="H1355">
        <f>"High"</f>
        <v/>
      </c>
      <c r="I1355">
        <f>TRIM(IF(LEN(IF(LEN(INDEX('Providers'!$J$4:$J$503,352))=0,"",INDEX('Providers'!$J$4:$J$503,352)))=0,"","CSR no.: "&amp;IF(LEN(INDEX('Providers'!$J$4:$J$503,352))=0,"",INDEX('Providers'!$J$4:$J$503,352))&amp;". ")&amp;IF(LEN(IF(LEN(INDEX('Providers'!$C$4:$C$503,352))=0,"",INDEX('Providers'!$C$4:$C$503,352)))=0,"","NPI: "&amp;IF(LEN(INDEX('Providers'!$C$4:$C$503,352))=0,"",INDEX('Providers'!$C$4:$C$503,352))&amp;". "))</f>
        <v/>
      </c>
      <c r="J1355">
        <f>IF(LEN(INDEX('Providers'!$AJ$4:$AJ$503,352))=0,"",INDEX('Providers'!$AJ$4:$AJ$503,352))</f>
        <v/>
      </c>
      <c r="K1355">
        <f>IF(LEN(INDEX('Providers'!$AI$4:$AI$503,352))=0,"",INDEX('Providers'!$AI$4:$AI$503,352))</f>
        <v/>
      </c>
    </row>
    <row r="1356">
      <c r="A1356">
        <f>IF(AND(LEN('Providers'!A356)&gt;0,ISNUMBER('Providers'!K356)),1,0)</f>
        <v/>
      </c>
      <c r="B1356">
        <f>B1355+A1356</f>
        <v/>
      </c>
      <c r="C1356">
        <f>IF(1353&gt;$B$4503,"",MATCH(1353-0.5,$B$3:$B$4503,1))</f>
        <v/>
      </c>
      <c r="D1356">
        <f>"State CSR ("&amp;IF(LEN(INDEX('Providers'!$E$4:$E$503,353))=0,"",INDEX('Providers'!$E$4:$E$503,353))&amp;") – "&amp;IF(LEN(INDEX('Providers'!$A$4:$A$503,353))=0,"",INDEX('Providers'!$A$4:$A$503,353))</f>
        <v/>
      </c>
      <c r="E1356">
        <f>IF(ISNUMBER(INDEX('Providers'!$K$4:$K$503,353)),TEXT(INDEX('Providers'!$K$4:$K$503,353),"yyyy-mm-dd"),"")</f>
        <v/>
      </c>
      <c r="F1356">
        <f>"Registration"</f>
        <v/>
      </c>
      <c r="G1356">
        <f>""</f>
        <v/>
      </c>
      <c r="H1356">
        <f>"High"</f>
        <v/>
      </c>
      <c r="I1356">
        <f>TRIM(IF(LEN(IF(LEN(INDEX('Providers'!$J$4:$J$503,353))=0,"",INDEX('Providers'!$J$4:$J$503,353)))=0,"","CSR no.: "&amp;IF(LEN(INDEX('Providers'!$J$4:$J$503,353))=0,"",INDEX('Providers'!$J$4:$J$503,353))&amp;". ")&amp;IF(LEN(IF(LEN(INDEX('Providers'!$C$4:$C$503,353))=0,"",INDEX('Providers'!$C$4:$C$503,353)))=0,"","NPI: "&amp;IF(LEN(INDEX('Providers'!$C$4:$C$503,353))=0,"",INDEX('Providers'!$C$4:$C$503,353))&amp;". "))</f>
        <v/>
      </c>
      <c r="J1356">
        <f>IF(LEN(INDEX('Providers'!$AJ$4:$AJ$503,353))=0,"",INDEX('Providers'!$AJ$4:$AJ$503,353))</f>
        <v/>
      </c>
      <c r="K1356">
        <f>IF(LEN(INDEX('Providers'!$AI$4:$AI$503,353))=0,"",INDEX('Providers'!$AI$4:$AI$503,353))</f>
        <v/>
      </c>
    </row>
    <row r="1357">
      <c r="A1357">
        <f>IF(AND(LEN('Providers'!A357)&gt;0,ISNUMBER('Providers'!K357)),1,0)</f>
        <v/>
      </c>
      <c r="B1357">
        <f>B1356+A1357</f>
        <v/>
      </c>
      <c r="C1357">
        <f>IF(1354&gt;$B$4503,"",MATCH(1354-0.5,$B$3:$B$4503,1))</f>
        <v/>
      </c>
      <c r="D1357">
        <f>"State CSR ("&amp;IF(LEN(INDEX('Providers'!$E$4:$E$503,354))=0,"",INDEX('Providers'!$E$4:$E$503,354))&amp;") – "&amp;IF(LEN(INDEX('Providers'!$A$4:$A$503,354))=0,"",INDEX('Providers'!$A$4:$A$503,354))</f>
        <v/>
      </c>
      <c r="E1357">
        <f>IF(ISNUMBER(INDEX('Providers'!$K$4:$K$503,354)),TEXT(INDEX('Providers'!$K$4:$K$503,354),"yyyy-mm-dd"),"")</f>
        <v/>
      </c>
      <c r="F1357">
        <f>"Registration"</f>
        <v/>
      </c>
      <c r="G1357">
        <f>""</f>
        <v/>
      </c>
      <c r="H1357">
        <f>"High"</f>
        <v/>
      </c>
      <c r="I1357">
        <f>TRIM(IF(LEN(IF(LEN(INDEX('Providers'!$J$4:$J$503,354))=0,"",INDEX('Providers'!$J$4:$J$503,354)))=0,"","CSR no.: "&amp;IF(LEN(INDEX('Providers'!$J$4:$J$503,354))=0,"",INDEX('Providers'!$J$4:$J$503,354))&amp;". ")&amp;IF(LEN(IF(LEN(INDEX('Providers'!$C$4:$C$503,354))=0,"",INDEX('Providers'!$C$4:$C$503,354)))=0,"","NPI: "&amp;IF(LEN(INDEX('Providers'!$C$4:$C$503,354))=0,"",INDEX('Providers'!$C$4:$C$503,354))&amp;". "))</f>
        <v/>
      </c>
      <c r="J1357">
        <f>IF(LEN(INDEX('Providers'!$AJ$4:$AJ$503,354))=0,"",INDEX('Providers'!$AJ$4:$AJ$503,354))</f>
        <v/>
      </c>
      <c r="K1357">
        <f>IF(LEN(INDEX('Providers'!$AI$4:$AI$503,354))=0,"",INDEX('Providers'!$AI$4:$AI$503,354))</f>
        <v/>
      </c>
    </row>
    <row r="1358">
      <c r="A1358">
        <f>IF(AND(LEN('Providers'!A358)&gt;0,ISNUMBER('Providers'!K358)),1,0)</f>
        <v/>
      </c>
      <c r="B1358">
        <f>B1357+A1358</f>
        <v/>
      </c>
      <c r="C1358">
        <f>IF(1355&gt;$B$4503,"",MATCH(1355-0.5,$B$3:$B$4503,1))</f>
        <v/>
      </c>
      <c r="D1358">
        <f>"State CSR ("&amp;IF(LEN(INDEX('Providers'!$E$4:$E$503,355))=0,"",INDEX('Providers'!$E$4:$E$503,355))&amp;") – "&amp;IF(LEN(INDEX('Providers'!$A$4:$A$503,355))=0,"",INDEX('Providers'!$A$4:$A$503,355))</f>
        <v/>
      </c>
      <c r="E1358">
        <f>IF(ISNUMBER(INDEX('Providers'!$K$4:$K$503,355)),TEXT(INDEX('Providers'!$K$4:$K$503,355),"yyyy-mm-dd"),"")</f>
        <v/>
      </c>
      <c r="F1358">
        <f>"Registration"</f>
        <v/>
      </c>
      <c r="G1358">
        <f>""</f>
        <v/>
      </c>
      <c r="H1358">
        <f>"High"</f>
        <v/>
      </c>
      <c r="I1358">
        <f>TRIM(IF(LEN(IF(LEN(INDEX('Providers'!$J$4:$J$503,355))=0,"",INDEX('Providers'!$J$4:$J$503,355)))=0,"","CSR no.: "&amp;IF(LEN(INDEX('Providers'!$J$4:$J$503,355))=0,"",INDEX('Providers'!$J$4:$J$503,355))&amp;". ")&amp;IF(LEN(IF(LEN(INDEX('Providers'!$C$4:$C$503,355))=0,"",INDEX('Providers'!$C$4:$C$503,355)))=0,"","NPI: "&amp;IF(LEN(INDEX('Providers'!$C$4:$C$503,355))=0,"",INDEX('Providers'!$C$4:$C$503,355))&amp;". "))</f>
        <v/>
      </c>
      <c r="J1358">
        <f>IF(LEN(INDEX('Providers'!$AJ$4:$AJ$503,355))=0,"",INDEX('Providers'!$AJ$4:$AJ$503,355))</f>
        <v/>
      </c>
      <c r="K1358">
        <f>IF(LEN(INDEX('Providers'!$AI$4:$AI$503,355))=0,"",INDEX('Providers'!$AI$4:$AI$503,355))</f>
        <v/>
      </c>
    </row>
    <row r="1359">
      <c r="A1359">
        <f>IF(AND(LEN('Providers'!A359)&gt;0,ISNUMBER('Providers'!K359)),1,0)</f>
        <v/>
      </c>
      <c r="B1359">
        <f>B1358+A1359</f>
        <v/>
      </c>
      <c r="C1359">
        <f>IF(1356&gt;$B$4503,"",MATCH(1356-0.5,$B$3:$B$4503,1))</f>
        <v/>
      </c>
      <c r="D1359">
        <f>"State CSR ("&amp;IF(LEN(INDEX('Providers'!$E$4:$E$503,356))=0,"",INDEX('Providers'!$E$4:$E$503,356))&amp;") – "&amp;IF(LEN(INDEX('Providers'!$A$4:$A$503,356))=0,"",INDEX('Providers'!$A$4:$A$503,356))</f>
        <v/>
      </c>
      <c r="E1359">
        <f>IF(ISNUMBER(INDEX('Providers'!$K$4:$K$503,356)),TEXT(INDEX('Providers'!$K$4:$K$503,356),"yyyy-mm-dd"),"")</f>
        <v/>
      </c>
      <c r="F1359">
        <f>"Registration"</f>
        <v/>
      </c>
      <c r="G1359">
        <f>""</f>
        <v/>
      </c>
      <c r="H1359">
        <f>"High"</f>
        <v/>
      </c>
      <c r="I1359">
        <f>TRIM(IF(LEN(IF(LEN(INDEX('Providers'!$J$4:$J$503,356))=0,"",INDEX('Providers'!$J$4:$J$503,356)))=0,"","CSR no.: "&amp;IF(LEN(INDEX('Providers'!$J$4:$J$503,356))=0,"",INDEX('Providers'!$J$4:$J$503,356))&amp;". ")&amp;IF(LEN(IF(LEN(INDEX('Providers'!$C$4:$C$503,356))=0,"",INDEX('Providers'!$C$4:$C$503,356)))=0,"","NPI: "&amp;IF(LEN(INDEX('Providers'!$C$4:$C$503,356))=0,"",INDEX('Providers'!$C$4:$C$503,356))&amp;". "))</f>
        <v/>
      </c>
      <c r="J1359">
        <f>IF(LEN(INDEX('Providers'!$AJ$4:$AJ$503,356))=0,"",INDEX('Providers'!$AJ$4:$AJ$503,356))</f>
        <v/>
      </c>
      <c r="K1359">
        <f>IF(LEN(INDEX('Providers'!$AI$4:$AI$503,356))=0,"",INDEX('Providers'!$AI$4:$AI$503,356))</f>
        <v/>
      </c>
    </row>
    <row r="1360">
      <c r="A1360">
        <f>IF(AND(LEN('Providers'!A360)&gt;0,ISNUMBER('Providers'!K360)),1,0)</f>
        <v/>
      </c>
      <c r="B1360">
        <f>B1359+A1360</f>
        <v/>
      </c>
      <c r="C1360">
        <f>IF(1357&gt;$B$4503,"",MATCH(1357-0.5,$B$3:$B$4503,1))</f>
        <v/>
      </c>
      <c r="D1360">
        <f>"State CSR ("&amp;IF(LEN(INDEX('Providers'!$E$4:$E$503,357))=0,"",INDEX('Providers'!$E$4:$E$503,357))&amp;") – "&amp;IF(LEN(INDEX('Providers'!$A$4:$A$503,357))=0,"",INDEX('Providers'!$A$4:$A$503,357))</f>
        <v/>
      </c>
      <c r="E1360">
        <f>IF(ISNUMBER(INDEX('Providers'!$K$4:$K$503,357)),TEXT(INDEX('Providers'!$K$4:$K$503,357),"yyyy-mm-dd"),"")</f>
        <v/>
      </c>
      <c r="F1360">
        <f>"Registration"</f>
        <v/>
      </c>
      <c r="G1360">
        <f>""</f>
        <v/>
      </c>
      <c r="H1360">
        <f>"High"</f>
        <v/>
      </c>
      <c r="I1360">
        <f>TRIM(IF(LEN(IF(LEN(INDEX('Providers'!$J$4:$J$503,357))=0,"",INDEX('Providers'!$J$4:$J$503,357)))=0,"","CSR no.: "&amp;IF(LEN(INDEX('Providers'!$J$4:$J$503,357))=0,"",INDEX('Providers'!$J$4:$J$503,357))&amp;". ")&amp;IF(LEN(IF(LEN(INDEX('Providers'!$C$4:$C$503,357))=0,"",INDEX('Providers'!$C$4:$C$503,357)))=0,"","NPI: "&amp;IF(LEN(INDEX('Providers'!$C$4:$C$503,357))=0,"",INDEX('Providers'!$C$4:$C$503,357))&amp;". "))</f>
        <v/>
      </c>
      <c r="J1360">
        <f>IF(LEN(INDEX('Providers'!$AJ$4:$AJ$503,357))=0,"",INDEX('Providers'!$AJ$4:$AJ$503,357))</f>
        <v/>
      </c>
      <c r="K1360">
        <f>IF(LEN(INDEX('Providers'!$AI$4:$AI$503,357))=0,"",INDEX('Providers'!$AI$4:$AI$503,357))</f>
        <v/>
      </c>
    </row>
    <row r="1361">
      <c r="A1361">
        <f>IF(AND(LEN('Providers'!A361)&gt;0,ISNUMBER('Providers'!K361)),1,0)</f>
        <v/>
      </c>
      <c r="B1361">
        <f>B1360+A1361</f>
        <v/>
      </c>
      <c r="C1361">
        <f>IF(1358&gt;$B$4503,"",MATCH(1358-0.5,$B$3:$B$4503,1))</f>
        <v/>
      </c>
      <c r="D1361">
        <f>"State CSR ("&amp;IF(LEN(INDEX('Providers'!$E$4:$E$503,358))=0,"",INDEX('Providers'!$E$4:$E$503,358))&amp;") – "&amp;IF(LEN(INDEX('Providers'!$A$4:$A$503,358))=0,"",INDEX('Providers'!$A$4:$A$503,358))</f>
        <v/>
      </c>
      <c r="E1361">
        <f>IF(ISNUMBER(INDEX('Providers'!$K$4:$K$503,358)),TEXT(INDEX('Providers'!$K$4:$K$503,358),"yyyy-mm-dd"),"")</f>
        <v/>
      </c>
      <c r="F1361">
        <f>"Registration"</f>
        <v/>
      </c>
      <c r="G1361">
        <f>""</f>
        <v/>
      </c>
      <c r="H1361">
        <f>"High"</f>
        <v/>
      </c>
      <c r="I1361">
        <f>TRIM(IF(LEN(IF(LEN(INDEX('Providers'!$J$4:$J$503,358))=0,"",INDEX('Providers'!$J$4:$J$503,358)))=0,"","CSR no.: "&amp;IF(LEN(INDEX('Providers'!$J$4:$J$503,358))=0,"",INDEX('Providers'!$J$4:$J$503,358))&amp;". ")&amp;IF(LEN(IF(LEN(INDEX('Providers'!$C$4:$C$503,358))=0,"",INDEX('Providers'!$C$4:$C$503,358)))=0,"","NPI: "&amp;IF(LEN(INDEX('Providers'!$C$4:$C$503,358))=0,"",INDEX('Providers'!$C$4:$C$503,358))&amp;". "))</f>
        <v/>
      </c>
      <c r="J1361">
        <f>IF(LEN(INDEX('Providers'!$AJ$4:$AJ$503,358))=0,"",INDEX('Providers'!$AJ$4:$AJ$503,358))</f>
        <v/>
      </c>
      <c r="K1361">
        <f>IF(LEN(INDEX('Providers'!$AI$4:$AI$503,358))=0,"",INDEX('Providers'!$AI$4:$AI$503,358))</f>
        <v/>
      </c>
    </row>
    <row r="1362">
      <c r="A1362">
        <f>IF(AND(LEN('Providers'!A362)&gt;0,ISNUMBER('Providers'!K362)),1,0)</f>
        <v/>
      </c>
      <c r="B1362">
        <f>B1361+A1362</f>
        <v/>
      </c>
      <c r="C1362">
        <f>IF(1359&gt;$B$4503,"",MATCH(1359-0.5,$B$3:$B$4503,1))</f>
        <v/>
      </c>
      <c r="D1362">
        <f>"State CSR ("&amp;IF(LEN(INDEX('Providers'!$E$4:$E$503,359))=0,"",INDEX('Providers'!$E$4:$E$503,359))&amp;") – "&amp;IF(LEN(INDEX('Providers'!$A$4:$A$503,359))=0,"",INDEX('Providers'!$A$4:$A$503,359))</f>
        <v/>
      </c>
      <c r="E1362">
        <f>IF(ISNUMBER(INDEX('Providers'!$K$4:$K$503,359)),TEXT(INDEX('Providers'!$K$4:$K$503,359),"yyyy-mm-dd"),"")</f>
        <v/>
      </c>
      <c r="F1362">
        <f>"Registration"</f>
        <v/>
      </c>
      <c r="G1362">
        <f>""</f>
        <v/>
      </c>
      <c r="H1362">
        <f>"High"</f>
        <v/>
      </c>
      <c r="I1362">
        <f>TRIM(IF(LEN(IF(LEN(INDEX('Providers'!$J$4:$J$503,359))=0,"",INDEX('Providers'!$J$4:$J$503,359)))=0,"","CSR no.: "&amp;IF(LEN(INDEX('Providers'!$J$4:$J$503,359))=0,"",INDEX('Providers'!$J$4:$J$503,359))&amp;". ")&amp;IF(LEN(IF(LEN(INDEX('Providers'!$C$4:$C$503,359))=0,"",INDEX('Providers'!$C$4:$C$503,359)))=0,"","NPI: "&amp;IF(LEN(INDEX('Providers'!$C$4:$C$503,359))=0,"",INDEX('Providers'!$C$4:$C$503,359))&amp;". "))</f>
        <v/>
      </c>
      <c r="J1362">
        <f>IF(LEN(INDEX('Providers'!$AJ$4:$AJ$503,359))=0,"",INDEX('Providers'!$AJ$4:$AJ$503,359))</f>
        <v/>
      </c>
      <c r="K1362">
        <f>IF(LEN(INDEX('Providers'!$AI$4:$AI$503,359))=0,"",INDEX('Providers'!$AI$4:$AI$503,359))</f>
        <v/>
      </c>
    </row>
    <row r="1363">
      <c r="A1363">
        <f>IF(AND(LEN('Providers'!A363)&gt;0,ISNUMBER('Providers'!K363)),1,0)</f>
        <v/>
      </c>
      <c r="B1363">
        <f>B1362+A1363</f>
        <v/>
      </c>
      <c r="C1363">
        <f>IF(1360&gt;$B$4503,"",MATCH(1360-0.5,$B$3:$B$4503,1))</f>
        <v/>
      </c>
      <c r="D1363">
        <f>"State CSR ("&amp;IF(LEN(INDEX('Providers'!$E$4:$E$503,360))=0,"",INDEX('Providers'!$E$4:$E$503,360))&amp;") – "&amp;IF(LEN(INDEX('Providers'!$A$4:$A$503,360))=0,"",INDEX('Providers'!$A$4:$A$503,360))</f>
        <v/>
      </c>
      <c r="E1363">
        <f>IF(ISNUMBER(INDEX('Providers'!$K$4:$K$503,360)),TEXT(INDEX('Providers'!$K$4:$K$503,360),"yyyy-mm-dd"),"")</f>
        <v/>
      </c>
      <c r="F1363">
        <f>"Registration"</f>
        <v/>
      </c>
      <c r="G1363">
        <f>""</f>
        <v/>
      </c>
      <c r="H1363">
        <f>"High"</f>
        <v/>
      </c>
      <c r="I1363">
        <f>TRIM(IF(LEN(IF(LEN(INDEX('Providers'!$J$4:$J$503,360))=0,"",INDEX('Providers'!$J$4:$J$503,360)))=0,"","CSR no.: "&amp;IF(LEN(INDEX('Providers'!$J$4:$J$503,360))=0,"",INDEX('Providers'!$J$4:$J$503,360))&amp;". ")&amp;IF(LEN(IF(LEN(INDEX('Providers'!$C$4:$C$503,360))=0,"",INDEX('Providers'!$C$4:$C$503,360)))=0,"","NPI: "&amp;IF(LEN(INDEX('Providers'!$C$4:$C$503,360))=0,"",INDEX('Providers'!$C$4:$C$503,360))&amp;". "))</f>
        <v/>
      </c>
      <c r="J1363">
        <f>IF(LEN(INDEX('Providers'!$AJ$4:$AJ$503,360))=0,"",INDEX('Providers'!$AJ$4:$AJ$503,360))</f>
        <v/>
      </c>
      <c r="K1363">
        <f>IF(LEN(INDEX('Providers'!$AI$4:$AI$503,360))=0,"",INDEX('Providers'!$AI$4:$AI$503,360))</f>
        <v/>
      </c>
    </row>
    <row r="1364">
      <c r="A1364">
        <f>IF(AND(LEN('Providers'!A364)&gt;0,ISNUMBER('Providers'!K364)),1,0)</f>
        <v/>
      </c>
      <c r="B1364">
        <f>B1363+A1364</f>
        <v/>
      </c>
      <c r="C1364">
        <f>IF(1361&gt;$B$4503,"",MATCH(1361-0.5,$B$3:$B$4503,1))</f>
        <v/>
      </c>
      <c r="D1364">
        <f>"State CSR ("&amp;IF(LEN(INDEX('Providers'!$E$4:$E$503,361))=0,"",INDEX('Providers'!$E$4:$E$503,361))&amp;") – "&amp;IF(LEN(INDEX('Providers'!$A$4:$A$503,361))=0,"",INDEX('Providers'!$A$4:$A$503,361))</f>
        <v/>
      </c>
      <c r="E1364">
        <f>IF(ISNUMBER(INDEX('Providers'!$K$4:$K$503,361)),TEXT(INDEX('Providers'!$K$4:$K$503,361),"yyyy-mm-dd"),"")</f>
        <v/>
      </c>
      <c r="F1364">
        <f>"Registration"</f>
        <v/>
      </c>
      <c r="G1364">
        <f>""</f>
        <v/>
      </c>
      <c r="H1364">
        <f>"High"</f>
        <v/>
      </c>
      <c r="I1364">
        <f>TRIM(IF(LEN(IF(LEN(INDEX('Providers'!$J$4:$J$503,361))=0,"",INDEX('Providers'!$J$4:$J$503,361)))=0,"","CSR no.: "&amp;IF(LEN(INDEX('Providers'!$J$4:$J$503,361))=0,"",INDEX('Providers'!$J$4:$J$503,361))&amp;". ")&amp;IF(LEN(IF(LEN(INDEX('Providers'!$C$4:$C$503,361))=0,"",INDEX('Providers'!$C$4:$C$503,361)))=0,"","NPI: "&amp;IF(LEN(INDEX('Providers'!$C$4:$C$503,361))=0,"",INDEX('Providers'!$C$4:$C$503,361))&amp;". "))</f>
        <v/>
      </c>
      <c r="J1364">
        <f>IF(LEN(INDEX('Providers'!$AJ$4:$AJ$503,361))=0,"",INDEX('Providers'!$AJ$4:$AJ$503,361))</f>
        <v/>
      </c>
      <c r="K1364">
        <f>IF(LEN(INDEX('Providers'!$AI$4:$AI$503,361))=0,"",INDEX('Providers'!$AI$4:$AI$503,361))</f>
        <v/>
      </c>
    </row>
    <row r="1365">
      <c r="A1365">
        <f>IF(AND(LEN('Providers'!A365)&gt;0,ISNUMBER('Providers'!K365)),1,0)</f>
        <v/>
      </c>
      <c r="B1365">
        <f>B1364+A1365</f>
        <v/>
      </c>
      <c r="C1365">
        <f>IF(1362&gt;$B$4503,"",MATCH(1362-0.5,$B$3:$B$4503,1))</f>
        <v/>
      </c>
      <c r="D1365">
        <f>"State CSR ("&amp;IF(LEN(INDEX('Providers'!$E$4:$E$503,362))=0,"",INDEX('Providers'!$E$4:$E$503,362))&amp;") – "&amp;IF(LEN(INDEX('Providers'!$A$4:$A$503,362))=0,"",INDEX('Providers'!$A$4:$A$503,362))</f>
        <v/>
      </c>
      <c r="E1365">
        <f>IF(ISNUMBER(INDEX('Providers'!$K$4:$K$503,362)),TEXT(INDEX('Providers'!$K$4:$K$503,362),"yyyy-mm-dd"),"")</f>
        <v/>
      </c>
      <c r="F1365">
        <f>"Registration"</f>
        <v/>
      </c>
      <c r="G1365">
        <f>""</f>
        <v/>
      </c>
      <c r="H1365">
        <f>"High"</f>
        <v/>
      </c>
      <c r="I1365">
        <f>TRIM(IF(LEN(IF(LEN(INDEX('Providers'!$J$4:$J$503,362))=0,"",INDEX('Providers'!$J$4:$J$503,362)))=0,"","CSR no.: "&amp;IF(LEN(INDEX('Providers'!$J$4:$J$503,362))=0,"",INDEX('Providers'!$J$4:$J$503,362))&amp;". ")&amp;IF(LEN(IF(LEN(INDEX('Providers'!$C$4:$C$503,362))=0,"",INDEX('Providers'!$C$4:$C$503,362)))=0,"","NPI: "&amp;IF(LEN(INDEX('Providers'!$C$4:$C$503,362))=0,"",INDEX('Providers'!$C$4:$C$503,362))&amp;". "))</f>
        <v/>
      </c>
      <c r="J1365">
        <f>IF(LEN(INDEX('Providers'!$AJ$4:$AJ$503,362))=0,"",INDEX('Providers'!$AJ$4:$AJ$503,362))</f>
        <v/>
      </c>
      <c r="K1365">
        <f>IF(LEN(INDEX('Providers'!$AI$4:$AI$503,362))=0,"",INDEX('Providers'!$AI$4:$AI$503,362))</f>
        <v/>
      </c>
    </row>
    <row r="1366">
      <c r="A1366">
        <f>IF(AND(LEN('Providers'!A366)&gt;0,ISNUMBER('Providers'!K366)),1,0)</f>
        <v/>
      </c>
      <c r="B1366">
        <f>B1365+A1366</f>
        <v/>
      </c>
      <c r="C1366">
        <f>IF(1363&gt;$B$4503,"",MATCH(1363-0.5,$B$3:$B$4503,1))</f>
        <v/>
      </c>
      <c r="D1366">
        <f>"State CSR ("&amp;IF(LEN(INDEX('Providers'!$E$4:$E$503,363))=0,"",INDEX('Providers'!$E$4:$E$503,363))&amp;") – "&amp;IF(LEN(INDEX('Providers'!$A$4:$A$503,363))=0,"",INDEX('Providers'!$A$4:$A$503,363))</f>
        <v/>
      </c>
      <c r="E1366">
        <f>IF(ISNUMBER(INDEX('Providers'!$K$4:$K$503,363)),TEXT(INDEX('Providers'!$K$4:$K$503,363),"yyyy-mm-dd"),"")</f>
        <v/>
      </c>
      <c r="F1366">
        <f>"Registration"</f>
        <v/>
      </c>
      <c r="G1366">
        <f>""</f>
        <v/>
      </c>
      <c r="H1366">
        <f>"High"</f>
        <v/>
      </c>
      <c r="I1366">
        <f>TRIM(IF(LEN(IF(LEN(INDEX('Providers'!$J$4:$J$503,363))=0,"",INDEX('Providers'!$J$4:$J$503,363)))=0,"","CSR no.: "&amp;IF(LEN(INDEX('Providers'!$J$4:$J$503,363))=0,"",INDEX('Providers'!$J$4:$J$503,363))&amp;". ")&amp;IF(LEN(IF(LEN(INDEX('Providers'!$C$4:$C$503,363))=0,"",INDEX('Providers'!$C$4:$C$503,363)))=0,"","NPI: "&amp;IF(LEN(INDEX('Providers'!$C$4:$C$503,363))=0,"",INDEX('Providers'!$C$4:$C$503,363))&amp;". "))</f>
        <v/>
      </c>
      <c r="J1366">
        <f>IF(LEN(INDEX('Providers'!$AJ$4:$AJ$503,363))=0,"",INDEX('Providers'!$AJ$4:$AJ$503,363))</f>
        <v/>
      </c>
      <c r="K1366">
        <f>IF(LEN(INDEX('Providers'!$AI$4:$AI$503,363))=0,"",INDEX('Providers'!$AI$4:$AI$503,363))</f>
        <v/>
      </c>
    </row>
    <row r="1367">
      <c r="A1367">
        <f>IF(AND(LEN('Providers'!A367)&gt;0,ISNUMBER('Providers'!K367)),1,0)</f>
        <v/>
      </c>
      <c r="B1367">
        <f>B1366+A1367</f>
        <v/>
      </c>
      <c r="C1367">
        <f>IF(1364&gt;$B$4503,"",MATCH(1364-0.5,$B$3:$B$4503,1))</f>
        <v/>
      </c>
      <c r="D1367">
        <f>"State CSR ("&amp;IF(LEN(INDEX('Providers'!$E$4:$E$503,364))=0,"",INDEX('Providers'!$E$4:$E$503,364))&amp;") – "&amp;IF(LEN(INDEX('Providers'!$A$4:$A$503,364))=0,"",INDEX('Providers'!$A$4:$A$503,364))</f>
        <v/>
      </c>
      <c r="E1367">
        <f>IF(ISNUMBER(INDEX('Providers'!$K$4:$K$503,364)),TEXT(INDEX('Providers'!$K$4:$K$503,364),"yyyy-mm-dd"),"")</f>
        <v/>
      </c>
      <c r="F1367">
        <f>"Registration"</f>
        <v/>
      </c>
      <c r="G1367">
        <f>""</f>
        <v/>
      </c>
      <c r="H1367">
        <f>"High"</f>
        <v/>
      </c>
      <c r="I1367">
        <f>TRIM(IF(LEN(IF(LEN(INDEX('Providers'!$J$4:$J$503,364))=0,"",INDEX('Providers'!$J$4:$J$503,364)))=0,"","CSR no.: "&amp;IF(LEN(INDEX('Providers'!$J$4:$J$503,364))=0,"",INDEX('Providers'!$J$4:$J$503,364))&amp;". ")&amp;IF(LEN(IF(LEN(INDEX('Providers'!$C$4:$C$503,364))=0,"",INDEX('Providers'!$C$4:$C$503,364)))=0,"","NPI: "&amp;IF(LEN(INDEX('Providers'!$C$4:$C$503,364))=0,"",INDEX('Providers'!$C$4:$C$503,364))&amp;". "))</f>
        <v/>
      </c>
      <c r="J1367">
        <f>IF(LEN(INDEX('Providers'!$AJ$4:$AJ$503,364))=0,"",INDEX('Providers'!$AJ$4:$AJ$503,364))</f>
        <v/>
      </c>
      <c r="K1367">
        <f>IF(LEN(INDEX('Providers'!$AI$4:$AI$503,364))=0,"",INDEX('Providers'!$AI$4:$AI$503,364))</f>
        <v/>
      </c>
    </row>
    <row r="1368">
      <c r="A1368">
        <f>IF(AND(LEN('Providers'!A368)&gt;0,ISNUMBER('Providers'!K368)),1,0)</f>
        <v/>
      </c>
      <c r="B1368">
        <f>B1367+A1368</f>
        <v/>
      </c>
      <c r="C1368">
        <f>IF(1365&gt;$B$4503,"",MATCH(1365-0.5,$B$3:$B$4503,1))</f>
        <v/>
      </c>
      <c r="D1368">
        <f>"State CSR ("&amp;IF(LEN(INDEX('Providers'!$E$4:$E$503,365))=0,"",INDEX('Providers'!$E$4:$E$503,365))&amp;") – "&amp;IF(LEN(INDEX('Providers'!$A$4:$A$503,365))=0,"",INDEX('Providers'!$A$4:$A$503,365))</f>
        <v/>
      </c>
      <c r="E1368">
        <f>IF(ISNUMBER(INDEX('Providers'!$K$4:$K$503,365)),TEXT(INDEX('Providers'!$K$4:$K$503,365),"yyyy-mm-dd"),"")</f>
        <v/>
      </c>
      <c r="F1368">
        <f>"Registration"</f>
        <v/>
      </c>
      <c r="G1368">
        <f>""</f>
        <v/>
      </c>
      <c r="H1368">
        <f>"High"</f>
        <v/>
      </c>
      <c r="I1368">
        <f>TRIM(IF(LEN(IF(LEN(INDEX('Providers'!$J$4:$J$503,365))=0,"",INDEX('Providers'!$J$4:$J$503,365)))=0,"","CSR no.: "&amp;IF(LEN(INDEX('Providers'!$J$4:$J$503,365))=0,"",INDEX('Providers'!$J$4:$J$503,365))&amp;". ")&amp;IF(LEN(IF(LEN(INDEX('Providers'!$C$4:$C$503,365))=0,"",INDEX('Providers'!$C$4:$C$503,365)))=0,"","NPI: "&amp;IF(LEN(INDEX('Providers'!$C$4:$C$503,365))=0,"",INDEX('Providers'!$C$4:$C$503,365))&amp;". "))</f>
        <v/>
      </c>
      <c r="J1368">
        <f>IF(LEN(INDEX('Providers'!$AJ$4:$AJ$503,365))=0,"",INDEX('Providers'!$AJ$4:$AJ$503,365))</f>
        <v/>
      </c>
      <c r="K1368">
        <f>IF(LEN(INDEX('Providers'!$AI$4:$AI$503,365))=0,"",INDEX('Providers'!$AI$4:$AI$503,365))</f>
        <v/>
      </c>
    </row>
    <row r="1369">
      <c r="A1369">
        <f>IF(AND(LEN('Providers'!A369)&gt;0,ISNUMBER('Providers'!K369)),1,0)</f>
        <v/>
      </c>
      <c r="B1369">
        <f>B1368+A1369</f>
        <v/>
      </c>
      <c r="C1369">
        <f>IF(1366&gt;$B$4503,"",MATCH(1366-0.5,$B$3:$B$4503,1))</f>
        <v/>
      </c>
      <c r="D1369">
        <f>"State CSR ("&amp;IF(LEN(INDEX('Providers'!$E$4:$E$503,366))=0,"",INDEX('Providers'!$E$4:$E$503,366))&amp;") – "&amp;IF(LEN(INDEX('Providers'!$A$4:$A$503,366))=0,"",INDEX('Providers'!$A$4:$A$503,366))</f>
        <v/>
      </c>
      <c r="E1369">
        <f>IF(ISNUMBER(INDEX('Providers'!$K$4:$K$503,366)),TEXT(INDEX('Providers'!$K$4:$K$503,366),"yyyy-mm-dd"),"")</f>
        <v/>
      </c>
      <c r="F1369">
        <f>"Registration"</f>
        <v/>
      </c>
      <c r="G1369">
        <f>""</f>
        <v/>
      </c>
      <c r="H1369">
        <f>"High"</f>
        <v/>
      </c>
      <c r="I1369">
        <f>TRIM(IF(LEN(IF(LEN(INDEX('Providers'!$J$4:$J$503,366))=0,"",INDEX('Providers'!$J$4:$J$503,366)))=0,"","CSR no.: "&amp;IF(LEN(INDEX('Providers'!$J$4:$J$503,366))=0,"",INDEX('Providers'!$J$4:$J$503,366))&amp;". ")&amp;IF(LEN(IF(LEN(INDEX('Providers'!$C$4:$C$503,366))=0,"",INDEX('Providers'!$C$4:$C$503,366)))=0,"","NPI: "&amp;IF(LEN(INDEX('Providers'!$C$4:$C$503,366))=0,"",INDEX('Providers'!$C$4:$C$503,366))&amp;". "))</f>
        <v/>
      </c>
      <c r="J1369">
        <f>IF(LEN(INDEX('Providers'!$AJ$4:$AJ$503,366))=0,"",INDEX('Providers'!$AJ$4:$AJ$503,366))</f>
        <v/>
      </c>
      <c r="K1369">
        <f>IF(LEN(INDEX('Providers'!$AI$4:$AI$503,366))=0,"",INDEX('Providers'!$AI$4:$AI$503,366))</f>
        <v/>
      </c>
    </row>
    <row r="1370">
      <c r="A1370">
        <f>IF(AND(LEN('Providers'!A370)&gt;0,ISNUMBER('Providers'!K370)),1,0)</f>
        <v/>
      </c>
      <c r="B1370">
        <f>B1369+A1370</f>
        <v/>
      </c>
      <c r="C1370">
        <f>IF(1367&gt;$B$4503,"",MATCH(1367-0.5,$B$3:$B$4503,1))</f>
        <v/>
      </c>
      <c r="D1370">
        <f>"State CSR ("&amp;IF(LEN(INDEX('Providers'!$E$4:$E$503,367))=0,"",INDEX('Providers'!$E$4:$E$503,367))&amp;") – "&amp;IF(LEN(INDEX('Providers'!$A$4:$A$503,367))=0,"",INDEX('Providers'!$A$4:$A$503,367))</f>
        <v/>
      </c>
      <c r="E1370">
        <f>IF(ISNUMBER(INDEX('Providers'!$K$4:$K$503,367)),TEXT(INDEX('Providers'!$K$4:$K$503,367),"yyyy-mm-dd"),"")</f>
        <v/>
      </c>
      <c r="F1370">
        <f>"Registration"</f>
        <v/>
      </c>
      <c r="G1370">
        <f>""</f>
        <v/>
      </c>
      <c r="H1370">
        <f>"High"</f>
        <v/>
      </c>
      <c r="I1370">
        <f>TRIM(IF(LEN(IF(LEN(INDEX('Providers'!$J$4:$J$503,367))=0,"",INDEX('Providers'!$J$4:$J$503,367)))=0,"","CSR no.: "&amp;IF(LEN(INDEX('Providers'!$J$4:$J$503,367))=0,"",INDEX('Providers'!$J$4:$J$503,367))&amp;". ")&amp;IF(LEN(IF(LEN(INDEX('Providers'!$C$4:$C$503,367))=0,"",INDEX('Providers'!$C$4:$C$503,367)))=0,"","NPI: "&amp;IF(LEN(INDEX('Providers'!$C$4:$C$503,367))=0,"",INDEX('Providers'!$C$4:$C$503,367))&amp;". "))</f>
        <v/>
      </c>
      <c r="J1370">
        <f>IF(LEN(INDEX('Providers'!$AJ$4:$AJ$503,367))=0,"",INDEX('Providers'!$AJ$4:$AJ$503,367))</f>
        <v/>
      </c>
      <c r="K1370">
        <f>IF(LEN(INDEX('Providers'!$AI$4:$AI$503,367))=0,"",INDEX('Providers'!$AI$4:$AI$503,367))</f>
        <v/>
      </c>
    </row>
    <row r="1371">
      <c r="A1371">
        <f>IF(AND(LEN('Providers'!A371)&gt;0,ISNUMBER('Providers'!K371)),1,0)</f>
        <v/>
      </c>
      <c r="B1371">
        <f>B1370+A1371</f>
        <v/>
      </c>
      <c r="C1371">
        <f>IF(1368&gt;$B$4503,"",MATCH(1368-0.5,$B$3:$B$4503,1))</f>
        <v/>
      </c>
      <c r="D1371">
        <f>"State CSR ("&amp;IF(LEN(INDEX('Providers'!$E$4:$E$503,368))=0,"",INDEX('Providers'!$E$4:$E$503,368))&amp;") – "&amp;IF(LEN(INDEX('Providers'!$A$4:$A$503,368))=0,"",INDEX('Providers'!$A$4:$A$503,368))</f>
        <v/>
      </c>
      <c r="E1371">
        <f>IF(ISNUMBER(INDEX('Providers'!$K$4:$K$503,368)),TEXT(INDEX('Providers'!$K$4:$K$503,368),"yyyy-mm-dd"),"")</f>
        <v/>
      </c>
      <c r="F1371">
        <f>"Registration"</f>
        <v/>
      </c>
      <c r="G1371">
        <f>""</f>
        <v/>
      </c>
      <c r="H1371">
        <f>"High"</f>
        <v/>
      </c>
      <c r="I1371">
        <f>TRIM(IF(LEN(IF(LEN(INDEX('Providers'!$J$4:$J$503,368))=0,"",INDEX('Providers'!$J$4:$J$503,368)))=0,"","CSR no.: "&amp;IF(LEN(INDEX('Providers'!$J$4:$J$503,368))=0,"",INDEX('Providers'!$J$4:$J$503,368))&amp;". ")&amp;IF(LEN(IF(LEN(INDEX('Providers'!$C$4:$C$503,368))=0,"",INDEX('Providers'!$C$4:$C$503,368)))=0,"","NPI: "&amp;IF(LEN(INDEX('Providers'!$C$4:$C$503,368))=0,"",INDEX('Providers'!$C$4:$C$503,368))&amp;". "))</f>
        <v/>
      </c>
      <c r="J1371">
        <f>IF(LEN(INDEX('Providers'!$AJ$4:$AJ$503,368))=0,"",INDEX('Providers'!$AJ$4:$AJ$503,368))</f>
        <v/>
      </c>
      <c r="K1371">
        <f>IF(LEN(INDEX('Providers'!$AI$4:$AI$503,368))=0,"",INDEX('Providers'!$AI$4:$AI$503,368))</f>
        <v/>
      </c>
    </row>
    <row r="1372">
      <c r="A1372">
        <f>IF(AND(LEN('Providers'!A372)&gt;0,ISNUMBER('Providers'!K372)),1,0)</f>
        <v/>
      </c>
      <c r="B1372">
        <f>B1371+A1372</f>
        <v/>
      </c>
      <c r="C1372">
        <f>IF(1369&gt;$B$4503,"",MATCH(1369-0.5,$B$3:$B$4503,1))</f>
        <v/>
      </c>
      <c r="D1372">
        <f>"State CSR ("&amp;IF(LEN(INDEX('Providers'!$E$4:$E$503,369))=0,"",INDEX('Providers'!$E$4:$E$503,369))&amp;") – "&amp;IF(LEN(INDEX('Providers'!$A$4:$A$503,369))=0,"",INDEX('Providers'!$A$4:$A$503,369))</f>
        <v/>
      </c>
      <c r="E1372">
        <f>IF(ISNUMBER(INDEX('Providers'!$K$4:$K$503,369)),TEXT(INDEX('Providers'!$K$4:$K$503,369),"yyyy-mm-dd"),"")</f>
        <v/>
      </c>
      <c r="F1372">
        <f>"Registration"</f>
        <v/>
      </c>
      <c r="G1372">
        <f>""</f>
        <v/>
      </c>
      <c r="H1372">
        <f>"High"</f>
        <v/>
      </c>
      <c r="I1372">
        <f>TRIM(IF(LEN(IF(LEN(INDEX('Providers'!$J$4:$J$503,369))=0,"",INDEX('Providers'!$J$4:$J$503,369)))=0,"","CSR no.: "&amp;IF(LEN(INDEX('Providers'!$J$4:$J$503,369))=0,"",INDEX('Providers'!$J$4:$J$503,369))&amp;". ")&amp;IF(LEN(IF(LEN(INDEX('Providers'!$C$4:$C$503,369))=0,"",INDEX('Providers'!$C$4:$C$503,369)))=0,"","NPI: "&amp;IF(LEN(INDEX('Providers'!$C$4:$C$503,369))=0,"",INDEX('Providers'!$C$4:$C$503,369))&amp;". "))</f>
        <v/>
      </c>
      <c r="J1372">
        <f>IF(LEN(INDEX('Providers'!$AJ$4:$AJ$503,369))=0,"",INDEX('Providers'!$AJ$4:$AJ$503,369))</f>
        <v/>
      </c>
      <c r="K1372">
        <f>IF(LEN(INDEX('Providers'!$AI$4:$AI$503,369))=0,"",INDEX('Providers'!$AI$4:$AI$503,369))</f>
        <v/>
      </c>
    </row>
    <row r="1373">
      <c r="A1373">
        <f>IF(AND(LEN('Providers'!A373)&gt;0,ISNUMBER('Providers'!K373)),1,0)</f>
        <v/>
      </c>
      <c r="B1373">
        <f>B1372+A1373</f>
        <v/>
      </c>
      <c r="C1373">
        <f>IF(1370&gt;$B$4503,"",MATCH(1370-0.5,$B$3:$B$4503,1))</f>
        <v/>
      </c>
      <c r="D1373">
        <f>"State CSR ("&amp;IF(LEN(INDEX('Providers'!$E$4:$E$503,370))=0,"",INDEX('Providers'!$E$4:$E$503,370))&amp;") – "&amp;IF(LEN(INDEX('Providers'!$A$4:$A$503,370))=0,"",INDEX('Providers'!$A$4:$A$503,370))</f>
        <v/>
      </c>
      <c r="E1373">
        <f>IF(ISNUMBER(INDEX('Providers'!$K$4:$K$503,370)),TEXT(INDEX('Providers'!$K$4:$K$503,370),"yyyy-mm-dd"),"")</f>
        <v/>
      </c>
      <c r="F1373">
        <f>"Registration"</f>
        <v/>
      </c>
      <c r="G1373">
        <f>""</f>
        <v/>
      </c>
      <c r="H1373">
        <f>"High"</f>
        <v/>
      </c>
      <c r="I1373">
        <f>TRIM(IF(LEN(IF(LEN(INDEX('Providers'!$J$4:$J$503,370))=0,"",INDEX('Providers'!$J$4:$J$503,370)))=0,"","CSR no.: "&amp;IF(LEN(INDEX('Providers'!$J$4:$J$503,370))=0,"",INDEX('Providers'!$J$4:$J$503,370))&amp;". ")&amp;IF(LEN(IF(LEN(INDEX('Providers'!$C$4:$C$503,370))=0,"",INDEX('Providers'!$C$4:$C$503,370)))=0,"","NPI: "&amp;IF(LEN(INDEX('Providers'!$C$4:$C$503,370))=0,"",INDEX('Providers'!$C$4:$C$503,370))&amp;". "))</f>
        <v/>
      </c>
      <c r="J1373">
        <f>IF(LEN(INDEX('Providers'!$AJ$4:$AJ$503,370))=0,"",INDEX('Providers'!$AJ$4:$AJ$503,370))</f>
        <v/>
      </c>
      <c r="K1373">
        <f>IF(LEN(INDEX('Providers'!$AI$4:$AI$503,370))=0,"",INDEX('Providers'!$AI$4:$AI$503,370))</f>
        <v/>
      </c>
    </row>
    <row r="1374">
      <c r="A1374">
        <f>IF(AND(LEN('Providers'!A374)&gt;0,ISNUMBER('Providers'!K374)),1,0)</f>
        <v/>
      </c>
      <c r="B1374">
        <f>B1373+A1374</f>
        <v/>
      </c>
      <c r="C1374">
        <f>IF(1371&gt;$B$4503,"",MATCH(1371-0.5,$B$3:$B$4503,1))</f>
        <v/>
      </c>
      <c r="D1374">
        <f>"State CSR ("&amp;IF(LEN(INDEX('Providers'!$E$4:$E$503,371))=0,"",INDEX('Providers'!$E$4:$E$503,371))&amp;") – "&amp;IF(LEN(INDEX('Providers'!$A$4:$A$503,371))=0,"",INDEX('Providers'!$A$4:$A$503,371))</f>
        <v/>
      </c>
      <c r="E1374">
        <f>IF(ISNUMBER(INDEX('Providers'!$K$4:$K$503,371)),TEXT(INDEX('Providers'!$K$4:$K$503,371),"yyyy-mm-dd"),"")</f>
        <v/>
      </c>
      <c r="F1374">
        <f>"Registration"</f>
        <v/>
      </c>
      <c r="G1374">
        <f>""</f>
        <v/>
      </c>
      <c r="H1374">
        <f>"High"</f>
        <v/>
      </c>
      <c r="I1374">
        <f>TRIM(IF(LEN(IF(LEN(INDEX('Providers'!$J$4:$J$503,371))=0,"",INDEX('Providers'!$J$4:$J$503,371)))=0,"","CSR no.: "&amp;IF(LEN(INDEX('Providers'!$J$4:$J$503,371))=0,"",INDEX('Providers'!$J$4:$J$503,371))&amp;". ")&amp;IF(LEN(IF(LEN(INDEX('Providers'!$C$4:$C$503,371))=0,"",INDEX('Providers'!$C$4:$C$503,371)))=0,"","NPI: "&amp;IF(LEN(INDEX('Providers'!$C$4:$C$503,371))=0,"",INDEX('Providers'!$C$4:$C$503,371))&amp;". "))</f>
        <v/>
      </c>
      <c r="J1374">
        <f>IF(LEN(INDEX('Providers'!$AJ$4:$AJ$503,371))=0,"",INDEX('Providers'!$AJ$4:$AJ$503,371))</f>
        <v/>
      </c>
      <c r="K1374">
        <f>IF(LEN(INDEX('Providers'!$AI$4:$AI$503,371))=0,"",INDEX('Providers'!$AI$4:$AI$503,371))</f>
        <v/>
      </c>
    </row>
    <row r="1375">
      <c r="A1375">
        <f>IF(AND(LEN('Providers'!A375)&gt;0,ISNUMBER('Providers'!K375)),1,0)</f>
        <v/>
      </c>
      <c r="B1375">
        <f>B1374+A1375</f>
        <v/>
      </c>
      <c r="C1375">
        <f>IF(1372&gt;$B$4503,"",MATCH(1372-0.5,$B$3:$B$4503,1))</f>
        <v/>
      </c>
      <c r="D1375">
        <f>"State CSR ("&amp;IF(LEN(INDEX('Providers'!$E$4:$E$503,372))=0,"",INDEX('Providers'!$E$4:$E$503,372))&amp;") – "&amp;IF(LEN(INDEX('Providers'!$A$4:$A$503,372))=0,"",INDEX('Providers'!$A$4:$A$503,372))</f>
        <v/>
      </c>
      <c r="E1375">
        <f>IF(ISNUMBER(INDEX('Providers'!$K$4:$K$503,372)),TEXT(INDEX('Providers'!$K$4:$K$503,372),"yyyy-mm-dd"),"")</f>
        <v/>
      </c>
      <c r="F1375">
        <f>"Registration"</f>
        <v/>
      </c>
      <c r="G1375">
        <f>""</f>
        <v/>
      </c>
      <c r="H1375">
        <f>"High"</f>
        <v/>
      </c>
      <c r="I1375">
        <f>TRIM(IF(LEN(IF(LEN(INDEX('Providers'!$J$4:$J$503,372))=0,"",INDEX('Providers'!$J$4:$J$503,372)))=0,"","CSR no.: "&amp;IF(LEN(INDEX('Providers'!$J$4:$J$503,372))=0,"",INDEX('Providers'!$J$4:$J$503,372))&amp;". ")&amp;IF(LEN(IF(LEN(INDEX('Providers'!$C$4:$C$503,372))=0,"",INDEX('Providers'!$C$4:$C$503,372)))=0,"","NPI: "&amp;IF(LEN(INDEX('Providers'!$C$4:$C$503,372))=0,"",INDEX('Providers'!$C$4:$C$503,372))&amp;". "))</f>
        <v/>
      </c>
      <c r="J1375">
        <f>IF(LEN(INDEX('Providers'!$AJ$4:$AJ$503,372))=0,"",INDEX('Providers'!$AJ$4:$AJ$503,372))</f>
        <v/>
      </c>
      <c r="K1375">
        <f>IF(LEN(INDEX('Providers'!$AI$4:$AI$503,372))=0,"",INDEX('Providers'!$AI$4:$AI$503,372))</f>
        <v/>
      </c>
    </row>
    <row r="1376">
      <c r="A1376">
        <f>IF(AND(LEN('Providers'!A376)&gt;0,ISNUMBER('Providers'!K376)),1,0)</f>
        <v/>
      </c>
      <c r="B1376">
        <f>B1375+A1376</f>
        <v/>
      </c>
      <c r="C1376">
        <f>IF(1373&gt;$B$4503,"",MATCH(1373-0.5,$B$3:$B$4503,1))</f>
        <v/>
      </c>
      <c r="D1376">
        <f>"State CSR ("&amp;IF(LEN(INDEX('Providers'!$E$4:$E$503,373))=0,"",INDEX('Providers'!$E$4:$E$503,373))&amp;") – "&amp;IF(LEN(INDEX('Providers'!$A$4:$A$503,373))=0,"",INDEX('Providers'!$A$4:$A$503,373))</f>
        <v/>
      </c>
      <c r="E1376">
        <f>IF(ISNUMBER(INDEX('Providers'!$K$4:$K$503,373)),TEXT(INDEX('Providers'!$K$4:$K$503,373),"yyyy-mm-dd"),"")</f>
        <v/>
      </c>
      <c r="F1376">
        <f>"Registration"</f>
        <v/>
      </c>
      <c r="G1376">
        <f>""</f>
        <v/>
      </c>
      <c r="H1376">
        <f>"High"</f>
        <v/>
      </c>
      <c r="I1376">
        <f>TRIM(IF(LEN(IF(LEN(INDEX('Providers'!$J$4:$J$503,373))=0,"",INDEX('Providers'!$J$4:$J$503,373)))=0,"","CSR no.: "&amp;IF(LEN(INDEX('Providers'!$J$4:$J$503,373))=0,"",INDEX('Providers'!$J$4:$J$503,373))&amp;". ")&amp;IF(LEN(IF(LEN(INDEX('Providers'!$C$4:$C$503,373))=0,"",INDEX('Providers'!$C$4:$C$503,373)))=0,"","NPI: "&amp;IF(LEN(INDEX('Providers'!$C$4:$C$503,373))=0,"",INDEX('Providers'!$C$4:$C$503,373))&amp;". "))</f>
        <v/>
      </c>
      <c r="J1376">
        <f>IF(LEN(INDEX('Providers'!$AJ$4:$AJ$503,373))=0,"",INDEX('Providers'!$AJ$4:$AJ$503,373))</f>
        <v/>
      </c>
      <c r="K1376">
        <f>IF(LEN(INDEX('Providers'!$AI$4:$AI$503,373))=0,"",INDEX('Providers'!$AI$4:$AI$503,373))</f>
        <v/>
      </c>
    </row>
    <row r="1377">
      <c r="A1377">
        <f>IF(AND(LEN('Providers'!A377)&gt;0,ISNUMBER('Providers'!K377)),1,0)</f>
        <v/>
      </c>
      <c r="B1377">
        <f>B1376+A1377</f>
        <v/>
      </c>
      <c r="C1377">
        <f>IF(1374&gt;$B$4503,"",MATCH(1374-0.5,$B$3:$B$4503,1))</f>
        <v/>
      </c>
      <c r="D1377">
        <f>"State CSR ("&amp;IF(LEN(INDEX('Providers'!$E$4:$E$503,374))=0,"",INDEX('Providers'!$E$4:$E$503,374))&amp;") – "&amp;IF(LEN(INDEX('Providers'!$A$4:$A$503,374))=0,"",INDEX('Providers'!$A$4:$A$503,374))</f>
        <v/>
      </c>
      <c r="E1377">
        <f>IF(ISNUMBER(INDEX('Providers'!$K$4:$K$503,374)),TEXT(INDEX('Providers'!$K$4:$K$503,374),"yyyy-mm-dd"),"")</f>
        <v/>
      </c>
      <c r="F1377">
        <f>"Registration"</f>
        <v/>
      </c>
      <c r="G1377">
        <f>""</f>
        <v/>
      </c>
      <c r="H1377">
        <f>"High"</f>
        <v/>
      </c>
      <c r="I1377">
        <f>TRIM(IF(LEN(IF(LEN(INDEX('Providers'!$J$4:$J$503,374))=0,"",INDEX('Providers'!$J$4:$J$503,374)))=0,"","CSR no.: "&amp;IF(LEN(INDEX('Providers'!$J$4:$J$503,374))=0,"",INDEX('Providers'!$J$4:$J$503,374))&amp;". ")&amp;IF(LEN(IF(LEN(INDEX('Providers'!$C$4:$C$503,374))=0,"",INDEX('Providers'!$C$4:$C$503,374)))=0,"","NPI: "&amp;IF(LEN(INDEX('Providers'!$C$4:$C$503,374))=0,"",INDEX('Providers'!$C$4:$C$503,374))&amp;". "))</f>
        <v/>
      </c>
      <c r="J1377">
        <f>IF(LEN(INDEX('Providers'!$AJ$4:$AJ$503,374))=0,"",INDEX('Providers'!$AJ$4:$AJ$503,374))</f>
        <v/>
      </c>
      <c r="K1377">
        <f>IF(LEN(INDEX('Providers'!$AI$4:$AI$503,374))=0,"",INDEX('Providers'!$AI$4:$AI$503,374))</f>
        <v/>
      </c>
    </row>
    <row r="1378">
      <c r="A1378">
        <f>IF(AND(LEN('Providers'!A378)&gt;0,ISNUMBER('Providers'!K378)),1,0)</f>
        <v/>
      </c>
      <c r="B1378">
        <f>B1377+A1378</f>
        <v/>
      </c>
      <c r="C1378">
        <f>IF(1375&gt;$B$4503,"",MATCH(1375-0.5,$B$3:$B$4503,1))</f>
        <v/>
      </c>
      <c r="D1378">
        <f>"State CSR ("&amp;IF(LEN(INDEX('Providers'!$E$4:$E$503,375))=0,"",INDEX('Providers'!$E$4:$E$503,375))&amp;") – "&amp;IF(LEN(INDEX('Providers'!$A$4:$A$503,375))=0,"",INDEX('Providers'!$A$4:$A$503,375))</f>
        <v/>
      </c>
      <c r="E1378">
        <f>IF(ISNUMBER(INDEX('Providers'!$K$4:$K$503,375)),TEXT(INDEX('Providers'!$K$4:$K$503,375),"yyyy-mm-dd"),"")</f>
        <v/>
      </c>
      <c r="F1378">
        <f>"Registration"</f>
        <v/>
      </c>
      <c r="G1378">
        <f>""</f>
        <v/>
      </c>
      <c r="H1378">
        <f>"High"</f>
        <v/>
      </c>
      <c r="I1378">
        <f>TRIM(IF(LEN(IF(LEN(INDEX('Providers'!$J$4:$J$503,375))=0,"",INDEX('Providers'!$J$4:$J$503,375)))=0,"","CSR no.: "&amp;IF(LEN(INDEX('Providers'!$J$4:$J$503,375))=0,"",INDEX('Providers'!$J$4:$J$503,375))&amp;". ")&amp;IF(LEN(IF(LEN(INDEX('Providers'!$C$4:$C$503,375))=0,"",INDEX('Providers'!$C$4:$C$503,375)))=0,"","NPI: "&amp;IF(LEN(INDEX('Providers'!$C$4:$C$503,375))=0,"",INDEX('Providers'!$C$4:$C$503,375))&amp;". "))</f>
        <v/>
      </c>
      <c r="J1378">
        <f>IF(LEN(INDEX('Providers'!$AJ$4:$AJ$503,375))=0,"",INDEX('Providers'!$AJ$4:$AJ$503,375))</f>
        <v/>
      </c>
      <c r="K1378">
        <f>IF(LEN(INDEX('Providers'!$AI$4:$AI$503,375))=0,"",INDEX('Providers'!$AI$4:$AI$503,375))</f>
        <v/>
      </c>
    </row>
    <row r="1379">
      <c r="A1379">
        <f>IF(AND(LEN('Providers'!A379)&gt;0,ISNUMBER('Providers'!K379)),1,0)</f>
        <v/>
      </c>
      <c r="B1379">
        <f>B1378+A1379</f>
        <v/>
      </c>
      <c r="C1379">
        <f>IF(1376&gt;$B$4503,"",MATCH(1376-0.5,$B$3:$B$4503,1))</f>
        <v/>
      </c>
      <c r="D1379">
        <f>"State CSR ("&amp;IF(LEN(INDEX('Providers'!$E$4:$E$503,376))=0,"",INDEX('Providers'!$E$4:$E$503,376))&amp;") – "&amp;IF(LEN(INDEX('Providers'!$A$4:$A$503,376))=0,"",INDEX('Providers'!$A$4:$A$503,376))</f>
        <v/>
      </c>
      <c r="E1379">
        <f>IF(ISNUMBER(INDEX('Providers'!$K$4:$K$503,376)),TEXT(INDEX('Providers'!$K$4:$K$503,376),"yyyy-mm-dd"),"")</f>
        <v/>
      </c>
      <c r="F1379">
        <f>"Registration"</f>
        <v/>
      </c>
      <c r="G1379">
        <f>""</f>
        <v/>
      </c>
      <c r="H1379">
        <f>"High"</f>
        <v/>
      </c>
      <c r="I1379">
        <f>TRIM(IF(LEN(IF(LEN(INDEX('Providers'!$J$4:$J$503,376))=0,"",INDEX('Providers'!$J$4:$J$503,376)))=0,"","CSR no.: "&amp;IF(LEN(INDEX('Providers'!$J$4:$J$503,376))=0,"",INDEX('Providers'!$J$4:$J$503,376))&amp;". ")&amp;IF(LEN(IF(LEN(INDEX('Providers'!$C$4:$C$503,376))=0,"",INDEX('Providers'!$C$4:$C$503,376)))=0,"","NPI: "&amp;IF(LEN(INDEX('Providers'!$C$4:$C$503,376))=0,"",INDEX('Providers'!$C$4:$C$503,376))&amp;". "))</f>
        <v/>
      </c>
      <c r="J1379">
        <f>IF(LEN(INDEX('Providers'!$AJ$4:$AJ$503,376))=0,"",INDEX('Providers'!$AJ$4:$AJ$503,376))</f>
        <v/>
      </c>
      <c r="K1379">
        <f>IF(LEN(INDEX('Providers'!$AI$4:$AI$503,376))=0,"",INDEX('Providers'!$AI$4:$AI$503,376))</f>
        <v/>
      </c>
    </row>
    <row r="1380">
      <c r="A1380">
        <f>IF(AND(LEN('Providers'!A380)&gt;0,ISNUMBER('Providers'!K380)),1,0)</f>
        <v/>
      </c>
      <c r="B1380">
        <f>B1379+A1380</f>
        <v/>
      </c>
      <c r="C1380">
        <f>IF(1377&gt;$B$4503,"",MATCH(1377-0.5,$B$3:$B$4503,1))</f>
        <v/>
      </c>
      <c r="D1380">
        <f>"State CSR ("&amp;IF(LEN(INDEX('Providers'!$E$4:$E$503,377))=0,"",INDEX('Providers'!$E$4:$E$503,377))&amp;") – "&amp;IF(LEN(INDEX('Providers'!$A$4:$A$503,377))=0,"",INDEX('Providers'!$A$4:$A$503,377))</f>
        <v/>
      </c>
      <c r="E1380">
        <f>IF(ISNUMBER(INDEX('Providers'!$K$4:$K$503,377)),TEXT(INDEX('Providers'!$K$4:$K$503,377),"yyyy-mm-dd"),"")</f>
        <v/>
      </c>
      <c r="F1380">
        <f>"Registration"</f>
        <v/>
      </c>
      <c r="G1380">
        <f>""</f>
        <v/>
      </c>
      <c r="H1380">
        <f>"High"</f>
        <v/>
      </c>
      <c r="I1380">
        <f>TRIM(IF(LEN(IF(LEN(INDEX('Providers'!$J$4:$J$503,377))=0,"",INDEX('Providers'!$J$4:$J$503,377)))=0,"","CSR no.: "&amp;IF(LEN(INDEX('Providers'!$J$4:$J$503,377))=0,"",INDEX('Providers'!$J$4:$J$503,377))&amp;". ")&amp;IF(LEN(IF(LEN(INDEX('Providers'!$C$4:$C$503,377))=0,"",INDEX('Providers'!$C$4:$C$503,377)))=0,"","NPI: "&amp;IF(LEN(INDEX('Providers'!$C$4:$C$503,377))=0,"",INDEX('Providers'!$C$4:$C$503,377))&amp;". "))</f>
        <v/>
      </c>
      <c r="J1380">
        <f>IF(LEN(INDEX('Providers'!$AJ$4:$AJ$503,377))=0,"",INDEX('Providers'!$AJ$4:$AJ$503,377))</f>
        <v/>
      </c>
      <c r="K1380">
        <f>IF(LEN(INDEX('Providers'!$AI$4:$AI$503,377))=0,"",INDEX('Providers'!$AI$4:$AI$503,377))</f>
        <v/>
      </c>
    </row>
    <row r="1381">
      <c r="A1381">
        <f>IF(AND(LEN('Providers'!A381)&gt;0,ISNUMBER('Providers'!K381)),1,0)</f>
        <v/>
      </c>
      <c r="B1381">
        <f>B1380+A1381</f>
        <v/>
      </c>
      <c r="C1381">
        <f>IF(1378&gt;$B$4503,"",MATCH(1378-0.5,$B$3:$B$4503,1))</f>
        <v/>
      </c>
      <c r="D1381">
        <f>"State CSR ("&amp;IF(LEN(INDEX('Providers'!$E$4:$E$503,378))=0,"",INDEX('Providers'!$E$4:$E$503,378))&amp;") – "&amp;IF(LEN(INDEX('Providers'!$A$4:$A$503,378))=0,"",INDEX('Providers'!$A$4:$A$503,378))</f>
        <v/>
      </c>
      <c r="E1381">
        <f>IF(ISNUMBER(INDEX('Providers'!$K$4:$K$503,378)),TEXT(INDEX('Providers'!$K$4:$K$503,378),"yyyy-mm-dd"),"")</f>
        <v/>
      </c>
      <c r="F1381">
        <f>"Registration"</f>
        <v/>
      </c>
      <c r="G1381">
        <f>""</f>
        <v/>
      </c>
      <c r="H1381">
        <f>"High"</f>
        <v/>
      </c>
      <c r="I1381">
        <f>TRIM(IF(LEN(IF(LEN(INDEX('Providers'!$J$4:$J$503,378))=0,"",INDEX('Providers'!$J$4:$J$503,378)))=0,"","CSR no.: "&amp;IF(LEN(INDEX('Providers'!$J$4:$J$503,378))=0,"",INDEX('Providers'!$J$4:$J$503,378))&amp;". ")&amp;IF(LEN(IF(LEN(INDEX('Providers'!$C$4:$C$503,378))=0,"",INDEX('Providers'!$C$4:$C$503,378)))=0,"","NPI: "&amp;IF(LEN(INDEX('Providers'!$C$4:$C$503,378))=0,"",INDEX('Providers'!$C$4:$C$503,378))&amp;". "))</f>
        <v/>
      </c>
      <c r="J1381">
        <f>IF(LEN(INDEX('Providers'!$AJ$4:$AJ$503,378))=0,"",INDEX('Providers'!$AJ$4:$AJ$503,378))</f>
        <v/>
      </c>
      <c r="K1381">
        <f>IF(LEN(INDEX('Providers'!$AI$4:$AI$503,378))=0,"",INDEX('Providers'!$AI$4:$AI$503,378))</f>
        <v/>
      </c>
    </row>
    <row r="1382">
      <c r="A1382">
        <f>IF(AND(LEN('Providers'!A382)&gt;0,ISNUMBER('Providers'!K382)),1,0)</f>
        <v/>
      </c>
      <c r="B1382">
        <f>B1381+A1382</f>
        <v/>
      </c>
      <c r="C1382">
        <f>IF(1379&gt;$B$4503,"",MATCH(1379-0.5,$B$3:$B$4503,1))</f>
        <v/>
      </c>
      <c r="D1382">
        <f>"State CSR ("&amp;IF(LEN(INDEX('Providers'!$E$4:$E$503,379))=0,"",INDEX('Providers'!$E$4:$E$503,379))&amp;") – "&amp;IF(LEN(INDEX('Providers'!$A$4:$A$503,379))=0,"",INDEX('Providers'!$A$4:$A$503,379))</f>
        <v/>
      </c>
      <c r="E1382">
        <f>IF(ISNUMBER(INDEX('Providers'!$K$4:$K$503,379)),TEXT(INDEX('Providers'!$K$4:$K$503,379),"yyyy-mm-dd"),"")</f>
        <v/>
      </c>
      <c r="F1382">
        <f>"Registration"</f>
        <v/>
      </c>
      <c r="G1382">
        <f>""</f>
        <v/>
      </c>
      <c r="H1382">
        <f>"High"</f>
        <v/>
      </c>
      <c r="I1382">
        <f>TRIM(IF(LEN(IF(LEN(INDEX('Providers'!$J$4:$J$503,379))=0,"",INDEX('Providers'!$J$4:$J$503,379)))=0,"","CSR no.: "&amp;IF(LEN(INDEX('Providers'!$J$4:$J$503,379))=0,"",INDEX('Providers'!$J$4:$J$503,379))&amp;". ")&amp;IF(LEN(IF(LEN(INDEX('Providers'!$C$4:$C$503,379))=0,"",INDEX('Providers'!$C$4:$C$503,379)))=0,"","NPI: "&amp;IF(LEN(INDEX('Providers'!$C$4:$C$503,379))=0,"",INDEX('Providers'!$C$4:$C$503,379))&amp;". "))</f>
        <v/>
      </c>
      <c r="J1382">
        <f>IF(LEN(INDEX('Providers'!$AJ$4:$AJ$503,379))=0,"",INDEX('Providers'!$AJ$4:$AJ$503,379))</f>
        <v/>
      </c>
      <c r="K1382">
        <f>IF(LEN(INDEX('Providers'!$AI$4:$AI$503,379))=0,"",INDEX('Providers'!$AI$4:$AI$503,379))</f>
        <v/>
      </c>
    </row>
    <row r="1383">
      <c r="A1383">
        <f>IF(AND(LEN('Providers'!A383)&gt;0,ISNUMBER('Providers'!K383)),1,0)</f>
        <v/>
      </c>
      <c r="B1383">
        <f>B1382+A1383</f>
        <v/>
      </c>
      <c r="C1383">
        <f>IF(1380&gt;$B$4503,"",MATCH(1380-0.5,$B$3:$B$4503,1))</f>
        <v/>
      </c>
      <c r="D1383">
        <f>"State CSR ("&amp;IF(LEN(INDEX('Providers'!$E$4:$E$503,380))=0,"",INDEX('Providers'!$E$4:$E$503,380))&amp;") – "&amp;IF(LEN(INDEX('Providers'!$A$4:$A$503,380))=0,"",INDEX('Providers'!$A$4:$A$503,380))</f>
        <v/>
      </c>
      <c r="E1383">
        <f>IF(ISNUMBER(INDEX('Providers'!$K$4:$K$503,380)),TEXT(INDEX('Providers'!$K$4:$K$503,380),"yyyy-mm-dd"),"")</f>
        <v/>
      </c>
      <c r="F1383">
        <f>"Registration"</f>
        <v/>
      </c>
      <c r="G1383">
        <f>""</f>
        <v/>
      </c>
      <c r="H1383">
        <f>"High"</f>
        <v/>
      </c>
      <c r="I1383">
        <f>TRIM(IF(LEN(IF(LEN(INDEX('Providers'!$J$4:$J$503,380))=0,"",INDEX('Providers'!$J$4:$J$503,380)))=0,"","CSR no.: "&amp;IF(LEN(INDEX('Providers'!$J$4:$J$503,380))=0,"",INDEX('Providers'!$J$4:$J$503,380))&amp;". ")&amp;IF(LEN(IF(LEN(INDEX('Providers'!$C$4:$C$503,380))=0,"",INDEX('Providers'!$C$4:$C$503,380)))=0,"","NPI: "&amp;IF(LEN(INDEX('Providers'!$C$4:$C$503,380))=0,"",INDEX('Providers'!$C$4:$C$503,380))&amp;". "))</f>
        <v/>
      </c>
      <c r="J1383">
        <f>IF(LEN(INDEX('Providers'!$AJ$4:$AJ$503,380))=0,"",INDEX('Providers'!$AJ$4:$AJ$503,380))</f>
        <v/>
      </c>
      <c r="K1383">
        <f>IF(LEN(INDEX('Providers'!$AI$4:$AI$503,380))=0,"",INDEX('Providers'!$AI$4:$AI$503,380))</f>
        <v/>
      </c>
    </row>
    <row r="1384">
      <c r="A1384">
        <f>IF(AND(LEN('Providers'!A384)&gt;0,ISNUMBER('Providers'!K384)),1,0)</f>
        <v/>
      </c>
      <c r="B1384">
        <f>B1383+A1384</f>
        <v/>
      </c>
      <c r="C1384">
        <f>IF(1381&gt;$B$4503,"",MATCH(1381-0.5,$B$3:$B$4503,1))</f>
        <v/>
      </c>
      <c r="D1384">
        <f>"State CSR ("&amp;IF(LEN(INDEX('Providers'!$E$4:$E$503,381))=0,"",INDEX('Providers'!$E$4:$E$503,381))&amp;") – "&amp;IF(LEN(INDEX('Providers'!$A$4:$A$503,381))=0,"",INDEX('Providers'!$A$4:$A$503,381))</f>
        <v/>
      </c>
      <c r="E1384">
        <f>IF(ISNUMBER(INDEX('Providers'!$K$4:$K$503,381)),TEXT(INDEX('Providers'!$K$4:$K$503,381),"yyyy-mm-dd"),"")</f>
        <v/>
      </c>
      <c r="F1384">
        <f>"Registration"</f>
        <v/>
      </c>
      <c r="G1384">
        <f>""</f>
        <v/>
      </c>
      <c r="H1384">
        <f>"High"</f>
        <v/>
      </c>
      <c r="I1384">
        <f>TRIM(IF(LEN(IF(LEN(INDEX('Providers'!$J$4:$J$503,381))=0,"",INDEX('Providers'!$J$4:$J$503,381)))=0,"","CSR no.: "&amp;IF(LEN(INDEX('Providers'!$J$4:$J$503,381))=0,"",INDEX('Providers'!$J$4:$J$503,381))&amp;". ")&amp;IF(LEN(IF(LEN(INDEX('Providers'!$C$4:$C$503,381))=0,"",INDEX('Providers'!$C$4:$C$503,381)))=0,"","NPI: "&amp;IF(LEN(INDEX('Providers'!$C$4:$C$503,381))=0,"",INDEX('Providers'!$C$4:$C$503,381))&amp;". "))</f>
        <v/>
      </c>
      <c r="J1384">
        <f>IF(LEN(INDEX('Providers'!$AJ$4:$AJ$503,381))=0,"",INDEX('Providers'!$AJ$4:$AJ$503,381))</f>
        <v/>
      </c>
      <c r="K1384">
        <f>IF(LEN(INDEX('Providers'!$AI$4:$AI$503,381))=0,"",INDEX('Providers'!$AI$4:$AI$503,381))</f>
        <v/>
      </c>
    </row>
    <row r="1385">
      <c r="A1385">
        <f>IF(AND(LEN('Providers'!A385)&gt;0,ISNUMBER('Providers'!K385)),1,0)</f>
        <v/>
      </c>
      <c r="B1385">
        <f>B1384+A1385</f>
        <v/>
      </c>
      <c r="C1385">
        <f>IF(1382&gt;$B$4503,"",MATCH(1382-0.5,$B$3:$B$4503,1))</f>
        <v/>
      </c>
      <c r="D1385">
        <f>"State CSR ("&amp;IF(LEN(INDEX('Providers'!$E$4:$E$503,382))=0,"",INDEX('Providers'!$E$4:$E$503,382))&amp;") – "&amp;IF(LEN(INDEX('Providers'!$A$4:$A$503,382))=0,"",INDEX('Providers'!$A$4:$A$503,382))</f>
        <v/>
      </c>
      <c r="E1385">
        <f>IF(ISNUMBER(INDEX('Providers'!$K$4:$K$503,382)),TEXT(INDEX('Providers'!$K$4:$K$503,382),"yyyy-mm-dd"),"")</f>
        <v/>
      </c>
      <c r="F1385">
        <f>"Registration"</f>
        <v/>
      </c>
      <c r="G1385">
        <f>""</f>
        <v/>
      </c>
      <c r="H1385">
        <f>"High"</f>
        <v/>
      </c>
      <c r="I1385">
        <f>TRIM(IF(LEN(IF(LEN(INDEX('Providers'!$J$4:$J$503,382))=0,"",INDEX('Providers'!$J$4:$J$503,382)))=0,"","CSR no.: "&amp;IF(LEN(INDEX('Providers'!$J$4:$J$503,382))=0,"",INDEX('Providers'!$J$4:$J$503,382))&amp;". ")&amp;IF(LEN(IF(LEN(INDEX('Providers'!$C$4:$C$503,382))=0,"",INDEX('Providers'!$C$4:$C$503,382)))=0,"","NPI: "&amp;IF(LEN(INDEX('Providers'!$C$4:$C$503,382))=0,"",INDEX('Providers'!$C$4:$C$503,382))&amp;". "))</f>
        <v/>
      </c>
      <c r="J1385">
        <f>IF(LEN(INDEX('Providers'!$AJ$4:$AJ$503,382))=0,"",INDEX('Providers'!$AJ$4:$AJ$503,382))</f>
        <v/>
      </c>
      <c r="K1385">
        <f>IF(LEN(INDEX('Providers'!$AI$4:$AI$503,382))=0,"",INDEX('Providers'!$AI$4:$AI$503,382))</f>
        <v/>
      </c>
    </row>
    <row r="1386">
      <c r="A1386">
        <f>IF(AND(LEN('Providers'!A386)&gt;0,ISNUMBER('Providers'!K386)),1,0)</f>
        <v/>
      </c>
      <c r="B1386">
        <f>B1385+A1386</f>
        <v/>
      </c>
      <c r="C1386">
        <f>IF(1383&gt;$B$4503,"",MATCH(1383-0.5,$B$3:$B$4503,1))</f>
        <v/>
      </c>
      <c r="D1386">
        <f>"State CSR ("&amp;IF(LEN(INDEX('Providers'!$E$4:$E$503,383))=0,"",INDEX('Providers'!$E$4:$E$503,383))&amp;") – "&amp;IF(LEN(INDEX('Providers'!$A$4:$A$503,383))=0,"",INDEX('Providers'!$A$4:$A$503,383))</f>
        <v/>
      </c>
      <c r="E1386">
        <f>IF(ISNUMBER(INDEX('Providers'!$K$4:$K$503,383)),TEXT(INDEX('Providers'!$K$4:$K$503,383),"yyyy-mm-dd"),"")</f>
        <v/>
      </c>
      <c r="F1386">
        <f>"Registration"</f>
        <v/>
      </c>
      <c r="G1386">
        <f>""</f>
        <v/>
      </c>
      <c r="H1386">
        <f>"High"</f>
        <v/>
      </c>
      <c r="I1386">
        <f>TRIM(IF(LEN(IF(LEN(INDEX('Providers'!$J$4:$J$503,383))=0,"",INDEX('Providers'!$J$4:$J$503,383)))=0,"","CSR no.: "&amp;IF(LEN(INDEX('Providers'!$J$4:$J$503,383))=0,"",INDEX('Providers'!$J$4:$J$503,383))&amp;". ")&amp;IF(LEN(IF(LEN(INDEX('Providers'!$C$4:$C$503,383))=0,"",INDEX('Providers'!$C$4:$C$503,383)))=0,"","NPI: "&amp;IF(LEN(INDEX('Providers'!$C$4:$C$503,383))=0,"",INDEX('Providers'!$C$4:$C$503,383))&amp;". "))</f>
        <v/>
      </c>
      <c r="J1386">
        <f>IF(LEN(INDEX('Providers'!$AJ$4:$AJ$503,383))=0,"",INDEX('Providers'!$AJ$4:$AJ$503,383))</f>
        <v/>
      </c>
      <c r="K1386">
        <f>IF(LEN(INDEX('Providers'!$AI$4:$AI$503,383))=0,"",INDEX('Providers'!$AI$4:$AI$503,383))</f>
        <v/>
      </c>
    </row>
    <row r="1387">
      <c r="A1387">
        <f>IF(AND(LEN('Providers'!A387)&gt;0,ISNUMBER('Providers'!K387)),1,0)</f>
        <v/>
      </c>
      <c r="B1387">
        <f>B1386+A1387</f>
        <v/>
      </c>
      <c r="C1387">
        <f>IF(1384&gt;$B$4503,"",MATCH(1384-0.5,$B$3:$B$4503,1))</f>
        <v/>
      </c>
      <c r="D1387">
        <f>"State CSR ("&amp;IF(LEN(INDEX('Providers'!$E$4:$E$503,384))=0,"",INDEX('Providers'!$E$4:$E$503,384))&amp;") – "&amp;IF(LEN(INDEX('Providers'!$A$4:$A$503,384))=0,"",INDEX('Providers'!$A$4:$A$503,384))</f>
        <v/>
      </c>
      <c r="E1387">
        <f>IF(ISNUMBER(INDEX('Providers'!$K$4:$K$503,384)),TEXT(INDEX('Providers'!$K$4:$K$503,384),"yyyy-mm-dd"),"")</f>
        <v/>
      </c>
      <c r="F1387">
        <f>"Registration"</f>
        <v/>
      </c>
      <c r="G1387">
        <f>""</f>
        <v/>
      </c>
      <c r="H1387">
        <f>"High"</f>
        <v/>
      </c>
      <c r="I1387">
        <f>TRIM(IF(LEN(IF(LEN(INDEX('Providers'!$J$4:$J$503,384))=0,"",INDEX('Providers'!$J$4:$J$503,384)))=0,"","CSR no.: "&amp;IF(LEN(INDEX('Providers'!$J$4:$J$503,384))=0,"",INDEX('Providers'!$J$4:$J$503,384))&amp;". ")&amp;IF(LEN(IF(LEN(INDEX('Providers'!$C$4:$C$503,384))=0,"",INDEX('Providers'!$C$4:$C$503,384)))=0,"","NPI: "&amp;IF(LEN(INDEX('Providers'!$C$4:$C$503,384))=0,"",INDEX('Providers'!$C$4:$C$503,384))&amp;". "))</f>
        <v/>
      </c>
      <c r="J1387">
        <f>IF(LEN(INDEX('Providers'!$AJ$4:$AJ$503,384))=0,"",INDEX('Providers'!$AJ$4:$AJ$503,384))</f>
        <v/>
      </c>
      <c r="K1387">
        <f>IF(LEN(INDEX('Providers'!$AI$4:$AI$503,384))=0,"",INDEX('Providers'!$AI$4:$AI$503,384))</f>
        <v/>
      </c>
    </row>
    <row r="1388">
      <c r="A1388">
        <f>IF(AND(LEN('Providers'!A388)&gt;0,ISNUMBER('Providers'!K388)),1,0)</f>
        <v/>
      </c>
      <c r="B1388">
        <f>B1387+A1388</f>
        <v/>
      </c>
      <c r="C1388">
        <f>IF(1385&gt;$B$4503,"",MATCH(1385-0.5,$B$3:$B$4503,1))</f>
        <v/>
      </c>
      <c r="D1388">
        <f>"State CSR ("&amp;IF(LEN(INDEX('Providers'!$E$4:$E$503,385))=0,"",INDEX('Providers'!$E$4:$E$503,385))&amp;") – "&amp;IF(LEN(INDEX('Providers'!$A$4:$A$503,385))=0,"",INDEX('Providers'!$A$4:$A$503,385))</f>
        <v/>
      </c>
      <c r="E1388">
        <f>IF(ISNUMBER(INDEX('Providers'!$K$4:$K$503,385)),TEXT(INDEX('Providers'!$K$4:$K$503,385),"yyyy-mm-dd"),"")</f>
        <v/>
      </c>
      <c r="F1388">
        <f>"Registration"</f>
        <v/>
      </c>
      <c r="G1388">
        <f>""</f>
        <v/>
      </c>
      <c r="H1388">
        <f>"High"</f>
        <v/>
      </c>
      <c r="I1388">
        <f>TRIM(IF(LEN(IF(LEN(INDEX('Providers'!$J$4:$J$503,385))=0,"",INDEX('Providers'!$J$4:$J$503,385)))=0,"","CSR no.: "&amp;IF(LEN(INDEX('Providers'!$J$4:$J$503,385))=0,"",INDEX('Providers'!$J$4:$J$503,385))&amp;". ")&amp;IF(LEN(IF(LEN(INDEX('Providers'!$C$4:$C$503,385))=0,"",INDEX('Providers'!$C$4:$C$503,385)))=0,"","NPI: "&amp;IF(LEN(INDEX('Providers'!$C$4:$C$503,385))=0,"",INDEX('Providers'!$C$4:$C$503,385))&amp;". "))</f>
        <v/>
      </c>
      <c r="J1388">
        <f>IF(LEN(INDEX('Providers'!$AJ$4:$AJ$503,385))=0,"",INDEX('Providers'!$AJ$4:$AJ$503,385))</f>
        <v/>
      </c>
      <c r="K1388">
        <f>IF(LEN(INDEX('Providers'!$AI$4:$AI$503,385))=0,"",INDEX('Providers'!$AI$4:$AI$503,385))</f>
        <v/>
      </c>
    </row>
    <row r="1389">
      <c r="A1389">
        <f>IF(AND(LEN('Providers'!A389)&gt;0,ISNUMBER('Providers'!K389)),1,0)</f>
        <v/>
      </c>
      <c r="B1389">
        <f>B1388+A1389</f>
        <v/>
      </c>
      <c r="C1389">
        <f>IF(1386&gt;$B$4503,"",MATCH(1386-0.5,$B$3:$B$4503,1))</f>
        <v/>
      </c>
      <c r="D1389">
        <f>"State CSR ("&amp;IF(LEN(INDEX('Providers'!$E$4:$E$503,386))=0,"",INDEX('Providers'!$E$4:$E$503,386))&amp;") – "&amp;IF(LEN(INDEX('Providers'!$A$4:$A$503,386))=0,"",INDEX('Providers'!$A$4:$A$503,386))</f>
        <v/>
      </c>
      <c r="E1389">
        <f>IF(ISNUMBER(INDEX('Providers'!$K$4:$K$503,386)),TEXT(INDEX('Providers'!$K$4:$K$503,386),"yyyy-mm-dd"),"")</f>
        <v/>
      </c>
      <c r="F1389">
        <f>"Registration"</f>
        <v/>
      </c>
      <c r="G1389">
        <f>""</f>
        <v/>
      </c>
      <c r="H1389">
        <f>"High"</f>
        <v/>
      </c>
      <c r="I1389">
        <f>TRIM(IF(LEN(IF(LEN(INDEX('Providers'!$J$4:$J$503,386))=0,"",INDEX('Providers'!$J$4:$J$503,386)))=0,"","CSR no.: "&amp;IF(LEN(INDEX('Providers'!$J$4:$J$503,386))=0,"",INDEX('Providers'!$J$4:$J$503,386))&amp;". ")&amp;IF(LEN(IF(LEN(INDEX('Providers'!$C$4:$C$503,386))=0,"",INDEX('Providers'!$C$4:$C$503,386)))=0,"","NPI: "&amp;IF(LEN(INDEX('Providers'!$C$4:$C$503,386))=0,"",INDEX('Providers'!$C$4:$C$503,386))&amp;". "))</f>
        <v/>
      </c>
      <c r="J1389">
        <f>IF(LEN(INDEX('Providers'!$AJ$4:$AJ$503,386))=0,"",INDEX('Providers'!$AJ$4:$AJ$503,386))</f>
        <v/>
      </c>
      <c r="K1389">
        <f>IF(LEN(INDEX('Providers'!$AI$4:$AI$503,386))=0,"",INDEX('Providers'!$AI$4:$AI$503,386))</f>
        <v/>
      </c>
    </row>
    <row r="1390">
      <c r="A1390">
        <f>IF(AND(LEN('Providers'!A390)&gt;0,ISNUMBER('Providers'!K390)),1,0)</f>
        <v/>
      </c>
      <c r="B1390">
        <f>B1389+A1390</f>
        <v/>
      </c>
      <c r="C1390">
        <f>IF(1387&gt;$B$4503,"",MATCH(1387-0.5,$B$3:$B$4503,1))</f>
        <v/>
      </c>
      <c r="D1390">
        <f>"State CSR ("&amp;IF(LEN(INDEX('Providers'!$E$4:$E$503,387))=0,"",INDEX('Providers'!$E$4:$E$503,387))&amp;") – "&amp;IF(LEN(INDEX('Providers'!$A$4:$A$503,387))=0,"",INDEX('Providers'!$A$4:$A$503,387))</f>
        <v/>
      </c>
      <c r="E1390">
        <f>IF(ISNUMBER(INDEX('Providers'!$K$4:$K$503,387)),TEXT(INDEX('Providers'!$K$4:$K$503,387),"yyyy-mm-dd"),"")</f>
        <v/>
      </c>
      <c r="F1390">
        <f>"Registration"</f>
        <v/>
      </c>
      <c r="G1390">
        <f>""</f>
        <v/>
      </c>
      <c r="H1390">
        <f>"High"</f>
        <v/>
      </c>
      <c r="I1390">
        <f>TRIM(IF(LEN(IF(LEN(INDEX('Providers'!$J$4:$J$503,387))=0,"",INDEX('Providers'!$J$4:$J$503,387)))=0,"","CSR no.: "&amp;IF(LEN(INDEX('Providers'!$J$4:$J$503,387))=0,"",INDEX('Providers'!$J$4:$J$503,387))&amp;". ")&amp;IF(LEN(IF(LEN(INDEX('Providers'!$C$4:$C$503,387))=0,"",INDEX('Providers'!$C$4:$C$503,387)))=0,"","NPI: "&amp;IF(LEN(INDEX('Providers'!$C$4:$C$503,387))=0,"",INDEX('Providers'!$C$4:$C$503,387))&amp;". "))</f>
        <v/>
      </c>
      <c r="J1390">
        <f>IF(LEN(INDEX('Providers'!$AJ$4:$AJ$503,387))=0,"",INDEX('Providers'!$AJ$4:$AJ$503,387))</f>
        <v/>
      </c>
      <c r="K1390">
        <f>IF(LEN(INDEX('Providers'!$AI$4:$AI$503,387))=0,"",INDEX('Providers'!$AI$4:$AI$503,387))</f>
        <v/>
      </c>
    </row>
    <row r="1391">
      <c r="A1391">
        <f>IF(AND(LEN('Providers'!A391)&gt;0,ISNUMBER('Providers'!K391)),1,0)</f>
        <v/>
      </c>
      <c r="B1391">
        <f>B1390+A1391</f>
        <v/>
      </c>
      <c r="C1391">
        <f>IF(1388&gt;$B$4503,"",MATCH(1388-0.5,$B$3:$B$4503,1))</f>
        <v/>
      </c>
      <c r="D1391">
        <f>"State CSR ("&amp;IF(LEN(INDEX('Providers'!$E$4:$E$503,388))=0,"",INDEX('Providers'!$E$4:$E$503,388))&amp;") – "&amp;IF(LEN(INDEX('Providers'!$A$4:$A$503,388))=0,"",INDEX('Providers'!$A$4:$A$503,388))</f>
        <v/>
      </c>
      <c r="E1391">
        <f>IF(ISNUMBER(INDEX('Providers'!$K$4:$K$503,388)),TEXT(INDEX('Providers'!$K$4:$K$503,388),"yyyy-mm-dd"),"")</f>
        <v/>
      </c>
      <c r="F1391">
        <f>"Registration"</f>
        <v/>
      </c>
      <c r="G1391">
        <f>""</f>
        <v/>
      </c>
      <c r="H1391">
        <f>"High"</f>
        <v/>
      </c>
      <c r="I1391">
        <f>TRIM(IF(LEN(IF(LEN(INDEX('Providers'!$J$4:$J$503,388))=0,"",INDEX('Providers'!$J$4:$J$503,388)))=0,"","CSR no.: "&amp;IF(LEN(INDEX('Providers'!$J$4:$J$503,388))=0,"",INDEX('Providers'!$J$4:$J$503,388))&amp;". ")&amp;IF(LEN(IF(LEN(INDEX('Providers'!$C$4:$C$503,388))=0,"",INDEX('Providers'!$C$4:$C$503,388)))=0,"","NPI: "&amp;IF(LEN(INDEX('Providers'!$C$4:$C$503,388))=0,"",INDEX('Providers'!$C$4:$C$503,388))&amp;". "))</f>
        <v/>
      </c>
      <c r="J1391">
        <f>IF(LEN(INDEX('Providers'!$AJ$4:$AJ$503,388))=0,"",INDEX('Providers'!$AJ$4:$AJ$503,388))</f>
        <v/>
      </c>
      <c r="K1391">
        <f>IF(LEN(INDEX('Providers'!$AI$4:$AI$503,388))=0,"",INDEX('Providers'!$AI$4:$AI$503,388))</f>
        <v/>
      </c>
    </row>
    <row r="1392">
      <c r="A1392">
        <f>IF(AND(LEN('Providers'!A392)&gt;0,ISNUMBER('Providers'!K392)),1,0)</f>
        <v/>
      </c>
      <c r="B1392">
        <f>B1391+A1392</f>
        <v/>
      </c>
      <c r="C1392">
        <f>IF(1389&gt;$B$4503,"",MATCH(1389-0.5,$B$3:$B$4503,1))</f>
        <v/>
      </c>
      <c r="D1392">
        <f>"State CSR ("&amp;IF(LEN(INDEX('Providers'!$E$4:$E$503,389))=0,"",INDEX('Providers'!$E$4:$E$503,389))&amp;") – "&amp;IF(LEN(INDEX('Providers'!$A$4:$A$503,389))=0,"",INDEX('Providers'!$A$4:$A$503,389))</f>
        <v/>
      </c>
      <c r="E1392">
        <f>IF(ISNUMBER(INDEX('Providers'!$K$4:$K$503,389)),TEXT(INDEX('Providers'!$K$4:$K$503,389),"yyyy-mm-dd"),"")</f>
        <v/>
      </c>
      <c r="F1392">
        <f>"Registration"</f>
        <v/>
      </c>
      <c r="G1392">
        <f>""</f>
        <v/>
      </c>
      <c r="H1392">
        <f>"High"</f>
        <v/>
      </c>
      <c r="I1392">
        <f>TRIM(IF(LEN(IF(LEN(INDEX('Providers'!$J$4:$J$503,389))=0,"",INDEX('Providers'!$J$4:$J$503,389)))=0,"","CSR no.: "&amp;IF(LEN(INDEX('Providers'!$J$4:$J$503,389))=0,"",INDEX('Providers'!$J$4:$J$503,389))&amp;". ")&amp;IF(LEN(IF(LEN(INDEX('Providers'!$C$4:$C$503,389))=0,"",INDEX('Providers'!$C$4:$C$503,389)))=0,"","NPI: "&amp;IF(LEN(INDEX('Providers'!$C$4:$C$503,389))=0,"",INDEX('Providers'!$C$4:$C$503,389))&amp;". "))</f>
        <v/>
      </c>
      <c r="J1392">
        <f>IF(LEN(INDEX('Providers'!$AJ$4:$AJ$503,389))=0,"",INDEX('Providers'!$AJ$4:$AJ$503,389))</f>
        <v/>
      </c>
      <c r="K1392">
        <f>IF(LEN(INDEX('Providers'!$AI$4:$AI$503,389))=0,"",INDEX('Providers'!$AI$4:$AI$503,389))</f>
        <v/>
      </c>
    </row>
    <row r="1393">
      <c r="A1393">
        <f>IF(AND(LEN('Providers'!A393)&gt;0,ISNUMBER('Providers'!K393)),1,0)</f>
        <v/>
      </c>
      <c r="B1393">
        <f>B1392+A1393</f>
        <v/>
      </c>
      <c r="C1393">
        <f>IF(1390&gt;$B$4503,"",MATCH(1390-0.5,$B$3:$B$4503,1))</f>
        <v/>
      </c>
      <c r="D1393">
        <f>"State CSR ("&amp;IF(LEN(INDEX('Providers'!$E$4:$E$503,390))=0,"",INDEX('Providers'!$E$4:$E$503,390))&amp;") – "&amp;IF(LEN(INDEX('Providers'!$A$4:$A$503,390))=0,"",INDEX('Providers'!$A$4:$A$503,390))</f>
        <v/>
      </c>
      <c r="E1393">
        <f>IF(ISNUMBER(INDEX('Providers'!$K$4:$K$503,390)),TEXT(INDEX('Providers'!$K$4:$K$503,390),"yyyy-mm-dd"),"")</f>
        <v/>
      </c>
      <c r="F1393">
        <f>"Registration"</f>
        <v/>
      </c>
      <c r="G1393">
        <f>""</f>
        <v/>
      </c>
      <c r="H1393">
        <f>"High"</f>
        <v/>
      </c>
      <c r="I1393">
        <f>TRIM(IF(LEN(IF(LEN(INDEX('Providers'!$J$4:$J$503,390))=0,"",INDEX('Providers'!$J$4:$J$503,390)))=0,"","CSR no.: "&amp;IF(LEN(INDEX('Providers'!$J$4:$J$503,390))=0,"",INDEX('Providers'!$J$4:$J$503,390))&amp;". ")&amp;IF(LEN(IF(LEN(INDEX('Providers'!$C$4:$C$503,390))=0,"",INDEX('Providers'!$C$4:$C$503,390)))=0,"","NPI: "&amp;IF(LEN(INDEX('Providers'!$C$4:$C$503,390))=0,"",INDEX('Providers'!$C$4:$C$503,390))&amp;". "))</f>
        <v/>
      </c>
      <c r="J1393">
        <f>IF(LEN(INDEX('Providers'!$AJ$4:$AJ$503,390))=0,"",INDEX('Providers'!$AJ$4:$AJ$503,390))</f>
        <v/>
      </c>
      <c r="K1393">
        <f>IF(LEN(INDEX('Providers'!$AI$4:$AI$503,390))=0,"",INDEX('Providers'!$AI$4:$AI$503,390))</f>
        <v/>
      </c>
    </row>
    <row r="1394">
      <c r="A1394">
        <f>IF(AND(LEN('Providers'!A394)&gt;0,ISNUMBER('Providers'!K394)),1,0)</f>
        <v/>
      </c>
      <c r="B1394">
        <f>B1393+A1394</f>
        <v/>
      </c>
      <c r="C1394">
        <f>IF(1391&gt;$B$4503,"",MATCH(1391-0.5,$B$3:$B$4503,1))</f>
        <v/>
      </c>
      <c r="D1394">
        <f>"State CSR ("&amp;IF(LEN(INDEX('Providers'!$E$4:$E$503,391))=0,"",INDEX('Providers'!$E$4:$E$503,391))&amp;") – "&amp;IF(LEN(INDEX('Providers'!$A$4:$A$503,391))=0,"",INDEX('Providers'!$A$4:$A$503,391))</f>
        <v/>
      </c>
      <c r="E1394">
        <f>IF(ISNUMBER(INDEX('Providers'!$K$4:$K$503,391)),TEXT(INDEX('Providers'!$K$4:$K$503,391),"yyyy-mm-dd"),"")</f>
        <v/>
      </c>
      <c r="F1394">
        <f>"Registration"</f>
        <v/>
      </c>
      <c r="G1394">
        <f>""</f>
        <v/>
      </c>
      <c r="H1394">
        <f>"High"</f>
        <v/>
      </c>
      <c r="I1394">
        <f>TRIM(IF(LEN(IF(LEN(INDEX('Providers'!$J$4:$J$503,391))=0,"",INDEX('Providers'!$J$4:$J$503,391)))=0,"","CSR no.: "&amp;IF(LEN(INDEX('Providers'!$J$4:$J$503,391))=0,"",INDEX('Providers'!$J$4:$J$503,391))&amp;". ")&amp;IF(LEN(IF(LEN(INDEX('Providers'!$C$4:$C$503,391))=0,"",INDEX('Providers'!$C$4:$C$503,391)))=0,"","NPI: "&amp;IF(LEN(INDEX('Providers'!$C$4:$C$503,391))=0,"",INDEX('Providers'!$C$4:$C$503,391))&amp;". "))</f>
        <v/>
      </c>
      <c r="J1394">
        <f>IF(LEN(INDEX('Providers'!$AJ$4:$AJ$503,391))=0,"",INDEX('Providers'!$AJ$4:$AJ$503,391))</f>
        <v/>
      </c>
      <c r="K1394">
        <f>IF(LEN(INDEX('Providers'!$AI$4:$AI$503,391))=0,"",INDEX('Providers'!$AI$4:$AI$503,391))</f>
        <v/>
      </c>
    </row>
    <row r="1395">
      <c r="A1395">
        <f>IF(AND(LEN('Providers'!A395)&gt;0,ISNUMBER('Providers'!K395)),1,0)</f>
        <v/>
      </c>
      <c r="B1395">
        <f>B1394+A1395</f>
        <v/>
      </c>
      <c r="C1395">
        <f>IF(1392&gt;$B$4503,"",MATCH(1392-0.5,$B$3:$B$4503,1))</f>
        <v/>
      </c>
      <c r="D1395">
        <f>"State CSR ("&amp;IF(LEN(INDEX('Providers'!$E$4:$E$503,392))=0,"",INDEX('Providers'!$E$4:$E$503,392))&amp;") – "&amp;IF(LEN(INDEX('Providers'!$A$4:$A$503,392))=0,"",INDEX('Providers'!$A$4:$A$503,392))</f>
        <v/>
      </c>
      <c r="E1395">
        <f>IF(ISNUMBER(INDEX('Providers'!$K$4:$K$503,392)),TEXT(INDEX('Providers'!$K$4:$K$503,392),"yyyy-mm-dd"),"")</f>
        <v/>
      </c>
      <c r="F1395">
        <f>"Registration"</f>
        <v/>
      </c>
      <c r="G1395">
        <f>""</f>
        <v/>
      </c>
      <c r="H1395">
        <f>"High"</f>
        <v/>
      </c>
      <c r="I1395">
        <f>TRIM(IF(LEN(IF(LEN(INDEX('Providers'!$J$4:$J$503,392))=0,"",INDEX('Providers'!$J$4:$J$503,392)))=0,"","CSR no.: "&amp;IF(LEN(INDEX('Providers'!$J$4:$J$503,392))=0,"",INDEX('Providers'!$J$4:$J$503,392))&amp;". ")&amp;IF(LEN(IF(LEN(INDEX('Providers'!$C$4:$C$503,392))=0,"",INDEX('Providers'!$C$4:$C$503,392)))=0,"","NPI: "&amp;IF(LEN(INDEX('Providers'!$C$4:$C$503,392))=0,"",INDEX('Providers'!$C$4:$C$503,392))&amp;". "))</f>
        <v/>
      </c>
      <c r="J1395">
        <f>IF(LEN(INDEX('Providers'!$AJ$4:$AJ$503,392))=0,"",INDEX('Providers'!$AJ$4:$AJ$503,392))</f>
        <v/>
      </c>
      <c r="K1395">
        <f>IF(LEN(INDEX('Providers'!$AI$4:$AI$503,392))=0,"",INDEX('Providers'!$AI$4:$AI$503,392))</f>
        <v/>
      </c>
    </row>
    <row r="1396">
      <c r="A1396">
        <f>IF(AND(LEN('Providers'!A396)&gt;0,ISNUMBER('Providers'!K396)),1,0)</f>
        <v/>
      </c>
      <c r="B1396">
        <f>B1395+A1396</f>
        <v/>
      </c>
      <c r="C1396">
        <f>IF(1393&gt;$B$4503,"",MATCH(1393-0.5,$B$3:$B$4503,1))</f>
        <v/>
      </c>
      <c r="D1396">
        <f>"State CSR ("&amp;IF(LEN(INDEX('Providers'!$E$4:$E$503,393))=0,"",INDEX('Providers'!$E$4:$E$503,393))&amp;") – "&amp;IF(LEN(INDEX('Providers'!$A$4:$A$503,393))=0,"",INDEX('Providers'!$A$4:$A$503,393))</f>
        <v/>
      </c>
      <c r="E1396">
        <f>IF(ISNUMBER(INDEX('Providers'!$K$4:$K$503,393)),TEXT(INDEX('Providers'!$K$4:$K$503,393),"yyyy-mm-dd"),"")</f>
        <v/>
      </c>
      <c r="F1396">
        <f>"Registration"</f>
        <v/>
      </c>
      <c r="G1396">
        <f>""</f>
        <v/>
      </c>
      <c r="H1396">
        <f>"High"</f>
        <v/>
      </c>
      <c r="I1396">
        <f>TRIM(IF(LEN(IF(LEN(INDEX('Providers'!$J$4:$J$503,393))=0,"",INDEX('Providers'!$J$4:$J$503,393)))=0,"","CSR no.: "&amp;IF(LEN(INDEX('Providers'!$J$4:$J$503,393))=0,"",INDEX('Providers'!$J$4:$J$503,393))&amp;". ")&amp;IF(LEN(IF(LEN(INDEX('Providers'!$C$4:$C$503,393))=0,"",INDEX('Providers'!$C$4:$C$503,393)))=0,"","NPI: "&amp;IF(LEN(INDEX('Providers'!$C$4:$C$503,393))=0,"",INDEX('Providers'!$C$4:$C$503,393))&amp;". "))</f>
        <v/>
      </c>
      <c r="J1396">
        <f>IF(LEN(INDEX('Providers'!$AJ$4:$AJ$503,393))=0,"",INDEX('Providers'!$AJ$4:$AJ$503,393))</f>
        <v/>
      </c>
      <c r="K1396">
        <f>IF(LEN(INDEX('Providers'!$AI$4:$AI$503,393))=0,"",INDEX('Providers'!$AI$4:$AI$503,393))</f>
        <v/>
      </c>
    </row>
    <row r="1397">
      <c r="A1397">
        <f>IF(AND(LEN('Providers'!A397)&gt;0,ISNUMBER('Providers'!K397)),1,0)</f>
        <v/>
      </c>
      <c r="B1397">
        <f>B1396+A1397</f>
        <v/>
      </c>
      <c r="C1397">
        <f>IF(1394&gt;$B$4503,"",MATCH(1394-0.5,$B$3:$B$4503,1))</f>
        <v/>
      </c>
      <c r="D1397">
        <f>"State CSR ("&amp;IF(LEN(INDEX('Providers'!$E$4:$E$503,394))=0,"",INDEX('Providers'!$E$4:$E$503,394))&amp;") – "&amp;IF(LEN(INDEX('Providers'!$A$4:$A$503,394))=0,"",INDEX('Providers'!$A$4:$A$503,394))</f>
        <v/>
      </c>
      <c r="E1397">
        <f>IF(ISNUMBER(INDEX('Providers'!$K$4:$K$503,394)),TEXT(INDEX('Providers'!$K$4:$K$503,394),"yyyy-mm-dd"),"")</f>
        <v/>
      </c>
      <c r="F1397">
        <f>"Registration"</f>
        <v/>
      </c>
      <c r="G1397">
        <f>""</f>
        <v/>
      </c>
      <c r="H1397">
        <f>"High"</f>
        <v/>
      </c>
      <c r="I1397">
        <f>TRIM(IF(LEN(IF(LEN(INDEX('Providers'!$J$4:$J$503,394))=0,"",INDEX('Providers'!$J$4:$J$503,394)))=0,"","CSR no.: "&amp;IF(LEN(INDEX('Providers'!$J$4:$J$503,394))=0,"",INDEX('Providers'!$J$4:$J$503,394))&amp;". ")&amp;IF(LEN(IF(LEN(INDEX('Providers'!$C$4:$C$503,394))=0,"",INDEX('Providers'!$C$4:$C$503,394)))=0,"","NPI: "&amp;IF(LEN(INDEX('Providers'!$C$4:$C$503,394))=0,"",INDEX('Providers'!$C$4:$C$503,394))&amp;". "))</f>
        <v/>
      </c>
      <c r="J1397">
        <f>IF(LEN(INDEX('Providers'!$AJ$4:$AJ$503,394))=0,"",INDEX('Providers'!$AJ$4:$AJ$503,394))</f>
        <v/>
      </c>
      <c r="K1397">
        <f>IF(LEN(INDEX('Providers'!$AI$4:$AI$503,394))=0,"",INDEX('Providers'!$AI$4:$AI$503,394))</f>
        <v/>
      </c>
    </row>
    <row r="1398">
      <c r="A1398">
        <f>IF(AND(LEN('Providers'!A398)&gt;0,ISNUMBER('Providers'!K398)),1,0)</f>
        <v/>
      </c>
      <c r="B1398">
        <f>B1397+A1398</f>
        <v/>
      </c>
      <c r="C1398">
        <f>IF(1395&gt;$B$4503,"",MATCH(1395-0.5,$B$3:$B$4503,1))</f>
        <v/>
      </c>
      <c r="D1398">
        <f>"State CSR ("&amp;IF(LEN(INDEX('Providers'!$E$4:$E$503,395))=0,"",INDEX('Providers'!$E$4:$E$503,395))&amp;") – "&amp;IF(LEN(INDEX('Providers'!$A$4:$A$503,395))=0,"",INDEX('Providers'!$A$4:$A$503,395))</f>
        <v/>
      </c>
      <c r="E1398">
        <f>IF(ISNUMBER(INDEX('Providers'!$K$4:$K$503,395)),TEXT(INDEX('Providers'!$K$4:$K$503,395),"yyyy-mm-dd"),"")</f>
        <v/>
      </c>
      <c r="F1398">
        <f>"Registration"</f>
        <v/>
      </c>
      <c r="G1398">
        <f>""</f>
        <v/>
      </c>
      <c r="H1398">
        <f>"High"</f>
        <v/>
      </c>
      <c r="I1398">
        <f>TRIM(IF(LEN(IF(LEN(INDEX('Providers'!$J$4:$J$503,395))=0,"",INDEX('Providers'!$J$4:$J$503,395)))=0,"","CSR no.: "&amp;IF(LEN(INDEX('Providers'!$J$4:$J$503,395))=0,"",INDEX('Providers'!$J$4:$J$503,395))&amp;". ")&amp;IF(LEN(IF(LEN(INDEX('Providers'!$C$4:$C$503,395))=0,"",INDEX('Providers'!$C$4:$C$503,395)))=0,"","NPI: "&amp;IF(LEN(INDEX('Providers'!$C$4:$C$503,395))=0,"",INDEX('Providers'!$C$4:$C$503,395))&amp;". "))</f>
        <v/>
      </c>
      <c r="J1398">
        <f>IF(LEN(INDEX('Providers'!$AJ$4:$AJ$503,395))=0,"",INDEX('Providers'!$AJ$4:$AJ$503,395))</f>
        <v/>
      </c>
      <c r="K1398">
        <f>IF(LEN(INDEX('Providers'!$AI$4:$AI$503,395))=0,"",INDEX('Providers'!$AI$4:$AI$503,395))</f>
        <v/>
      </c>
    </row>
    <row r="1399">
      <c r="A1399">
        <f>IF(AND(LEN('Providers'!A399)&gt;0,ISNUMBER('Providers'!K399)),1,0)</f>
        <v/>
      </c>
      <c r="B1399">
        <f>B1398+A1399</f>
        <v/>
      </c>
      <c r="C1399">
        <f>IF(1396&gt;$B$4503,"",MATCH(1396-0.5,$B$3:$B$4503,1))</f>
        <v/>
      </c>
      <c r="D1399">
        <f>"State CSR ("&amp;IF(LEN(INDEX('Providers'!$E$4:$E$503,396))=0,"",INDEX('Providers'!$E$4:$E$503,396))&amp;") – "&amp;IF(LEN(INDEX('Providers'!$A$4:$A$503,396))=0,"",INDEX('Providers'!$A$4:$A$503,396))</f>
        <v/>
      </c>
      <c r="E1399">
        <f>IF(ISNUMBER(INDEX('Providers'!$K$4:$K$503,396)),TEXT(INDEX('Providers'!$K$4:$K$503,396),"yyyy-mm-dd"),"")</f>
        <v/>
      </c>
      <c r="F1399">
        <f>"Registration"</f>
        <v/>
      </c>
      <c r="G1399">
        <f>""</f>
        <v/>
      </c>
      <c r="H1399">
        <f>"High"</f>
        <v/>
      </c>
      <c r="I1399">
        <f>TRIM(IF(LEN(IF(LEN(INDEX('Providers'!$J$4:$J$503,396))=0,"",INDEX('Providers'!$J$4:$J$503,396)))=0,"","CSR no.: "&amp;IF(LEN(INDEX('Providers'!$J$4:$J$503,396))=0,"",INDEX('Providers'!$J$4:$J$503,396))&amp;". ")&amp;IF(LEN(IF(LEN(INDEX('Providers'!$C$4:$C$503,396))=0,"",INDEX('Providers'!$C$4:$C$503,396)))=0,"","NPI: "&amp;IF(LEN(INDEX('Providers'!$C$4:$C$503,396))=0,"",INDEX('Providers'!$C$4:$C$503,396))&amp;". "))</f>
        <v/>
      </c>
      <c r="J1399">
        <f>IF(LEN(INDEX('Providers'!$AJ$4:$AJ$503,396))=0,"",INDEX('Providers'!$AJ$4:$AJ$503,396))</f>
        <v/>
      </c>
      <c r="K1399">
        <f>IF(LEN(INDEX('Providers'!$AI$4:$AI$503,396))=0,"",INDEX('Providers'!$AI$4:$AI$503,396))</f>
        <v/>
      </c>
    </row>
    <row r="1400">
      <c r="A1400">
        <f>IF(AND(LEN('Providers'!A400)&gt;0,ISNUMBER('Providers'!K400)),1,0)</f>
        <v/>
      </c>
      <c r="B1400">
        <f>B1399+A1400</f>
        <v/>
      </c>
      <c r="C1400">
        <f>IF(1397&gt;$B$4503,"",MATCH(1397-0.5,$B$3:$B$4503,1))</f>
        <v/>
      </c>
      <c r="D1400">
        <f>"State CSR ("&amp;IF(LEN(INDEX('Providers'!$E$4:$E$503,397))=0,"",INDEX('Providers'!$E$4:$E$503,397))&amp;") – "&amp;IF(LEN(INDEX('Providers'!$A$4:$A$503,397))=0,"",INDEX('Providers'!$A$4:$A$503,397))</f>
        <v/>
      </c>
      <c r="E1400">
        <f>IF(ISNUMBER(INDEX('Providers'!$K$4:$K$503,397)),TEXT(INDEX('Providers'!$K$4:$K$503,397),"yyyy-mm-dd"),"")</f>
        <v/>
      </c>
      <c r="F1400">
        <f>"Registration"</f>
        <v/>
      </c>
      <c r="G1400">
        <f>""</f>
        <v/>
      </c>
      <c r="H1400">
        <f>"High"</f>
        <v/>
      </c>
      <c r="I1400">
        <f>TRIM(IF(LEN(IF(LEN(INDEX('Providers'!$J$4:$J$503,397))=0,"",INDEX('Providers'!$J$4:$J$503,397)))=0,"","CSR no.: "&amp;IF(LEN(INDEX('Providers'!$J$4:$J$503,397))=0,"",INDEX('Providers'!$J$4:$J$503,397))&amp;". ")&amp;IF(LEN(IF(LEN(INDEX('Providers'!$C$4:$C$503,397))=0,"",INDEX('Providers'!$C$4:$C$503,397)))=0,"","NPI: "&amp;IF(LEN(INDEX('Providers'!$C$4:$C$503,397))=0,"",INDEX('Providers'!$C$4:$C$503,397))&amp;". "))</f>
        <v/>
      </c>
      <c r="J1400">
        <f>IF(LEN(INDEX('Providers'!$AJ$4:$AJ$503,397))=0,"",INDEX('Providers'!$AJ$4:$AJ$503,397))</f>
        <v/>
      </c>
      <c r="K1400">
        <f>IF(LEN(INDEX('Providers'!$AI$4:$AI$503,397))=0,"",INDEX('Providers'!$AI$4:$AI$503,397))</f>
        <v/>
      </c>
    </row>
    <row r="1401">
      <c r="A1401">
        <f>IF(AND(LEN('Providers'!A401)&gt;0,ISNUMBER('Providers'!K401)),1,0)</f>
        <v/>
      </c>
      <c r="B1401">
        <f>B1400+A1401</f>
        <v/>
      </c>
      <c r="C1401">
        <f>IF(1398&gt;$B$4503,"",MATCH(1398-0.5,$B$3:$B$4503,1))</f>
        <v/>
      </c>
      <c r="D1401">
        <f>"State CSR ("&amp;IF(LEN(INDEX('Providers'!$E$4:$E$503,398))=0,"",INDEX('Providers'!$E$4:$E$503,398))&amp;") – "&amp;IF(LEN(INDEX('Providers'!$A$4:$A$503,398))=0,"",INDEX('Providers'!$A$4:$A$503,398))</f>
        <v/>
      </c>
      <c r="E1401">
        <f>IF(ISNUMBER(INDEX('Providers'!$K$4:$K$503,398)),TEXT(INDEX('Providers'!$K$4:$K$503,398),"yyyy-mm-dd"),"")</f>
        <v/>
      </c>
      <c r="F1401">
        <f>"Registration"</f>
        <v/>
      </c>
      <c r="G1401">
        <f>""</f>
        <v/>
      </c>
      <c r="H1401">
        <f>"High"</f>
        <v/>
      </c>
      <c r="I1401">
        <f>TRIM(IF(LEN(IF(LEN(INDEX('Providers'!$J$4:$J$503,398))=0,"",INDEX('Providers'!$J$4:$J$503,398)))=0,"","CSR no.: "&amp;IF(LEN(INDEX('Providers'!$J$4:$J$503,398))=0,"",INDEX('Providers'!$J$4:$J$503,398))&amp;". ")&amp;IF(LEN(IF(LEN(INDEX('Providers'!$C$4:$C$503,398))=0,"",INDEX('Providers'!$C$4:$C$503,398)))=0,"","NPI: "&amp;IF(LEN(INDEX('Providers'!$C$4:$C$503,398))=0,"",INDEX('Providers'!$C$4:$C$503,398))&amp;". "))</f>
        <v/>
      </c>
      <c r="J1401">
        <f>IF(LEN(INDEX('Providers'!$AJ$4:$AJ$503,398))=0,"",INDEX('Providers'!$AJ$4:$AJ$503,398))</f>
        <v/>
      </c>
      <c r="K1401">
        <f>IF(LEN(INDEX('Providers'!$AI$4:$AI$503,398))=0,"",INDEX('Providers'!$AI$4:$AI$503,398))</f>
        <v/>
      </c>
    </row>
    <row r="1402">
      <c r="A1402">
        <f>IF(AND(LEN('Providers'!A402)&gt;0,ISNUMBER('Providers'!K402)),1,0)</f>
        <v/>
      </c>
      <c r="B1402">
        <f>B1401+A1402</f>
        <v/>
      </c>
      <c r="C1402">
        <f>IF(1399&gt;$B$4503,"",MATCH(1399-0.5,$B$3:$B$4503,1))</f>
        <v/>
      </c>
      <c r="D1402">
        <f>"State CSR ("&amp;IF(LEN(INDEX('Providers'!$E$4:$E$503,399))=0,"",INDEX('Providers'!$E$4:$E$503,399))&amp;") – "&amp;IF(LEN(INDEX('Providers'!$A$4:$A$503,399))=0,"",INDEX('Providers'!$A$4:$A$503,399))</f>
        <v/>
      </c>
      <c r="E1402">
        <f>IF(ISNUMBER(INDEX('Providers'!$K$4:$K$503,399)),TEXT(INDEX('Providers'!$K$4:$K$503,399),"yyyy-mm-dd"),"")</f>
        <v/>
      </c>
      <c r="F1402">
        <f>"Registration"</f>
        <v/>
      </c>
      <c r="G1402">
        <f>""</f>
        <v/>
      </c>
      <c r="H1402">
        <f>"High"</f>
        <v/>
      </c>
      <c r="I1402">
        <f>TRIM(IF(LEN(IF(LEN(INDEX('Providers'!$J$4:$J$503,399))=0,"",INDEX('Providers'!$J$4:$J$503,399)))=0,"","CSR no.: "&amp;IF(LEN(INDEX('Providers'!$J$4:$J$503,399))=0,"",INDEX('Providers'!$J$4:$J$503,399))&amp;". ")&amp;IF(LEN(IF(LEN(INDEX('Providers'!$C$4:$C$503,399))=0,"",INDEX('Providers'!$C$4:$C$503,399)))=0,"","NPI: "&amp;IF(LEN(INDEX('Providers'!$C$4:$C$503,399))=0,"",INDEX('Providers'!$C$4:$C$503,399))&amp;". "))</f>
        <v/>
      </c>
      <c r="J1402">
        <f>IF(LEN(INDEX('Providers'!$AJ$4:$AJ$503,399))=0,"",INDEX('Providers'!$AJ$4:$AJ$503,399))</f>
        <v/>
      </c>
      <c r="K1402">
        <f>IF(LEN(INDEX('Providers'!$AI$4:$AI$503,399))=0,"",INDEX('Providers'!$AI$4:$AI$503,399))</f>
        <v/>
      </c>
    </row>
    <row r="1403">
      <c r="A1403">
        <f>IF(AND(LEN('Providers'!A403)&gt;0,ISNUMBER('Providers'!K403)),1,0)</f>
        <v/>
      </c>
      <c r="B1403">
        <f>B1402+A1403</f>
        <v/>
      </c>
      <c r="C1403">
        <f>IF(1400&gt;$B$4503,"",MATCH(1400-0.5,$B$3:$B$4503,1))</f>
        <v/>
      </c>
      <c r="D1403">
        <f>"State CSR ("&amp;IF(LEN(INDEX('Providers'!$E$4:$E$503,400))=0,"",INDEX('Providers'!$E$4:$E$503,400))&amp;") – "&amp;IF(LEN(INDEX('Providers'!$A$4:$A$503,400))=0,"",INDEX('Providers'!$A$4:$A$503,400))</f>
        <v/>
      </c>
      <c r="E1403">
        <f>IF(ISNUMBER(INDEX('Providers'!$K$4:$K$503,400)),TEXT(INDEX('Providers'!$K$4:$K$503,400),"yyyy-mm-dd"),"")</f>
        <v/>
      </c>
      <c r="F1403">
        <f>"Registration"</f>
        <v/>
      </c>
      <c r="G1403">
        <f>""</f>
        <v/>
      </c>
      <c r="H1403">
        <f>"High"</f>
        <v/>
      </c>
      <c r="I1403">
        <f>TRIM(IF(LEN(IF(LEN(INDEX('Providers'!$J$4:$J$503,400))=0,"",INDEX('Providers'!$J$4:$J$503,400)))=0,"","CSR no.: "&amp;IF(LEN(INDEX('Providers'!$J$4:$J$503,400))=0,"",INDEX('Providers'!$J$4:$J$503,400))&amp;". ")&amp;IF(LEN(IF(LEN(INDEX('Providers'!$C$4:$C$503,400))=0,"",INDEX('Providers'!$C$4:$C$503,400)))=0,"","NPI: "&amp;IF(LEN(INDEX('Providers'!$C$4:$C$503,400))=0,"",INDEX('Providers'!$C$4:$C$503,400))&amp;". "))</f>
        <v/>
      </c>
      <c r="J1403">
        <f>IF(LEN(INDEX('Providers'!$AJ$4:$AJ$503,400))=0,"",INDEX('Providers'!$AJ$4:$AJ$503,400))</f>
        <v/>
      </c>
      <c r="K1403">
        <f>IF(LEN(INDEX('Providers'!$AI$4:$AI$503,400))=0,"",INDEX('Providers'!$AI$4:$AI$503,400))</f>
        <v/>
      </c>
    </row>
    <row r="1404">
      <c r="A1404">
        <f>IF(AND(LEN('Providers'!A404)&gt;0,ISNUMBER('Providers'!K404)),1,0)</f>
        <v/>
      </c>
      <c r="B1404">
        <f>B1403+A1404</f>
        <v/>
      </c>
      <c r="C1404">
        <f>IF(1401&gt;$B$4503,"",MATCH(1401-0.5,$B$3:$B$4503,1))</f>
        <v/>
      </c>
      <c r="D1404">
        <f>"State CSR ("&amp;IF(LEN(INDEX('Providers'!$E$4:$E$503,401))=0,"",INDEX('Providers'!$E$4:$E$503,401))&amp;") – "&amp;IF(LEN(INDEX('Providers'!$A$4:$A$503,401))=0,"",INDEX('Providers'!$A$4:$A$503,401))</f>
        <v/>
      </c>
      <c r="E1404">
        <f>IF(ISNUMBER(INDEX('Providers'!$K$4:$K$503,401)),TEXT(INDEX('Providers'!$K$4:$K$503,401),"yyyy-mm-dd"),"")</f>
        <v/>
      </c>
      <c r="F1404">
        <f>"Registration"</f>
        <v/>
      </c>
      <c r="G1404">
        <f>""</f>
        <v/>
      </c>
      <c r="H1404">
        <f>"High"</f>
        <v/>
      </c>
      <c r="I1404">
        <f>TRIM(IF(LEN(IF(LEN(INDEX('Providers'!$J$4:$J$503,401))=0,"",INDEX('Providers'!$J$4:$J$503,401)))=0,"","CSR no.: "&amp;IF(LEN(INDEX('Providers'!$J$4:$J$503,401))=0,"",INDEX('Providers'!$J$4:$J$503,401))&amp;". ")&amp;IF(LEN(IF(LEN(INDEX('Providers'!$C$4:$C$503,401))=0,"",INDEX('Providers'!$C$4:$C$503,401)))=0,"","NPI: "&amp;IF(LEN(INDEX('Providers'!$C$4:$C$503,401))=0,"",INDEX('Providers'!$C$4:$C$503,401))&amp;". "))</f>
        <v/>
      </c>
      <c r="J1404">
        <f>IF(LEN(INDEX('Providers'!$AJ$4:$AJ$503,401))=0,"",INDEX('Providers'!$AJ$4:$AJ$503,401))</f>
        <v/>
      </c>
      <c r="K1404">
        <f>IF(LEN(INDEX('Providers'!$AI$4:$AI$503,401))=0,"",INDEX('Providers'!$AI$4:$AI$503,401))</f>
        <v/>
      </c>
    </row>
    <row r="1405">
      <c r="A1405">
        <f>IF(AND(LEN('Providers'!A405)&gt;0,ISNUMBER('Providers'!K405)),1,0)</f>
        <v/>
      </c>
      <c r="B1405">
        <f>B1404+A1405</f>
        <v/>
      </c>
      <c r="C1405">
        <f>IF(1402&gt;$B$4503,"",MATCH(1402-0.5,$B$3:$B$4503,1))</f>
        <v/>
      </c>
      <c r="D1405">
        <f>"State CSR ("&amp;IF(LEN(INDEX('Providers'!$E$4:$E$503,402))=0,"",INDEX('Providers'!$E$4:$E$503,402))&amp;") – "&amp;IF(LEN(INDEX('Providers'!$A$4:$A$503,402))=0,"",INDEX('Providers'!$A$4:$A$503,402))</f>
        <v/>
      </c>
      <c r="E1405">
        <f>IF(ISNUMBER(INDEX('Providers'!$K$4:$K$503,402)),TEXT(INDEX('Providers'!$K$4:$K$503,402),"yyyy-mm-dd"),"")</f>
        <v/>
      </c>
      <c r="F1405">
        <f>"Registration"</f>
        <v/>
      </c>
      <c r="G1405">
        <f>""</f>
        <v/>
      </c>
      <c r="H1405">
        <f>"High"</f>
        <v/>
      </c>
      <c r="I1405">
        <f>TRIM(IF(LEN(IF(LEN(INDEX('Providers'!$J$4:$J$503,402))=0,"",INDEX('Providers'!$J$4:$J$503,402)))=0,"","CSR no.: "&amp;IF(LEN(INDEX('Providers'!$J$4:$J$503,402))=0,"",INDEX('Providers'!$J$4:$J$503,402))&amp;". ")&amp;IF(LEN(IF(LEN(INDEX('Providers'!$C$4:$C$503,402))=0,"",INDEX('Providers'!$C$4:$C$503,402)))=0,"","NPI: "&amp;IF(LEN(INDEX('Providers'!$C$4:$C$503,402))=0,"",INDEX('Providers'!$C$4:$C$503,402))&amp;". "))</f>
        <v/>
      </c>
      <c r="J1405">
        <f>IF(LEN(INDEX('Providers'!$AJ$4:$AJ$503,402))=0,"",INDEX('Providers'!$AJ$4:$AJ$503,402))</f>
        <v/>
      </c>
      <c r="K1405">
        <f>IF(LEN(INDEX('Providers'!$AI$4:$AI$503,402))=0,"",INDEX('Providers'!$AI$4:$AI$503,402))</f>
        <v/>
      </c>
    </row>
    <row r="1406">
      <c r="A1406">
        <f>IF(AND(LEN('Providers'!A406)&gt;0,ISNUMBER('Providers'!K406)),1,0)</f>
        <v/>
      </c>
      <c r="B1406">
        <f>B1405+A1406</f>
        <v/>
      </c>
      <c r="C1406">
        <f>IF(1403&gt;$B$4503,"",MATCH(1403-0.5,$B$3:$B$4503,1))</f>
        <v/>
      </c>
      <c r="D1406">
        <f>"State CSR ("&amp;IF(LEN(INDEX('Providers'!$E$4:$E$503,403))=0,"",INDEX('Providers'!$E$4:$E$503,403))&amp;") – "&amp;IF(LEN(INDEX('Providers'!$A$4:$A$503,403))=0,"",INDEX('Providers'!$A$4:$A$503,403))</f>
        <v/>
      </c>
      <c r="E1406">
        <f>IF(ISNUMBER(INDEX('Providers'!$K$4:$K$503,403)),TEXT(INDEX('Providers'!$K$4:$K$503,403),"yyyy-mm-dd"),"")</f>
        <v/>
      </c>
      <c r="F1406">
        <f>"Registration"</f>
        <v/>
      </c>
      <c r="G1406">
        <f>""</f>
        <v/>
      </c>
      <c r="H1406">
        <f>"High"</f>
        <v/>
      </c>
      <c r="I1406">
        <f>TRIM(IF(LEN(IF(LEN(INDEX('Providers'!$J$4:$J$503,403))=0,"",INDEX('Providers'!$J$4:$J$503,403)))=0,"","CSR no.: "&amp;IF(LEN(INDEX('Providers'!$J$4:$J$503,403))=0,"",INDEX('Providers'!$J$4:$J$503,403))&amp;". ")&amp;IF(LEN(IF(LEN(INDEX('Providers'!$C$4:$C$503,403))=0,"",INDEX('Providers'!$C$4:$C$503,403)))=0,"","NPI: "&amp;IF(LEN(INDEX('Providers'!$C$4:$C$503,403))=0,"",INDEX('Providers'!$C$4:$C$503,403))&amp;". "))</f>
        <v/>
      </c>
      <c r="J1406">
        <f>IF(LEN(INDEX('Providers'!$AJ$4:$AJ$503,403))=0,"",INDEX('Providers'!$AJ$4:$AJ$503,403))</f>
        <v/>
      </c>
      <c r="K1406">
        <f>IF(LEN(INDEX('Providers'!$AI$4:$AI$503,403))=0,"",INDEX('Providers'!$AI$4:$AI$503,403))</f>
        <v/>
      </c>
    </row>
    <row r="1407">
      <c r="A1407">
        <f>IF(AND(LEN('Providers'!A407)&gt;0,ISNUMBER('Providers'!K407)),1,0)</f>
        <v/>
      </c>
      <c r="B1407">
        <f>B1406+A1407</f>
        <v/>
      </c>
      <c r="C1407">
        <f>IF(1404&gt;$B$4503,"",MATCH(1404-0.5,$B$3:$B$4503,1))</f>
        <v/>
      </c>
      <c r="D1407">
        <f>"State CSR ("&amp;IF(LEN(INDEX('Providers'!$E$4:$E$503,404))=0,"",INDEX('Providers'!$E$4:$E$503,404))&amp;") – "&amp;IF(LEN(INDEX('Providers'!$A$4:$A$503,404))=0,"",INDEX('Providers'!$A$4:$A$503,404))</f>
        <v/>
      </c>
      <c r="E1407">
        <f>IF(ISNUMBER(INDEX('Providers'!$K$4:$K$503,404)),TEXT(INDEX('Providers'!$K$4:$K$503,404),"yyyy-mm-dd"),"")</f>
        <v/>
      </c>
      <c r="F1407">
        <f>"Registration"</f>
        <v/>
      </c>
      <c r="G1407">
        <f>""</f>
        <v/>
      </c>
      <c r="H1407">
        <f>"High"</f>
        <v/>
      </c>
      <c r="I1407">
        <f>TRIM(IF(LEN(IF(LEN(INDEX('Providers'!$J$4:$J$503,404))=0,"",INDEX('Providers'!$J$4:$J$503,404)))=0,"","CSR no.: "&amp;IF(LEN(INDEX('Providers'!$J$4:$J$503,404))=0,"",INDEX('Providers'!$J$4:$J$503,404))&amp;". ")&amp;IF(LEN(IF(LEN(INDEX('Providers'!$C$4:$C$503,404))=0,"",INDEX('Providers'!$C$4:$C$503,404)))=0,"","NPI: "&amp;IF(LEN(INDEX('Providers'!$C$4:$C$503,404))=0,"",INDEX('Providers'!$C$4:$C$503,404))&amp;". "))</f>
        <v/>
      </c>
      <c r="J1407">
        <f>IF(LEN(INDEX('Providers'!$AJ$4:$AJ$503,404))=0,"",INDEX('Providers'!$AJ$4:$AJ$503,404))</f>
        <v/>
      </c>
      <c r="K1407">
        <f>IF(LEN(INDEX('Providers'!$AI$4:$AI$503,404))=0,"",INDEX('Providers'!$AI$4:$AI$503,404))</f>
        <v/>
      </c>
    </row>
    <row r="1408">
      <c r="A1408">
        <f>IF(AND(LEN('Providers'!A408)&gt;0,ISNUMBER('Providers'!K408)),1,0)</f>
        <v/>
      </c>
      <c r="B1408">
        <f>B1407+A1408</f>
        <v/>
      </c>
      <c r="C1408">
        <f>IF(1405&gt;$B$4503,"",MATCH(1405-0.5,$B$3:$B$4503,1))</f>
        <v/>
      </c>
      <c r="D1408">
        <f>"State CSR ("&amp;IF(LEN(INDEX('Providers'!$E$4:$E$503,405))=0,"",INDEX('Providers'!$E$4:$E$503,405))&amp;") – "&amp;IF(LEN(INDEX('Providers'!$A$4:$A$503,405))=0,"",INDEX('Providers'!$A$4:$A$503,405))</f>
        <v/>
      </c>
      <c r="E1408">
        <f>IF(ISNUMBER(INDEX('Providers'!$K$4:$K$503,405)),TEXT(INDEX('Providers'!$K$4:$K$503,405),"yyyy-mm-dd"),"")</f>
        <v/>
      </c>
      <c r="F1408">
        <f>"Registration"</f>
        <v/>
      </c>
      <c r="G1408">
        <f>""</f>
        <v/>
      </c>
      <c r="H1408">
        <f>"High"</f>
        <v/>
      </c>
      <c r="I1408">
        <f>TRIM(IF(LEN(IF(LEN(INDEX('Providers'!$J$4:$J$503,405))=0,"",INDEX('Providers'!$J$4:$J$503,405)))=0,"","CSR no.: "&amp;IF(LEN(INDEX('Providers'!$J$4:$J$503,405))=0,"",INDEX('Providers'!$J$4:$J$503,405))&amp;". ")&amp;IF(LEN(IF(LEN(INDEX('Providers'!$C$4:$C$503,405))=0,"",INDEX('Providers'!$C$4:$C$503,405)))=0,"","NPI: "&amp;IF(LEN(INDEX('Providers'!$C$4:$C$503,405))=0,"",INDEX('Providers'!$C$4:$C$503,405))&amp;". "))</f>
        <v/>
      </c>
      <c r="J1408">
        <f>IF(LEN(INDEX('Providers'!$AJ$4:$AJ$503,405))=0,"",INDEX('Providers'!$AJ$4:$AJ$503,405))</f>
        <v/>
      </c>
      <c r="K1408">
        <f>IF(LEN(INDEX('Providers'!$AI$4:$AI$503,405))=0,"",INDEX('Providers'!$AI$4:$AI$503,405))</f>
        <v/>
      </c>
    </row>
    <row r="1409">
      <c r="A1409">
        <f>IF(AND(LEN('Providers'!A409)&gt;0,ISNUMBER('Providers'!K409)),1,0)</f>
        <v/>
      </c>
      <c r="B1409">
        <f>B1408+A1409</f>
        <v/>
      </c>
      <c r="C1409">
        <f>IF(1406&gt;$B$4503,"",MATCH(1406-0.5,$B$3:$B$4503,1))</f>
        <v/>
      </c>
      <c r="D1409">
        <f>"State CSR ("&amp;IF(LEN(INDEX('Providers'!$E$4:$E$503,406))=0,"",INDEX('Providers'!$E$4:$E$503,406))&amp;") – "&amp;IF(LEN(INDEX('Providers'!$A$4:$A$503,406))=0,"",INDEX('Providers'!$A$4:$A$503,406))</f>
        <v/>
      </c>
      <c r="E1409">
        <f>IF(ISNUMBER(INDEX('Providers'!$K$4:$K$503,406)),TEXT(INDEX('Providers'!$K$4:$K$503,406),"yyyy-mm-dd"),"")</f>
        <v/>
      </c>
      <c r="F1409">
        <f>"Registration"</f>
        <v/>
      </c>
      <c r="G1409">
        <f>""</f>
        <v/>
      </c>
      <c r="H1409">
        <f>"High"</f>
        <v/>
      </c>
      <c r="I1409">
        <f>TRIM(IF(LEN(IF(LEN(INDEX('Providers'!$J$4:$J$503,406))=0,"",INDEX('Providers'!$J$4:$J$503,406)))=0,"","CSR no.: "&amp;IF(LEN(INDEX('Providers'!$J$4:$J$503,406))=0,"",INDEX('Providers'!$J$4:$J$503,406))&amp;". ")&amp;IF(LEN(IF(LEN(INDEX('Providers'!$C$4:$C$503,406))=0,"",INDEX('Providers'!$C$4:$C$503,406)))=0,"","NPI: "&amp;IF(LEN(INDEX('Providers'!$C$4:$C$503,406))=0,"",INDEX('Providers'!$C$4:$C$503,406))&amp;". "))</f>
        <v/>
      </c>
      <c r="J1409">
        <f>IF(LEN(INDEX('Providers'!$AJ$4:$AJ$503,406))=0,"",INDEX('Providers'!$AJ$4:$AJ$503,406))</f>
        <v/>
      </c>
      <c r="K1409">
        <f>IF(LEN(INDEX('Providers'!$AI$4:$AI$503,406))=0,"",INDEX('Providers'!$AI$4:$AI$503,406))</f>
        <v/>
      </c>
    </row>
    <row r="1410">
      <c r="A1410">
        <f>IF(AND(LEN('Providers'!A410)&gt;0,ISNUMBER('Providers'!K410)),1,0)</f>
        <v/>
      </c>
      <c r="B1410">
        <f>B1409+A1410</f>
        <v/>
      </c>
      <c r="C1410">
        <f>IF(1407&gt;$B$4503,"",MATCH(1407-0.5,$B$3:$B$4503,1))</f>
        <v/>
      </c>
      <c r="D1410">
        <f>"State CSR ("&amp;IF(LEN(INDEX('Providers'!$E$4:$E$503,407))=0,"",INDEX('Providers'!$E$4:$E$503,407))&amp;") – "&amp;IF(LEN(INDEX('Providers'!$A$4:$A$503,407))=0,"",INDEX('Providers'!$A$4:$A$503,407))</f>
        <v/>
      </c>
      <c r="E1410">
        <f>IF(ISNUMBER(INDEX('Providers'!$K$4:$K$503,407)),TEXT(INDEX('Providers'!$K$4:$K$503,407),"yyyy-mm-dd"),"")</f>
        <v/>
      </c>
      <c r="F1410">
        <f>"Registration"</f>
        <v/>
      </c>
      <c r="G1410">
        <f>""</f>
        <v/>
      </c>
      <c r="H1410">
        <f>"High"</f>
        <v/>
      </c>
      <c r="I1410">
        <f>TRIM(IF(LEN(IF(LEN(INDEX('Providers'!$J$4:$J$503,407))=0,"",INDEX('Providers'!$J$4:$J$503,407)))=0,"","CSR no.: "&amp;IF(LEN(INDEX('Providers'!$J$4:$J$503,407))=0,"",INDEX('Providers'!$J$4:$J$503,407))&amp;". ")&amp;IF(LEN(IF(LEN(INDEX('Providers'!$C$4:$C$503,407))=0,"",INDEX('Providers'!$C$4:$C$503,407)))=0,"","NPI: "&amp;IF(LEN(INDEX('Providers'!$C$4:$C$503,407))=0,"",INDEX('Providers'!$C$4:$C$503,407))&amp;". "))</f>
        <v/>
      </c>
      <c r="J1410">
        <f>IF(LEN(INDEX('Providers'!$AJ$4:$AJ$503,407))=0,"",INDEX('Providers'!$AJ$4:$AJ$503,407))</f>
        <v/>
      </c>
      <c r="K1410">
        <f>IF(LEN(INDEX('Providers'!$AI$4:$AI$503,407))=0,"",INDEX('Providers'!$AI$4:$AI$503,407))</f>
        <v/>
      </c>
    </row>
    <row r="1411">
      <c r="A1411">
        <f>IF(AND(LEN('Providers'!A411)&gt;0,ISNUMBER('Providers'!K411)),1,0)</f>
        <v/>
      </c>
      <c r="B1411">
        <f>B1410+A1411</f>
        <v/>
      </c>
      <c r="C1411">
        <f>IF(1408&gt;$B$4503,"",MATCH(1408-0.5,$B$3:$B$4503,1))</f>
        <v/>
      </c>
      <c r="D1411">
        <f>"State CSR ("&amp;IF(LEN(INDEX('Providers'!$E$4:$E$503,408))=0,"",INDEX('Providers'!$E$4:$E$503,408))&amp;") – "&amp;IF(LEN(INDEX('Providers'!$A$4:$A$503,408))=0,"",INDEX('Providers'!$A$4:$A$503,408))</f>
        <v/>
      </c>
      <c r="E1411">
        <f>IF(ISNUMBER(INDEX('Providers'!$K$4:$K$503,408)),TEXT(INDEX('Providers'!$K$4:$K$503,408),"yyyy-mm-dd"),"")</f>
        <v/>
      </c>
      <c r="F1411">
        <f>"Registration"</f>
        <v/>
      </c>
      <c r="G1411">
        <f>""</f>
        <v/>
      </c>
      <c r="H1411">
        <f>"High"</f>
        <v/>
      </c>
      <c r="I1411">
        <f>TRIM(IF(LEN(IF(LEN(INDEX('Providers'!$J$4:$J$503,408))=0,"",INDEX('Providers'!$J$4:$J$503,408)))=0,"","CSR no.: "&amp;IF(LEN(INDEX('Providers'!$J$4:$J$503,408))=0,"",INDEX('Providers'!$J$4:$J$503,408))&amp;". ")&amp;IF(LEN(IF(LEN(INDEX('Providers'!$C$4:$C$503,408))=0,"",INDEX('Providers'!$C$4:$C$503,408)))=0,"","NPI: "&amp;IF(LEN(INDEX('Providers'!$C$4:$C$503,408))=0,"",INDEX('Providers'!$C$4:$C$503,408))&amp;". "))</f>
        <v/>
      </c>
      <c r="J1411">
        <f>IF(LEN(INDEX('Providers'!$AJ$4:$AJ$503,408))=0,"",INDEX('Providers'!$AJ$4:$AJ$503,408))</f>
        <v/>
      </c>
      <c r="K1411">
        <f>IF(LEN(INDEX('Providers'!$AI$4:$AI$503,408))=0,"",INDEX('Providers'!$AI$4:$AI$503,408))</f>
        <v/>
      </c>
    </row>
    <row r="1412">
      <c r="A1412">
        <f>IF(AND(LEN('Providers'!A412)&gt;0,ISNUMBER('Providers'!K412)),1,0)</f>
        <v/>
      </c>
      <c r="B1412">
        <f>B1411+A1412</f>
        <v/>
      </c>
      <c r="C1412">
        <f>IF(1409&gt;$B$4503,"",MATCH(1409-0.5,$B$3:$B$4503,1))</f>
        <v/>
      </c>
      <c r="D1412">
        <f>"State CSR ("&amp;IF(LEN(INDEX('Providers'!$E$4:$E$503,409))=0,"",INDEX('Providers'!$E$4:$E$503,409))&amp;") – "&amp;IF(LEN(INDEX('Providers'!$A$4:$A$503,409))=0,"",INDEX('Providers'!$A$4:$A$503,409))</f>
        <v/>
      </c>
      <c r="E1412">
        <f>IF(ISNUMBER(INDEX('Providers'!$K$4:$K$503,409)),TEXT(INDEX('Providers'!$K$4:$K$503,409),"yyyy-mm-dd"),"")</f>
        <v/>
      </c>
      <c r="F1412">
        <f>"Registration"</f>
        <v/>
      </c>
      <c r="G1412">
        <f>""</f>
        <v/>
      </c>
      <c r="H1412">
        <f>"High"</f>
        <v/>
      </c>
      <c r="I1412">
        <f>TRIM(IF(LEN(IF(LEN(INDEX('Providers'!$J$4:$J$503,409))=0,"",INDEX('Providers'!$J$4:$J$503,409)))=0,"","CSR no.: "&amp;IF(LEN(INDEX('Providers'!$J$4:$J$503,409))=0,"",INDEX('Providers'!$J$4:$J$503,409))&amp;". ")&amp;IF(LEN(IF(LEN(INDEX('Providers'!$C$4:$C$503,409))=0,"",INDEX('Providers'!$C$4:$C$503,409)))=0,"","NPI: "&amp;IF(LEN(INDEX('Providers'!$C$4:$C$503,409))=0,"",INDEX('Providers'!$C$4:$C$503,409))&amp;". "))</f>
        <v/>
      </c>
      <c r="J1412">
        <f>IF(LEN(INDEX('Providers'!$AJ$4:$AJ$503,409))=0,"",INDEX('Providers'!$AJ$4:$AJ$503,409))</f>
        <v/>
      </c>
      <c r="K1412">
        <f>IF(LEN(INDEX('Providers'!$AI$4:$AI$503,409))=0,"",INDEX('Providers'!$AI$4:$AI$503,409))</f>
        <v/>
      </c>
    </row>
    <row r="1413">
      <c r="A1413">
        <f>IF(AND(LEN('Providers'!A413)&gt;0,ISNUMBER('Providers'!K413)),1,0)</f>
        <v/>
      </c>
      <c r="B1413">
        <f>B1412+A1413</f>
        <v/>
      </c>
      <c r="C1413">
        <f>IF(1410&gt;$B$4503,"",MATCH(1410-0.5,$B$3:$B$4503,1))</f>
        <v/>
      </c>
      <c r="D1413">
        <f>"State CSR ("&amp;IF(LEN(INDEX('Providers'!$E$4:$E$503,410))=0,"",INDEX('Providers'!$E$4:$E$503,410))&amp;") – "&amp;IF(LEN(INDEX('Providers'!$A$4:$A$503,410))=0,"",INDEX('Providers'!$A$4:$A$503,410))</f>
        <v/>
      </c>
      <c r="E1413">
        <f>IF(ISNUMBER(INDEX('Providers'!$K$4:$K$503,410)),TEXT(INDEX('Providers'!$K$4:$K$503,410),"yyyy-mm-dd"),"")</f>
        <v/>
      </c>
      <c r="F1413">
        <f>"Registration"</f>
        <v/>
      </c>
      <c r="G1413">
        <f>""</f>
        <v/>
      </c>
      <c r="H1413">
        <f>"High"</f>
        <v/>
      </c>
      <c r="I1413">
        <f>TRIM(IF(LEN(IF(LEN(INDEX('Providers'!$J$4:$J$503,410))=0,"",INDEX('Providers'!$J$4:$J$503,410)))=0,"","CSR no.: "&amp;IF(LEN(INDEX('Providers'!$J$4:$J$503,410))=0,"",INDEX('Providers'!$J$4:$J$503,410))&amp;". ")&amp;IF(LEN(IF(LEN(INDEX('Providers'!$C$4:$C$503,410))=0,"",INDEX('Providers'!$C$4:$C$503,410)))=0,"","NPI: "&amp;IF(LEN(INDEX('Providers'!$C$4:$C$503,410))=0,"",INDEX('Providers'!$C$4:$C$503,410))&amp;". "))</f>
        <v/>
      </c>
      <c r="J1413">
        <f>IF(LEN(INDEX('Providers'!$AJ$4:$AJ$503,410))=0,"",INDEX('Providers'!$AJ$4:$AJ$503,410))</f>
        <v/>
      </c>
      <c r="K1413">
        <f>IF(LEN(INDEX('Providers'!$AI$4:$AI$503,410))=0,"",INDEX('Providers'!$AI$4:$AI$503,410))</f>
        <v/>
      </c>
    </row>
    <row r="1414">
      <c r="A1414">
        <f>IF(AND(LEN('Providers'!A414)&gt;0,ISNUMBER('Providers'!K414)),1,0)</f>
        <v/>
      </c>
      <c r="B1414">
        <f>B1413+A1414</f>
        <v/>
      </c>
      <c r="C1414">
        <f>IF(1411&gt;$B$4503,"",MATCH(1411-0.5,$B$3:$B$4503,1))</f>
        <v/>
      </c>
      <c r="D1414">
        <f>"State CSR ("&amp;IF(LEN(INDEX('Providers'!$E$4:$E$503,411))=0,"",INDEX('Providers'!$E$4:$E$503,411))&amp;") – "&amp;IF(LEN(INDEX('Providers'!$A$4:$A$503,411))=0,"",INDEX('Providers'!$A$4:$A$503,411))</f>
        <v/>
      </c>
      <c r="E1414">
        <f>IF(ISNUMBER(INDEX('Providers'!$K$4:$K$503,411)),TEXT(INDEX('Providers'!$K$4:$K$503,411),"yyyy-mm-dd"),"")</f>
        <v/>
      </c>
      <c r="F1414">
        <f>"Registration"</f>
        <v/>
      </c>
      <c r="G1414">
        <f>""</f>
        <v/>
      </c>
      <c r="H1414">
        <f>"High"</f>
        <v/>
      </c>
      <c r="I1414">
        <f>TRIM(IF(LEN(IF(LEN(INDEX('Providers'!$J$4:$J$503,411))=0,"",INDEX('Providers'!$J$4:$J$503,411)))=0,"","CSR no.: "&amp;IF(LEN(INDEX('Providers'!$J$4:$J$503,411))=0,"",INDEX('Providers'!$J$4:$J$503,411))&amp;". ")&amp;IF(LEN(IF(LEN(INDEX('Providers'!$C$4:$C$503,411))=0,"",INDEX('Providers'!$C$4:$C$503,411)))=0,"","NPI: "&amp;IF(LEN(INDEX('Providers'!$C$4:$C$503,411))=0,"",INDEX('Providers'!$C$4:$C$503,411))&amp;". "))</f>
        <v/>
      </c>
      <c r="J1414">
        <f>IF(LEN(INDEX('Providers'!$AJ$4:$AJ$503,411))=0,"",INDEX('Providers'!$AJ$4:$AJ$503,411))</f>
        <v/>
      </c>
      <c r="K1414">
        <f>IF(LEN(INDEX('Providers'!$AI$4:$AI$503,411))=0,"",INDEX('Providers'!$AI$4:$AI$503,411))</f>
        <v/>
      </c>
    </row>
    <row r="1415">
      <c r="A1415">
        <f>IF(AND(LEN('Providers'!A415)&gt;0,ISNUMBER('Providers'!K415)),1,0)</f>
        <v/>
      </c>
      <c r="B1415">
        <f>B1414+A1415</f>
        <v/>
      </c>
      <c r="C1415">
        <f>IF(1412&gt;$B$4503,"",MATCH(1412-0.5,$B$3:$B$4503,1))</f>
        <v/>
      </c>
      <c r="D1415">
        <f>"State CSR ("&amp;IF(LEN(INDEX('Providers'!$E$4:$E$503,412))=0,"",INDEX('Providers'!$E$4:$E$503,412))&amp;") – "&amp;IF(LEN(INDEX('Providers'!$A$4:$A$503,412))=0,"",INDEX('Providers'!$A$4:$A$503,412))</f>
        <v/>
      </c>
      <c r="E1415">
        <f>IF(ISNUMBER(INDEX('Providers'!$K$4:$K$503,412)),TEXT(INDEX('Providers'!$K$4:$K$503,412),"yyyy-mm-dd"),"")</f>
        <v/>
      </c>
      <c r="F1415">
        <f>"Registration"</f>
        <v/>
      </c>
      <c r="G1415">
        <f>""</f>
        <v/>
      </c>
      <c r="H1415">
        <f>"High"</f>
        <v/>
      </c>
      <c r="I1415">
        <f>TRIM(IF(LEN(IF(LEN(INDEX('Providers'!$J$4:$J$503,412))=0,"",INDEX('Providers'!$J$4:$J$503,412)))=0,"","CSR no.: "&amp;IF(LEN(INDEX('Providers'!$J$4:$J$503,412))=0,"",INDEX('Providers'!$J$4:$J$503,412))&amp;". ")&amp;IF(LEN(IF(LEN(INDEX('Providers'!$C$4:$C$503,412))=0,"",INDEX('Providers'!$C$4:$C$503,412)))=0,"","NPI: "&amp;IF(LEN(INDEX('Providers'!$C$4:$C$503,412))=0,"",INDEX('Providers'!$C$4:$C$503,412))&amp;". "))</f>
        <v/>
      </c>
      <c r="J1415">
        <f>IF(LEN(INDEX('Providers'!$AJ$4:$AJ$503,412))=0,"",INDEX('Providers'!$AJ$4:$AJ$503,412))</f>
        <v/>
      </c>
      <c r="K1415">
        <f>IF(LEN(INDEX('Providers'!$AI$4:$AI$503,412))=0,"",INDEX('Providers'!$AI$4:$AI$503,412))</f>
        <v/>
      </c>
    </row>
    <row r="1416">
      <c r="A1416">
        <f>IF(AND(LEN('Providers'!A416)&gt;0,ISNUMBER('Providers'!K416)),1,0)</f>
        <v/>
      </c>
      <c r="B1416">
        <f>B1415+A1416</f>
        <v/>
      </c>
      <c r="C1416">
        <f>IF(1413&gt;$B$4503,"",MATCH(1413-0.5,$B$3:$B$4503,1))</f>
        <v/>
      </c>
      <c r="D1416">
        <f>"State CSR ("&amp;IF(LEN(INDEX('Providers'!$E$4:$E$503,413))=0,"",INDEX('Providers'!$E$4:$E$503,413))&amp;") – "&amp;IF(LEN(INDEX('Providers'!$A$4:$A$503,413))=0,"",INDEX('Providers'!$A$4:$A$503,413))</f>
        <v/>
      </c>
      <c r="E1416">
        <f>IF(ISNUMBER(INDEX('Providers'!$K$4:$K$503,413)),TEXT(INDEX('Providers'!$K$4:$K$503,413),"yyyy-mm-dd"),"")</f>
        <v/>
      </c>
      <c r="F1416">
        <f>"Registration"</f>
        <v/>
      </c>
      <c r="G1416">
        <f>""</f>
        <v/>
      </c>
      <c r="H1416">
        <f>"High"</f>
        <v/>
      </c>
      <c r="I1416">
        <f>TRIM(IF(LEN(IF(LEN(INDEX('Providers'!$J$4:$J$503,413))=0,"",INDEX('Providers'!$J$4:$J$503,413)))=0,"","CSR no.: "&amp;IF(LEN(INDEX('Providers'!$J$4:$J$503,413))=0,"",INDEX('Providers'!$J$4:$J$503,413))&amp;". ")&amp;IF(LEN(IF(LEN(INDEX('Providers'!$C$4:$C$503,413))=0,"",INDEX('Providers'!$C$4:$C$503,413)))=0,"","NPI: "&amp;IF(LEN(INDEX('Providers'!$C$4:$C$503,413))=0,"",INDEX('Providers'!$C$4:$C$503,413))&amp;". "))</f>
        <v/>
      </c>
      <c r="J1416">
        <f>IF(LEN(INDEX('Providers'!$AJ$4:$AJ$503,413))=0,"",INDEX('Providers'!$AJ$4:$AJ$503,413))</f>
        <v/>
      </c>
      <c r="K1416">
        <f>IF(LEN(INDEX('Providers'!$AI$4:$AI$503,413))=0,"",INDEX('Providers'!$AI$4:$AI$503,413))</f>
        <v/>
      </c>
    </row>
    <row r="1417">
      <c r="A1417">
        <f>IF(AND(LEN('Providers'!A417)&gt;0,ISNUMBER('Providers'!K417)),1,0)</f>
        <v/>
      </c>
      <c r="B1417">
        <f>B1416+A1417</f>
        <v/>
      </c>
      <c r="C1417">
        <f>IF(1414&gt;$B$4503,"",MATCH(1414-0.5,$B$3:$B$4503,1))</f>
        <v/>
      </c>
      <c r="D1417">
        <f>"State CSR ("&amp;IF(LEN(INDEX('Providers'!$E$4:$E$503,414))=0,"",INDEX('Providers'!$E$4:$E$503,414))&amp;") – "&amp;IF(LEN(INDEX('Providers'!$A$4:$A$503,414))=0,"",INDEX('Providers'!$A$4:$A$503,414))</f>
        <v/>
      </c>
      <c r="E1417">
        <f>IF(ISNUMBER(INDEX('Providers'!$K$4:$K$503,414)),TEXT(INDEX('Providers'!$K$4:$K$503,414),"yyyy-mm-dd"),"")</f>
        <v/>
      </c>
      <c r="F1417">
        <f>"Registration"</f>
        <v/>
      </c>
      <c r="G1417">
        <f>""</f>
        <v/>
      </c>
      <c r="H1417">
        <f>"High"</f>
        <v/>
      </c>
      <c r="I1417">
        <f>TRIM(IF(LEN(IF(LEN(INDEX('Providers'!$J$4:$J$503,414))=0,"",INDEX('Providers'!$J$4:$J$503,414)))=0,"","CSR no.: "&amp;IF(LEN(INDEX('Providers'!$J$4:$J$503,414))=0,"",INDEX('Providers'!$J$4:$J$503,414))&amp;". ")&amp;IF(LEN(IF(LEN(INDEX('Providers'!$C$4:$C$503,414))=0,"",INDEX('Providers'!$C$4:$C$503,414)))=0,"","NPI: "&amp;IF(LEN(INDEX('Providers'!$C$4:$C$503,414))=0,"",INDEX('Providers'!$C$4:$C$503,414))&amp;". "))</f>
        <v/>
      </c>
      <c r="J1417">
        <f>IF(LEN(INDEX('Providers'!$AJ$4:$AJ$503,414))=0,"",INDEX('Providers'!$AJ$4:$AJ$503,414))</f>
        <v/>
      </c>
      <c r="K1417">
        <f>IF(LEN(INDEX('Providers'!$AI$4:$AI$503,414))=0,"",INDEX('Providers'!$AI$4:$AI$503,414))</f>
        <v/>
      </c>
    </row>
    <row r="1418">
      <c r="A1418">
        <f>IF(AND(LEN('Providers'!A418)&gt;0,ISNUMBER('Providers'!K418)),1,0)</f>
        <v/>
      </c>
      <c r="B1418">
        <f>B1417+A1418</f>
        <v/>
      </c>
      <c r="C1418">
        <f>IF(1415&gt;$B$4503,"",MATCH(1415-0.5,$B$3:$B$4503,1))</f>
        <v/>
      </c>
      <c r="D1418">
        <f>"State CSR ("&amp;IF(LEN(INDEX('Providers'!$E$4:$E$503,415))=0,"",INDEX('Providers'!$E$4:$E$503,415))&amp;") – "&amp;IF(LEN(INDEX('Providers'!$A$4:$A$503,415))=0,"",INDEX('Providers'!$A$4:$A$503,415))</f>
        <v/>
      </c>
      <c r="E1418">
        <f>IF(ISNUMBER(INDEX('Providers'!$K$4:$K$503,415)),TEXT(INDEX('Providers'!$K$4:$K$503,415),"yyyy-mm-dd"),"")</f>
        <v/>
      </c>
      <c r="F1418">
        <f>"Registration"</f>
        <v/>
      </c>
      <c r="G1418">
        <f>""</f>
        <v/>
      </c>
      <c r="H1418">
        <f>"High"</f>
        <v/>
      </c>
      <c r="I1418">
        <f>TRIM(IF(LEN(IF(LEN(INDEX('Providers'!$J$4:$J$503,415))=0,"",INDEX('Providers'!$J$4:$J$503,415)))=0,"","CSR no.: "&amp;IF(LEN(INDEX('Providers'!$J$4:$J$503,415))=0,"",INDEX('Providers'!$J$4:$J$503,415))&amp;". ")&amp;IF(LEN(IF(LEN(INDEX('Providers'!$C$4:$C$503,415))=0,"",INDEX('Providers'!$C$4:$C$503,415)))=0,"","NPI: "&amp;IF(LEN(INDEX('Providers'!$C$4:$C$503,415))=0,"",INDEX('Providers'!$C$4:$C$503,415))&amp;". "))</f>
        <v/>
      </c>
      <c r="J1418">
        <f>IF(LEN(INDEX('Providers'!$AJ$4:$AJ$503,415))=0,"",INDEX('Providers'!$AJ$4:$AJ$503,415))</f>
        <v/>
      </c>
      <c r="K1418">
        <f>IF(LEN(INDEX('Providers'!$AI$4:$AI$503,415))=0,"",INDEX('Providers'!$AI$4:$AI$503,415))</f>
        <v/>
      </c>
    </row>
    <row r="1419">
      <c r="A1419">
        <f>IF(AND(LEN('Providers'!A419)&gt;0,ISNUMBER('Providers'!K419)),1,0)</f>
        <v/>
      </c>
      <c r="B1419">
        <f>B1418+A1419</f>
        <v/>
      </c>
      <c r="C1419">
        <f>IF(1416&gt;$B$4503,"",MATCH(1416-0.5,$B$3:$B$4503,1))</f>
        <v/>
      </c>
      <c r="D1419">
        <f>"State CSR ("&amp;IF(LEN(INDEX('Providers'!$E$4:$E$503,416))=0,"",INDEX('Providers'!$E$4:$E$503,416))&amp;") – "&amp;IF(LEN(INDEX('Providers'!$A$4:$A$503,416))=0,"",INDEX('Providers'!$A$4:$A$503,416))</f>
        <v/>
      </c>
      <c r="E1419">
        <f>IF(ISNUMBER(INDEX('Providers'!$K$4:$K$503,416)),TEXT(INDEX('Providers'!$K$4:$K$503,416),"yyyy-mm-dd"),"")</f>
        <v/>
      </c>
      <c r="F1419">
        <f>"Registration"</f>
        <v/>
      </c>
      <c r="G1419">
        <f>""</f>
        <v/>
      </c>
      <c r="H1419">
        <f>"High"</f>
        <v/>
      </c>
      <c r="I1419">
        <f>TRIM(IF(LEN(IF(LEN(INDEX('Providers'!$J$4:$J$503,416))=0,"",INDEX('Providers'!$J$4:$J$503,416)))=0,"","CSR no.: "&amp;IF(LEN(INDEX('Providers'!$J$4:$J$503,416))=0,"",INDEX('Providers'!$J$4:$J$503,416))&amp;". ")&amp;IF(LEN(IF(LEN(INDEX('Providers'!$C$4:$C$503,416))=0,"",INDEX('Providers'!$C$4:$C$503,416)))=0,"","NPI: "&amp;IF(LEN(INDEX('Providers'!$C$4:$C$503,416))=0,"",INDEX('Providers'!$C$4:$C$503,416))&amp;". "))</f>
        <v/>
      </c>
      <c r="J1419">
        <f>IF(LEN(INDEX('Providers'!$AJ$4:$AJ$503,416))=0,"",INDEX('Providers'!$AJ$4:$AJ$503,416))</f>
        <v/>
      </c>
      <c r="K1419">
        <f>IF(LEN(INDEX('Providers'!$AI$4:$AI$503,416))=0,"",INDEX('Providers'!$AI$4:$AI$503,416))</f>
        <v/>
      </c>
    </row>
    <row r="1420">
      <c r="A1420">
        <f>IF(AND(LEN('Providers'!A420)&gt;0,ISNUMBER('Providers'!K420)),1,0)</f>
        <v/>
      </c>
      <c r="B1420">
        <f>B1419+A1420</f>
        <v/>
      </c>
      <c r="C1420">
        <f>IF(1417&gt;$B$4503,"",MATCH(1417-0.5,$B$3:$B$4503,1))</f>
        <v/>
      </c>
      <c r="D1420">
        <f>"State CSR ("&amp;IF(LEN(INDEX('Providers'!$E$4:$E$503,417))=0,"",INDEX('Providers'!$E$4:$E$503,417))&amp;") – "&amp;IF(LEN(INDEX('Providers'!$A$4:$A$503,417))=0,"",INDEX('Providers'!$A$4:$A$503,417))</f>
        <v/>
      </c>
      <c r="E1420">
        <f>IF(ISNUMBER(INDEX('Providers'!$K$4:$K$503,417)),TEXT(INDEX('Providers'!$K$4:$K$503,417),"yyyy-mm-dd"),"")</f>
        <v/>
      </c>
      <c r="F1420">
        <f>"Registration"</f>
        <v/>
      </c>
      <c r="G1420">
        <f>""</f>
        <v/>
      </c>
      <c r="H1420">
        <f>"High"</f>
        <v/>
      </c>
      <c r="I1420">
        <f>TRIM(IF(LEN(IF(LEN(INDEX('Providers'!$J$4:$J$503,417))=0,"",INDEX('Providers'!$J$4:$J$503,417)))=0,"","CSR no.: "&amp;IF(LEN(INDEX('Providers'!$J$4:$J$503,417))=0,"",INDEX('Providers'!$J$4:$J$503,417))&amp;". ")&amp;IF(LEN(IF(LEN(INDEX('Providers'!$C$4:$C$503,417))=0,"",INDEX('Providers'!$C$4:$C$503,417)))=0,"","NPI: "&amp;IF(LEN(INDEX('Providers'!$C$4:$C$503,417))=0,"",INDEX('Providers'!$C$4:$C$503,417))&amp;". "))</f>
        <v/>
      </c>
      <c r="J1420">
        <f>IF(LEN(INDEX('Providers'!$AJ$4:$AJ$503,417))=0,"",INDEX('Providers'!$AJ$4:$AJ$503,417))</f>
        <v/>
      </c>
      <c r="K1420">
        <f>IF(LEN(INDEX('Providers'!$AI$4:$AI$503,417))=0,"",INDEX('Providers'!$AI$4:$AI$503,417))</f>
        <v/>
      </c>
    </row>
    <row r="1421">
      <c r="A1421">
        <f>IF(AND(LEN('Providers'!A421)&gt;0,ISNUMBER('Providers'!K421)),1,0)</f>
        <v/>
      </c>
      <c r="B1421">
        <f>B1420+A1421</f>
        <v/>
      </c>
      <c r="C1421">
        <f>IF(1418&gt;$B$4503,"",MATCH(1418-0.5,$B$3:$B$4503,1))</f>
        <v/>
      </c>
      <c r="D1421">
        <f>"State CSR ("&amp;IF(LEN(INDEX('Providers'!$E$4:$E$503,418))=0,"",INDEX('Providers'!$E$4:$E$503,418))&amp;") – "&amp;IF(LEN(INDEX('Providers'!$A$4:$A$503,418))=0,"",INDEX('Providers'!$A$4:$A$503,418))</f>
        <v/>
      </c>
      <c r="E1421">
        <f>IF(ISNUMBER(INDEX('Providers'!$K$4:$K$503,418)),TEXT(INDEX('Providers'!$K$4:$K$503,418),"yyyy-mm-dd"),"")</f>
        <v/>
      </c>
      <c r="F1421">
        <f>"Registration"</f>
        <v/>
      </c>
      <c r="G1421">
        <f>""</f>
        <v/>
      </c>
      <c r="H1421">
        <f>"High"</f>
        <v/>
      </c>
      <c r="I1421">
        <f>TRIM(IF(LEN(IF(LEN(INDEX('Providers'!$J$4:$J$503,418))=0,"",INDEX('Providers'!$J$4:$J$503,418)))=0,"","CSR no.: "&amp;IF(LEN(INDEX('Providers'!$J$4:$J$503,418))=0,"",INDEX('Providers'!$J$4:$J$503,418))&amp;". ")&amp;IF(LEN(IF(LEN(INDEX('Providers'!$C$4:$C$503,418))=0,"",INDEX('Providers'!$C$4:$C$503,418)))=0,"","NPI: "&amp;IF(LEN(INDEX('Providers'!$C$4:$C$503,418))=0,"",INDEX('Providers'!$C$4:$C$503,418))&amp;". "))</f>
        <v/>
      </c>
      <c r="J1421">
        <f>IF(LEN(INDEX('Providers'!$AJ$4:$AJ$503,418))=0,"",INDEX('Providers'!$AJ$4:$AJ$503,418))</f>
        <v/>
      </c>
      <c r="K1421">
        <f>IF(LEN(INDEX('Providers'!$AI$4:$AI$503,418))=0,"",INDEX('Providers'!$AI$4:$AI$503,418))</f>
        <v/>
      </c>
    </row>
    <row r="1422">
      <c r="A1422">
        <f>IF(AND(LEN('Providers'!A422)&gt;0,ISNUMBER('Providers'!K422)),1,0)</f>
        <v/>
      </c>
      <c r="B1422">
        <f>B1421+A1422</f>
        <v/>
      </c>
      <c r="C1422">
        <f>IF(1419&gt;$B$4503,"",MATCH(1419-0.5,$B$3:$B$4503,1))</f>
        <v/>
      </c>
      <c r="D1422">
        <f>"State CSR ("&amp;IF(LEN(INDEX('Providers'!$E$4:$E$503,419))=0,"",INDEX('Providers'!$E$4:$E$503,419))&amp;") – "&amp;IF(LEN(INDEX('Providers'!$A$4:$A$503,419))=0,"",INDEX('Providers'!$A$4:$A$503,419))</f>
        <v/>
      </c>
      <c r="E1422">
        <f>IF(ISNUMBER(INDEX('Providers'!$K$4:$K$503,419)),TEXT(INDEX('Providers'!$K$4:$K$503,419),"yyyy-mm-dd"),"")</f>
        <v/>
      </c>
      <c r="F1422">
        <f>"Registration"</f>
        <v/>
      </c>
      <c r="G1422">
        <f>""</f>
        <v/>
      </c>
      <c r="H1422">
        <f>"High"</f>
        <v/>
      </c>
      <c r="I1422">
        <f>TRIM(IF(LEN(IF(LEN(INDEX('Providers'!$J$4:$J$503,419))=0,"",INDEX('Providers'!$J$4:$J$503,419)))=0,"","CSR no.: "&amp;IF(LEN(INDEX('Providers'!$J$4:$J$503,419))=0,"",INDEX('Providers'!$J$4:$J$503,419))&amp;". ")&amp;IF(LEN(IF(LEN(INDEX('Providers'!$C$4:$C$503,419))=0,"",INDEX('Providers'!$C$4:$C$503,419)))=0,"","NPI: "&amp;IF(LEN(INDEX('Providers'!$C$4:$C$503,419))=0,"",INDEX('Providers'!$C$4:$C$503,419))&amp;". "))</f>
        <v/>
      </c>
      <c r="J1422">
        <f>IF(LEN(INDEX('Providers'!$AJ$4:$AJ$503,419))=0,"",INDEX('Providers'!$AJ$4:$AJ$503,419))</f>
        <v/>
      </c>
      <c r="K1422">
        <f>IF(LEN(INDEX('Providers'!$AI$4:$AI$503,419))=0,"",INDEX('Providers'!$AI$4:$AI$503,419))</f>
        <v/>
      </c>
    </row>
    <row r="1423">
      <c r="A1423">
        <f>IF(AND(LEN('Providers'!A423)&gt;0,ISNUMBER('Providers'!K423)),1,0)</f>
        <v/>
      </c>
      <c r="B1423">
        <f>B1422+A1423</f>
        <v/>
      </c>
      <c r="C1423">
        <f>IF(1420&gt;$B$4503,"",MATCH(1420-0.5,$B$3:$B$4503,1))</f>
        <v/>
      </c>
      <c r="D1423">
        <f>"State CSR ("&amp;IF(LEN(INDEX('Providers'!$E$4:$E$503,420))=0,"",INDEX('Providers'!$E$4:$E$503,420))&amp;") – "&amp;IF(LEN(INDEX('Providers'!$A$4:$A$503,420))=0,"",INDEX('Providers'!$A$4:$A$503,420))</f>
        <v/>
      </c>
      <c r="E1423">
        <f>IF(ISNUMBER(INDEX('Providers'!$K$4:$K$503,420)),TEXT(INDEX('Providers'!$K$4:$K$503,420),"yyyy-mm-dd"),"")</f>
        <v/>
      </c>
      <c r="F1423">
        <f>"Registration"</f>
        <v/>
      </c>
      <c r="G1423">
        <f>""</f>
        <v/>
      </c>
      <c r="H1423">
        <f>"High"</f>
        <v/>
      </c>
      <c r="I1423">
        <f>TRIM(IF(LEN(IF(LEN(INDEX('Providers'!$J$4:$J$503,420))=0,"",INDEX('Providers'!$J$4:$J$503,420)))=0,"","CSR no.: "&amp;IF(LEN(INDEX('Providers'!$J$4:$J$503,420))=0,"",INDEX('Providers'!$J$4:$J$503,420))&amp;". ")&amp;IF(LEN(IF(LEN(INDEX('Providers'!$C$4:$C$503,420))=0,"",INDEX('Providers'!$C$4:$C$503,420)))=0,"","NPI: "&amp;IF(LEN(INDEX('Providers'!$C$4:$C$503,420))=0,"",INDEX('Providers'!$C$4:$C$503,420))&amp;". "))</f>
        <v/>
      </c>
      <c r="J1423">
        <f>IF(LEN(INDEX('Providers'!$AJ$4:$AJ$503,420))=0,"",INDEX('Providers'!$AJ$4:$AJ$503,420))</f>
        <v/>
      </c>
      <c r="K1423">
        <f>IF(LEN(INDEX('Providers'!$AI$4:$AI$503,420))=0,"",INDEX('Providers'!$AI$4:$AI$503,420))</f>
        <v/>
      </c>
    </row>
    <row r="1424">
      <c r="A1424">
        <f>IF(AND(LEN('Providers'!A424)&gt;0,ISNUMBER('Providers'!K424)),1,0)</f>
        <v/>
      </c>
      <c r="B1424">
        <f>B1423+A1424</f>
        <v/>
      </c>
      <c r="C1424">
        <f>IF(1421&gt;$B$4503,"",MATCH(1421-0.5,$B$3:$B$4503,1))</f>
        <v/>
      </c>
      <c r="D1424">
        <f>"State CSR ("&amp;IF(LEN(INDEX('Providers'!$E$4:$E$503,421))=0,"",INDEX('Providers'!$E$4:$E$503,421))&amp;") – "&amp;IF(LEN(INDEX('Providers'!$A$4:$A$503,421))=0,"",INDEX('Providers'!$A$4:$A$503,421))</f>
        <v/>
      </c>
      <c r="E1424">
        <f>IF(ISNUMBER(INDEX('Providers'!$K$4:$K$503,421)),TEXT(INDEX('Providers'!$K$4:$K$503,421),"yyyy-mm-dd"),"")</f>
        <v/>
      </c>
      <c r="F1424">
        <f>"Registration"</f>
        <v/>
      </c>
      <c r="G1424">
        <f>""</f>
        <v/>
      </c>
      <c r="H1424">
        <f>"High"</f>
        <v/>
      </c>
      <c r="I1424">
        <f>TRIM(IF(LEN(IF(LEN(INDEX('Providers'!$J$4:$J$503,421))=0,"",INDEX('Providers'!$J$4:$J$503,421)))=0,"","CSR no.: "&amp;IF(LEN(INDEX('Providers'!$J$4:$J$503,421))=0,"",INDEX('Providers'!$J$4:$J$503,421))&amp;". ")&amp;IF(LEN(IF(LEN(INDEX('Providers'!$C$4:$C$503,421))=0,"",INDEX('Providers'!$C$4:$C$503,421)))=0,"","NPI: "&amp;IF(LEN(INDEX('Providers'!$C$4:$C$503,421))=0,"",INDEX('Providers'!$C$4:$C$503,421))&amp;". "))</f>
        <v/>
      </c>
      <c r="J1424">
        <f>IF(LEN(INDEX('Providers'!$AJ$4:$AJ$503,421))=0,"",INDEX('Providers'!$AJ$4:$AJ$503,421))</f>
        <v/>
      </c>
      <c r="K1424">
        <f>IF(LEN(INDEX('Providers'!$AI$4:$AI$503,421))=0,"",INDEX('Providers'!$AI$4:$AI$503,421))</f>
        <v/>
      </c>
    </row>
    <row r="1425">
      <c r="A1425">
        <f>IF(AND(LEN('Providers'!A425)&gt;0,ISNUMBER('Providers'!K425)),1,0)</f>
        <v/>
      </c>
      <c r="B1425">
        <f>B1424+A1425</f>
        <v/>
      </c>
      <c r="C1425">
        <f>IF(1422&gt;$B$4503,"",MATCH(1422-0.5,$B$3:$B$4503,1))</f>
        <v/>
      </c>
      <c r="D1425">
        <f>"State CSR ("&amp;IF(LEN(INDEX('Providers'!$E$4:$E$503,422))=0,"",INDEX('Providers'!$E$4:$E$503,422))&amp;") – "&amp;IF(LEN(INDEX('Providers'!$A$4:$A$503,422))=0,"",INDEX('Providers'!$A$4:$A$503,422))</f>
        <v/>
      </c>
      <c r="E1425">
        <f>IF(ISNUMBER(INDEX('Providers'!$K$4:$K$503,422)),TEXT(INDEX('Providers'!$K$4:$K$503,422),"yyyy-mm-dd"),"")</f>
        <v/>
      </c>
      <c r="F1425">
        <f>"Registration"</f>
        <v/>
      </c>
      <c r="G1425">
        <f>""</f>
        <v/>
      </c>
      <c r="H1425">
        <f>"High"</f>
        <v/>
      </c>
      <c r="I1425">
        <f>TRIM(IF(LEN(IF(LEN(INDEX('Providers'!$J$4:$J$503,422))=0,"",INDEX('Providers'!$J$4:$J$503,422)))=0,"","CSR no.: "&amp;IF(LEN(INDEX('Providers'!$J$4:$J$503,422))=0,"",INDEX('Providers'!$J$4:$J$503,422))&amp;". ")&amp;IF(LEN(IF(LEN(INDEX('Providers'!$C$4:$C$503,422))=0,"",INDEX('Providers'!$C$4:$C$503,422)))=0,"","NPI: "&amp;IF(LEN(INDEX('Providers'!$C$4:$C$503,422))=0,"",INDEX('Providers'!$C$4:$C$503,422))&amp;". "))</f>
        <v/>
      </c>
      <c r="J1425">
        <f>IF(LEN(INDEX('Providers'!$AJ$4:$AJ$503,422))=0,"",INDEX('Providers'!$AJ$4:$AJ$503,422))</f>
        <v/>
      </c>
      <c r="K1425">
        <f>IF(LEN(INDEX('Providers'!$AI$4:$AI$503,422))=0,"",INDEX('Providers'!$AI$4:$AI$503,422))</f>
        <v/>
      </c>
    </row>
    <row r="1426">
      <c r="A1426">
        <f>IF(AND(LEN('Providers'!A426)&gt;0,ISNUMBER('Providers'!K426)),1,0)</f>
        <v/>
      </c>
      <c r="B1426">
        <f>B1425+A1426</f>
        <v/>
      </c>
      <c r="C1426">
        <f>IF(1423&gt;$B$4503,"",MATCH(1423-0.5,$B$3:$B$4503,1))</f>
        <v/>
      </c>
      <c r="D1426">
        <f>"State CSR ("&amp;IF(LEN(INDEX('Providers'!$E$4:$E$503,423))=0,"",INDEX('Providers'!$E$4:$E$503,423))&amp;") – "&amp;IF(LEN(INDEX('Providers'!$A$4:$A$503,423))=0,"",INDEX('Providers'!$A$4:$A$503,423))</f>
        <v/>
      </c>
      <c r="E1426">
        <f>IF(ISNUMBER(INDEX('Providers'!$K$4:$K$503,423)),TEXT(INDEX('Providers'!$K$4:$K$503,423),"yyyy-mm-dd"),"")</f>
        <v/>
      </c>
      <c r="F1426">
        <f>"Registration"</f>
        <v/>
      </c>
      <c r="G1426">
        <f>""</f>
        <v/>
      </c>
      <c r="H1426">
        <f>"High"</f>
        <v/>
      </c>
      <c r="I1426">
        <f>TRIM(IF(LEN(IF(LEN(INDEX('Providers'!$J$4:$J$503,423))=0,"",INDEX('Providers'!$J$4:$J$503,423)))=0,"","CSR no.: "&amp;IF(LEN(INDEX('Providers'!$J$4:$J$503,423))=0,"",INDEX('Providers'!$J$4:$J$503,423))&amp;". ")&amp;IF(LEN(IF(LEN(INDEX('Providers'!$C$4:$C$503,423))=0,"",INDEX('Providers'!$C$4:$C$503,423)))=0,"","NPI: "&amp;IF(LEN(INDEX('Providers'!$C$4:$C$503,423))=0,"",INDEX('Providers'!$C$4:$C$503,423))&amp;". "))</f>
        <v/>
      </c>
      <c r="J1426">
        <f>IF(LEN(INDEX('Providers'!$AJ$4:$AJ$503,423))=0,"",INDEX('Providers'!$AJ$4:$AJ$503,423))</f>
        <v/>
      </c>
      <c r="K1426">
        <f>IF(LEN(INDEX('Providers'!$AI$4:$AI$503,423))=0,"",INDEX('Providers'!$AI$4:$AI$503,423))</f>
        <v/>
      </c>
    </row>
    <row r="1427">
      <c r="A1427">
        <f>IF(AND(LEN('Providers'!A427)&gt;0,ISNUMBER('Providers'!K427)),1,0)</f>
        <v/>
      </c>
      <c r="B1427">
        <f>B1426+A1427</f>
        <v/>
      </c>
      <c r="C1427">
        <f>IF(1424&gt;$B$4503,"",MATCH(1424-0.5,$B$3:$B$4503,1))</f>
        <v/>
      </c>
      <c r="D1427">
        <f>"State CSR ("&amp;IF(LEN(INDEX('Providers'!$E$4:$E$503,424))=0,"",INDEX('Providers'!$E$4:$E$503,424))&amp;") – "&amp;IF(LEN(INDEX('Providers'!$A$4:$A$503,424))=0,"",INDEX('Providers'!$A$4:$A$503,424))</f>
        <v/>
      </c>
      <c r="E1427">
        <f>IF(ISNUMBER(INDEX('Providers'!$K$4:$K$503,424)),TEXT(INDEX('Providers'!$K$4:$K$503,424),"yyyy-mm-dd"),"")</f>
        <v/>
      </c>
      <c r="F1427">
        <f>"Registration"</f>
        <v/>
      </c>
      <c r="G1427">
        <f>""</f>
        <v/>
      </c>
      <c r="H1427">
        <f>"High"</f>
        <v/>
      </c>
      <c r="I1427">
        <f>TRIM(IF(LEN(IF(LEN(INDEX('Providers'!$J$4:$J$503,424))=0,"",INDEX('Providers'!$J$4:$J$503,424)))=0,"","CSR no.: "&amp;IF(LEN(INDEX('Providers'!$J$4:$J$503,424))=0,"",INDEX('Providers'!$J$4:$J$503,424))&amp;". ")&amp;IF(LEN(IF(LEN(INDEX('Providers'!$C$4:$C$503,424))=0,"",INDEX('Providers'!$C$4:$C$503,424)))=0,"","NPI: "&amp;IF(LEN(INDEX('Providers'!$C$4:$C$503,424))=0,"",INDEX('Providers'!$C$4:$C$503,424))&amp;". "))</f>
        <v/>
      </c>
      <c r="J1427">
        <f>IF(LEN(INDEX('Providers'!$AJ$4:$AJ$503,424))=0,"",INDEX('Providers'!$AJ$4:$AJ$503,424))</f>
        <v/>
      </c>
      <c r="K1427">
        <f>IF(LEN(INDEX('Providers'!$AI$4:$AI$503,424))=0,"",INDEX('Providers'!$AI$4:$AI$503,424))</f>
        <v/>
      </c>
    </row>
    <row r="1428">
      <c r="A1428">
        <f>IF(AND(LEN('Providers'!A428)&gt;0,ISNUMBER('Providers'!K428)),1,0)</f>
        <v/>
      </c>
      <c r="B1428">
        <f>B1427+A1428</f>
        <v/>
      </c>
      <c r="C1428">
        <f>IF(1425&gt;$B$4503,"",MATCH(1425-0.5,$B$3:$B$4503,1))</f>
        <v/>
      </c>
      <c r="D1428">
        <f>"State CSR ("&amp;IF(LEN(INDEX('Providers'!$E$4:$E$503,425))=0,"",INDEX('Providers'!$E$4:$E$503,425))&amp;") – "&amp;IF(LEN(INDEX('Providers'!$A$4:$A$503,425))=0,"",INDEX('Providers'!$A$4:$A$503,425))</f>
        <v/>
      </c>
      <c r="E1428">
        <f>IF(ISNUMBER(INDEX('Providers'!$K$4:$K$503,425)),TEXT(INDEX('Providers'!$K$4:$K$503,425),"yyyy-mm-dd"),"")</f>
        <v/>
      </c>
      <c r="F1428">
        <f>"Registration"</f>
        <v/>
      </c>
      <c r="G1428">
        <f>""</f>
        <v/>
      </c>
      <c r="H1428">
        <f>"High"</f>
        <v/>
      </c>
      <c r="I1428">
        <f>TRIM(IF(LEN(IF(LEN(INDEX('Providers'!$J$4:$J$503,425))=0,"",INDEX('Providers'!$J$4:$J$503,425)))=0,"","CSR no.: "&amp;IF(LEN(INDEX('Providers'!$J$4:$J$503,425))=0,"",INDEX('Providers'!$J$4:$J$503,425))&amp;". ")&amp;IF(LEN(IF(LEN(INDEX('Providers'!$C$4:$C$503,425))=0,"",INDEX('Providers'!$C$4:$C$503,425)))=0,"","NPI: "&amp;IF(LEN(INDEX('Providers'!$C$4:$C$503,425))=0,"",INDEX('Providers'!$C$4:$C$503,425))&amp;". "))</f>
        <v/>
      </c>
      <c r="J1428">
        <f>IF(LEN(INDEX('Providers'!$AJ$4:$AJ$503,425))=0,"",INDEX('Providers'!$AJ$4:$AJ$503,425))</f>
        <v/>
      </c>
      <c r="K1428">
        <f>IF(LEN(INDEX('Providers'!$AI$4:$AI$503,425))=0,"",INDEX('Providers'!$AI$4:$AI$503,425))</f>
        <v/>
      </c>
    </row>
    <row r="1429">
      <c r="A1429">
        <f>IF(AND(LEN('Providers'!A429)&gt;0,ISNUMBER('Providers'!K429)),1,0)</f>
        <v/>
      </c>
      <c r="B1429">
        <f>B1428+A1429</f>
        <v/>
      </c>
      <c r="C1429">
        <f>IF(1426&gt;$B$4503,"",MATCH(1426-0.5,$B$3:$B$4503,1))</f>
        <v/>
      </c>
      <c r="D1429">
        <f>"State CSR ("&amp;IF(LEN(INDEX('Providers'!$E$4:$E$503,426))=0,"",INDEX('Providers'!$E$4:$E$503,426))&amp;") – "&amp;IF(LEN(INDEX('Providers'!$A$4:$A$503,426))=0,"",INDEX('Providers'!$A$4:$A$503,426))</f>
        <v/>
      </c>
      <c r="E1429">
        <f>IF(ISNUMBER(INDEX('Providers'!$K$4:$K$503,426)),TEXT(INDEX('Providers'!$K$4:$K$503,426),"yyyy-mm-dd"),"")</f>
        <v/>
      </c>
      <c r="F1429">
        <f>"Registration"</f>
        <v/>
      </c>
      <c r="G1429">
        <f>""</f>
        <v/>
      </c>
      <c r="H1429">
        <f>"High"</f>
        <v/>
      </c>
      <c r="I1429">
        <f>TRIM(IF(LEN(IF(LEN(INDEX('Providers'!$J$4:$J$503,426))=0,"",INDEX('Providers'!$J$4:$J$503,426)))=0,"","CSR no.: "&amp;IF(LEN(INDEX('Providers'!$J$4:$J$503,426))=0,"",INDEX('Providers'!$J$4:$J$503,426))&amp;". ")&amp;IF(LEN(IF(LEN(INDEX('Providers'!$C$4:$C$503,426))=0,"",INDEX('Providers'!$C$4:$C$503,426)))=0,"","NPI: "&amp;IF(LEN(INDEX('Providers'!$C$4:$C$503,426))=0,"",INDEX('Providers'!$C$4:$C$503,426))&amp;". "))</f>
        <v/>
      </c>
      <c r="J1429">
        <f>IF(LEN(INDEX('Providers'!$AJ$4:$AJ$503,426))=0,"",INDEX('Providers'!$AJ$4:$AJ$503,426))</f>
        <v/>
      </c>
      <c r="K1429">
        <f>IF(LEN(INDEX('Providers'!$AI$4:$AI$503,426))=0,"",INDEX('Providers'!$AI$4:$AI$503,426))</f>
        <v/>
      </c>
    </row>
    <row r="1430">
      <c r="A1430">
        <f>IF(AND(LEN('Providers'!A430)&gt;0,ISNUMBER('Providers'!K430)),1,0)</f>
        <v/>
      </c>
      <c r="B1430">
        <f>B1429+A1430</f>
        <v/>
      </c>
      <c r="C1430">
        <f>IF(1427&gt;$B$4503,"",MATCH(1427-0.5,$B$3:$B$4503,1))</f>
        <v/>
      </c>
      <c r="D1430">
        <f>"State CSR ("&amp;IF(LEN(INDEX('Providers'!$E$4:$E$503,427))=0,"",INDEX('Providers'!$E$4:$E$503,427))&amp;") – "&amp;IF(LEN(INDEX('Providers'!$A$4:$A$503,427))=0,"",INDEX('Providers'!$A$4:$A$503,427))</f>
        <v/>
      </c>
      <c r="E1430">
        <f>IF(ISNUMBER(INDEX('Providers'!$K$4:$K$503,427)),TEXT(INDEX('Providers'!$K$4:$K$503,427),"yyyy-mm-dd"),"")</f>
        <v/>
      </c>
      <c r="F1430">
        <f>"Registration"</f>
        <v/>
      </c>
      <c r="G1430">
        <f>""</f>
        <v/>
      </c>
      <c r="H1430">
        <f>"High"</f>
        <v/>
      </c>
      <c r="I1430">
        <f>TRIM(IF(LEN(IF(LEN(INDEX('Providers'!$J$4:$J$503,427))=0,"",INDEX('Providers'!$J$4:$J$503,427)))=0,"","CSR no.: "&amp;IF(LEN(INDEX('Providers'!$J$4:$J$503,427))=0,"",INDEX('Providers'!$J$4:$J$503,427))&amp;". ")&amp;IF(LEN(IF(LEN(INDEX('Providers'!$C$4:$C$503,427))=0,"",INDEX('Providers'!$C$4:$C$503,427)))=0,"","NPI: "&amp;IF(LEN(INDEX('Providers'!$C$4:$C$503,427))=0,"",INDEX('Providers'!$C$4:$C$503,427))&amp;". "))</f>
        <v/>
      </c>
      <c r="J1430">
        <f>IF(LEN(INDEX('Providers'!$AJ$4:$AJ$503,427))=0,"",INDEX('Providers'!$AJ$4:$AJ$503,427))</f>
        <v/>
      </c>
      <c r="K1430">
        <f>IF(LEN(INDEX('Providers'!$AI$4:$AI$503,427))=0,"",INDEX('Providers'!$AI$4:$AI$503,427))</f>
        <v/>
      </c>
    </row>
    <row r="1431">
      <c r="A1431">
        <f>IF(AND(LEN('Providers'!A431)&gt;0,ISNUMBER('Providers'!K431)),1,0)</f>
        <v/>
      </c>
      <c r="B1431">
        <f>B1430+A1431</f>
        <v/>
      </c>
      <c r="C1431">
        <f>IF(1428&gt;$B$4503,"",MATCH(1428-0.5,$B$3:$B$4503,1))</f>
        <v/>
      </c>
      <c r="D1431">
        <f>"State CSR ("&amp;IF(LEN(INDEX('Providers'!$E$4:$E$503,428))=0,"",INDEX('Providers'!$E$4:$E$503,428))&amp;") – "&amp;IF(LEN(INDEX('Providers'!$A$4:$A$503,428))=0,"",INDEX('Providers'!$A$4:$A$503,428))</f>
        <v/>
      </c>
      <c r="E1431">
        <f>IF(ISNUMBER(INDEX('Providers'!$K$4:$K$503,428)),TEXT(INDEX('Providers'!$K$4:$K$503,428),"yyyy-mm-dd"),"")</f>
        <v/>
      </c>
      <c r="F1431">
        <f>"Registration"</f>
        <v/>
      </c>
      <c r="G1431">
        <f>""</f>
        <v/>
      </c>
      <c r="H1431">
        <f>"High"</f>
        <v/>
      </c>
      <c r="I1431">
        <f>TRIM(IF(LEN(IF(LEN(INDEX('Providers'!$J$4:$J$503,428))=0,"",INDEX('Providers'!$J$4:$J$503,428)))=0,"","CSR no.: "&amp;IF(LEN(INDEX('Providers'!$J$4:$J$503,428))=0,"",INDEX('Providers'!$J$4:$J$503,428))&amp;". ")&amp;IF(LEN(IF(LEN(INDEX('Providers'!$C$4:$C$503,428))=0,"",INDEX('Providers'!$C$4:$C$503,428)))=0,"","NPI: "&amp;IF(LEN(INDEX('Providers'!$C$4:$C$503,428))=0,"",INDEX('Providers'!$C$4:$C$503,428))&amp;". "))</f>
        <v/>
      </c>
      <c r="J1431">
        <f>IF(LEN(INDEX('Providers'!$AJ$4:$AJ$503,428))=0,"",INDEX('Providers'!$AJ$4:$AJ$503,428))</f>
        <v/>
      </c>
      <c r="K1431">
        <f>IF(LEN(INDEX('Providers'!$AI$4:$AI$503,428))=0,"",INDEX('Providers'!$AI$4:$AI$503,428))</f>
        <v/>
      </c>
    </row>
    <row r="1432">
      <c r="A1432">
        <f>IF(AND(LEN('Providers'!A432)&gt;0,ISNUMBER('Providers'!K432)),1,0)</f>
        <v/>
      </c>
      <c r="B1432">
        <f>B1431+A1432</f>
        <v/>
      </c>
      <c r="C1432">
        <f>IF(1429&gt;$B$4503,"",MATCH(1429-0.5,$B$3:$B$4503,1))</f>
        <v/>
      </c>
      <c r="D1432">
        <f>"State CSR ("&amp;IF(LEN(INDEX('Providers'!$E$4:$E$503,429))=0,"",INDEX('Providers'!$E$4:$E$503,429))&amp;") – "&amp;IF(LEN(INDEX('Providers'!$A$4:$A$503,429))=0,"",INDEX('Providers'!$A$4:$A$503,429))</f>
        <v/>
      </c>
      <c r="E1432">
        <f>IF(ISNUMBER(INDEX('Providers'!$K$4:$K$503,429)),TEXT(INDEX('Providers'!$K$4:$K$503,429),"yyyy-mm-dd"),"")</f>
        <v/>
      </c>
      <c r="F1432">
        <f>"Registration"</f>
        <v/>
      </c>
      <c r="G1432">
        <f>""</f>
        <v/>
      </c>
      <c r="H1432">
        <f>"High"</f>
        <v/>
      </c>
      <c r="I1432">
        <f>TRIM(IF(LEN(IF(LEN(INDEX('Providers'!$J$4:$J$503,429))=0,"",INDEX('Providers'!$J$4:$J$503,429)))=0,"","CSR no.: "&amp;IF(LEN(INDEX('Providers'!$J$4:$J$503,429))=0,"",INDEX('Providers'!$J$4:$J$503,429))&amp;". ")&amp;IF(LEN(IF(LEN(INDEX('Providers'!$C$4:$C$503,429))=0,"",INDEX('Providers'!$C$4:$C$503,429)))=0,"","NPI: "&amp;IF(LEN(INDEX('Providers'!$C$4:$C$503,429))=0,"",INDEX('Providers'!$C$4:$C$503,429))&amp;". "))</f>
        <v/>
      </c>
      <c r="J1432">
        <f>IF(LEN(INDEX('Providers'!$AJ$4:$AJ$503,429))=0,"",INDEX('Providers'!$AJ$4:$AJ$503,429))</f>
        <v/>
      </c>
      <c r="K1432">
        <f>IF(LEN(INDEX('Providers'!$AI$4:$AI$503,429))=0,"",INDEX('Providers'!$AI$4:$AI$503,429))</f>
        <v/>
      </c>
    </row>
    <row r="1433">
      <c r="A1433">
        <f>IF(AND(LEN('Providers'!A433)&gt;0,ISNUMBER('Providers'!K433)),1,0)</f>
        <v/>
      </c>
      <c r="B1433">
        <f>B1432+A1433</f>
        <v/>
      </c>
      <c r="C1433">
        <f>IF(1430&gt;$B$4503,"",MATCH(1430-0.5,$B$3:$B$4503,1))</f>
        <v/>
      </c>
      <c r="D1433">
        <f>"State CSR ("&amp;IF(LEN(INDEX('Providers'!$E$4:$E$503,430))=0,"",INDEX('Providers'!$E$4:$E$503,430))&amp;") – "&amp;IF(LEN(INDEX('Providers'!$A$4:$A$503,430))=0,"",INDEX('Providers'!$A$4:$A$503,430))</f>
        <v/>
      </c>
      <c r="E1433">
        <f>IF(ISNUMBER(INDEX('Providers'!$K$4:$K$503,430)),TEXT(INDEX('Providers'!$K$4:$K$503,430),"yyyy-mm-dd"),"")</f>
        <v/>
      </c>
      <c r="F1433">
        <f>"Registration"</f>
        <v/>
      </c>
      <c r="G1433">
        <f>""</f>
        <v/>
      </c>
      <c r="H1433">
        <f>"High"</f>
        <v/>
      </c>
      <c r="I1433">
        <f>TRIM(IF(LEN(IF(LEN(INDEX('Providers'!$J$4:$J$503,430))=0,"",INDEX('Providers'!$J$4:$J$503,430)))=0,"","CSR no.: "&amp;IF(LEN(INDEX('Providers'!$J$4:$J$503,430))=0,"",INDEX('Providers'!$J$4:$J$503,430))&amp;". ")&amp;IF(LEN(IF(LEN(INDEX('Providers'!$C$4:$C$503,430))=0,"",INDEX('Providers'!$C$4:$C$503,430)))=0,"","NPI: "&amp;IF(LEN(INDEX('Providers'!$C$4:$C$503,430))=0,"",INDEX('Providers'!$C$4:$C$503,430))&amp;". "))</f>
        <v/>
      </c>
      <c r="J1433">
        <f>IF(LEN(INDEX('Providers'!$AJ$4:$AJ$503,430))=0,"",INDEX('Providers'!$AJ$4:$AJ$503,430))</f>
        <v/>
      </c>
      <c r="K1433">
        <f>IF(LEN(INDEX('Providers'!$AI$4:$AI$503,430))=0,"",INDEX('Providers'!$AI$4:$AI$503,430))</f>
        <v/>
      </c>
    </row>
    <row r="1434">
      <c r="A1434">
        <f>IF(AND(LEN('Providers'!A434)&gt;0,ISNUMBER('Providers'!K434)),1,0)</f>
        <v/>
      </c>
      <c r="B1434">
        <f>B1433+A1434</f>
        <v/>
      </c>
      <c r="C1434">
        <f>IF(1431&gt;$B$4503,"",MATCH(1431-0.5,$B$3:$B$4503,1))</f>
        <v/>
      </c>
      <c r="D1434">
        <f>"State CSR ("&amp;IF(LEN(INDEX('Providers'!$E$4:$E$503,431))=0,"",INDEX('Providers'!$E$4:$E$503,431))&amp;") – "&amp;IF(LEN(INDEX('Providers'!$A$4:$A$503,431))=0,"",INDEX('Providers'!$A$4:$A$503,431))</f>
        <v/>
      </c>
      <c r="E1434">
        <f>IF(ISNUMBER(INDEX('Providers'!$K$4:$K$503,431)),TEXT(INDEX('Providers'!$K$4:$K$503,431),"yyyy-mm-dd"),"")</f>
        <v/>
      </c>
      <c r="F1434">
        <f>"Registration"</f>
        <v/>
      </c>
      <c r="G1434">
        <f>""</f>
        <v/>
      </c>
      <c r="H1434">
        <f>"High"</f>
        <v/>
      </c>
      <c r="I1434">
        <f>TRIM(IF(LEN(IF(LEN(INDEX('Providers'!$J$4:$J$503,431))=0,"",INDEX('Providers'!$J$4:$J$503,431)))=0,"","CSR no.: "&amp;IF(LEN(INDEX('Providers'!$J$4:$J$503,431))=0,"",INDEX('Providers'!$J$4:$J$503,431))&amp;". ")&amp;IF(LEN(IF(LEN(INDEX('Providers'!$C$4:$C$503,431))=0,"",INDEX('Providers'!$C$4:$C$503,431)))=0,"","NPI: "&amp;IF(LEN(INDEX('Providers'!$C$4:$C$503,431))=0,"",INDEX('Providers'!$C$4:$C$503,431))&amp;". "))</f>
        <v/>
      </c>
      <c r="J1434">
        <f>IF(LEN(INDEX('Providers'!$AJ$4:$AJ$503,431))=0,"",INDEX('Providers'!$AJ$4:$AJ$503,431))</f>
        <v/>
      </c>
      <c r="K1434">
        <f>IF(LEN(INDEX('Providers'!$AI$4:$AI$503,431))=0,"",INDEX('Providers'!$AI$4:$AI$503,431))</f>
        <v/>
      </c>
    </row>
    <row r="1435">
      <c r="A1435">
        <f>IF(AND(LEN('Providers'!A435)&gt;0,ISNUMBER('Providers'!K435)),1,0)</f>
        <v/>
      </c>
      <c r="B1435">
        <f>B1434+A1435</f>
        <v/>
      </c>
      <c r="C1435">
        <f>IF(1432&gt;$B$4503,"",MATCH(1432-0.5,$B$3:$B$4503,1))</f>
        <v/>
      </c>
      <c r="D1435">
        <f>"State CSR ("&amp;IF(LEN(INDEX('Providers'!$E$4:$E$503,432))=0,"",INDEX('Providers'!$E$4:$E$503,432))&amp;") – "&amp;IF(LEN(INDEX('Providers'!$A$4:$A$503,432))=0,"",INDEX('Providers'!$A$4:$A$503,432))</f>
        <v/>
      </c>
      <c r="E1435">
        <f>IF(ISNUMBER(INDEX('Providers'!$K$4:$K$503,432)),TEXT(INDEX('Providers'!$K$4:$K$503,432),"yyyy-mm-dd"),"")</f>
        <v/>
      </c>
      <c r="F1435">
        <f>"Registration"</f>
        <v/>
      </c>
      <c r="G1435">
        <f>""</f>
        <v/>
      </c>
      <c r="H1435">
        <f>"High"</f>
        <v/>
      </c>
      <c r="I1435">
        <f>TRIM(IF(LEN(IF(LEN(INDEX('Providers'!$J$4:$J$503,432))=0,"",INDEX('Providers'!$J$4:$J$503,432)))=0,"","CSR no.: "&amp;IF(LEN(INDEX('Providers'!$J$4:$J$503,432))=0,"",INDEX('Providers'!$J$4:$J$503,432))&amp;". ")&amp;IF(LEN(IF(LEN(INDEX('Providers'!$C$4:$C$503,432))=0,"",INDEX('Providers'!$C$4:$C$503,432)))=0,"","NPI: "&amp;IF(LEN(INDEX('Providers'!$C$4:$C$503,432))=0,"",INDEX('Providers'!$C$4:$C$503,432))&amp;". "))</f>
        <v/>
      </c>
      <c r="J1435">
        <f>IF(LEN(INDEX('Providers'!$AJ$4:$AJ$503,432))=0,"",INDEX('Providers'!$AJ$4:$AJ$503,432))</f>
        <v/>
      </c>
      <c r="K1435">
        <f>IF(LEN(INDEX('Providers'!$AI$4:$AI$503,432))=0,"",INDEX('Providers'!$AI$4:$AI$503,432))</f>
        <v/>
      </c>
    </row>
    <row r="1436">
      <c r="A1436">
        <f>IF(AND(LEN('Providers'!A436)&gt;0,ISNUMBER('Providers'!K436)),1,0)</f>
        <v/>
      </c>
      <c r="B1436">
        <f>B1435+A1436</f>
        <v/>
      </c>
      <c r="C1436">
        <f>IF(1433&gt;$B$4503,"",MATCH(1433-0.5,$B$3:$B$4503,1))</f>
        <v/>
      </c>
      <c r="D1436">
        <f>"State CSR ("&amp;IF(LEN(INDEX('Providers'!$E$4:$E$503,433))=0,"",INDEX('Providers'!$E$4:$E$503,433))&amp;") – "&amp;IF(LEN(INDEX('Providers'!$A$4:$A$503,433))=0,"",INDEX('Providers'!$A$4:$A$503,433))</f>
        <v/>
      </c>
      <c r="E1436">
        <f>IF(ISNUMBER(INDEX('Providers'!$K$4:$K$503,433)),TEXT(INDEX('Providers'!$K$4:$K$503,433),"yyyy-mm-dd"),"")</f>
        <v/>
      </c>
      <c r="F1436">
        <f>"Registration"</f>
        <v/>
      </c>
      <c r="G1436">
        <f>""</f>
        <v/>
      </c>
      <c r="H1436">
        <f>"High"</f>
        <v/>
      </c>
      <c r="I1436">
        <f>TRIM(IF(LEN(IF(LEN(INDEX('Providers'!$J$4:$J$503,433))=0,"",INDEX('Providers'!$J$4:$J$503,433)))=0,"","CSR no.: "&amp;IF(LEN(INDEX('Providers'!$J$4:$J$503,433))=0,"",INDEX('Providers'!$J$4:$J$503,433))&amp;". ")&amp;IF(LEN(IF(LEN(INDEX('Providers'!$C$4:$C$503,433))=0,"",INDEX('Providers'!$C$4:$C$503,433)))=0,"","NPI: "&amp;IF(LEN(INDEX('Providers'!$C$4:$C$503,433))=0,"",INDEX('Providers'!$C$4:$C$503,433))&amp;". "))</f>
        <v/>
      </c>
      <c r="J1436">
        <f>IF(LEN(INDEX('Providers'!$AJ$4:$AJ$503,433))=0,"",INDEX('Providers'!$AJ$4:$AJ$503,433))</f>
        <v/>
      </c>
      <c r="K1436">
        <f>IF(LEN(INDEX('Providers'!$AI$4:$AI$503,433))=0,"",INDEX('Providers'!$AI$4:$AI$503,433))</f>
        <v/>
      </c>
    </row>
    <row r="1437">
      <c r="A1437">
        <f>IF(AND(LEN('Providers'!A437)&gt;0,ISNUMBER('Providers'!K437)),1,0)</f>
        <v/>
      </c>
      <c r="B1437">
        <f>B1436+A1437</f>
        <v/>
      </c>
      <c r="C1437">
        <f>IF(1434&gt;$B$4503,"",MATCH(1434-0.5,$B$3:$B$4503,1))</f>
        <v/>
      </c>
      <c r="D1437">
        <f>"State CSR ("&amp;IF(LEN(INDEX('Providers'!$E$4:$E$503,434))=0,"",INDEX('Providers'!$E$4:$E$503,434))&amp;") – "&amp;IF(LEN(INDEX('Providers'!$A$4:$A$503,434))=0,"",INDEX('Providers'!$A$4:$A$503,434))</f>
        <v/>
      </c>
      <c r="E1437">
        <f>IF(ISNUMBER(INDEX('Providers'!$K$4:$K$503,434)),TEXT(INDEX('Providers'!$K$4:$K$503,434),"yyyy-mm-dd"),"")</f>
        <v/>
      </c>
      <c r="F1437">
        <f>"Registration"</f>
        <v/>
      </c>
      <c r="G1437">
        <f>""</f>
        <v/>
      </c>
      <c r="H1437">
        <f>"High"</f>
        <v/>
      </c>
      <c r="I1437">
        <f>TRIM(IF(LEN(IF(LEN(INDEX('Providers'!$J$4:$J$503,434))=0,"",INDEX('Providers'!$J$4:$J$503,434)))=0,"","CSR no.: "&amp;IF(LEN(INDEX('Providers'!$J$4:$J$503,434))=0,"",INDEX('Providers'!$J$4:$J$503,434))&amp;". ")&amp;IF(LEN(IF(LEN(INDEX('Providers'!$C$4:$C$503,434))=0,"",INDEX('Providers'!$C$4:$C$503,434)))=0,"","NPI: "&amp;IF(LEN(INDEX('Providers'!$C$4:$C$503,434))=0,"",INDEX('Providers'!$C$4:$C$503,434))&amp;". "))</f>
        <v/>
      </c>
      <c r="J1437">
        <f>IF(LEN(INDEX('Providers'!$AJ$4:$AJ$503,434))=0,"",INDEX('Providers'!$AJ$4:$AJ$503,434))</f>
        <v/>
      </c>
      <c r="K1437">
        <f>IF(LEN(INDEX('Providers'!$AI$4:$AI$503,434))=0,"",INDEX('Providers'!$AI$4:$AI$503,434))</f>
        <v/>
      </c>
    </row>
    <row r="1438">
      <c r="A1438">
        <f>IF(AND(LEN('Providers'!A438)&gt;0,ISNUMBER('Providers'!K438)),1,0)</f>
        <v/>
      </c>
      <c r="B1438">
        <f>B1437+A1438</f>
        <v/>
      </c>
      <c r="C1438">
        <f>IF(1435&gt;$B$4503,"",MATCH(1435-0.5,$B$3:$B$4503,1))</f>
        <v/>
      </c>
      <c r="D1438">
        <f>"State CSR ("&amp;IF(LEN(INDEX('Providers'!$E$4:$E$503,435))=0,"",INDEX('Providers'!$E$4:$E$503,435))&amp;") – "&amp;IF(LEN(INDEX('Providers'!$A$4:$A$503,435))=0,"",INDEX('Providers'!$A$4:$A$503,435))</f>
        <v/>
      </c>
      <c r="E1438">
        <f>IF(ISNUMBER(INDEX('Providers'!$K$4:$K$503,435)),TEXT(INDEX('Providers'!$K$4:$K$503,435),"yyyy-mm-dd"),"")</f>
        <v/>
      </c>
      <c r="F1438">
        <f>"Registration"</f>
        <v/>
      </c>
      <c r="G1438">
        <f>""</f>
        <v/>
      </c>
      <c r="H1438">
        <f>"High"</f>
        <v/>
      </c>
      <c r="I1438">
        <f>TRIM(IF(LEN(IF(LEN(INDEX('Providers'!$J$4:$J$503,435))=0,"",INDEX('Providers'!$J$4:$J$503,435)))=0,"","CSR no.: "&amp;IF(LEN(INDEX('Providers'!$J$4:$J$503,435))=0,"",INDEX('Providers'!$J$4:$J$503,435))&amp;". ")&amp;IF(LEN(IF(LEN(INDEX('Providers'!$C$4:$C$503,435))=0,"",INDEX('Providers'!$C$4:$C$503,435)))=0,"","NPI: "&amp;IF(LEN(INDEX('Providers'!$C$4:$C$503,435))=0,"",INDEX('Providers'!$C$4:$C$503,435))&amp;". "))</f>
        <v/>
      </c>
      <c r="J1438">
        <f>IF(LEN(INDEX('Providers'!$AJ$4:$AJ$503,435))=0,"",INDEX('Providers'!$AJ$4:$AJ$503,435))</f>
        <v/>
      </c>
      <c r="K1438">
        <f>IF(LEN(INDEX('Providers'!$AI$4:$AI$503,435))=0,"",INDEX('Providers'!$AI$4:$AI$503,435))</f>
        <v/>
      </c>
    </row>
    <row r="1439">
      <c r="A1439">
        <f>IF(AND(LEN('Providers'!A439)&gt;0,ISNUMBER('Providers'!K439)),1,0)</f>
        <v/>
      </c>
      <c r="B1439">
        <f>B1438+A1439</f>
        <v/>
      </c>
      <c r="C1439">
        <f>IF(1436&gt;$B$4503,"",MATCH(1436-0.5,$B$3:$B$4503,1))</f>
        <v/>
      </c>
      <c r="D1439">
        <f>"State CSR ("&amp;IF(LEN(INDEX('Providers'!$E$4:$E$503,436))=0,"",INDEX('Providers'!$E$4:$E$503,436))&amp;") – "&amp;IF(LEN(INDEX('Providers'!$A$4:$A$503,436))=0,"",INDEX('Providers'!$A$4:$A$503,436))</f>
        <v/>
      </c>
      <c r="E1439">
        <f>IF(ISNUMBER(INDEX('Providers'!$K$4:$K$503,436)),TEXT(INDEX('Providers'!$K$4:$K$503,436),"yyyy-mm-dd"),"")</f>
        <v/>
      </c>
      <c r="F1439">
        <f>"Registration"</f>
        <v/>
      </c>
      <c r="G1439">
        <f>""</f>
        <v/>
      </c>
      <c r="H1439">
        <f>"High"</f>
        <v/>
      </c>
      <c r="I1439">
        <f>TRIM(IF(LEN(IF(LEN(INDEX('Providers'!$J$4:$J$503,436))=0,"",INDEX('Providers'!$J$4:$J$503,436)))=0,"","CSR no.: "&amp;IF(LEN(INDEX('Providers'!$J$4:$J$503,436))=0,"",INDEX('Providers'!$J$4:$J$503,436))&amp;". ")&amp;IF(LEN(IF(LEN(INDEX('Providers'!$C$4:$C$503,436))=0,"",INDEX('Providers'!$C$4:$C$503,436)))=0,"","NPI: "&amp;IF(LEN(INDEX('Providers'!$C$4:$C$503,436))=0,"",INDEX('Providers'!$C$4:$C$503,436))&amp;". "))</f>
        <v/>
      </c>
      <c r="J1439">
        <f>IF(LEN(INDEX('Providers'!$AJ$4:$AJ$503,436))=0,"",INDEX('Providers'!$AJ$4:$AJ$503,436))</f>
        <v/>
      </c>
      <c r="K1439">
        <f>IF(LEN(INDEX('Providers'!$AI$4:$AI$503,436))=0,"",INDEX('Providers'!$AI$4:$AI$503,436))</f>
        <v/>
      </c>
    </row>
    <row r="1440">
      <c r="A1440">
        <f>IF(AND(LEN('Providers'!A440)&gt;0,ISNUMBER('Providers'!K440)),1,0)</f>
        <v/>
      </c>
      <c r="B1440">
        <f>B1439+A1440</f>
        <v/>
      </c>
      <c r="C1440">
        <f>IF(1437&gt;$B$4503,"",MATCH(1437-0.5,$B$3:$B$4503,1))</f>
        <v/>
      </c>
      <c r="D1440">
        <f>"State CSR ("&amp;IF(LEN(INDEX('Providers'!$E$4:$E$503,437))=0,"",INDEX('Providers'!$E$4:$E$503,437))&amp;") – "&amp;IF(LEN(INDEX('Providers'!$A$4:$A$503,437))=0,"",INDEX('Providers'!$A$4:$A$503,437))</f>
        <v/>
      </c>
      <c r="E1440">
        <f>IF(ISNUMBER(INDEX('Providers'!$K$4:$K$503,437)),TEXT(INDEX('Providers'!$K$4:$K$503,437),"yyyy-mm-dd"),"")</f>
        <v/>
      </c>
      <c r="F1440">
        <f>"Registration"</f>
        <v/>
      </c>
      <c r="G1440">
        <f>""</f>
        <v/>
      </c>
      <c r="H1440">
        <f>"High"</f>
        <v/>
      </c>
      <c r="I1440">
        <f>TRIM(IF(LEN(IF(LEN(INDEX('Providers'!$J$4:$J$503,437))=0,"",INDEX('Providers'!$J$4:$J$503,437)))=0,"","CSR no.: "&amp;IF(LEN(INDEX('Providers'!$J$4:$J$503,437))=0,"",INDEX('Providers'!$J$4:$J$503,437))&amp;". ")&amp;IF(LEN(IF(LEN(INDEX('Providers'!$C$4:$C$503,437))=0,"",INDEX('Providers'!$C$4:$C$503,437)))=0,"","NPI: "&amp;IF(LEN(INDEX('Providers'!$C$4:$C$503,437))=0,"",INDEX('Providers'!$C$4:$C$503,437))&amp;". "))</f>
        <v/>
      </c>
      <c r="J1440">
        <f>IF(LEN(INDEX('Providers'!$AJ$4:$AJ$503,437))=0,"",INDEX('Providers'!$AJ$4:$AJ$503,437))</f>
        <v/>
      </c>
      <c r="K1440">
        <f>IF(LEN(INDEX('Providers'!$AI$4:$AI$503,437))=0,"",INDEX('Providers'!$AI$4:$AI$503,437))</f>
        <v/>
      </c>
    </row>
    <row r="1441">
      <c r="A1441">
        <f>IF(AND(LEN('Providers'!A441)&gt;0,ISNUMBER('Providers'!K441)),1,0)</f>
        <v/>
      </c>
      <c r="B1441">
        <f>B1440+A1441</f>
        <v/>
      </c>
      <c r="C1441">
        <f>IF(1438&gt;$B$4503,"",MATCH(1438-0.5,$B$3:$B$4503,1))</f>
        <v/>
      </c>
      <c r="D1441">
        <f>"State CSR ("&amp;IF(LEN(INDEX('Providers'!$E$4:$E$503,438))=0,"",INDEX('Providers'!$E$4:$E$503,438))&amp;") – "&amp;IF(LEN(INDEX('Providers'!$A$4:$A$503,438))=0,"",INDEX('Providers'!$A$4:$A$503,438))</f>
        <v/>
      </c>
      <c r="E1441">
        <f>IF(ISNUMBER(INDEX('Providers'!$K$4:$K$503,438)),TEXT(INDEX('Providers'!$K$4:$K$503,438),"yyyy-mm-dd"),"")</f>
        <v/>
      </c>
      <c r="F1441">
        <f>"Registration"</f>
        <v/>
      </c>
      <c r="G1441">
        <f>""</f>
        <v/>
      </c>
      <c r="H1441">
        <f>"High"</f>
        <v/>
      </c>
      <c r="I1441">
        <f>TRIM(IF(LEN(IF(LEN(INDEX('Providers'!$J$4:$J$503,438))=0,"",INDEX('Providers'!$J$4:$J$503,438)))=0,"","CSR no.: "&amp;IF(LEN(INDEX('Providers'!$J$4:$J$503,438))=0,"",INDEX('Providers'!$J$4:$J$503,438))&amp;". ")&amp;IF(LEN(IF(LEN(INDEX('Providers'!$C$4:$C$503,438))=0,"",INDEX('Providers'!$C$4:$C$503,438)))=0,"","NPI: "&amp;IF(LEN(INDEX('Providers'!$C$4:$C$503,438))=0,"",INDEX('Providers'!$C$4:$C$503,438))&amp;". "))</f>
        <v/>
      </c>
      <c r="J1441">
        <f>IF(LEN(INDEX('Providers'!$AJ$4:$AJ$503,438))=0,"",INDEX('Providers'!$AJ$4:$AJ$503,438))</f>
        <v/>
      </c>
      <c r="K1441">
        <f>IF(LEN(INDEX('Providers'!$AI$4:$AI$503,438))=0,"",INDEX('Providers'!$AI$4:$AI$503,438))</f>
        <v/>
      </c>
    </row>
    <row r="1442">
      <c r="A1442">
        <f>IF(AND(LEN('Providers'!A442)&gt;0,ISNUMBER('Providers'!K442)),1,0)</f>
        <v/>
      </c>
      <c r="B1442">
        <f>B1441+A1442</f>
        <v/>
      </c>
      <c r="C1442">
        <f>IF(1439&gt;$B$4503,"",MATCH(1439-0.5,$B$3:$B$4503,1))</f>
        <v/>
      </c>
      <c r="D1442">
        <f>"State CSR ("&amp;IF(LEN(INDEX('Providers'!$E$4:$E$503,439))=0,"",INDEX('Providers'!$E$4:$E$503,439))&amp;") – "&amp;IF(LEN(INDEX('Providers'!$A$4:$A$503,439))=0,"",INDEX('Providers'!$A$4:$A$503,439))</f>
        <v/>
      </c>
      <c r="E1442">
        <f>IF(ISNUMBER(INDEX('Providers'!$K$4:$K$503,439)),TEXT(INDEX('Providers'!$K$4:$K$503,439),"yyyy-mm-dd"),"")</f>
        <v/>
      </c>
      <c r="F1442">
        <f>"Registration"</f>
        <v/>
      </c>
      <c r="G1442">
        <f>""</f>
        <v/>
      </c>
      <c r="H1442">
        <f>"High"</f>
        <v/>
      </c>
      <c r="I1442">
        <f>TRIM(IF(LEN(IF(LEN(INDEX('Providers'!$J$4:$J$503,439))=0,"",INDEX('Providers'!$J$4:$J$503,439)))=0,"","CSR no.: "&amp;IF(LEN(INDEX('Providers'!$J$4:$J$503,439))=0,"",INDEX('Providers'!$J$4:$J$503,439))&amp;". ")&amp;IF(LEN(IF(LEN(INDEX('Providers'!$C$4:$C$503,439))=0,"",INDEX('Providers'!$C$4:$C$503,439)))=0,"","NPI: "&amp;IF(LEN(INDEX('Providers'!$C$4:$C$503,439))=0,"",INDEX('Providers'!$C$4:$C$503,439))&amp;". "))</f>
        <v/>
      </c>
      <c r="J1442">
        <f>IF(LEN(INDEX('Providers'!$AJ$4:$AJ$503,439))=0,"",INDEX('Providers'!$AJ$4:$AJ$503,439))</f>
        <v/>
      </c>
      <c r="K1442">
        <f>IF(LEN(INDEX('Providers'!$AI$4:$AI$503,439))=0,"",INDEX('Providers'!$AI$4:$AI$503,439))</f>
        <v/>
      </c>
    </row>
    <row r="1443">
      <c r="A1443">
        <f>IF(AND(LEN('Providers'!A443)&gt;0,ISNUMBER('Providers'!K443)),1,0)</f>
        <v/>
      </c>
      <c r="B1443">
        <f>B1442+A1443</f>
        <v/>
      </c>
      <c r="C1443">
        <f>IF(1440&gt;$B$4503,"",MATCH(1440-0.5,$B$3:$B$4503,1))</f>
        <v/>
      </c>
      <c r="D1443">
        <f>"State CSR ("&amp;IF(LEN(INDEX('Providers'!$E$4:$E$503,440))=0,"",INDEX('Providers'!$E$4:$E$503,440))&amp;") – "&amp;IF(LEN(INDEX('Providers'!$A$4:$A$503,440))=0,"",INDEX('Providers'!$A$4:$A$503,440))</f>
        <v/>
      </c>
      <c r="E1443">
        <f>IF(ISNUMBER(INDEX('Providers'!$K$4:$K$503,440)),TEXT(INDEX('Providers'!$K$4:$K$503,440),"yyyy-mm-dd"),"")</f>
        <v/>
      </c>
      <c r="F1443">
        <f>"Registration"</f>
        <v/>
      </c>
      <c r="G1443">
        <f>""</f>
        <v/>
      </c>
      <c r="H1443">
        <f>"High"</f>
        <v/>
      </c>
      <c r="I1443">
        <f>TRIM(IF(LEN(IF(LEN(INDEX('Providers'!$J$4:$J$503,440))=0,"",INDEX('Providers'!$J$4:$J$503,440)))=0,"","CSR no.: "&amp;IF(LEN(INDEX('Providers'!$J$4:$J$503,440))=0,"",INDEX('Providers'!$J$4:$J$503,440))&amp;". ")&amp;IF(LEN(IF(LEN(INDEX('Providers'!$C$4:$C$503,440))=0,"",INDEX('Providers'!$C$4:$C$503,440)))=0,"","NPI: "&amp;IF(LEN(INDEX('Providers'!$C$4:$C$503,440))=0,"",INDEX('Providers'!$C$4:$C$503,440))&amp;". "))</f>
        <v/>
      </c>
      <c r="J1443">
        <f>IF(LEN(INDEX('Providers'!$AJ$4:$AJ$503,440))=0,"",INDEX('Providers'!$AJ$4:$AJ$503,440))</f>
        <v/>
      </c>
      <c r="K1443">
        <f>IF(LEN(INDEX('Providers'!$AI$4:$AI$503,440))=0,"",INDEX('Providers'!$AI$4:$AI$503,440))</f>
        <v/>
      </c>
    </row>
    <row r="1444">
      <c r="A1444">
        <f>IF(AND(LEN('Providers'!A444)&gt;0,ISNUMBER('Providers'!K444)),1,0)</f>
        <v/>
      </c>
      <c r="B1444">
        <f>B1443+A1444</f>
        <v/>
      </c>
      <c r="C1444">
        <f>IF(1441&gt;$B$4503,"",MATCH(1441-0.5,$B$3:$B$4503,1))</f>
        <v/>
      </c>
      <c r="D1444">
        <f>"State CSR ("&amp;IF(LEN(INDEX('Providers'!$E$4:$E$503,441))=0,"",INDEX('Providers'!$E$4:$E$503,441))&amp;") – "&amp;IF(LEN(INDEX('Providers'!$A$4:$A$503,441))=0,"",INDEX('Providers'!$A$4:$A$503,441))</f>
        <v/>
      </c>
      <c r="E1444">
        <f>IF(ISNUMBER(INDEX('Providers'!$K$4:$K$503,441)),TEXT(INDEX('Providers'!$K$4:$K$503,441),"yyyy-mm-dd"),"")</f>
        <v/>
      </c>
      <c r="F1444">
        <f>"Registration"</f>
        <v/>
      </c>
      <c r="G1444">
        <f>""</f>
        <v/>
      </c>
      <c r="H1444">
        <f>"High"</f>
        <v/>
      </c>
      <c r="I1444">
        <f>TRIM(IF(LEN(IF(LEN(INDEX('Providers'!$J$4:$J$503,441))=0,"",INDEX('Providers'!$J$4:$J$503,441)))=0,"","CSR no.: "&amp;IF(LEN(INDEX('Providers'!$J$4:$J$503,441))=0,"",INDEX('Providers'!$J$4:$J$503,441))&amp;". ")&amp;IF(LEN(IF(LEN(INDEX('Providers'!$C$4:$C$503,441))=0,"",INDEX('Providers'!$C$4:$C$503,441)))=0,"","NPI: "&amp;IF(LEN(INDEX('Providers'!$C$4:$C$503,441))=0,"",INDEX('Providers'!$C$4:$C$503,441))&amp;". "))</f>
        <v/>
      </c>
      <c r="J1444">
        <f>IF(LEN(INDEX('Providers'!$AJ$4:$AJ$503,441))=0,"",INDEX('Providers'!$AJ$4:$AJ$503,441))</f>
        <v/>
      </c>
      <c r="K1444">
        <f>IF(LEN(INDEX('Providers'!$AI$4:$AI$503,441))=0,"",INDEX('Providers'!$AI$4:$AI$503,441))</f>
        <v/>
      </c>
    </row>
    <row r="1445">
      <c r="A1445">
        <f>IF(AND(LEN('Providers'!A445)&gt;0,ISNUMBER('Providers'!K445)),1,0)</f>
        <v/>
      </c>
      <c r="B1445">
        <f>B1444+A1445</f>
        <v/>
      </c>
      <c r="C1445">
        <f>IF(1442&gt;$B$4503,"",MATCH(1442-0.5,$B$3:$B$4503,1))</f>
        <v/>
      </c>
      <c r="D1445">
        <f>"State CSR ("&amp;IF(LEN(INDEX('Providers'!$E$4:$E$503,442))=0,"",INDEX('Providers'!$E$4:$E$503,442))&amp;") – "&amp;IF(LEN(INDEX('Providers'!$A$4:$A$503,442))=0,"",INDEX('Providers'!$A$4:$A$503,442))</f>
        <v/>
      </c>
      <c r="E1445">
        <f>IF(ISNUMBER(INDEX('Providers'!$K$4:$K$503,442)),TEXT(INDEX('Providers'!$K$4:$K$503,442),"yyyy-mm-dd"),"")</f>
        <v/>
      </c>
      <c r="F1445">
        <f>"Registration"</f>
        <v/>
      </c>
      <c r="G1445">
        <f>""</f>
        <v/>
      </c>
      <c r="H1445">
        <f>"High"</f>
        <v/>
      </c>
      <c r="I1445">
        <f>TRIM(IF(LEN(IF(LEN(INDEX('Providers'!$J$4:$J$503,442))=0,"",INDEX('Providers'!$J$4:$J$503,442)))=0,"","CSR no.: "&amp;IF(LEN(INDEX('Providers'!$J$4:$J$503,442))=0,"",INDEX('Providers'!$J$4:$J$503,442))&amp;". ")&amp;IF(LEN(IF(LEN(INDEX('Providers'!$C$4:$C$503,442))=0,"",INDEX('Providers'!$C$4:$C$503,442)))=0,"","NPI: "&amp;IF(LEN(INDEX('Providers'!$C$4:$C$503,442))=0,"",INDEX('Providers'!$C$4:$C$503,442))&amp;". "))</f>
        <v/>
      </c>
      <c r="J1445">
        <f>IF(LEN(INDEX('Providers'!$AJ$4:$AJ$503,442))=0,"",INDEX('Providers'!$AJ$4:$AJ$503,442))</f>
        <v/>
      </c>
      <c r="K1445">
        <f>IF(LEN(INDEX('Providers'!$AI$4:$AI$503,442))=0,"",INDEX('Providers'!$AI$4:$AI$503,442))</f>
        <v/>
      </c>
    </row>
    <row r="1446">
      <c r="A1446">
        <f>IF(AND(LEN('Providers'!A446)&gt;0,ISNUMBER('Providers'!K446)),1,0)</f>
        <v/>
      </c>
      <c r="B1446">
        <f>B1445+A1446</f>
        <v/>
      </c>
      <c r="C1446">
        <f>IF(1443&gt;$B$4503,"",MATCH(1443-0.5,$B$3:$B$4503,1))</f>
        <v/>
      </c>
      <c r="D1446">
        <f>"State CSR ("&amp;IF(LEN(INDEX('Providers'!$E$4:$E$503,443))=0,"",INDEX('Providers'!$E$4:$E$503,443))&amp;") – "&amp;IF(LEN(INDEX('Providers'!$A$4:$A$503,443))=0,"",INDEX('Providers'!$A$4:$A$503,443))</f>
        <v/>
      </c>
      <c r="E1446">
        <f>IF(ISNUMBER(INDEX('Providers'!$K$4:$K$503,443)),TEXT(INDEX('Providers'!$K$4:$K$503,443),"yyyy-mm-dd"),"")</f>
        <v/>
      </c>
      <c r="F1446">
        <f>"Registration"</f>
        <v/>
      </c>
      <c r="G1446">
        <f>""</f>
        <v/>
      </c>
      <c r="H1446">
        <f>"High"</f>
        <v/>
      </c>
      <c r="I1446">
        <f>TRIM(IF(LEN(IF(LEN(INDEX('Providers'!$J$4:$J$503,443))=0,"",INDEX('Providers'!$J$4:$J$503,443)))=0,"","CSR no.: "&amp;IF(LEN(INDEX('Providers'!$J$4:$J$503,443))=0,"",INDEX('Providers'!$J$4:$J$503,443))&amp;". ")&amp;IF(LEN(IF(LEN(INDEX('Providers'!$C$4:$C$503,443))=0,"",INDEX('Providers'!$C$4:$C$503,443)))=0,"","NPI: "&amp;IF(LEN(INDEX('Providers'!$C$4:$C$503,443))=0,"",INDEX('Providers'!$C$4:$C$503,443))&amp;". "))</f>
        <v/>
      </c>
      <c r="J1446">
        <f>IF(LEN(INDEX('Providers'!$AJ$4:$AJ$503,443))=0,"",INDEX('Providers'!$AJ$4:$AJ$503,443))</f>
        <v/>
      </c>
      <c r="K1446">
        <f>IF(LEN(INDEX('Providers'!$AI$4:$AI$503,443))=0,"",INDEX('Providers'!$AI$4:$AI$503,443))</f>
        <v/>
      </c>
    </row>
    <row r="1447">
      <c r="A1447">
        <f>IF(AND(LEN('Providers'!A447)&gt;0,ISNUMBER('Providers'!K447)),1,0)</f>
        <v/>
      </c>
      <c r="B1447">
        <f>B1446+A1447</f>
        <v/>
      </c>
      <c r="C1447">
        <f>IF(1444&gt;$B$4503,"",MATCH(1444-0.5,$B$3:$B$4503,1))</f>
        <v/>
      </c>
      <c r="D1447">
        <f>"State CSR ("&amp;IF(LEN(INDEX('Providers'!$E$4:$E$503,444))=0,"",INDEX('Providers'!$E$4:$E$503,444))&amp;") – "&amp;IF(LEN(INDEX('Providers'!$A$4:$A$503,444))=0,"",INDEX('Providers'!$A$4:$A$503,444))</f>
        <v/>
      </c>
      <c r="E1447">
        <f>IF(ISNUMBER(INDEX('Providers'!$K$4:$K$503,444)),TEXT(INDEX('Providers'!$K$4:$K$503,444),"yyyy-mm-dd"),"")</f>
        <v/>
      </c>
      <c r="F1447">
        <f>"Registration"</f>
        <v/>
      </c>
      <c r="G1447">
        <f>""</f>
        <v/>
      </c>
      <c r="H1447">
        <f>"High"</f>
        <v/>
      </c>
      <c r="I1447">
        <f>TRIM(IF(LEN(IF(LEN(INDEX('Providers'!$J$4:$J$503,444))=0,"",INDEX('Providers'!$J$4:$J$503,444)))=0,"","CSR no.: "&amp;IF(LEN(INDEX('Providers'!$J$4:$J$503,444))=0,"",INDEX('Providers'!$J$4:$J$503,444))&amp;". ")&amp;IF(LEN(IF(LEN(INDEX('Providers'!$C$4:$C$503,444))=0,"",INDEX('Providers'!$C$4:$C$503,444)))=0,"","NPI: "&amp;IF(LEN(INDEX('Providers'!$C$4:$C$503,444))=0,"",INDEX('Providers'!$C$4:$C$503,444))&amp;". "))</f>
        <v/>
      </c>
      <c r="J1447">
        <f>IF(LEN(INDEX('Providers'!$AJ$4:$AJ$503,444))=0,"",INDEX('Providers'!$AJ$4:$AJ$503,444))</f>
        <v/>
      </c>
      <c r="K1447">
        <f>IF(LEN(INDEX('Providers'!$AI$4:$AI$503,444))=0,"",INDEX('Providers'!$AI$4:$AI$503,444))</f>
        <v/>
      </c>
    </row>
    <row r="1448">
      <c r="A1448">
        <f>IF(AND(LEN('Providers'!A448)&gt;0,ISNUMBER('Providers'!K448)),1,0)</f>
        <v/>
      </c>
      <c r="B1448">
        <f>B1447+A1448</f>
        <v/>
      </c>
      <c r="C1448">
        <f>IF(1445&gt;$B$4503,"",MATCH(1445-0.5,$B$3:$B$4503,1))</f>
        <v/>
      </c>
      <c r="D1448">
        <f>"State CSR ("&amp;IF(LEN(INDEX('Providers'!$E$4:$E$503,445))=0,"",INDEX('Providers'!$E$4:$E$503,445))&amp;") – "&amp;IF(LEN(INDEX('Providers'!$A$4:$A$503,445))=0,"",INDEX('Providers'!$A$4:$A$503,445))</f>
        <v/>
      </c>
      <c r="E1448">
        <f>IF(ISNUMBER(INDEX('Providers'!$K$4:$K$503,445)),TEXT(INDEX('Providers'!$K$4:$K$503,445),"yyyy-mm-dd"),"")</f>
        <v/>
      </c>
      <c r="F1448">
        <f>"Registration"</f>
        <v/>
      </c>
      <c r="G1448">
        <f>""</f>
        <v/>
      </c>
      <c r="H1448">
        <f>"High"</f>
        <v/>
      </c>
      <c r="I1448">
        <f>TRIM(IF(LEN(IF(LEN(INDEX('Providers'!$J$4:$J$503,445))=0,"",INDEX('Providers'!$J$4:$J$503,445)))=0,"","CSR no.: "&amp;IF(LEN(INDEX('Providers'!$J$4:$J$503,445))=0,"",INDEX('Providers'!$J$4:$J$503,445))&amp;". ")&amp;IF(LEN(IF(LEN(INDEX('Providers'!$C$4:$C$503,445))=0,"",INDEX('Providers'!$C$4:$C$503,445)))=0,"","NPI: "&amp;IF(LEN(INDEX('Providers'!$C$4:$C$503,445))=0,"",INDEX('Providers'!$C$4:$C$503,445))&amp;". "))</f>
        <v/>
      </c>
      <c r="J1448">
        <f>IF(LEN(INDEX('Providers'!$AJ$4:$AJ$503,445))=0,"",INDEX('Providers'!$AJ$4:$AJ$503,445))</f>
        <v/>
      </c>
      <c r="K1448">
        <f>IF(LEN(INDEX('Providers'!$AI$4:$AI$503,445))=0,"",INDEX('Providers'!$AI$4:$AI$503,445))</f>
        <v/>
      </c>
    </row>
    <row r="1449">
      <c r="A1449">
        <f>IF(AND(LEN('Providers'!A449)&gt;0,ISNUMBER('Providers'!K449)),1,0)</f>
        <v/>
      </c>
      <c r="B1449">
        <f>B1448+A1449</f>
        <v/>
      </c>
      <c r="C1449">
        <f>IF(1446&gt;$B$4503,"",MATCH(1446-0.5,$B$3:$B$4503,1))</f>
        <v/>
      </c>
      <c r="D1449">
        <f>"State CSR ("&amp;IF(LEN(INDEX('Providers'!$E$4:$E$503,446))=0,"",INDEX('Providers'!$E$4:$E$503,446))&amp;") – "&amp;IF(LEN(INDEX('Providers'!$A$4:$A$503,446))=0,"",INDEX('Providers'!$A$4:$A$503,446))</f>
        <v/>
      </c>
      <c r="E1449">
        <f>IF(ISNUMBER(INDEX('Providers'!$K$4:$K$503,446)),TEXT(INDEX('Providers'!$K$4:$K$503,446),"yyyy-mm-dd"),"")</f>
        <v/>
      </c>
      <c r="F1449">
        <f>"Registration"</f>
        <v/>
      </c>
      <c r="G1449">
        <f>""</f>
        <v/>
      </c>
      <c r="H1449">
        <f>"High"</f>
        <v/>
      </c>
      <c r="I1449">
        <f>TRIM(IF(LEN(IF(LEN(INDEX('Providers'!$J$4:$J$503,446))=0,"",INDEX('Providers'!$J$4:$J$503,446)))=0,"","CSR no.: "&amp;IF(LEN(INDEX('Providers'!$J$4:$J$503,446))=0,"",INDEX('Providers'!$J$4:$J$503,446))&amp;". ")&amp;IF(LEN(IF(LEN(INDEX('Providers'!$C$4:$C$503,446))=0,"",INDEX('Providers'!$C$4:$C$503,446)))=0,"","NPI: "&amp;IF(LEN(INDEX('Providers'!$C$4:$C$503,446))=0,"",INDEX('Providers'!$C$4:$C$503,446))&amp;". "))</f>
        <v/>
      </c>
      <c r="J1449">
        <f>IF(LEN(INDEX('Providers'!$AJ$4:$AJ$503,446))=0,"",INDEX('Providers'!$AJ$4:$AJ$503,446))</f>
        <v/>
      </c>
      <c r="K1449">
        <f>IF(LEN(INDEX('Providers'!$AI$4:$AI$503,446))=0,"",INDEX('Providers'!$AI$4:$AI$503,446))</f>
        <v/>
      </c>
    </row>
    <row r="1450">
      <c r="A1450">
        <f>IF(AND(LEN('Providers'!A450)&gt;0,ISNUMBER('Providers'!K450)),1,0)</f>
        <v/>
      </c>
      <c r="B1450">
        <f>B1449+A1450</f>
        <v/>
      </c>
      <c r="C1450">
        <f>IF(1447&gt;$B$4503,"",MATCH(1447-0.5,$B$3:$B$4503,1))</f>
        <v/>
      </c>
      <c r="D1450">
        <f>"State CSR ("&amp;IF(LEN(INDEX('Providers'!$E$4:$E$503,447))=0,"",INDEX('Providers'!$E$4:$E$503,447))&amp;") – "&amp;IF(LEN(INDEX('Providers'!$A$4:$A$503,447))=0,"",INDEX('Providers'!$A$4:$A$503,447))</f>
        <v/>
      </c>
      <c r="E1450">
        <f>IF(ISNUMBER(INDEX('Providers'!$K$4:$K$503,447)),TEXT(INDEX('Providers'!$K$4:$K$503,447),"yyyy-mm-dd"),"")</f>
        <v/>
      </c>
      <c r="F1450">
        <f>"Registration"</f>
        <v/>
      </c>
      <c r="G1450">
        <f>""</f>
        <v/>
      </c>
      <c r="H1450">
        <f>"High"</f>
        <v/>
      </c>
      <c r="I1450">
        <f>TRIM(IF(LEN(IF(LEN(INDEX('Providers'!$J$4:$J$503,447))=0,"",INDEX('Providers'!$J$4:$J$503,447)))=0,"","CSR no.: "&amp;IF(LEN(INDEX('Providers'!$J$4:$J$503,447))=0,"",INDEX('Providers'!$J$4:$J$503,447))&amp;". ")&amp;IF(LEN(IF(LEN(INDEX('Providers'!$C$4:$C$503,447))=0,"",INDEX('Providers'!$C$4:$C$503,447)))=0,"","NPI: "&amp;IF(LEN(INDEX('Providers'!$C$4:$C$503,447))=0,"",INDEX('Providers'!$C$4:$C$503,447))&amp;". "))</f>
        <v/>
      </c>
      <c r="J1450">
        <f>IF(LEN(INDEX('Providers'!$AJ$4:$AJ$503,447))=0,"",INDEX('Providers'!$AJ$4:$AJ$503,447))</f>
        <v/>
      </c>
      <c r="K1450">
        <f>IF(LEN(INDEX('Providers'!$AI$4:$AI$503,447))=0,"",INDEX('Providers'!$AI$4:$AI$503,447))</f>
        <v/>
      </c>
    </row>
    <row r="1451">
      <c r="A1451">
        <f>IF(AND(LEN('Providers'!A451)&gt;0,ISNUMBER('Providers'!K451)),1,0)</f>
        <v/>
      </c>
      <c r="B1451">
        <f>B1450+A1451</f>
        <v/>
      </c>
      <c r="C1451">
        <f>IF(1448&gt;$B$4503,"",MATCH(1448-0.5,$B$3:$B$4503,1))</f>
        <v/>
      </c>
      <c r="D1451">
        <f>"State CSR ("&amp;IF(LEN(INDEX('Providers'!$E$4:$E$503,448))=0,"",INDEX('Providers'!$E$4:$E$503,448))&amp;") – "&amp;IF(LEN(INDEX('Providers'!$A$4:$A$503,448))=0,"",INDEX('Providers'!$A$4:$A$503,448))</f>
        <v/>
      </c>
      <c r="E1451">
        <f>IF(ISNUMBER(INDEX('Providers'!$K$4:$K$503,448)),TEXT(INDEX('Providers'!$K$4:$K$503,448),"yyyy-mm-dd"),"")</f>
        <v/>
      </c>
      <c r="F1451">
        <f>"Registration"</f>
        <v/>
      </c>
      <c r="G1451">
        <f>""</f>
        <v/>
      </c>
      <c r="H1451">
        <f>"High"</f>
        <v/>
      </c>
      <c r="I1451">
        <f>TRIM(IF(LEN(IF(LEN(INDEX('Providers'!$J$4:$J$503,448))=0,"",INDEX('Providers'!$J$4:$J$503,448)))=0,"","CSR no.: "&amp;IF(LEN(INDEX('Providers'!$J$4:$J$503,448))=0,"",INDEX('Providers'!$J$4:$J$503,448))&amp;". ")&amp;IF(LEN(IF(LEN(INDEX('Providers'!$C$4:$C$503,448))=0,"",INDEX('Providers'!$C$4:$C$503,448)))=0,"","NPI: "&amp;IF(LEN(INDEX('Providers'!$C$4:$C$503,448))=0,"",INDEX('Providers'!$C$4:$C$503,448))&amp;". "))</f>
        <v/>
      </c>
      <c r="J1451">
        <f>IF(LEN(INDEX('Providers'!$AJ$4:$AJ$503,448))=0,"",INDEX('Providers'!$AJ$4:$AJ$503,448))</f>
        <v/>
      </c>
      <c r="K1451">
        <f>IF(LEN(INDEX('Providers'!$AI$4:$AI$503,448))=0,"",INDEX('Providers'!$AI$4:$AI$503,448))</f>
        <v/>
      </c>
    </row>
    <row r="1452">
      <c r="A1452">
        <f>IF(AND(LEN('Providers'!A452)&gt;0,ISNUMBER('Providers'!K452)),1,0)</f>
        <v/>
      </c>
      <c r="B1452">
        <f>B1451+A1452</f>
        <v/>
      </c>
      <c r="C1452">
        <f>IF(1449&gt;$B$4503,"",MATCH(1449-0.5,$B$3:$B$4503,1))</f>
        <v/>
      </c>
      <c r="D1452">
        <f>"State CSR ("&amp;IF(LEN(INDEX('Providers'!$E$4:$E$503,449))=0,"",INDEX('Providers'!$E$4:$E$503,449))&amp;") – "&amp;IF(LEN(INDEX('Providers'!$A$4:$A$503,449))=0,"",INDEX('Providers'!$A$4:$A$503,449))</f>
        <v/>
      </c>
      <c r="E1452">
        <f>IF(ISNUMBER(INDEX('Providers'!$K$4:$K$503,449)),TEXT(INDEX('Providers'!$K$4:$K$503,449),"yyyy-mm-dd"),"")</f>
        <v/>
      </c>
      <c r="F1452">
        <f>"Registration"</f>
        <v/>
      </c>
      <c r="G1452">
        <f>""</f>
        <v/>
      </c>
      <c r="H1452">
        <f>"High"</f>
        <v/>
      </c>
      <c r="I1452">
        <f>TRIM(IF(LEN(IF(LEN(INDEX('Providers'!$J$4:$J$503,449))=0,"",INDEX('Providers'!$J$4:$J$503,449)))=0,"","CSR no.: "&amp;IF(LEN(INDEX('Providers'!$J$4:$J$503,449))=0,"",INDEX('Providers'!$J$4:$J$503,449))&amp;". ")&amp;IF(LEN(IF(LEN(INDEX('Providers'!$C$4:$C$503,449))=0,"",INDEX('Providers'!$C$4:$C$503,449)))=0,"","NPI: "&amp;IF(LEN(INDEX('Providers'!$C$4:$C$503,449))=0,"",INDEX('Providers'!$C$4:$C$503,449))&amp;". "))</f>
        <v/>
      </c>
      <c r="J1452">
        <f>IF(LEN(INDEX('Providers'!$AJ$4:$AJ$503,449))=0,"",INDEX('Providers'!$AJ$4:$AJ$503,449))</f>
        <v/>
      </c>
      <c r="K1452">
        <f>IF(LEN(INDEX('Providers'!$AI$4:$AI$503,449))=0,"",INDEX('Providers'!$AI$4:$AI$503,449))</f>
        <v/>
      </c>
    </row>
    <row r="1453">
      <c r="A1453">
        <f>IF(AND(LEN('Providers'!A453)&gt;0,ISNUMBER('Providers'!K453)),1,0)</f>
        <v/>
      </c>
      <c r="B1453">
        <f>B1452+A1453</f>
        <v/>
      </c>
      <c r="C1453">
        <f>IF(1450&gt;$B$4503,"",MATCH(1450-0.5,$B$3:$B$4503,1))</f>
        <v/>
      </c>
      <c r="D1453">
        <f>"State CSR ("&amp;IF(LEN(INDEX('Providers'!$E$4:$E$503,450))=0,"",INDEX('Providers'!$E$4:$E$503,450))&amp;") – "&amp;IF(LEN(INDEX('Providers'!$A$4:$A$503,450))=0,"",INDEX('Providers'!$A$4:$A$503,450))</f>
        <v/>
      </c>
      <c r="E1453">
        <f>IF(ISNUMBER(INDEX('Providers'!$K$4:$K$503,450)),TEXT(INDEX('Providers'!$K$4:$K$503,450),"yyyy-mm-dd"),"")</f>
        <v/>
      </c>
      <c r="F1453">
        <f>"Registration"</f>
        <v/>
      </c>
      <c r="G1453">
        <f>""</f>
        <v/>
      </c>
      <c r="H1453">
        <f>"High"</f>
        <v/>
      </c>
      <c r="I1453">
        <f>TRIM(IF(LEN(IF(LEN(INDEX('Providers'!$J$4:$J$503,450))=0,"",INDEX('Providers'!$J$4:$J$503,450)))=0,"","CSR no.: "&amp;IF(LEN(INDEX('Providers'!$J$4:$J$503,450))=0,"",INDEX('Providers'!$J$4:$J$503,450))&amp;". ")&amp;IF(LEN(IF(LEN(INDEX('Providers'!$C$4:$C$503,450))=0,"",INDEX('Providers'!$C$4:$C$503,450)))=0,"","NPI: "&amp;IF(LEN(INDEX('Providers'!$C$4:$C$503,450))=0,"",INDEX('Providers'!$C$4:$C$503,450))&amp;". "))</f>
        <v/>
      </c>
      <c r="J1453">
        <f>IF(LEN(INDEX('Providers'!$AJ$4:$AJ$503,450))=0,"",INDEX('Providers'!$AJ$4:$AJ$503,450))</f>
        <v/>
      </c>
      <c r="K1453">
        <f>IF(LEN(INDEX('Providers'!$AI$4:$AI$503,450))=0,"",INDEX('Providers'!$AI$4:$AI$503,450))</f>
        <v/>
      </c>
    </row>
    <row r="1454">
      <c r="A1454">
        <f>IF(AND(LEN('Providers'!A454)&gt;0,ISNUMBER('Providers'!K454)),1,0)</f>
        <v/>
      </c>
      <c r="B1454">
        <f>B1453+A1454</f>
        <v/>
      </c>
      <c r="C1454">
        <f>IF(1451&gt;$B$4503,"",MATCH(1451-0.5,$B$3:$B$4503,1))</f>
        <v/>
      </c>
      <c r="D1454">
        <f>"State CSR ("&amp;IF(LEN(INDEX('Providers'!$E$4:$E$503,451))=0,"",INDEX('Providers'!$E$4:$E$503,451))&amp;") – "&amp;IF(LEN(INDEX('Providers'!$A$4:$A$503,451))=0,"",INDEX('Providers'!$A$4:$A$503,451))</f>
        <v/>
      </c>
      <c r="E1454">
        <f>IF(ISNUMBER(INDEX('Providers'!$K$4:$K$503,451)),TEXT(INDEX('Providers'!$K$4:$K$503,451),"yyyy-mm-dd"),"")</f>
        <v/>
      </c>
      <c r="F1454">
        <f>"Registration"</f>
        <v/>
      </c>
      <c r="G1454">
        <f>""</f>
        <v/>
      </c>
      <c r="H1454">
        <f>"High"</f>
        <v/>
      </c>
      <c r="I1454">
        <f>TRIM(IF(LEN(IF(LEN(INDEX('Providers'!$J$4:$J$503,451))=0,"",INDEX('Providers'!$J$4:$J$503,451)))=0,"","CSR no.: "&amp;IF(LEN(INDEX('Providers'!$J$4:$J$503,451))=0,"",INDEX('Providers'!$J$4:$J$503,451))&amp;". ")&amp;IF(LEN(IF(LEN(INDEX('Providers'!$C$4:$C$503,451))=0,"",INDEX('Providers'!$C$4:$C$503,451)))=0,"","NPI: "&amp;IF(LEN(INDEX('Providers'!$C$4:$C$503,451))=0,"",INDEX('Providers'!$C$4:$C$503,451))&amp;". "))</f>
        <v/>
      </c>
      <c r="J1454">
        <f>IF(LEN(INDEX('Providers'!$AJ$4:$AJ$503,451))=0,"",INDEX('Providers'!$AJ$4:$AJ$503,451))</f>
        <v/>
      </c>
      <c r="K1454">
        <f>IF(LEN(INDEX('Providers'!$AI$4:$AI$503,451))=0,"",INDEX('Providers'!$AI$4:$AI$503,451))</f>
        <v/>
      </c>
    </row>
    <row r="1455">
      <c r="A1455">
        <f>IF(AND(LEN('Providers'!A455)&gt;0,ISNUMBER('Providers'!K455)),1,0)</f>
        <v/>
      </c>
      <c r="B1455">
        <f>B1454+A1455</f>
        <v/>
      </c>
      <c r="C1455">
        <f>IF(1452&gt;$B$4503,"",MATCH(1452-0.5,$B$3:$B$4503,1))</f>
        <v/>
      </c>
      <c r="D1455">
        <f>"State CSR ("&amp;IF(LEN(INDEX('Providers'!$E$4:$E$503,452))=0,"",INDEX('Providers'!$E$4:$E$503,452))&amp;") – "&amp;IF(LEN(INDEX('Providers'!$A$4:$A$503,452))=0,"",INDEX('Providers'!$A$4:$A$503,452))</f>
        <v/>
      </c>
      <c r="E1455">
        <f>IF(ISNUMBER(INDEX('Providers'!$K$4:$K$503,452)),TEXT(INDEX('Providers'!$K$4:$K$503,452),"yyyy-mm-dd"),"")</f>
        <v/>
      </c>
      <c r="F1455">
        <f>"Registration"</f>
        <v/>
      </c>
      <c r="G1455">
        <f>""</f>
        <v/>
      </c>
      <c r="H1455">
        <f>"High"</f>
        <v/>
      </c>
      <c r="I1455">
        <f>TRIM(IF(LEN(IF(LEN(INDEX('Providers'!$J$4:$J$503,452))=0,"",INDEX('Providers'!$J$4:$J$503,452)))=0,"","CSR no.: "&amp;IF(LEN(INDEX('Providers'!$J$4:$J$503,452))=0,"",INDEX('Providers'!$J$4:$J$503,452))&amp;". ")&amp;IF(LEN(IF(LEN(INDEX('Providers'!$C$4:$C$503,452))=0,"",INDEX('Providers'!$C$4:$C$503,452)))=0,"","NPI: "&amp;IF(LEN(INDEX('Providers'!$C$4:$C$503,452))=0,"",INDEX('Providers'!$C$4:$C$503,452))&amp;". "))</f>
        <v/>
      </c>
      <c r="J1455">
        <f>IF(LEN(INDEX('Providers'!$AJ$4:$AJ$503,452))=0,"",INDEX('Providers'!$AJ$4:$AJ$503,452))</f>
        <v/>
      </c>
      <c r="K1455">
        <f>IF(LEN(INDEX('Providers'!$AI$4:$AI$503,452))=0,"",INDEX('Providers'!$AI$4:$AI$503,452))</f>
        <v/>
      </c>
    </row>
    <row r="1456">
      <c r="A1456">
        <f>IF(AND(LEN('Providers'!A456)&gt;0,ISNUMBER('Providers'!K456)),1,0)</f>
        <v/>
      </c>
      <c r="B1456">
        <f>B1455+A1456</f>
        <v/>
      </c>
      <c r="C1456">
        <f>IF(1453&gt;$B$4503,"",MATCH(1453-0.5,$B$3:$B$4503,1))</f>
        <v/>
      </c>
      <c r="D1456">
        <f>"State CSR ("&amp;IF(LEN(INDEX('Providers'!$E$4:$E$503,453))=0,"",INDEX('Providers'!$E$4:$E$503,453))&amp;") – "&amp;IF(LEN(INDEX('Providers'!$A$4:$A$503,453))=0,"",INDEX('Providers'!$A$4:$A$503,453))</f>
        <v/>
      </c>
      <c r="E1456">
        <f>IF(ISNUMBER(INDEX('Providers'!$K$4:$K$503,453)),TEXT(INDEX('Providers'!$K$4:$K$503,453),"yyyy-mm-dd"),"")</f>
        <v/>
      </c>
      <c r="F1456">
        <f>"Registration"</f>
        <v/>
      </c>
      <c r="G1456">
        <f>""</f>
        <v/>
      </c>
      <c r="H1456">
        <f>"High"</f>
        <v/>
      </c>
      <c r="I1456">
        <f>TRIM(IF(LEN(IF(LEN(INDEX('Providers'!$J$4:$J$503,453))=0,"",INDEX('Providers'!$J$4:$J$503,453)))=0,"","CSR no.: "&amp;IF(LEN(INDEX('Providers'!$J$4:$J$503,453))=0,"",INDEX('Providers'!$J$4:$J$503,453))&amp;". ")&amp;IF(LEN(IF(LEN(INDEX('Providers'!$C$4:$C$503,453))=0,"",INDEX('Providers'!$C$4:$C$503,453)))=0,"","NPI: "&amp;IF(LEN(INDEX('Providers'!$C$4:$C$503,453))=0,"",INDEX('Providers'!$C$4:$C$503,453))&amp;". "))</f>
        <v/>
      </c>
      <c r="J1456">
        <f>IF(LEN(INDEX('Providers'!$AJ$4:$AJ$503,453))=0,"",INDEX('Providers'!$AJ$4:$AJ$503,453))</f>
        <v/>
      </c>
      <c r="K1456">
        <f>IF(LEN(INDEX('Providers'!$AI$4:$AI$503,453))=0,"",INDEX('Providers'!$AI$4:$AI$503,453))</f>
        <v/>
      </c>
    </row>
    <row r="1457">
      <c r="A1457">
        <f>IF(AND(LEN('Providers'!A457)&gt;0,ISNUMBER('Providers'!K457)),1,0)</f>
        <v/>
      </c>
      <c r="B1457">
        <f>B1456+A1457</f>
        <v/>
      </c>
      <c r="C1457">
        <f>IF(1454&gt;$B$4503,"",MATCH(1454-0.5,$B$3:$B$4503,1))</f>
        <v/>
      </c>
      <c r="D1457">
        <f>"State CSR ("&amp;IF(LEN(INDEX('Providers'!$E$4:$E$503,454))=0,"",INDEX('Providers'!$E$4:$E$503,454))&amp;") – "&amp;IF(LEN(INDEX('Providers'!$A$4:$A$503,454))=0,"",INDEX('Providers'!$A$4:$A$503,454))</f>
        <v/>
      </c>
      <c r="E1457">
        <f>IF(ISNUMBER(INDEX('Providers'!$K$4:$K$503,454)),TEXT(INDEX('Providers'!$K$4:$K$503,454),"yyyy-mm-dd"),"")</f>
        <v/>
      </c>
      <c r="F1457">
        <f>"Registration"</f>
        <v/>
      </c>
      <c r="G1457">
        <f>""</f>
        <v/>
      </c>
      <c r="H1457">
        <f>"High"</f>
        <v/>
      </c>
      <c r="I1457">
        <f>TRIM(IF(LEN(IF(LEN(INDEX('Providers'!$J$4:$J$503,454))=0,"",INDEX('Providers'!$J$4:$J$503,454)))=0,"","CSR no.: "&amp;IF(LEN(INDEX('Providers'!$J$4:$J$503,454))=0,"",INDEX('Providers'!$J$4:$J$503,454))&amp;". ")&amp;IF(LEN(IF(LEN(INDEX('Providers'!$C$4:$C$503,454))=0,"",INDEX('Providers'!$C$4:$C$503,454)))=0,"","NPI: "&amp;IF(LEN(INDEX('Providers'!$C$4:$C$503,454))=0,"",INDEX('Providers'!$C$4:$C$503,454))&amp;". "))</f>
        <v/>
      </c>
      <c r="J1457">
        <f>IF(LEN(INDEX('Providers'!$AJ$4:$AJ$503,454))=0,"",INDEX('Providers'!$AJ$4:$AJ$503,454))</f>
        <v/>
      </c>
      <c r="K1457">
        <f>IF(LEN(INDEX('Providers'!$AI$4:$AI$503,454))=0,"",INDEX('Providers'!$AI$4:$AI$503,454))</f>
        <v/>
      </c>
    </row>
    <row r="1458">
      <c r="A1458">
        <f>IF(AND(LEN('Providers'!A458)&gt;0,ISNUMBER('Providers'!K458)),1,0)</f>
        <v/>
      </c>
      <c r="B1458">
        <f>B1457+A1458</f>
        <v/>
      </c>
      <c r="C1458">
        <f>IF(1455&gt;$B$4503,"",MATCH(1455-0.5,$B$3:$B$4503,1))</f>
        <v/>
      </c>
      <c r="D1458">
        <f>"State CSR ("&amp;IF(LEN(INDEX('Providers'!$E$4:$E$503,455))=0,"",INDEX('Providers'!$E$4:$E$503,455))&amp;") – "&amp;IF(LEN(INDEX('Providers'!$A$4:$A$503,455))=0,"",INDEX('Providers'!$A$4:$A$503,455))</f>
        <v/>
      </c>
      <c r="E1458">
        <f>IF(ISNUMBER(INDEX('Providers'!$K$4:$K$503,455)),TEXT(INDEX('Providers'!$K$4:$K$503,455),"yyyy-mm-dd"),"")</f>
        <v/>
      </c>
      <c r="F1458">
        <f>"Registration"</f>
        <v/>
      </c>
      <c r="G1458">
        <f>""</f>
        <v/>
      </c>
      <c r="H1458">
        <f>"High"</f>
        <v/>
      </c>
      <c r="I1458">
        <f>TRIM(IF(LEN(IF(LEN(INDEX('Providers'!$J$4:$J$503,455))=0,"",INDEX('Providers'!$J$4:$J$503,455)))=0,"","CSR no.: "&amp;IF(LEN(INDEX('Providers'!$J$4:$J$503,455))=0,"",INDEX('Providers'!$J$4:$J$503,455))&amp;". ")&amp;IF(LEN(IF(LEN(INDEX('Providers'!$C$4:$C$503,455))=0,"",INDEX('Providers'!$C$4:$C$503,455)))=0,"","NPI: "&amp;IF(LEN(INDEX('Providers'!$C$4:$C$503,455))=0,"",INDEX('Providers'!$C$4:$C$503,455))&amp;". "))</f>
        <v/>
      </c>
      <c r="J1458">
        <f>IF(LEN(INDEX('Providers'!$AJ$4:$AJ$503,455))=0,"",INDEX('Providers'!$AJ$4:$AJ$503,455))</f>
        <v/>
      </c>
      <c r="K1458">
        <f>IF(LEN(INDEX('Providers'!$AI$4:$AI$503,455))=0,"",INDEX('Providers'!$AI$4:$AI$503,455))</f>
        <v/>
      </c>
    </row>
    <row r="1459">
      <c r="A1459">
        <f>IF(AND(LEN('Providers'!A459)&gt;0,ISNUMBER('Providers'!K459)),1,0)</f>
        <v/>
      </c>
      <c r="B1459">
        <f>B1458+A1459</f>
        <v/>
      </c>
      <c r="C1459">
        <f>IF(1456&gt;$B$4503,"",MATCH(1456-0.5,$B$3:$B$4503,1))</f>
        <v/>
      </c>
      <c r="D1459">
        <f>"State CSR ("&amp;IF(LEN(INDEX('Providers'!$E$4:$E$503,456))=0,"",INDEX('Providers'!$E$4:$E$503,456))&amp;") – "&amp;IF(LEN(INDEX('Providers'!$A$4:$A$503,456))=0,"",INDEX('Providers'!$A$4:$A$503,456))</f>
        <v/>
      </c>
      <c r="E1459">
        <f>IF(ISNUMBER(INDEX('Providers'!$K$4:$K$503,456)),TEXT(INDEX('Providers'!$K$4:$K$503,456),"yyyy-mm-dd"),"")</f>
        <v/>
      </c>
      <c r="F1459">
        <f>"Registration"</f>
        <v/>
      </c>
      <c r="G1459">
        <f>""</f>
        <v/>
      </c>
      <c r="H1459">
        <f>"High"</f>
        <v/>
      </c>
      <c r="I1459">
        <f>TRIM(IF(LEN(IF(LEN(INDEX('Providers'!$J$4:$J$503,456))=0,"",INDEX('Providers'!$J$4:$J$503,456)))=0,"","CSR no.: "&amp;IF(LEN(INDEX('Providers'!$J$4:$J$503,456))=0,"",INDEX('Providers'!$J$4:$J$503,456))&amp;". ")&amp;IF(LEN(IF(LEN(INDEX('Providers'!$C$4:$C$503,456))=0,"",INDEX('Providers'!$C$4:$C$503,456)))=0,"","NPI: "&amp;IF(LEN(INDEX('Providers'!$C$4:$C$503,456))=0,"",INDEX('Providers'!$C$4:$C$503,456))&amp;". "))</f>
        <v/>
      </c>
      <c r="J1459">
        <f>IF(LEN(INDEX('Providers'!$AJ$4:$AJ$503,456))=0,"",INDEX('Providers'!$AJ$4:$AJ$503,456))</f>
        <v/>
      </c>
      <c r="K1459">
        <f>IF(LEN(INDEX('Providers'!$AI$4:$AI$503,456))=0,"",INDEX('Providers'!$AI$4:$AI$503,456))</f>
        <v/>
      </c>
    </row>
    <row r="1460">
      <c r="A1460">
        <f>IF(AND(LEN('Providers'!A460)&gt;0,ISNUMBER('Providers'!K460)),1,0)</f>
        <v/>
      </c>
      <c r="B1460">
        <f>B1459+A1460</f>
        <v/>
      </c>
      <c r="C1460">
        <f>IF(1457&gt;$B$4503,"",MATCH(1457-0.5,$B$3:$B$4503,1))</f>
        <v/>
      </c>
      <c r="D1460">
        <f>"State CSR ("&amp;IF(LEN(INDEX('Providers'!$E$4:$E$503,457))=0,"",INDEX('Providers'!$E$4:$E$503,457))&amp;") – "&amp;IF(LEN(INDEX('Providers'!$A$4:$A$503,457))=0,"",INDEX('Providers'!$A$4:$A$503,457))</f>
        <v/>
      </c>
      <c r="E1460">
        <f>IF(ISNUMBER(INDEX('Providers'!$K$4:$K$503,457)),TEXT(INDEX('Providers'!$K$4:$K$503,457),"yyyy-mm-dd"),"")</f>
        <v/>
      </c>
      <c r="F1460">
        <f>"Registration"</f>
        <v/>
      </c>
      <c r="G1460">
        <f>""</f>
        <v/>
      </c>
      <c r="H1460">
        <f>"High"</f>
        <v/>
      </c>
      <c r="I1460">
        <f>TRIM(IF(LEN(IF(LEN(INDEX('Providers'!$J$4:$J$503,457))=0,"",INDEX('Providers'!$J$4:$J$503,457)))=0,"","CSR no.: "&amp;IF(LEN(INDEX('Providers'!$J$4:$J$503,457))=0,"",INDEX('Providers'!$J$4:$J$503,457))&amp;". ")&amp;IF(LEN(IF(LEN(INDEX('Providers'!$C$4:$C$503,457))=0,"",INDEX('Providers'!$C$4:$C$503,457)))=0,"","NPI: "&amp;IF(LEN(INDEX('Providers'!$C$4:$C$503,457))=0,"",INDEX('Providers'!$C$4:$C$503,457))&amp;". "))</f>
        <v/>
      </c>
      <c r="J1460">
        <f>IF(LEN(INDEX('Providers'!$AJ$4:$AJ$503,457))=0,"",INDEX('Providers'!$AJ$4:$AJ$503,457))</f>
        <v/>
      </c>
      <c r="K1460">
        <f>IF(LEN(INDEX('Providers'!$AI$4:$AI$503,457))=0,"",INDEX('Providers'!$AI$4:$AI$503,457))</f>
        <v/>
      </c>
    </row>
    <row r="1461">
      <c r="A1461">
        <f>IF(AND(LEN('Providers'!A461)&gt;0,ISNUMBER('Providers'!K461)),1,0)</f>
        <v/>
      </c>
      <c r="B1461">
        <f>B1460+A1461</f>
        <v/>
      </c>
      <c r="C1461">
        <f>IF(1458&gt;$B$4503,"",MATCH(1458-0.5,$B$3:$B$4503,1))</f>
        <v/>
      </c>
      <c r="D1461">
        <f>"State CSR ("&amp;IF(LEN(INDEX('Providers'!$E$4:$E$503,458))=0,"",INDEX('Providers'!$E$4:$E$503,458))&amp;") – "&amp;IF(LEN(INDEX('Providers'!$A$4:$A$503,458))=0,"",INDEX('Providers'!$A$4:$A$503,458))</f>
        <v/>
      </c>
      <c r="E1461">
        <f>IF(ISNUMBER(INDEX('Providers'!$K$4:$K$503,458)),TEXT(INDEX('Providers'!$K$4:$K$503,458),"yyyy-mm-dd"),"")</f>
        <v/>
      </c>
      <c r="F1461">
        <f>"Registration"</f>
        <v/>
      </c>
      <c r="G1461">
        <f>""</f>
        <v/>
      </c>
      <c r="H1461">
        <f>"High"</f>
        <v/>
      </c>
      <c r="I1461">
        <f>TRIM(IF(LEN(IF(LEN(INDEX('Providers'!$J$4:$J$503,458))=0,"",INDEX('Providers'!$J$4:$J$503,458)))=0,"","CSR no.: "&amp;IF(LEN(INDEX('Providers'!$J$4:$J$503,458))=0,"",INDEX('Providers'!$J$4:$J$503,458))&amp;". ")&amp;IF(LEN(IF(LEN(INDEX('Providers'!$C$4:$C$503,458))=0,"",INDEX('Providers'!$C$4:$C$503,458)))=0,"","NPI: "&amp;IF(LEN(INDEX('Providers'!$C$4:$C$503,458))=0,"",INDEX('Providers'!$C$4:$C$503,458))&amp;". "))</f>
        <v/>
      </c>
      <c r="J1461">
        <f>IF(LEN(INDEX('Providers'!$AJ$4:$AJ$503,458))=0,"",INDEX('Providers'!$AJ$4:$AJ$503,458))</f>
        <v/>
      </c>
      <c r="K1461">
        <f>IF(LEN(INDEX('Providers'!$AI$4:$AI$503,458))=0,"",INDEX('Providers'!$AI$4:$AI$503,458))</f>
        <v/>
      </c>
    </row>
    <row r="1462">
      <c r="A1462">
        <f>IF(AND(LEN('Providers'!A462)&gt;0,ISNUMBER('Providers'!K462)),1,0)</f>
        <v/>
      </c>
      <c r="B1462">
        <f>B1461+A1462</f>
        <v/>
      </c>
      <c r="C1462">
        <f>IF(1459&gt;$B$4503,"",MATCH(1459-0.5,$B$3:$B$4503,1))</f>
        <v/>
      </c>
      <c r="D1462">
        <f>"State CSR ("&amp;IF(LEN(INDEX('Providers'!$E$4:$E$503,459))=0,"",INDEX('Providers'!$E$4:$E$503,459))&amp;") – "&amp;IF(LEN(INDEX('Providers'!$A$4:$A$503,459))=0,"",INDEX('Providers'!$A$4:$A$503,459))</f>
        <v/>
      </c>
      <c r="E1462">
        <f>IF(ISNUMBER(INDEX('Providers'!$K$4:$K$503,459)),TEXT(INDEX('Providers'!$K$4:$K$503,459),"yyyy-mm-dd"),"")</f>
        <v/>
      </c>
      <c r="F1462">
        <f>"Registration"</f>
        <v/>
      </c>
      <c r="G1462">
        <f>""</f>
        <v/>
      </c>
      <c r="H1462">
        <f>"High"</f>
        <v/>
      </c>
      <c r="I1462">
        <f>TRIM(IF(LEN(IF(LEN(INDEX('Providers'!$J$4:$J$503,459))=0,"",INDEX('Providers'!$J$4:$J$503,459)))=0,"","CSR no.: "&amp;IF(LEN(INDEX('Providers'!$J$4:$J$503,459))=0,"",INDEX('Providers'!$J$4:$J$503,459))&amp;". ")&amp;IF(LEN(IF(LEN(INDEX('Providers'!$C$4:$C$503,459))=0,"",INDEX('Providers'!$C$4:$C$503,459)))=0,"","NPI: "&amp;IF(LEN(INDEX('Providers'!$C$4:$C$503,459))=0,"",INDEX('Providers'!$C$4:$C$503,459))&amp;". "))</f>
        <v/>
      </c>
      <c r="J1462">
        <f>IF(LEN(INDEX('Providers'!$AJ$4:$AJ$503,459))=0,"",INDEX('Providers'!$AJ$4:$AJ$503,459))</f>
        <v/>
      </c>
      <c r="K1462">
        <f>IF(LEN(INDEX('Providers'!$AI$4:$AI$503,459))=0,"",INDEX('Providers'!$AI$4:$AI$503,459))</f>
        <v/>
      </c>
    </row>
    <row r="1463">
      <c r="A1463">
        <f>IF(AND(LEN('Providers'!A463)&gt;0,ISNUMBER('Providers'!K463)),1,0)</f>
        <v/>
      </c>
      <c r="B1463">
        <f>B1462+A1463</f>
        <v/>
      </c>
      <c r="C1463">
        <f>IF(1460&gt;$B$4503,"",MATCH(1460-0.5,$B$3:$B$4503,1))</f>
        <v/>
      </c>
      <c r="D1463">
        <f>"State CSR ("&amp;IF(LEN(INDEX('Providers'!$E$4:$E$503,460))=0,"",INDEX('Providers'!$E$4:$E$503,460))&amp;") – "&amp;IF(LEN(INDEX('Providers'!$A$4:$A$503,460))=0,"",INDEX('Providers'!$A$4:$A$503,460))</f>
        <v/>
      </c>
      <c r="E1463">
        <f>IF(ISNUMBER(INDEX('Providers'!$K$4:$K$503,460)),TEXT(INDEX('Providers'!$K$4:$K$503,460),"yyyy-mm-dd"),"")</f>
        <v/>
      </c>
      <c r="F1463">
        <f>"Registration"</f>
        <v/>
      </c>
      <c r="G1463">
        <f>""</f>
        <v/>
      </c>
      <c r="H1463">
        <f>"High"</f>
        <v/>
      </c>
      <c r="I1463">
        <f>TRIM(IF(LEN(IF(LEN(INDEX('Providers'!$J$4:$J$503,460))=0,"",INDEX('Providers'!$J$4:$J$503,460)))=0,"","CSR no.: "&amp;IF(LEN(INDEX('Providers'!$J$4:$J$503,460))=0,"",INDEX('Providers'!$J$4:$J$503,460))&amp;". ")&amp;IF(LEN(IF(LEN(INDEX('Providers'!$C$4:$C$503,460))=0,"",INDEX('Providers'!$C$4:$C$503,460)))=0,"","NPI: "&amp;IF(LEN(INDEX('Providers'!$C$4:$C$503,460))=0,"",INDEX('Providers'!$C$4:$C$503,460))&amp;". "))</f>
        <v/>
      </c>
      <c r="J1463">
        <f>IF(LEN(INDEX('Providers'!$AJ$4:$AJ$503,460))=0,"",INDEX('Providers'!$AJ$4:$AJ$503,460))</f>
        <v/>
      </c>
      <c r="K1463">
        <f>IF(LEN(INDEX('Providers'!$AI$4:$AI$503,460))=0,"",INDEX('Providers'!$AI$4:$AI$503,460))</f>
        <v/>
      </c>
    </row>
    <row r="1464">
      <c r="A1464">
        <f>IF(AND(LEN('Providers'!A464)&gt;0,ISNUMBER('Providers'!K464)),1,0)</f>
        <v/>
      </c>
      <c r="B1464">
        <f>B1463+A1464</f>
        <v/>
      </c>
      <c r="C1464">
        <f>IF(1461&gt;$B$4503,"",MATCH(1461-0.5,$B$3:$B$4503,1))</f>
        <v/>
      </c>
      <c r="D1464">
        <f>"State CSR ("&amp;IF(LEN(INDEX('Providers'!$E$4:$E$503,461))=0,"",INDEX('Providers'!$E$4:$E$503,461))&amp;") – "&amp;IF(LEN(INDEX('Providers'!$A$4:$A$503,461))=0,"",INDEX('Providers'!$A$4:$A$503,461))</f>
        <v/>
      </c>
      <c r="E1464">
        <f>IF(ISNUMBER(INDEX('Providers'!$K$4:$K$503,461)),TEXT(INDEX('Providers'!$K$4:$K$503,461),"yyyy-mm-dd"),"")</f>
        <v/>
      </c>
      <c r="F1464">
        <f>"Registration"</f>
        <v/>
      </c>
      <c r="G1464">
        <f>""</f>
        <v/>
      </c>
      <c r="H1464">
        <f>"High"</f>
        <v/>
      </c>
      <c r="I1464">
        <f>TRIM(IF(LEN(IF(LEN(INDEX('Providers'!$J$4:$J$503,461))=0,"",INDEX('Providers'!$J$4:$J$503,461)))=0,"","CSR no.: "&amp;IF(LEN(INDEX('Providers'!$J$4:$J$503,461))=0,"",INDEX('Providers'!$J$4:$J$503,461))&amp;". ")&amp;IF(LEN(IF(LEN(INDEX('Providers'!$C$4:$C$503,461))=0,"",INDEX('Providers'!$C$4:$C$503,461)))=0,"","NPI: "&amp;IF(LEN(INDEX('Providers'!$C$4:$C$503,461))=0,"",INDEX('Providers'!$C$4:$C$503,461))&amp;". "))</f>
        <v/>
      </c>
      <c r="J1464">
        <f>IF(LEN(INDEX('Providers'!$AJ$4:$AJ$503,461))=0,"",INDEX('Providers'!$AJ$4:$AJ$503,461))</f>
        <v/>
      </c>
      <c r="K1464">
        <f>IF(LEN(INDEX('Providers'!$AI$4:$AI$503,461))=0,"",INDEX('Providers'!$AI$4:$AI$503,461))</f>
        <v/>
      </c>
    </row>
    <row r="1465">
      <c r="A1465">
        <f>IF(AND(LEN('Providers'!A465)&gt;0,ISNUMBER('Providers'!K465)),1,0)</f>
        <v/>
      </c>
      <c r="B1465">
        <f>B1464+A1465</f>
        <v/>
      </c>
      <c r="C1465">
        <f>IF(1462&gt;$B$4503,"",MATCH(1462-0.5,$B$3:$B$4503,1))</f>
        <v/>
      </c>
      <c r="D1465">
        <f>"State CSR ("&amp;IF(LEN(INDEX('Providers'!$E$4:$E$503,462))=0,"",INDEX('Providers'!$E$4:$E$503,462))&amp;") – "&amp;IF(LEN(INDEX('Providers'!$A$4:$A$503,462))=0,"",INDEX('Providers'!$A$4:$A$503,462))</f>
        <v/>
      </c>
      <c r="E1465">
        <f>IF(ISNUMBER(INDEX('Providers'!$K$4:$K$503,462)),TEXT(INDEX('Providers'!$K$4:$K$503,462),"yyyy-mm-dd"),"")</f>
        <v/>
      </c>
      <c r="F1465">
        <f>"Registration"</f>
        <v/>
      </c>
      <c r="G1465">
        <f>""</f>
        <v/>
      </c>
      <c r="H1465">
        <f>"High"</f>
        <v/>
      </c>
      <c r="I1465">
        <f>TRIM(IF(LEN(IF(LEN(INDEX('Providers'!$J$4:$J$503,462))=0,"",INDEX('Providers'!$J$4:$J$503,462)))=0,"","CSR no.: "&amp;IF(LEN(INDEX('Providers'!$J$4:$J$503,462))=0,"",INDEX('Providers'!$J$4:$J$503,462))&amp;". ")&amp;IF(LEN(IF(LEN(INDEX('Providers'!$C$4:$C$503,462))=0,"",INDEX('Providers'!$C$4:$C$503,462)))=0,"","NPI: "&amp;IF(LEN(INDEX('Providers'!$C$4:$C$503,462))=0,"",INDEX('Providers'!$C$4:$C$503,462))&amp;". "))</f>
        <v/>
      </c>
      <c r="J1465">
        <f>IF(LEN(INDEX('Providers'!$AJ$4:$AJ$503,462))=0,"",INDEX('Providers'!$AJ$4:$AJ$503,462))</f>
        <v/>
      </c>
      <c r="K1465">
        <f>IF(LEN(INDEX('Providers'!$AI$4:$AI$503,462))=0,"",INDEX('Providers'!$AI$4:$AI$503,462))</f>
        <v/>
      </c>
    </row>
    <row r="1466">
      <c r="A1466">
        <f>IF(AND(LEN('Providers'!A466)&gt;0,ISNUMBER('Providers'!K466)),1,0)</f>
        <v/>
      </c>
      <c r="B1466">
        <f>B1465+A1466</f>
        <v/>
      </c>
      <c r="C1466">
        <f>IF(1463&gt;$B$4503,"",MATCH(1463-0.5,$B$3:$B$4503,1))</f>
        <v/>
      </c>
      <c r="D1466">
        <f>"State CSR ("&amp;IF(LEN(INDEX('Providers'!$E$4:$E$503,463))=0,"",INDEX('Providers'!$E$4:$E$503,463))&amp;") – "&amp;IF(LEN(INDEX('Providers'!$A$4:$A$503,463))=0,"",INDEX('Providers'!$A$4:$A$503,463))</f>
        <v/>
      </c>
      <c r="E1466">
        <f>IF(ISNUMBER(INDEX('Providers'!$K$4:$K$503,463)),TEXT(INDEX('Providers'!$K$4:$K$503,463),"yyyy-mm-dd"),"")</f>
        <v/>
      </c>
      <c r="F1466">
        <f>"Registration"</f>
        <v/>
      </c>
      <c r="G1466">
        <f>""</f>
        <v/>
      </c>
      <c r="H1466">
        <f>"High"</f>
        <v/>
      </c>
      <c r="I1466">
        <f>TRIM(IF(LEN(IF(LEN(INDEX('Providers'!$J$4:$J$503,463))=0,"",INDEX('Providers'!$J$4:$J$503,463)))=0,"","CSR no.: "&amp;IF(LEN(INDEX('Providers'!$J$4:$J$503,463))=0,"",INDEX('Providers'!$J$4:$J$503,463))&amp;". ")&amp;IF(LEN(IF(LEN(INDEX('Providers'!$C$4:$C$503,463))=0,"",INDEX('Providers'!$C$4:$C$503,463)))=0,"","NPI: "&amp;IF(LEN(INDEX('Providers'!$C$4:$C$503,463))=0,"",INDEX('Providers'!$C$4:$C$503,463))&amp;". "))</f>
        <v/>
      </c>
      <c r="J1466">
        <f>IF(LEN(INDEX('Providers'!$AJ$4:$AJ$503,463))=0,"",INDEX('Providers'!$AJ$4:$AJ$503,463))</f>
        <v/>
      </c>
      <c r="K1466">
        <f>IF(LEN(INDEX('Providers'!$AI$4:$AI$503,463))=0,"",INDEX('Providers'!$AI$4:$AI$503,463))</f>
        <v/>
      </c>
    </row>
    <row r="1467">
      <c r="A1467">
        <f>IF(AND(LEN('Providers'!A467)&gt;0,ISNUMBER('Providers'!K467)),1,0)</f>
        <v/>
      </c>
      <c r="B1467">
        <f>B1466+A1467</f>
        <v/>
      </c>
      <c r="C1467">
        <f>IF(1464&gt;$B$4503,"",MATCH(1464-0.5,$B$3:$B$4503,1))</f>
        <v/>
      </c>
      <c r="D1467">
        <f>"State CSR ("&amp;IF(LEN(INDEX('Providers'!$E$4:$E$503,464))=0,"",INDEX('Providers'!$E$4:$E$503,464))&amp;") – "&amp;IF(LEN(INDEX('Providers'!$A$4:$A$503,464))=0,"",INDEX('Providers'!$A$4:$A$503,464))</f>
        <v/>
      </c>
      <c r="E1467">
        <f>IF(ISNUMBER(INDEX('Providers'!$K$4:$K$503,464)),TEXT(INDEX('Providers'!$K$4:$K$503,464),"yyyy-mm-dd"),"")</f>
        <v/>
      </c>
      <c r="F1467">
        <f>"Registration"</f>
        <v/>
      </c>
      <c r="G1467">
        <f>""</f>
        <v/>
      </c>
      <c r="H1467">
        <f>"High"</f>
        <v/>
      </c>
      <c r="I1467">
        <f>TRIM(IF(LEN(IF(LEN(INDEX('Providers'!$J$4:$J$503,464))=0,"",INDEX('Providers'!$J$4:$J$503,464)))=0,"","CSR no.: "&amp;IF(LEN(INDEX('Providers'!$J$4:$J$503,464))=0,"",INDEX('Providers'!$J$4:$J$503,464))&amp;". ")&amp;IF(LEN(IF(LEN(INDEX('Providers'!$C$4:$C$503,464))=0,"",INDEX('Providers'!$C$4:$C$503,464)))=0,"","NPI: "&amp;IF(LEN(INDEX('Providers'!$C$4:$C$503,464))=0,"",INDEX('Providers'!$C$4:$C$503,464))&amp;". "))</f>
        <v/>
      </c>
      <c r="J1467">
        <f>IF(LEN(INDEX('Providers'!$AJ$4:$AJ$503,464))=0,"",INDEX('Providers'!$AJ$4:$AJ$503,464))</f>
        <v/>
      </c>
      <c r="K1467">
        <f>IF(LEN(INDEX('Providers'!$AI$4:$AI$503,464))=0,"",INDEX('Providers'!$AI$4:$AI$503,464))</f>
        <v/>
      </c>
    </row>
    <row r="1468">
      <c r="A1468">
        <f>IF(AND(LEN('Providers'!A468)&gt;0,ISNUMBER('Providers'!K468)),1,0)</f>
        <v/>
      </c>
      <c r="B1468">
        <f>B1467+A1468</f>
        <v/>
      </c>
      <c r="C1468">
        <f>IF(1465&gt;$B$4503,"",MATCH(1465-0.5,$B$3:$B$4503,1))</f>
        <v/>
      </c>
      <c r="D1468">
        <f>"State CSR ("&amp;IF(LEN(INDEX('Providers'!$E$4:$E$503,465))=0,"",INDEX('Providers'!$E$4:$E$503,465))&amp;") – "&amp;IF(LEN(INDEX('Providers'!$A$4:$A$503,465))=0,"",INDEX('Providers'!$A$4:$A$503,465))</f>
        <v/>
      </c>
      <c r="E1468">
        <f>IF(ISNUMBER(INDEX('Providers'!$K$4:$K$503,465)),TEXT(INDEX('Providers'!$K$4:$K$503,465),"yyyy-mm-dd"),"")</f>
        <v/>
      </c>
      <c r="F1468">
        <f>"Registration"</f>
        <v/>
      </c>
      <c r="G1468">
        <f>""</f>
        <v/>
      </c>
      <c r="H1468">
        <f>"High"</f>
        <v/>
      </c>
      <c r="I1468">
        <f>TRIM(IF(LEN(IF(LEN(INDEX('Providers'!$J$4:$J$503,465))=0,"",INDEX('Providers'!$J$4:$J$503,465)))=0,"","CSR no.: "&amp;IF(LEN(INDEX('Providers'!$J$4:$J$503,465))=0,"",INDEX('Providers'!$J$4:$J$503,465))&amp;". ")&amp;IF(LEN(IF(LEN(INDEX('Providers'!$C$4:$C$503,465))=0,"",INDEX('Providers'!$C$4:$C$503,465)))=0,"","NPI: "&amp;IF(LEN(INDEX('Providers'!$C$4:$C$503,465))=0,"",INDEX('Providers'!$C$4:$C$503,465))&amp;". "))</f>
        <v/>
      </c>
      <c r="J1468">
        <f>IF(LEN(INDEX('Providers'!$AJ$4:$AJ$503,465))=0,"",INDEX('Providers'!$AJ$4:$AJ$503,465))</f>
        <v/>
      </c>
      <c r="K1468">
        <f>IF(LEN(INDEX('Providers'!$AI$4:$AI$503,465))=0,"",INDEX('Providers'!$AI$4:$AI$503,465))</f>
        <v/>
      </c>
    </row>
    <row r="1469">
      <c r="A1469">
        <f>IF(AND(LEN('Providers'!A469)&gt;0,ISNUMBER('Providers'!K469)),1,0)</f>
        <v/>
      </c>
      <c r="B1469">
        <f>B1468+A1469</f>
        <v/>
      </c>
      <c r="C1469">
        <f>IF(1466&gt;$B$4503,"",MATCH(1466-0.5,$B$3:$B$4503,1))</f>
        <v/>
      </c>
      <c r="D1469">
        <f>"State CSR ("&amp;IF(LEN(INDEX('Providers'!$E$4:$E$503,466))=0,"",INDEX('Providers'!$E$4:$E$503,466))&amp;") – "&amp;IF(LEN(INDEX('Providers'!$A$4:$A$503,466))=0,"",INDEX('Providers'!$A$4:$A$503,466))</f>
        <v/>
      </c>
      <c r="E1469">
        <f>IF(ISNUMBER(INDEX('Providers'!$K$4:$K$503,466)),TEXT(INDEX('Providers'!$K$4:$K$503,466),"yyyy-mm-dd"),"")</f>
        <v/>
      </c>
      <c r="F1469">
        <f>"Registration"</f>
        <v/>
      </c>
      <c r="G1469">
        <f>""</f>
        <v/>
      </c>
      <c r="H1469">
        <f>"High"</f>
        <v/>
      </c>
      <c r="I1469">
        <f>TRIM(IF(LEN(IF(LEN(INDEX('Providers'!$J$4:$J$503,466))=0,"",INDEX('Providers'!$J$4:$J$503,466)))=0,"","CSR no.: "&amp;IF(LEN(INDEX('Providers'!$J$4:$J$503,466))=0,"",INDEX('Providers'!$J$4:$J$503,466))&amp;". ")&amp;IF(LEN(IF(LEN(INDEX('Providers'!$C$4:$C$503,466))=0,"",INDEX('Providers'!$C$4:$C$503,466)))=0,"","NPI: "&amp;IF(LEN(INDEX('Providers'!$C$4:$C$503,466))=0,"",INDEX('Providers'!$C$4:$C$503,466))&amp;". "))</f>
        <v/>
      </c>
      <c r="J1469">
        <f>IF(LEN(INDEX('Providers'!$AJ$4:$AJ$503,466))=0,"",INDEX('Providers'!$AJ$4:$AJ$503,466))</f>
        <v/>
      </c>
      <c r="K1469">
        <f>IF(LEN(INDEX('Providers'!$AI$4:$AI$503,466))=0,"",INDEX('Providers'!$AI$4:$AI$503,466))</f>
        <v/>
      </c>
    </row>
    <row r="1470">
      <c r="A1470">
        <f>IF(AND(LEN('Providers'!A470)&gt;0,ISNUMBER('Providers'!K470)),1,0)</f>
        <v/>
      </c>
      <c r="B1470">
        <f>B1469+A1470</f>
        <v/>
      </c>
      <c r="C1470">
        <f>IF(1467&gt;$B$4503,"",MATCH(1467-0.5,$B$3:$B$4503,1))</f>
        <v/>
      </c>
      <c r="D1470">
        <f>"State CSR ("&amp;IF(LEN(INDEX('Providers'!$E$4:$E$503,467))=0,"",INDEX('Providers'!$E$4:$E$503,467))&amp;") – "&amp;IF(LEN(INDEX('Providers'!$A$4:$A$503,467))=0,"",INDEX('Providers'!$A$4:$A$503,467))</f>
        <v/>
      </c>
      <c r="E1470">
        <f>IF(ISNUMBER(INDEX('Providers'!$K$4:$K$503,467)),TEXT(INDEX('Providers'!$K$4:$K$503,467),"yyyy-mm-dd"),"")</f>
        <v/>
      </c>
      <c r="F1470">
        <f>"Registration"</f>
        <v/>
      </c>
      <c r="G1470">
        <f>""</f>
        <v/>
      </c>
      <c r="H1470">
        <f>"High"</f>
        <v/>
      </c>
      <c r="I1470">
        <f>TRIM(IF(LEN(IF(LEN(INDEX('Providers'!$J$4:$J$503,467))=0,"",INDEX('Providers'!$J$4:$J$503,467)))=0,"","CSR no.: "&amp;IF(LEN(INDEX('Providers'!$J$4:$J$503,467))=0,"",INDEX('Providers'!$J$4:$J$503,467))&amp;". ")&amp;IF(LEN(IF(LEN(INDEX('Providers'!$C$4:$C$503,467))=0,"",INDEX('Providers'!$C$4:$C$503,467)))=0,"","NPI: "&amp;IF(LEN(INDEX('Providers'!$C$4:$C$503,467))=0,"",INDEX('Providers'!$C$4:$C$503,467))&amp;". "))</f>
        <v/>
      </c>
      <c r="J1470">
        <f>IF(LEN(INDEX('Providers'!$AJ$4:$AJ$503,467))=0,"",INDEX('Providers'!$AJ$4:$AJ$503,467))</f>
        <v/>
      </c>
      <c r="K1470">
        <f>IF(LEN(INDEX('Providers'!$AI$4:$AI$503,467))=0,"",INDEX('Providers'!$AI$4:$AI$503,467))</f>
        <v/>
      </c>
    </row>
    <row r="1471">
      <c r="A1471">
        <f>IF(AND(LEN('Providers'!A471)&gt;0,ISNUMBER('Providers'!K471)),1,0)</f>
        <v/>
      </c>
      <c r="B1471">
        <f>B1470+A1471</f>
        <v/>
      </c>
      <c r="C1471">
        <f>IF(1468&gt;$B$4503,"",MATCH(1468-0.5,$B$3:$B$4503,1))</f>
        <v/>
      </c>
      <c r="D1471">
        <f>"State CSR ("&amp;IF(LEN(INDEX('Providers'!$E$4:$E$503,468))=0,"",INDEX('Providers'!$E$4:$E$503,468))&amp;") – "&amp;IF(LEN(INDEX('Providers'!$A$4:$A$503,468))=0,"",INDEX('Providers'!$A$4:$A$503,468))</f>
        <v/>
      </c>
      <c r="E1471">
        <f>IF(ISNUMBER(INDEX('Providers'!$K$4:$K$503,468)),TEXT(INDEX('Providers'!$K$4:$K$503,468),"yyyy-mm-dd"),"")</f>
        <v/>
      </c>
      <c r="F1471">
        <f>"Registration"</f>
        <v/>
      </c>
      <c r="G1471">
        <f>""</f>
        <v/>
      </c>
      <c r="H1471">
        <f>"High"</f>
        <v/>
      </c>
      <c r="I1471">
        <f>TRIM(IF(LEN(IF(LEN(INDEX('Providers'!$J$4:$J$503,468))=0,"",INDEX('Providers'!$J$4:$J$503,468)))=0,"","CSR no.: "&amp;IF(LEN(INDEX('Providers'!$J$4:$J$503,468))=0,"",INDEX('Providers'!$J$4:$J$503,468))&amp;". ")&amp;IF(LEN(IF(LEN(INDEX('Providers'!$C$4:$C$503,468))=0,"",INDEX('Providers'!$C$4:$C$503,468)))=0,"","NPI: "&amp;IF(LEN(INDEX('Providers'!$C$4:$C$503,468))=0,"",INDEX('Providers'!$C$4:$C$503,468))&amp;". "))</f>
        <v/>
      </c>
      <c r="J1471">
        <f>IF(LEN(INDEX('Providers'!$AJ$4:$AJ$503,468))=0,"",INDEX('Providers'!$AJ$4:$AJ$503,468))</f>
        <v/>
      </c>
      <c r="K1471">
        <f>IF(LEN(INDEX('Providers'!$AI$4:$AI$503,468))=0,"",INDEX('Providers'!$AI$4:$AI$503,468))</f>
        <v/>
      </c>
    </row>
    <row r="1472">
      <c r="A1472">
        <f>IF(AND(LEN('Providers'!A472)&gt;0,ISNUMBER('Providers'!K472)),1,0)</f>
        <v/>
      </c>
      <c r="B1472">
        <f>B1471+A1472</f>
        <v/>
      </c>
      <c r="C1472">
        <f>IF(1469&gt;$B$4503,"",MATCH(1469-0.5,$B$3:$B$4503,1))</f>
        <v/>
      </c>
      <c r="D1472">
        <f>"State CSR ("&amp;IF(LEN(INDEX('Providers'!$E$4:$E$503,469))=0,"",INDEX('Providers'!$E$4:$E$503,469))&amp;") – "&amp;IF(LEN(INDEX('Providers'!$A$4:$A$503,469))=0,"",INDEX('Providers'!$A$4:$A$503,469))</f>
        <v/>
      </c>
      <c r="E1472">
        <f>IF(ISNUMBER(INDEX('Providers'!$K$4:$K$503,469)),TEXT(INDEX('Providers'!$K$4:$K$503,469),"yyyy-mm-dd"),"")</f>
        <v/>
      </c>
      <c r="F1472">
        <f>"Registration"</f>
        <v/>
      </c>
      <c r="G1472">
        <f>""</f>
        <v/>
      </c>
      <c r="H1472">
        <f>"High"</f>
        <v/>
      </c>
      <c r="I1472">
        <f>TRIM(IF(LEN(IF(LEN(INDEX('Providers'!$J$4:$J$503,469))=0,"",INDEX('Providers'!$J$4:$J$503,469)))=0,"","CSR no.: "&amp;IF(LEN(INDEX('Providers'!$J$4:$J$503,469))=0,"",INDEX('Providers'!$J$4:$J$503,469))&amp;". ")&amp;IF(LEN(IF(LEN(INDEX('Providers'!$C$4:$C$503,469))=0,"",INDEX('Providers'!$C$4:$C$503,469)))=0,"","NPI: "&amp;IF(LEN(INDEX('Providers'!$C$4:$C$503,469))=0,"",INDEX('Providers'!$C$4:$C$503,469))&amp;". "))</f>
        <v/>
      </c>
      <c r="J1472">
        <f>IF(LEN(INDEX('Providers'!$AJ$4:$AJ$503,469))=0,"",INDEX('Providers'!$AJ$4:$AJ$503,469))</f>
        <v/>
      </c>
      <c r="K1472">
        <f>IF(LEN(INDEX('Providers'!$AI$4:$AI$503,469))=0,"",INDEX('Providers'!$AI$4:$AI$503,469))</f>
        <v/>
      </c>
    </row>
    <row r="1473">
      <c r="A1473">
        <f>IF(AND(LEN('Providers'!A473)&gt;0,ISNUMBER('Providers'!K473)),1,0)</f>
        <v/>
      </c>
      <c r="B1473">
        <f>B1472+A1473</f>
        <v/>
      </c>
      <c r="C1473">
        <f>IF(1470&gt;$B$4503,"",MATCH(1470-0.5,$B$3:$B$4503,1))</f>
        <v/>
      </c>
      <c r="D1473">
        <f>"State CSR ("&amp;IF(LEN(INDEX('Providers'!$E$4:$E$503,470))=0,"",INDEX('Providers'!$E$4:$E$503,470))&amp;") – "&amp;IF(LEN(INDEX('Providers'!$A$4:$A$503,470))=0,"",INDEX('Providers'!$A$4:$A$503,470))</f>
        <v/>
      </c>
      <c r="E1473">
        <f>IF(ISNUMBER(INDEX('Providers'!$K$4:$K$503,470)),TEXT(INDEX('Providers'!$K$4:$K$503,470),"yyyy-mm-dd"),"")</f>
        <v/>
      </c>
      <c r="F1473">
        <f>"Registration"</f>
        <v/>
      </c>
      <c r="G1473">
        <f>""</f>
        <v/>
      </c>
      <c r="H1473">
        <f>"High"</f>
        <v/>
      </c>
      <c r="I1473">
        <f>TRIM(IF(LEN(IF(LEN(INDEX('Providers'!$J$4:$J$503,470))=0,"",INDEX('Providers'!$J$4:$J$503,470)))=0,"","CSR no.: "&amp;IF(LEN(INDEX('Providers'!$J$4:$J$503,470))=0,"",INDEX('Providers'!$J$4:$J$503,470))&amp;". ")&amp;IF(LEN(IF(LEN(INDEX('Providers'!$C$4:$C$503,470))=0,"",INDEX('Providers'!$C$4:$C$503,470)))=0,"","NPI: "&amp;IF(LEN(INDEX('Providers'!$C$4:$C$503,470))=0,"",INDEX('Providers'!$C$4:$C$503,470))&amp;". "))</f>
        <v/>
      </c>
      <c r="J1473">
        <f>IF(LEN(INDEX('Providers'!$AJ$4:$AJ$503,470))=0,"",INDEX('Providers'!$AJ$4:$AJ$503,470))</f>
        <v/>
      </c>
      <c r="K1473">
        <f>IF(LEN(INDEX('Providers'!$AI$4:$AI$503,470))=0,"",INDEX('Providers'!$AI$4:$AI$503,470))</f>
        <v/>
      </c>
    </row>
    <row r="1474">
      <c r="A1474">
        <f>IF(AND(LEN('Providers'!A474)&gt;0,ISNUMBER('Providers'!K474)),1,0)</f>
        <v/>
      </c>
      <c r="B1474">
        <f>B1473+A1474</f>
        <v/>
      </c>
      <c r="C1474">
        <f>IF(1471&gt;$B$4503,"",MATCH(1471-0.5,$B$3:$B$4503,1))</f>
        <v/>
      </c>
      <c r="D1474">
        <f>"State CSR ("&amp;IF(LEN(INDEX('Providers'!$E$4:$E$503,471))=0,"",INDEX('Providers'!$E$4:$E$503,471))&amp;") – "&amp;IF(LEN(INDEX('Providers'!$A$4:$A$503,471))=0,"",INDEX('Providers'!$A$4:$A$503,471))</f>
        <v/>
      </c>
      <c r="E1474">
        <f>IF(ISNUMBER(INDEX('Providers'!$K$4:$K$503,471)),TEXT(INDEX('Providers'!$K$4:$K$503,471),"yyyy-mm-dd"),"")</f>
        <v/>
      </c>
      <c r="F1474">
        <f>"Registration"</f>
        <v/>
      </c>
      <c r="G1474">
        <f>""</f>
        <v/>
      </c>
      <c r="H1474">
        <f>"High"</f>
        <v/>
      </c>
      <c r="I1474">
        <f>TRIM(IF(LEN(IF(LEN(INDEX('Providers'!$J$4:$J$503,471))=0,"",INDEX('Providers'!$J$4:$J$503,471)))=0,"","CSR no.: "&amp;IF(LEN(INDEX('Providers'!$J$4:$J$503,471))=0,"",INDEX('Providers'!$J$4:$J$503,471))&amp;". ")&amp;IF(LEN(IF(LEN(INDEX('Providers'!$C$4:$C$503,471))=0,"",INDEX('Providers'!$C$4:$C$503,471)))=0,"","NPI: "&amp;IF(LEN(INDEX('Providers'!$C$4:$C$503,471))=0,"",INDEX('Providers'!$C$4:$C$503,471))&amp;". "))</f>
        <v/>
      </c>
      <c r="J1474">
        <f>IF(LEN(INDEX('Providers'!$AJ$4:$AJ$503,471))=0,"",INDEX('Providers'!$AJ$4:$AJ$503,471))</f>
        <v/>
      </c>
      <c r="K1474">
        <f>IF(LEN(INDEX('Providers'!$AI$4:$AI$503,471))=0,"",INDEX('Providers'!$AI$4:$AI$503,471))</f>
        <v/>
      </c>
    </row>
    <row r="1475">
      <c r="A1475">
        <f>IF(AND(LEN('Providers'!A475)&gt;0,ISNUMBER('Providers'!K475)),1,0)</f>
        <v/>
      </c>
      <c r="B1475">
        <f>B1474+A1475</f>
        <v/>
      </c>
      <c r="C1475">
        <f>IF(1472&gt;$B$4503,"",MATCH(1472-0.5,$B$3:$B$4503,1))</f>
        <v/>
      </c>
      <c r="D1475">
        <f>"State CSR ("&amp;IF(LEN(INDEX('Providers'!$E$4:$E$503,472))=0,"",INDEX('Providers'!$E$4:$E$503,472))&amp;") – "&amp;IF(LEN(INDEX('Providers'!$A$4:$A$503,472))=0,"",INDEX('Providers'!$A$4:$A$503,472))</f>
        <v/>
      </c>
      <c r="E1475">
        <f>IF(ISNUMBER(INDEX('Providers'!$K$4:$K$503,472)),TEXT(INDEX('Providers'!$K$4:$K$503,472),"yyyy-mm-dd"),"")</f>
        <v/>
      </c>
      <c r="F1475">
        <f>"Registration"</f>
        <v/>
      </c>
      <c r="G1475">
        <f>""</f>
        <v/>
      </c>
      <c r="H1475">
        <f>"High"</f>
        <v/>
      </c>
      <c r="I1475">
        <f>TRIM(IF(LEN(IF(LEN(INDEX('Providers'!$J$4:$J$503,472))=0,"",INDEX('Providers'!$J$4:$J$503,472)))=0,"","CSR no.: "&amp;IF(LEN(INDEX('Providers'!$J$4:$J$503,472))=0,"",INDEX('Providers'!$J$4:$J$503,472))&amp;". ")&amp;IF(LEN(IF(LEN(INDEX('Providers'!$C$4:$C$503,472))=0,"",INDEX('Providers'!$C$4:$C$503,472)))=0,"","NPI: "&amp;IF(LEN(INDEX('Providers'!$C$4:$C$503,472))=0,"",INDEX('Providers'!$C$4:$C$503,472))&amp;". "))</f>
        <v/>
      </c>
      <c r="J1475">
        <f>IF(LEN(INDEX('Providers'!$AJ$4:$AJ$503,472))=0,"",INDEX('Providers'!$AJ$4:$AJ$503,472))</f>
        <v/>
      </c>
      <c r="K1475">
        <f>IF(LEN(INDEX('Providers'!$AI$4:$AI$503,472))=0,"",INDEX('Providers'!$AI$4:$AI$503,472))</f>
        <v/>
      </c>
    </row>
    <row r="1476">
      <c r="A1476">
        <f>IF(AND(LEN('Providers'!A476)&gt;0,ISNUMBER('Providers'!K476)),1,0)</f>
        <v/>
      </c>
      <c r="B1476">
        <f>B1475+A1476</f>
        <v/>
      </c>
      <c r="C1476">
        <f>IF(1473&gt;$B$4503,"",MATCH(1473-0.5,$B$3:$B$4503,1))</f>
        <v/>
      </c>
      <c r="D1476">
        <f>"State CSR ("&amp;IF(LEN(INDEX('Providers'!$E$4:$E$503,473))=0,"",INDEX('Providers'!$E$4:$E$503,473))&amp;") – "&amp;IF(LEN(INDEX('Providers'!$A$4:$A$503,473))=0,"",INDEX('Providers'!$A$4:$A$503,473))</f>
        <v/>
      </c>
      <c r="E1476">
        <f>IF(ISNUMBER(INDEX('Providers'!$K$4:$K$503,473)),TEXT(INDEX('Providers'!$K$4:$K$503,473),"yyyy-mm-dd"),"")</f>
        <v/>
      </c>
      <c r="F1476">
        <f>"Registration"</f>
        <v/>
      </c>
      <c r="G1476">
        <f>""</f>
        <v/>
      </c>
      <c r="H1476">
        <f>"High"</f>
        <v/>
      </c>
      <c r="I1476">
        <f>TRIM(IF(LEN(IF(LEN(INDEX('Providers'!$J$4:$J$503,473))=0,"",INDEX('Providers'!$J$4:$J$503,473)))=0,"","CSR no.: "&amp;IF(LEN(INDEX('Providers'!$J$4:$J$503,473))=0,"",INDEX('Providers'!$J$4:$J$503,473))&amp;". ")&amp;IF(LEN(IF(LEN(INDEX('Providers'!$C$4:$C$503,473))=0,"",INDEX('Providers'!$C$4:$C$503,473)))=0,"","NPI: "&amp;IF(LEN(INDEX('Providers'!$C$4:$C$503,473))=0,"",INDEX('Providers'!$C$4:$C$503,473))&amp;". "))</f>
        <v/>
      </c>
      <c r="J1476">
        <f>IF(LEN(INDEX('Providers'!$AJ$4:$AJ$503,473))=0,"",INDEX('Providers'!$AJ$4:$AJ$503,473))</f>
        <v/>
      </c>
      <c r="K1476">
        <f>IF(LEN(INDEX('Providers'!$AI$4:$AI$503,473))=0,"",INDEX('Providers'!$AI$4:$AI$503,473))</f>
        <v/>
      </c>
    </row>
    <row r="1477">
      <c r="A1477">
        <f>IF(AND(LEN('Providers'!A477)&gt;0,ISNUMBER('Providers'!K477)),1,0)</f>
        <v/>
      </c>
      <c r="B1477">
        <f>B1476+A1477</f>
        <v/>
      </c>
      <c r="C1477">
        <f>IF(1474&gt;$B$4503,"",MATCH(1474-0.5,$B$3:$B$4503,1))</f>
        <v/>
      </c>
      <c r="D1477">
        <f>"State CSR ("&amp;IF(LEN(INDEX('Providers'!$E$4:$E$503,474))=0,"",INDEX('Providers'!$E$4:$E$503,474))&amp;") – "&amp;IF(LEN(INDEX('Providers'!$A$4:$A$503,474))=0,"",INDEX('Providers'!$A$4:$A$503,474))</f>
        <v/>
      </c>
      <c r="E1477">
        <f>IF(ISNUMBER(INDEX('Providers'!$K$4:$K$503,474)),TEXT(INDEX('Providers'!$K$4:$K$503,474),"yyyy-mm-dd"),"")</f>
        <v/>
      </c>
      <c r="F1477">
        <f>"Registration"</f>
        <v/>
      </c>
      <c r="G1477">
        <f>""</f>
        <v/>
      </c>
      <c r="H1477">
        <f>"High"</f>
        <v/>
      </c>
      <c r="I1477">
        <f>TRIM(IF(LEN(IF(LEN(INDEX('Providers'!$J$4:$J$503,474))=0,"",INDEX('Providers'!$J$4:$J$503,474)))=0,"","CSR no.: "&amp;IF(LEN(INDEX('Providers'!$J$4:$J$503,474))=0,"",INDEX('Providers'!$J$4:$J$503,474))&amp;". ")&amp;IF(LEN(IF(LEN(INDEX('Providers'!$C$4:$C$503,474))=0,"",INDEX('Providers'!$C$4:$C$503,474)))=0,"","NPI: "&amp;IF(LEN(INDEX('Providers'!$C$4:$C$503,474))=0,"",INDEX('Providers'!$C$4:$C$503,474))&amp;". "))</f>
        <v/>
      </c>
      <c r="J1477">
        <f>IF(LEN(INDEX('Providers'!$AJ$4:$AJ$503,474))=0,"",INDEX('Providers'!$AJ$4:$AJ$503,474))</f>
        <v/>
      </c>
      <c r="K1477">
        <f>IF(LEN(INDEX('Providers'!$AI$4:$AI$503,474))=0,"",INDEX('Providers'!$AI$4:$AI$503,474))</f>
        <v/>
      </c>
    </row>
    <row r="1478">
      <c r="A1478">
        <f>IF(AND(LEN('Providers'!A478)&gt;0,ISNUMBER('Providers'!K478)),1,0)</f>
        <v/>
      </c>
      <c r="B1478">
        <f>B1477+A1478</f>
        <v/>
      </c>
      <c r="C1478">
        <f>IF(1475&gt;$B$4503,"",MATCH(1475-0.5,$B$3:$B$4503,1))</f>
        <v/>
      </c>
      <c r="D1478">
        <f>"State CSR ("&amp;IF(LEN(INDEX('Providers'!$E$4:$E$503,475))=0,"",INDEX('Providers'!$E$4:$E$503,475))&amp;") – "&amp;IF(LEN(INDEX('Providers'!$A$4:$A$503,475))=0,"",INDEX('Providers'!$A$4:$A$503,475))</f>
        <v/>
      </c>
      <c r="E1478">
        <f>IF(ISNUMBER(INDEX('Providers'!$K$4:$K$503,475)),TEXT(INDEX('Providers'!$K$4:$K$503,475),"yyyy-mm-dd"),"")</f>
        <v/>
      </c>
      <c r="F1478">
        <f>"Registration"</f>
        <v/>
      </c>
      <c r="G1478">
        <f>""</f>
        <v/>
      </c>
      <c r="H1478">
        <f>"High"</f>
        <v/>
      </c>
      <c r="I1478">
        <f>TRIM(IF(LEN(IF(LEN(INDEX('Providers'!$J$4:$J$503,475))=0,"",INDEX('Providers'!$J$4:$J$503,475)))=0,"","CSR no.: "&amp;IF(LEN(INDEX('Providers'!$J$4:$J$503,475))=0,"",INDEX('Providers'!$J$4:$J$503,475))&amp;". ")&amp;IF(LEN(IF(LEN(INDEX('Providers'!$C$4:$C$503,475))=0,"",INDEX('Providers'!$C$4:$C$503,475)))=0,"","NPI: "&amp;IF(LEN(INDEX('Providers'!$C$4:$C$503,475))=0,"",INDEX('Providers'!$C$4:$C$503,475))&amp;". "))</f>
        <v/>
      </c>
      <c r="J1478">
        <f>IF(LEN(INDEX('Providers'!$AJ$4:$AJ$503,475))=0,"",INDEX('Providers'!$AJ$4:$AJ$503,475))</f>
        <v/>
      </c>
      <c r="K1478">
        <f>IF(LEN(INDEX('Providers'!$AI$4:$AI$503,475))=0,"",INDEX('Providers'!$AI$4:$AI$503,475))</f>
        <v/>
      </c>
    </row>
    <row r="1479">
      <c r="A1479">
        <f>IF(AND(LEN('Providers'!A479)&gt;0,ISNUMBER('Providers'!K479)),1,0)</f>
        <v/>
      </c>
      <c r="B1479">
        <f>B1478+A1479</f>
        <v/>
      </c>
      <c r="C1479">
        <f>IF(1476&gt;$B$4503,"",MATCH(1476-0.5,$B$3:$B$4503,1))</f>
        <v/>
      </c>
      <c r="D1479">
        <f>"State CSR ("&amp;IF(LEN(INDEX('Providers'!$E$4:$E$503,476))=0,"",INDEX('Providers'!$E$4:$E$503,476))&amp;") – "&amp;IF(LEN(INDEX('Providers'!$A$4:$A$503,476))=0,"",INDEX('Providers'!$A$4:$A$503,476))</f>
        <v/>
      </c>
      <c r="E1479">
        <f>IF(ISNUMBER(INDEX('Providers'!$K$4:$K$503,476)),TEXT(INDEX('Providers'!$K$4:$K$503,476),"yyyy-mm-dd"),"")</f>
        <v/>
      </c>
      <c r="F1479">
        <f>"Registration"</f>
        <v/>
      </c>
      <c r="G1479">
        <f>""</f>
        <v/>
      </c>
      <c r="H1479">
        <f>"High"</f>
        <v/>
      </c>
      <c r="I1479">
        <f>TRIM(IF(LEN(IF(LEN(INDEX('Providers'!$J$4:$J$503,476))=0,"",INDEX('Providers'!$J$4:$J$503,476)))=0,"","CSR no.: "&amp;IF(LEN(INDEX('Providers'!$J$4:$J$503,476))=0,"",INDEX('Providers'!$J$4:$J$503,476))&amp;". ")&amp;IF(LEN(IF(LEN(INDEX('Providers'!$C$4:$C$503,476))=0,"",INDEX('Providers'!$C$4:$C$503,476)))=0,"","NPI: "&amp;IF(LEN(INDEX('Providers'!$C$4:$C$503,476))=0,"",INDEX('Providers'!$C$4:$C$503,476))&amp;". "))</f>
        <v/>
      </c>
      <c r="J1479">
        <f>IF(LEN(INDEX('Providers'!$AJ$4:$AJ$503,476))=0,"",INDEX('Providers'!$AJ$4:$AJ$503,476))</f>
        <v/>
      </c>
      <c r="K1479">
        <f>IF(LEN(INDEX('Providers'!$AI$4:$AI$503,476))=0,"",INDEX('Providers'!$AI$4:$AI$503,476))</f>
        <v/>
      </c>
    </row>
    <row r="1480">
      <c r="A1480">
        <f>IF(AND(LEN('Providers'!A480)&gt;0,ISNUMBER('Providers'!K480)),1,0)</f>
        <v/>
      </c>
      <c r="B1480">
        <f>B1479+A1480</f>
        <v/>
      </c>
      <c r="C1480">
        <f>IF(1477&gt;$B$4503,"",MATCH(1477-0.5,$B$3:$B$4503,1))</f>
        <v/>
      </c>
      <c r="D1480">
        <f>"State CSR ("&amp;IF(LEN(INDEX('Providers'!$E$4:$E$503,477))=0,"",INDEX('Providers'!$E$4:$E$503,477))&amp;") – "&amp;IF(LEN(INDEX('Providers'!$A$4:$A$503,477))=0,"",INDEX('Providers'!$A$4:$A$503,477))</f>
        <v/>
      </c>
      <c r="E1480">
        <f>IF(ISNUMBER(INDEX('Providers'!$K$4:$K$503,477)),TEXT(INDEX('Providers'!$K$4:$K$503,477),"yyyy-mm-dd"),"")</f>
        <v/>
      </c>
      <c r="F1480">
        <f>"Registration"</f>
        <v/>
      </c>
      <c r="G1480">
        <f>""</f>
        <v/>
      </c>
      <c r="H1480">
        <f>"High"</f>
        <v/>
      </c>
      <c r="I1480">
        <f>TRIM(IF(LEN(IF(LEN(INDEX('Providers'!$J$4:$J$503,477))=0,"",INDEX('Providers'!$J$4:$J$503,477)))=0,"","CSR no.: "&amp;IF(LEN(INDEX('Providers'!$J$4:$J$503,477))=0,"",INDEX('Providers'!$J$4:$J$503,477))&amp;". ")&amp;IF(LEN(IF(LEN(INDEX('Providers'!$C$4:$C$503,477))=0,"",INDEX('Providers'!$C$4:$C$503,477)))=0,"","NPI: "&amp;IF(LEN(INDEX('Providers'!$C$4:$C$503,477))=0,"",INDEX('Providers'!$C$4:$C$503,477))&amp;". "))</f>
        <v/>
      </c>
      <c r="J1480">
        <f>IF(LEN(INDEX('Providers'!$AJ$4:$AJ$503,477))=0,"",INDEX('Providers'!$AJ$4:$AJ$503,477))</f>
        <v/>
      </c>
      <c r="K1480">
        <f>IF(LEN(INDEX('Providers'!$AI$4:$AI$503,477))=0,"",INDEX('Providers'!$AI$4:$AI$503,477))</f>
        <v/>
      </c>
    </row>
    <row r="1481">
      <c r="A1481">
        <f>IF(AND(LEN('Providers'!A481)&gt;0,ISNUMBER('Providers'!K481)),1,0)</f>
        <v/>
      </c>
      <c r="B1481">
        <f>B1480+A1481</f>
        <v/>
      </c>
      <c r="C1481">
        <f>IF(1478&gt;$B$4503,"",MATCH(1478-0.5,$B$3:$B$4503,1))</f>
        <v/>
      </c>
      <c r="D1481">
        <f>"State CSR ("&amp;IF(LEN(INDEX('Providers'!$E$4:$E$503,478))=0,"",INDEX('Providers'!$E$4:$E$503,478))&amp;") – "&amp;IF(LEN(INDEX('Providers'!$A$4:$A$503,478))=0,"",INDEX('Providers'!$A$4:$A$503,478))</f>
        <v/>
      </c>
      <c r="E1481">
        <f>IF(ISNUMBER(INDEX('Providers'!$K$4:$K$503,478)),TEXT(INDEX('Providers'!$K$4:$K$503,478),"yyyy-mm-dd"),"")</f>
        <v/>
      </c>
      <c r="F1481">
        <f>"Registration"</f>
        <v/>
      </c>
      <c r="G1481">
        <f>""</f>
        <v/>
      </c>
      <c r="H1481">
        <f>"High"</f>
        <v/>
      </c>
      <c r="I1481">
        <f>TRIM(IF(LEN(IF(LEN(INDEX('Providers'!$J$4:$J$503,478))=0,"",INDEX('Providers'!$J$4:$J$503,478)))=0,"","CSR no.: "&amp;IF(LEN(INDEX('Providers'!$J$4:$J$503,478))=0,"",INDEX('Providers'!$J$4:$J$503,478))&amp;". ")&amp;IF(LEN(IF(LEN(INDEX('Providers'!$C$4:$C$503,478))=0,"",INDEX('Providers'!$C$4:$C$503,478)))=0,"","NPI: "&amp;IF(LEN(INDEX('Providers'!$C$4:$C$503,478))=0,"",INDEX('Providers'!$C$4:$C$503,478))&amp;". "))</f>
        <v/>
      </c>
      <c r="J1481">
        <f>IF(LEN(INDEX('Providers'!$AJ$4:$AJ$503,478))=0,"",INDEX('Providers'!$AJ$4:$AJ$503,478))</f>
        <v/>
      </c>
      <c r="K1481">
        <f>IF(LEN(INDEX('Providers'!$AI$4:$AI$503,478))=0,"",INDEX('Providers'!$AI$4:$AI$503,478))</f>
        <v/>
      </c>
    </row>
    <row r="1482">
      <c r="A1482">
        <f>IF(AND(LEN('Providers'!A482)&gt;0,ISNUMBER('Providers'!K482)),1,0)</f>
        <v/>
      </c>
      <c r="B1482">
        <f>B1481+A1482</f>
        <v/>
      </c>
      <c r="C1482">
        <f>IF(1479&gt;$B$4503,"",MATCH(1479-0.5,$B$3:$B$4503,1))</f>
        <v/>
      </c>
      <c r="D1482">
        <f>"State CSR ("&amp;IF(LEN(INDEX('Providers'!$E$4:$E$503,479))=0,"",INDEX('Providers'!$E$4:$E$503,479))&amp;") – "&amp;IF(LEN(INDEX('Providers'!$A$4:$A$503,479))=0,"",INDEX('Providers'!$A$4:$A$503,479))</f>
        <v/>
      </c>
      <c r="E1482">
        <f>IF(ISNUMBER(INDEX('Providers'!$K$4:$K$503,479)),TEXT(INDEX('Providers'!$K$4:$K$503,479),"yyyy-mm-dd"),"")</f>
        <v/>
      </c>
      <c r="F1482">
        <f>"Registration"</f>
        <v/>
      </c>
      <c r="G1482">
        <f>""</f>
        <v/>
      </c>
      <c r="H1482">
        <f>"High"</f>
        <v/>
      </c>
      <c r="I1482">
        <f>TRIM(IF(LEN(IF(LEN(INDEX('Providers'!$J$4:$J$503,479))=0,"",INDEX('Providers'!$J$4:$J$503,479)))=0,"","CSR no.: "&amp;IF(LEN(INDEX('Providers'!$J$4:$J$503,479))=0,"",INDEX('Providers'!$J$4:$J$503,479))&amp;". ")&amp;IF(LEN(IF(LEN(INDEX('Providers'!$C$4:$C$503,479))=0,"",INDEX('Providers'!$C$4:$C$503,479)))=0,"","NPI: "&amp;IF(LEN(INDEX('Providers'!$C$4:$C$503,479))=0,"",INDEX('Providers'!$C$4:$C$503,479))&amp;". "))</f>
        <v/>
      </c>
      <c r="J1482">
        <f>IF(LEN(INDEX('Providers'!$AJ$4:$AJ$503,479))=0,"",INDEX('Providers'!$AJ$4:$AJ$503,479))</f>
        <v/>
      </c>
      <c r="K1482">
        <f>IF(LEN(INDEX('Providers'!$AI$4:$AI$503,479))=0,"",INDEX('Providers'!$AI$4:$AI$503,479))</f>
        <v/>
      </c>
    </row>
    <row r="1483">
      <c r="A1483">
        <f>IF(AND(LEN('Providers'!A483)&gt;0,ISNUMBER('Providers'!K483)),1,0)</f>
        <v/>
      </c>
      <c r="B1483">
        <f>B1482+A1483</f>
        <v/>
      </c>
      <c r="C1483">
        <f>IF(1480&gt;$B$4503,"",MATCH(1480-0.5,$B$3:$B$4503,1))</f>
        <v/>
      </c>
      <c r="D1483">
        <f>"State CSR ("&amp;IF(LEN(INDEX('Providers'!$E$4:$E$503,480))=0,"",INDEX('Providers'!$E$4:$E$503,480))&amp;") – "&amp;IF(LEN(INDEX('Providers'!$A$4:$A$503,480))=0,"",INDEX('Providers'!$A$4:$A$503,480))</f>
        <v/>
      </c>
      <c r="E1483">
        <f>IF(ISNUMBER(INDEX('Providers'!$K$4:$K$503,480)),TEXT(INDEX('Providers'!$K$4:$K$503,480),"yyyy-mm-dd"),"")</f>
        <v/>
      </c>
      <c r="F1483">
        <f>"Registration"</f>
        <v/>
      </c>
      <c r="G1483">
        <f>""</f>
        <v/>
      </c>
      <c r="H1483">
        <f>"High"</f>
        <v/>
      </c>
      <c r="I1483">
        <f>TRIM(IF(LEN(IF(LEN(INDEX('Providers'!$J$4:$J$503,480))=0,"",INDEX('Providers'!$J$4:$J$503,480)))=0,"","CSR no.: "&amp;IF(LEN(INDEX('Providers'!$J$4:$J$503,480))=0,"",INDEX('Providers'!$J$4:$J$503,480))&amp;". ")&amp;IF(LEN(IF(LEN(INDEX('Providers'!$C$4:$C$503,480))=0,"",INDEX('Providers'!$C$4:$C$503,480)))=0,"","NPI: "&amp;IF(LEN(INDEX('Providers'!$C$4:$C$503,480))=0,"",INDEX('Providers'!$C$4:$C$503,480))&amp;". "))</f>
        <v/>
      </c>
      <c r="J1483">
        <f>IF(LEN(INDEX('Providers'!$AJ$4:$AJ$503,480))=0,"",INDEX('Providers'!$AJ$4:$AJ$503,480))</f>
        <v/>
      </c>
      <c r="K1483">
        <f>IF(LEN(INDEX('Providers'!$AI$4:$AI$503,480))=0,"",INDEX('Providers'!$AI$4:$AI$503,480))</f>
        <v/>
      </c>
    </row>
    <row r="1484">
      <c r="A1484">
        <f>IF(AND(LEN('Providers'!A484)&gt;0,ISNUMBER('Providers'!K484)),1,0)</f>
        <v/>
      </c>
      <c r="B1484">
        <f>B1483+A1484</f>
        <v/>
      </c>
      <c r="C1484">
        <f>IF(1481&gt;$B$4503,"",MATCH(1481-0.5,$B$3:$B$4503,1))</f>
        <v/>
      </c>
      <c r="D1484">
        <f>"State CSR ("&amp;IF(LEN(INDEX('Providers'!$E$4:$E$503,481))=0,"",INDEX('Providers'!$E$4:$E$503,481))&amp;") – "&amp;IF(LEN(INDEX('Providers'!$A$4:$A$503,481))=0,"",INDEX('Providers'!$A$4:$A$503,481))</f>
        <v/>
      </c>
      <c r="E1484">
        <f>IF(ISNUMBER(INDEX('Providers'!$K$4:$K$503,481)),TEXT(INDEX('Providers'!$K$4:$K$503,481),"yyyy-mm-dd"),"")</f>
        <v/>
      </c>
      <c r="F1484">
        <f>"Registration"</f>
        <v/>
      </c>
      <c r="G1484">
        <f>""</f>
        <v/>
      </c>
      <c r="H1484">
        <f>"High"</f>
        <v/>
      </c>
      <c r="I1484">
        <f>TRIM(IF(LEN(IF(LEN(INDEX('Providers'!$J$4:$J$503,481))=0,"",INDEX('Providers'!$J$4:$J$503,481)))=0,"","CSR no.: "&amp;IF(LEN(INDEX('Providers'!$J$4:$J$503,481))=0,"",INDEX('Providers'!$J$4:$J$503,481))&amp;". ")&amp;IF(LEN(IF(LEN(INDEX('Providers'!$C$4:$C$503,481))=0,"",INDEX('Providers'!$C$4:$C$503,481)))=0,"","NPI: "&amp;IF(LEN(INDEX('Providers'!$C$4:$C$503,481))=0,"",INDEX('Providers'!$C$4:$C$503,481))&amp;". "))</f>
        <v/>
      </c>
      <c r="J1484">
        <f>IF(LEN(INDEX('Providers'!$AJ$4:$AJ$503,481))=0,"",INDEX('Providers'!$AJ$4:$AJ$503,481))</f>
        <v/>
      </c>
      <c r="K1484">
        <f>IF(LEN(INDEX('Providers'!$AI$4:$AI$503,481))=0,"",INDEX('Providers'!$AI$4:$AI$503,481))</f>
        <v/>
      </c>
    </row>
    <row r="1485">
      <c r="A1485">
        <f>IF(AND(LEN('Providers'!A485)&gt;0,ISNUMBER('Providers'!K485)),1,0)</f>
        <v/>
      </c>
      <c r="B1485">
        <f>B1484+A1485</f>
        <v/>
      </c>
      <c r="C1485">
        <f>IF(1482&gt;$B$4503,"",MATCH(1482-0.5,$B$3:$B$4503,1))</f>
        <v/>
      </c>
      <c r="D1485">
        <f>"State CSR ("&amp;IF(LEN(INDEX('Providers'!$E$4:$E$503,482))=0,"",INDEX('Providers'!$E$4:$E$503,482))&amp;") – "&amp;IF(LEN(INDEX('Providers'!$A$4:$A$503,482))=0,"",INDEX('Providers'!$A$4:$A$503,482))</f>
        <v/>
      </c>
      <c r="E1485">
        <f>IF(ISNUMBER(INDEX('Providers'!$K$4:$K$503,482)),TEXT(INDEX('Providers'!$K$4:$K$503,482),"yyyy-mm-dd"),"")</f>
        <v/>
      </c>
      <c r="F1485">
        <f>"Registration"</f>
        <v/>
      </c>
      <c r="G1485">
        <f>""</f>
        <v/>
      </c>
      <c r="H1485">
        <f>"High"</f>
        <v/>
      </c>
      <c r="I1485">
        <f>TRIM(IF(LEN(IF(LEN(INDEX('Providers'!$J$4:$J$503,482))=0,"",INDEX('Providers'!$J$4:$J$503,482)))=0,"","CSR no.: "&amp;IF(LEN(INDEX('Providers'!$J$4:$J$503,482))=0,"",INDEX('Providers'!$J$4:$J$503,482))&amp;". ")&amp;IF(LEN(IF(LEN(INDEX('Providers'!$C$4:$C$503,482))=0,"",INDEX('Providers'!$C$4:$C$503,482)))=0,"","NPI: "&amp;IF(LEN(INDEX('Providers'!$C$4:$C$503,482))=0,"",INDEX('Providers'!$C$4:$C$503,482))&amp;". "))</f>
        <v/>
      </c>
      <c r="J1485">
        <f>IF(LEN(INDEX('Providers'!$AJ$4:$AJ$503,482))=0,"",INDEX('Providers'!$AJ$4:$AJ$503,482))</f>
        <v/>
      </c>
      <c r="K1485">
        <f>IF(LEN(INDEX('Providers'!$AI$4:$AI$503,482))=0,"",INDEX('Providers'!$AI$4:$AI$503,482))</f>
        <v/>
      </c>
    </row>
    <row r="1486">
      <c r="A1486">
        <f>IF(AND(LEN('Providers'!A486)&gt;0,ISNUMBER('Providers'!K486)),1,0)</f>
        <v/>
      </c>
      <c r="B1486">
        <f>B1485+A1486</f>
        <v/>
      </c>
      <c r="C1486">
        <f>IF(1483&gt;$B$4503,"",MATCH(1483-0.5,$B$3:$B$4503,1))</f>
        <v/>
      </c>
      <c r="D1486">
        <f>"State CSR ("&amp;IF(LEN(INDEX('Providers'!$E$4:$E$503,483))=0,"",INDEX('Providers'!$E$4:$E$503,483))&amp;") – "&amp;IF(LEN(INDEX('Providers'!$A$4:$A$503,483))=0,"",INDEX('Providers'!$A$4:$A$503,483))</f>
        <v/>
      </c>
      <c r="E1486">
        <f>IF(ISNUMBER(INDEX('Providers'!$K$4:$K$503,483)),TEXT(INDEX('Providers'!$K$4:$K$503,483),"yyyy-mm-dd"),"")</f>
        <v/>
      </c>
      <c r="F1486">
        <f>"Registration"</f>
        <v/>
      </c>
      <c r="G1486">
        <f>""</f>
        <v/>
      </c>
      <c r="H1486">
        <f>"High"</f>
        <v/>
      </c>
      <c r="I1486">
        <f>TRIM(IF(LEN(IF(LEN(INDEX('Providers'!$J$4:$J$503,483))=0,"",INDEX('Providers'!$J$4:$J$503,483)))=0,"","CSR no.: "&amp;IF(LEN(INDEX('Providers'!$J$4:$J$503,483))=0,"",INDEX('Providers'!$J$4:$J$503,483))&amp;". ")&amp;IF(LEN(IF(LEN(INDEX('Providers'!$C$4:$C$503,483))=0,"",INDEX('Providers'!$C$4:$C$503,483)))=0,"","NPI: "&amp;IF(LEN(INDEX('Providers'!$C$4:$C$503,483))=0,"",INDEX('Providers'!$C$4:$C$503,483))&amp;". "))</f>
        <v/>
      </c>
      <c r="J1486">
        <f>IF(LEN(INDEX('Providers'!$AJ$4:$AJ$503,483))=0,"",INDEX('Providers'!$AJ$4:$AJ$503,483))</f>
        <v/>
      </c>
      <c r="K1486">
        <f>IF(LEN(INDEX('Providers'!$AI$4:$AI$503,483))=0,"",INDEX('Providers'!$AI$4:$AI$503,483))</f>
        <v/>
      </c>
    </row>
    <row r="1487">
      <c r="A1487">
        <f>IF(AND(LEN('Providers'!A487)&gt;0,ISNUMBER('Providers'!K487)),1,0)</f>
        <v/>
      </c>
      <c r="B1487">
        <f>B1486+A1487</f>
        <v/>
      </c>
      <c r="C1487">
        <f>IF(1484&gt;$B$4503,"",MATCH(1484-0.5,$B$3:$B$4503,1))</f>
        <v/>
      </c>
      <c r="D1487">
        <f>"State CSR ("&amp;IF(LEN(INDEX('Providers'!$E$4:$E$503,484))=0,"",INDEX('Providers'!$E$4:$E$503,484))&amp;") – "&amp;IF(LEN(INDEX('Providers'!$A$4:$A$503,484))=0,"",INDEX('Providers'!$A$4:$A$503,484))</f>
        <v/>
      </c>
      <c r="E1487">
        <f>IF(ISNUMBER(INDEX('Providers'!$K$4:$K$503,484)),TEXT(INDEX('Providers'!$K$4:$K$503,484),"yyyy-mm-dd"),"")</f>
        <v/>
      </c>
      <c r="F1487">
        <f>"Registration"</f>
        <v/>
      </c>
      <c r="G1487">
        <f>""</f>
        <v/>
      </c>
      <c r="H1487">
        <f>"High"</f>
        <v/>
      </c>
      <c r="I1487">
        <f>TRIM(IF(LEN(IF(LEN(INDEX('Providers'!$J$4:$J$503,484))=0,"",INDEX('Providers'!$J$4:$J$503,484)))=0,"","CSR no.: "&amp;IF(LEN(INDEX('Providers'!$J$4:$J$503,484))=0,"",INDEX('Providers'!$J$4:$J$503,484))&amp;". ")&amp;IF(LEN(IF(LEN(INDEX('Providers'!$C$4:$C$503,484))=0,"",INDEX('Providers'!$C$4:$C$503,484)))=0,"","NPI: "&amp;IF(LEN(INDEX('Providers'!$C$4:$C$503,484))=0,"",INDEX('Providers'!$C$4:$C$503,484))&amp;". "))</f>
        <v/>
      </c>
      <c r="J1487">
        <f>IF(LEN(INDEX('Providers'!$AJ$4:$AJ$503,484))=0,"",INDEX('Providers'!$AJ$4:$AJ$503,484))</f>
        <v/>
      </c>
      <c r="K1487">
        <f>IF(LEN(INDEX('Providers'!$AI$4:$AI$503,484))=0,"",INDEX('Providers'!$AI$4:$AI$503,484))</f>
        <v/>
      </c>
    </row>
    <row r="1488">
      <c r="A1488">
        <f>IF(AND(LEN('Providers'!A488)&gt;0,ISNUMBER('Providers'!K488)),1,0)</f>
        <v/>
      </c>
      <c r="B1488">
        <f>B1487+A1488</f>
        <v/>
      </c>
      <c r="C1488">
        <f>IF(1485&gt;$B$4503,"",MATCH(1485-0.5,$B$3:$B$4503,1))</f>
        <v/>
      </c>
      <c r="D1488">
        <f>"State CSR ("&amp;IF(LEN(INDEX('Providers'!$E$4:$E$503,485))=0,"",INDEX('Providers'!$E$4:$E$503,485))&amp;") – "&amp;IF(LEN(INDEX('Providers'!$A$4:$A$503,485))=0,"",INDEX('Providers'!$A$4:$A$503,485))</f>
        <v/>
      </c>
      <c r="E1488">
        <f>IF(ISNUMBER(INDEX('Providers'!$K$4:$K$503,485)),TEXT(INDEX('Providers'!$K$4:$K$503,485),"yyyy-mm-dd"),"")</f>
        <v/>
      </c>
      <c r="F1488">
        <f>"Registration"</f>
        <v/>
      </c>
      <c r="G1488">
        <f>""</f>
        <v/>
      </c>
      <c r="H1488">
        <f>"High"</f>
        <v/>
      </c>
      <c r="I1488">
        <f>TRIM(IF(LEN(IF(LEN(INDEX('Providers'!$J$4:$J$503,485))=0,"",INDEX('Providers'!$J$4:$J$503,485)))=0,"","CSR no.: "&amp;IF(LEN(INDEX('Providers'!$J$4:$J$503,485))=0,"",INDEX('Providers'!$J$4:$J$503,485))&amp;". ")&amp;IF(LEN(IF(LEN(INDEX('Providers'!$C$4:$C$503,485))=0,"",INDEX('Providers'!$C$4:$C$503,485)))=0,"","NPI: "&amp;IF(LEN(INDEX('Providers'!$C$4:$C$503,485))=0,"",INDEX('Providers'!$C$4:$C$503,485))&amp;". "))</f>
        <v/>
      </c>
      <c r="J1488">
        <f>IF(LEN(INDEX('Providers'!$AJ$4:$AJ$503,485))=0,"",INDEX('Providers'!$AJ$4:$AJ$503,485))</f>
        <v/>
      </c>
      <c r="K1488">
        <f>IF(LEN(INDEX('Providers'!$AI$4:$AI$503,485))=0,"",INDEX('Providers'!$AI$4:$AI$503,485))</f>
        <v/>
      </c>
    </row>
    <row r="1489">
      <c r="A1489">
        <f>IF(AND(LEN('Providers'!A489)&gt;0,ISNUMBER('Providers'!K489)),1,0)</f>
        <v/>
      </c>
      <c r="B1489">
        <f>B1488+A1489</f>
        <v/>
      </c>
      <c r="C1489">
        <f>IF(1486&gt;$B$4503,"",MATCH(1486-0.5,$B$3:$B$4503,1))</f>
        <v/>
      </c>
      <c r="D1489">
        <f>"State CSR ("&amp;IF(LEN(INDEX('Providers'!$E$4:$E$503,486))=0,"",INDEX('Providers'!$E$4:$E$503,486))&amp;") – "&amp;IF(LEN(INDEX('Providers'!$A$4:$A$503,486))=0,"",INDEX('Providers'!$A$4:$A$503,486))</f>
        <v/>
      </c>
      <c r="E1489">
        <f>IF(ISNUMBER(INDEX('Providers'!$K$4:$K$503,486)),TEXT(INDEX('Providers'!$K$4:$K$503,486),"yyyy-mm-dd"),"")</f>
        <v/>
      </c>
      <c r="F1489">
        <f>"Registration"</f>
        <v/>
      </c>
      <c r="G1489">
        <f>""</f>
        <v/>
      </c>
      <c r="H1489">
        <f>"High"</f>
        <v/>
      </c>
      <c r="I1489">
        <f>TRIM(IF(LEN(IF(LEN(INDEX('Providers'!$J$4:$J$503,486))=0,"",INDEX('Providers'!$J$4:$J$503,486)))=0,"","CSR no.: "&amp;IF(LEN(INDEX('Providers'!$J$4:$J$503,486))=0,"",INDEX('Providers'!$J$4:$J$503,486))&amp;". ")&amp;IF(LEN(IF(LEN(INDEX('Providers'!$C$4:$C$503,486))=0,"",INDEX('Providers'!$C$4:$C$503,486)))=0,"","NPI: "&amp;IF(LEN(INDEX('Providers'!$C$4:$C$503,486))=0,"",INDEX('Providers'!$C$4:$C$503,486))&amp;". "))</f>
        <v/>
      </c>
      <c r="J1489">
        <f>IF(LEN(INDEX('Providers'!$AJ$4:$AJ$503,486))=0,"",INDEX('Providers'!$AJ$4:$AJ$503,486))</f>
        <v/>
      </c>
      <c r="K1489">
        <f>IF(LEN(INDEX('Providers'!$AI$4:$AI$503,486))=0,"",INDEX('Providers'!$AI$4:$AI$503,486))</f>
        <v/>
      </c>
    </row>
    <row r="1490">
      <c r="A1490">
        <f>IF(AND(LEN('Providers'!A490)&gt;0,ISNUMBER('Providers'!K490)),1,0)</f>
        <v/>
      </c>
      <c r="B1490">
        <f>B1489+A1490</f>
        <v/>
      </c>
      <c r="C1490">
        <f>IF(1487&gt;$B$4503,"",MATCH(1487-0.5,$B$3:$B$4503,1))</f>
        <v/>
      </c>
      <c r="D1490">
        <f>"State CSR ("&amp;IF(LEN(INDEX('Providers'!$E$4:$E$503,487))=0,"",INDEX('Providers'!$E$4:$E$503,487))&amp;") – "&amp;IF(LEN(INDEX('Providers'!$A$4:$A$503,487))=0,"",INDEX('Providers'!$A$4:$A$503,487))</f>
        <v/>
      </c>
      <c r="E1490">
        <f>IF(ISNUMBER(INDEX('Providers'!$K$4:$K$503,487)),TEXT(INDEX('Providers'!$K$4:$K$503,487),"yyyy-mm-dd"),"")</f>
        <v/>
      </c>
      <c r="F1490">
        <f>"Registration"</f>
        <v/>
      </c>
      <c r="G1490">
        <f>""</f>
        <v/>
      </c>
      <c r="H1490">
        <f>"High"</f>
        <v/>
      </c>
      <c r="I1490">
        <f>TRIM(IF(LEN(IF(LEN(INDEX('Providers'!$J$4:$J$503,487))=0,"",INDEX('Providers'!$J$4:$J$503,487)))=0,"","CSR no.: "&amp;IF(LEN(INDEX('Providers'!$J$4:$J$503,487))=0,"",INDEX('Providers'!$J$4:$J$503,487))&amp;". ")&amp;IF(LEN(IF(LEN(INDEX('Providers'!$C$4:$C$503,487))=0,"",INDEX('Providers'!$C$4:$C$503,487)))=0,"","NPI: "&amp;IF(LEN(INDEX('Providers'!$C$4:$C$503,487))=0,"",INDEX('Providers'!$C$4:$C$503,487))&amp;". "))</f>
        <v/>
      </c>
      <c r="J1490">
        <f>IF(LEN(INDEX('Providers'!$AJ$4:$AJ$503,487))=0,"",INDEX('Providers'!$AJ$4:$AJ$503,487))</f>
        <v/>
      </c>
      <c r="K1490">
        <f>IF(LEN(INDEX('Providers'!$AI$4:$AI$503,487))=0,"",INDEX('Providers'!$AI$4:$AI$503,487))</f>
        <v/>
      </c>
    </row>
    <row r="1491">
      <c r="A1491">
        <f>IF(AND(LEN('Providers'!A491)&gt;0,ISNUMBER('Providers'!K491)),1,0)</f>
        <v/>
      </c>
      <c r="B1491">
        <f>B1490+A1491</f>
        <v/>
      </c>
      <c r="C1491">
        <f>IF(1488&gt;$B$4503,"",MATCH(1488-0.5,$B$3:$B$4503,1))</f>
        <v/>
      </c>
      <c r="D1491">
        <f>"State CSR ("&amp;IF(LEN(INDEX('Providers'!$E$4:$E$503,488))=0,"",INDEX('Providers'!$E$4:$E$503,488))&amp;") – "&amp;IF(LEN(INDEX('Providers'!$A$4:$A$503,488))=0,"",INDEX('Providers'!$A$4:$A$503,488))</f>
        <v/>
      </c>
      <c r="E1491">
        <f>IF(ISNUMBER(INDEX('Providers'!$K$4:$K$503,488)),TEXT(INDEX('Providers'!$K$4:$K$503,488),"yyyy-mm-dd"),"")</f>
        <v/>
      </c>
      <c r="F1491">
        <f>"Registration"</f>
        <v/>
      </c>
      <c r="G1491">
        <f>""</f>
        <v/>
      </c>
      <c r="H1491">
        <f>"High"</f>
        <v/>
      </c>
      <c r="I1491">
        <f>TRIM(IF(LEN(IF(LEN(INDEX('Providers'!$J$4:$J$503,488))=0,"",INDEX('Providers'!$J$4:$J$503,488)))=0,"","CSR no.: "&amp;IF(LEN(INDEX('Providers'!$J$4:$J$503,488))=0,"",INDEX('Providers'!$J$4:$J$503,488))&amp;". ")&amp;IF(LEN(IF(LEN(INDEX('Providers'!$C$4:$C$503,488))=0,"",INDEX('Providers'!$C$4:$C$503,488)))=0,"","NPI: "&amp;IF(LEN(INDEX('Providers'!$C$4:$C$503,488))=0,"",INDEX('Providers'!$C$4:$C$503,488))&amp;". "))</f>
        <v/>
      </c>
      <c r="J1491">
        <f>IF(LEN(INDEX('Providers'!$AJ$4:$AJ$503,488))=0,"",INDEX('Providers'!$AJ$4:$AJ$503,488))</f>
        <v/>
      </c>
      <c r="K1491">
        <f>IF(LEN(INDEX('Providers'!$AI$4:$AI$503,488))=0,"",INDEX('Providers'!$AI$4:$AI$503,488))</f>
        <v/>
      </c>
    </row>
    <row r="1492">
      <c r="A1492">
        <f>IF(AND(LEN('Providers'!A492)&gt;0,ISNUMBER('Providers'!K492)),1,0)</f>
        <v/>
      </c>
      <c r="B1492">
        <f>B1491+A1492</f>
        <v/>
      </c>
      <c r="C1492">
        <f>IF(1489&gt;$B$4503,"",MATCH(1489-0.5,$B$3:$B$4503,1))</f>
        <v/>
      </c>
      <c r="D1492">
        <f>"State CSR ("&amp;IF(LEN(INDEX('Providers'!$E$4:$E$503,489))=0,"",INDEX('Providers'!$E$4:$E$503,489))&amp;") – "&amp;IF(LEN(INDEX('Providers'!$A$4:$A$503,489))=0,"",INDEX('Providers'!$A$4:$A$503,489))</f>
        <v/>
      </c>
      <c r="E1492">
        <f>IF(ISNUMBER(INDEX('Providers'!$K$4:$K$503,489)),TEXT(INDEX('Providers'!$K$4:$K$503,489),"yyyy-mm-dd"),"")</f>
        <v/>
      </c>
      <c r="F1492">
        <f>"Registration"</f>
        <v/>
      </c>
      <c r="G1492">
        <f>""</f>
        <v/>
      </c>
      <c r="H1492">
        <f>"High"</f>
        <v/>
      </c>
      <c r="I1492">
        <f>TRIM(IF(LEN(IF(LEN(INDEX('Providers'!$J$4:$J$503,489))=0,"",INDEX('Providers'!$J$4:$J$503,489)))=0,"","CSR no.: "&amp;IF(LEN(INDEX('Providers'!$J$4:$J$503,489))=0,"",INDEX('Providers'!$J$4:$J$503,489))&amp;". ")&amp;IF(LEN(IF(LEN(INDEX('Providers'!$C$4:$C$503,489))=0,"",INDEX('Providers'!$C$4:$C$503,489)))=0,"","NPI: "&amp;IF(LEN(INDEX('Providers'!$C$4:$C$503,489))=0,"",INDEX('Providers'!$C$4:$C$503,489))&amp;". "))</f>
        <v/>
      </c>
      <c r="J1492">
        <f>IF(LEN(INDEX('Providers'!$AJ$4:$AJ$503,489))=0,"",INDEX('Providers'!$AJ$4:$AJ$503,489))</f>
        <v/>
      </c>
      <c r="K1492">
        <f>IF(LEN(INDEX('Providers'!$AI$4:$AI$503,489))=0,"",INDEX('Providers'!$AI$4:$AI$503,489))</f>
        <v/>
      </c>
    </row>
    <row r="1493">
      <c r="A1493">
        <f>IF(AND(LEN('Providers'!A493)&gt;0,ISNUMBER('Providers'!K493)),1,0)</f>
        <v/>
      </c>
      <c r="B1493">
        <f>B1492+A1493</f>
        <v/>
      </c>
      <c r="C1493">
        <f>IF(1490&gt;$B$4503,"",MATCH(1490-0.5,$B$3:$B$4503,1))</f>
        <v/>
      </c>
      <c r="D1493">
        <f>"State CSR ("&amp;IF(LEN(INDEX('Providers'!$E$4:$E$503,490))=0,"",INDEX('Providers'!$E$4:$E$503,490))&amp;") – "&amp;IF(LEN(INDEX('Providers'!$A$4:$A$503,490))=0,"",INDEX('Providers'!$A$4:$A$503,490))</f>
        <v/>
      </c>
      <c r="E1493">
        <f>IF(ISNUMBER(INDEX('Providers'!$K$4:$K$503,490)),TEXT(INDEX('Providers'!$K$4:$K$503,490),"yyyy-mm-dd"),"")</f>
        <v/>
      </c>
      <c r="F1493">
        <f>"Registration"</f>
        <v/>
      </c>
      <c r="G1493">
        <f>""</f>
        <v/>
      </c>
      <c r="H1493">
        <f>"High"</f>
        <v/>
      </c>
      <c r="I1493">
        <f>TRIM(IF(LEN(IF(LEN(INDEX('Providers'!$J$4:$J$503,490))=0,"",INDEX('Providers'!$J$4:$J$503,490)))=0,"","CSR no.: "&amp;IF(LEN(INDEX('Providers'!$J$4:$J$503,490))=0,"",INDEX('Providers'!$J$4:$J$503,490))&amp;". ")&amp;IF(LEN(IF(LEN(INDEX('Providers'!$C$4:$C$503,490))=0,"",INDEX('Providers'!$C$4:$C$503,490)))=0,"","NPI: "&amp;IF(LEN(INDEX('Providers'!$C$4:$C$503,490))=0,"",INDEX('Providers'!$C$4:$C$503,490))&amp;". "))</f>
        <v/>
      </c>
      <c r="J1493">
        <f>IF(LEN(INDEX('Providers'!$AJ$4:$AJ$503,490))=0,"",INDEX('Providers'!$AJ$4:$AJ$503,490))</f>
        <v/>
      </c>
      <c r="K1493">
        <f>IF(LEN(INDEX('Providers'!$AI$4:$AI$503,490))=0,"",INDEX('Providers'!$AI$4:$AI$503,490))</f>
        <v/>
      </c>
    </row>
    <row r="1494">
      <c r="A1494">
        <f>IF(AND(LEN('Providers'!A494)&gt;0,ISNUMBER('Providers'!K494)),1,0)</f>
        <v/>
      </c>
      <c r="B1494">
        <f>B1493+A1494</f>
        <v/>
      </c>
      <c r="C1494">
        <f>IF(1491&gt;$B$4503,"",MATCH(1491-0.5,$B$3:$B$4503,1))</f>
        <v/>
      </c>
      <c r="D1494">
        <f>"State CSR ("&amp;IF(LEN(INDEX('Providers'!$E$4:$E$503,491))=0,"",INDEX('Providers'!$E$4:$E$503,491))&amp;") – "&amp;IF(LEN(INDEX('Providers'!$A$4:$A$503,491))=0,"",INDEX('Providers'!$A$4:$A$503,491))</f>
        <v/>
      </c>
      <c r="E1494">
        <f>IF(ISNUMBER(INDEX('Providers'!$K$4:$K$503,491)),TEXT(INDEX('Providers'!$K$4:$K$503,491),"yyyy-mm-dd"),"")</f>
        <v/>
      </c>
      <c r="F1494">
        <f>"Registration"</f>
        <v/>
      </c>
      <c r="G1494">
        <f>""</f>
        <v/>
      </c>
      <c r="H1494">
        <f>"High"</f>
        <v/>
      </c>
      <c r="I1494">
        <f>TRIM(IF(LEN(IF(LEN(INDEX('Providers'!$J$4:$J$503,491))=0,"",INDEX('Providers'!$J$4:$J$503,491)))=0,"","CSR no.: "&amp;IF(LEN(INDEX('Providers'!$J$4:$J$503,491))=0,"",INDEX('Providers'!$J$4:$J$503,491))&amp;". ")&amp;IF(LEN(IF(LEN(INDEX('Providers'!$C$4:$C$503,491))=0,"",INDEX('Providers'!$C$4:$C$503,491)))=0,"","NPI: "&amp;IF(LEN(INDEX('Providers'!$C$4:$C$503,491))=0,"",INDEX('Providers'!$C$4:$C$503,491))&amp;". "))</f>
        <v/>
      </c>
      <c r="J1494">
        <f>IF(LEN(INDEX('Providers'!$AJ$4:$AJ$503,491))=0,"",INDEX('Providers'!$AJ$4:$AJ$503,491))</f>
        <v/>
      </c>
      <c r="K1494">
        <f>IF(LEN(INDEX('Providers'!$AI$4:$AI$503,491))=0,"",INDEX('Providers'!$AI$4:$AI$503,491))</f>
        <v/>
      </c>
    </row>
    <row r="1495">
      <c r="A1495">
        <f>IF(AND(LEN('Providers'!A495)&gt;0,ISNUMBER('Providers'!K495)),1,0)</f>
        <v/>
      </c>
      <c r="B1495">
        <f>B1494+A1495</f>
        <v/>
      </c>
      <c r="C1495">
        <f>IF(1492&gt;$B$4503,"",MATCH(1492-0.5,$B$3:$B$4503,1))</f>
        <v/>
      </c>
      <c r="D1495">
        <f>"State CSR ("&amp;IF(LEN(INDEX('Providers'!$E$4:$E$503,492))=0,"",INDEX('Providers'!$E$4:$E$503,492))&amp;") – "&amp;IF(LEN(INDEX('Providers'!$A$4:$A$503,492))=0,"",INDEX('Providers'!$A$4:$A$503,492))</f>
        <v/>
      </c>
      <c r="E1495">
        <f>IF(ISNUMBER(INDEX('Providers'!$K$4:$K$503,492)),TEXT(INDEX('Providers'!$K$4:$K$503,492),"yyyy-mm-dd"),"")</f>
        <v/>
      </c>
      <c r="F1495">
        <f>"Registration"</f>
        <v/>
      </c>
      <c r="G1495">
        <f>""</f>
        <v/>
      </c>
      <c r="H1495">
        <f>"High"</f>
        <v/>
      </c>
      <c r="I1495">
        <f>TRIM(IF(LEN(IF(LEN(INDEX('Providers'!$J$4:$J$503,492))=0,"",INDEX('Providers'!$J$4:$J$503,492)))=0,"","CSR no.: "&amp;IF(LEN(INDEX('Providers'!$J$4:$J$503,492))=0,"",INDEX('Providers'!$J$4:$J$503,492))&amp;". ")&amp;IF(LEN(IF(LEN(INDEX('Providers'!$C$4:$C$503,492))=0,"",INDEX('Providers'!$C$4:$C$503,492)))=0,"","NPI: "&amp;IF(LEN(INDEX('Providers'!$C$4:$C$503,492))=0,"",INDEX('Providers'!$C$4:$C$503,492))&amp;". "))</f>
        <v/>
      </c>
      <c r="J1495">
        <f>IF(LEN(INDEX('Providers'!$AJ$4:$AJ$503,492))=0,"",INDEX('Providers'!$AJ$4:$AJ$503,492))</f>
        <v/>
      </c>
      <c r="K1495">
        <f>IF(LEN(INDEX('Providers'!$AI$4:$AI$503,492))=0,"",INDEX('Providers'!$AI$4:$AI$503,492))</f>
        <v/>
      </c>
    </row>
    <row r="1496">
      <c r="A1496">
        <f>IF(AND(LEN('Providers'!A496)&gt;0,ISNUMBER('Providers'!K496)),1,0)</f>
        <v/>
      </c>
      <c r="B1496">
        <f>B1495+A1496</f>
        <v/>
      </c>
      <c r="C1496">
        <f>IF(1493&gt;$B$4503,"",MATCH(1493-0.5,$B$3:$B$4503,1))</f>
        <v/>
      </c>
      <c r="D1496">
        <f>"State CSR ("&amp;IF(LEN(INDEX('Providers'!$E$4:$E$503,493))=0,"",INDEX('Providers'!$E$4:$E$503,493))&amp;") – "&amp;IF(LEN(INDEX('Providers'!$A$4:$A$503,493))=0,"",INDEX('Providers'!$A$4:$A$503,493))</f>
        <v/>
      </c>
      <c r="E1496">
        <f>IF(ISNUMBER(INDEX('Providers'!$K$4:$K$503,493)),TEXT(INDEX('Providers'!$K$4:$K$503,493),"yyyy-mm-dd"),"")</f>
        <v/>
      </c>
      <c r="F1496">
        <f>"Registration"</f>
        <v/>
      </c>
      <c r="G1496">
        <f>""</f>
        <v/>
      </c>
      <c r="H1496">
        <f>"High"</f>
        <v/>
      </c>
      <c r="I1496">
        <f>TRIM(IF(LEN(IF(LEN(INDEX('Providers'!$J$4:$J$503,493))=0,"",INDEX('Providers'!$J$4:$J$503,493)))=0,"","CSR no.: "&amp;IF(LEN(INDEX('Providers'!$J$4:$J$503,493))=0,"",INDEX('Providers'!$J$4:$J$503,493))&amp;". ")&amp;IF(LEN(IF(LEN(INDEX('Providers'!$C$4:$C$503,493))=0,"",INDEX('Providers'!$C$4:$C$503,493)))=0,"","NPI: "&amp;IF(LEN(INDEX('Providers'!$C$4:$C$503,493))=0,"",INDEX('Providers'!$C$4:$C$503,493))&amp;". "))</f>
        <v/>
      </c>
      <c r="J1496">
        <f>IF(LEN(INDEX('Providers'!$AJ$4:$AJ$503,493))=0,"",INDEX('Providers'!$AJ$4:$AJ$503,493))</f>
        <v/>
      </c>
      <c r="K1496">
        <f>IF(LEN(INDEX('Providers'!$AI$4:$AI$503,493))=0,"",INDEX('Providers'!$AI$4:$AI$503,493))</f>
        <v/>
      </c>
    </row>
    <row r="1497">
      <c r="A1497">
        <f>IF(AND(LEN('Providers'!A497)&gt;0,ISNUMBER('Providers'!K497)),1,0)</f>
        <v/>
      </c>
      <c r="B1497">
        <f>B1496+A1497</f>
        <v/>
      </c>
      <c r="C1497">
        <f>IF(1494&gt;$B$4503,"",MATCH(1494-0.5,$B$3:$B$4503,1))</f>
        <v/>
      </c>
      <c r="D1497">
        <f>"State CSR ("&amp;IF(LEN(INDEX('Providers'!$E$4:$E$503,494))=0,"",INDEX('Providers'!$E$4:$E$503,494))&amp;") – "&amp;IF(LEN(INDEX('Providers'!$A$4:$A$503,494))=0,"",INDEX('Providers'!$A$4:$A$503,494))</f>
        <v/>
      </c>
      <c r="E1497">
        <f>IF(ISNUMBER(INDEX('Providers'!$K$4:$K$503,494)),TEXT(INDEX('Providers'!$K$4:$K$503,494),"yyyy-mm-dd"),"")</f>
        <v/>
      </c>
      <c r="F1497">
        <f>"Registration"</f>
        <v/>
      </c>
      <c r="G1497">
        <f>""</f>
        <v/>
      </c>
      <c r="H1497">
        <f>"High"</f>
        <v/>
      </c>
      <c r="I1497">
        <f>TRIM(IF(LEN(IF(LEN(INDEX('Providers'!$J$4:$J$503,494))=0,"",INDEX('Providers'!$J$4:$J$503,494)))=0,"","CSR no.: "&amp;IF(LEN(INDEX('Providers'!$J$4:$J$503,494))=0,"",INDEX('Providers'!$J$4:$J$503,494))&amp;". ")&amp;IF(LEN(IF(LEN(INDEX('Providers'!$C$4:$C$503,494))=0,"",INDEX('Providers'!$C$4:$C$503,494)))=0,"","NPI: "&amp;IF(LEN(INDEX('Providers'!$C$4:$C$503,494))=0,"",INDEX('Providers'!$C$4:$C$503,494))&amp;". "))</f>
        <v/>
      </c>
      <c r="J1497">
        <f>IF(LEN(INDEX('Providers'!$AJ$4:$AJ$503,494))=0,"",INDEX('Providers'!$AJ$4:$AJ$503,494))</f>
        <v/>
      </c>
      <c r="K1497">
        <f>IF(LEN(INDEX('Providers'!$AI$4:$AI$503,494))=0,"",INDEX('Providers'!$AI$4:$AI$503,494))</f>
        <v/>
      </c>
    </row>
    <row r="1498">
      <c r="A1498">
        <f>IF(AND(LEN('Providers'!A498)&gt;0,ISNUMBER('Providers'!K498)),1,0)</f>
        <v/>
      </c>
      <c r="B1498">
        <f>B1497+A1498</f>
        <v/>
      </c>
      <c r="C1498">
        <f>IF(1495&gt;$B$4503,"",MATCH(1495-0.5,$B$3:$B$4503,1))</f>
        <v/>
      </c>
      <c r="D1498">
        <f>"State CSR ("&amp;IF(LEN(INDEX('Providers'!$E$4:$E$503,495))=0,"",INDEX('Providers'!$E$4:$E$503,495))&amp;") – "&amp;IF(LEN(INDEX('Providers'!$A$4:$A$503,495))=0,"",INDEX('Providers'!$A$4:$A$503,495))</f>
        <v/>
      </c>
      <c r="E1498">
        <f>IF(ISNUMBER(INDEX('Providers'!$K$4:$K$503,495)),TEXT(INDEX('Providers'!$K$4:$K$503,495),"yyyy-mm-dd"),"")</f>
        <v/>
      </c>
      <c r="F1498">
        <f>"Registration"</f>
        <v/>
      </c>
      <c r="G1498">
        <f>""</f>
        <v/>
      </c>
      <c r="H1498">
        <f>"High"</f>
        <v/>
      </c>
      <c r="I1498">
        <f>TRIM(IF(LEN(IF(LEN(INDEX('Providers'!$J$4:$J$503,495))=0,"",INDEX('Providers'!$J$4:$J$503,495)))=0,"","CSR no.: "&amp;IF(LEN(INDEX('Providers'!$J$4:$J$503,495))=0,"",INDEX('Providers'!$J$4:$J$503,495))&amp;". ")&amp;IF(LEN(IF(LEN(INDEX('Providers'!$C$4:$C$503,495))=0,"",INDEX('Providers'!$C$4:$C$503,495)))=0,"","NPI: "&amp;IF(LEN(INDEX('Providers'!$C$4:$C$503,495))=0,"",INDEX('Providers'!$C$4:$C$503,495))&amp;". "))</f>
        <v/>
      </c>
      <c r="J1498">
        <f>IF(LEN(INDEX('Providers'!$AJ$4:$AJ$503,495))=0,"",INDEX('Providers'!$AJ$4:$AJ$503,495))</f>
        <v/>
      </c>
      <c r="K1498">
        <f>IF(LEN(INDEX('Providers'!$AI$4:$AI$503,495))=0,"",INDEX('Providers'!$AI$4:$AI$503,495))</f>
        <v/>
      </c>
    </row>
    <row r="1499">
      <c r="A1499">
        <f>IF(AND(LEN('Providers'!A499)&gt;0,ISNUMBER('Providers'!K499)),1,0)</f>
        <v/>
      </c>
      <c r="B1499">
        <f>B1498+A1499</f>
        <v/>
      </c>
      <c r="C1499">
        <f>IF(1496&gt;$B$4503,"",MATCH(1496-0.5,$B$3:$B$4503,1))</f>
        <v/>
      </c>
      <c r="D1499">
        <f>"State CSR ("&amp;IF(LEN(INDEX('Providers'!$E$4:$E$503,496))=0,"",INDEX('Providers'!$E$4:$E$503,496))&amp;") – "&amp;IF(LEN(INDEX('Providers'!$A$4:$A$503,496))=0,"",INDEX('Providers'!$A$4:$A$503,496))</f>
        <v/>
      </c>
      <c r="E1499">
        <f>IF(ISNUMBER(INDEX('Providers'!$K$4:$K$503,496)),TEXT(INDEX('Providers'!$K$4:$K$503,496),"yyyy-mm-dd"),"")</f>
        <v/>
      </c>
      <c r="F1499">
        <f>"Registration"</f>
        <v/>
      </c>
      <c r="G1499">
        <f>""</f>
        <v/>
      </c>
      <c r="H1499">
        <f>"High"</f>
        <v/>
      </c>
      <c r="I1499">
        <f>TRIM(IF(LEN(IF(LEN(INDEX('Providers'!$J$4:$J$503,496))=0,"",INDEX('Providers'!$J$4:$J$503,496)))=0,"","CSR no.: "&amp;IF(LEN(INDEX('Providers'!$J$4:$J$503,496))=0,"",INDEX('Providers'!$J$4:$J$503,496))&amp;". ")&amp;IF(LEN(IF(LEN(INDEX('Providers'!$C$4:$C$503,496))=0,"",INDEX('Providers'!$C$4:$C$503,496)))=0,"","NPI: "&amp;IF(LEN(INDEX('Providers'!$C$4:$C$503,496))=0,"",INDEX('Providers'!$C$4:$C$503,496))&amp;". "))</f>
        <v/>
      </c>
      <c r="J1499">
        <f>IF(LEN(INDEX('Providers'!$AJ$4:$AJ$503,496))=0,"",INDEX('Providers'!$AJ$4:$AJ$503,496))</f>
        <v/>
      </c>
      <c r="K1499">
        <f>IF(LEN(INDEX('Providers'!$AI$4:$AI$503,496))=0,"",INDEX('Providers'!$AI$4:$AI$503,496))</f>
        <v/>
      </c>
    </row>
    <row r="1500">
      <c r="A1500">
        <f>IF(AND(LEN('Providers'!A500)&gt;0,ISNUMBER('Providers'!K500)),1,0)</f>
        <v/>
      </c>
      <c r="B1500">
        <f>B1499+A1500</f>
        <v/>
      </c>
      <c r="C1500">
        <f>IF(1497&gt;$B$4503,"",MATCH(1497-0.5,$B$3:$B$4503,1))</f>
        <v/>
      </c>
      <c r="D1500">
        <f>"State CSR ("&amp;IF(LEN(INDEX('Providers'!$E$4:$E$503,497))=0,"",INDEX('Providers'!$E$4:$E$503,497))&amp;") – "&amp;IF(LEN(INDEX('Providers'!$A$4:$A$503,497))=0,"",INDEX('Providers'!$A$4:$A$503,497))</f>
        <v/>
      </c>
      <c r="E1500">
        <f>IF(ISNUMBER(INDEX('Providers'!$K$4:$K$503,497)),TEXT(INDEX('Providers'!$K$4:$K$503,497),"yyyy-mm-dd"),"")</f>
        <v/>
      </c>
      <c r="F1500">
        <f>"Registration"</f>
        <v/>
      </c>
      <c r="G1500">
        <f>""</f>
        <v/>
      </c>
      <c r="H1500">
        <f>"High"</f>
        <v/>
      </c>
      <c r="I1500">
        <f>TRIM(IF(LEN(IF(LEN(INDEX('Providers'!$J$4:$J$503,497))=0,"",INDEX('Providers'!$J$4:$J$503,497)))=0,"","CSR no.: "&amp;IF(LEN(INDEX('Providers'!$J$4:$J$503,497))=0,"",INDEX('Providers'!$J$4:$J$503,497))&amp;". ")&amp;IF(LEN(IF(LEN(INDEX('Providers'!$C$4:$C$503,497))=0,"",INDEX('Providers'!$C$4:$C$503,497)))=0,"","NPI: "&amp;IF(LEN(INDEX('Providers'!$C$4:$C$503,497))=0,"",INDEX('Providers'!$C$4:$C$503,497))&amp;". "))</f>
        <v/>
      </c>
      <c r="J1500">
        <f>IF(LEN(INDEX('Providers'!$AJ$4:$AJ$503,497))=0,"",INDEX('Providers'!$AJ$4:$AJ$503,497))</f>
        <v/>
      </c>
      <c r="K1500">
        <f>IF(LEN(INDEX('Providers'!$AI$4:$AI$503,497))=0,"",INDEX('Providers'!$AI$4:$AI$503,497))</f>
        <v/>
      </c>
    </row>
    <row r="1501">
      <c r="A1501">
        <f>IF(AND(LEN('Providers'!A501)&gt;0,ISNUMBER('Providers'!K501)),1,0)</f>
        <v/>
      </c>
      <c r="B1501">
        <f>B1500+A1501</f>
        <v/>
      </c>
      <c r="C1501">
        <f>IF(1498&gt;$B$4503,"",MATCH(1498-0.5,$B$3:$B$4503,1))</f>
        <v/>
      </c>
      <c r="D1501">
        <f>"State CSR ("&amp;IF(LEN(INDEX('Providers'!$E$4:$E$503,498))=0,"",INDEX('Providers'!$E$4:$E$503,498))&amp;") – "&amp;IF(LEN(INDEX('Providers'!$A$4:$A$503,498))=0,"",INDEX('Providers'!$A$4:$A$503,498))</f>
        <v/>
      </c>
      <c r="E1501">
        <f>IF(ISNUMBER(INDEX('Providers'!$K$4:$K$503,498)),TEXT(INDEX('Providers'!$K$4:$K$503,498),"yyyy-mm-dd"),"")</f>
        <v/>
      </c>
      <c r="F1501">
        <f>"Registration"</f>
        <v/>
      </c>
      <c r="G1501">
        <f>""</f>
        <v/>
      </c>
      <c r="H1501">
        <f>"High"</f>
        <v/>
      </c>
      <c r="I1501">
        <f>TRIM(IF(LEN(IF(LEN(INDEX('Providers'!$J$4:$J$503,498))=0,"",INDEX('Providers'!$J$4:$J$503,498)))=0,"","CSR no.: "&amp;IF(LEN(INDEX('Providers'!$J$4:$J$503,498))=0,"",INDEX('Providers'!$J$4:$J$503,498))&amp;". ")&amp;IF(LEN(IF(LEN(INDEX('Providers'!$C$4:$C$503,498))=0,"",INDEX('Providers'!$C$4:$C$503,498)))=0,"","NPI: "&amp;IF(LEN(INDEX('Providers'!$C$4:$C$503,498))=0,"",INDEX('Providers'!$C$4:$C$503,498))&amp;". "))</f>
        <v/>
      </c>
      <c r="J1501">
        <f>IF(LEN(INDEX('Providers'!$AJ$4:$AJ$503,498))=0,"",INDEX('Providers'!$AJ$4:$AJ$503,498))</f>
        <v/>
      </c>
      <c r="K1501">
        <f>IF(LEN(INDEX('Providers'!$AI$4:$AI$503,498))=0,"",INDEX('Providers'!$AI$4:$AI$503,498))</f>
        <v/>
      </c>
    </row>
    <row r="1502">
      <c r="A1502">
        <f>IF(AND(LEN('Providers'!A502)&gt;0,ISNUMBER('Providers'!K502)),1,0)</f>
        <v/>
      </c>
      <c r="B1502">
        <f>B1501+A1502</f>
        <v/>
      </c>
      <c r="C1502">
        <f>IF(1499&gt;$B$4503,"",MATCH(1499-0.5,$B$3:$B$4503,1))</f>
        <v/>
      </c>
      <c r="D1502">
        <f>"State CSR ("&amp;IF(LEN(INDEX('Providers'!$E$4:$E$503,499))=0,"",INDEX('Providers'!$E$4:$E$503,499))&amp;") – "&amp;IF(LEN(INDEX('Providers'!$A$4:$A$503,499))=0,"",INDEX('Providers'!$A$4:$A$503,499))</f>
        <v/>
      </c>
      <c r="E1502">
        <f>IF(ISNUMBER(INDEX('Providers'!$K$4:$K$503,499)),TEXT(INDEX('Providers'!$K$4:$K$503,499),"yyyy-mm-dd"),"")</f>
        <v/>
      </c>
      <c r="F1502">
        <f>"Registration"</f>
        <v/>
      </c>
      <c r="G1502">
        <f>""</f>
        <v/>
      </c>
      <c r="H1502">
        <f>"High"</f>
        <v/>
      </c>
      <c r="I1502">
        <f>TRIM(IF(LEN(IF(LEN(INDEX('Providers'!$J$4:$J$503,499))=0,"",INDEX('Providers'!$J$4:$J$503,499)))=0,"","CSR no.: "&amp;IF(LEN(INDEX('Providers'!$J$4:$J$503,499))=0,"",INDEX('Providers'!$J$4:$J$503,499))&amp;". ")&amp;IF(LEN(IF(LEN(INDEX('Providers'!$C$4:$C$503,499))=0,"",INDEX('Providers'!$C$4:$C$503,499)))=0,"","NPI: "&amp;IF(LEN(INDEX('Providers'!$C$4:$C$503,499))=0,"",INDEX('Providers'!$C$4:$C$503,499))&amp;". "))</f>
        <v/>
      </c>
      <c r="J1502">
        <f>IF(LEN(INDEX('Providers'!$AJ$4:$AJ$503,499))=0,"",INDEX('Providers'!$AJ$4:$AJ$503,499))</f>
        <v/>
      </c>
      <c r="K1502">
        <f>IF(LEN(INDEX('Providers'!$AI$4:$AI$503,499))=0,"",INDEX('Providers'!$AI$4:$AI$503,499))</f>
        <v/>
      </c>
    </row>
    <row r="1503">
      <c r="A1503">
        <f>IF(AND(LEN('Providers'!A503)&gt;0,ISNUMBER('Providers'!K503)),1,0)</f>
        <v/>
      </c>
      <c r="B1503">
        <f>B1502+A1503</f>
        <v/>
      </c>
      <c r="C1503">
        <f>IF(1500&gt;$B$4503,"",MATCH(1500-0.5,$B$3:$B$4503,1))</f>
        <v/>
      </c>
      <c r="D1503">
        <f>"State CSR ("&amp;IF(LEN(INDEX('Providers'!$E$4:$E$503,500))=0,"",INDEX('Providers'!$E$4:$E$503,500))&amp;") – "&amp;IF(LEN(INDEX('Providers'!$A$4:$A$503,500))=0,"",INDEX('Providers'!$A$4:$A$503,500))</f>
        <v/>
      </c>
      <c r="E1503">
        <f>IF(ISNUMBER(INDEX('Providers'!$K$4:$K$503,500)),TEXT(INDEX('Providers'!$K$4:$K$503,500),"yyyy-mm-dd"),"")</f>
        <v/>
      </c>
      <c r="F1503">
        <f>"Registration"</f>
        <v/>
      </c>
      <c r="G1503">
        <f>""</f>
        <v/>
      </c>
      <c r="H1503">
        <f>"High"</f>
        <v/>
      </c>
      <c r="I1503">
        <f>TRIM(IF(LEN(IF(LEN(INDEX('Providers'!$J$4:$J$503,500))=0,"",INDEX('Providers'!$J$4:$J$503,500)))=0,"","CSR no.: "&amp;IF(LEN(INDEX('Providers'!$J$4:$J$503,500))=0,"",INDEX('Providers'!$J$4:$J$503,500))&amp;". ")&amp;IF(LEN(IF(LEN(INDEX('Providers'!$C$4:$C$503,500))=0,"",INDEX('Providers'!$C$4:$C$503,500)))=0,"","NPI: "&amp;IF(LEN(INDEX('Providers'!$C$4:$C$503,500))=0,"",INDEX('Providers'!$C$4:$C$503,500))&amp;". "))</f>
        <v/>
      </c>
      <c r="J1503">
        <f>IF(LEN(INDEX('Providers'!$AJ$4:$AJ$503,500))=0,"",INDEX('Providers'!$AJ$4:$AJ$503,500))</f>
        <v/>
      </c>
      <c r="K1503">
        <f>IF(LEN(INDEX('Providers'!$AI$4:$AI$503,500))=0,"",INDEX('Providers'!$AI$4:$AI$503,500))</f>
        <v/>
      </c>
    </row>
    <row r="1504">
      <c r="A1504">
        <f>IF(AND(LEN('Providers'!A4)&gt;0,ISNUMBER('Providers'!M4)),1,0)</f>
        <v/>
      </c>
      <c r="B1504">
        <f>B1503+A1504</f>
        <v/>
      </c>
      <c r="C1504">
        <f>IF(1501&gt;$B$4503,"",MATCH(1501-0.5,$B$3:$B$4503,1))</f>
        <v/>
      </c>
      <c r="D1504">
        <f>"Board certification – "&amp;IF(LEN(INDEX('Providers'!$A$4:$A$503,1))=0,"",INDEX('Providers'!$A$4:$A$503,1))</f>
        <v/>
      </c>
      <c r="E1504">
        <f>IF(ISNUMBER(INDEX('Providers'!$M$4:$M$503,1)),TEXT(INDEX('Providers'!$M$4:$M$503,1),"yyyy-mm-dd"),"")</f>
        <v/>
      </c>
      <c r="F1504">
        <f>"Certification"</f>
        <v/>
      </c>
      <c r="G1504">
        <f>""</f>
        <v/>
      </c>
      <c r="H1504">
        <f>"Medium"</f>
        <v/>
      </c>
      <c r="I1504">
        <f>TRIM(IF(LEN(IF(LEN(INDEX('Providers'!$L$4:$L$503,1))=0,"",INDEX('Providers'!$L$4:$L$503,1)))=0,"","Board / specialty: "&amp;IF(LEN(INDEX('Providers'!$L$4:$L$503,1))=0,"",INDEX('Providers'!$L$4:$L$503,1))&amp;". "))</f>
        <v/>
      </c>
      <c r="J1504">
        <f>IF(LEN(INDEX('Providers'!$AJ$4:$AJ$503,1))=0,"",INDEX('Providers'!$AJ$4:$AJ$503,1))</f>
        <v/>
      </c>
      <c r="K1504">
        <f>IF(LEN(INDEX('Providers'!$AI$4:$AI$503,1))=0,"",INDEX('Providers'!$AI$4:$AI$503,1))</f>
        <v/>
      </c>
    </row>
    <row r="1505">
      <c r="A1505">
        <f>IF(AND(LEN('Providers'!A5)&gt;0,ISNUMBER('Providers'!M5)),1,0)</f>
        <v/>
      </c>
      <c r="B1505">
        <f>B1504+A1505</f>
        <v/>
      </c>
      <c r="C1505">
        <f>IF(1502&gt;$B$4503,"",MATCH(1502-0.5,$B$3:$B$4503,1))</f>
        <v/>
      </c>
      <c r="D1505">
        <f>"Board certification – "&amp;IF(LEN(INDEX('Providers'!$A$4:$A$503,2))=0,"",INDEX('Providers'!$A$4:$A$503,2))</f>
        <v/>
      </c>
      <c r="E1505">
        <f>IF(ISNUMBER(INDEX('Providers'!$M$4:$M$503,2)),TEXT(INDEX('Providers'!$M$4:$M$503,2),"yyyy-mm-dd"),"")</f>
        <v/>
      </c>
      <c r="F1505">
        <f>"Certification"</f>
        <v/>
      </c>
      <c r="G1505">
        <f>""</f>
        <v/>
      </c>
      <c r="H1505">
        <f>"Medium"</f>
        <v/>
      </c>
      <c r="I1505">
        <f>TRIM(IF(LEN(IF(LEN(INDEX('Providers'!$L$4:$L$503,2))=0,"",INDEX('Providers'!$L$4:$L$503,2)))=0,"","Board / specialty: "&amp;IF(LEN(INDEX('Providers'!$L$4:$L$503,2))=0,"",INDEX('Providers'!$L$4:$L$503,2))&amp;". "))</f>
        <v/>
      </c>
      <c r="J1505">
        <f>IF(LEN(INDEX('Providers'!$AJ$4:$AJ$503,2))=0,"",INDEX('Providers'!$AJ$4:$AJ$503,2))</f>
        <v/>
      </c>
      <c r="K1505">
        <f>IF(LEN(INDEX('Providers'!$AI$4:$AI$503,2))=0,"",INDEX('Providers'!$AI$4:$AI$503,2))</f>
        <v/>
      </c>
    </row>
    <row r="1506">
      <c r="A1506">
        <f>IF(AND(LEN('Providers'!A6)&gt;0,ISNUMBER('Providers'!M6)),1,0)</f>
        <v/>
      </c>
      <c r="B1506">
        <f>B1505+A1506</f>
        <v/>
      </c>
      <c r="C1506">
        <f>IF(1503&gt;$B$4503,"",MATCH(1503-0.5,$B$3:$B$4503,1))</f>
        <v/>
      </c>
      <c r="D1506">
        <f>"Board certification – "&amp;IF(LEN(INDEX('Providers'!$A$4:$A$503,3))=0,"",INDEX('Providers'!$A$4:$A$503,3))</f>
        <v/>
      </c>
      <c r="E1506">
        <f>IF(ISNUMBER(INDEX('Providers'!$M$4:$M$503,3)),TEXT(INDEX('Providers'!$M$4:$M$503,3),"yyyy-mm-dd"),"")</f>
        <v/>
      </c>
      <c r="F1506">
        <f>"Certification"</f>
        <v/>
      </c>
      <c r="G1506">
        <f>""</f>
        <v/>
      </c>
      <c r="H1506">
        <f>"Medium"</f>
        <v/>
      </c>
      <c r="I1506">
        <f>TRIM(IF(LEN(IF(LEN(INDEX('Providers'!$L$4:$L$503,3))=0,"",INDEX('Providers'!$L$4:$L$503,3)))=0,"","Board / specialty: "&amp;IF(LEN(INDEX('Providers'!$L$4:$L$503,3))=0,"",INDEX('Providers'!$L$4:$L$503,3))&amp;". "))</f>
        <v/>
      </c>
      <c r="J1506">
        <f>IF(LEN(INDEX('Providers'!$AJ$4:$AJ$503,3))=0,"",INDEX('Providers'!$AJ$4:$AJ$503,3))</f>
        <v/>
      </c>
      <c r="K1506">
        <f>IF(LEN(INDEX('Providers'!$AI$4:$AI$503,3))=0,"",INDEX('Providers'!$AI$4:$AI$503,3))</f>
        <v/>
      </c>
    </row>
    <row r="1507">
      <c r="A1507">
        <f>IF(AND(LEN('Providers'!A7)&gt;0,ISNUMBER('Providers'!M7)),1,0)</f>
        <v/>
      </c>
      <c r="B1507">
        <f>B1506+A1507</f>
        <v/>
      </c>
      <c r="C1507">
        <f>IF(1504&gt;$B$4503,"",MATCH(1504-0.5,$B$3:$B$4503,1))</f>
        <v/>
      </c>
      <c r="D1507">
        <f>"Board certification – "&amp;IF(LEN(INDEX('Providers'!$A$4:$A$503,4))=0,"",INDEX('Providers'!$A$4:$A$503,4))</f>
        <v/>
      </c>
      <c r="E1507">
        <f>IF(ISNUMBER(INDEX('Providers'!$M$4:$M$503,4)),TEXT(INDEX('Providers'!$M$4:$M$503,4),"yyyy-mm-dd"),"")</f>
        <v/>
      </c>
      <c r="F1507">
        <f>"Certification"</f>
        <v/>
      </c>
      <c r="G1507">
        <f>""</f>
        <v/>
      </c>
      <c r="H1507">
        <f>"Medium"</f>
        <v/>
      </c>
      <c r="I1507">
        <f>TRIM(IF(LEN(IF(LEN(INDEX('Providers'!$L$4:$L$503,4))=0,"",INDEX('Providers'!$L$4:$L$503,4)))=0,"","Board / specialty: "&amp;IF(LEN(INDEX('Providers'!$L$4:$L$503,4))=0,"",INDEX('Providers'!$L$4:$L$503,4))&amp;". "))</f>
        <v/>
      </c>
      <c r="J1507">
        <f>IF(LEN(INDEX('Providers'!$AJ$4:$AJ$503,4))=0,"",INDEX('Providers'!$AJ$4:$AJ$503,4))</f>
        <v/>
      </c>
      <c r="K1507">
        <f>IF(LEN(INDEX('Providers'!$AI$4:$AI$503,4))=0,"",INDEX('Providers'!$AI$4:$AI$503,4))</f>
        <v/>
      </c>
    </row>
    <row r="1508">
      <c r="A1508">
        <f>IF(AND(LEN('Providers'!A8)&gt;0,ISNUMBER('Providers'!M8)),1,0)</f>
        <v/>
      </c>
      <c r="B1508">
        <f>B1507+A1508</f>
        <v/>
      </c>
      <c r="C1508">
        <f>IF(1505&gt;$B$4503,"",MATCH(1505-0.5,$B$3:$B$4503,1))</f>
        <v/>
      </c>
      <c r="D1508">
        <f>"Board certification – "&amp;IF(LEN(INDEX('Providers'!$A$4:$A$503,5))=0,"",INDEX('Providers'!$A$4:$A$503,5))</f>
        <v/>
      </c>
      <c r="E1508">
        <f>IF(ISNUMBER(INDEX('Providers'!$M$4:$M$503,5)),TEXT(INDEX('Providers'!$M$4:$M$503,5),"yyyy-mm-dd"),"")</f>
        <v/>
      </c>
      <c r="F1508">
        <f>"Certification"</f>
        <v/>
      </c>
      <c r="G1508">
        <f>""</f>
        <v/>
      </c>
      <c r="H1508">
        <f>"Medium"</f>
        <v/>
      </c>
      <c r="I1508">
        <f>TRIM(IF(LEN(IF(LEN(INDEX('Providers'!$L$4:$L$503,5))=0,"",INDEX('Providers'!$L$4:$L$503,5)))=0,"","Board / specialty: "&amp;IF(LEN(INDEX('Providers'!$L$4:$L$503,5))=0,"",INDEX('Providers'!$L$4:$L$503,5))&amp;". "))</f>
        <v/>
      </c>
      <c r="J1508">
        <f>IF(LEN(INDEX('Providers'!$AJ$4:$AJ$503,5))=0,"",INDEX('Providers'!$AJ$4:$AJ$503,5))</f>
        <v/>
      </c>
      <c r="K1508">
        <f>IF(LEN(INDEX('Providers'!$AI$4:$AI$503,5))=0,"",INDEX('Providers'!$AI$4:$AI$503,5))</f>
        <v/>
      </c>
    </row>
    <row r="1509">
      <c r="A1509">
        <f>IF(AND(LEN('Providers'!A9)&gt;0,ISNUMBER('Providers'!M9)),1,0)</f>
        <v/>
      </c>
      <c r="B1509">
        <f>B1508+A1509</f>
        <v/>
      </c>
      <c r="C1509">
        <f>IF(1506&gt;$B$4503,"",MATCH(1506-0.5,$B$3:$B$4503,1))</f>
        <v/>
      </c>
      <c r="D1509">
        <f>"Board certification – "&amp;IF(LEN(INDEX('Providers'!$A$4:$A$503,6))=0,"",INDEX('Providers'!$A$4:$A$503,6))</f>
        <v/>
      </c>
      <c r="E1509">
        <f>IF(ISNUMBER(INDEX('Providers'!$M$4:$M$503,6)),TEXT(INDEX('Providers'!$M$4:$M$503,6),"yyyy-mm-dd"),"")</f>
        <v/>
      </c>
      <c r="F1509">
        <f>"Certification"</f>
        <v/>
      </c>
      <c r="G1509">
        <f>""</f>
        <v/>
      </c>
      <c r="H1509">
        <f>"Medium"</f>
        <v/>
      </c>
      <c r="I1509">
        <f>TRIM(IF(LEN(IF(LEN(INDEX('Providers'!$L$4:$L$503,6))=0,"",INDEX('Providers'!$L$4:$L$503,6)))=0,"","Board / specialty: "&amp;IF(LEN(INDEX('Providers'!$L$4:$L$503,6))=0,"",INDEX('Providers'!$L$4:$L$503,6))&amp;". "))</f>
        <v/>
      </c>
      <c r="J1509">
        <f>IF(LEN(INDEX('Providers'!$AJ$4:$AJ$503,6))=0,"",INDEX('Providers'!$AJ$4:$AJ$503,6))</f>
        <v/>
      </c>
      <c r="K1509">
        <f>IF(LEN(INDEX('Providers'!$AI$4:$AI$503,6))=0,"",INDEX('Providers'!$AI$4:$AI$503,6))</f>
        <v/>
      </c>
    </row>
    <row r="1510">
      <c r="A1510">
        <f>IF(AND(LEN('Providers'!A10)&gt;0,ISNUMBER('Providers'!M10)),1,0)</f>
        <v/>
      </c>
      <c r="B1510">
        <f>B1509+A1510</f>
        <v/>
      </c>
      <c r="C1510">
        <f>IF(1507&gt;$B$4503,"",MATCH(1507-0.5,$B$3:$B$4503,1))</f>
        <v/>
      </c>
      <c r="D1510">
        <f>"Board certification – "&amp;IF(LEN(INDEX('Providers'!$A$4:$A$503,7))=0,"",INDEX('Providers'!$A$4:$A$503,7))</f>
        <v/>
      </c>
      <c r="E1510">
        <f>IF(ISNUMBER(INDEX('Providers'!$M$4:$M$503,7)),TEXT(INDEX('Providers'!$M$4:$M$503,7),"yyyy-mm-dd"),"")</f>
        <v/>
      </c>
      <c r="F1510">
        <f>"Certification"</f>
        <v/>
      </c>
      <c r="G1510">
        <f>""</f>
        <v/>
      </c>
      <c r="H1510">
        <f>"Medium"</f>
        <v/>
      </c>
      <c r="I1510">
        <f>TRIM(IF(LEN(IF(LEN(INDEX('Providers'!$L$4:$L$503,7))=0,"",INDEX('Providers'!$L$4:$L$503,7)))=0,"","Board / specialty: "&amp;IF(LEN(INDEX('Providers'!$L$4:$L$503,7))=0,"",INDEX('Providers'!$L$4:$L$503,7))&amp;". "))</f>
        <v/>
      </c>
      <c r="J1510">
        <f>IF(LEN(INDEX('Providers'!$AJ$4:$AJ$503,7))=0,"",INDEX('Providers'!$AJ$4:$AJ$503,7))</f>
        <v/>
      </c>
      <c r="K1510">
        <f>IF(LEN(INDEX('Providers'!$AI$4:$AI$503,7))=0,"",INDEX('Providers'!$AI$4:$AI$503,7))</f>
        <v/>
      </c>
    </row>
    <row r="1511">
      <c r="A1511">
        <f>IF(AND(LEN('Providers'!A11)&gt;0,ISNUMBER('Providers'!M11)),1,0)</f>
        <v/>
      </c>
      <c r="B1511">
        <f>B1510+A1511</f>
        <v/>
      </c>
      <c r="C1511">
        <f>IF(1508&gt;$B$4503,"",MATCH(1508-0.5,$B$3:$B$4503,1))</f>
        <v/>
      </c>
      <c r="D1511">
        <f>"Board certification – "&amp;IF(LEN(INDEX('Providers'!$A$4:$A$503,8))=0,"",INDEX('Providers'!$A$4:$A$503,8))</f>
        <v/>
      </c>
      <c r="E1511">
        <f>IF(ISNUMBER(INDEX('Providers'!$M$4:$M$503,8)),TEXT(INDEX('Providers'!$M$4:$M$503,8),"yyyy-mm-dd"),"")</f>
        <v/>
      </c>
      <c r="F1511">
        <f>"Certification"</f>
        <v/>
      </c>
      <c r="G1511">
        <f>""</f>
        <v/>
      </c>
      <c r="H1511">
        <f>"Medium"</f>
        <v/>
      </c>
      <c r="I1511">
        <f>TRIM(IF(LEN(IF(LEN(INDEX('Providers'!$L$4:$L$503,8))=0,"",INDEX('Providers'!$L$4:$L$503,8)))=0,"","Board / specialty: "&amp;IF(LEN(INDEX('Providers'!$L$4:$L$503,8))=0,"",INDEX('Providers'!$L$4:$L$503,8))&amp;". "))</f>
        <v/>
      </c>
      <c r="J1511">
        <f>IF(LEN(INDEX('Providers'!$AJ$4:$AJ$503,8))=0,"",INDEX('Providers'!$AJ$4:$AJ$503,8))</f>
        <v/>
      </c>
      <c r="K1511">
        <f>IF(LEN(INDEX('Providers'!$AI$4:$AI$503,8))=0,"",INDEX('Providers'!$AI$4:$AI$503,8))</f>
        <v/>
      </c>
    </row>
    <row r="1512">
      <c r="A1512">
        <f>IF(AND(LEN('Providers'!A12)&gt;0,ISNUMBER('Providers'!M12)),1,0)</f>
        <v/>
      </c>
      <c r="B1512">
        <f>B1511+A1512</f>
        <v/>
      </c>
      <c r="C1512">
        <f>IF(1509&gt;$B$4503,"",MATCH(1509-0.5,$B$3:$B$4503,1))</f>
        <v/>
      </c>
      <c r="D1512">
        <f>"Board certification – "&amp;IF(LEN(INDEX('Providers'!$A$4:$A$503,9))=0,"",INDEX('Providers'!$A$4:$A$503,9))</f>
        <v/>
      </c>
      <c r="E1512">
        <f>IF(ISNUMBER(INDEX('Providers'!$M$4:$M$503,9)),TEXT(INDEX('Providers'!$M$4:$M$503,9),"yyyy-mm-dd"),"")</f>
        <v/>
      </c>
      <c r="F1512">
        <f>"Certification"</f>
        <v/>
      </c>
      <c r="G1512">
        <f>""</f>
        <v/>
      </c>
      <c r="H1512">
        <f>"Medium"</f>
        <v/>
      </c>
      <c r="I1512">
        <f>TRIM(IF(LEN(IF(LEN(INDEX('Providers'!$L$4:$L$503,9))=0,"",INDEX('Providers'!$L$4:$L$503,9)))=0,"","Board / specialty: "&amp;IF(LEN(INDEX('Providers'!$L$4:$L$503,9))=0,"",INDEX('Providers'!$L$4:$L$503,9))&amp;". "))</f>
        <v/>
      </c>
      <c r="J1512">
        <f>IF(LEN(INDEX('Providers'!$AJ$4:$AJ$503,9))=0,"",INDEX('Providers'!$AJ$4:$AJ$503,9))</f>
        <v/>
      </c>
      <c r="K1512">
        <f>IF(LEN(INDEX('Providers'!$AI$4:$AI$503,9))=0,"",INDEX('Providers'!$AI$4:$AI$503,9))</f>
        <v/>
      </c>
    </row>
    <row r="1513">
      <c r="A1513">
        <f>IF(AND(LEN('Providers'!A13)&gt;0,ISNUMBER('Providers'!M13)),1,0)</f>
        <v/>
      </c>
      <c r="B1513">
        <f>B1512+A1513</f>
        <v/>
      </c>
      <c r="C1513">
        <f>IF(1510&gt;$B$4503,"",MATCH(1510-0.5,$B$3:$B$4503,1))</f>
        <v/>
      </c>
      <c r="D1513">
        <f>"Board certification – "&amp;IF(LEN(INDEX('Providers'!$A$4:$A$503,10))=0,"",INDEX('Providers'!$A$4:$A$503,10))</f>
        <v/>
      </c>
      <c r="E1513">
        <f>IF(ISNUMBER(INDEX('Providers'!$M$4:$M$503,10)),TEXT(INDEX('Providers'!$M$4:$M$503,10),"yyyy-mm-dd"),"")</f>
        <v/>
      </c>
      <c r="F1513">
        <f>"Certification"</f>
        <v/>
      </c>
      <c r="G1513">
        <f>""</f>
        <v/>
      </c>
      <c r="H1513">
        <f>"Medium"</f>
        <v/>
      </c>
      <c r="I1513">
        <f>TRIM(IF(LEN(IF(LEN(INDEX('Providers'!$L$4:$L$503,10))=0,"",INDEX('Providers'!$L$4:$L$503,10)))=0,"","Board / specialty: "&amp;IF(LEN(INDEX('Providers'!$L$4:$L$503,10))=0,"",INDEX('Providers'!$L$4:$L$503,10))&amp;". "))</f>
        <v/>
      </c>
      <c r="J1513">
        <f>IF(LEN(INDEX('Providers'!$AJ$4:$AJ$503,10))=0,"",INDEX('Providers'!$AJ$4:$AJ$503,10))</f>
        <v/>
      </c>
      <c r="K1513">
        <f>IF(LEN(INDEX('Providers'!$AI$4:$AI$503,10))=0,"",INDEX('Providers'!$AI$4:$AI$503,10))</f>
        <v/>
      </c>
    </row>
    <row r="1514">
      <c r="A1514">
        <f>IF(AND(LEN('Providers'!A14)&gt;0,ISNUMBER('Providers'!M14)),1,0)</f>
        <v/>
      </c>
      <c r="B1514">
        <f>B1513+A1514</f>
        <v/>
      </c>
      <c r="C1514">
        <f>IF(1511&gt;$B$4503,"",MATCH(1511-0.5,$B$3:$B$4503,1))</f>
        <v/>
      </c>
      <c r="D1514">
        <f>"Board certification – "&amp;IF(LEN(INDEX('Providers'!$A$4:$A$503,11))=0,"",INDEX('Providers'!$A$4:$A$503,11))</f>
        <v/>
      </c>
      <c r="E1514">
        <f>IF(ISNUMBER(INDEX('Providers'!$M$4:$M$503,11)),TEXT(INDEX('Providers'!$M$4:$M$503,11),"yyyy-mm-dd"),"")</f>
        <v/>
      </c>
      <c r="F1514">
        <f>"Certification"</f>
        <v/>
      </c>
      <c r="G1514">
        <f>""</f>
        <v/>
      </c>
      <c r="H1514">
        <f>"Medium"</f>
        <v/>
      </c>
      <c r="I1514">
        <f>TRIM(IF(LEN(IF(LEN(INDEX('Providers'!$L$4:$L$503,11))=0,"",INDEX('Providers'!$L$4:$L$503,11)))=0,"","Board / specialty: "&amp;IF(LEN(INDEX('Providers'!$L$4:$L$503,11))=0,"",INDEX('Providers'!$L$4:$L$503,11))&amp;". "))</f>
        <v/>
      </c>
      <c r="J1514">
        <f>IF(LEN(INDEX('Providers'!$AJ$4:$AJ$503,11))=0,"",INDEX('Providers'!$AJ$4:$AJ$503,11))</f>
        <v/>
      </c>
      <c r="K1514">
        <f>IF(LEN(INDEX('Providers'!$AI$4:$AI$503,11))=0,"",INDEX('Providers'!$AI$4:$AI$503,11))</f>
        <v/>
      </c>
    </row>
    <row r="1515">
      <c r="A1515">
        <f>IF(AND(LEN('Providers'!A15)&gt;0,ISNUMBER('Providers'!M15)),1,0)</f>
        <v/>
      </c>
      <c r="B1515">
        <f>B1514+A1515</f>
        <v/>
      </c>
      <c r="C1515">
        <f>IF(1512&gt;$B$4503,"",MATCH(1512-0.5,$B$3:$B$4503,1))</f>
        <v/>
      </c>
      <c r="D1515">
        <f>"Board certification – "&amp;IF(LEN(INDEX('Providers'!$A$4:$A$503,12))=0,"",INDEX('Providers'!$A$4:$A$503,12))</f>
        <v/>
      </c>
      <c r="E1515">
        <f>IF(ISNUMBER(INDEX('Providers'!$M$4:$M$503,12)),TEXT(INDEX('Providers'!$M$4:$M$503,12),"yyyy-mm-dd"),"")</f>
        <v/>
      </c>
      <c r="F1515">
        <f>"Certification"</f>
        <v/>
      </c>
      <c r="G1515">
        <f>""</f>
        <v/>
      </c>
      <c r="H1515">
        <f>"Medium"</f>
        <v/>
      </c>
      <c r="I1515">
        <f>TRIM(IF(LEN(IF(LEN(INDEX('Providers'!$L$4:$L$503,12))=0,"",INDEX('Providers'!$L$4:$L$503,12)))=0,"","Board / specialty: "&amp;IF(LEN(INDEX('Providers'!$L$4:$L$503,12))=0,"",INDEX('Providers'!$L$4:$L$503,12))&amp;". "))</f>
        <v/>
      </c>
      <c r="J1515">
        <f>IF(LEN(INDEX('Providers'!$AJ$4:$AJ$503,12))=0,"",INDEX('Providers'!$AJ$4:$AJ$503,12))</f>
        <v/>
      </c>
      <c r="K1515">
        <f>IF(LEN(INDEX('Providers'!$AI$4:$AI$503,12))=0,"",INDEX('Providers'!$AI$4:$AI$503,12))</f>
        <v/>
      </c>
    </row>
    <row r="1516">
      <c r="A1516">
        <f>IF(AND(LEN('Providers'!A16)&gt;0,ISNUMBER('Providers'!M16)),1,0)</f>
        <v/>
      </c>
      <c r="B1516">
        <f>B1515+A1516</f>
        <v/>
      </c>
      <c r="C1516">
        <f>IF(1513&gt;$B$4503,"",MATCH(1513-0.5,$B$3:$B$4503,1))</f>
        <v/>
      </c>
      <c r="D1516">
        <f>"Board certification – "&amp;IF(LEN(INDEX('Providers'!$A$4:$A$503,13))=0,"",INDEX('Providers'!$A$4:$A$503,13))</f>
        <v/>
      </c>
      <c r="E1516">
        <f>IF(ISNUMBER(INDEX('Providers'!$M$4:$M$503,13)),TEXT(INDEX('Providers'!$M$4:$M$503,13),"yyyy-mm-dd"),"")</f>
        <v/>
      </c>
      <c r="F1516">
        <f>"Certification"</f>
        <v/>
      </c>
      <c r="G1516">
        <f>""</f>
        <v/>
      </c>
      <c r="H1516">
        <f>"Medium"</f>
        <v/>
      </c>
      <c r="I1516">
        <f>TRIM(IF(LEN(IF(LEN(INDEX('Providers'!$L$4:$L$503,13))=0,"",INDEX('Providers'!$L$4:$L$503,13)))=0,"","Board / specialty: "&amp;IF(LEN(INDEX('Providers'!$L$4:$L$503,13))=0,"",INDEX('Providers'!$L$4:$L$503,13))&amp;". "))</f>
        <v/>
      </c>
      <c r="J1516">
        <f>IF(LEN(INDEX('Providers'!$AJ$4:$AJ$503,13))=0,"",INDEX('Providers'!$AJ$4:$AJ$503,13))</f>
        <v/>
      </c>
      <c r="K1516">
        <f>IF(LEN(INDEX('Providers'!$AI$4:$AI$503,13))=0,"",INDEX('Providers'!$AI$4:$AI$503,13))</f>
        <v/>
      </c>
    </row>
    <row r="1517">
      <c r="A1517">
        <f>IF(AND(LEN('Providers'!A17)&gt;0,ISNUMBER('Providers'!M17)),1,0)</f>
        <v/>
      </c>
      <c r="B1517">
        <f>B1516+A1517</f>
        <v/>
      </c>
      <c r="C1517">
        <f>IF(1514&gt;$B$4503,"",MATCH(1514-0.5,$B$3:$B$4503,1))</f>
        <v/>
      </c>
      <c r="D1517">
        <f>"Board certification – "&amp;IF(LEN(INDEX('Providers'!$A$4:$A$503,14))=0,"",INDEX('Providers'!$A$4:$A$503,14))</f>
        <v/>
      </c>
      <c r="E1517">
        <f>IF(ISNUMBER(INDEX('Providers'!$M$4:$M$503,14)),TEXT(INDEX('Providers'!$M$4:$M$503,14),"yyyy-mm-dd"),"")</f>
        <v/>
      </c>
      <c r="F1517">
        <f>"Certification"</f>
        <v/>
      </c>
      <c r="G1517">
        <f>""</f>
        <v/>
      </c>
      <c r="H1517">
        <f>"Medium"</f>
        <v/>
      </c>
      <c r="I1517">
        <f>TRIM(IF(LEN(IF(LEN(INDEX('Providers'!$L$4:$L$503,14))=0,"",INDEX('Providers'!$L$4:$L$503,14)))=0,"","Board / specialty: "&amp;IF(LEN(INDEX('Providers'!$L$4:$L$503,14))=0,"",INDEX('Providers'!$L$4:$L$503,14))&amp;". "))</f>
        <v/>
      </c>
      <c r="J1517">
        <f>IF(LEN(INDEX('Providers'!$AJ$4:$AJ$503,14))=0,"",INDEX('Providers'!$AJ$4:$AJ$503,14))</f>
        <v/>
      </c>
      <c r="K1517">
        <f>IF(LEN(INDEX('Providers'!$AI$4:$AI$503,14))=0,"",INDEX('Providers'!$AI$4:$AI$503,14))</f>
        <v/>
      </c>
    </row>
    <row r="1518">
      <c r="A1518">
        <f>IF(AND(LEN('Providers'!A18)&gt;0,ISNUMBER('Providers'!M18)),1,0)</f>
        <v/>
      </c>
      <c r="B1518">
        <f>B1517+A1518</f>
        <v/>
      </c>
      <c r="C1518">
        <f>IF(1515&gt;$B$4503,"",MATCH(1515-0.5,$B$3:$B$4503,1))</f>
        <v/>
      </c>
      <c r="D1518">
        <f>"Board certification – "&amp;IF(LEN(INDEX('Providers'!$A$4:$A$503,15))=0,"",INDEX('Providers'!$A$4:$A$503,15))</f>
        <v/>
      </c>
      <c r="E1518">
        <f>IF(ISNUMBER(INDEX('Providers'!$M$4:$M$503,15)),TEXT(INDEX('Providers'!$M$4:$M$503,15),"yyyy-mm-dd"),"")</f>
        <v/>
      </c>
      <c r="F1518">
        <f>"Certification"</f>
        <v/>
      </c>
      <c r="G1518">
        <f>""</f>
        <v/>
      </c>
      <c r="H1518">
        <f>"Medium"</f>
        <v/>
      </c>
      <c r="I1518">
        <f>TRIM(IF(LEN(IF(LEN(INDEX('Providers'!$L$4:$L$503,15))=0,"",INDEX('Providers'!$L$4:$L$503,15)))=0,"","Board / specialty: "&amp;IF(LEN(INDEX('Providers'!$L$4:$L$503,15))=0,"",INDEX('Providers'!$L$4:$L$503,15))&amp;". "))</f>
        <v/>
      </c>
      <c r="J1518">
        <f>IF(LEN(INDEX('Providers'!$AJ$4:$AJ$503,15))=0,"",INDEX('Providers'!$AJ$4:$AJ$503,15))</f>
        <v/>
      </c>
      <c r="K1518">
        <f>IF(LEN(INDEX('Providers'!$AI$4:$AI$503,15))=0,"",INDEX('Providers'!$AI$4:$AI$503,15))</f>
        <v/>
      </c>
    </row>
    <row r="1519">
      <c r="A1519">
        <f>IF(AND(LEN('Providers'!A19)&gt;0,ISNUMBER('Providers'!M19)),1,0)</f>
        <v/>
      </c>
      <c r="B1519">
        <f>B1518+A1519</f>
        <v/>
      </c>
      <c r="C1519">
        <f>IF(1516&gt;$B$4503,"",MATCH(1516-0.5,$B$3:$B$4503,1))</f>
        <v/>
      </c>
      <c r="D1519">
        <f>"Board certification – "&amp;IF(LEN(INDEX('Providers'!$A$4:$A$503,16))=0,"",INDEX('Providers'!$A$4:$A$503,16))</f>
        <v/>
      </c>
      <c r="E1519">
        <f>IF(ISNUMBER(INDEX('Providers'!$M$4:$M$503,16)),TEXT(INDEX('Providers'!$M$4:$M$503,16),"yyyy-mm-dd"),"")</f>
        <v/>
      </c>
      <c r="F1519">
        <f>"Certification"</f>
        <v/>
      </c>
      <c r="G1519">
        <f>""</f>
        <v/>
      </c>
      <c r="H1519">
        <f>"Medium"</f>
        <v/>
      </c>
      <c r="I1519">
        <f>TRIM(IF(LEN(IF(LEN(INDEX('Providers'!$L$4:$L$503,16))=0,"",INDEX('Providers'!$L$4:$L$503,16)))=0,"","Board / specialty: "&amp;IF(LEN(INDEX('Providers'!$L$4:$L$503,16))=0,"",INDEX('Providers'!$L$4:$L$503,16))&amp;". "))</f>
        <v/>
      </c>
      <c r="J1519">
        <f>IF(LEN(INDEX('Providers'!$AJ$4:$AJ$503,16))=0,"",INDEX('Providers'!$AJ$4:$AJ$503,16))</f>
        <v/>
      </c>
      <c r="K1519">
        <f>IF(LEN(INDEX('Providers'!$AI$4:$AI$503,16))=0,"",INDEX('Providers'!$AI$4:$AI$503,16))</f>
        <v/>
      </c>
    </row>
    <row r="1520">
      <c r="A1520">
        <f>IF(AND(LEN('Providers'!A20)&gt;0,ISNUMBER('Providers'!M20)),1,0)</f>
        <v/>
      </c>
      <c r="B1520">
        <f>B1519+A1520</f>
        <v/>
      </c>
      <c r="C1520">
        <f>IF(1517&gt;$B$4503,"",MATCH(1517-0.5,$B$3:$B$4503,1))</f>
        <v/>
      </c>
      <c r="D1520">
        <f>"Board certification – "&amp;IF(LEN(INDEX('Providers'!$A$4:$A$503,17))=0,"",INDEX('Providers'!$A$4:$A$503,17))</f>
        <v/>
      </c>
      <c r="E1520">
        <f>IF(ISNUMBER(INDEX('Providers'!$M$4:$M$503,17)),TEXT(INDEX('Providers'!$M$4:$M$503,17),"yyyy-mm-dd"),"")</f>
        <v/>
      </c>
      <c r="F1520">
        <f>"Certification"</f>
        <v/>
      </c>
      <c r="G1520">
        <f>""</f>
        <v/>
      </c>
      <c r="H1520">
        <f>"Medium"</f>
        <v/>
      </c>
      <c r="I1520">
        <f>TRIM(IF(LEN(IF(LEN(INDEX('Providers'!$L$4:$L$503,17))=0,"",INDEX('Providers'!$L$4:$L$503,17)))=0,"","Board / specialty: "&amp;IF(LEN(INDEX('Providers'!$L$4:$L$503,17))=0,"",INDEX('Providers'!$L$4:$L$503,17))&amp;". "))</f>
        <v/>
      </c>
      <c r="J1520">
        <f>IF(LEN(INDEX('Providers'!$AJ$4:$AJ$503,17))=0,"",INDEX('Providers'!$AJ$4:$AJ$503,17))</f>
        <v/>
      </c>
      <c r="K1520">
        <f>IF(LEN(INDEX('Providers'!$AI$4:$AI$503,17))=0,"",INDEX('Providers'!$AI$4:$AI$503,17))</f>
        <v/>
      </c>
    </row>
    <row r="1521">
      <c r="A1521">
        <f>IF(AND(LEN('Providers'!A21)&gt;0,ISNUMBER('Providers'!M21)),1,0)</f>
        <v/>
      </c>
      <c r="B1521">
        <f>B1520+A1521</f>
        <v/>
      </c>
      <c r="C1521">
        <f>IF(1518&gt;$B$4503,"",MATCH(1518-0.5,$B$3:$B$4503,1))</f>
        <v/>
      </c>
      <c r="D1521">
        <f>"Board certification – "&amp;IF(LEN(INDEX('Providers'!$A$4:$A$503,18))=0,"",INDEX('Providers'!$A$4:$A$503,18))</f>
        <v/>
      </c>
      <c r="E1521">
        <f>IF(ISNUMBER(INDEX('Providers'!$M$4:$M$503,18)),TEXT(INDEX('Providers'!$M$4:$M$503,18),"yyyy-mm-dd"),"")</f>
        <v/>
      </c>
      <c r="F1521">
        <f>"Certification"</f>
        <v/>
      </c>
      <c r="G1521">
        <f>""</f>
        <v/>
      </c>
      <c r="H1521">
        <f>"Medium"</f>
        <v/>
      </c>
      <c r="I1521">
        <f>TRIM(IF(LEN(IF(LEN(INDEX('Providers'!$L$4:$L$503,18))=0,"",INDEX('Providers'!$L$4:$L$503,18)))=0,"","Board / specialty: "&amp;IF(LEN(INDEX('Providers'!$L$4:$L$503,18))=0,"",INDEX('Providers'!$L$4:$L$503,18))&amp;". "))</f>
        <v/>
      </c>
      <c r="J1521">
        <f>IF(LEN(INDEX('Providers'!$AJ$4:$AJ$503,18))=0,"",INDEX('Providers'!$AJ$4:$AJ$503,18))</f>
        <v/>
      </c>
      <c r="K1521">
        <f>IF(LEN(INDEX('Providers'!$AI$4:$AI$503,18))=0,"",INDEX('Providers'!$AI$4:$AI$503,18))</f>
        <v/>
      </c>
    </row>
    <row r="1522">
      <c r="A1522">
        <f>IF(AND(LEN('Providers'!A22)&gt;0,ISNUMBER('Providers'!M22)),1,0)</f>
        <v/>
      </c>
      <c r="B1522">
        <f>B1521+A1522</f>
        <v/>
      </c>
      <c r="C1522">
        <f>IF(1519&gt;$B$4503,"",MATCH(1519-0.5,$B$3:$B$4503,1))</f>
        <v/>
      </c>
      <c r="D1522">
        <f>"Board certification – "&amp;IF(LEN(INDEX('Providers'!$A$4:$A$503,19))=0,"",INDEX('Providers'!$A$4:$A$503,19))</f>
        <v/>
      </c>
      <c r="E1522">
        <f>IF(ISNUMBER(INDEX('Providers'!$M$4:$M$503,19)),TEXT(INDEX('Providers'!$M$4:$M$503,19),"yyyy-mm-dd"),"")</f>
        <v/>
      </c>
      <c r="F1522">
        <f>"Certification"</f>
        <v/>
      </c>
      <c r="G1522">
        <f>""</f>
        <v/>
      </c>
      <c r="H1522">
        <f>"Medium"</f>
        <v/>
      </c>
      <c r="I1522">
        <f>TRIM(IF(LEN(IF(LEN(INDEX('Providers'!$L$4:$L$503,19))=0,"",INDEX('Providers'!$L$4:$L$503,19)))=0,"","Board / specialty: "&amp;IF(LEN(INDEX('Providers'!$L$4:$L$503,19))=0,"",INDEX('Providers'!$L$4:$L$503,19))&amp;". "))</f>
        <v/>
      </c>
      <c r="J1522">
        <f>IF(LEN(INDEX('Providers'!$AJ$4:$AJ$503,19))=0,"",INDEX('Providers'!$AJ$4:$AJ$503,19))</f>
        <v/>
      </c>
      <c r="K1522">
        <f>IF(LEN(INDEX('Providers'!$AI$4:$AI$503,19))=0,"",INDEX('Providers'!$AI$4:$AI$503,19))</f>
        <v/>
      </c>
    </row>
    <row r="1523">
      <c r="A1523">
        <f>IF(AND(LEN('Providers'!A23)&gt;0,ISNUMBER('Providers'!M23)),1,0)</f>
        <v/>
      </c>
      <c r="B1523">
        <f>B1522+A1523</f>
        <v/>
      </c>
      <c r="C1523">
        <f>IF(1520&gt;$B$4503,"",MATCH(1520-0.5,$B$3:$B$4503,1))</f>
        <v/>
      </c>
      <c r="D1523">
        <f>"Board certification – "&amp;IF(LEN(INDEX('Providers'!$A$4:$A$503,20))=0,"",INDEX('Providers'!$A$4:$A$503,20))</f>
        <v/>
      </c>
      <c r="E1523">
        <f>IF(ISNUMBER(INDEX('Providers'!$M$4:$M$503,20)),TEXT(INDEX('Providers'!$M$4:$M$503,20),"yyyy-mm-dd"),"")</f>
        <v/>
      </c>
      <c r="F1523">
        <f>"Certification"</f>
        <v/>
      </c>
      <c r="G1523">
        <f>""</f>
        <v/>
      </c>
      <c r="H1523">
        <f>"Medium"</f>
        <v/>
      </c>
      <c r="I1523">
        <f>TRIM(IF(LEN(IF(LEN(INDEX('Providers'!$L$4:$L$503,20))=0,"",INDEX('Providers'!$L$4:$L$503,20)))=0,"","Board / specialty: "&amp;IF(LEN(INDEX('Providers'!$L$4:$L$503,20))=0,"",INDEX('Providers'!$L$4:$L$503,20))&amp;". "))</f>
        <v/>
      </c>
      <c r="J1523">
        <f>IF(LEN(INDEX('Providers'!$AJ$4:$AJ$503,20))=0,"",INDEX('Providers'!$AJ$4:$AJ$503,20))</f>
        <v/>
      </c>
      <c r="K1523">
        <f>IF(LEN(INDEX('Providers'!$AI$4:$AI$503,20))=0,"",INDEX('Providers'!$AI$4:$AI$503,20))</f>
        <v/>
      </c>
    </row>
    <row r="1524">
      <c r="A1524">
        <f>IF(AND(LEN('Providers'!A24)&gt;0,ISNUMBER('Providers'!M24)),1,0)</f>
        <v/>
      </c>
      <c r="B1524">
        <f>B1523+A1524</f>
        <v/>
      </c>
      <c r="C1524">
        <f>IF(1521&gt;$B$4503,"",MATCH(1521-0.5,$B$3:$B$4503,1))</f>
        <v/>
      </c>
      <c r="D1524">
        <f>"Board certification – "&amp;IF(LEN(INDEX('Providers'!$A$4:$A$503,21))=0,"",INDEX('Providers'!$A$4:$A$503,21))</f>
        <v/>
      </c>
      <c r="E1524">
        <f>IF(ISNUMBER(INDEX('Providers'!$M$4:$M$503,21)),TEXT(INDEX('Providers'!$M$4:$M$503,21),"yyyy-mm-dd"),"")</f>
        <v/>
      </c>
      <c r="F1524">
        <f>"Certification"</f>
        <v/>
      </c>
      <c r="G1524">
        <f>""</f>
        <v/>
      </c>
      <c r="H1524">
        <f>"Medium"</f>
        <v/>
      </c>
      <c r="I1524">
        <f>TRIM(IF(LEN(IF(LEN(INDEX('Providers'!$L$4:$L$503,21))=0,"",INDEX('Providers'!$L$4:$L$503,21)))=0,"","Board / specialty: "&amp;IF(LEN(INDEX('Providers'!$L$4:$L$503,21))=0,"",INDEX('Providers'!$L$4:$L$503,21))&amp;". "))</f>
        <v/>
      </c>
      <c r="J1524">
        <f>IF(LEN(INDEX('Providers'!$AJ$4:$AJ$503,21))=0,"",INDEX('Providers'!$AJ$4:$AJ$503,21))</f>
        <v/>
      </c>
      <c r="K1524">
        <f>IF(LEN(INDEX('Providers'!$AI$4:$AI$503,21))=0,"",INDEX('Providers'!$AI$4:$AI$503,21))</f>
        <v/>
      </c>
    </row>
    <row r="1525">
      <c r="A1525">
        <f>IF(AND(LEN('Providers'!A25)&gt;0,ISNUMBER('Providers'!M25)),1,0)</f>
        <v/>
      </c>
      <c r="B1525">
        <f>B1524+A1525</f>
        <v/>
      </c>
      <c r="C1525">
        <f>IF(1522&gt;$B$4503,"",MATCH(1522-0.5,$B$3:$B$4503,1))</f>
        <v/>
      </c>
      <c r="D1525">
        <f>"Board certification – "&amp;IF(LEN(INDEX('Providers'!$A$4:$A$503,22))=0,"",INDEX('Providers'!$A$4:$A$503,22))</f>
        <v/>
      </c>
      <c r="E1525">
        <f>IF(ISNUMBER(INDEX('Providers'!$M$4:$M$503,22)),TEXT(INDEX('Providers'!$M$4:$M$503,22),"yyyy-mm-dd"),"")</f>
        <v/>
      </c>
      <c r="F1525">
        <f>"Certification"</f>
        <v/>
      </c>
      <c r="G1525">
        <f>""</f>
        <v/>
      </c>
      <c r="H1525">
        <f>"Medium"</f>
        <v/>
      </c>
      <c r="I1525">
        <f>TRIM(IF(LEN(IF(LEN(INDEX('Providers'!$L$4:$L$503,22))=0,"",INDEX('Providers'!$L$4:$L$503,22)))=0,"","Board / specialty: "&amp;IF(LEN(INDEX('Providers'!$L$4:$L$503,22))=0,"",INDEX('Providers'!$L$4:$L$503,22))&amp;". "))</f>
        <v/>
      </c>
      <c r="J1525">
        <f>IF(LEN(INDEX('Providers'!$AJ$4:$AJ$503,22))=0,"",INDEX('Providers'!$AJ$4:$AJ$503,22))</f>
        <v/>
      </c>
      <c r="K1525">
        <f>IF(LEN(INDEX('Providers'!$AI$4:$AI$503,22))=0,"",INDEX('Providers'!$AI$4:$AI$503,22))</f>
        <v/>
      </c>
    </row>
    <row r="1526">
      <c r="A1526">
        <f>IF(AND(LEN('Providers'!A26)&gt;0,ISNUMBER('Providers'!M26)),1,0)</f>
        <v/>
      </c>
      <c r="B1526">
        <f>B1525+A1526</f>
        <v/>
      </c>
      <c r="C1526">
        <f>IF(1523&gt;$B$4503,"",MATCH(1523-0.5,$B$3:$B$4503,1))</f>
        <v/>
      </c>
      <c r="D1526">
        <f>"Board certification – "&amp;IF(LEN(INDEX('Providers'!$A$4:$A$503,23))=0,"",INDEX('Providers'!$A$4:$A$503,23))</f>
        <v/>
      </c>
      <c r="E1526">
        <f>IF(ISNUMBER(INDEX('Providers'!$M$4:$M$503,23)),TEXT(INDEX('Providers'!$M$4:$M$503,23),"yyyy-mm-dd"),"")</f>
        <v/>
      </c>
      <c r="F1526">
        <f>"Certification"</f>
        <v/>
      </c>
      <c r="G1526">
        <f>""</f>
        <v/>
      </c>
      <c r="H1526">
        <f>"Medium"</f>
        <v/>
      </c>
      <c r="I1526">
        <f>TRIM(IF(LEN(IF(LEN(INDEX('Providers'!$L$4:$L$503,23))=0,"",INDEX('Providers'!$L$4:$L$503,23)))=0,"","Board / specialty: "&amp;IF(LEN(INDEX('Providers'!$L$4:$L$503,23))=0,"",INDEX('Providers'!$L$4:$L$503,23))&amp;". "))</f>
        <v/>
      </c>
      <c r="J1526">
        <f>IF(LEN(INDEX('Providers'!$AJ$4:$AJ$503,23))=0,"",INDEX('Providers'!$AJ$4:$AJ$503,23))</f>
        <v/>
      </c>
      <c r="K1526">
        <f>IF(LEN(INDEX('Providers'!$AI$4:$AI$503,23))=0,"",INDEX('Providers'!$AI$4:$AI$503,23))</f>
        <v/>
      </c>
    </row>
    <row r="1527">
      <c r="A1527">
        <f>IF(AND(LEN('Providers'!A27)&gt;0,ISNUMBER('Providers'!M27)),1,0)</f>
        <v/>
      </c>
      <c r="B1527">
        <f>B1526+A1527</f>
        <v/>
      </c>
      <c r="C1527">
        <f>IF(1524&gt;$B$4503,"",MATCH(1524-0.5,$B$3:$B$4503,1))</f>
        <v/>
      </c>
      <c r="D1527">
        <f>"Board certification – "&amp;IF(LEN(INDEX('Providers'!$A$4:$A$503,24))=0,"",INDEX('Providers'!$A$4:$A$503,24))</f>
        <v/>
      </c>
      <c r="E1527">
        <f>IF(ISNUMBER(INDEX('Providers'!$M$4:$M$503,24)),TEXT(INDEX('Providers'!$M$4:$M$503,24),"yyyy-mm-dd"),"")</f>
        <v/>
      </c>
      <c r="F1527">
        <f>"Certification"</f>
        <v/>
      </c>
      <c r="G1527">
        <f>""</f>
        <v/>
      </c>
      <c r="H1527">
        <f>"Medium"</f>
        <v/>
      </c>
      <c r="I1527">
        <f>TRIM(IF(LEN(IF(LEN(INDEX('Providers'!$L$4:$L$503,24))=0,"",INDEX('Providers'!$L$4:$L$503,24)))=0,"","Board / specialty: "&amp;IF(LEN(INDEX('Providers'!$L$4:$L$503,24))=0,"",INDEX('Providers'!$L$4:$L$503,24))&amp;". "))</f>
        <v/>
      </c>
      <c r="J1527">
        <f>IF(LEN(INDEX('Providers'!$AJ$4:$AJ$503,24))=0,"",INDEX('Providers'!$AJ$4:$AJ$503,24))</f>
        <v/>
      </c>
      <c r="K1527">
        <f>IF(LEN(INDEX('Providers'!$AI$4:$AI$503,24))=0,"",INDEX('Providers'!$AI$4:$AI$503,24))</f>
        <v/>
      </c>
    </row>
    <row r="1528">
      <c r="A1528">
        <f>IF(AND(LEN('Providers'!A28)&gt;0,ISNUMBER('Providers'!M28)),1,0)</f>
        <v/>
      </c>
      <c r="B1528">
        <f>B1527+A1528</f>
        <v/>
      </c>
      <c r="C1528">
        <f>IF(1525&gt;$B$4503,"",MATCH(1525-0.5,$B$3:$B$4503,1))</f>
        <v/>
      </c>
      <c r="D1528">
        <f>"Board certification – "&amp;IF(LEN(INDEX('Providers'!$A$4:$A$503,25))=0,"",INDEX('Providers'!$A$4:$A$503,25))</f>
        <v/>
      </c>
      <c r="E1528">
        <f>IF(ISNUMBER(INDEX('Providers'!$M$4:$M$503,25)),TEXT(INDEX('Providers'!$M$4:$M$503,25),"yyyy-mm-dd"),"")</f>
        <v/>
      </c>
      <c r="F1528">
        <f>"Certification"</f>
        <v/>
      </c>
      <c r="G1528">
        <f>""</f>
        <v/>
      </c>
      <c r="H1528">
        <f>"Medium"</f>
        <v/>
      </c>
      <c r="I1528">
        <f>TRIM(IF(LEN(IF(LEN(INDEX('Providers'!$L$4:$L$503,25))=0,"",INDEX('Providers'!$L$4:$L$503,25)))=0,"","Board / specialty: "&amp;IF(LEN(INDEX('Providers'!$L$4:$L$503,25))=0,"",INDEX('Providers'!$L$4:$L$503,25))&amp;". "))</f>
        <v/>
      </c>
      <c r="J1528">
        <f>IF(LEN(INDEX('Providers'!$AJ$4:$AJ$503,25))=0,"",INDEX('Providers'!$AJ$4:$AJ$503,25))</f>
        <v/>
      </c>
      <c r="K1528">
        <f>IF(LEN(INDEX('Providers'!$AI$4:$AI$503,25))=0,"",INDEX('Providers'!$AI$4:$AI$503,25))</f>
        <v/>
      </c>
    </row>
    <row r="1529">
      <c r="A1529">
        <f>IF(AND(LEN('Providers'!A29)&gt;0,ISNUMBER('Providers'!M29)),1,0)</f>
        <v/>
      </c>
      <c r="B1529">
        <f>B1528+A1529</f>
        <v/>
      </c>
      <c r="C1529">
        <f>IF(1526&gt;$B$4503,"",MATCH(1526-0.5,$B$3:$B$4503,1))</f>
        <v/>
      </c>
      <c r="D1529">
        <f>"Board certification – "&amp;IF(LEN(INDEX('Providers'!$A$4:$A$503,26))=0,"",INDEX('Providers'!$A$4:$A$503,26))</f>
        <v/>
      </c>
      <c r="E1529">
        <f>IF(ISNUMBER(INDEX('Providers'!$M$4:$M$503,26)),TEXT(INDEX('Providers'!$M$4:$M$503,26),"yyyy-mm-dd"),"")</f>
        <v/>
      </c>
      <c r="F1529">
        <f>"Certification"</f>
        <v/>
      </c>
      <c r="G1529">
        <f>""</f>
        <v/>
      </c>
      <c r="H1529">
        <f>"Medium"</f>
        <v/>
      </c>
      <c r="I1529">
        <f>TRIM(IF(LEN(IF(LEN(INDEX('Providers'!$L$4:$L$503,26))=0,"",INDEX('Providers'!$L$4:$L$503,26)))=0,"","Board / specialty: "&amp;IF(LEN(INDEX('Providers'!$L$4:$L$503,26))=0,"",INDEX('Providers'!$L$4:$L$503,26))&amp;". "))</f>
        <v/>
      </c>
      <c r="J1529">
        <f>IF(LEN(INDEX('Providers'!$AJ$4:$AJ$503,26))=0,"",INDEX('Providers'!$AJ$4:$AJ$503,26))</f>
        <v/>
      </c>
      <c r="K1529">
        <f>IF(LEN(INDEX('Providers'!$AI$4:$AI$503,26))=0,"",INDEX('Providers'!$AI$4:$AI$503,26))</f>
        <v/>
      </c>
    </row>
    <row r="1530">
      <c r="A1530">
        <f>IF(AND(LEN('Providers'!A30)&gt;0,ISNUMBER('Providers'!M30)),1,0)</f>
        <v/>
      </c>
      <c r="B1530">
        <f>B1529+A1530</f>
        <v/>
      </c>
      <c r="C1530">
        <f>IF(1527&gt;$B$4503,"",MATCH(1527-0.5,$B$3:$B$4503,1))</f>
        <v/>
      </c>
      <c r="D1530">
        <f>"Board certification – "&amp;IF(LEN(INDEX('Providers'!$A$4:$A$503,27))=0,"",INDEX('Providers'!$A$4:$A$503,27))</f>
        <v/>
      </c>
      <c r="E1530">
        <f>IF(ISNUMBER(INDEX('Providers'!$M$4:$M$503,27)),TEXT(INDEX('Providers'!$M$4:$M$503,27),"yyyy-mm-dd"),"")</f>
        <v/>
      </c>
      <c r="F1530">
        <f>"Certification"</f>
        <v/>
      </c>
      <c r="G1530">
        <f>""</f>
        <v/>
      </c>
      <c r="H1530">
        <f>"Medium"</f>
        <v/>
      </c>
      <c r="I1530">
        <f>TRIM(IF(LEN(IF(LEN(INDEX('Providers'!$L$4:$L$503,27))=0,"",INDEX('Providers'!$L$4:$L$503,27)))=0,"","Board / specialty: "&amp;IF(LEN(INDEX('Providers'!$L$4:$L$503,27))=0,"",INDEX('Providers'!$L$4:$L$503,27))&amp;". "))</f>
        <v/>
      </c>
      <c r="J1530">
        <f>IF(LEN(INDEX('Providers'!$AJ$4:$AJ$503,27))=0,"",INDEX('Providers'!$AJ$4:$AJ$503,27))</f>
        <v/>
      </c>
      <c r="K1530">
        <f>IF(LEN(INDEX('Providers'!$AI$4:$AI$503,27))=0,"",INDEX('Providers'!$AI$4:$AI$503,27))</f>
        <v/>
      </c>
    </row>
    <row r="1531">
      <c r="A1531">
        <f>IF(AND(LEN('Providers'!A31)&gt;0,ISNUMBER('Providers'!M31)),1,0)</f>
        <v/>
      </c>
      <c r="B1531">
        <f>B1530+A1531</f>
        <v/>
      </c>
      <c r="C1531">
        <f>IF(1528&gt;$B$4503,"",MATCH(1528-0.5,$B$3:$B$4503,1))</f>
        <v/>
      </c>
      <c r="D1531">
        <f>"Board certification – "&amp;IF(LEN(INDEX('Providers'!$A$4:$A$503,28))=0,"",INDEX('Providers'!$A$4:$A$503,28))</f>
        <v/>
      </c>
      <c r="E1531">
        <f>IF(ISNUMBER(INDEX('Providers'!$M$4:$M$503,28)),TEXT(INDEX('Providers'!$M$4:$M$503,28),"yyyy-mm-dd"),"")</f>
        <v/>
      </c>
      <c r="F1531">
        <f>"Certification"</f>
        <v/>
      </c>
      <c r="G1531">
        <f>""</f>
        <v/>
      </c>
      <c r="H1531">
        <f>"Medium"</f>
        <v/>
      </c>
      <c r="I1531">
        <f>TRIM(IF(LEN(IF(LEN(INDEX('Providers'!$L$4:$L$503,28))=0,"",INDEX('Providers'!$L$4:$L$503,28)))=0,"","Board / specialty: "&amp;IF(LEN(INDEX('Providers'!$L$4:$L$503,28))=0,"",INDEX('Providers'!$L$4:$L$503,28))&amp;". "))</f>
        <v/>
      </c>
      <c r="J1531">
        <f>IF(LEN(INDEX('Providers'!$AJ$4:$AJ$503,28))=0,"",INDEX('Providers'!$AJ$4:$AJ$503,28))</f>
        <v/>
      </c>
      <c r="K1531">
        <f>IF(LEN(INDEX('Providers'!$AI$4:$AI$503,28))=0,"",INDEX('Providers'!$AI$4:$AI$503,28))</f>
        <v/>
      </c>
    </row>
    <row r="1532">
      <c r="A1532">
        <f>IF(AND(LEN('Providers'!A32)&gt;0,ISNUMBER('Providers'!M32)),1,0)</f>
        <v/>
      </c>
      <c r="B1532">
        <f>B1531+A1532</f>
        <v/>
      </c>
      <c r="C1532">
        <f>IF(1529&gt;$B$4503,"",MATCH(1529-0.5,$B$3:$B$4503,1))</f>
        <v/>
      </c>
      <c r="D1532">
        <f>"Board certification – "&amp;IF(LEN(INDEX('Providers'!$A$4:$A$503,29))=0,"",INDEX('Providers'!$A$4:$A$503,29))</f>
        <v/>
      </c>
      <c r="E1532">
        <f>IF(ISNUMBER(INDEX('Providers'!$M$4:$M$503,29)),TEXT(INDEX('Providers'!$M$4:$M$503,29),"yyyy-mm-dd"),"")</f>
        <v/>
      </c>
      <c r="F1532">
        <f>"Certification"</f>
        <v/>
      </c>
      <c r="G1532">
        <f>""</f>
        <v/>
      </c>
      <c r="H1532">
        <f>"Medium"</f>
        <v/>
      </c>
      <c r="I1532">
        <f>TRIM(IF(LEN(IF(LEN(INDEX('Providers'!$L$4:$L$503,29))=0,"",INDEX('Providers'!$L$4:$L$503,29)))=0,"","Board / specialty: "&amp;IF(LEN(INDEX('Providers'!$L$4:$L$503,29))=0,"",INDEX('Providers'!$L$4:$L$503,29))&amp;". "))</f>
        <v/>
      </c>
      <c r="J1532">
        <f>IF(LEN(INDEX('Providers'!$AJ$4:$AJ$503,29))=0,"",INDEX('Providers'!$AJ$4:$AJ$503,29))</f>
        <v/>
      </c>
      <c r="K1532">
        <f>IF(LEN(INDEX('Providers'!$AI$4:$AI$503,29))=0,"",INDEX('Providers'!$AI$4:$AI$503,29))</f>
        <v/>
      </c>
    </row>
    <row r="1533">
      <c r="A1533">
        <f>IF(AND(LEN('Providers'!A33)&gt;0,ISNUMBER('Providers'!M33)),1,0)</f>
        <v/>
      </c>
      <c r="B1533">
        <f>B1532+A1533</f>
        <v/>
      </c>
      <c r="C1533">
        <f>IF(1530&gt;$B$4503,"",MATCH(1530-0.5,$B$3:$B$4503,1))</f>
        <v/>
      </c>
      <c r="D1533">
        <f>"Board certification – "&amp;IF(LEN(INDEX('Providers'!$A$4:$A$503,30))=0,"",INDEX('Providers'!$A$4:$A$503,30))</f>
        <v/>
      </c>
      <c r="E1533">
        <f>IF(ISNUMBER(INDEX('Providers'!$M$4:$M$503,30)),TEXT(INDEX('Providers'!$M$4:$M$503,30),"yyyy-mm-dd"),"")</f>
        <v/>
      </c>
      <c r="F1533">
        <f>"Certification"</f>
        <v/>
      </c>
      <c r="G1533">
        <f>""</f>
        <v/>
      </c>
      <c r="H1533">
        <f>"Medium"</f>
        <v/>
      </c>
      <c r="I1533">
        <f>TRIM(IF(LEN(IF(LEN(INDEX('Providers'!$L$4:$L$503,30))=0,"",INDEX('Providers'!$L$4:$L$503,30)))=0,"","Board / specialty: "&amp;IF(LEN(INDEX('Providers'!$L$4:$L$503,30))=0,"",INDEX('Providers'!$L$4:$L$503,30))&amp;". "))</f>
        <v/>
      </c>
      <c r="J1533">
        <f>IF(LEN(INDEX('Providers'!$AJ$4:$AJ$503,30))=0,"",INDEX('Providers'!$AJ$4:$AJ$503,30))</f>
        <v/>
      </c>
      <c r="K1533">
        <f>IF(LEN(INDEX('Providers'!$AI$4:$AI$503,30))=0,"",INDEX('Providers'!$AI$4:$AI$503,30))</f>
        <v/>
      </c>
    </row>
    <row r="1534">
      <c r="A1534">
        <f>IF(AND(LEN('Providers'!A34)&gt;0,ISNUMBER('Providers'!M34)),1,0)</f>
        <v/>
      </c>
      <c r="B1534">
        <f>B1533+A1534</f>
        <v/>
      </c>
      <c r="C1534">
        <f>IF(1531&gt;$B$4503,"",MATCH(1531-0.5,$B$3:$B$4503,1))</f>
        <v/>
      </c>
      <c r="D1534">
        <f>"Board certification – "&amp;IF(LEN(INDEX('Providers'!$A$4:$A$503,31))=0,"",INDEX('Providers'!$A$4:$A$503,31))</f>
        <v/>
      </c>
      <c r="E1534">
        <f>IF(ISNUMBER(INDEX('Providers'!$M$4:$M$503,31)),TEXT(INDEX('Providers'!$M$4:$M$503,31),"yyyy-mm-dd"),"")</f>
        <v/>
      </c>
      <c r="F1534">
        <f>"Certification"</f>
        <v/>
      </c>
      <c r="G1534">
        <f>""</f>
        <v/>
      </c>
      <c r="H1534">
        <f>"Medium"</f>
        <v/>
      </c>
      <c r="I1534">
        <f>TRIM(IF(LEN(IF(LEN(INDEX('Providers'!$L$4:$L$503,31))=0,"",INDEX('Providers'!$L$4:$L$503,31)))=0,"","Board / specialty: "&amp;IF(LEN(INDEX('Providers'!$L$4:$L$503,31))=0,"",INDEX('Providers'!$L$4:$L$503,31))&amp;". "))</f>
        <v/>
      </c>
      <c r="J1534">
        <f>IF(LEN(INDEX('Providers'!$AJ$4:$AJ$503,31))=0,"",INDEX('Providers'!$AJ$4:$AJ$503,31))</f>
        <v/>
      </c>
      <c r="K1534">
        <f>IF(LEN(INDEX('Providers'!$AI$4:$AI$503,31))=0,"",INDEX('Providers'!$AI$4:$AI$503,31))</f>
        <v/>
      </c>
    </row>
    <row r="1535">
      <c r="A1535">
        <f>IF(AND(LEN('Providers'!A35)&gt;0,ISNUMBER('Providers'!M35)),1,0)</f>
        <v/>
      </c>
      <c r="B1535">
        <f>B1534+A1535</f>
        <v/>
      </c>
      <c r="C1535">
        <f>IF(1532&gt;$B$4503,"",MATCH(1532-0.5,$B$3:$B$4503,1))</f>
        <v/>
      </c>
      <c r="D1535">
        <f>"Board certification – "&amp;IF(LEN(INDEX('Providers'!$A$4:$A$503,32))=0,"",INDEX('Providers'!$A$4:$A$503,32))</f>
        <v/>
      </c>
      <c r="E1535">
        <f>IF(ISNUMBER(INDEX('Providers'!$M$4:$M$503,32)),TEXT(INDEX('Providers'!$M$4:$M$503,32),"yyyy-mm-dd"),"")</f>
        <v/>
      </c>
      <c r="F1535">
        <f>"Certification"</f>
        <v/>
      </c>
      <c r="G1535">
        <f>""</f>
        <v/>
      </c>
      <c r="H1535">
        <f>"Medium"</f>
        <v/>
      </c>
      <c r="I1535">
        <f>TRIM(IF(LEN(IF(LEN(INDEX('Providers'!$L$4:$L$503,32))=0,"",INDEX('Providers'!$L$4:$L$503,32)))=0,"","Board / specialty: "&amp;IF(LEN(INDEX('Providers'!$L$4:$L$503,32))=0,"",INDEX('Providers'!$L$4:$L$503,32))&amp;". "))</f>
        <v/>
      </c>
      <c r="J1535">
        <f>IF(LEN(INDEX('Providers'!$AJ$4:$AJ$503,32))=0,"",INDEX('Providers'!$AJ$4:$AJ$503,32))</f>
        <v/>
      </c>
      <c r="K1535">
        <f>IF(LEN(INDEX('Providers'!$AI$4:$AI$503,32))=0,"",INDEX('Providers'!$AI$4:$AI$503,32))</f>
        <v/>
      </c>
    </row>
    <row r="1536">
      <c r="A1536">
        <f>IF(AND(LEN('Providers'!A36)&gt;0,ISNUMBER('Providers'!M36)),1,0)</f>
        <v/>
      </c>
      <c r="B1536">
        <f>B1535+A1536</f>
        <v/>
      </c>
      <c r="C1536">
        <f>IF(1533&gt;$B$4503,"",MATCH(1533-0.5,$B$3:$B$4503,1))</f>
        <v/>
      </c>
      <c r="D1536">
        <f>"Board certification – "&amp;IF(LEN(INDEX('Providers'!$A$4:$A$503,33))=0,"",INDEX('Providers'!$A$4:$A$503,33))</f>
        <v/>
      </c>
      <c r="E1536">
        <f>IF(ISNUMBER(INDEX('Providers'!$M$4:$M$503,33)),TEXT(INDEX('Providers'!$M$4:$M$503,33),"yyyy-mm-dd"),"")</f>
        <v/>
      </c>
      <c r="F1536">
        <f>"Certification"</f>
        <v/>
      </c>
      <c r="G1536">
        <f>""</f>
        <v/>
      </c>
      <c r="H1536">
        <f>"Medium"</f>
        <v/>
      </c>
      <c r="I1536">
        <f>TRIM(IF(LEN(IF(LEN(INDEX('Providers'!$L$4:$L$503,33))=0,"",INDEX('Providers'!$L$4:$L$503,33)))=0,"","Board / specialty: "&amp;IF(LEN(INDEX('Providers'!$L$4:$L$503,33))=0,"",INDEX('Providers'!$L$4:$L$503,33))&amp;". "))</f>
        <v/>
      </c>
      <c r="J1536">
        <f>IF(LEN(INDEX('Providers'!$AJ$4:$AJ$503,33))=0,"",INDEX('Providers'!$AJ$4:$AJ$503,33))</f>
        <v/>
      </c>
      <c r="K1536">
        <f>IF(LEN(INDEX('Providers'!$AI$4:$AI$503,33))=0,"",INDEX('Providers'!$AI$4:$AI$503,33))</f>
        <v/>
      </c>
    </row>
    <row r="1537">
      <c r="A1537">
        <f>IF(AND(LEN('Providers'!A37)&gt;0,ISNUMBER('Providers'!M37)),1,0)</f>
        <v/>
      </c>
      <c r="B1537">
        <f>B1536+A1537</f>
        <v/>
      </c>
      <c r="C1537">
        <f>IF(1534&gt;$B$4503,"",MATCH(1534-0.5,$B$3:$B$4503,1))</f>
        <v/>
      </c>
      <c r="D1537">
        <f>"Board certification – "&amp;IF(LEN(INDEX('Providers'!$A$4:$A$503,34))=0,"",INDEX('Providers'!$A$4:$A$503,34))</f>
        <v/>
      </c>
      <c r="E1537">
        <f>IF(ISNUMBER(INDEX('Providers'!$M$4:$M$503,34)),TEXT(INDEX('Providers'!$M$4:$M$503,34),"yyyy-mm-dd"),"")</f>
        <v/>
      </c>
      <c r="F1537">
        <f>"Certification"</f>
        <v/>
      </c>
      <c r="G1537">
        <f>""</f>
        <v/>
      </c>
      <c r="H1537">
        <f>"Medium"</f>
        <v/>
      </c>
      <c r="I1537">
        <f>TRIM(IF(LEN(IF(LEN(INDEX('Providers'!$L$4:$L$503,34))=0,"",INDEX('Providers'!$L$4:$L$503,34)))=0,"","Board / specialty: "&amp;IF(LEN(INDEX('Providers'!$L$4:$L$503,34))=0,"",INDEX('Providers'!$L$4:$L$503,34))&amp;". "))</f>
        <v/>
      </c>
      <c r="J1537">
        <f>IF(LEN(INDEX('Providers'!$AJ$4:$AJ$503,34))=0,"",INDEX('Providers'!$AJ$4:$AJ$503,34))</f>
        <v/>
      </c>
      <c r="K1537">
        <f>IF(LEN(INDEX('Providers'!$AI$4:$AI$503,34))=0,"",INDEX('Providers'!$AI$4:$AI$503,34))</f>
        <v/>
      </c>
    </row>
    <row r="1538">
      <c r="A1538">
        <f>IF(AND(LEN('Providers'!A38)&gt;0,ISNUMBER('Providers'!M38)),1,0)</f>
        <v/>
      </c>
      <c r="B1538">
        <f>B1537+A1538</f>
        <v/>
      </c>
      <c r="C1538">
        <f>IF(1535&gt;$B$4503,"",MATCH(1535-0.5,$B$3:$B$4503,1))</f>
        <v/>
      </c>
      <c r="D1538">
        <f>"Board certification – "&amp;IF(LEN(INDEX('Providers'!$A$4:$A$503,35))=0,"",INDEX('Providers'!$A$4:$A$503,35))</f>
        <v/>
      </c>
      <c r="E1538">
        <f>IF(ISNUMBER(INDEX('Providers'!$M$4:$M$503,35)),TEXT(INDEX('Providers'!$M$4:$M$503,35),"yyyy-mm-dd"),"")</f>
        <v/>
      </c>
      <c r="F1538">
        <f>"Certification"</f>
        <v/>
      </c>
      <c r="G1538">
        <f>""</f>
        <v/>
      </c>
      <c r="H1538">
        <f>"Medium"</f>
        <v/>
      </c>
      <c r="I1538">
        <f>TRIM(IF(LEN(IF(LEN(INDEX('Providers'!$L$4:$L$503,35))=0,"",INDEX('Providers'!$L$4:$L$503,35)))=0,"","Board / specialty: "&amp;IF(LEN(INDEX('Providers'!$L$4:$L$503,35))=0,"",INDEX('Providers'!$L$4:$L$503,35))&amp;". "))</f>
        <v/>
      </c>
      <c r="J1538">
        <f>IF(LEN(INDEX('Providers'!$AJ$4:$AJ$503,35))=0,"",INDEX('Providers'!$AJ$4:$AJ$503,35))</f>
        <v/>
      </c>
      <c r="K1538">
        <f>IF(LEN(INDEX('Providers'!$AI$4:$AI$503,35))=0,"",INDEX('Providers'!$AI$4:$AI$503,35))</f>
        <v/>
      </c>
    </row>
    <row r="1539">
      <c r="A1539">
        <f>IF(AND(LEN('Providers'!A39)&gt;0,ISNUMBER('Providers'!M39)),1,0)</f>
        <v/>
      </c>
      <c r="B1539">
        <f>B1538+A1539</f>
        <v/>
      </c>
      <c r="C1539">
        <f>IF(1536&gt;$B$4503,"",MATCH(1536-0.5,$B$3:$B$4503,1))</f>
        <v/>
      </c>
      <c r="D1539">
        <f>"Board certification – "&amp;IF(LEN(INDEX('Providers'!$A$4:$A$503,36))=0,"",INDEX('Providers'!$A$4:$A$503,36))</f>
        <v/>
      </c>
      <c r="E1539">
        <f>IF(ISNUMBER(INDEX('Providers'!$M$4:$M$503,36)),TEXT(INDEX('Providers'!$M$4:$M$503,36),"yyyy-mm-dd"),"")</f>
        <v/>
      </c>
      <c r="F1539">
        <f>"Certification"</f>
        <v/>
      </c>
      <c r="G1539">
        <f>""</f>
        <v/>
      </c>
      <c r="H1539">
        <f>"Medium"</f>
        <v/>
      </c>
      <c r="I1539">
        <f>TRIM(IF(LEN(IF(LEN(INDEX('Providers'!$L$4:$L$503,36))=0,"",INDEX('Providers'!$L$4:$L$503,36)))=0,"","Board / specialty: "&amp;IF(LEN(INDEX('Providers'!$L$4:$L$503,36))=0,"",INDEX('Providers'!$L$4:$L$503,36))&amp;". "))</f>
        <v/>
      </c>
      <c r="J1539">
        <f>IF(LEN(INDEX('Providers'!$AJ$4:$AJ$503,36))=0,"",INDEX('Providers'!$AJ$4:$AJ$503,36))</f>
        <v/>
      </c>
      <c r="K1539">
        <f>IF(LEN(INDEX('Providers'!$AI$4:$AI$503,36))=0,"",INDEX('Providers'!$AI$4:$AI$503,36))</f>
        <v/>
      </c>
    </row>
    <row r="1540">
      <c r="A1540">
        <f>IF(AND(LEN('Providers'!A40)&gt;0,ISNUMBER('Providers'!M40)),1,0)</f>
        <v/>
      </c>
      <c r="B1540">
        <f>B1539+A1540</f>
        <v/>
      </c>
      <c r="C1540">
        <f>IF(1537&gt;$B$4503,"",MATCH(1537-0.5,$B$3:$B$4503,1))</f>
        <v/>
      </c>
      <c r="D1540">
        <f>"Board certification – "&amp;IF(LEN(INDEX('Providers'!$A$4:$A$503,37))=0,"",INDEX('Providers'!$A$4:$A$503,37))</f>
        <v/>
      </c>
      <c r="E1540">
        <f>IF(ISNUMBER(INDEX('Providers'!$M$4:$M$503,37)),TEXT(INDEX('Providers'!$M$4:$M$503,37),"yyyy-mm-dd"),"")</f>
        <v/>
      </c>
      <c r="F1540">
        <f>"Certification"</f>
        <v/>
      </c>
      <c r="G1540">
        <f>""</f>
        <v/>
      </c>
      <c r="H1540">
        <f>"Medium"</f>
        <v/>
      </c>
      <c r="I1540">
        <f>TRIM(IF(LEN(IF(LEN(INDEX('Providers'!$L$4:$L$503,37))=0,"",INDEX('Providers'!$L$4:$L$503,37)))=0,"","Board / specialty: "&amp;IF(LEN(INDEX('Providers'!$L$4:$L$503,37))=0,"",INDEX('Providers'!$L$4:$L$503,37))&amp;". "))</f>
        <v/>
      </c>
      <c r="J1540">
        <f>IF(LEN(INDEX('Providers'!$AJ$4:$AJ$503,37))=0,"",INDEX('Providers'!$AJ$4:$AJ$503,37))</f>
        <v/>
      </c>
      <c r="K1540">
        <f>IF(LEN(INDEX('Providers'!$AI$4:$AI$503,37))=0,"",INDEX('Providers'!$AI$4:$AI$503,37))</f>
        <v/>
      </c>
    </row>
    <row r="1541">
      <c r="A1541">
        <f>IF(AND(LEN('Providers'!A41)&gt;0,ISNUMBER('Providers'!M41)),1,0)</f>
        <v/>
      </c>
      <c r="B1541">
        <f>B1540+A1541</f>
        <v/>
      </c>
      <c r="C1541">
        <f>IF(1538&gt;$B$4503,"",MATCH(1538-0.5,$B$3:$B$4503,1))</f>
        <v/>
      </c>
      <c r="D1541">
        <f>"Board certification – "&amp;IF(LEN(INDEX('Providers'!$A$4:$A$503,38))=0,"",INDEX('Providers'!$A$4:$A$503,38))</f>
        <v/>
      </c>
      <c r="E1541">
        <f>IF(ISNUMBER(INDEX('Providers'!$M$4:$M$503,38)),TEXT(INDEX('Providers'!$M$4:$M$503,38),"yyyy-mm-dd"),"")</f>
        <v/>
      </c>
      <c r="F1541">
        <f>"Certification"</f>
        <v/>
      </c>
      <c r="G1541">
        <f>""</f>
        <v/>
      </c>
      <c r="H1541">
        <f>"Medium"</f>
        <v/>
      </c>
      <c r="I1541">
        <f>TRIM(IF(LEN(IF(LEN(INDEX('Providers'!$L$4:$L$503,38))=0,"",INDEX('Providers'!$L$4:$L$503,38)))=0,"","Board / specialty: "&amp;IF(LEN(INDEX('Providers'!$L$4:$L$503,38))=0,"",INDEX('Providers'!$L$4:$L$503,38))&amp;". "))</f>
        <v/>
      </c>
      <c r="J1541">
        <f>IF(LEN(INDEX('Providers'!$AJ$4:$AJ$503,38))=0,"",INDEX('Providers'!$AJ$4:$AJ$503,38))</f>
        <v/>
      </c>
      <c r="K1541">
        <f>IF(LEN(INDEX('Providers'!$AI$4:$AI$503,38))=0,"",INDEX('Providers'!$AI$4:$AI$503,38))</f>
        <v/>
      </c>
    </row>
    <row r="1542">
      <c r="A1542">
        <f>IF(AND(LEN('Providers'!A42)&gt;0,ISNUMBER('Providers'!M42)),1,0)</f>
        <v/>
      </c>
      <c r="B1542">
        <f>B1541+A1542</f>
        <v/>
      </c>
      <c r="C1542">
        <f>IF(1539&gt;$B$4503,"",MATCH(1539-0.5,$B$3:$B$4503,1))</f>
        <v/>
      </c>
      <c r="D1542">
        <f>"Board certification – "&amp;IF(LEN(INDEX('Providers'!$A$4:$A$503,39))=0,"",INDEX('Providers'!$A$4:$A$503,39))</f>
        <v/>
      </c>
      <c r="E1542">
        <f>IF(ISNUMBER(INDEX('Providers'!$M$4:$M$503,39)),TEXT(INDEX('Providers'!$M$4:$M$503,39),"yyyy-mm-dd"),"")</f>
        <v/>
      </c>
      <c r="F1542">
        <f>"Certification"</f>
        <v/>
      </c>
      <c r="G1542">
        <f>""</f>
        <v/>
      </c>
      <c r="H1542">
        <f>"Medium"</f>
        <v/>
      </c>
      <c r="I1542">
        <f>TRIM(IF(LEN(IF(LEN(INDEX('Providers'!$L$4:$L$503,39))=0,"",INDEX('Providers'!$L$4:$L$503,39)))=0,"","Board / specialty: "&amp;IF(LEN(INDEX('Providers'!$L$4:$L$503,39))=0,"",INDEX('Providers'!$L$4:$L$503,39))&amp;". "))</f>
        <v/>
      </c>
      <c r="J1542">
        <f>IF(LEN(INDEX('Providers'!$AJ$4:$AJ$503,39))=0,"",INDEX('Providers'!$AJ$4:$AJ$503,39))</f>
        <v/>
      </c>
      <c r="K1542">
        <f>IF(LEN(INDEX('Providers'!$AI$4:$AI$503,39))=0,"",INDEX('Providers'!$AI$4:$AI$503,39))</f>
        <v/>
      </c>
    </row>
    <row r="1543">
      <c r="A1543">
        <f>IF(AND(LEN('Providers'!A43)&gt;0,ISNUMBER('Providers'!M43)),1,0)</f>
        <v/>
      </c>
      <c r="B1543">
        <f>B1542+A1543</f>
        <v/>
      </c>
      <c r="C1543">
        <f>IF(1540&gt;$B$4503,"",MATCH(1540-0.5,$B$3:$B$4503,1))</f>
        <v/>
      </c>
      <c r="D1543">
        <f>"Board certification – "&amp;IF(LEN(INDEX('Providers'!$A$4:$A$503,40))=0,"",INDEX('Providers'!$A$4:$A$503,40))</f>
        <v/>
      </c>
      <c r="E1543">
        <f>IF(ISNUMBER(INDEX('Providers'!$M$4:$M$503,40)),TEXT(INDEX('Providers'!$M$4:$M$503,40),"yyyy-mm-dd"),"")</f>
        <v/>
      </c>
      <c r="F1543">
        <f>"Certification"</f>
        <v/>
      </c>
      <c r="G1543">
        <f>""</f>
        <v/>
      </c>
      <c r="H1543">
        <f>"Medium"</f>
        <v/>
      </c>
      <c r="I1543">
        <f>TRIM(IF(LEN(IF(LEN(INDEX('Providers'!$L$4:$L$503,40))=0,"",INDEX('Providers'!$L$4:$L$503,40)))=0,"","Board / specialty: "&amp;IF(LEN(INDEX('Providers'!$L$4:$L$503,40))=0,"",INDEX('Providers'!$L$4:$L$503,40))&amp;". "))</f>
        <v/>
      </c>
      <c r="J1543">
        <f>IF(LEN(INDEX('Providers'!$AJ$4:$AJ$503,40))=0,"",INDEX('Providers'!$AJ$4:$AJ$503,40))</f>
        <v/>
      </c>
      <c r="K1543">
        <f>IF(LEN(INDEX('Providers'!$AI$4:$AI$503,40))=0,"",INDEX('Providers'!$AI$4:$AI$503,40))</f>
        <v/>
      </c>
    </row>
    <row r="1544">
      <c r="A1544">
        <f>IF(AND(LEN('Providers'!A44)&gt;0,ISNUMBER('Providers'!M44)),1,0)</f>
        <v/>
      </c>
      <c r="B1544">
        <f>B1543+A1544</f>
        <v/>
      </c>
      <c r="C1544">
        <f>IF(1541&gt;$B$4503,"",MATCH(1541-0.5,$B$3:$B$4503,1))</f>
        <v/>
      </c>
      <c r="D1544">
        <f>"Board certification – "&amp;IF(LEN(INDEX('Providers'!$A$4:$A$503,41))=0,"",INDEX('Providers'!$A$4:$A$503,41))</f>
        <v/>
      </c>
      <c r="E1544">
        <f>IF(ISNUMBER(INDEX('Providers'!$M$4:$M$503,41)),TEXT(INDEX('Providers'!$M$4:$M$503,41),"yyyy-mm-dd"),"")</f>
        <v/>
      </c>
      <c r="F1544">
        <f>"Certification"</f>
        <v/>
      </c>
      <c r="G1544">
        <f>""</f>
        <v/>
      </c>
      <c r="H1544">
        <f>"Medium"</f>
        <v/>
      </c>
      <c r="I1544">
        <f>TRIM(IF(LEN(IF(LEN(INDEX('Providers'!$L$4:$L$503,41))=0,"",INDEX('Providers'!$L$4:$L$503,41)))=0,"","Board / specialty: "&amp;IF(LEN(INDEX('Providers'!$L$4:$L$503,41))=0,"",INDEX('Providers'!$L$4:$L$503,41))&amp;". "))</f>
        <v/>
      </c>
      <c r="J1544">
        <f>IF(LEN(INDEX('Providers'!$AJ$4:$AJ$503,41))=0,"",INDEX('Providers'!$AJ$4:$AJ$503,41))</f>
        <v/>
      </c>
      <c r="K1544">
        <f>IF(LEN(INDEX('Providers'!$AI$4:$AI$503,41))=0,"",INDEX('Providers'!$AI$4:$AI$503,41))</f>
        <v/>
      </c>
    </row>
    <row r="1545">
      <c r="A1545">
        <f>IF(AND(LEN('Providers'!A45)&gt;0,ISNUMBER('Providers'!M45)),1,0)</f>
        <v/>
      </c>
      <c r="B1545">
        <f>B1544+A1545</f>
        <v/>
      </c>
      <c r="C1545">
        <f>IF(1542&gt;$B$4503,"",MATCH(1542-0.5,$B$3:$B$4503,1))</f>
        <v/>
      </c>
      <c r="D1545">
        <f>"Board certification – "&amp;IF(LEN(INDEX('Providers'!$A$4:$A$503,42))=0,"",INDEX('Providers'!$A$4:$A$503,42))</f>
        <v/>
      </c>
      <c r="E1545">
        <f>IF(ISNUMBER(INDEX('Providers'!$M$4:$M$503,42)),TEXT(INDEX('Providers'!$M$4:$M$503,42),"yyyy-mm-dd"),"")</f>
        <v/>
      </c>
      <c r="F1545">
        <f>"Certification"</f>
        <v/>
      </c>
      <c r="G1545">
        <f>""</f>
        <v/>
      </c>
      <c r="H1545">
        <f>"Medium"</f>
        <v/>
      </c>
      <c r="I1545">
        <f>TRIM(IF(LEN(IF(LEN(INDEX('Providers'!$L$4:$L$503,42))=0,"",INDEX('Providers'!$L$4:$L$503,42)))=0,"","Board / specialty: "&amp;IF(LEN(INDEX('Providers'!$L$4:$L$503,42))=0,"",INDEX('Providers'!$L$4:$L$503,42))&amp;". "))</f>
        <v/>
      </c>
      <c r="J1545">
        <f>IF(LEN(INDEX('Providers'!$AJ$4:$AJ$503,42))=0,"",INDEX('Providers'!$AJ$4:$AJ$503,42))</f>
        <v/>
      </c>
      <c r="K1545">
        <f>IF(LEN(INDEX('Providers'!$AI$4:$AI$503,42))=0,"",INDEX('Providers'!$AI$4:$AI$503,42))</f>
        <v/>
      </c>
    </row>
    <row r="1546">
      <c r="A1546">
        <f>IF(AND(LEN('Providers'!A46)&gt;0,ISNUMBER('Providers'!M46)),1,0)</f>
        <v/>
      </c>
      <c r="B1546">
        <f>B1545+A1546</f>
        <v/>
      </c>
      <c r="C1546">
        <f>IF(1543&gt;$B$4503,"",MATCH(1543-0.5,$B$3:$B$4503,1))</f>
        <v/>
      </c>
      <c r="D1546">
        <f>"Board certification – "&amp;IF(LEN(INDEX('Providers'!$A$4:$A$503,43))=0,"",INDEX('Providers'!$A$4:$A$503,43))</f>
        <v/>
      </c>
      <c r="E1546">
        <f>IF(ISNUMBER(INDEX('Providers'!$M$4:$M$503,43)),TEXT(INDEX('Providers'!$M$4:$M$503,43),"yyyy-mm-dd"),"")</f>
        <v/>
      </c>
      <c r="F1546">
        <f>"Certification"</f>
        <v/>
      </c>
      <c r="G1546">
        <f>""</f>
        <v/>
      </c>
      <c r="H1546">
        <f>"Medium"</f>
        <v/>
      </c>
      <c r="I1546">
        <f>TRIM(IF(LEN(IF(LEN(INDEX('Providers'!$L$4:$L$503,43))=0,"",INDEX('Providers'!$L$4:$L$503,43)))=0,"","Board / specialty: "&amp;IF(LEN(INDEX('Providers'!$L$4:$L$503,43))=0,"",INDEX('Providers'!$L$4:$L$503,43))&amp;". "))</f>
        <v/>
      </c>
      <c r="J1546">
        <f>IF(LEN(INDEX('Providers'!$AJ$4:$AJ$503,43))=0,"",INDEX('Providers'!$AJ$4:$AJ$503,43))</f>
        <v/>
      </c>
      <c r="K1546">
        <f>IF(LEN(INDEX('Providers'!$AI$4:$AI$503,43))=0,"",INDEX('Providers'!$AI$4:$AI$503,43))</f>
        <v/>
      </c>
    </row>
    <row r="1547">
      <c r="A1547">
        <f>IF(AND(LEN('Providers'!A47)&gt;0,ISNUMBER('Providers'!M47)),1,0)</f>
        <v/>
      </c>
      <c r="B1547">
        <f>B1546+A1547</f>
        <v/>
      </c>
      <c r="C1547">
        <f>IF(1544&gt;$B$4503,"",MATCH(1544-0.5,$B$3:$B$4503,1))</f>
        <v/>
      </c>
      <c r="D1547">
        <f>"Board certification – "&amp;IF(LEN(INDEX('Providers'!$A$4:$A$503,44))=0,"",INDEX('Providers'!$A$4:$A$503,44))</f>
        <v/>
      </c>
      <c r="E1547">
        <f>IF(ISNUMBER(INDEX('Providers'!$M$4:$M$503,44)),TEXT(INDEX('Providers'!$M$4:$M$503,44),"yyyy-mm-dd"),"")</f>
        <v/>
      </c>
      <c r="F1547">
        <f>"Certification"</f>
        <v/>
      </c>
      <c r="G1547">
        <f>""</f>
        <v/>
      </c>
      <c r="H1547">
        <f>"Medium"</f>
        <v/>
      </c>
      <c r="I1547">
        <f>TRIM(IF(LEN(IF(LEN(INDEX('Providers'!$L$4:$L$503,44))=0,"",INDEX('Providers'!$L$4:$L$503,44)))=0,"","Board / specialty: "&amp;IF(LEN(INDEX('Providers'!$L$4:$L$503,44))=0,"",INDEX('Providers'!$L$4:$L$503,44))&amp;". "))</f>
        <v/>
      </c>
      <c r="J1547">
        <f>IF(LEN(INDEX('Providers'!$AJ$4:$AJ$503,44))=0,"",INDEX('Providers'!$AJ$4:$AJ$503,44))</f>
        <v/>
      </c>
      <c r="K1547">
        <f>IF(LEN(INDEX('Providers'!$AI$4:$AI$503,44))=0,"",INDEX('Providers'!$AI$4:$AI$503,44))</f>
        <v/>
      </c>
    </row>
    <row r="1548">
      <c r="A1548">
        <f>IF(AND(LEN('Providers'!A48)&gt;0,ISNUMBER('Providers'!M48)),1,0)</f>
        <v/>
      </c>
      <c r="B1548">
        <f>B1547+A1548</f>
        <v/>
      </c>
      <c r="C1548">
        <f>IF(1545&gt;$B$4503,"",MATCH(1545-0.5,$B$3:$B$4503,1))</f>
        <v/>
      </c>
      <c r="D1548">
        <f>"Board certification – "&amp;IF(LEN(INDEX('Providers'!$A$4:$A$503,45))=0,"",INDEX('Providers'!$A$4:$A$503,45))</f>
        <v/>
      </c>
      <c r="E1548">
        <f>IF(ISNUMBER(INDEX('Providers'!$M$4:$M$503,45)),TEXT(INDEX('Providers'!$M$4:$M$503,45),"yyyy-mm-dd"),"")</f>
        <v/>
      </c>
      <c r="F1548">
        <f>"Certification"</f>
        <v/>
      </c>
      <c r="G1548">
        <f>""</f>
        <v/>
      </c>
      <c r="H1548">
        <f>"Medium"</f>
        <v/>
      </c>
      <c r="I1548">
        <f>TRIM(IF(LEN(IF(LEN(INDEX('Providers'!$L$4:$L$503,45))=0,"",INDEX('Providers'!$L$4:$L$503,45)))=0,"","Board / specialty: "&amp;IF(LEN(INDEX('Providers'!$L$4:$L$503,45))=0,"",INDEX('Providers'!$L$4:$L$503,45))&amp;". "))</f>
        <v/>
      </c>
      <c r="J1548">
        <f>IF(LEN(INDEX('Providers'!$AJ$4:$AJ$503,45))=0,"",INDEX('Providers'!$AJ$4:$AJ$503,45))</f>
        <v/>
      </c>
      <c r="K1548">
        <f>IF(LEN(INDEX('Providers'!$AI$4:$AI$503,45))=0,"",INDEX('Providers'!$AI$4:$AI$503,45))</f>
        <v/>
      </c>
    </row>
    <row r="1549">
      <c r="A1549">
        <f>IF(AND(LEN('Providers'!A49)&gt;0,ISNUMBER('Providers'!M49)),1,0)</f>
        <v/>
      </c>
      <c r="B1549">
        <f>B1548+A1549</f>
        <v/>
      </c>
      <c r="C1549">
        <f>IF(1546&gt;$B$4503,"",MATCH(1546-0.5,$B$3:$B$4503,1))</f>
        <v/>
      </c>
      <c r="D1549">
        <f>"Board certification – "&amp;IF(LEN(INDEX('Providers'!$A$4:$A$503,46))=0,"",INDEX('Providers'!$A$4:$A$503,46))</f>
        <v/>
      </c>
      <c r="E1549">
        <f>IF(ISNUMBER(INDEX('Providers'!$M$4:$M$503,46)),TEXT(INDEX('Providers'!$M$4:$M$503,46),"yyyy-mm-dd"),"")</f>
        <v/>
      </c>
      <c r="F1549">
        <f>"Certification"</f>
        <v/>
      </c>
      <c r="G1549">
        <f>""</f>
        <v/>
      </c>
      <c r="H1549">
        <f>"Medium"</f>
        <v/>
      </c>
      <c r="I1549">
        <f>TRIM(IF(LEN(IF(LEN(INDEX('Providers'!$L$4:$L$503,46))=0,"",INDEX('Providers'!$L$4:$L$503,46)))=0,"","Board / specialty: "&amp;IF(LEN(INDEX('Providers'!$L$4:$L$503,46))=0,"",INDEX('Providers'!$L$4:$L$503,46))&amp;". "))</f>
        <v/>
      </c>
      <c r="J1549">
        <f>IF(LEN(INDEX('Providers'!$AJ$4:$AJ$503,46))=0,"",INDEX('Providers'!$AJ$4:$AJ$503,46))</f>
        <v/>
      </c>
      <c r="K1549">
        <f>IF(LEN(INDEX('Providers'!$AI$4:$AI$503,46))=0,"",INDEX('Providers'!$AI$4:$AI$503,46))</f>
        <v/>
      </c>
    </row>
    <row r="1550">
      <c r="A1550">
        <f>IF(AND(LEN('Providers'!A50)&gt;0,ISNUMBER('Providers'!M50)),1,0)</f>
        <v/>
      </c>
      <c r="B1550">
        <f>B1549+A1550</f>
        <v/>
      </c>
      <c r="C1550">
        <f>IF(1547&gt;$B$4503,"",MATCH(1547-0.5,$B$3:$B$4503,1))</f>
        <v/>
      </c>
      <c r="D1550">
        <f>"Board certification – "&amp;IF(LEN(INDEX('Providers'!$A$4:$A$503,47))=0,"",INDEX('Providers'!$A$4:$A$503,47))</f>
        <v/>
      </c>
      <c r="E1550">
        <f>IF(ISNUMBER(INDEX('Providers'!$M$4:$M$503,47)),TEXT(INDEX('Providers'!$M$4:$M$503,47),"yyyy-mm-dd"),"")</f>
        <v/>
      </c>
      <c r="F1550">
        <f>"Certification"</f>
        <v/>
      </c>
      <c r="G1550">
        <f>""</f>
        <v/>
      </c>
      <c r="H1550">
        <f>"Medium"</f>
        <v/>
      </c>
      <c r="I1550">
        <f>TRIM(IF(LEN(IF(LEN(INDEX('Providers'!$L$4:$L$503,47))=0,"",INDEX('Providers'!$L$4:$L$503,47)))=0,"","Board / specialty: "&amp;IF(LEN(INDEX('Providers'!$L$4:$L$503,47))=0,"",INDEX('Providers'!$L$4:$L$503,47))&amp;". "))</f>
        <v/>
      </c>
      <c r="J1550">
        <f>IF(LEN(INDEX('Providers'!$AJ$4:$AJ$503,47))=0,"",INDEX('Providers'!$AJ$4:$AJ$503,47))</f>
        <v/>
      </c>
      <c r="K1550">
        <f>IF(LEN(INDEX('Providers'!$AI$4:$AI$503,47))=0,"",INDEX('Providers'!$AI$4:$AI$503,47))</f>
        <v/>
      </c>
    </row>
    <row r="1551">
      <c r="A1551">
        <f>IF(AND(LEN('Providers'!A51)&gt;0,ISNUMBER('Providers'!M51)),1,0)</f>
        <v/>
      </c>
      <c r="B1551">
        <f>B1550+A1551</f>
        <v/>
      </c>
      <c r="C1551">
        <f>IF(1548&gt;$B$4503,"",MATCH(1548-0.5,$B$3:$B$4503,1))</f>
        <v/>
      </c>
      <c r="D1551">
        <f>"Board certification – "&amp;IF(LEN(INDEX('Providers'!$A$4:$A$503,48))=0,"",INDEX('Providers'!$A$4:$A$503,48))</f>
        <v/>
      </c>
      <c r="E1551">
        <f>IF(ISNUMBER(INDEX('Providers'!$M$4:$M$503,48)),TEXT(INDEX('Providers'!$M$4:$M$503,48),"yyyy-mm-dd"),"")</f>
        <v/>
      </c>
      <c r="F1551">
        <f>"Certification"</f>
        <v/>
      </c>
      <c r="G1551">
        <f>""</f>
        <v/>
      </c>
      <c r="H1551">
        <f>"Medium"</f>
        <v/>
      </c>
      <c r="I1551">
        <f>TRIM(IF(LEN(IF(LEN(INDEX('Providers'!$L$4:$L$503,48))=0,"",INDEX('Providers'!$L$4:$L$503,48)))=0,"","Board / specialty: "&amp;IF(LEN(INDEX('Providers'!$L$4:$L$503,48))=0,"",INDEX('Providers'!$L$4:$L$503,48))&amp;". "))</f>
        <v/>
      </c>
      <c r="J1551">
        <f>IF(LEN(INDEX('Providers'!$AJ$4:$AJ$503,48))=0,"",INDEX('Providers'!$AJ$4:$AJ$503,48))</f>
        <v/>
      </c>
      <c r="K1551">
        <f>IF(LEN(INDEX('Providers'!$AI$4:$AI$503,48))=0,"",INDEX('Providers'!$AI$4:$AI$503,48))</f>
        <v/>
      </c>
    </row>
    <row r="1552">
      <c r="A1552">
        <f>IF(AND(LEN('Providers'!A52)&gt;0,ISNUMBER('Providers'!M52)),1,0)</f>
        <v/>
      </c>
      <c r="B1552">
        <f>B1551+A1552</f>
        <v/>
      </c>
      <c r="C1552">
        <f>IF(1549&gt;$B$4503,"",MATCH(1549-0.5,$B$3:$B$4503,1))</f>
        <v/>
      </c>
      <c r="D1552">
        <f>"Board certification – "&amp;IF(LEN(INDEX('Providers'!$A$4:$A$503,49))=0,"",INDEX('Providers'!$A$4:$A$503,49))</f>
        <v/>
      </c>
      <c r="E1552">
        <f>IF(ISNUMBER(INDEX('Providers'!$M$4:$M$503,49)),TEXT(INDEX('Providers'!$M$4:$M$503,49),"yyyy-mm-dd"),"")</f>
        <v/>
      </c>
      <c r="F1552">
        <f>"Certification"</f>
        <v/>
      </c>
      <c r="G1552">
        <f>""</f>
        <v/>
      </c>
      <c r="H1552">
        <f>"Medium"</f>
        <v/>
      </c>
      <c r="I1552">
        <f>TRIM(IF(LEN(IF(LEN(INDEX('Providers'!$L$4:$L$503,49))=0,"",INDEX('Providers'!$L$4:$L$503,49)))=0,"","Board / specialty: "&amp;IF(LEN(INDEX('Providers'!$L$4:$L$503,49))=0,"",INDEX('Providers'!$L$4:$L$503,49))&amp;". "))</f>
        <v/>
      </c>
      <c r="J1552">
        <f>IF(LEN(INDEX('Providers'!$AJ$4:$AJ$503,49))=0,"",INDEX('Providers'!$AJ$4:$AJ$503,49))</f>
        <v/>
      </c>
      <c r="K1552">
        <f>IF(LEN(INDEX('Providers'!$AI$4:$AI$503,49))=0,"",INDEX('Providers'!$AI$4:$AI$503,49))</f>
        <v/>
      </c>
    </row>
    <row r="1553">
      <c r="A1553">
        <f>IF(AND(LEN('Providers'!A53)&gt;0,ISNUMBER('Providers'!M53)),1,0)</f>
        <v/>
      </c>
      <c r="B1553">
        <f>B1552+A1553</f>
        <v/>
      </c>
      <c r="C1553">
        <f>IF(1550&gt;$B$4503,"",MATCH(1550-0.5,$B$3:$B$4503,1))</f>
        <v/>
      </c>
      <c r="D1553">
        <f>"Board certification – "&amp;IF(LEN(INDEX('Providers'!$A$4:$A$503,50))=0,"",INDEX('Providers'!$A$4:$A$503,50))</f>
        <v/>
      </c>
      <c r="E1553">
        <f>IF(ISNUMBER(INDEX('Providers'!$M$4:$M$503,50)),TEXT(INDEX('Providers'!$M$4:$M$503,50),"yyyy-mm-dd"),"")</f>
        <v/>
      </c>
      <c r="F1553">
        <f>"Certification"</f>
        <v/>
      </c>
      <c r="G1553">
        <f>""</f>
        <v/>
      </c>
      <c r="H1553">
        <f>"Medium"</f>
        <v/>
      </c>
      <c r="I1553">
        <f>TRIM(IF(LEN(IF(LEN(INDEX('Providers'!$L$4:$L$503,50))=0,"",INDEX('Providers'!$L$4:$L$503,50)))=0,"","Board / specialty: "&amp;IF(LEN(INDEX('Providers'!$L$4:$L$503,50))=0,"",INDEX('Providers'!$L$4:$L$503,50))&amp;". "))</f>
        <v/>
      </c>
      <c r="J1553">
        <f>IF(LEN(INDEX('Providers'!$AJ$4:$AJ$503,50))=0,"",INDEX('Providers'!$AJ$4:$AJ$503,50))</f>
        <v/>
      </c>
      <c r="K1553">
        <f>IF(LEN(INDEX('Providers'!$AI$4:$AI$503,50))=0,"",INDEX('Providers'!$AI$4:$AI$503,50))</f>
        <v/>
      </c>
    </row>
    <row r="1554">
      <c r="A1554">
        <f>IF(AND(LEN('Providers'!A54)&gt;0,ISNUMBER('Providers'!M54)),1,0)</f>
        <v/>
      </c>
      <c r="B1554">
        <f>B1553+A1554</f>
        <v/>
      </c>
      <c r="C1554">
        <f>IF(1551&gt;$B$4503,"",MATCH(1551-0.5,$B$3:$B$4503,1))</f>
        <v/>
      </c>
      <c r="D1554">
        <f>"Board certification – "&amp;IF(LEN(INDEX('Providers'!$A$4:$A$503,51))=0,"",INDEX('Providers'!$A$4:$A$503,51))</f>
        <v/>
      </c>
      <c r="E1554">
        <f>IF(ISNUMBER(INDEX('Providers'!$M$4:$M$503,51)),TEXT(INDEX('Providers'!$M$4:$M$503,51),"yyyy-mm-dd"),"")</f>
        <v/>
      </c>
      <c r="F1554">
        <f>"Certification"</f>
        <v/>
      </c>
      <c r="G1554">
        <f>""</f>
        <v/>
      </c>
      <c r="H1554">
        <f>"Medium"</f>
        <v/>
      </c>
      <c r="I1554">
        <f>TRIM(IF(LEN(IF(LEN(INDEX('Providers'!$L$4:$L$503,51))=0,"",INDEX('Providers'!$L$4:$L$503,51)))=0,"","Board / specialty: "&amp;IF(LEN(INDEX('Providers'!$L$4:$L$503,51))=0,"",INDEX('Providers'!$L$4:$L$503,51))&amp;". "))</f>
        <v/>
      </c>
      <c r="J1554">
        <f>IF(LEN(INDEX('Providers'!$AJ$4:$AJ$503,51))=0,"",INDEX('Providers'!$AJ$4:$AJ$503,51))</f>
        <v/>
      </c>
      <c r="K1554">
        <f>IF(LEN(INDEX('Providers'!$AI$4:$AI$503,51))=0,"",INDEX('Providers'!$AI$4:$AI$503,51))</f>
        <v/>
      </c>
    </row>
    <row r="1555">
      <c r="A1555">
        <f>IF(AND(LEN('Providers'!A55)&gt;0,ISNUMBER('Providers'!M55)),1,0)</f>
        <v/>
      </c>
      <c r="B1555">
        <f>B1554+A1555</f>
        <v/>
      </c>
      <c r="C1555">
        <f>IF(1552&gt;$B$4503,"",MATCH(1552-0.5,$B$3:$B$4503,1))</f>
        <v/>
      </c>
      <c r="D1555">
        <f>"Board certification – "&amp;IF(LEN(INDEX('Providers'!$A$4:$A$503,52))=0,"",INDEX('Providers'!$A$4:$A$503,52))</f>
        <v/>
      </c>
      <c r="E1555">
        <f>IF(ISNUMBER(INDEX('Providers'!$M$4:$M$503,52)),TEXT(INDEX('Providers'!$M$4:$M$503,52),"yyyy-mm-dd"),"")</f>
        <v/>
      </c>
      <c r="F1555">
        <f>"Certification"</f>
        <v/>
      </c>
      <c r="G1555">
        <f>""</f>
        <v/>
      </c>
      <c r="H1555">
        <f>"Medium"</f>
        <v/>
      </c>
      <c r="I1555">
        <f>TRIM(IF(LEN(IF(LEN(INDEX('Providers'!$L$4:$L$503,52))=0,"",INDEX('Providers'!$L$4:$L$503,52)))=0,"","Board / specialty: "&amp;IF(LEN(INDEX('Providers'!$L$4:$L$503,52))=0,"",INDEX('Providers'!$L$4:$L$503,52))&amp;". "))</f>
        <v/>
      </c>
      <c r="J1555">
        <f>IF(LEN(INDEX('Providers'!$AJ$4:$AJ$503,52))=0,"",INDEX('Providers'!$AJ$4:$AJ$503,52))</f>
        <v/>
      </c>
      <c r="K1555">
        <f>IF(LEN(INDEX('Providers'!$AI$4:$AI$503,52))=0,"",INDEX('Providers'!$AI$4:$AI$503,52))</f>
        <v/>
      </c>
    </row>
    <row r="1556">
      <c r="A1556">
        <f>IF(AND(LEN('Providers'!A56)&gt;0,ISNUMBER('Providers'!M56)),1,0)</f>
        <v/>
      </c>
      <c r="B1556">
        <f>B1555+A1556</f>
        <v/>
      </c>
      <c r="C1556">
        <f>IF(1553&gt;$B$4503,"",MATCH(1553-0.5,$B$3:$B$4503,1))</f>
        <v/>
      </c>
      <c r="D1556">
        <f>"Board certification – "&amp;IF(LEN(INDEX('Providers'!$A$4:$A$503,53))=0,"",INDEX('Providers'!$A$4:$A$503,53))</f>
        <v/>
      </c>
      <c r="E1556">
        <f>IF(ISNUMBER(INDEX('Providers'!$M$4:$M$503,53)),TEXT(INDEX('Providers'!$M$4:$M$503,53),"yyyy-mm-dd"),"")</f>
        <v/>
      </c>
      <c r="F1556">
        <f>"Certification"</f>
        <v/>
      </c>
      <c r="G1556">
        <f>""</f>
        <v/>
      </c>
      <c r="H1556">
        <f>"Medium"</f>
        <v/>
      </c>
      <c r="I1556">
        <f>TRIM(IF(LEN(IF(LEN(INDEX('Providers'!$L$4:$L$503,53))=0,"",INDEX('Providers'!$L$4:$L$503,53)))=0,"","Board / specialty: "&amp;IF(LEN(INDEX('Providers'!$L$4:$L$503,53))=0,"",INDEX('Providers'!$L$4:$L$503,53))&amp;". "))</f>
        <v/>
      </c>
      <c r="J1556">
        <f>IF(LEN(INDEX('Providers'!$AJ$4:$AJ$503,53))=0,"",INDEX('Providers'!$AJ$4:$AJ$503,53))</f>
        <v/>
      </c>
      <c r="K1556">
        <f>IF(LEN(INDEX('Providers'!$AI$4:$AI$503,53))=0,"",INDEX('Providers'!$AI$4:$AI$503,53))</f>
        <v/>
      </c>
    </row>
    <row r="1557">
      <c r="A1557">
        <f>IF(AND(LEN('Providers'!A57)&gt;0,ISNUMBER('Providers'!M57)),1,0)</f>
        <v/>
      </c>
      <c r="B1557">
        <f>B1556+A1557</f>
        <v/>
      </c>
      <c r="C1557">
        <f>IF(1554&gt;$B$4503,"",MATCH(1554-0.5,$B$3:$B$4503,1))</f>
        <v/>
      </c>
      <c r="D1557">
        <f>"Board certification – "&amp;IF(LEN(INDEX('Providers'!$A$4:$A$503,54))=0,"",INDEX('Providers'!$A$4:$A$503,54))</f>
        <v/>
      </c>
      <c r="E1557">
        <f>IF(ISNUMBER(INDEX('Providers'!$M$4:$M$503,54)),TEXT(INDEX('Providers'!$M$4:$M$503,54),"yyyy-mm-dd"),"")</f>
        <v/>
      </c>
      <c r="F1557">
        <f>"Certification"</f>
        <v/>
      </c>
      <c r="G1557">
        <f>""</f>
        <v/>
      </c>
      <c r="H1557">
        <f>"Medium"</f>
        <v/>
      </c>
      <c r="I1557">
        <f>TRIM(IF(LEN(IF(LEN(INDEX('Providers'!$L$4:$L$503,54))=0,"",INDEX('Providers'!$L$4:$L$503,54)))=0,"","Board / specialty: "&amp;IF(LEN(INDEX('Providers'!$L$4:$L$503,54))=0,"",INDEX('Providers'!$L$4:$L$503,54))&amp;". "))</f>
        <v/>
      </c>
      <c r="J1557">
        <f>IF(LEN(INDEX('Providers'!$AJ$4:$AJ$503,54))=0,"",INDEX('Providers'!$AJ$4:$AJ$503,54))</f>
        <v/>
      </c>
      <c r="K1557">
        <f>IF(LEN(INDEX('Providers'!$AI$4:$AI$503,54))=0,"",INDEX('Providers'!$AI$4:$AI$503,54))</f>
        <v/>
      </c>
    </row>
    <row r="1558">
      <c r="A1558">
        <f>IF(AND(LEN('Providers'!A58)&gt;0,ISNUMBER('Providers'!M58)),1,0)</f>
        <v/>
      </c>
      <c r="B1558">
        <f>B1557+A1558</f>
        <v/>
      </c>
      <c r="C1558">
        <f>IF(1555&gt;$B$4503,"",MATCH(1555-0.5,$B$3:$B$4503,1))</f>
        <v/>
      </c>
      <c r="D1558">
        <f>"Board certification – "&amp;IF(LEN(INDEX('Providers'!$A$4:$A$503,55))=0,"",INDEX('Providers'!$A$4:$A$503,55))</f>
        <v/>
      </c>
      <c r="E1558">
        <f>IF(ISNUMBER(INDEX('Providers'!$M$4:$M$503,55)),TEXT(INDEX('Providers'!$M$4:$M$503,55),"yyyy-mm-dd"),"")</f>
        <v/>
      </c>
      <c r="F1558">
        <f>"Certification"</f>
        <v/>
      </c>
      <c r="G1558">
        <f>""</f>
        <v/>
      </c>
      <c r="H1558">
        <f>"Medium"</f>
        <v/>
      </c>
      <c r="I1558">
        <f>TRIM(IF(LEN(IF(LEN(INDEX('Providers'!$L$4:$L$503,55))=0,"",INDEX('Providers'!$L$4:$L$503,55)))=0,"","Board / specialty: "&amp;IF(LEN(INDEX('Providers'!$L$4:$L$503,55))=0,"",INDEX('Providers'!$L$4:$L$503,55))&amp;". "))</f>
        <v/>
      </c>
      <c r="J1558">
        <f>IF(LEN(INDEX('Providers'!$AJ$4:$AJ$503,55))=0,"",INDEX('Providers'!$AJ$4:$AJ$503,55))</f>
        <v/>
      </c>
      <c r="K1558">
        <f>IF(LEN(INDEX('Providers'!$AI$4:$AI$503,55))=0,"",INDEX('Providers'!$AI$4:$AI$503,55))</f>
        <v/>
      </c>
    </row>
    <row r="1559">
      <c r="A1559">
        <f>IF(AND(LEN('Providers'!A59)&gt;0,ISNUMBER('Providers'!M59)),1,0)</f>
        <v/>
      </c>
      <c r="B1559">
        <f>B1558+A1559</f>
        <v/>
      </c>
      <c r="C1559">
        <f>IF(1556&gt;$B$4503,"",MATCH(1556-0.5,$B$3:$B$4503,1))</f>
        <v/>
      </c>
      <c r="D1559">
        <f>"Board certification – "&amp;IF(LEN(INDEX('Providers'!$A$4:$A$503,56))=0,"",INDEX('Providers'!$A$4:$A$503,56))</f>
        <v/>
      </c>
      <c r="E1559">
        <f>IF(ISNUMBER(INDEX('Providers'!$M$4:$M$503,56)),TEXT(INDEX('Providers'!$M$4:$M$503,56),"yyyy-mm-dd"),"")</f>
        <v/>
      </c>
      <c r="F1559">
        <f>"Certification"</f>
        <v/>
      </c>
      <c r="G1559">
        <f>""</f>
        <v/>
      </c>
      <c r="H1559">
        <f>"Medium"</f>
        <v/>
      </c>
      <c r="I1559">
        <f>TRIM(IF(LEN(IF(LEN(INDEX('Providers'!$L$4:$L$503,56))=0,"",INDEX('Providers'!$L$4:$L$503,56)))=0,"","Board / specialty: "&amp;IF(LEN(INDEX('Providers'!$L$4:$L$503,56))=0,"",INDEX('Providers'!$L$4:$L$503,56))&amp;". "))</f>
        <v/>
      </c>
      <c r="J1559">
        <f>IF(LEN(INDEX('Providers'!$AJ$4:$AJ$503,56))=0,"",INDEX('Providers'!$AJ$4:$AJ$503,56))</f>
        <v/>
      </c>
      <c r="K1559">
        <f>IF(LEN(INDEX('Providers'!$AI$4:$AI$503,56))=0,"",INDEX('Providers'!$AI$4:$AI$503,56))</f>
        <v/>
      </c>
    </row>
    <row r="1560">
      <c r="A1560">
        <f>IF(AND(LEN('Providers'!A60)&gt;0,ISNUMBER('Providers'!M60)),1,0)</f>
        <v/>
      </c>
      <c r="B1560">
        <f>B1559+A1560</f>
        <v/>
      </c>
      <c r="C1560">
        <f>IF(1557&gt;$B$4503,"",MATCH(1557-0.5,$B$3:$B$4503,1))</f>
        <v/>
      </c>
      <c r="D1560">
        <f>"Board certification – "&amp;IF(LEN(INDEX('Providers'!$A$4:$A$503,57))=0,"",INDEX('Providers'!$A$4:$A$503,57))</f>
        <v/>
      </c>
      <c r="E1560">
        <f>IF(ISNUMBER(INDEX('Providers'!$M$4:$M$503,57)),TEXT(INDEX('Providers'!$M$4:$M$503,57),"yyyy-mm-dd"),"")</f>
        <v/>
      </c>
      <c r="F1560">
        <f>"Certification"</f>
        <v/>
      </c>
      <c r="G1560">
        <f>""</f>
        <v/>
      </c>
      <c r="H1560">
        <f>"Medium"</f>
        <v/>
      </c>
      <c r="I1560">
        <f>TRIM(IF(LEN(IF(LEN(INDEX('Providers'!$L$4:$L$503,57))=0,"",INDEX('Providers'!$L$4:$L$503,57)))=0,"","Board / specialty: "&amp;IF(LEN(INDEX('Providers'!$L$4:$L$503,57))=0,"",INDEX('Providers'!$L$4:$L$503,57))&amp;". "))</f>
        <v/>
      </c>
      <c r="J1560">
        <f>IF(LEN(INDEX('Providers'!$AJ$4:$AJ$503,57))=0,"",INDEX('Providers'!$AJ$4:$AJ$503,57))</f>
        <v/>
      </c>
      <c r="K1560">
        <f>IF(LEN(INDEX('Providers'!$AI$4:$AI$503,57))=0,"",INDEX('Providers'!$AI$4:$AI$503,57))</f>
        <v/>
      </c>
    </row>
    <row r="1561">
      <c r="A1561">
        <f>IF(AND(LEN('Providers'!A61)&gt;0,ISNUMBER('Providers'!M61)),1,0)</f>
        <v/>
      </c>
      <c r="B1561">
        <f>B1560+A1561</f>
        <v/>
      </c>
      <c r="C1561">
        <f>IF(1558&gt;$B$4503,"",MATCH(1558-0.5,$B$3:$B$4503,1))</f>
        <v/>
      </c>
      <c r="D1561">
        <f>"Board certification – "&amp;IF(LEN(INDEX('Providers'!$A$4:$A$503,58))=0,"",INDEX('Providers'!$A$4:$A$503,58))</f>
        <v/>
      </c>
      <c r="E1561">
        <f>IF(ISNUMBER(INDEX('Providers'!$M$4:$M$503,58)),TEXT(INDEX('Providers'!$M$4:$M$503,58),"yyyy-mm-dd"),"")</f>
        <v/>
      </c>
      <c r="F1561">
        <f>"Certification"</f>
        <v/>
      </c>
      <c r="G1561">
        <f>""</f>
        <v/>
      </c>
      <c r="H1561">
        <f>"Medium"</f>
        <v/>
      </c>
      <c r="I1561">
        <f>TRIM(IF(LEN(IF(LEN(INDEX('Providers'!$L$4:$L$503,58))=0,"",INDEX('Providers'!$L$4:$L$503,58)))=0,"","Board / specialty: "&amp;IF(LEN(INDEX('Providers'!$L$4:$L$503,58))=0,"",INDEX('Providers'!$L$4:$L$503,58))&amp;". "))</f>
        <v/>
      </c>
      <c r="J1561">
        <f>IF(LEN(INDEX('Providers'!$AJ$4:$AJ$503,58))=0,"",INDEX('Providers'!$AJ$4:$AJ$503,58))</f>
        <v/>
      </c>
      <c r="K1561">
        <f>IF(LEN(INDEX('Providers'!$AI$4:$AI$503,58))=0,"",INDEX('Providers'!$AI$4:$AI$503,58))</f>
        <v/>
      </c>
    </row>
    <row r="1562">
      <c r="A1562">
        <f>IF(AND(LEN('Providers'!A62)&gt;0,ISNUMBER('Providers'!M62)),1,0)</f>
        <v/>
      </c>
      <c r="B1562">
        <f>B1561+A1562</f>
        <v/>
      </c>
      <c r="C1562">
        <f>IF(1559&gt;$B$4503,"",MATCH(1559-0.5,$B$3:$B$4503,1))</f>
        <v/>
      </c>
      <c r="D1562">
        <f>"Board certification – "&amp;IF(LEN(INDEX('Providers'!$A$4:$A$503,59))=0,"",INDEX('Providers'!$A$4:$A$503,59))</f>
        <v/>
      </c>
      <c r="E1562">
        <f>IF(ISNUMBER(INDEX('Providers'!$M$4:$M$503,59)),TEXT(INDEX('Providers'!$M$4:$M$503,59),"yyyy-mm-dd"),"")</f>
        <v/>
      </c>
      <c r="F1562">
        <f>"Certification"</f>
        <v/>
      </c>
      <c r="G1562">
        <f>""</f>
        <v/>
      </c>
      <c r="H1562">
        <f>"Medium"</f>
        <v/>
      </c>
      <c r="I1562">
        <f>TRIM(IF(LEN(IF(LEN(INDEX('Providers'!$L$4:$L$503,59))=0,"",INDEX('Providers'!$L$4:$L$503,59)))=0,"","Board / specialty: "&amp;IF(LEN(INDEX('Providers'!$L$4:$L$503,59))=0,"",INDEX('Providers'!$L$4:$L$503,59))&amp;". "))</f>
        <v/>
      </c>
      <c r="J1562">
        <f>IF(LEN(INDEX('Providers'!$AJ$4:$AJ$503,59))=0,"",INDEX('Providers'!$AJ$4:$AJ$503,59))</f>
        <v/>
      </c>
      <c r="K1562">
        <f>IF(LEN(INDEX('Providers'!$AI$4:$AI$503,59))=0,"",INDEX('Providers'!$AI$4:$AI$503,59))</f>
        <v/>
      </c>
    </row>
    <row r="1563">
      <c r="A1563">
        <f>IF(AND(LEN('Providers'!A63)&gt;0,ISNUMBER('Providers'!M63)),1,0)</f>
        <v/>
      </c>
      <c r="B1563">
        <f>B1562+A1563</f>
        <v/>
      </c>
      <c r="C1563">
        <f>IF(1560&gt;$B$4503,"",MATCH(1560-0.5,$B$3:$B$4503,1))</f>
        <v/>
      </c>
      <c r="D1563">
        <f>"Board certification – "&amp;IF(LEN(INDEX('Providers'!$A$4:$A$503,60))=0,"",INDEX('Providers'!$A$4:$A$503,60))</f>
        <v/>
      </c>
      <c r="E1563">
        <f>IF(ISNUMBER(INDEX('Providers'!$M$4:$M$503,60)),TEXT(INDEX('Providers'!$M$4:$M$503,60),"yyyy-mm-dd"),"")</f>
        <v/>
      </c>
      <c r="F1563">
        <f>"Certification"</f>
        <v/>
      </c>
      <c r="G1563">
        <f>""</f>
        <v/>
      </c>
      <c r="H1563">
        <f>"Medium"</f>
        <v/>
      </c>
      <c r="I1563">
        <f>TRIM(IF(LEN(IF(LEN(INDEX('Providers'!$L$4:$L$503,60))=0,"",INDEX('Providers'!$L$4:$L$503,60)))=0,"","Board / specialty: "&amp;IF(LEN(INDEX('Providers'!$L$4:$L$503,60))=0,"",INDEX('Providers'!$L$4:$L$503,60))&amp;". "))</f>
        <v/>
      </c>
      <c r="J1563">
        <f>IF(LEN(INDEX('Providers'!$AJ$4:$AJ$503,60))=0,"",INDEX('Providers'!$AJ$4:$AJ$503,60))</f>
        <v/>
      </c>
      <c r="K1563">
        <f>IF(LEN(INDEX('Providers'!$AI$4:$AI$503,60))=0,"",INDEX('Providers'!$AI$4:$AI$503,60))</f>
        <v/>
      </c>
    </row>
    <row r="1564">
      <c r="A1564">
        <f>IF(AND(LEN('Providers'!A64)&gt;0,ISNUMBER('Providers'!M64)),1,0)</f>
        <v/>
      </c>
      <c r="B1564">
        <f>B1563+A1564</f>
        <v/>
      </c>
      <c r="C1564">
        <f>IF(1561&gt;$B$4503,"",MATCH(1561-0.5,$B$3:$B$4503,1))</f>
        <v/>
      </c>
      <c r="D1564">
        <f>"Board certification – "&amp;IF(LEN(INDEX('Providers'!$A$4:$A$503,61))=0,"",INDEX('Providers'!$A$4:$A$503,61))</f>
        <v/>
      </c>
      <c r="E1564">
        <f>IF(ISNUMBER(INDEX('Providers'!$M$4:$M$503,61)),TEXT(INDEX('Providers'!$M$4:$M$503,61),"yyyy-mm-dd"),"")</f>
        <v/>
      </c>
      <c r="F1564">
        <f>"Certification"</f>
        <v/>
      </c>
      <c r="G1564">
        <f>""</f>
        <v/>
      </c>
      <c r="H1564">
        <f>"Medium"</f>
        <v/>
      </c>
      <c r="I1564">
        <f>TRIM(IF(LEN(IF(LEN(INDEX('Providers'!$L$4:$L$503,61))=0,"",INDEX('Providers'!$L$4:$L$503,61)))=0,"","Board / specialty: "&amp;IF(LEN(INDEX('Providers'!$L$4:$L$503,61))=0,"",INDEX('Providers'!$L$4:$L$503,61))&amp;". "))</f>
        <v/>
      </c>
      <c r="J1564">
        <f>IF(LEN(INDEX('Providers'!$AJ$4:$AJ$503,61))=0,"",INDEX('Providers'!$AJ$4:$AJ$503,61))</f>
        <v/>
      </c>
      <c r="K1564">
        <f>IF(LEN(INDEX('Providers'!$AI$4:$AI$503,61))=0,"",INDEX('Providers'!$AI$4:$AI$503,61))</f>
        <v/>
      </c>
    </row>
    <row r="1565">
      <c r="A1565">
        <f>IF(AND(LEN('Providers'!A65)&gt;0,ISNUMBER('Providers'!M65)),1,0)</f>
        <v/>
      </c>
      <c r="B1565">
        <f>B1564+A1565</f>
        <v/>
      </c>
      <c r="C1565">
        <f>IF(1562&gt;$B$4503,"",MATCH(1562-0.5,$B$3:$B$4503,1))</f>
        <v/>
      </c>
      <c r="D1565">
        <f>"Board certification – "&amp;IF(LEN(INDEX('Providers'!$A$4:$A$503,62))=0,"",INDEX('Providers'!$A$4:$A$503,62))</f>
        <v/>
      </c>
      <c r="E1565">
        <f>IF(ISNUMBER(INDEX('Providers'!$M$4:$M$503,62)),TEXT(INDEX('Providers'!$M$4:$M$503,62),"yyyy-mm-dd"),"")</f>
        <v/>
      </c>
      <c r="F1565">
        <f>"Certification"</f>
        <v/>
      </c>
      <c r="G1565">
        <f>""</f>
        <v/>
      </c>
      <c r="H1565">
        <f>"Medium"</f>
        <v/>
      </c>
      <c r="I1565">
        <f>TRIM(IF(LEN(IF(LEN(INDEX('Providers'!$L$4:$L$503,62))=0,"",INDEX('Providers'!$L$4:$L$503,62)))=0,"","Board / specialty: "&amp;IF(LEN(INDEX('Providers'!$L$4:$L$503,62))=0,"",INDEX('Providers'!$L$4:$L$503,62))&amp;". "))</f>
        <v/>
      </c>
      <c r="J1565">
        <f>IF(LEN(INDEX('Providers'!$AJ$4:$AJ$503,62))=0,"",INDEX('Providers'!$AJ$4:$AJ$503,62))</f>
        <v/>
      </c>
      <c r="K1565">
        <f>IF(LEN(INDEX('Providers'!$AI$4:$AI$503,62))=0,"",INDEX('Providers'!$AI$4:$AI$503,62))</f>
        <v/>
      </c>
    </row>
    <row r="1566">
      <c r="A1566">
        <f>IF(AND(LEN('Providers'!A66)&gt;0,ISNUMBER('Providers'!M66)),1,0)</f>
        <v/>
      </c>
      <c r="B1566">
        <f>B1565+A1566</f>
        <v/>
      </c>
      <c r="C1566">
        <f>IF(1563&gt;$B$4503,"",MATCH(1563-0.5,$B$3:$B$4503,1))</f>
        <v/>
      </c>
      <c r="D1566">
        <f>"Board certification – "&amp;IF(LEN(INDEX('Providers'!$A$4:$A$503,63))=0,"",INDEX('Providers'!$A$4:$A$503,63))</f>
        <v/>
      </c>
      <c r="E1566">
        <f>IF(ISNUMBER(INDEX('Providers'!$M$4:$M$503,63)),TEXT(INDEX('Providers'!$M$4:$M$503,63),"yyyy-mm-dd"),"")</f>
        <v/>
      </c>
      <c r="F1566">
        <f>"Certification"</f>
        <v/>
      </c>
      <c r="G1566">
        <f>""</f>
        <v/>
      </c>
      <c r="H1566">
        <f>"Medium"</f>
        <v/>
      </c>
      <c r="I1566">
        <f>TRIM(IF(LEN(IF(LEN(INDEX('Providers'!$L$4:$L$503,63))=0,"",INDEX('Providers'!$L$4:$L$503,63)))=0,"","Board / specialty: "&amp;IF(LEN(INDEX('Providers'!$L$4:$L$503,63))=0,"",INDEX('Providers'!$L$4:$L$503,63))&amp;". "))</f>
        <v/>
      </c>
      <c r="J1566">
        <f>IF(LEN(INDEX('Providers'!$AJ$4:$AJ$503,63))=0,"",INDEX('Providers'!$AJ$4:$AJ$503,63))</f>
        <v/>
      </c>
      <c r="K1566">
        <f>IF(LEN(INDEX('Providers'!$AI$4:$AI$503,63))=0,"",INDEX('Providers'!$AI$4:$AI$503,63))</f>
        <v/>
      </c>
    </row>
    <row r="1567">
      <c r="A1567">
        <f>IF(AND(LEN('Providers'!A67)&gt;0,ISNUMBER('Providers'!M67)),1,0)</f>
        <v/>
      </c>
      <c r="B1567">
        <f>B1566+A1567</f>
        <v/>
      </c>
      <c r="C1567">
        <f>IF(1564&gt;$B$4503,"",MATCH(1564-0.5,$B$3:$B$4503,1))</f>
        <v/>
      </c>
      <c r="D1567">
        <f>"Board certification – "&amp;IF(LEN(INDEX('Providers'!$A$4:$A$503,64))=0,"",INDEX('Providers'!$A$4:$A$503,64))</f>
        <v/>
      </c>
      <c r="E1567">
        <f>IF(ISNUMBER(INDEX('Providers'!$M$4:$M$503,64)),TEXT(INDEX('Providers'!$M$4:$M$503,64),"yyyy-mm-dd"),"")</f>
        <v/>
      </c>
      <c r="F1567">
        <f>"Certification"</f>
        <v/>
      </c>
      <c r="G1567">
        <f>""</f>
        <v/>
      </c>
      <c r="H1567">
        <f>"Medium"</f>
        <v/>
      </c>
      <c r="I1567">
        <f>TRIM(IF(LEN(IF(LEN(INDEX('Providers'!$L$4:$L$503,64))=0,"",INDEX('Providers'!$L$4:$L$503,64)))=0,"","Board / specialty: "&amp;IF(LEN(INDEX('Providers'!$L$4:$L$503,64))=0,"",INDEX('Providers'!$L$4:$L$503,64))&amp;". "))</f>
        <v/>
      </c>
      <c r="J1567">
        <f>IF(LEN(INDEX('Providers'!$AJ$4:$AJ$503,64))=0,"",INDEX('Providers'!$AJ$4:$AJ$503,64))</f>
        <v/>
      </c>
      <c r="K1567">
        <f>IF(LEN(INDEX('Providers'!$AI$4:$AI$503,64))=0,"",INDEX('Providers'!$AI$4:$AI$503,64))</f>
        <v/>
      </c>
    </row>
    <row r="1568">
      <c r="A1568">
        <f>IF(AND(LEN('Providers'!A68)&gt;0,ISNUMBER('Providers'!M68)),1,0)</f>
        <v/>
      </c>
      <c r="B1568">
        <f>B1567+A1568</f>
        <v/>
      </c>
      <c r="C1568">
        <f>IF(1565&gt;$B$4503,"",MATCH(1565-0.5,$B$3:$B$4503,1))</f>
        <v/>
      </c>
      <c r="D1568">
        <f>"Board certification – "&amp;IF(LEN(INDEX('Providers'!$A$4:$A$503,65))=0,"",INDEX('Providers'!$A$4:$A$503,65))</f>
        <v/>
      </c>
      <c r="E1568">
        <f>IF(ISNUMBER(INDEX('Providers'!$M$4:$M$503,65)),TEXT(INDEX('Providers'!$M$4:$M$503,65),"yyyy-mm-dd"),"")</f>
        <v/>
      </c>
      <c r="F1568">
        <f>"Certification"</f>
        <v/>
      </c>
      <c r="G1568">
        <f>""</f>
        <v/>
      </c>
      <c r="H1568">
        <f>"Medium"</f>
        <v/>
      </c>
      <c r="I1568">
        <f>TRIM(IF(LEN(IF(LEN(INDEX('Providers'!$L$4:$L$503,65))=0,"",INDEX('Providers'!$L$4:$L$503,65)))=0,"","Board / specialty: "&amp;IF(LEN(INDEX('Providers'!$L$4:$L$503,65))=0,"",INDEX('Providers'!$L$4:$L$503,65))&amp;". "))</f>
        <v/>
      </c>
      <c r="J1568">
        <f>IF(LEN(INDEX('Providers'!$AJ$4:$AJ$503,65))=0,"",INDEX('Providers'!$AJ$4:$AJ$503,65))</f>
        <v/>
      </c>
      <c r="K1568">
        <f>IF(LEN(INDEX('Providers'!$AI$4:$AI$503,65))=0,"",INDEX('Providers'!$AI$4:$AI$503,65))</f>
        <v/>
      </c>
    </row>
    <row r="1569">
      <c r="A1569">
        <f>IF(AND(LEN('Providers'!A69)&gt;0,ISNUMBER('Providers'!M69)),1,0)</f>
        <v/>
      </c>
      <c r="B1569">
        <f>B1568+A1569</f>
        <v/>
      </c>
      <c r="C1569">
        <f>IF(1566&gt;$B$4503,"",MATCH(1566-0.5,$B$3:$B$4503,1))</f>
        <v/>
      </c>
      <c r="D1569">
        <f>"Board certification – "&amp;IF(LEN(INDEX('Providers'!$A$4:$A$503,66))=0,"",INDEX('Providers'!$A$4:$A$503,66))</f>
        <v/>
      </c>
      <c r="E1569">
        <f>IF(ISNUMBER(INDEX('Providers'!$M$4:$M$503,66)),TEXT(INDEX('Providers'!$M$4:$M$503,66),"yyyy-mm-dd"),"")</f>
        <v/>
      </c>
      <c r="F1569">
        <f>"Certification"</f>
        <v/>
      </c>
      <c r="G1569">
        <f>""</f>
        <v/>
      </c>
      <c r="H1569">
        <f>"Medium"</f>
        <v/>
      </c>
      <c r="I1569">
        <f>TRIM(IF(LEN(IF(LEN(INDEX('Providers'!$L$4:$L$503,66))=0,"",INDEX('Providers'!$L$4:$L$503,66)))=0,"","Board / specialty: "&amp;IF(LEN(INDEX('Providers'!$L$4:$L$503,66))=0,"",INDEX('Providers'!$L$4:$L$503,66))&amp;". "))</f>
        <v/>
      </c>
      <c r="J1569">
        <f>IF(LEN(INDEX('Providers'!$AJ$4:$AJ$503,66))=0,"",INDEX('Providers'!$AJ$4:$AJ$503,66))</f>
        <v/>
      </c>
      <c r="K1569">
        <f>IF(LEN(INDEX('Providers'!$AI$4:$AI$503,66))=0,"",INDEX('Providers'!$AI$4:$AI$503,66))</f>
        <v/>
      </c>
    </row>
    <row r="1570">
      <c r="A1570">
        <f>IF(AND(LEN('Providers'!A70)&gt;0,ISNUMBER('Providers'!M70)),1,0)</f>
        <v/>
      </c>
      <c r="B1570">
        <f>B1569+A1570</f>
        <v/>
      </c>
      <c r="C1570">
        <f>IF(1567&gt;$B$4503,"",MATCH(1567-0.5,$B$3:$B$4503,1))</f>
        <v/>
      </c>
      <c r="D1570">
        <f>"Board certification – "&amp;IF(LEN(INDEX('Providers'!$A$4:$A$503,67))=0,"",INDEX('Providers'!$A$4:$A$503,67))</f>
        <v/>
      </c>
      <c r="E1570">
        <f>IF(ISNUMBER(INDEX('Providers'!$M$4:$M$503,67)),TEXT(INDEX('Providers'!$M$4:$M$503,67),"yyyy-mm-dd"),"")</f>
        <v/>
      </c>
      <c r="F1570">
        <f>"Certification"</f>
        <v/>
      </c>
      <c r="G1570">
        <f>""</f>
        <v/>
      </c>
      <c r="H1570">
        <f>"Medium"</f>
        <v/>
      </c>
      <c r="I1570">
        <f>TRIM(IF(LEN(IF(LEN(INDEX('Providers'!$L$4:$L$503,67))=0,"",INDEX('Providers'!$L$4:$L$503,67)))=0,"","Board / specialty: "&amp;IF(LEN(INDEX('Providers'!$L$4:$L$503,67))=0,"",INDEX('Providers'!$L$4:$L$503,67))&amp;". "))</f>
        <v/>
      </c>
      <c r="J1570">
        <f>IF(LEN(INDEX('Providers'!$AJ$4:$AJ$503,67))=0,"",INDEX('Providers'!$AJ$4:$AJ$503,67))</f>
        <v/>
      </c>
      <c r="K1570">
        <f>IF(LEN(INDEX('Providers'!$AI$4:$AI$503,67))=0,"",INDEX('Providers'!$AI$4:$AI$503,67))</f>
        <v/>
      </c>
    </row>
    <row r="1571">
      <c r="A1571">
        <f>IF(AND(LEN('Providers'!A71)&gt;0,ISNUMBER('Providers'!M71)),1,0)</f>
        <v/>
      </c>
      <c r="B1571">
        <f>B1570+A1571</f>
        <v/>
      </c>
      <c r="C1571">
        <f>IF(1568&gt;$B$4503,"",MATCH(1568-0.5,$B$3:$B$4503,1))</f>
        <v/>
      </c>
      <c r="D1571">
        <f>"Board certification – "&amp;IF(LEN(INDEX('Providers'!$A$4:$A$503,68))=0,"",INDEX('Providers'!$A$4:$A$503,68))</f>
        <v/>
      </c>
      <c r="E1571">
        <f>IF(ISNUMBER(INDEX('Providers'!$M$4:$M$503,68)),TEXT(INDEX('Providers'!$M$4:$M$503,68),"yyyy-mm-dd"),"")</f>
        <v/>
      </c>
      <c r="F1571">
        <f>"Certification"</f>
        <v/>
      </c>
      <c r="G1571">
        <f>""</f>
        <v/>
      </c>
      <c r="H1571">
        <f>"Medium"</f>
        <v/>
      </c>
      <c r="I1571">
        <f>TRIM(IF(LEN(IF(LEN(INDEX('Providers'!$L$4:$L$503,68))=0,"",INDEX('Providers'!$L$4:$L$503,68)))=0,"","Board / specialty: "&amp;IF(LEN(INDEX('Providers'!$L$4:$L$503,68))=0,"",INDEX('Providers'!$L$4:$L$503,68))&amp;". "))</f>
        <v/>
      </c>
      <c r="J1571">
        <f>IF(LEN(INDEX('Providers'!$AJ$4:$AJ$503,68))=0,"",INDEX('Providers'!$AJ$4:$AJ$503,68))</f>
        <v/>
      </c>
      <c r="K1571">
        <f>IF(LEN(INDEX('Providers'!$AI$4:$AI$503,68))=0,"",INDEX('Providers'!$AI$4:$AI$503,68))</f>
        <v/>
      </c>
    </row>
    <row r="1572">
      <c r="A1572">
        <f>IF(AND(LEN('Providers'!A72)&gt;0,ISNUMBER('Providers'!M72)),1,0)</f>
        <v/>
      </c>
      <c r="B1572">
        <f>B1571+A1572</f>
        <v/>
      </c>
      <c r="C1572">
        <f>IF(1569&gt;$B$4503,"",MATCH(1569-0.5,$B$3:$B$4503,1))</f>
        <v/>
      </c>
      <c r="D1572">
        <f>"Board certification – "&amp;IF(LEN(INDEX('Providers'!$A$4:$A$503,69))=0,"",INDEX('Providers'!$A$4:$A$503,69))</f>
        <v/>
      </c>
      <c r="E1572">
        <f>IF(ISNUMBER(INDEX('Providers'!$M$4:$M$503,69)),TEXT(INDEX('Providers'!$M$4:$M$503,69),"yyyy-mm-dd"),"")</f>
        <v/>
      </c>
      <c r="F1572">
        <f>"Certification"</f>
        <v/>
      </c>
      <c r="G1572">
        <f>""</f>
        <v/>
      </c>
      <c r="H1572">
        <f>"Medium"</f>
        <v/>
      </c>
      <c r="I1572">
        <f>TRIM(IF(LEN(IF(LEN(INDEX('Providers'!$L$4:$L$503,69))=0,"",INDEX('Providers'!$L$4:$L$503,69)))=0,"","Board / specialty: "&amp;IF(LEN(INDEX('Providers'!$L$4:$L$503,69))=0,"",INDEX('Providers'!$L$4:$L$503,69))&amp;". "))</f>
        <v/>
      </c>
      <c r="J1572">
        <f>IF(LEN(INDEX('Providers'!$AJ$4:$AJ$503,69))=0,"",INDEX('Providers'!$AJ$4:$AJ$503,69))</f>
        <v/>
      </c>
      <c r="K1572">
        <f>IF(LEN(INDEX('Providers'!$AI$4:$AI$503,69))=0,"",INDEX('Providers'!$AI$4:$AI$503,69))</f>
        <v/>
      </c>
    </row>
    <row r="1573">
      <c r="A1573">
        <f>IF(AND(LEN('Providers'!A73)&gt;0,ISNUMBER('Providers'!M73)),1,0)</f>
        <v/>
      </c>
      <c r="B1573">
        <f>B1572+A1573</f>
        <v/>
      </c>
      <c r="C1573">
        <f>IF(1570&gt;$B$4503,"",MATCH(1570-0.5,$B$3:$B$4503,1))</f>
        <v/>
      </c>
      <c r="D1573">
        <f>"Board certification – "&amp;IF(LEN(INDEX('Providers'!$A$4:$A$503,70))=0,"",INDEX('Providers'!$A$4:$A$503,70))</f>
        <v/>
      </c>
      <c r="E1573">
        <f>IF(ISNUMBER(INDEX('Providers'!$M$4:$M$503,70)),TEXT(INDEX('Providers'!$M$4:$M$503,70),"yyyy-mm-dd"),"")</f>
        <v/>
      </c>
      <c r="F1573">
        <f>"Certification"</f>
        <v/>
      </c>
      <c r="G1573">
        <f>""</f>
        <v/>
      </c>
      <c r="H1573">
        <f>"Medium"</f>
        <v/>
      </c>
      <c r="I1573">
        <f>TRIM(IF(LEN(IF(LEN(INDEX('Providers'!$L$4:$L$503,70))=0,"",INDEX('Providers'!$L$4:$L$503,70)))=0,"","Board / specialty: "&amp;IF(LEN(INDEX('Providers'!$L$4:$L$503,70))=0,"",INDEX('Providers'!$L$4:$L$503,70))&amp;". "))</f>
        <v/>
      </c>
      <c r="J1573">
        <f>IF(LEN(INDEX('Providers'!$AJ$4:$AJ$503,70))=0,"",INDEX('Providers'!$AJ$4:$AJ$503,70))</f>
        <v/>
      </c>
      <c r="K1573">
        <f>IF(LEN(INDEX('Providers'!$AI$4:$AI$503,70))=0,"",INDEX('Providers'!$AI$4:$AI$503,70))</f>
        <v/>
      </c>
    </row>
    <row r="1574">
      <c r="A1574">
        <f>IF(AND(LEN('Providers'!A74)&gt;0,ISNUMBER('Providers'!M74)),1,0)</f>
        <v/>
      </c>
      <c r="B1574">
        <f>B1573+A1574</f>
        <v/>
      </c>
      <c r="C1574">
        <f>IF(1571&gt;$B$4503,"",MATCH(1571-0.5,$B$3:$B$4503,1))</f>
        <v/>
      </c>
      <c r="D1574">
        <f>"Board certification – "&amp;IF(LEN(INDEX('Providers'!$A$4:$A$503,71))=0,"",INDEX('Providers'!$A$4:$A$503,71))</f>
        <v/>
      </c>
      <c r="E1574">
        <f>IF(ISNUMBER(INDEX('Providers'!$M$4:$M$503,71)),TEXT(INDEX('Providers'!$M$4:$M$503,71),"yyyy-mm-dd"),"")</f>
        <v/>
      </c>
      <c r="F1574">
        <f>"Certification"</f>
        <v/>
      </c>
      <c r="G1574">
        <f>""</f>
        <v/>
      </c>
      <c r="H1574">
        <f>"Medium"</f>
        <v/>
      </c>
      <c r="I1574">
        <f>TRIM(IF(LEN(IF(LEN(INDEX('Providers'!$L$4:$L$503,71))=0,"",INDEX('Providers'!$L$4:$L$503,71)))=0,"","Board / specialty: "&amp;IF(LEN(INDEX('Providers'!$L$4:$L$503,71))=0,"",INDEX('Providers'!$L$4:$L$503,71))&amp;". "))</f>
        <v/>
      </c>
      <c r="J1574">
        <f>IF(LEN(INDEX('Providers'!$AJ$4:$AJ$503,71))=0,"",INDEX('Providers'!$AJ$4:$AJ$503,71))</f>
        <v/>
      </c>
      <c r="K1574">
        <f>IF(LEN(INDEX('Providers'!$AI$4:$AI$503,71))=0,"",INDEX('Providers'!$AI$4:$AI$503,71))</f>
        <v/>
      </c>
    </row>
    <row r="1575">
      <c r="A1575">
        <f>IF(AND(LEN('Providers'!A75)&gt;0,ISNUMBER('Providers'!M75)),1,0)</f>
        <v/>
      </c>
      <c r="B1575">
        <f>B1574+A1575</f>
        <v/>
      </c>
      <c r="C1575">
        <f>IF(1572&gt;$B$4503,"",MATCH(1572-0.5,$B$3:$B$4503,1))</f>
        <v/>
      </c>
      <c r="D1575">
        <f>"Board certification – "&amp;IF(LEN(INDEX('Providers'!$A$4:$A$503,72))=0,"",INDEX('Providers'!$A$4:$A$503,72))</f>
        <v/>
      </c>
      <c r="E1575">
        <f>IF(ISNUMBER(INDEX('Providers'!$M$4:$M$503,72)),TEXT(INDEX('Providers'!$M$4:$M$503,72),"yyyy-mm-dd"),"")</f>
        <v/>
      </c>
      <c r="F1575">
        <f>"Certification"</f>
        <v/>
      </c>
      <c r="G1575">
        <f>""</f>
        <v/>
      </c>
      <c r="H1575">
        <f>"Medium"</f>
        <v/>
      </c>
      <c r="I1575">
        <f>TRIM(IF(LEN(IF(LEN(INDEX('Providers'!$L$4:$L$503,72))=0,"",INDEX('Providers'!$L$4:$L$503,72)))=0,"","Board / specialty: "&amp;IF(LEN(INDEX('Providers'!$L$4:$L$503,72))=0,"",INDEX('Providers'!$L$4:$L$503,72))&amp;". "))</f>
        <v/>
      </c>
      <c r="J1575">
        <f>IF(LEN(INDEX('Providers'!$AJ$4:$AJ$503,72))=0,"",INDEX('Providers'!$AJ$4:$AJ$503,72))</f>
        <v/>
      </c>
      <c r="K1575">
        <f>IF(LEN(INDEX('Providers'!$AI$4:$AI$503,72))=0,"",INDEX('Providers'!$AI$4:$AI$503,72))</f>
        <v/>
      </c>
    </row>
    <row r="1576">
      <c r="A1576">
        <f>IF(AND(LEN('Providers'!A76)&gt;0,ISNUMBER('Providers'!M76)),1,0)</f>
        <v/>
      </c>
      <c r="B1576">
        <f>B1575+A1576</f>
        <v/>
      </c>
      <c r="C1576">
        <f>IF(1573&gt;$B$4503,"",MATCH(1573-0.5,$B$3:$B$4503,1))</f>
        <v/>
      </c>
      <c r="D1576">
        <f>"Board certification – "&amp;IF(LEN(INDEX('Providers'!$A$4:$A$503,73))=0,"",INDEX('Providers'!$A$4:$A$503,73))</f>
        <v/>
      </c>
      <c r="E1576">
        <f>IF(ISNUMBER(INDEX('Providers'!$M$4:$M$503,73)),TEXT(INDEX('Providers'!$M$4:$M$503,73),"yyyy-mm-dd"),"")</f>
        <v/>
      </c>
      <c r="F1576">
        <f>"Certification"</f>
        <v/>
      </c>
      <c r="G1576">
        <f>""</f>
        <v/>
      </c>
      <c r="H1576">
        <f>"Medium"</f>
        <v/>
      </c>
      <c r="I1576">
        <f>TRIM(IF(LEN(IF(LEN(INDEX('Providers'!$L$4:$L$503,73))=0,"",INDEX('Providers'!$L$4:$L$503,73)))=0,"","Board / specialty: "&amp;IF(LEN(INDEX('Providers'!$L$4:$L$503,73))=0,"",INDEX('Providers'!$L$4:$L$503,73))&amp;". "))</f>
        <v/>
      </c>
      <c r="J1576">
        <f>IF(LEN(INDEX('Providers'!$AJ$4:$AJ$503,73))=0,"",INDEX('Providers'!$AJ$4:$AJ$503,73))</f>
        <v/>
      </c>
      <c r="K1576">
        <f>IF(LEN(INDEX('Providers'!$AI$4:$AI$503,73))=0,"",INDEX('Providers'!$AI$4:$AI$503,73))</f>
        <v/>
      </c>
    </row>
    <row r="1577">
      <c r="A1577">
        <f>IF(AND(LEN('Providers'!A77)&gt;0,ISNUMBER('Providers'!M77)),1,0)</f>
        <v/>
      </c>
      <c r="B1577">
        <f>B1576+A1577</f>
        <v/>
      </c>
      <c r="C1577">
        <f>IF(1574&gt;$B$4503,"",MATCH(1574-0.5,$B$3:$B$4503,1))</f>
        <v/>
      </c>
      <c r="D1577">
        <f>"Board certification – "&amp;IF(LEN(INDEX('Providers'!$A$4:$A$503,74))=0,"",INDEX('Providers'!$A$4:$A$503,74))</f>
        <v/>
      </c>
      <c r="E1577">
        <f>IF(ISNUMBER(INDEX('Providers'!$M$4:$M$503,74)),TEXT(INDEX('Providers'!$M$4:$M$503,74),"yyyy-mm-dd"),"")</f>
        <v/>
      </c>
      <c r="F1577">
        <f>"Certification"</f>
        <v/>
      </c>
      <c r="G1577">
        <f>""</f>
        <v/>
      </c>
      <c r="H1577">
        <f>"Medium"</f>
        <v/>
      </c>
      <c r="I1577">
        <f>TRIM(IF(LEN(IF(LEN(INDEX('Providers'!$L$4:$L$503,74))=0,"",INDEX('Providers'!$L$4:$L$503,74)))=0,"","Board / specialty: "&amp;IF(LEN(INDEX('Providers'!$L$4:$L$503,74))=0,"",INDEX('Providers'!$L$4:$L$503,74))&amp;". "))</f>
        <v/>
      </c>
      <c r="J1577">
        <f>IF(LEN(INDEX('Providers'!$AJ$4:$AJ$503,74))=0,"",INDEX('Providers'!$AJ$4:$AJ$503,74))</f>
        <v/>
      </c>
      <c r="K1577">
        <f>IF(LEN(INDEX('Providers'!$AI$4:$AI$503,74))=0,"",INDEX('Providers'!$AI$4:$AI$503,74))</f>
        <v/>
      </c>
    </row>
    <row r="1578">
      <c r="A1578">
        <f>IF(AND(LEN('Providers'!A78)&gt;0,ISNUMBER('Providers'!M78)),1,0)</f>
        <v/>
      </c>
      <c r="B1578">
        <f>B1577+A1578</f>
        <v/>
      </c>
      <c r="C1578">
        <f>IF(1575&gt;$B$4503,"",MATCH(1575-0.5,$B$3:$B$4503,1))</f>
        <v/>
      </c>
      <c r="D1578">
        <f>"Board certification – "&amp;IF(LEN(INDEX('Providers'!$A$4:$A$503,75))=0,"",INDEX('Providers'!$A$4:$A$503,75))</f>
        <v/>
      </c>
      <c r="E1578">
        <f>IF(ISNUMBER(INDEX('Providers'!$M$4:$M$503,75)),TEXT(INDEX('Providers'!$M$4:$M$503,75),"yyyy-mm-dd"),"")</f>
        <v/>
      </c>
      <c r="F1578">
        <f>"Certification"</f>
        <v/>
      </c>
      <c r="G1578">
        <f>""</f>
        <v/>
      </c>
      <c r="H1578">
        <f>"Medium"</f>
        <v/>
      </c>
      <c r="I1578">
        <f>TRIM(IF(LEN(IF(LEN(INDEX('Providers'!$L$4:$L$503,75))=0,"",INDEX('Providers'!$L$4:$L$503,75)))=0,"","Board / specialty: "&amp;IF(LEN(INDEX('Providers'!$L$4:$L$503,75))=0,"",INDEX('Providers'!$L$4:$L$503,75))&amp;". "))</f>
        <v/>
      </c>
      <c r="J1578">
        <f>IF(LEN(INDEX('Providers'!$AJ$4:$AJ$503,75))=0,"",INDEX('Providers'!$AJ$4:$AJ$503,75))</f>
        <v/>
      </c>
      <c r="K1578">
        <f>IF(LEN(INDEX('Providers'!$AI$4:$AI$503,75))=0,"",INDEX('Providers'!$AI$4:$AI$503,75))</f>
        <v/>
      </c>
    </row>
    <row r="1579">
      <c r="A1579">
        <f>IF(AND(LEN('Providers'!A79)&gt;0,ISNUMBER('Providers'!M79)),1,0)</f>
        <v/>
      </c>
      <c r="B1579">
        <f>B1578+A1579</f>
        <v/>
      </c>
      <c r="C1579">
        <f>IF(1576&gt;$B$4503,"",MATCH(1576-0.5,$B$3:$B$4503,1))</f>
        <v/>
      </c>
      <c r="D1579">
        <f>"Board certification – "&amp;IF(LEN(INDEX('Providers'!$A$4:$A$503,76))=0,"",INDEX('Providers'!$A$4:$A$503,76))</f>
        <v/>
      </c>
      <c r="E1579">
        <f>IF(ISNUMBER(INDEX('Providers'!$M$4:$M$503,76)),TEXT(INDEX('Providers'!$M$4:$M$503,76),"yyyy-mm-dd"),"")</f>
        <v/>
      </c>
      <c r="F1579">
        <f>"Certification"</f>
        <v/>
      </c>
      <c r="G1579">
        <f>""</f>
        <v/>
      </c>
      <c r="H1579">
        <f>"Medium"</f>
        <v/>
      </c>
      <c r="I1579">
        <f>TRIM(IF(LEN(IF(LEN(INDEX('Providers'!$L$4:$L$503,76))=0,"",INDEX('Providers'!$L$4:$L$503,76)))=0,"","Board / specialty: "&amp;IF(LEN(INDEX('Providers'!$L$4:$L$503,76))=0,"",INDEX('Providers'!$L$4:$L$503,76))&amp;". "))</f>
        <v/>
      </c>
      <c r="J1579">
        <f>IF(LEN(INDEX('Providers'!$AJ$4:$AJ$503,76))=0,"",INDEX('Providers'!$AJ$4:$AJ$503,76))</f>
        <v/>
      </c>
      <c r="K1579">
        <f>IF(LEN(INDEX('Providers'!$AI$4:$AI$503,76))=0,"",INDEX('Providers'!$AI$4:$AI$503,76))</f>
        <v/>
      </c>
    </row>
    <row r="1580">
      <c r="A1580">
        <f>IF(AND(LEN('Providers'!A80)&gt;0,ISNUMBER('Providers'!M80)),1,0)</f>
        <v/>
      </c>
      <c r="B1580">
        <f>B1579+A1580</f>
        <v/>
      </c>
      <c r="C1580">
        <f>IF(1577&gt;$B$4503,"",MATCH(1577-0.5,$B$3:$B$4503,1))</f>
        <v/>
      </c>
      <c r="D1580">
        <f>"Board certification – "&amp;IF(LEN(INDEX('Providers'!$A$4:$A$503,77))=0,"",INDEX('Providers'!$A$4:$A$503,77))</f>
        <v/>
      </c>
      <c r="E1580">
        <f>IF(ISNUMBER(INDEX('Providers'!$M$4:$M$503,77)),TEXT(INDEX('Providers'!$M$4:$M$503,77),"yyyy-mm-dd"),"")</f>
        <v/>
      </c>
      <c r="F1580">
        <f>"Certification"</f>
        <v/>
      </c>
      <c r="G1580">
        <f>""</f>
        <v/>
      </c>
      <c r="H1580">
        <f>"Medium"</f>
        <v/>
      </c>
      <c r="I1580">
        <f>TRIM(IF(LEN(IF(LEN(INDEX('Providers'!$L$4:$L$503,77))=0,"",INDEX('Providers'!$L$4:$L$503,77)))=0,"","Board / specialty: "&amp;IF(LEN(INDEX('Providers'!$L$4:$L$503,77))=0,"",INDEX('Providers'!$L$4:$L$503,77))&amp;". "))</f>
        <v/>
      </c>
      <c r="J1580">
        <f>IF(LEN(INDEX('Providers'!$AJ$4:$AJ$503,77))=0,"",INDEX('Providers'!$AJ$4:$AJ$503,77))</f>
        <v/>
      </c>
      <c r="K1580">
        <f>IF(LEN(INDEX('Providers'!$AI$4:$AI$503,77))=0,"",INDEX('Providers'!$AI$4:$AI$503,77))</f>
        <v/>
      </c>
    </row>
    <row r="1581">
      <c r="A1581">
        <f>IF(AND(LEN('Providers'!A81)&gt;0,ISNUMBER('Providers'!M81)),1,0)</f>
        <v/>
      </c>
      <c r="B1581">
        <f>B1580+A1581</f>
        <v/>
      </c>
      <c r="C1581">
        <f>IF(1578&gt;$B$4503,"",MATCH(1578-0.5,$B$3:$B$4503,1))</f>
        <v/>
      </c>
      <c r="D1581">
        <f>"Board certification – "&amp;IF(LEN(INDEX('Providers'!$A$4:$A$503,78))=0,"",INDEX('Providers'!$A$4:$A$503,78))</f>
        <v/>
      </c>
      <c r="E1581">
        <f>IF(ISNUMBER(INDEX('Providers'!$M$4:$M$503,78)),TEXT(INDEX('Providers'!$M$4:$M$503,78),"yyyy-mm-dd"),"")</f>
        <v/>
      </c>
      <c r="F1581">
        <f>"Certification"</f>
        <v/>
      </c>
      <c r="G1581">
        <f>""</f>
        <v/>
      </c>
      <c r="H1581">
        <f>"Medium"</f>
        <v/>
      </c>
      <c r="I1581">
        <f>TRIM(IF(LEN(IF(LEN(INDEX('Providers'!$L$4:$L$503,78))=0,"",INDEX('Providers'!$L$4:$L$503,78)))=0,"","Board / specialty: "&amp;IF(LEN(INDEX('Providers'!$L$4:$L$503,78))=0,"",INDEX('Providers'!$L$4:$L$503,78))&amp;". "))</f>
        <v/>
      </c>
      <c r="J1581">
        <f>IF(LEN(INDEX('Providers'!$AJ$4:$AJ$503,78))=0,"",INDEX('Providers'!$AJ$4:$AJ$503,78))</f>
        <v/>
      </c>
      <c r="K1581">
        <f>IF(LEN(INDEX('Providers'!$AI$4:$AI$503,78))=0,"",INDEX('Providers'!$AI$4:$AI$503,78))</f>
        <v/>
      </c>
    </row>
    <row r="1582">
      <c r="A1582">
        <f>IF(AND(LEN('Providers'!A82)&gt;0,ISNUMBER('Providers'!M82)),1,0)</f>
        <v/>
      </c>
      <c r="B1582">
        <f>B1581+A1582</f>
        <v/>
      </c>
      <c r="C1582">
        <f>IF(1579&gt;$B$4503,"",MATCH(1579-0.5,$B$3:$B$4503,1))</f>
        <v/>
      </c>
      <c r="D1582">
        <f>"Board certification – "&amp;IF(LEN(INDEX('Providers'!$A$4:$A$503,79))=0,"",INDEX('Providers'!$A$4:$A$503,79))</f>
        <v/>
      </c>
      <c r="E1582">
        <f>IF(ISNUMBER(INDEX('Providers'!$M$4:$M$503,79)),TEXT(INDEX('Providers'!$M$4:$M$503,79),"yyyy-mm-dd"),"")</f>
        <v/>
      </c>
      <c r="F1582">
        <f>"Certification"</f>
        <v/>
      </c>
      <c r="G1582">
        <f>""</f>
        <v/>
      </c>
      <c r="H1582">
        <f>"Medium"</f>
        <v/>
      </c>
      <c r="I1582">
        <f>TRIM(IF(LEN(IF(LEN(INDEX('Providers'!$L$4:$L$503,79))=0,"",INDEX('Providers'!$L$4:$L$503,79)))=0,"","Board / specialty: "&amp;IF(LEN(INDEX('Providers'!$L$4:$L$503,79))=0,"",INDEX('Providers'!$L$4:$L$503,79))&amp;". "))</f>
        <v/>
      </c>
      <c r="J1582">
        <f>IF(LEN(INDEX('Providers'!$AJ$4:$AJ$503,79))=0,"",INDEX('Providers'!$AJ$4:$AJ$503,79))</f>
        <v/>
      </c>
      <c r="K1582">
        <f>IF(LEN(INDEX('Providers'!$AI$4:$AI$503,79))=0,"",INDEX('Providers'!$AI$4:$AI$503,79))</f>
        <v/>
      </c>
    </row>
    <row r="1583">
      <c r="A1583">
        <f>IF(AND(LEN('Providers'!A83)&gt;0,ISNUMBER('Providers'!M83)),1,0)</f>
        <v/>
      </c>
      <c r="B1583">
        <f>B1582+A1583</f>
        <v/>
      </c>
      <c r="C1583">
        <f>IF(1580&gt;$B$4503,"",MATCH(1580-0.5,$B$3:$B$4503,1))</f>
        <v/>
      </c>
      <c r="D1583">
        <f>"Board certification – "&amp;IF(LEN(INDEX('Providers'!$A$4:$A$503,80))=0,"",INDEX('Providers'!$A$4:$A$503,80))</f>
        <v/>
      </c>
      <c r="E1583">
        <f>IF(ISNUMBER(INDEX('Providers'!$M$4:$M$503,80)),TEXT(INDEX('Providers'!$M$4:$M$503,80),"yyyy-mm-dd"),"")</f>
        <v/>
      </c>
      <c r="F1583">
        <f>"Certification"</f>
        <v/>
      </c>
      <c r="G1583">
        <f>""</f>
        <v/>
      </c>
      <c r="H1583">
        <f>"Medium"</f>
        <v/>
      </c>
      <c r="I1583">
        <f>TRIM(IF(LEN(IF(LEN(INDEX('Providers'!$L$4:$L$503,80))=0,"",INDEX('Providers'!$L$4:$L$503,80)))=0,"","Board / specialty: "&amp;IF(LEN(INDEX('Providers'!$L$4:$L$503,80))=0,"",INDEX('Providers'!$L$4:$L$503,80))&amp;". "))</f>
        <v/>
      </c>
      <c r="J1583">
        <f>IF(LEN(INDEX('Providers'!$AJ$4:$AJ$503,80))=0,"",INDEX('Providers'!$AJ$4:$AJ$503,80))</f>
        <v/>
      </c>
      <c r="K1583">
        <f>IF(LEN(INDEX('Providers'!$AI$4:$AI$503,80))=0,"",INDEX('Providers'!$AI$4:$AI$503,80))</f>
        <v/>
      </c>
    </row>
    <row r="1584">
      <c r="A1584">
        <f>IF(AND(LEN('Providers'!A84)&gt;0,ISNUMBER('Providers'!M84)),1,0)</f>
        <v/>
      </c>
      <c r="B1584">
        <f>B1583+A1584</f>
        <v/>
      </c>
      <c r="C1584">
        <f>IF(1581&gt;$B$4503,"",MATCH(1581-0.5,$B$3:$B$4503,1))</f>
        <v/>
      </c>
      <c r="D1584">
        <f>"Board certification – "&amp;IF(LEN(INDEX('Providers'!$A$4:$A$503,81))=0,"",INDEX('Providers'!$A$4:$A$503,81))</f>
        <v/>
      </c>
      <c r="E1584">
        <f>IF(ISNUMBER(INDEX('Providers'!$M$4:$M$503,81)),TEXT(INDEX('Providers'!$M$4:$M$503,81),"yyyy-mm-dd"),"")</f>
        <v/>
      </c>
      <c r="F1584">
        <f>"Certification"</f>
        <v/>
      </c>
      <c r="G1584">
        <f>""</f>
        <v/>
      </c>
      <c r="H1584">
        <f>"Medium"</f>
        <v/>
      </c>
      <c r="I1584">
        <f>TRIM(IF(LEN(IF(LEN(INDEX('Providers'!$L$4:$L$503,81))=0,"",INDEX('Providers'!$L$4:$L$503,81)))=0,"","Board / specialty: "&amp;IF(LEN(INDEX('Providers'!$L$4:$L$503,81))=0,"",INDEX('Providers'!$L$4:$L$503,81))&amp;". "))</f>
        <v/>
      </c>
      <c r="J1584">
        <f>IF(LEN(INDEX('Providers'!$AJ$4:$AJ$503,81))=0,"",INDEX('Providers'!$AJ$4:$AJ$503,81))</f>
        <v/>
      </c>
      <c r="K1584">
        <f>IF(LEN(INDEX('Providers'!$AI$4:$AI$503,81))=0,"",INDEX('Providers'!$AI$4:$AI$503,81))</f>
        <v/>
      </c>
    </row>
    <row r="1585">
      <c r="A1585">
        <f>IF(AND(LEN('Providers'!A85)&gt;0,ISNUMBER('Providers'!M85)),1,0)</f>
        <v/>
      </c>
      <c r="B1585">
        <f>B1584+A1585</f>
        <v/>
      </c>
      <c r="C1585">
        <f>IF(1582&gt;$B$4503,"",MATCH(1582-0.5,$B$3:$B$4503,1))</f>
        <v/>
      </c>
      <c r="D1585">
        <f>"Board certification – "&amp;IF(LEN(INDEX('Providers'!$A$4:$A$503,82))=0,"",INDEX('Providers'!$A$4:$A$503,82))</f>
        <v/>
      </c>
      <c r="E1585">
        <f>IF(ISNUMBER(INDEX('Providers'!$M$4:$M$503,82)),TEXT(INDEX('Providers'!$M$4:$M$503,82),"yyyy-mm-dd"),"")</f>
        <v/>
      </c>
      <c r="F1585">
        <f>"Certification"</f>
        <v/>
      </c>
      <c r="G1585">
        <f>""</f>
        <v/>
      </c>
      <c r="H1585">
        <f>"Medium"</f>
        <v/>
      </c>
      <c r="I1585">
        <f>TRIM(IF(LEN(IF(LEN(INDEX('Providers'!$L$4:$L$503,82))=0,"",INDEX('Providers'!$L$4:$L$503,82)))=0,"","Board / specialty: "&amp;IF(LEN(INDEX('Providers'!$L$4:$L$503,82))=0,"",INDEX('Providers'!$L$4:$L$503,82))&amp;". "))</f>
        <v/>
      </c>
      <c r="J1585">
        <f>IF(LEN(INDEX('Providers'!$AJ$4:$AJ$503,82))=0,"",INDEX('Providers'!$AJ$4:$AJ$503,82))</f>
        <v/>
      </c>
      <c r="K1585">
        <f>IF(LEN(INDEX('Providers'!$AI$4:$AI$503,82))=0,"",INDEX('Providers'!$AI$4:$AI$503,82))</f>
        <v/>
      </c>
    </row>
    <row r="1586">
      <c r="A1586">
        <f>IF(AND(LEN('Providers'!A86)&gt;0,ISNUMBER('Providers'!M86)),1,0)</f>
        <v/>
      </c>
      <c r="B1586">
        <f>B1585+A1586</f>
        <v/>
      </c>
      <c r="C1586">
        <f>IF(1583&gt;$B$4503,"",MATCH(1583-0.5,$B$3:$B$4503,1))</f>
        <v/>
      </c>
      <c r="D1586">
        <f>"Board certification – "&amp;IF(LEN(INDEX('Providers'!$A$4:$A$503,83))=0,"",INDEX('Providers'!$A$4:$A$503,83))</f>
        <v/>
      </c>
      <c r="E1586">
        <f>IF(ISNUMBER(INDEX('Providers'!$M$4:$M$503,83)),TEXT(INDEX('Providers'!$M$4:$M$503,83),"yyyy-mm-dd"),"")</f>
        <v/>
      </c>
      <c r="F1586">
        <f>"Certification"</f>
        <v/>
      </c>
      <c r="G1586">
        <f>""</f>
        <v/>
      </c>
      <c r="H1586">
        <f>"Medium"</f>
        <v/>
      </c>
      <c r="I1586">
        <f>TRIM(IF(LEN(IF(LEN(INDEX('Providers'!$L$4:$L$503,83))=0,"",INDEX('Providers'!$L$4:$L$503,83)))=0,"","Board / specialty: "&amp;IF(LEN(INDEX('Providers'!$L$4:$L$503,83))=0,"",INDEX('Providers'!$L$4:$L$503,83))&amp;". "))</f>
        <v/>
      </c>
      <c r="J1586">
        <f>IF(LEN(INDEX('Providers'!$AJ$4:$AJ$503,83))=0,"",INDEX('Providers'!$AJ$4:$AJ$503,83))</f>
        <v/>
      </c>
      <c r="K1586">
        <f>IF(LEN(INDEX('Providers'!$AI$4:$AI$503,83))=0,"",INDEX('Providers'!$AI$4:$AI$503,83))</f>
        <v/>
      </c>
    </row>
    <row r="1587">
      <c r="A1587">
        <f>IF(AND(LEN('Providers'!A87)&gt;0,ISNUMBER('Providers'!M87)),1,0)</f>
        <v/>
      </c>
      <c r="B1587">
        <f>B1586+A1587</f>
        <v/>
      </c>
      <c r="C1587">
        <f>IF(1584&gt;$B$4503,"",MATCH(1584-0.5,$B$3:$B$4503,1))</f>
        <v/>
      </c>
      <c r="D1587">
        <f>"Board certification – "&amp;IF(LEN(INDEX('Providers'!$A$4:$A$503,84))=0,"",INDEX('Providers'!$A$4:$A$503,84))</f>
        <v/>
      </c>
      <c r="E1587">
        <f>IF(ISNUMBER(INDEX('Providers'!$M$4:$M$503,84)),TEXT(INDEX('Providers'!$M$4:$M$503,84),"yyyy-mm-dd"),"")</f>
        <v/>
      </c>
      <c r="F1587">
        <f>"Certification"</f>
        <v/>
      </c>
      <c r="G1587">
        <f>""</f>
        <v/>
      </c>
      <c r="H1587">
        <f>"Medium"</f>
        <v/>
      </c>
      <c r="I1587">
        <f>TRIM(IF(LEN(IF(LEN(INDEX('Providers'!$L$4:$L$503,84))=0,"",INDEX('Providers'!$L$4:$L$503,84)))=0,"","Board / specialty: "&amp;IF(LEN(INDEX('Providers'!$L$4:$L$503,84))=0,"",INDEX('Providers'!$L$4:$L$503,84))&amp;". "))</f>
        <v/>
      </c>
      <c r="J1587">
        <f>IF(LEN(INDEX('Providers'!$AJ$4:$AJ$503,84))=0,"",INDEX('Providers'!$AJ$4:$AJ$503,84))</f>
        <v/>
      </c>
      <c r="K1587">
        <f>IF(LEN(INDEX('Providers'!$AI$4:$AI$503,84))=0,"",INDEX('Providers'!$AI$4:$AI$503,84))</f>
        <v/>
      </c>
    </row>
    <row r="1588">
      <c r="A1588">
        <f>IF(AND(LEN('Providers'!A88)&gt;0,ISNUMBER('Providers'!M88)),1,0)</f>
        <v/>
      </c>
      <c r="B1588">
        <f>B1587+A1588</f>
        <v/>
      </c>
      <c r="C1588">
        <f>IF(1585&gt;$B$4503,"",MATCH(1585-0.5,$B$3:$B$4503,1))</f>
        <v/>
      </c>
      <c r="D1588">
        <f>"Board certification – "&amp;IF(LEN(INDEX('Providers'!$A$4:$A$503,85))=0,"",INDEX('Providers'!$A$4:$A$503,85))</f>
        <v/>
      </c>
      <c r="E1588">
        <f>IF(ISNUMBER(INDEX('Providers'!$M$4:$M$503,85)),TEXT(INDEX('Providers'!$M$4:$M$503,85),"yyyy-mm-dd"),"")</f>
        <v/>
      </c>
      <c r="F1588">
        <f>"Certification"</f>
        <v/>
      </c>
      <c r="G1588">
        <f>""</f>
        <v/>
      </c>
      <c r="H1588">
        <f>"Medium"</f>
        <v/>
      </c>
      <c r="I1588">
        <f>TRIM(IF(LEN(IF(LEN(INDEX('Providers'!$L$4:$L$503,85))=0,"",INDEX('Providers'!$L$4:$L$503,85)))=0,"","Board / specialty: "&amp;IF(LEN(INDEX('Providers'!$L$4:$L$503,85))=0,"",INDEX('Providers'!$L$4:$L$503,85))&amp;". "))</f>
        <v/>
      </c>
      <c r="J1588">
        <f>IF(LEN(INDEX('Providers'!$AJ$4:$AJ$503,85))=0,"",INDEX('Providers'!$AJ$4:$AJ$503,85))</f>
        <v/>
      </c>
      <c r="K1588">
        <f>IF(LEN(INDEX('Providers'!$AI$4:$AI$503,85))=0,"",INDEX('Providers'!$AI$4:$AI$503,85))</f>
        <v/>
      </c>
    </row>
    <row r="1589">
      <c r="A1589">
        <f>IF(AND(LEN('Providers'!A89)&gt;0,ISNUMBER('Providers'!M89)),1,0)</f>
        <v/>
      </c>
      <c r="B1589">
        <f>B1588+A1589</f>
        <v/>
      </c>
      <c r="C1589">
        <f>IF(1586&gt;$B$4503,"",MATCH(1586-0.5,$B$3:$B$4503,1))</f>
        <v/>
      </c>
      <c r="D1589">
        <f>"Board certification – "&amp;IF(LEN(INDEX('Providers'!$A$4:$A$503,86))=0,"",INDEX('Providers'!$A$4:$A$503,86))</f>
        <v/>
      </c>
      <c r="E1589">
        <f>IF(ISNUMBER(INDEX('Providers'!$M$4:$M$503,86)),TEXT(INDEX('Providers'!$M$4:$M$503,86),"yyyy-mm-dd"),"")</f>
        <v/>
      </c>
      <c r="F1589">
        <f>"Certification"</f>
        <v/>
      </c>
      <c r="G1589">
        <f>""</f>
        <v/>
      </c>
      <c r="H1589">
        <f>"Medium"</f>
        <v/>
      </c>
      <c r="I1589">
        <f>TRIM(IF(LEN(IF(LEN(INDEX('Providers'!$L$4:$L$503,86))=0,"",INDEX('Providers'!$L$4:$L$503,86)))=0,"","Board / specialty: "&amp;IF(LEN(INDEX('Providers'!$L$4:$L$503,86))=0,"",INDEX('Providers'!$L$4:$L$503,86))&amp;". "))</f>
        <v/>
      </c>
      <c r="J1589">
        <f>IF(LEN(INDEX('Providers'!$AJ$4:$AJ$503,86))=0,"",INDEX('Providers'!$AJ$4:$AJ$503,86))</f>
        <v/>
      </c>
      <c r="K1589">
        <f>IF(LEN(INDEX('Providers'!$AI$4:$AI$503,86))=0,"",INDEX('Providers'!$AI$4:$AI$503,86))</f>
        <v/>
      </c>
    </row>
    <row r="1590">
      <c r="A1590">
        <f>IF(AND(LEN('Providers'!A90)&gt;0,ISNUMBER('Providers'!M90)),1,0)</f>
        <v/>
      </c>
      <c r="B1590">
        <f>B1589+A1590</f>
        <v/>
      </c>
      <c r="C1590">
        <f>IF(1587&gt;$B$4503,"",MATCH(1587-0.5,$B$3:$B$4503,1))</f>
        <v/>
      </c>
      <c r="D1590">
        <f>"Board certification – "&amp;IF(LEN(INDEX('Providers'!$A$4:$A$503,87))=0,"",INDEX('Providers'!$A$4:$A$503,87))</f>
        <v/>
      </c>
      <c r="E1590">
        <f>IF(ISNUMBER(INDEX('Providers'!$M$4:$M$503,87)),TEXT(INDEX('Providers'!$M$4:$M$503,87),"yyyy-mm-dd"),"")</f>
        <v/>
      </c>
      <c r="F1590">
        <f>"Certification"</f>
        <v/>
      </c>
      <c r="G1590">
        <f>""</f>
        <v/>
      </c>
      <c r="H1590">
        <f>"Medium"</f>
        <v/>
      </c>
      <c r="I1590">
        <f>TRIM(IF(LEN(IF(LEN(INDEX('Providers'!$L$4:$L$503,87))=0,"",INDEX('Providers'!$L$4:$L$503,87)))=0,"","Board / specialty: "&amp;IF(LEN(INDEX('Providers'!$L$4:$L$503,87))=0,"",INDEX('Providers'!$L$4:$L$503,87))&amp;". "))</f>
        <v/>
      </c>
      <c r="J1590">
        <f>IF(LEN(INDEX('Providers'!$AJ$4:$AJ$503,87))=0,"",INDEX('Providers'!$AJ$4:$AJ$503,87))</f>
        <v/>
      </c>
      <c r="K1590">
        <f>IF(LEN(INDEX('Providers'!$AI$4:$AI$503,87))=0,"",INDEX('Providers'!$AI$4:$AI$503,87))</f>
        <v/>
      </c>
    </row>
    <row r="1591">
      <c r="A1591">
        <f>IF(AND(LEN('Providers'!A91)&gt;0,ISNUMBER('Providers'!M91)),1,0)</f>
        <v/>
      </c>
      <c r="B1591">
        <f>B1590+A1591</f>
        <v/>
      </c>
      <c r="C1591">
        <f>IF(1588&gt;$B$4503,"",MATCH(1588-0.5,$B$3:$B$4503,1))</f>
        <v/>
      </c>
      <c r="D1591">
        <f>"Board certification – "&amp;IF(LEN(INDEX('Providers'!$A$4:$A$503,88))=0,"",INDEX('Providers'!$A$4:$A$503,88))</f>
        <v/>
      </c>
      <c r="E1591">
        <f>IF(ISNUMBER(INDEX('Providers'!$M$4:$M$503,88)),TEXT(INDEX('Providers'!$M$4:$M$503,88),"yyyy-mm-dd"),"")</f>
        <v/>
      </c>
      <c r="F1591">
        <f>"Certification"</f>
        <v/>
      </c>
      <c r="G1591">
        <f>""</f>
        <v/>
      </c>
      <c r="H1591">
        <f>"Medium"</f>
        <v/>
      </c>
      <c r="I1591">
        <f>TRIM(IF(LEN(IF(LEN(INDEX('Providers'!$L$4:$L$503,88))=0,"",INDEX('Providers'!$L$4:$L$503,88)))=0,"","Board / specialty: "&amp;IF(LEN(INDEX('Providers'!$L$4:$L$503,88))=0,"",INDEX('Providers'!$L$4:$L$503,88))&amp;". "))</f>
        <v/>
      </c>
      <c r="J1591">
        <f>IF(LEN(INDEX('Providers'!$AJ$4:$AJ$503,88))=0,"",INDEX('Providers'!$AJ$4:$AJ$503,88))</f>
        <v/>
      </c>
      <c r="K1591">
        <f>IF(LEN(INDEX('Providers'!$AI$4:$AI$503,88))=0,"",INDEX('Providers'!$AI$4:$AI$503,88))</f>
        <v/>
      </c>
    </row>
    <row r="1592">
      <c r="A1592">
        <f>IF(AND(LEN('Providers'!A92)&gt;0,ISNUMBER('Providers'!M92)),1,0)</f>
        <v/>
      </c>
      <c r="B1592">
        <f>B1591+A1592</f>
        <v/>
      </c>
      <c r="C1592">
        <f>IF(1589&gt;$B$4503,"",MATCH(1589-0.5,$B$3:$B$4503,1))</f>
        <v/>
      </c>
      <c r="D1592">
        <f>"Board certification – "&amp;IF(LEN(INDEX('Providers'!$A$4:$A$503,89))=0,"",INDEX('Providers'!$A$4:$A$503,89))</f>
        <v/>
      </c>
      <c r="E1592">
        <f>IF(ISNUMBER(INDEX('Providers'!$M$4:$M$503,89)),TEXT(INDEX('Providers'!$M$4:$M$503,89),"yyyy-mm-dd"),"")</f>
        <v/>
      </c>
      <c r="F1592">
        <f>"Certification"</f>
        <v/>
      </c>
      <c r="G1592">
        <f>""</f>
        <v/>
      </c>
      <c r="H1592">
        <f>"Medium"</f>
        <v/>
      </c>
      <c r="I1592">
        <f>TRIM(IF(LEN(IF(LEN(INDEX('Providers'!$L$4:$L$503,89))=0,"",INDEX('Providers'!$L$4:$L$503,89)))=0,"","Board / specialty: "&amp;IF(LEN(INDEX('Providers'!$L$4:$L$503,89))=0,"",INDEX('Providers'!$L$4:$L$503,89))&amp;". "))</f>
        <v/>
      </c>
      <c r="J1592">
        <f>IF(LEN(INDEX('Providers'!$AJ$4:$AJ$503,89))=0,"",INDEX('Providers'!$AJ$4:$AJ$503,89))</f>
        <v/>
      </c>
      <c r="K1592">
        <f>IF(LEN(INDEX('Providers'!$AI$4:$AI$503,89))=0,"",INDEX('Providers'!$AI$4:$AI$503,89))</f>
        <v/>
      </c>
    </row>
    <row r="1593">
      <c r="A1593">
        <f>IF(AND(LEN('Providers'!A93)&gt;0,ISNUMBER('Providers'!M93)),1,0)</f>
        <v/>
      </c>
      <c r="B1593">
        <f>B1592+A1593</f>
        <v/>
      </c>
      <c r="C1593">
        <f>IF(1590&gt;$B$4503,"",MATCH(1590-0.5,$B$3:$B$4503,1))</f>
        <v/>
      </c>
      <c r="D1593">
        <f>"Board certification – "&amp;IF(LEN(INDEX('Providers'!$A$4:$A$503,90))=0,"",INDEX('Providers'!$A$4:$A$503,90))</f>
        <v/>
      </c>
      <c r="E1593">
        <f>IF(ISNUMBER(INDEX('Providers'!$M$4:$M$503,90)),TEXT(INDEX('Providers'!$M$4:$M$503,90),"yyyy-mm-dd"),"")</f>
        <v/>
      </c>
      <c r="F1593">
        <f>"Certification"</f>
        <v/>
      </c>
      <c r="G1593">
        <f>""</f>
        <v/>
      </c>
      <c r="H1593">
        <f>"Medium"</f>
        <v/>
      </c>
      <c r="I1593">
        <f>TRIM(IF(LEN(IF(LEN(INDEX('Providers'!$L$4:$L$503,90))=0,"",INDEX('Providers'!$L$4:$L$503,90)))=0,"","Board / specialty: "&amp;IF(LEN(INDEX('Providers'!$L$4:$L$503,90))=0,"",INDEX('Providers'!$L$4:$L$503,90))&amp;". "))</f>
        <v/>
      </c>
      <c r="J1593">
        <f>IF(LEN(INDEX('Providers'!$AJ$4:$AJ$503,90))=0,"",INDEX('Providers'!$AJ$4:$AJ$503,90))</f>
        <v/>
      </c>
      <c r="K1593">
        <f>IF(LEN(INDEX('Providers'!$AI$4:$AI$503,90))=0,"",INDEX('Providers'!$AI$4:$AI$503,90))</f>
        <v/>
      </c>
    </row>
    <row r="1594">
      <c r="A1594">
        <f>IF(AND(LEN('Providers'!A94)&gt;0,ISNUMBER('Providers'!M94)),1,0)</f>
        <v/>
      </c>
      <c r="B1594">
        <f>B1593+A1594</f>
        <v/>
      </c>
      <c r="C1594">
        <f>IF(1591&gt;$B$4503,"",MATCH(1591-0.5,$B$3:$B$4503,1))</f>
        <v/>
      </c>
      <c r="D1594">
        <f>"Board certification – "&amp;IF(LEN(INDEX('Providers'!$A$4:$A$503,91))=0,"",INDEX('Providers'!$A$4:$A$503,91))</f>
        <v/>
      </c>
      <c r="E1594">
        <f>IF(ISNUMBER(INDEX('Providers'!$M$4:$M$503,91)),TEXT(INDEX('Providers'!$M$4:$M$503,91),"yyyy-mm-dd"),"")</f>
        <v/>
      </c>
      <c r="F1594">
        <f>"Certification"</f>
        <v/>
      </c>
      <c r="G1594">
        <f>""</f>
        <v/>
      </c>
      <c r="H1594">
        <f>"Medium"</f>
        <v/>
      </c>
      <c r="I1594">
        <f>TRIM(IF(LEN(IF(LEN(INDEX('Providers'!$L$4:$L$503,91))=0,"",INDEX('Providers'!$L$4:$L$503,91)))=0,"","Board / specialty: "&amp;IF(LEN(INDEX('Providers'!$L$4:$L$503,91))=0,"",INDEX('Providers'!$L$4:$L$503,91))&amp;". "))</f>
        <v/>
      </c>
      <c r="J1594">
        <f>IF(LEN(INDEX('Providers'!$AJ$4:$AJ$503,91))=0,"",INDEX('Providers'!$AJ$4:$AJ$503,91))</f>
        <v/>
      </c>
      <c r="K1594">
        <f>IF(LEN(INDEX('Providers'!$AI$4:$AI$503,91))=0,"",INDEX('Providers'!$AI$4:$AI$503,91))</f>
        <v/>
      </c>
    </row>
    <row r="1595">
      <c r="A1595">
        <f>IF(AND(LEN('Providers'!A95)&gt;0,ISNUMBER('Providers'!M95)),1,0)</f>
        <v/>
      </c>
      <c r="B1595">
        <f>B1594+A1595</f>
        <v/>
      </c>
      <c r="C1595">
        <f>IF(1592&gt;$B$4503,"",MATCH(1592-0.5,$B$3:$B$4503,1))</f>
        <v/>
      </c>
      <c r="D1595">
        <f>"Board certification – "&amp;IF(LEN(INDEX('Providers'!$A$4:$A$503,92))=0,"",INDEX('Providers'!$A$4:$A$503,92))</f>
        <v/>
      </c>
      <c r="E1595">
        <f>IF(ISNUMBER(INDEX('Providers'!$M$4:$M$503,92)),TEXT(INDEX('Providers'!$M$4:$M$503,92),"yyyy-mm-dd"),"")</f>
        <v/>
      </c>
      <c r="F1595">
        <f>"Certification"</f>
        <v/>
      </c>
      <c r="G1595">
        <f>""</f>
        <v/>
      </c>
      <c r="H1595">
        <f>"Medium"</f>
        <v/>
      </c>
      <c r="I1595">
        <f>TRIM(IF(LEN(IF(LEN(INDEX('Providers'!$L$4:$L$503,92))=0,"",INDEX('Providers'!$L$4:$L$503,92)))=0,"","Board / specialty: "&amp;IF(LEN(INDEX('Providers'!$L$4:$L$503,92))=0,"",INDEX('Providers'!$L$4:$L$503,92))&amp;". "))</f>
        <v/>
      </c>
      <c r="J1595">
        <f>IF(LEN(INDEX('Providers'!$AJ$4:$AJ$503,92))=0,"",INDEX('Providers'!$AJ$4:$AJ$503,92))</f>
        <v/>
      </c>
      <c r="K1595">
        <f>IF(LEN(INDEX('Providers'!$AI$4:$AI$503,92))=0,"",INDEX('Providers'!$AI$4:$AI$503,92))</f>
        <v/>
      </c>
    </row>
    <row r="1596">
      <c r="A1596">
        <f>IF(AND(LEN('Providers'!A96)&gt;0,ISNUMBER('Providers'!M96)),1,0)</f>
        <v/>
      </c>
      <c r="B1596">
        <f>B1595+A1596</f>
        <v/>
      </c>
      <c r="C1596">
        <f>IF(1593&gt;$B$4503,"",MATCH(1593-0.5,$B$3:$B$4503,1))</f>
        <v/>
      </c>
      <c r="D1596">
        <f>"Board certification – "&amp;IF(LEN(INDEX('Providers'!$A$4:$A$503,93))=0,"",INDEX('Providers'!$A$4:$A$503,93))</f>
        <v/>
      </c>
      <c r="E1596">
        <f>IF(ISNUMBER(INDEX('Providers'!$M$4:$M$503,93)),TEXT(INDEX('Providers'!$M$4:$M$503,93),"yyyy-mm-dd"),"")</f>
        <v/>
      </c>
      <c r="F1596">
        <f>"Certification"</f>
        <v/>
      </c>
      <c r="G1596">
        <f>""</f>
        <v/>
      </c>
      <c r="H1596">
        <f>"Medium"</f>
        <v/>
      </c>
      <c r="I1596">
        <f>TRIM(IF(LEN(IF(LEN(INDEX('Providers'!$L$4:$L$503,93))=0,"",INDEX('Providers'!$L$4:$L$503,93)))=0,"","Board / specialty: "&amp;IF(LEN(INDEX('Providers'!$L$4:$L$503,93))=0,"",INDEX('Providers'!$L$4:$L$503,93))&amp;". "))</f>
        <v/>
      </c>
      <c r="J1596">
        <f>IF(LEN(INDEX('Providers'!$AJ$4:$AJ$503,93))=0,"",INDEX('Providers'!$AJ$4:$AJ$503,93))</f>
        <v/>
      </c>
      <c r="K1596">
        <f>IF(LEN(INDEX('Providers'!$AI$4:$AI$503,93))=0,"",INDEX('Providers'!$AI$4:$AI$503,93))</f>
        <v/>
      </c>
    </row>
    <row r="1597">
      <c r="A1597">
        <f>IF(AND(LEN('Providers'!A97)&gt;0,ISNUMBER('Providers'!M97)),1,0)</f>
        <v/>
      </c>
      <c r="B1597">
        <f>B1596+A1597</f>
        <v/>
      </c>
      <c r="C1597">
        <f>IF(1594&gt;$B$4503,"",MATCH(1594-0.5,$B$3:$B$4503,1))</f>
        <v/>
      </c>
      <c r="D1597">
        <f>"Board certification – "&amp;IF(LEN(INDEX('Providers'!$A$4:$A$503,94))=0,"",INDEX('Providers'!$A$4:$A$503,94))</f>
        <v/>
      </c>
      <c r="E1597">
        <f>IF(ISNUMBER(INDEX('Providers'!$M$4:$M$503,94)),TEXT(INDEX('Providers'!$M$4:$M$503,94),"yyyy-mm-dd"),"")</f>
        <v/>
      </c>
      <c r="F1597">
        <f>"Certification"</f>
        <v/>
      </c>
      <c r="G1597">
        <f>""</f>
        <v/>
      </c>
      <c r="H1597">
        <f>"Medium"</f>
        <v/>
      </c>
      <c r="I1597">
        <f>TRIM(IF(LEN(IF(LEN(INDEX('Providers'!$L$4:$L$503,94))=0,"",INDEX('Providers'!$L$4:$L$503,94)))=0,"","Board / specialty: "&amp;IF(LEN(INDEX('Providers'!$L$4:$L$503,94))=0,"",INDEX('Providers'!$L$4:$L$503,94))&amp;". "))</f>
        <v/>
      </c>
      <c r="J1597">
        <f>IF(LEN(INDEX('Providers'!$AJ$4:$AJ$503,94))=0,"",INDEX('Providers'!$AJ$4:$AJ$503,94))</f>
        <v/>
      </c>
      <c r="K1597">
        <f>IF(LEN(INDEX('Providers'!$AI$4:$AI$503,94))=0,"",INDEX('Providers'!$AI$4:$AI$503,94))</f>
        <v/>
      </c>
    </row>
    <row r="1598">
      <c r="A1598">
        <f>IF(AND(LEN('Providers'!A98)&gt;0,ISNUMBER('Providers'!M98)),1,0)</f>
        <v/>
      </c>
      <c r="B1598">
        <f>B1597+A1598</f>
        <v/>
      </c>
      <c r="C1598">
        <f>IF(1595&gt;$B$4503,"",MATCH(1595-0.5,$B$3:$B$4503,1))</f>
        <v/>
      </c>
      <c r="D1598">
        <f>"Board certification – "&amp;IF(LEN(INDEX('Providers'!$A$4:$A$503,95))=0,"",INDEX('Providers'!$A$4:$A$503,95))</f>
        <v/>
      </c>
      <c r="E1598">
        <f>IF(ISNUMBER(INDEX('Providers'!$M$4:$M$503,95)),TEXT(INDEX('Providers'!$M$4:$M$503,95),"yyyy-mm-dd"),"")</f>
        <v/>
      </c>
      <c r="F1598">
        <f>"Certification"</f>
        <v/>
      </c>
      <c r="G1598">
        <f>""</f>
        <v/>
      </c>
      <c r="H1598">
        <f>"Medium"</f>
        <v/>
      </c>
      <c r="I1598">
        <f>TRIM(IF(LEN(IF(LEN(INDEX('Providers'!$L$4:$L$503,95))=0,"",INDEX('Providers'!$L$4:$L$503,95)))=0,"","Board / specialty: "&amp;IF(LEN(INDEX('Providers'!$L$4:$L$503,95))=0,"",INDEX('Providers'!$L$4:$L$503,95))&amp;". "))</f>
        <v/>
      </c>
      <c r="J1598">
        <f>IF(LEN(INDEX('Providers'!$AJ$4:$AJ$503,95))=0,"",INDEX('Providers'!$AJ$4:$AJ$503,95))</f>
        <v/>
      </c>
      <c r="K1598">
        <f>IF(LEN(INDEX('Providers'!$AI$4:$AI$503,95))=0,"",INDEX('Providers'!$AI$4:$AI$503,95))</f>
        <v/>
      </c>
    </row>
    <row r="1599">
      <c r="A1599">
        <f>IF(AND(LEN('Providers'!A99)&gt;0,ISNUMBER('Providers'!M99)),1,0)</f>
        <v/>
      </c>
      <c r="B1599">
        <f>B1598+A1599</f>
        <v/>
      </c>
      <c r="C1599">
        <f>IF(1596&gt;$B$4503,"",MATCH(1596-0.5,$B$3:$B$4503,1))</f>
        <v/>
      </c>
      <c r="D1599">
        <f>"Board certification – "&amp;IF(LEN(INDEX('Providers'!$A$4:$A$503,96))=0,"",INDEX('Providers'!$A$4:$A$503,96))</f>
        <v/>
      </c>
      <c r="E1599">
        <f>IF(ISNUMBER(INDEX('Providers'!$M$4:$M$503,96)),TEXT(INDEX('Providers'!$M$4:$M$503,96),"yyyy-mm-dd"),"")</f>
        <v/>
      </c>
      <c r="F1599">
        <f>"Certification"</f>
        <v/>
      </c>
      <c r="G1599">
        <f>""</f>
        <v/>
      </c>
      <c r="H1599">
        <f>"Medium"</f>
        <v/>
      </c>
      <c r="I1599">
        <f>TRIM(IF(LEN(IF(LEN(INDEX('Providers'!$L$4:$L$503,96))=0,"",INDEX('Providers'!$L$4:$L$503,96)))=0,"","Board / specialty: "&amp;IF(LEN(INDEX('Providers'!$L$4:$L$503,96))=0,"",INDEX('Providers'!$L$4:$L$503,96))&amp;". "))</f>
        <v/>
      </c>
      <c r="J1599">
        <f>IF(LEN(INDEX('Providers'!$AJ$4:$AJ$503,96))=0,"",INDEX('Providers'!$AJ$4:$AJ$503,96))</f>
        <v/>
      </c>
      <c r="K1599">
        <f>IF(LEN(INDEX('Providers'!$AI$4:$AI$503,96))=0,"",INDEX('Providers'!$AI$4:$AI$503,96))</f>
        <v/>
      </c>
    </row>
    <row r="1600">
      <c r="A1600">
        <f>IF(AND(LEN('Providers'!A100)&gt;0,ISNUMBER('Providers'!M100)),1,0)</f>
        <v/>
      </c>
      <c r="B1600">
        <f>B1599+A1600</f>
        <v/>
      </c>
      <c r="C1600">
        <f>IF(1597&gt;$B$4503,"",MATCH(1597-0.5,$B$3:$B$4503,1))</f>
        <v/>
      </c>
      <c r="D1600">
        <f>"Board certification – "&amp;IF(LEN(INDEX('Providers'!$A$4:$A$503,97))=0,"",INDEX('Providers'!$A$4:$A$503,97))</f>
        <v/>
      </c>
      <c r="E1600">
        <f>IF(ISNUMBER(INDEX('Providers'!$M$4:$M$503,97)),TEXT(INDEX('Providers'!$M$4:$M$503,97),"yyyy-mm-dd"),"")</f>
        <v/>
      </c>
      <c r="F1600">
        <f>"Certification"</f>
        <v/>
      </c>
      <c r="G1600">
        <f>""</f>
        <v/>
      </c>
      <c r="H1600">
        <f>"Medium"</f>
        <v/>
      </c>
      <c r="I1600">
        <f>TRIM(IF(LEN(IF(LEN(INDEX('Providers'!$L$4:$L$503,97))=0,"",INDEX('Providers'!$L$4:$L$503,97)))=0,"","Board / specialty: "&amp;IF(LEN(INDEX('Providers'!$L$4:$L$503,97))=0,"",INDEX('Providers'!$L$4:$L$503,97))&amp;". "))</f>
        <v/>
      </c>
      <c r="J1600">
        <f>IF(LEN(INDEX('Providers'!$AJ$4:$AJ$503,97))=0,"",INDEX('Providers'!$AJ$4:$AJ$503,97))</f>
        <v/>
      </c>
      <c r="K1600">
        <f>IF(LEN(INDEX('Providers'!$AI$4:$AI$503,97))=0,"",INDEX('Providers'!$AI$4:$AI$503,97))</f>
        <v/>
      </c>
    </row>
    <row r="1601">
      <c r="A1601">
        <f>IF(AND(LEN('Providers'!A101)&gt;0,ISNUMBER('Providers'!M101)),1,0)</f>
        <v/>
      </c>
      <c r="B1601">
        <f>B1600+A1601</f>
        <v/>
      </c>
      <c r="C1601">
        <f>IF(1598&gt;$B$4503,"",MATCH(1598-0.5,$B$3:$B$4503,1))</f>
        <v/>
      </c>
      <c r="D1601">
        <f>"Board certification – "&amp;IF(LEN(INDEX('Providers'!$A$4:$A$503,98))=0,"",INDEX('Providers'!$A$4:$A$503,98))</f>
        <v/>
      </c>
      <c r="E1601">
        <f>IF(ISNUMBER(INDEX('Providers'!$M$4:$M$503,98)),TEXT(INDEX('Providers'!$M$4:$M$503,98),"yyyy-mm-dd"),"")</f>
        <v/>
      </c>
      <c r="F1601">
        <f>"Certification"</f>
        <v/>
      </c>
      <c r="G1601">
        <f>""</f>
        <v/>
      </c>
      <c r="H1601">
        <f>"Medium"</f>
        <v/>
      </c>
      <c r="I1601">
        <f>TRIM(IF(LEN(IF(LEN(INDEX('Providers'!$L$4:$L$503,98))=0,"",INDEX('Providers'!$L$4:$L$503,98)))=0,"","Board / specialty: "&amp;IF(LEN(INDEX('Providers'!$L$4:$L$503,98))=0,"",INDEX('Providers'!$L$4:$L$503,98))&amp;". "))</f>
        <v/>
      </c>
      <c r="J1601">
        <f>IF(LEN(INDEX('Providers'!$AJ$4:$AJ$503,98))=0,"",INDEX('Providers'!$AJ$4:$AJ$503,98))</f>
        <v/>
      </c>
      <c r="K1601">
        <f>IF(LEN(INDEX('Providers'!$AI$4:$AI$503,98))=0,"",INDEX('Providers'!$AI$4:$AI$503,98))</f>
        <v/>
      </c>
    </row>
    <row r="1602">
      <c r="A1602">
        <f>IF(AND(LEN('Providers'!A102)&gt;0,ISNUMBER('Providers'!M102)),1,0)</f>
        <v/>
      </c>
      <c r="B1602">
        <f>B1601+A1602</f>
        <v/>
      </c>
      <c r="C1602">
        <f>IF(1599&gt;$B$4503,"",MATCH(1599-0.5,$B$3:$B$4503,1))</f>
        <v/>
      </c>
      <c r="D1602">
        <f>"Board certification – "&amp;IF(LEN(INDEX('Providers'!$A$4:$A$503,99))=0,"",INDEX('Providers'!$A$4:$A$503,99))</f>
        <v/>
      </c>
      <c r="E1602">
        <f>IF(ISNUMBER(INDEX('Providers'!$M$4:$M$503,99)),TEXT(INDEX('Providers'!$M$4:$M$503,99),"yyyy-mm-dd"),"")</f>
        <v/>
      </c>
      <c r="F1602">
        <f>"Certification"</f>
        <v/>
      </c>
      <c r="G1602">
        <f>""</f>
        <v/>
      </c>
      <c r="H1602">
        <f>"Medium"</f>
        <v/>
      </c>
      <c r="I1602">
        <f>TRIM(IF(LEN(IF(LEN(INDEX('Providers'!$L$4:$L$503,99))=0,"",INDEX('Providers'!$L$4:$L$503,99)))=0,"","Board / specialty: "&amp;IF(LEN(INDEX('Providers'!$L$4:$L$503,99))=0,"",INDEX('Providers'!$L$4:$L$503,99))&amp;". "))</f>
        <v/>
      </c>
      <c r="J1602">
        <f>IF(LEN(INDEX('Providers'!$AJ$4:$AJ$503,99))=0,"",INDEX('Providers'!$AJ$4:$AJ$503,99))</f>
        <v/>
      </c>
      <c r="K1602">
        <f>IF(LEN(INDEX('Providers'!$AI$4:$AI$503,99))=0,"",INDEX('Providers'!$AI$4:$AI$503,99))</f>
        <v/>
      </c>
    </row>
    <row r="1603">
      <c r="A1603">
        <f>IF(AND(LEN('Providers'!A103)&gt;0,ISNUMBER('Providers'!M103)),1,0)</f>
        <v/>
      </c>
      <c r="B1603">
        <f>B1602+A1603</f>
        <v/>
      </c>
      <c r="C1603">
        <f>IF(1600&gt;$B$4503,"",MATCH(1600-0.5,$B$3:$B$4503,1))</f>
        <v/>
      </c>
      <c r="D1603">
        <f>"Board certification – "&amp;IF(LEN(INDEX('Providers'!$A$4:$A$503,100))=0,"",INDEX('Providers'!$A$4:$A$503,100))</f>
        <v/>
      </c>
      <c r="E1603">
        <f>IF(ISNUMBER(INDEX('Providers'!$M$4:$M$503,100)),TEXT(INDEX('Providers'!$M$4:$M$503,100),"yyyy-mm-dd"),"")</f>
        <v/>
      </c>
      <c r="F1603">
        <f>"Certification"</f>
        <v/>
      </c>
      <c r="G1603">
        <f>""</f>
        <v/>
      </c>
      <c r="H1603">
        <f>"Medium"</f>
        <v/>
      </c>
      <c r="I1603">
        <f>TRIM(IF(LEN(IF(LEN(INDEX('Providers'!$L$4:$L$503,100))=0,"",INDEX('Providers'!$L$4:$L$503,100)))=0,"","Board / specialty: "&amp;IF(LEN(INDEX('Providers'!$L$4:$L$503,100))=0,"",INDEX('Providers'!$L$4:$L$503,100))&amp;". "))</f>
        <v/>
      </c>
      <c r="J1603">
        <f>IF(LEN(INDEX('Providers'!$AJ$4:$AJ$503,100))=0,"",INDEX('Providers'!$AJ$4:$AJ$503,100))</f>
        <v/>
      </c>
      <c r="K1603">
        <f>IF(LEN(INDEX('Providers'!$AI$4:$AI$503,100))=0,"",INDEX('Providers'!$AI$4:$AI$503,100))</f>
        <v/>
      </c>
    </row>
    <row r="1604">
      <c r="A1604">
        <f>IF(AND(LEN('Providers'!A104)&gt;0,ISNUMBER('Providers'!M104)),1,0)</f>
        <v/>
      </c>
      <c r="B1604">
        <f>B1603+A1604</f>
        <v/>
      </c>
      <c r="C1604">
        <f>IF(1601&gt;$B$4503,"",MATCH(1601-0.5,$B$3:$B$4503,1))</f>
        <v/>
      </c>
      <c r="D1604">
        <f>"Board certification – "&amp;IF(LEN(INDEX('Providers'!$A$4:$A$503,101))=0,"",INDEX('Providers'!$A$4:$A$503,101))</f>
        <v/>
      </c>
      <c r="E1604">
        <f>IF(ISNUMBER(INDEX('Providers'!$M$4:$M$503,101)),TEXT(INDEX('Providers'!$M$4:$M$503,101),"yyyy-mm-dd"),"")</f>
        <v/>
      </c>
      <c r="F1604">
        <f>"Certification"</f>
        <v/>
      </c>
      <c r="G1604">
        <f>""</f>
        <v/>
      </c>
      <c r="H1604">
        <f>"Medium"</f>
        <v/>
      </c>
      <c r="I1604">
        <f>TRIM(IF(LEN(IF(LEN(INDEX('Providers'!$L$4:$L$503,101))=0,"",INDEX('Providers'!$L$4:$L$503,101)))=0,"","Board / specialty: "&amp;IF(LEN(INDEX('Providers'!$L$4:$L$503,101))=0,"",INDEX('Providers'!$L$4:$L$503,101))&amp;". "))</f>
        <v/>
      </c>
      <c r="J1604">
        <f>IF(LEN(INDEX('Providers'!$AJ$4:$AJ$503,101))=0,"",INDEX('Providers'!$AJ$4:$AJ$503,101))</f>
        <v/>
      </c>
      <c r="K1604">
        <f>IF(LEN(INDEX('Providers'!$AI$4:$AI$503,101))=0,"",INDEX('Providers'!$AI$4:$AI$503,101))</f>
        <v/>
      </c>
    </row>
    <row r="1605">
      <c r="A1605">
        <f>IF(AND(LEN('Providers'!A105)&gt;0,ISNUMBER('Providers'!M105)),1,0)</f>
        <v/>
      </c>
      <c r="B1605">
        <f>B1604+A1605</f>
        <v/>
      </c>
      <c r="C1605">
        <f>IF(1602&gt;$B$4503,"",MATCH(1602-0.5,$B$3:$B$4503,1))</f>
        <v/>
      </c>
      <c r="D1605">
        <f>"Board certification – "&amp;IF(LEN(INDEX('Providers'!$A$4:$A$503,102))=0,"",INDEX('Providers'!$A$4:$A$503,102))</f>
        <v/>
      </c>
      <c r="E1605">
        <f>IF(ISNUMBER(INDEX('Providers'!$M$4:$M$503,102)),TEXT(INDEX('Providers'!$M$4:$M$503,102),"yyyy-mm-dd"),"")</f>
        <v/>
      </c>
      <c r="F1605">
        <f>"Certification"</f>
        <v/>
      </c>
      <c r="G1605">
        <f>""</f>
        <v/>
      </c>
      <c r="H1605">
        <f>"Medium"</f>
        <v/>
      </c>
      <c r="I1605">
        <f>TRIM(IF(LEN(IF(LEN(INDEX('Providers'!$L$4:$L$503,102))=0,"",INDEX('Providers'!$L$4:$L$503,102)))=0,"","Board / specialty: "&amp;IF(LEN(INDEX('Providers'!$L$4:$L$503,102))=0,"",INDEX('Providers'!$L$4:$L$503,102))&amp;". "))</f>
        <v/>
      </c>
      <c r="J1605">
        <f>IF(LEN(INDEX('Providers'!$AJ$4:$AJ$503,102))=0,"",INDEX('Providers'!$AJ$4:$AJ$503,102))</f>
        <v/>
      </c>
      <c r="K1605">
        <f>IF(LEN(INDEX('Providers'!$AI$4:$AI$503,102))=0,"",INDEX('Providers'!$AI$4:$AI$503,102))</f>
        <v/>
      </c>
    </row>
    <row r="1606">
      <c r="A1606">
        <f>IF(AND(LEN('Providers'!A106)&gt;0,ISNUMBER('Providers'!M106)),1,0)</f>
        <v/>
      </c>
      <c r="B1606">
        <f>B1605+A1606</f>
        <v/>
      </c>
      <c r="C1606">
        <f>IF(1603&gt;$B$4503,"",MATCH(1603-0.5,$B$3:$B$4503,1))</f>
        <v/>
      </c>
      <c r="D1606">
        <f>"Board certification – "&amp;IF(LEN(INDEX('Providers'!$A$4:$A$503,103))=0,"",INDEX('Providers'!$A$4:$A$503,103))</f>
        <v/>
      </c>
      <c r="E1606">
        <f>IF(ISNUMBER(INDEX('Providers'!$M$4:$M$503,103)),TEXT(INDEX('Providers'!$M$4:$M$503,103),"yyyy-mm-dd"),"")</f>
        <v/>
      </c>
      <c r="F1606">
        <f>"Certification"</f>
        <v/>
      </c>
      <c r="G1606">
        <f>""</f>
        <v/>
      </c>
      <c r="H1606">
        <f>"Medium"</f>
        <v/>
      </c>
      <c r="I1606">
        <f>TRIM(IF(LEN(IF(LEN(INDEX('Providers'!$L$4:$L$503,103))=0,"",INDEX('Providers'!$L$4:$L$503,103)))=0,"","Board / specialty: "&amp;IF(LEN(INDEX('Providers'!$L$4:$L$503,103))=0,"",INDEX('Providers'!$L$4:$L$503,103))&amp;". "))</f>
        <v/>
      </c>
      <c r="J1606">
        <f>IF(LEN(INDEX('Providers'!$AJ$4:$AJ$503,103))=0,"",INDEX('Providers'!$AJ$4:$AJ$503,103))</f>
        <v/>
      </c>
      <c r="K1606">
        <f>IF(LEN(INDEX('Providers'!$AI$4:$AI$503,103))=0,"",INDEX('Providers'!$AI$4:$AI$503,103))</f>
        <v/>
      </c>
    </row>
    <row r="1607">
      <c r="A1607">
        <f>IF(AND(LEN('Providers'!A107)&gt;0,ISNUMBER('Providers'!M107)),1,0)</f>
        <v/>
      </c>
      <c r="B1607">
        <f>B1606+A1607</f>
        <v/>
      </c>
      <c r="C1607">
        <f>IF(1604&gt;$B$4503,"",MATCH(1604-0.5,$B$3:$B$4503,1))</f>
        <v/>
      </c>
      <c r="D1607">
        <f>"Board certification – "&amp;IF(LEN(INDEX('Providers'!$A$4:$A$503,104))=0,"",INDEX('Providers'!$A$4:$A$503,104))</f>
        <v/>
      </c>
      <c r="E1607">
        <f>IF(ISNUMBER(INDEX('Providers'!$M$4:$M$503,104)),TEXT(INDEX('Providers'!$M$4:$M$503,104),"yyyy-mm-dd"),"")</f>
        <v/>
      </c>
      <c r="F1607">
        <f>"Certification"</f>
        <v/>
      </c>
      <c r="G1607">
        <f>""</f>
        <v/>
      </c>
      <c r="H1607">
        <f>"Medium"</f>
        <v/>
      </c>
      <c r="I1607">
        <f>TRIM(IF(LEN(IF(LEN(INDEX('Providers'!$L$4:$L$503,104))=0,"",INDEX('Providers'!$L$4:$L$503,104)))=0,"","Board / specialty: "&amp;IF(LEN(INDEX('Providers'!$L$4:$L$503,104))=0,"",INDEX('Providers'!$L$4:$L$503,104))&amp;". "))</f>
        <v/>
      </c>
      <c r="J1607">
        <f>IF(LEN(INDEX('Providers'!$AJ$4:$AJ$503,104))=0,"",INDEX('Providers'!$AJ$4:$AJ$503,104))</f>
        <v/>
      </c>
      <c r="K1607">
        <f>IF(LEN(INDEX('Providers'!$AI$4:$AI$503,104))=0,"",INDEX('Providers'!$AI$4:$AI$503,104))</f>
        <v/>
      </c>
    </row>
    <row r="1608">
      <c r="A1608">
        <f>IF(AND(LEN('Providers'!A108)&gt;0,ISNUMBER('Providers'!M108)),1,0)</f>
        <v/>
      </c>
      <c r="B1608">
        <f>B1607+A1608</f>
        <v/>
      </c>
      <c r="C1608">
        <f>IF(1605&gt;$B$4503,"",MATCH(1605-0.5,$B$3:$B$4503,1))</f>
        <v/>
      </c>
      <c r="D1608">
        <f>"Board certification – "&amp;IF(LEN(INDEX('Providers'!$A$4:$A$503,105))=0,"",INDEX('Providers'!$A$4:$A$503,105))</f>
        <v/>
      </c>
      <c r="E1608">
        <f>IF(ISNUMBER(INDEX('Providers'!$M$4:$M$503,105)),TEXT(INDEX('Providers'!$M$4:$M$503,105),"yyyy-mm-dd"),"")</f>
        <v/>
      </c>
      <c r="F1608">
        <f>"Certification"</f>
        <v/>
      </c>
      <c r="G1608">
        <f>""</f>
        <v/>
      </c>
      <c r="H1608">
        <f>"Medium"</f>
        <v/>
      </c>
      <c r="I1608">
        <f>TRIM(IF(LEN(IF(LEN(INDEX('Providers'!$L$4:$L$503,105))=0,"",INDEX('Providers'!$L$4:$L$503,105)))=0,"","Board / specialty: "&amp;IF(LEN(INDEX('Providers'!$L$4:$L$503,105))=0,"",INDEX('Providers'!$L$4:$L$503,105))&amp;". "))</f>
        <v/>
      </c>
      <c r="J1608">
        <f>IF(LEN(INDEX('Providers'!$AJ$4:$AJ$503,105))=0,"",INDEX('Providers'!$AJ$4:$AJ$503,105))</f>
        <v/>
      </c>
      <c r="K1608">
        <f>IF(LEN(INDEX('Providers'!$AI$4:$AI$503,105))=0,"",INDEX('Providers'!$AI$4:$AI$503,105))</f>
        <v/>
      </c>
    </row>
    <row r="1609">
      <c r="A1609">
        <f>IF(AND(LEN('Providers'!A109)&gt;0,ISNUMBER('Providers'!M109)),1,0)</f>
        <v/>
      </c>
      <c r="B1609">
        <f>B1608+A1609</f>
        <v/>
      </c>
      <c r="C1609">
        <f>IF(1606&gt;$B$4503,"",MATCH(1606-0.5,$B$3:$B$4503,1))</f>
        <v/>
      </c>
      <c r="D1609">
        <f>"Board certification – "&amp;IF(LEN(INDEX('Providers'!$A$4:$A$503,106))=0,"",INDEX('Providers'!$A$4:$A$503,106))</f>
        <v/>
      </c>
      <c r="E1609">
        <f>IF(ISNUMBER(INDEX('Providers'!$M$4:$M$503,106)),TEXT(INDEX('Providers'!$M$4:$M$503,106),"yyyy-mm-dd"),"")</f>
        <v/>
      </c>
      <c r="F1609">
        <f>"Certification"</f>
        <v/>
      </c>
      <c r="G1609">
        <f>""</f>
        <v/>
      </c>
      <c r="H1609">
        <f>"Medium"</f>
        <v/>
      </c>
      <c r="I1609">
        <f>TRIM(IF(LEN(IF(LEN(INDEX('Providers'!$L$4:$L$503,106))=0,"",INDEX('Providers'!$L$4:$L$503,106)))=0,"","Board / specialty: "&amp;IF(LEN(INDEX('Providers'!$L$4:$L$503,106))=0,"",INDEX('Providers'!$L$4:$L$503,106))&amp;". "))</f>
        <v/>
      </c>
      <c r="J1609">
        <f>IF(LEN(INDEX('Providers'!$AJ$4:$AJ$503,106))=0,"",INDEX('Providers'!$AJ$4:$AJ$503,106))</f>
        <v/>
      </c>
      <c r="K1609">
        <f>IF(LEN(INDEX('Providers'!$AI$4:$AI$503,106))=0,"",INDEX('Providers'!$AI$4:$AI$503,106))</f>
        <v/>
      </c>
    </row>
    <row r="1610">
      <c r="A1610">
        <f>IF(AND(LEN('Providers'!A110)&gt;0,ISNUMBER('Providers'!M110)),1,0)</f>
        <v/>
      </c>
      <c r="B1610">
        <f>B1609+A1610</f>
        <v/>
      </c>
      <c r="C1610">
        <f>IF(1607&gt;$B$4503,"",MATCH(1607-0.5,$B$3:$B$4503,1))</f>
        <v/>
      </c>
      <c r="D1610">
        <f>"Board certification – "&amp;IF(LEN(INDEX('Providers'!$A$4:$A$503,107))=0,"",INDEX('Providers'!$A$4:$A$503,107))</f>
        <v/>
      </c>
      <c r="E1610">
        <f>IF(ISNUMBER(INDEX('Providers'!$M$4:$M$503,107)),TEXT(INDEX('Providers'!$M$4:$M$503,107),"yyyy-mm-dd"),"")</f>
        <v/>
      </c>
      <c r="F1610">
        <f>"Certification"</f>
        <v/>
      </c>
      <c r="G1610">
        <f>""</f>
        <v/>
      </c>
      <c r="H1610">
        <f>"Medium"</f>
        <v/>
      </c>
      <c r="I1610">
        <f>TRIM(IF(LEN(IF(LEN(INDEX('Providers'!$L$4:$L$503,107))=0,"",INDEX('Providers'!$L$4:$L$503,107)))=0,"","Board / specialty: "&amp;IF(LEN(INDEX('Providers'!$L$4:$L$503,107))=0,"",INDEX('Providers'!$L$4:$L$503,107))&amp;". "))</f>
        <v/>
      </c>
      <c r="J1610">
        <f>IF(LEN(INDEX('Providers'!$AJ$4:$AJ$503,107))=0,"",INDEX('Providers'!$AJ$4:$AJ$503,107))</f>
        <v/>
      </c>
      <c r="K1610">
        <f>IF(LEN(INDEX('Providers'!$AI$4:$AI$503,107))=0,"",INDEX('Providers'!$AI$4:$AI$503,107))</f>
        <v/>
      </c>
    </row>
    <row r="1611">
      <c r="A1611">
        <f>IF(AND(LEN('Providers'!A111)&gt;0,ISNUMBER('Providers'!M111)),1,0)</f>
        <v/>
      </c>
      <c r="B1611">
        <f>B1610+A1611</f>
        <v/>
      </c>
      <c r="C1611">
        <f>IF(1608&gt;$B$4503,"",MATCH(1608-0.5,$B$3:$B$4503,1))</f>
        <v/>
      </c>
      <c r="D1611">
        <f>"Board certification – "&amp;IF(LEN(INDEX('Providers'!$A$4:$A$503,108))=0,"",INDEX('Providers'!$A$4:$A$503,108))</f>
        <v/>
      </c>
      <c r="E1611">
        <f>IF(ISNUMBER(INDEX('Providers'!$M$4:$M$503,108)),TEXT(INDEX('Providers'!$M$4:$M$503,108),"yyyy-mm-dd"),"")</f>
        <v/>
      </c>
      <c r="F1611">
        <f>"Certification"</f>
        <v/>
      </c>
      <c r="G1611">
        <f>""</f>
        <v/>
      </c>
      <c r="H1611">
        <f>"Medium"</f>
        <v/>
      </c>
      <c r="I1611">
        <f>TRIM(IF(LEN(IF(LEN(INDEX('Providers'!$L$4:$L$503,108))=0,"",INDEX('Providers'!$L$4:$L$503,108)))=0,"","Board / specialty: "&amp;IF(LEN(INDEX('Providers'!$L$4:$L$503,108))=0,"",INDEX('Providers'!$L$4:$L$503,108))&amp;". "))</f>
        <v/>
      </c>
      <c r="J1611">
        <f>IF(LEN(INDEX('Providers'!$AJ$4:$AJ$503,108))=0,"",INDEX('Providers'!$AJ$4:$AJ$503,108))</f>
        <v/>
      </c>
      <c r="K1611">
        <f>IF(LEN(INDEX('Providers'!$AI$4:$AI$503,108))=0,"",INDEX('Providers'!$AI$4:$AI$503,108))</f>
        <v/>
      </c>
    </row>
    <row r="1612">
      <c r="A1612">
        <f>IF(AND(LEN('Providers'!A112)&gt;0,ISNUMBER('Providers'!M112)),1,0)</f>
        <v/>
      </c>
      <c r="B1612">
        <f>B1611+A1612</f>
        <v/>
      </c>
      <c r="C1612">
        <f>IF(1609&gt;$B$4503,"",MATCH(1609-0.5,$B$3:$B$4503,1))</f>
        <v/>
      </c>
      <c r="D1612">
        <f>"Board certification – "&amp;IF(LEN(INDEX('Providers'!$A$4:$A$503,109))=0,"",INDEX('Providers'!$A$4:$A$503,109))</f>
        <v/>
      </c>
      <c r="E1612">
        <f>IF(ISNUMBER(INDEX('Providers'!$M$4:$M$503,109)),TEXT(INDEX('Providers'!$M$4:$M$503,109),"yyyy-mm-dd"),"")</f>
        <v/>
      </c>
      <c r="F1612">
        <f>"Certification"</f>
        <v/>
      </c>
      <c r="G1612">
        <f>""</f>
        <v/>
      </c>
      <c r="H1612">
        <f>"Medium"</f>
        <v/>
      </c>
      <c r="I1612">
        <f>TRIM(IF(LEN(IF(LEN(INDEX('Providers'!$L$4:$L$503,109))=0,"",INDEX('Providers'!$L$4:$L$503,109)))=0,"","Board / specialty: "&amp;IF(LEN(INDEX('Providers'!$L$4:$L$503,109))=0,"",INDEX('Providers'!$L$4:$L$503,109))&amp;". "))</f>
        <v/>
      </c>
      <c r="J1612">
        <f>IF(LEN(INDEX('Providers'!$AJ$4:$AJ$503,109))=0,"",INDEX('Providers'!$AJ$4:$AJ$503,109))</f>
        <v/>
      </c>
      <c r="K1612">
        <f>IF(LEN(INDEX('Providers'!$AI$4:$AI$503,109))=0,"",INDEX('Providers'!$AI$4:$AI$503,109))</f>
        <v/>
      </c>
    </row>
    <row r="1613">
      <c r="A1613">
        <f>IF(AND(LEN('Providers'!A113)&gt;0,ISNUMBER('Providers'!M113)),1,0)</f>
        <v/>
      </c>
      <c r="B1613">
        <f>B1612+A1613</f>
        <v/>
      </c>
      <c r="C1613">
        <f>IF(1610&gt;$B$4503,"",MATCH(1610-0.5,$B$3:$B$4503,1))</f>
        <v/>
      </c>
      <c r="D1613">
        <f>"Board certification – "&amp;IF(LEN(INDEX('Providers'!$A$4:$A$503,110))=0,"",INDEX('Providers'!$A$4:$A$503,110))</f>
        <v/>
      </c>
      <c r="E1613">
        <f>IF(ISNUMBER(INDEX('Providers'!$M$4:$M$503,110)),TEXT(INDEX('Providers'!$M$4:$M$503,110),"yyyy-mm-dd"),"")</f>
        <v/>
      </c>
      <c r="F1613">
        <f>"Certification"</f>
        <v/>
      </c>
      <c r="G1613">
        <f>""</f>
        <v/>
      </c>
      <c r="H1613">
        <f>"Medium"</f>
        <v/>
      </c>
      <c r="I1613">
        <f>TRIM(IF(LEN(IF(LEN(INDEX('Providers'!$L$4:$L$503,110))=0,"",INDEX('Providers'!$L$4:$L$503,110)))=0,"","Board / specialty: "&amp;IF(LEN(INDEX('Providers'!$L$4:$L$503,110))=0,"",INDEX('Providers'!$L$4:$L$503,110))&amp;". "))</f>
        <v/>
      </c>
      <c r="J1613">
        <f>IF(LEN(INDEX('Providers'!$AJ$4:$AJ$503,110))=0,"",INDEX('Providers'!$AJ$4:$AJ$503,110))</f>
        <v/>
      </c>
      <c r="K1613">
        <f>IF(LEN(INDEX('Providers'!$AI$4:$AI$503,110))=0,"",INDEX('Providers'!$AI$4:$AI$503,110))</f>
        <v/>
      </c>
    </row>
    <row r="1614">
      <c r="A1614">
        <f>IF(AND(LEN('Providers'!A114)&gt;0,ISNUMBER('Providers'!M114)),1,0)</f>
        <v/>
      </c>
      <c r="B1614">
        <f>B1613+A1614</f>
        <v/>
      </c>
      <c r="C1614">
        <f>IF(1611&gt;$B$4503,"",MATCH(1611-0.5,$B$3:$B$4503,1))</f>
        <v/>
      </c>
      <c r="D1614">
        <f>"Board certification – "&amp;IF(LEN(INDEX('Providers'!$A$4:$A$503,111))=0,"",INDEX('Providers'!$A$4:$A$503,111))</f>
        <v/>
      </c>
      <c r="E1614">
        <f>IF(ISNUMBER(INDEX('Providers'!$M$4:$M$503,111)),TEXT(INDEX('Providers'!$M$4:$M$503,111),"yyyy-mm-dd"),"")</f>
        <v/>
      </c>
      <c r="F1614">
        <f>"Certification"</f>
        <v/>
      </c>
      <c r="G1614">
        <f>""</f>
        <v/>
      </c>
      <c r="H1614">
        <f>"Medium"</f>
        <v/>
      </c>
      <c r="I1614">
        <f>TRIM(IF(LEN(IF(LEN(INDEX('Providers'!$L$4:$L$503,111))=0,"",INDEX('Providers'!$L$4:$L$503,111)))=0,"","Board / specialty: "&amp;IF(LEN(INDEX('Providers'!$L$4:$L$503,111))=0,"",INDEX('Providers'!$L$4:$L$503,111))&amp;". "))</f>
        <v/>
      </c>
      <c r="J1614">
        <f>IF(LEN(INDEX('Providers'!$AJ$4:$AJ$503,111))=0,"",INDEX('Providers'!$AJ$4:$AJ$503,111))</f>
        <v/>
      </c>
      <c r="K1614">
        <f>IF(LEN(INDEX('Providers'!$AI$4:$AI$503,111))=0,"",INDEX('Providers'!$AI$4:$AI$503,111))</f>
        <v/>
      </c>
    </row>
    <row r="1615">
      <c r="A1615">
        <f>IF(AND(LEN('Providers'!A115)&gt;0,ISNUMBER('Providers'!M115)),1,0)</f>
        <v/>
      </c>
      <c r="B1615">
        <f>B1614+A1615</f>
        <v/>
      </c>
      <c r="C1615">
        <f>IF(1612&gt;$B$4503,"",MATCH(1612-0.5,$B$3:$B$4503,1))</f>
        <v/>
      </c>
      <c r="D1615">
        <f>"Board certification – "&amp;IF(LEN(INDEX('Providers'!$A$4:$A$503,112))=0,"",INDEX('Providers'!$A$4:$A$503,112))</f>
        <v/>
      </c>
      <c r="E1615">
        <f>IF(ISNUMBER(INDEX('Providers'!$M$4:$M$503,112)),TEXT(INDEX('Providers'!$M$4:$M$503,112),"yyyy-mm-dd"),"")</f>
        <v/>
      </c>
      <c r="F1615">
        <f>"Certification"</f>
        <v/>
      </c>
      <c r="G1615">
        <f>""</f>
        <v/>
      </c>
      <c r="H1615">
        <f>"Medium"</f>
        <v/>
      </c>
      <c r="I1615">
        <f>TRIM(IF(LEN(IF(LEN(INDEX('Providers'!$L$4:$L$503,112))=0,"",INDEX('Providers'!$L$4:$L$503,112)))=0,"","Board / specialty: "&amp;IF(LEN(INDEX('Providers'!$L$4:$L$503,112))=0,"",INDEX('Providers'!$L$4:$L$503,112))&amp;". "))</f>
        <v/>
      </c>
      <c r="J1615">
        <f>IF(LEN(INDEX('Providers'!$AJ$4:$AJ$503,112))=0,"",INDEX('Providers'!$AJ$4:$AJ$503,112))</f>
        <v/>
      </c>
      <c r="K1615">
        <f>IF(LEN(INDEX('Providers'!$AI$4:$AI$503,112))=0,"",INDEX('Providers'!$AI$4:$AI$503,112))</f>
        <v/>
      </c>
    </row>
    <row r="1616">
      <c r="A1616">
        <f>IF(AND(LEN('Providers'!A116)&gt;0,ISNUMBER('Providers'!M116)),1,0)</f>
        <v/>
      </c>
      <c r="B1616">
        <f>B1615+A1616</f>
        <v/>
      </c>
      <c r="C1616">
        <f>IF(1613&gt;$B$4503,"",MATCH(1613-0.5,$B$3:$B$4503,1))</f>
        <v/>
      </c>
      <c r="D1616">
        <f>"Board certification – "&amp;IF(LEN(INDEX('Providers'!$A$4:$A$503,113))=0,"",INDEX('Providers'!$A$4:$A$503,113))</f>
        <v/>
      </c>
      <c r="E1616">
        <f>IF(ISNUMBER(INDEX('Providers'!$M$4:$M$503,113)),TEXT(INDEX('Providers'!$M$4:$M$503,113),"yyyy-mm-dd"),"")</f>
        <v/>
      </c>
      <c r="F1616">
        <f>"Certification"</f>
        <v/>
      </c>
      <c r="G1616">
        <f>""</f>
        <v/>
      </c>
      <c r="H1616">
        <f>"Medium"</f>
        <v/>
      </c>
      <c r="I1616">
        <f>TRIM(IF(LEN(IF(LEN(INDEX('Providers'!$L$4:$L$503,113))=0,"",INDEX('Providers'!$L$4:$L$503,113)))=0,"","Board / specialty: "&amp;IF(LEN(INDEX('Providers'!$L$4:$L$503,113))=0,"",INDEX('Providers'!$L$4:$L$503,113))&amp;". "))</f>
        <v/>
      </c>
      <c r="J1616">
        <f>IF(LEN(INDEX('Providers'!$AJ$4:$AJ$503,113))=0,"",INDEX('Providers'!$AJ$4:$AJ$503,113))</f>
        <v/>
      </c>
      <c r="K1616">
        <f>IF(LEN(INDEX('Providers'!$AI$4:$AI$503,113))=0,"",INDEX('Providers'!$AI$4:$AI$503,113))</f>
        <v/>
      </c>
    </row>
    <row r="1617">
      <c r="A1617">
        <f>IF(AND(LEN('Providers'!A117)&gt;0,ISNUMBER('Providers'!M117)),1,0)</f>
        <v/>
      </c>
      <c r="B1617">
        <f>B1616+A1617</f>
        <v/>
      </c>
      <c r="C1617">
        <f>IF(1614&gt;$B$4503,"",MATCH(1614-0.5,$B$3:$B$4503,1))</f>
        <v/>
      </c>
      <c r="D1617">
        <f>"Board certification – "&amp;IF(LEN(INDEX('Providers'!$A$4:$A$503,114))=0,"",INDEX('Providers'!$A$4:$A$503,114))</f>
        <v/>
      </c>
      <c r="E1617">
        <f>IF(ISNUMBER(INDEX('Providers'!$M$4:$M$503,114)),TEXT(INDEX('Providers'!$M$4:$M$503,114),"yyyy-mm-dd"),"")</f>
        <v/>
      </c>
      <c r="F1617">
        <f>"Certification"</f>
        <v/>
      </c>
      <c r="G1617">
        <f>""</f>
        <v/>
      </c>
      <c r="H1617">
        <f>"Medium"</f>
        <v/>
      </c>
      <c r="I1617">
        <f>TRIM(IF(LEN(IF(LEN(INDEX('Providers'!$L$4:$L$503,114))=0,"",INDEX('Providers'!$L$4:$L$503,114)))=0,"","Board / specialty: "&amp;IF(LEN(INDEX('Providers'!$L$4:$L$503,114))=0,"",INDEX('Providers'!$L$4:$L$503,114))&amp;". "))</f>
        <v/>
      </c>
      <c r="J1617">
        <f>IF(LEN(INDEX('Providers'!$AJ$4:$AJ$503,114))=0,"",INDEX('Providers'!$AJ$4:$AJ$503,114))</f>
        <v/>
      </c>
      <c r="K1617">
        <f>IF(LEN(INDEX('Providers'!$AI$4:$AI$503,114))=0,"",INDEX('Providers'!$AI$4:$AI$503,114))</f>
        <v/>
      </c>
    </row>
    <row r="1618">
      <c r="A1618">
        <f>IF(AND(LEN('Providers'!A118)&gt;0,ISNUMBER('Providers'!M118)),1,0)</f>
        <v/>
      </c>
      <c r="B1618">
        <f>B1617+A1618</f>
        <v/>
      </c>
      <c r="C1618">
        <f>IF(1615&gt;$B$4503,"",MATCH(1615-0.5,$B$3:$B$4503,1))</f>
        <v/>
      </c>
      <c r="D1618">
        <f>"Board certification – "&amp;IF(LEN(INDEX('Providers'!$A$4:$A$503,115))=0,"",INDEX('Providers'!$A$4:$A$503,115))</f>
        <v/>
      </c>
      <c r="E1618">
        <f>IF(ISNUMBER(INDEX('Providers'!$M$4:$M$503,115)),TEXT(INDEX('Providers'!$M$4:$M$503,115),"yyyy-mm-dd"),"")</f>
        <v/>
      </c>
      <c r="F1618">
        <f>"Certification"</f>
        <v/>
      </c>
      <c r="G1618">
        <f>""</f>
        <v/>
      </c>
      <c r="H1618">
        <f>"Medium"</f>
        <v/>
      </c>
      <c r="I1618">
        <f>TRIM(IF(LEN(IF(LEN(INDEX('Providers'!$L$4:$L$503,115))=0,"",INDEX('Providers'!$L$4:$L$503,115)))=0,"","Board / specialty: "&amp;IF(LEN(INDEX('Providers'!$L$4:$L$503,115))=0,"",INDEX('Providers'!$L$4:$L$503,115))&amp;". "))</f>
        <v/>
      </c>
      <c r="J1618">
        <f>IF(LEN(INDEX('Providers'!$AJ$4:$AJ$503,115))=0,"",INDEX('Providers'!$AJ$4:$AJ$503,115))</f>
        <v/>
      </c>
      <c r="K1618">
        <f>IF(LEN(INDEX('Providers'!$AI$4:$AI$503,115))=0,"",INDEX('Providers'!$AI$4:$AI$503,115))</f>
        <v/>
      </c>
    </row>
    <row r="1619">
      <c r="A1619">
        <f>IF(AND(LEN('Providers'!A119)&gt;0,ISNUMBER('Providers'!M119)),1,0)</f>
        <v/>
      </c>
      <c r="B1619">
        <f>B1618+A1619</f>
        <v/>
      </c>
      <c r="C1619">
        <f>IF(1616&gt;$B$4503,"",MATCH(1616-0.5,$B$3:$B$4503,1))</f>
        <v/>
      </c>
      <c r="D1619">
        <f>"Board certification – "&amp;IF(LEN(INDEX('Providers'!$A$4:$A$503,116))=0,"",INDEX('Providers'!$A$4:$A$503,116))</f>
        <v/>
      </c>
      <c r="E1619">
        <f>IF(ISNUMBER(INDEX('Providers'!$M$4:$M$503,116)),TEXT(INDEX('Providers'!$M$4:$M$503,116),"yyyy-mm-dd"),"")</f>
        <v/>
      </c>
      <c r="F1619">
        <f>"Certification"</f>
        <v/>
      </c>
      <c r="G1619">
        <f>""</f>
        <v/>
      </c>
      <c r="H1619">
        <f>"Medium"</f>
        <v/>
      </c>
      <c r="I1619">
        <f>TRIM(IF(LEN(IF(LEN(INDEX('Providers'!$L$4:$L$503,116))=0,"",INDEX('Providers'!$L$4:$L$503,116)))=0,"","Board / specialty: "&amp;IF(LEN(INDEX('Providers'!$L$4:$L$503,116))=0,"",INDEX('Providers'!$L$4:$L$503,116))&amp;". "))</f>
        <v/>
      </c>
      <c r="J1619">
        <f>IF(LEN(INDEX('Providers'!$AJ$4:$AJ$503,116))=0,"",INDEX('Providers'!$AJ$4:$AJ$503,116))</f>
        <v/>
      </c>
      <c r="K1619">
        <f>IF(LEN(INDEX('Providers'!$AI$4:$AI$503,116))=0,"",INDEX('Providers'!$AI$4:$AI$503,116))</f>
        <v/>
      </c>
    </row>
    <row r="1620">
      <c r="A1620">
        <f>IF(AND(LEN('Providers'!A120)&gt;0,ISNUMBER('Providers'!M120)),1,0)</f>
        <v/>
      </c>
      <c r="B1620">
        <f>B1619+A1620</f>
        <v/>
      </c>
      <c r="C1620">
        <f>IF(1617&gt;$B$4503,"",MATCH(1617-0.5,$B$3:$B$4503,1))</f>
        <v/>
      </c>
      <c r="D1620">
        <f>"Board certification – "&amp;IF(LEN(INDEX('Providers'!$A$4:$A$503,117))=0,"",INDEX('Providers'!$A$4:$A$503,117))</f>
        <v/>
      </c>
      <c r="E1620">
        <f>IF(ISNUMBER(INDEX('Providers'!$M$4:$M$503,117)),TEXT(INDEX('Providers'!$M$4:$M$503,117),"yyyy-mm-dd"),"")</f>
        <v/>
      </c>
      <c r="F1620">
        <f>"Certification"</f>
        <v/>
      </c>
      <c r="G1620">
        <f>""</f>
        <v/>
      </c>
      <c r="H1620">
        <f>"Medium"</f>
        <v/>
      </c>
      <c r="I1620">
        <f>TRIM(IF(LEN(IF(LEN(INDEX('Providers'!$L$4:$L$503,117))=0,"",INDEX('Providers'!$L$4:$L$503,117)))=0,"","Board / specialty: "&amp;IF(LEN(INDEX('Providers'!$L$4:$L$503,117))=0,"",INDEX('Providers'!$L$4:$L$503,117))&amp;". "))</f>
        <v/>
      </c>
      <c r="J1620">
        <f>IF(LEN(INDEX('Providers'!$AJ$4:$AJ$503,117))=0,"",INDEX('Providers'!$AJ$4:$AJ$503,117))</f>
        <v/>
      </c>
      <c r="K1620">
        <f>IF(LEN(INDEX('Providers'!$AI$4:$AI$503,117))=0,"",INDEX('Providers'!$AI$4:$AI$503,117))</f>
        <v/>
      </c>
    </row>
    <row r="1621">
      <c r="A1621">
        <f>IF(AND(LEN('Providers'!A121)&gt;0,ISNUMBER('Providers'!M121)),1,0)</f>
        <v/>
      </c>
      <c r="B1621">
        <f>B1620+A1621</f>
        <v/>
      </c>
      <c r="C1621">
        <f>IF(1618&gt;$B$4503,"",MATCH(1618-0.5,$B$3:$B$4503,1))</f>
        <v/>
      </c>
      <c r="D1621">
        <f>"Board certification – "&amp;IF(LEN(INDEX('Providers'!$A$4:$A$503,118))=0,"",INDEX('Providers'!$A$4:$A$503,118))</f>
        <v/>
      </c>
      <c r="E1621">
        <f>IF(ISNUMBER(INDEX('Providers'!$M$4:$M$503,118)),TEXT(INDEX('Providers'!$M$4:$M$503,118),"yyyy-mm-dd"),"")</f>
        <v/>
      </c>
      <c r="F1621">
        <f>"Certification"</f>
        <v/>
      </c>
      <c r="G1621">
        <f>""</f>
        <v/>
      </c>
      <c r="H1621">
        <f>"Medium"</f>
        <v/>
      </c>
      <c r="I1621">
        <f>TRIM(IF(LEN(IF(LEN(INDEX('Providers'!$L$4:$L$503,118))=0,"",INDEX('Providers'!$L$4:$L$503,118)))=0,"","Board / specialty: "&amp;IF(LEN(INDEX('Providers'!$L$4:$L$503,118))=0,"",INDEX('Providers'!$L$4:$L$503,118))&amp;". "))</f>
        <v/>
      </c>
      <c r="J1621">
        <f>IF(LEN(INDEX('Providers'!$AJ$4:$AJ$503,118))=0,"",INDEX('Providers'!$AJ$4:$AJ$503,118))</f>
        <v/>
      </c>
      <c r="K1621">
        <f>IF(LEN(INDEX('Providers'!$AI$4:$AI$503,118))=0,"",INDEX('Providers'!$AI$4:$AI$503,118))</f>
        <v/>
      </c>
    </row>
    <row r="1622">
      <c r="A1622">
        <f>IF(AND(LEN('Providers'!A122)&gt;0,ISNUMBER('Providers'!M122)),1,0)</f>
        <v/>
      </c>
      <c r="B1622">
        <f>B1621+A1622</f>
        <v/>
      </c>
      <c r="C1622">
        <f>IF(1619&gt;$B$4503,"",MATCH(1619-0.5,$B$3:$B$4503,1))</f>
        <v/>
      </c>
      <c r="D1622">
        <f>"Board certification – "&amp;IF(LEN(INDEX('Providers'!$A$4:$A$503,119))=0,"",INDEX('Providers'!$A$4:$A$503,119))</f>
        <v/>
      </c>
      <c r="E1622">
        <f>IF(ISNUMBER(INDEX('Providers'!$M$4:$M$503,119)),TEXT(INDEX('Providers'!$M$4:$M$503,119),"yyyy-mm-dd"),"")</f>
        <v/>
      </c>
      <c r="F1622">
        <f>"Certification"</f>
        <v/>
      </c>
      <c r="G1622">
        <f>""</f>
        <v/>
      </c>
      <c r="H1622">
        <f>"Medium"</f>
        <v/>
      </c>
      <c r="I1622">
        <f>TRIM(IF(LEN(IF(LEN(INDEX('Providers'!$L$4:$L$503,119))=0,"",INDEX('Providers'!$L$4:$L$503,119)))=0,"","Board / specialty: "&amp;IF(LEN(INDEX('Providers'!$L$4:$L$503,119))=0,"",INDEX('Providers'!$L$4:$L$503,119))&amp;". "))</f>
        <v/>
      </c>
      <c r="J1622">
        <f>IF(LEN(INDEX('Providers'!$AJ$4:$AJ$503,119))=0,"",INDEX('Providers'!$AJ$4:$AJ$503,119))</f>
        <v/>
      </c>
      <c r="K1622">
        <f>IF(LEN(INDEX('Providers'!$AI$4:$AI$503,119))=0,"",INDEX('Providers'!$AI$4:$AI$503,119))</f>
        <v/>
      </c>
    </row>
    <row r="1623">
      <c r="A1623">
        <f>IF(AND(LEN('Providers'!A123)&gt;0,ISNUMBER('Providers'!M123)),1,0)</f>
        <v/>
      </c>
      <c r="B1623">
        <f>B1622+A1623</f>
        <v/>
      </c>
      <c r="C1623">
        <f>IF(1620&gt;$B$4503,"",MATCH(1620-0.5,$B$3:$B$4503,1))</f>
        <v/>
      </c>
      <c r="D1623">
        <f>"Board certification – "&amp;IF(LEN(INDEX('Providers'!$A$4:$A$503,120))=0,"",INDEX('Providers'!$A$4:$A$503,120))</f>
        <v/>
      </c>
      <c r="E1623">
        <f>IF(ISNUMBER(INDEX('Providers'!$M$4:$M$503,120)),TEXT(INDEX('Providers'!$M$4:$M$503,120),"yyyy-mm-dd"),"")</f>
        <v/>
      </c>
      <c r="F1623">
        <f>"Certification"</f>
        <v/>
      </c>
      <c r="G1623">
        <f>""</f>
        <v/>
      </c>
      <c r="H1623">
        <f>"Medium"</f>
        <v/>
      </c>
      <c r="I1623">
        <f>TRIM(IF(LEN(IF(LEN(INDEX('Providers'!$L$4:$L$503,120))=0,"",INDEX('Providers'!$L$4:$L$503,120)))=0,"","Board / specialty: "&amp;IF(LEN(INDEX('Providers'!$L$4:$L$503,120))=0,"",INDEX('Providers'!$L$4:$L$503,120))&amp;". "))</f>
        <v/>
      </c>
      <c r="J1623">
        <f>IF(LEN(INDEX('Providers'!$AJ$4:$AJ$503,120))=0,"",INDEX('Providers'!$AJ$4:$AJ$503,120))</f>
        <v/>
      </c>
      <c r="K1623">
        <f>IF(LEN(INDEX('Providers'!$AI$4:$AI$503,120))=0,"",INDEX('Providers'!$AI$4:$AI$503,120))</f>
        <v/>
      </c>
    </row>
    <row r="1624">
      <c r="A1624">
        <f>IF(AND(LEN('Providers'!A124)&gt;0,ISNUMBER('Providers'!M124)),1,0)</f>
        <v/>
      </c>
      <c r="B1624">
        <f>B1623+A1624</f>
        <v/>
      </c>
      <c r="C1624">
        <f>IF(1621&gt;$B$4503,"",MATCH(1621-0.5,$B$3:$B$4503,1))</f>
        <v/>
      </c>
      <c r="D1624">
        <f>"Board certification – "&amp;IF(LEN(INDEX('Providers'!$A$4:$A$503,121))=0,"",INDEX('Providers'!$A$4:$A$503,121))</f>
        <v/>
      </c>
      <c r="E1624">
        <f>IF(ISNUMBER(INDEX('Providers'!$M$4:$M$503,121)),TEXT(INDEX('Providers'!$M$4:$M$503,121),"yyyy-mm-dd"),"")</f>
        <v/>
      </c>
      <c r="F1624">
        <f>"Certification"</f>
        <v/>
      </c>
      <c r="G1624">
        <f>""</f>
        <v/>
      </c>
      <c r="H1624">
        <f>"Medium"</f>
        <v/>
      </c>
      <c r="I1624">
        <f>TRIM(IF(LEN(IF(LEN(INDEX('Providers'!$L$4:$L$503,121))=0,"",INDEX('Providers'!$L$4:$L$503,121)))=0,"","Board / specialty: "&amp;IF(LEN(INDEX('Providers'!$L$4:$L$503,121))=0,"",INDEX('Providers'!$L$4:$L$503,121))&amp;". "))</f>
        <v/>
      </c>
      <c r="J1624">
        <f>IF(LEN(INDEX('Providers'!$AJ$4:$AJ$503,121))=0,"",INDEX('Providers'!$AJ$4:$AJ$503,121))</f>
        <v/>
      </c>
      <c r="K1624">
        <f>IF(LEN(INDEX('Providers'!$AI$4:$AI$503,121))=0,"",INDEX('Providers'!$AI$4:$AI$503,121))</f>
        <v/>
      </c>
    </row>
    <row r="1625">
      <c r="A1625">
        <f>IF(AND(LEN('Providers'!A125)&gt;0,ISNUMBER('Providers'!M125)),1,0)</f>
        <v/>
      </c>
      <c r="B1625">
        <f>B1624+A1625</f>
        <v/>
      </c>
      <c r="C1625">
        <f>IF(1622&gt;$B$4503,"",MATCH(1622-0.5,$B$3:$B$4503,1))</f>
        <v/>
      </c>
      <c r="D1625">
        <f>"Board certification – "&amp;IF(LEN(INDEX('Providers'!$A$4:$A$503,122))=0,"",INDEX('Providers'!$A$4:$A$503,122))</f>
        <v/>
      </c>
      <c r="E1625">
        <f>IF(ISNUMBER(INDEX('Providers'!$M$4:$M$503,122)),TEXT(INDEX('Providers'!$M$4:$M$503,122),"yyyy-mm-dd"),"")</f>
        <v/>
      </c>
      <c r="F1625">
        <f>"Certification"</f>
        <v/>
      </c>
      <c r="G1625">
        <f>""</f>
        <v/>
      </c>
      <c r="H1625">
        <f>"Medium"</f>
        <v/>
      </c>
      <c r="I1625">
        <f>TRIM(IF(LEN(IF(LEN(INDEX('Providers'!$L$4:$L$503,122))=0,"",INDEX('Providers'!$L$4:$L$503,122)))=0,"","Board / specialty: "&amp;IF(LEN(INDEX('Providers'!$L$4:$L$503,122))=0,"",INDEX('Providers'!$L$4:$L$503,122))&amp;". "))</f>
        <v/>
      </c>
      <c r="J1625">
        <f>IF(LEN(INDEX('Providers'!$AJ$4:$AJ$503,122))=0,"",INDEX('Providers'!$AJ$4:$AJ$503,122))</f>
        <v/>
      </c>
      <c r="K1625">
        <f>IF(LEN(INDEX('Providers'!$AI$4:$AI$503,122))=0,"",INDEX('Providers'!$AI$4:$AI$503,122))</f>
        <v/>
      </c>
    </row>
    <row r="1626">
      <c r="A1626">
        <f>IF(AND(LEN('Providers'!A126)&gt;0,ISNUMBER('Providers'!M126)),1,0)</f>
        <v/>
      </c>
      <c r="B1626">
        <f>B1625+A1626</f>
        <v/>
      </c>
      <c r="C1626">
        <f>IF(1623&gt;$B$4503,"",MATCH(1623-0.5,$B$3:$B$4503,1))</f>
        <v/>
      </c>
      <c r="D1626">
        <f>"Board certification – "&amp;IF(LEN(INDEX('Providers'!$A$4:$A$503,123))=0,"",INDEX('Providers'!$A$4:$A$503,123))</f>
        <v/>
      </c>
      <c r="E1626">
        <f>IF(ISNUMBER(INDEX('Providers'!$M$4:$M$503,123)),TEXT(INDEX('Providers'!$M$4:$M$503,123),"yyyy-mm-dd"),"")</f>
        <v/>
      </c>
      <c r="F1626">
        <f>"Certification"</f>
        <v/>
      </c>
      <c r="G1626">
        <f>""</f>
        <v/>
      </c>
      <c r="H1626">
        <f>"Medium"</f>
        <v/>
      </c>
      <c r="I1626">
        <f>TRIM(IF(LEN(IF(LEN(INDEX('Providers'!$L$4:$L$503,123))=0,"",INDEX('Providers'!$L$4:$L$503,123)))=0,"","Board / specialty: "&amp;IF(LEN(INDEX('Providers'!$L$4:$L$503,123))=0,"",INDEX('Providers'!$L$4:$L$503,123))&amp;". "))</f>
        <v/>
      </c>
      <c r="J1626">
        <f>IF(LEN(INDEX('Providers'!$AJ$4:$AJ$503,123))=0,"",INDEX('Providers'!$AJ$4:$AJ$503,123))</f>
        <v/>
      </c>
      <c r="K1626">
        <f>IF(LEN(INDEX('Providers'!$AI$4:$AI$503,123))=0,"",INDEX('Providers'!$AI$4:$AI$503,123))</f>
        <v/>
      </c>
    </row>
    <row r="1627">
      <c r="A1627">
        <f>IF(AND(LEN('Providers'!A127)&gt;0,ISNUMBER('Providers'!M127)),1,0)</f>
        <v/>
      </c>
      <c r="B1627">
        <f>B1626+A1627</f>
        <v/>
      </c>
      <c r="C1627">
        <f>IF(1624&gt;$B$4503,"",MATCH(1624-0.5,$B$3:$B$4503,1))</f>
        <v/>
      </c>
      <c r="D1627">
        <f>"Board certification – "&amp;IF(LEN(INDEX('Providers'!$A$4:$A$503,124))=0,"",INDEX('Providers'!$A$4:$A$503,124))</f>
        <v/>
      </c>
      <c r="E1627">
        <f>IF(ISNUMBER(INDEX('Providers'!$M$4:$M$503,124)),TEXT(INDEX('Providers'!$M$4:$M$503,124),"yyyy-mm-dd"),"")</f>
        <v/>
      </c>
      <c r="F1627">
        <f>"Certification"</f>
        <v/>
      </c>
      <c r="G1627">
        <f>""</f>
        <v/>
      </c>
      <c r="H1627">
        <f>"Medium"</f>
        <v/>
      </c>
      <c r="I1627">
        <f>TRIM(IF(LEN(IF(LEN(INDEX('Providers'!$L$4:$L$503,124))=0,"",INDEX('Providers'!$L$4:$L$503,124)))=0,"","Board / specialty: "&amp;IF(LEN(INDEX('Providers'!$L$4:$L$503,124))=0,"",INDEX('Providers'!$L$4:$L$503,124))&amp;". "))</f>
        <v/>
      </c>
      <c r="J1627">
        <f>IF(LEN(INDEX('Providers'!$AJ$4:$AJ$503,124))=0,"",INDEX('Providers'!$AJ$4:$AJ$503,124))</f>
        <v/>
      </c>
      <c r="K1627">
        <f>IF(LEN(INDEX('Providers'!$AI$4:$AI$503,124))=0,"",INDEX('Providers'!$AI$4:$AI$503,124))</f>
        <v/>
      </c>
    </row>
    <row r="1628">
      <c r="A1628">
        <f>IF(AND(LEN('Providers'!A128)&gt;0,ISNUMBER('Providers'!M128)),1,0)</f>
        <v/>
      </c>
      <c r="B1628">
        <f>B1627+A1628</f>
        <v/>
      </c>
      <c r="C1628">
        <f>IF(1625&gt;$B$4503,"",MATCH(1625-0.5,$B$3:$B$4503,1))</f>
        <v/>
      </c>
      <c r="D1628">
        <f>"Board certification – "&amp;IF(LEN(INDEX('Providers'!$A$4:$A$503,125))=0,"",INDEX('Providers'!$A$4:$A$503,125))</f>
        <v/>
      </c>
      <c r="E1628">
        <f>IF(ISNUMBER(INDEX('Providers'!$M$4:$M$503,125)),TEXT(INDEX('Providers'!$M$4:$M$503,125),"yyyy-mm-dd"),"")</f>
        <v/>
      </c>
      <c r="F1628">
        <f>"Certification"</f>
        <v/>
      </c>
      <c r="G1628">
        <f>""</f>
        <v/>
      </c>
      <c r="H1628">
        <f>"Medium"</f>
        <v/>
      </c>
      <c r="I1628">
        <f>TRIM(IF(LEN(IF(LEN(INDEX('Providers'!$L$4:$L$503,125))=0,"",INDEX('Providers'!$L$4:$L$503,125)))=0,"","Board / specialty: "&amp;IF(LEN(INDEX('Providers'!$L$4:$L$503,125))=0,"",INDEX('Providers'!$L$4:$L$503,125))&amp;". "))</f>
        <v/>
      </c>
      <c r="J1628">
        <f>IF(LEN(INDEX('Providers'!$AJ$4:$AJ$503,125))=0,"",INDEX('Providers'!$AJ$4:$AJ$503,125))</f>
        <v/>
      </c>
      <c r="K1628">
        <f>IF(LEN(INDEX('Providers'!$AI$4:$AI$503,125))=0,"",INDEX('Providers'!$AI$4:$AI$503,125))</f>
        <v/>
      </c>
    </row>
    <row r="1629">
      <c r="A1629">
        <f>IF(AND(LEN('Providers'!A129)&gt;0,ISNUMBER('Providers'!M129)),1,0)</f>
        <v/>
      </c>
      <c r="B1629">
        <f>B1628+A1629</f>
        <v/>
      </c>
      <c r="C1629">
        <f>IF(1626&gt;$B$4503,"",MATCH(1626-0.5,$B$3:$B$4503,1))</f>
        <v/>
      </c>
      <c r="D1629">
        <f>"Board certification – "&amp;IF(LEN(INDEX('Providers'!$A$4:$A$503,126))=0,"",INDEX('Providers'!$A$4:$A$503,126))</f>
        <v/>
      </c>
      <c r="E1629">
        <f>IF(ISNUMBER(INDEX('Providers'!$M$4:$M$503,126)),TEXT(INDEX('Providers'!$M$4:$M$503,126),"yyyy-mm-dd"),"")</f>
        <v/>
      </c>
      <c r="F1629">
        <f>"Certification"</f>
        <v/>
      </c>
      <c r="G1629">
        <f>""</f>
        <v/>
      </c>
      <c r="H1629">
        <f>"Medium"</f>
        <v/>
      </c>
      <c r="I1629">
        <f>TRIM(IF(LEN(IF(LEN(INDEX('Providers'!$L$4:$L$503,126))=0,"",INDEX('Providers'!$L$4:$L$503,126)))=0,"","Board / specialty: "&amp;IF(LEN(INDEX('Providers'!$L$4:$L$503,126))=0,"",INDEX('Providers'!$L$4:$L$503,126))&amp;". "))</f>
        <v/>
      </c>
      <c r="J1629">
        <f>IF(LEN(INDEX('Providers'!$AJ$4:$AJ$503,126))=0,"",INDEX('Providers'!$AJ$4:$AJ$503,126))</f>
        <v/>
      </c>
      <c r="K1629">
        <f>IF(LEN(INDEX('Providers'!$AI$4:$AI$503,126))=0,"",INDEX('Providers'!$AI$4:$AI$503,126))</f>
        <v/>
      </c>
    </row>
    <row r="1630">
      <c r="A1630">
        <f>IF(AND(LEN('Providers'!A130)&gt;0,ISNUMBER('Providers'!M130)),1,0)</f>
        <v/>
      </c>
      <c r="B1630">
        <f>B1629+A1630</f>
        <v/>
      </c>
      <c r="C1630">
        <f>IF(1627&gt;$B$4503,"",MATCH(1627-0.5,$B$3:$B$4503,1))</f>
        <v/>
      </c>
      <c r="D1630">
        <f>"Board certification – "&amp;IF(LEN(INDEX('Providers'!$A$4:$A$503,127))=0,"",INDEX('Providers'!$A$4:$A$503,127))</f>
        <v/>
      </c>
      <c r="E1630">
        <f>IF(ISNUMBER(INDEX('Providers'!$M$4:$M$503,127)),TEXT(INDEX('Providers'!$M$4:$M$503,127),"yyyy-mm-dd"),"")</f>
        <v/>
      </c>
      <c r="F1630">
        <f>"Certification"</f>
        <v/>
      </c>
      <c r="G1630">
        <f>""</f>
        <v/>
      </c>
      <c r="H1630">
        <f>"Medium"</f>
        <v/>
      </c>
      <c r="I1630">
        <f>TRIM(IF(LEN(IF(LEN(INDEX('Providers'!$L$4:$L$503,127))=0,"",INDEX('Providers'!$L$4:$L$503,127)))=0,"","Board / specialty: "&amp;IF(LEN(INDEX('Providers'!$L$4:$L$503,127))=0,"",INDEX('Providers'!$L$4:$L$503,127))&amp;". "))</f>
        <v/>
      </c>
      <c r="J1630">
        <f>IF(LEN(INDEX('Providers'!$AJ$4:$AJ$503,127))=0,"",INDEX('Providers'!$AJ$4:$AJ$503,127))</f>
        <v/>
      </c>
      <c r="K1630">
        <f>IF(LEN(INDEX('Providers'!$AI$4:$AI$503,127))=0,"",INDEX('Providers'!$AI$4:$AI$503,127))</f>
        <v/>
      </c>
    </row>
    <row r="1631">
      <c r="A1631">
        <f>IF(AND(LEN('Providers'!A131)&gt;0,ISNUMBER('Providers'!M131)),1,0)</f>
        <v/>
      </c>
      <c r="B1631">
        <f>B1630+A1631</f>
        <v/>
      </c>
      <c r="C1631">
        <f>IF(1628&gt;$B$4503,"",MATCH(1628-0.5,$B$3:$B$4503,1))</f>
        <v/>
      </c>
      <c r="D1631">
        <f>"Board certification – "&amp;IF(LEN(INDEX('Providers'!$A$4:$A$503,128))=0,"",INDEX('Providers'!$A$4:$A$503,128))</f>
        <v/>
      </c>
      <c r="E1631">
        <f>IF(ISNUMBER(INDEX('Providers'!$M$4:$M$503,128)),TEXT(INDEX('Providers'!$M$4:$M$503,128),"yyyy-mm-dd"),"")</f>
        <v/>
      </c>
      <c r="F1631">
        <f>"Certification"</f>
        <v/>
      </c>
      <c r="G1631">
        <f>""</f>
        <v/>
      </c>
      <c r="H1631">
        <f>"Medium"</f>
        <v/>
      </c>
      <c r="I1631">
        <f>TRIM(IF(LEN(IF(LEN(INDEX('Providers'!$L$4:$L$503,128))=0,"",INDEX('Providers'!$L$4:$L$503,128)))=0,"","Board / specialty: "&amp;IF(LEN(INDEX('Providers'!$L$4:$L$503,128))=0,"",INDEX('Providers'!$L$4:$L$503,128))&amp;". "))</f>
        <v/>
      </c>
      <c r="J1631">
        <f>IF(LEN(INDEX('Providers'!$AJ$4:$AJ$503,128))=0,"",INDEX('Providers'!$AJ$4:$AJ$503,128))</f>
        <v/>
      </c>
      <c r="K1631">
        <f>IF(LEN(INDEX('Providers'!$AI$4:$AI$503,128))=0,"",INDEX('Providers'!$AI$4:$AI$503,128))</f>
        <v/>
      </c>
    </row>
    <row r="1632">
      <c r="A1632">
        <f>IF(AND(LEN('Providers'!A132)&gt;0,ISNUMBER('Providers'!M132)),1,0)</f>
        <v/>
      </c>
      <c r="B1632">
        <f>B1631+A1632</f>
        <v/>
      </c>
      <c r="C1632">
        <f>IF(1629&gt;$B$4503,"",MATCH(1629-0.5,$B$3:$B$4503,1))</f>
        <v/>
      </c>
      <c r="D1632">
        <f>"Board certification – "&amp;IF(LEN(INDEX('Providers'!$A$4:$A$503,129))=0,"",INDEX('Providers'!$A$4:$A$503,129))</f>
        <v/>
      </c>
      <c r="E1632">
        <f>IF(ISNUMBER(INDEX('Providers'!$M$4:$M$503,129)),TEXT(INDEX('Providers'!$M$4:$M$503,129),"yyyy-mm-dd"),"")</f>
        <v/>
      </c>
      <c r="F1632">
        <f>"Certification"</f>
        <v/>
      </c>
      <c r="G1632">
        <f>""</f>
        <v/>
      </c>
      <c r="H1632">
        <f>"Medium"</f>
        <v/>
      </c>
      <c r="I1632">
        <f>TRIM(IF(LEN(IF(LEN(INDEX('Providers'!$L$4:$L$503,129))=0,"",INDEX('Providers'!$L$4:$L$503,129)))=0,"","Board / specialty: "&amp;IF(LEN(INDEX('Providers'!$L$4:$L$503,129))=0,"",INDEX('Providers'!$L$4:$L$503,129))&amp;". "))</f>
        <v/>
      </c>
      <c r="J1632">
        <f>IF(LEN(INDEX('Providers'!$AJ$4:$AJ$503,129))=0,"",INDEX('Providers'!$AJ$4:$AJ$503,129))</f>
        <v/>
      </c>
      <c r="K1632">
        <f>IF(LEN(INDEX('Providers'!$AI$4:$AI$503,129))=0,"",INDEX('Providers'!$AI$4:$AI$503,129))</f>
        <v/>
      </c>
    </row>
    <row r="1633">
      <c r="A1633">
        <f>IF(AND(LEN('Providers'!A133)&gt;0,ISNUMBER('Providers'!M133)),1,0)</f>
        <v/>
      </c>
      <c r="B1633">
        <f>B1632+A1633</f>
        <v/>
      </c>
      <c r="C1633">
        <f>IF(1630&gt;$B$4503,"",MATCH(1630-0.5,$B$3:$B$4503,1))</f>
        <v/>
      </c>
      <c r="D1633">
        <f>"Board certification – "&amp;IF(LEN(INDEX('Providers'!$A$4:$A$503,130))=0,"",INDEX('Providers'!$A$4:$A$503,130))</f>
        <v/>
      </c>
      <c r="E1633">
        <f>IF(ISNUMBER(INDEX('Providers'!$M$4:$M$503,130)),TEXT(INDEX('Providers'!$M$4:$M$503,130),"yyyy-mm-dd"),"")</f>
        <v/>
      </c>
      <c r="F1633">
        <f>"Certification"</f>
        <v/>
      </c>
      <c r="G1633">
        <f>""</f>
        <v/>
      </c>
      <c r="H1633">
        <f>"Medium"</f>
        <v/>
      </c>
      <c r="I1633">
        <f>TRIM(IF(LEN(IF(LEN(INDEX('Providers'!$L$4:$L$503,130))=0,"",INDEX('Providers'!$L$4:$L$503,130)))=0,"","Board / specialty: "&amp;IF(LEN(INDEX('Providers'!$L$4:$L$503,130))=0,"",INDEX('Providers'!$L$4:$L$503,130))&amp;". "))</f>
        <v/>
      </c>
      <c r="J1633">
        <f>IF(LEN(INDEX('Providers'!$AJ$4:$AJ$503,130))=0,"",INDEX('Providers'!$AJ$4:$AJ$503,130))</f>
        <v/>
      </c>
      <c r="K1633">
        <f>IF(LEN(INDEX('Providers'!$AI$4:$AI$503,130))=0,"",INDEX('Providers'!$AI$4:$AI$503,130))</f>
        <v/>
      </c>
    </row>
    <row r="1634">
      <c r="A1634">
        <f>IF(AND(LEN('Providers'!A134)&gt;0,ISNUMBER('Providers'!M134)),1,0)</f>
        <v/>
      </c>
      <c r="B1634">
        <f>B1633+A1634</f>
        <v/>
      </c>
      <c r="C1634">
        <f>IF(1631&gt;$B$4503,"",MATCH(1631-0.5,$B$3:$B$4503,1))</f>
        <v/>
      </c>
      <c r="D1634">
        <f>"Board certification – "&amp;IF(LEN(INDEX('Providers'!$A$4:$A$503,131))=0,"",INDEX('Providers'!$A$4:$A$503,131))</f>
        <v/>
      </c>
      <c r="E1634">
        <f>IF(ISNUMBER(INDEX('Providers'!$M$4:$M$503,131)),TEXT(INDEX('Providers'!$M$4:$M$503,131),"yyyy-mm-dd"),"")</f>
        <v/>
      </c>
      <c r="F1634">
        <f>"Certification"</f>
        <v/>
      </c>
      <c r="G1634">
        <f>""</f>
        <v/>
      </c>
      <c r="H1634">
        <f>"Medium"</f>
        <v/>
      </c>
      <c r="I1634">
        <f>TRIM(IF(LEN(IF(LEN(INDEX('Providers'!$L$4:$L$503,131))=0,"",INDEX('Providers'!$L$4:$L$503,131)))=0,"","Board / specialty: "&amp;IF(LEN(INDEX('Providers'!$L$4:$L$503,131))=0,"",INDEX('Providers'!$L$4:$L$503,131))&amp;". "))</f>
        <v/>
      </c>
      <c r="J1634">
        <f>IF(LEN(INDEX('Providers'!$AJ$4:$AJ$503,131))=0,"",INDEX('Providers'!$AJ$4:$AJ$503,131))</f>
        <v/>
      </c>
      <c r="K1634">
        <f>IF(LEN(INDEX('Providers'!$AI$4:$AI$503,131))=0,"",INDEX('Providers'!$AI$4:$AI$503,131))</f>
        <v/>
      </c>
    </row>
    <row r="1635">
      <c r="A1635">
        <f>IF(AND(LEN('Providers'!A135)&gt;0,ISNUMBER('Providers'!M135)),1,0)</f>
        <v/>
      </c>
      <c r="B1635">
        <f>B1634+A1635</f>
        <v/>
      </c>
      <c r="C1635">
        <f>IF(1632&gt;$B$4503,"",MATCH(1632-0.5,$B$3:$B$4503,1))</f>
        <v/>
      </c>
      <c r="D1635">
        <f>"Board certification – "&amp;IF(LEN(INDEX('Providers'!$A$4:$A$503,132))=0,"",INDEX('Providers'!$A$4:$A$503,132))</f>
        <v/>
      </c>
      <c r="E1635">
        <f>IF(ISNUMBER(INDEX('Providers'!$M$4:$M$503,132)),TEXT(INDEX('Providers'!$M$4:$M$503,132),"yyyy-mm-dd"),"")</f>
        <v/>
      </c>
      <c r="F1635">
        <f>"Certification"</f>
        <v/>
      </c>
      <c r="G1635">
        <f>""</f>
        <v/>
      </c>
      <c r="H1635">
        <f>"Medium"</f>
        <v/>
      </c>
      <c r="I1635">
        <f>TRIM(IF(LEN(IF(LEN(INDEX('Providers'!$L$4:$L$503,132))=0,"",INDEX('Providers'!$L$4:$L$503,132)))=0,"","Board / specialty: "&amp;IF(LEN(INDEX('Providers'!$L$4:$L$503,132))=0,"",INDEX('Providers'!$L$4:$L$503,132))&amp;". "))</f>
        <v/>
      </c>
      <c r="J1635">
        <f>IF(LEN(INDEX('Providers'!$AJ$4:$AJ$503,132))=0,"",INDEX('Providers'!$AJ$4:$AJ$503,132))</f>
        <v/>
      </c>
      <c r="K1635">
        <f>IF(LEN(INDEX('Providers'!$AI$4:$AI$503,132))=0,"",INDEX('Providers'!$AI$4:$AI$503,132))</f>
        <v/>
      </c>
    </row>
    <row r="1636">
      <c r="A1636">
        <f>IF(AND(LEN('Providers'!A136)&gt;0,ISNUMBER('Providers'!M136)),1,0)</f>
        <v/>
      </c>
      <c r="B1636">
        <f>B1635+A1636</f>
        <v/>
      </c>
      <c r="C1636">
        <f>IF(1633&gt;$B$4503,"",MATCH(1633-0.5,$B$3:$B$4503,1))</f>
        <v/>
      </c>
      <c r="D1636">
        <f>"Board certification – "&amp;IF(LEN(INDEX('Providers'!$A$4:$A$503,133))=0,"",INDEX('Providers'!$A$4:$A$503,133))</f>
        <v/>
      </c>
      <c r="E1636">
        <f>IF(ISNUMBER(INDEX('Providers'!$M$4:$M$503,133)),TEXT(INDEX('Providers'!$M$4:$M$503,133),"yyyy-mm-dd"),"")</f>
        <v/>
      </c>
      <c r="F1636">
        <f>"Certification"</f>
        <v/>
      </c>
      <c r="G1636">
        <f>""</f>
        <v/>
      </c>
      <c r="H1636">
        <f>"Medium"</f>
        <v/>
      </c>
      <c r="I1636">
        <f>TRIM(IF(LEN(IF(LEN(INDEX('Providers'!$L$4:$L$503,133))=0,"",INDEX('Providers'!$L$4:$L$503,133)))=0,"","Board / specialty: "&amp;IF(LEN(INDEX('Providers'!$L$4:$L$503,133))=0,"",INDEX('Providers'!$L$4:$L$503,133))&amp;". "))</f>
        <v/>
      </c>
      <c r="J1636">
        <f>IF(LEN(INDEX('Providers'!$AJ$4:$AJ$503,133))=0,"",INDEX('Providers'!$AJ$4:$AJ$503,133))</f>
        <v/>
      </c>
      <c r="K1636">
        <f>IF(LEN(INDEX('Providers'!$AI$4:$AI$503,133))=0,"",INDEX('Providers'!$AI$4:$AI$503,133))</f>
        <v/>
      </c>
    </row>
    <row r="1637">
      <c r="A1637">
        <f>IF(AND(LEN('Providers'!A137)&gt;0,ISNUMBER('Providers'!M137)),1,0)</f>
        <v/>
      </c>
      <c r="B1637">
        <f>B1636+A1637</f>
        <v/>
      </c>
      <c r="C1637">
        <f>IF(1634&gt;$B$4503,"",MATCH(1634-0.5,$B$3:$B$4503,1))</f>
        <v/>
      </c>
      <c r="D1637">
        <f>"Board certification – "&amp;IF(LEN(INDEX('Providers'!$A$4:$A$503,134))=0,"",INDEX('Providers'!$A$4:$A$503,134))</f>
        <v/>
      </c>
      <c r="E1637">
        <f>IF(ISNUMBER(INDEX('Providers'!$M$4:$M$503,134)),TEXT(INDEX('Providers'!$M$4:$M$503,134),"yyyy-mm-dd"),"")</f>
        <v/>
      </c>
      <c r="F1637">
        <f>"Certification"</f>
        <v/>
      </c>
      <c r="G1637">
        <f>""</f>
        <v/>
      </c>
      <c r="H1637">
        <f>"Medium"</f>
        <v/>
      </c>
      <c r="I1637">
        <f>TRIM(IF(LEN(IF(LEN(INDEX('Providers'!$L$4:$L$503,134))=0,"",INDEX('Providers'!$L$4:$L$503,134)))=0,"","Board / specialty: "&amp;IF(LEN(INDEX('Providers'!$L$4:$L$503,134))=0,"",INDEX('Providers'!$L$4:$L$503,134))&amp;". "))</f>
        <v/>
      </c>
      <c r="J1637">
        <f>IF(LEN(INDEX('Providers'!$AJ$4:$AJ$503,134))=0,"",INDEX('Providers'!$AJ$4:$AJ$503,134))</f>
        <v/>
      </c>
      <c r="K1637">
        <f>IF(LEN(INDEX('Providers'!$AI$4:$AI$503,134))=0,"",INDEX('Providers'!$AI$4:$AI$503,134))</f>
        <v/>
      </c>
    </row>
    <row r="1638">
      <c r="A1638">
        <f>IF(AND(LEN('Providers'!A138)&gt;0,ISNUMBER('Providers'!M138)),1,0)</f>
        <v/>
      </c>
      <c r="B1638">
        <f>B1637+A1638</f>
        <v/>
      </c>
      <c r="C1638">
        <f>IF(1635&gt;$B$4503,"",MATCH(1635-0.5,$B$3:$B$4503,1))</f>
        <v/>
      </c>
      <c r="D1638">
        <f>"Board certification – "&amp;IF(LEN(INDEX('Providers'!$A$4:$A$503,135))=0,"",INDEX('Providers'!$A$4:$A$503,135))</f>
        <v/>
      </c>
      <c r="E1638">
        <f>IF(ISNUMBER(INDEX('Providers'!$M$4:$M$503,135)),TEXT(INDEX('Providers'!$M$4:$M$503,135),"yyyy-mm-dd"),"")</f>
        <v/>
      </c>
      <c r="F1638">
        <f>"Certification"</f>
        <v/>
      </c>
      <c r="G1638">
        <f>""</f>
        <v/>
      </c>
      <c r="H1638">
        <f>"Medium"</f>
        <v/>
      </c>
      <c r="I1638">
        <f>TRIM(IF(LEN(IF(LEN(INDEX('Providers'!$L$4:$L$503,135))=0,"",INDEX('Providers'!$L$4:$L$503,135)))=0,"","Board / specialty: "&amp;IF(LEN(INDEX('Providers'!$L$4:$L$503,135))=0,"",INDEX('Providers'!$L$4:$L$503,135))&amp;". "))</f>
        <v/>
      </c>
      <c r="J1638">
        <f>IF(LEN(INDEX('Providers'!$AJ$4:$AJ$503,135))=0,"",INDEX('Providers'!$AJ$4:$AJ$503,135))</f>
        <v/>
      </c>
      <c r="K1638">
        <f>IF(LEN(INDEX('Providers'!$AI$4:$AI$503,135))=0,"",INDEX('Providers'!$AI$4:$AI$503,135))</f>
        <v/>
      </c>
    </row>
    <row r="1639">
      <c r="A1639">
        <f>IF(AND(LEN('Providers'!A139)&gt;0,ISNUMBER('Providers'!M139)),1,0)</f>
        <v/>
      </c>
      <c r="B1639">
        <f>B1638+A1639</f>
        <v/>
      </c>
      <c r="C1639">
        <f>IF(1636&gt;$B$4503,"",MATCH(1636-0.5,$B$3:$B$4503,1))</f>
        <v/>
      </c>
      <c r="D1639">
        <f>"Board certification – "&amp;IF(LEN(INDEX('Providers'!$A$4:$A$503,136))=0,"",INDEX('Providers'!$A$4:$A$503,136))</f>
        <v/>
      </c>
      <c r="E1639">
        <f>IF(ISNUMBER(INDEX('Providers'!$M$4:$M$503,136)),TEXT(INDEX('Providers'!$M$4:$M$503,136),"yyyy-mm-dd"),"")</f>
        <v/>
      </c>
      <c r="F1639">
        <f>"Certification"</f>
        <v/>
      </c>
      <c r="G1639">
        <f>""</f>
        <v/>
      </c>
      <c r="H1639">
        <f>"Medium"</f>
        <v/>
      </c>
      <c r="I1639">
        <f>TRIM(IF(LEN(IF(LEN(INDEX('Providers'!$L$4:$L$503,136))=0,"",INDEX('Providers'!$L$4:$L$503,136)))=0,"","Board / specialty: "&amp;IF(LEN(INDEX('Providers'!$L$4:$L$503,136))=0,"",INDEX('Providers'!$L$4:$L$503,136))&amp;". "))</f>
        <v/>
      </c>
      <c r="J1639">
        <f>IF(LEN(INDEX('Providers'!$AJ$4:$AJ$503,136))=0,"",INDEX('Providers'!$AJ$4:$AJ$503,136))</f>
        <v/>
      </c>
      <c r="K1639">
        <f>IF(LEN(INDEX('Providers'!$AI$4:$AI$503,136))=0,"",INDEX('Providers'!$AI$4:$AI$503,136))</f>
        <v/>
      </c>
    </row>
    <row r="1640">
      <c r="A1640">
        <f>IF(AND(LEN('Providers'!A140)&gt;0,ISNUMBER('Providers'!M140)),1,0)</f>
        <v/>
      </c>
      <c r="B1640">
        <f>B1639+A1640</f>
        <v/>
      </c>
      <c r="C1640">
        <f>IF(1637&gt;$B$4503,"",MATCH(1637-0.5,$B$3:$B$4503,1))</f>
        <v/>
      </c>
      <c r="D1640">
        <f>"Board certification – "&amp;IF(LEN(INDEX('Providers'!$A$4:$A$503,137))=0,"",INDEX('Providers'!$A$4:$A$503,137))</f>
        <v/>
      </c>
      <c r="E1640">
        <f>IF(ISNUMBER(INDEX('Providers'!$M$4:$M$503,137)),TEXT(INDEX('Providers'!$M$4:$M$503,137),"yyyy-mm-dd"),"")</f>
        <v/>
      </c>
      <c r="F1640">
        <f>"Certification"</f>
        <v/>
      </c>
      <c r="G1640">
        <f>""</f>
        <v/>
      </c>
      <c r="H1640">
        <f>"Medium"</f>
        <v/>
      </c>
      <c r="I1640">
        <f>TRIM(IF(LEN(IF(LEN(INDEX('Providers'!$L$4:$L$503,137))=0,"",INDEX('Providers'!$L$4:$L$503,137)))=0,"","Board / specialty: "&amp;IF(LEN(INDEX('Providers'!$L$4:$L$503,137))=0,"",INDEX('Providers'!$L$4:$L$503,137))&amp;". "))</f>
        <v/>
      </c>
      <c r="J1640">
        <f>IF(LEN(INDEX('Providers'!$AJ$4:$AJ$503,137))=0,"",INDEX('Providers'!$AJ$4:$AJ$503,137))</f>
        <v/>
      </c>
      <c r="K1640">
        <f>IF(LEN(INDEX('Providers'!$AI$4:$AI$503,137))=0,"",INDEX('Providers'!$AI$4:$AI$503,137))</f>
        <v/>
      </c>
    </row>
    <row r="1641">
      <c r="A1641">
        <f>IF(AND(LEN('Providers'!A141)&gt;0,ISNUMBER('Providers'!M141)),1,0)</f>
        <v/>
      </c>
      <c r="B1641">
        <f>B1640+A1641</f>
        <v/>
      </c>
      <c r="C1641">
        <f>IF(1638&gt;$B$4503,"",MATCH(1638-0.5,$B$3:$B$4503,1))</f>
        <v/>
      </c>
      <c r="D1641">
        <f>"Board certification – "&amp;IF(LEN(INDEX('Providers'!$A$4:$A$503,138))=0,"",INDEX('Providers'!$A$4:$A$503,138))</f>
        <v/>
      </c>
      <c r="E1641">
        <f>IF(ISNUMBER(INDEX('Providers'!$M$4:$M$503,138)),TEXT(INDEX('Providers'!$M$4:$M$503,138),"yyyy-mm-dd"),"")</f>
        <v/>
      </c>
      <c r="F1641">
        <f>"Certification"</f>
        <v/>
      </c>
      <c r="G1641">
        <f>""</f>
        <v/>
      </c>
      <c r="H1641">
        <f>"Medium"</f>
        <v/>
      </c>
      <c r="I1641">
        <f>TRIM(IF(LEN(IF(LEN(INDEX('Providers'!$L$4:$L$503,138))=0,"",INDEX('Providers'!$L$4:$L$503,138)))=0,"","Board / specialty: "&amp;IF(LEN(INDEX('Providers'!$L$4:$L$503,138))=0,"",INDEX('Providers'!$L$4:$L$503,138))&amp;". "))</f>
        <v/>
      </c>
      <c r="J1641">
        <f>IF(LEN(INDEX('Providers'!$AJ$4:$AJ$503,138))=0,"",INDEX('Providers'!$AJ$4:$AJ$503,138))</f>
        <v/>
      </c>
      <c r="K1641">
        <f>IF(LEN(INDEX('Providers'!$AI$4:$AI$503,138))=0,"",INDEX('Providers'!$AI$4:$AI$503,138))</f>
        <v/>
      </c>
    </row>
    <row r="1642">
      <c r="A1642">
        <f>IF(AND(LEN('Providers'!A142)&gt;0,ISNUMBER('Providers'!M142)),1,0)</f>
        <v/>
      </c>
      <c r="B1642">
        <f>B1641+A1642</f>
        <v/>
      </c>
      <c r="C1642">
        <f>IF(1639&gt;$B$4503,"",MATCH(1639-0.5,$B$3:$B$4503,1))</f>
        <v/>
      </c>
      <c r="D1642">
        <f>"Board certification – "&amp;IF(LEN(INDEX('Providers'!$A$4:$A$503,139))=0,"",INDEX('Providers'!$A$4:$A$503,139))</f>
        <v/>
      </c>
      <c r="E1642">
        <f>IF(ISNUMBER(INDEX('Providers'!$M$4:$M$503,139)),TEXT(INDEX('Providers'!$M$4:$M$503,139),"yyyy-mm-dd"),"")</f>
        <v/>
      </c>
      <c r="F1642">
        <f>"Certification"</f>
        <v/>
      </c>
      <c r="G1642">
        <f>""</f>
        <v/>
      </c>
      <c r="H1642">
        <f>"Medium"</f>
        <v/>
      </c>
      <c r="I1642">
        <f>TRIM(IF(LEN(IF(LEN(INDEX('Providers'!$L$4:$L$503,139))=0,"",INDEX('Providers'!$L$4:$L$503,139)))=0,"","Board / specialty: "&amp;IF(LEN(INDEX('Providers'!$L$4:$L$503,139))=0,"",INDEX('Providers'!$L$4:$L$503,139))&amp;". "))</f>
        <v/>
      </c>
      <c r="J1642">
        <f>IF(LEN(INDEX('Providers'!$AJ$4:$AJ$503,139))=0,"",INDEX('Providers'!$AJ$4:$AJ$503,139))</f>
        <v/>
      </c>
      <c r="K1642">
        <f>IF(LEN(INDEX('Providers'!$AI$4:$AI$503,139))=0,"",INDEX('Providers'!$AI$4:$AI$503,139))</f>
        <v/>
      </c>
    </row>
    <row r="1643">
      <c r="A1643">
        <f>IF(AND(LEN('Providers'!A143)&gt;0,ISNUMBER('Providers'!M143)),1,0)</f>
        <v/>
      </c>
      <c r="B1643">
        <f>B1642+A1643</f>
        <v/>
      </c>
      <c r="C1643">
        <f>IF(1640&gt;$B$4503,"",MATCH(1640-0.5,$B$3:$B$4503,1))</f>
        <v/>
      </c>
      <c r="D1643">
        <f>"Board certification – "&amp;IF(LEN(INDEX('Providers'!$A$4:$A$503,140))=0,"",INDEX('Providers'!$A$4:$A$503,140))</f>
        <v/>
      </c>
      <c r="E1643">
        <f>IF(ISNUMBER(INDEX('Providers'!$M$4:$M$503,140)),TEXT(INDEX('Providers'!$M$4:$M$503,140),"yyyy-mm-dd"),"")</f>
        <v/>
      </c>
      <c r="F1643">
        <f>"Certification"</f>
        <v/>
      </c>
      <c r="G1643">
        <f>""</f>
        <v/>
      </c>
      <c r="H1643">
        <f>"Medium"</f>
        <v/>
      </c>
      <c r="I1643">
        <f>TRIM(IF(LEN(IF(LEN(INDEX('Providers'!$L$4:$L$503,140))=0,"",INDEX('Providers'!$L$4:$L$503,140)))=0,"","Board / specialty: "&amp;IF(LEN(INDEX('Providers'!$L$4:$L$503,140))=0,"",INDEX('Providers'!$L$4:$L$503,140))&amp;". "))</f>
        <v/>
      </c>
      <c r="J1643">
        <f>IF(LEN(INDEX('Providers'!$AJ$4:$AJ$503,140))=0,"",INDEX('Providers'!$AJ$4:$AJ$503,140))</f>
        <v/>
      </c>
      <c r="K1643">
        <f>IF(LEN(INDEX('Providers'!$AI$4:$AI$503,140))=0,"",INDEX('Providers'!$AI$4:$AI$503,140))</f>
        <v/>
      </c>
    </row>
    <row r="1644">
      <c r="A1644">
        <f>IF(AND(LEN('Providers'!A144)&gt;0,ISNUMBER('Providers'!M144)),1,0)</f>
        <v/>
      </c>
      <c r="B1644">
        <f>B1643+A1644</f>
        <v/>
      </c>
      <c r="C1644">
        <f>IF(1641&gt;$B$4503,"",MATCH(1641-0.5,$B$3:$B$4503,1))</f>
        <v/>
      </c>
      <c r="D1644">
        <f>"Board certification – "&amp;IF(LEN(INDEX('Providers'!$A$4:$A$503,141))=0,"",INDEX('Providers'!$A$4:$A$503,141))</f>
        <v/>
      </c>
      <c r="E1644">
        <f>IF(ISNUMBER(INDEX('Providers'!$M$4:$M$503,141)),TEXT(INDEX('Providers'!$M$4:$M$503,141),"yyyy-mm-dd"),"")</f>
        <v/>
      </c>
      <c r="F1644">
        <f>"Certification"</f>
        <v/>
      </c>
      <c r="G1644">
        <f>""</f>
        <v/>
      </c>
      <c r="H1644">
        <f>"Medium"</f>
        <v/>
      </c>
      <c r="I1644">
        <f>TRIM(IF(LEN(IF(LEN(INDEX('Providers'!$L$4:$L$503,141))=0,"",INDEX('Providers'!$L$4:$L$503,141)))=0,"","Board / specialty: "&amp;IF(LEN(INDEX('Providers'!$L$4:$L$503,141))=0,"",INDEX('Providers'!$L$4:$L$503,141))&amp;". "))</f>
        <v/>
      </c>
      <c r="J1644">
        <f>IF(LEN(INDEX('Providers'!$AJ$4:$AJ$503,141))=0,"",INDEX('Providers'!$AJ$4:$AJ$503,141))</f>
        <v/>
      </c>
      <c r="K1644">
        <f>IF(LEN(INDEX('Providers'!$AI$4:$AI$503,141))=0,"",INDEX('Providers'!$AI$4:$AI$503,141))</f>
        <v/>
      </c>
    </row>
    <row r="1645">
      <c r="A1645">
        <f>IF(AND(LEN('Providers'!A145)&gt;0,ISNUMBER('Providers'!M145)),1,0)</f>
        <v/>
      </c>
      <c r="B1645">
        <f>B1644+A1645</f>
        <v/>
      </c>
      <c r="C1645">
        <f>IF(1642&gt;$B$4503,"",MATCH(1642-0.5,$B$3:$B$4503,1))</f>
        <v/>
      </c>
      <c r="D1645">
        <f>"Board certification – "&amp;IF(LEN(INDEX('Providers'!$A$4:$A$503,142))=0,"",INDEX('Providers'!$A$4:$A$503,142))</f>
        <v/>
      </c>
      <c r="E1645">
        <f>IF(ISNUMBER(INDEX('Providers'!$M$4:$M$503,142)),TEXT(INDEX('Providers'!$M$4:$M$503,142),"yyyy-mm-dd"),"")</f>
        <v/>
      </c>
      <c r="F1645">
        <f>"Certification"</f>
        <v/>
      </c>
      <c r="G1645">
        <f>""</f>
        <v/>
      </c>
      <c r="H1645">
        <f>"Medium"</f>
        <v/>
      </c>
      <c r="I1645">
        <f>TRIM(IF(LEN(IF(LEN(INDEX('Providers'!$L$4:$L$503,142))=0,"",INDEX('Providers'!$L$4:$L$503,142)))=0,"","Board / specialty: "&amp;IF(LEN(INDEX('Providers'!$L$4:$L$503,142))=0,"",INDEX('Providers'!$L$4:$L$503,142))&amp;". "))</f>
        <v/>
      </c>
      <c r="J1645">
        <f>IF(LEN(INDEX('Providers'!$AJ$4:$AJ$503,142))=0,"",INDEX('Providers'!$AJ$4:$AJ$503,142))</f>
        <v/>
      </c>
      <c r="K1645">
        <f>IF(LEN(INDEX('Providers'!$AI$4:$AI$503,142))=0,"",INDEX('Providers'!$AI$4:$AI$503,142))</f>
        <v/>
      </c>
    </row>
    <row r="1646">
      <c r="A1646">
        <f>IF(AND(LEN('Providers'!A146)&gt;0,ISNUMBER('Providers'!M146)),1,0)</f>
        <v/>
      </c>
      <c r="B1646">
        <f>B1645+A1646</f>
        <v/>
      </c>
      <c r="C1646">
        <f>IF(1643&gt;$B$4503,"",MATCH(1643-0.5,$B$3:$B$4503,1))</f>
        <v/>
      </c>
      <c r="D1646">
        <f>"Board certification – "&amp;IF(LEN(INDEX('Providers'!$A$4:$A$503,143))=0,"",INDEX('Providers'!$A$4:$A$503,143))</f>
        <v/>
      </c>
      <c r="E1646">
        <f>IF(ISNUMBER(INDEX('Providers'!$M$4:$M$503,143)),TEXT(INDEX('Providers'!$M$4:$M$503,143),"yyyy-mm-dd"),"")</f>
        <v/>
      </c>
      <c r="F1646">
        <f>"Certification"</f>
        <v/>
      </c>
      <c r="G1646">
        <f>""</f>
        <v/>
      </c>
      <c r="H1646">
        <f>"Medium"</f>
        <v/>
      </c>
      <c r="I1646">
        <f>TRIM(IF(LEN(IF(LEN(INDEX('Providers'!$L$4:$L$503,143))=0,"",INDEX('Providers'!$L$4:$L$503,143)))=0,"","Board / specialty: "&amp;IF(LEN(INDEX('Providers'!$L$4:$L$503,143))=0,"",INDEX('Providers'!$L$4:$L$503,143))&amp;". "))</f>
        <v/>
      </c>
      <c r="J1646">
        <f>IF(LEN(INDEX('Providers'!$AJ$4:$AJ$503,143))=0,"",INDEX('Providers'!$AJ$4:$AJ$503,143))</f>
        <v/>
      </c>
      <c r="K1646">
        <f>IF(LEN(INDEX('Providers'!$AI$4:$AI$503,143))=0,"",INDEX('Providers'!$AI$4:$AI$503,143))</f>
        <v/>
      </c>
    </row>
    <row r="1647">
      <c r="A1647">
        <f>IF(AND(LEN('Providers'!A147)&gt;0,ISNUMBER('Providers'!M147)),1,0)</f>
        <v/>
      </c>
      <c r="B1647">
        <f>B1646+A1647</f>
        <v/>
      </c>
      <c r="C1647">
        <f>IF(1644&gt;$B$4503,"",MATCH(1644-0.5,$B$3:$B$4503,1))</f>
        <v/>
      </c>
      <c r="D1647">
        <f>"Board certification – "&amp;IF(LEN(INDEX('Providers'!$A$4:$A$503,144))=0,"",INDEX('Providers'!$A$4:$A$503,144))</f>
        <v/>
      </c>
      <c r="E1647">
        <f>IF(ISNUMBER(INDEX('Providers'!$M$4:$M$503,144)),TEXT(INDEX('Providers'!$M$4:$M$503,144),"yyyy-mm-dd"),"")</f>
        <v/>
      </c>
      <c r="F1647">
        <f>"Certification"</f>
        <v/>
      </c>
      <c r="G1647">
        <f>""</f>
        <v/>
      </c>
      <c r="H1647">
        <f>"Medium"</f>
        <v/>
      </c>
      <c r="I1647">
        <f>TRIM(IF(LEN(IF(LEN(INDEX('Providers'!$L$4:$L$503,144))=0,"",INDEX('Providers'!$L$4:$L$503,144)))=0,"","Board / specialty: "&amp;IF(LEN(INDEX('Providers'!$L$4:$L$503,144))=0,"",INDEX('Providers'!$L$4:$L$503,144))&amp;". "))</f>
        <v/>
      </c>
      <c r="J1647">
        <f>IF(LEN(INDEX('Providers'!$AJ$4:$AJ$503,144))=0,"",INDEX('Providers'!$AJ$4:$AJ$503,144))</f>
        <v/>
      </c>
      <c r="K1647">
        <f>IF(LEN(INDEX('Providers'!$AI$4:$AI$503,144))=0,"",INDEX('Providers'!$AI$4:$AI$503,144))</f>
        <v/>
      </c>
    </row>
    <row r="1648">
      <c r="A1648">
        <f>IF(AND(LEN('Providers'!A148)&gt;0,ISNUMBER('Providers'!M148)),1,0)</f>
        <v/>
      </c>
      <c r="B1648">
        <f>B1647+A1648</f>
        <v/>
      </c>
      <c r="C1648">
        <f>IF(1645&gt;$B$4503,"",MATCH(1645-0.5,$B$3:$B$4503,1))</f>
        <v/>
      </c>
      <c r="D1648">
        <f>"Board certification – "&amp;IF(LEN(INDEX('Providers'!$A$4:$A$503,145))=0,"",INDEX('Providers'!$A$4:$A$503,145))</f>
        <v/>
      </c>
      <c r="E1648">
        <f>IF(ISNUMBER(INDEX('Providers'!$M$4:$M$503,145)),TEXT(INDEX('Providers'!$M$4:$M$503,145),"yyyy-mm-dd"),"")</f>
        <v/>
      </c>
      <c r="F1648">
        <f>"Certification"</f>
        <v/>
      </c>
      <c r="G1648">
        <f>""</f>
        <v/>
      </c>
      <c r="H1648">
        <f>"Medium"</f>
        <v/>
      </c>
      <c r="I1648">
        <f>TRIM(IF(LEN(IF(LEN(INDEX('Providers'!$L$4:$L$503,145))=0,"",INDEX('Providers'!$L$4:$L$503,145)))=0,"","Board / specialty: "&amp;IF(LEN(INDEX('Providers'!$L$4:$L$503,145))=0,"",INDEX('Providers'!$L$4:$L$503,145))&amp;". "))</f>
        <v/>
      </c>
      <c r="J1648">
        <f>IF(LEN(INDEX('Providers'!$AJ$4:$AJ$503,145))=0,"",INDEX('Providers'!$AJ$4:$AJ$503,145))</f>
        <v/>
      </c>
      <c r="K1648">
        <f>IF(LEN(INDEX('Providers'!$AI$4:$AI$503,145))=0,"",INDEX('Providers'!$AI$4:$AI$503,145))</f>
        <v/>
      </c>
    </row>
    <row r="1649">
      <c r="A1649">
        <f>IF(AND(LEN('Providers'!A149)&gt;0,ISNUMBER('Providers'!M149)),1,0)</f>
        <v/>
      </c>
      <c r="B1649">
        <f>B1648+A1649</f>
        <v/>
      </c>
      <c r="C1649">
        <f>IF(1646&gt;$B$4503,"",MATCH(1646-0.5,$B$3:$B$4503,1))</f>
        <v/>
      </c>
      <c r="D1649">
        <f>"Board certification – "&amp;IF(LEN(INDEX('Providers'!$A$4:$A$503,146))=0,"",INDEX('Providers'!$A$4:$A$503,146))</f>
        <v/>
      </c>
      <c r="E1649">
        <f>IF(ISNUMBER(INDEX('Providers'!$M$4:$M$503,146)),TEXT(INDEX('Providers'!$M$4:$M$503,146),"yyyy-mm-dd"),"")</f>
        <v/>
      </c>
      <c r="F1649">
        <f>"Certification"</f>
        <v/>
      </c>
      <c r="G1649">
        <f>""</f>
        <v/>
      </c>
      <c r="H1649">
        <f>"Medium"</f>
        <v/>
      </c>
      <c r="I1649">
        <f>TRIM(IF(LEN(IF(LEN(INDEX('Providers'!$L$4:$L$503,146))=0,"",INDEX('Providers'!$L$4:$L$503,146)))=0,"","Board / specialty: "&amp;IF(LEN(INDEX('Providers'!$L$4:$L$503,146))=0,"",INDEX('Providers'!$L$4:$L$503,146))&amp;". "))</f>
        <v/>
      </c>
      <c r="J1649">
        <f>IF(LEN(INDEX('Providers'!$AJ$4:$AJ$503,146))=0,"",INDEX('Providers'!$AJ$4:$AJ$503,146))</f>
        <v/>
      </c>
      <c r="K1649">
        <f>IF(LEN(INDEX('Providers'!$AI$4:$AI$503,146))=0,"",INDEX('Providers'!$AI$4:$AI$503,146))</f>
        <v/>
      </c>
    </row>
    <row r="1650">
      <c r="A1650">
        <f>IF(AND(LEN('Providers'!A150)&gt;0,ISNUMBER('Providers'!M150)),1,0)</f>
        <v/>
      </c>
      <c r="B1650">
        <f>B1649+A1650</f>
        <v/>
      </c>
      <c r="C1650">
        <f>IF(1647&gt;$B$4503,"",MATCH(1647-0.5,$B$3:$B$4503,1))</f>
        <v/>
      </c>
      <c r="D1650">
        <f>"Board certification – "&amp;IF(LEN(INDEX('Providers'!$A$4:$A$503,147))=0,"",INDEX('Providers'!$A$4:$A$503,147))</f>
        <v/>
      </c>
      <c r="E1650">
        <f>IF(ISNUMBER(INDEX('Providers'!$M$4:$M$503,147)),TEXT(INDEX('Providers'!$M$4:$M$503,147),"yyyy-mm-dd"),"")</f>
        <v/>
      </c>
      <c r="F1650">
        <f>"Certification"</f>
        <v/>
      </c>
      <c r="G1650">
        <f>""</f>
        <v/>
      </c>
      <c r="H1650">
        <f>"Medium"</f>
        <v/>
      </c>
      <c r="I1650">
        <f>TRIM(IF(LEN(IF(LEN(INDEX('Providers'!$L$4:$L$503,147))=0,"",INDEX('Providers'!$L$4:$L$503,147)))=0,"","Board / specialty: "&amp;IF(LEN(INDEX('Providers'!$L$4:$L$503,147))=0,"",INDEX('Providers'!$L$4:$L$503,147))&amp;". "))</f>
        <v/>
      </c>
      <c r="J1650">
        <f>IF(LEN(INDEX('Providers'!$AJ$4:$AJ$503,147))=0,"",INDEX('Providers'!$AJ$4:$AJ$503,147))</f>
        <v/>
      </c>
      <c r="K1650">
        <f>IF(LEN(INDEX('Providers'!$AI$4:$AI$503,147))=0,"",INDEX('Providers'!$AI$4:$AI$503,147))</f>
        <v/>
      </c>
    </row>
    <row r="1651">
      <c r="A1651">
        <f>IF(AND(LEN('Providers'!A151)&gt;0,ISNUMBER('Providers'!M151)),1,0)</f>
        <v/>
      </c>
      <c r="B1651">
        <f>B1650+A1651</f>
        <v/>
      </c>
      <c r="C1651">
        <f>IF(1648&gt;$B$4503,"",MATCH(1648-0.5,$B$3:$B$4503,1))</f>
        <v/>
      </c>
      <c r="D1651">
        <f>"Board certification – "&amp;IF(LEN(INDEX('Providers'!$A$4:$A$503,148))=0,"",INDEX('Providers'!$A$4:$A$503,148))</f>
        <v/>
      </c>
      <c r="E1651">
        <f>IF(ISNUMBER(INDEX('Providers'!$M$4:$M$503,148)),TEXT(INDEX('Providers'!$M$4:$M$503,148),"yyyy-mm-dd"),"")</f>
        <v/>
      </c>
      <c r="F1651">
        <f>"Certification"</f>
        <v/>
      </c>
      <c r="G1651">
        <f>""</f>
        <v/>
      </c>
      <c r="H1651">
        <f>"Medium"</f>
        <v/>
      </c>
      <c r="I1651">
        <f>TRIM(IF(LEN(IF(LEN(INDEX('Providers'!$L$4:$L$503,148))=0,"",INDEX('Providers'!$L$4:$L$503,148)))=0,"","Board / specialty: "&amp;IF(LEN(INDEX('Providers'!$L$4:$L$503,148))=0,"",INDEX('Providers'!$L$4:$L$503,148))&amp;". "))</f>
        <v/>
      </c>
      <c r="J1651">
        <f>IF(LEN(INDEX('Providers'!$AJ$4:$AJ$503,148))=0,"",INDEX('Providers'!$AJ$4:$AJ$503,148))</f>
        <v/>
      </c>
      <c r="K1651">
        <f>IF(LEN(INDEX('Providers'!$AI$4:$AI$503,148))=0,"",INDEX('Providers'!$AI$4:$AI$503,148))</f>
        <v/>
      </c>
    </row>
    <row r="1652">
      <c r="A1652">
        <f>IF(AND(LEN('Providers'!A152)&gt;0,ISNUMBER('Providers'!M152)),1,0)</f>
        <v/>
      </c>
      <c r="B1652">
        <f>B1651+A1652</f>
        <v/>
      </c>
      <c r="C1652">
        <f>IF(1649&gt;$B$4503,"",MATCH(1649-0.5,$B$3:$B$4503,1))</f>
        <v/>
      </c>
      <c r="D1652">
        <f>"Board certification – "&amp;IF(LEN(INDEX('Providers'!$A$4:$A$503,149))=0,"",INDEX('Providers'!$A$4:$A$503,149))</f>
        <v/>
      </c>
      <c r="E1652">
        <f>IF(ISNUMBER(INDEX('Providers'!$M$4:$M$503,149)),TEXT(INDEX('Providers'!$M$4:$M$503,149),"yyyy-mm-dd"),"")</f>
        <v/>
      </c>
      <c r="F1652">
        <f>"Certification"</f>
        <v/>
      </c>
      <c r="G1652">
        <f>""</f>
        <v/>
      </c>
      <c r="H1652">
        <f>"Medium"</f>
        <v/>
      </c>
      <c r="I1652">
        <f>TRIM(IF(LEN(IF(LEN(INDEX('Providers'!$L$4:$L$503,149))=0,"",INDEX('Providers'!$L$4:$L$503,149)))=0,"","Board / specialty: "&amp;IF(LEN(INDEX('Providers'!$L$4:$L$503,149))=0,"",INDEX('Providers'!$L$4:$L$503,149))&amp;". "))</f>
        <v/>
      </c>
      <c r="J1652">
        <f>IF(LEN(INDEX('Providers'!$AJ$4:$AJ$503,149))=0,"",INDEX('Providers'!$AJ$4:$AJ$503,149))</f>
        <v/>
      </c>
      <c r="K1652">
        <f>IF(LEN(INDEX('Providers'!$AI$4:$AI$503,149))=0,"",INDEX('Providers'!$AI$4:$AI$503,149))</f>
        <v/>
      </c>
    </row>
    <row r="1653">
      <c r="A1653">
        <f>IF(AND(LEN('Providers'!A153)&gt;0,ISNUMBER('Providers'!M153)),1,0)</f>
        <v/>
      </c>
      <c r="B1653">
        <f>B1652+A1653</f>
        <v/>
      </c>
      <c r="C1653">
        <f>IF(1650&gt;$B$4503,"",MATCH(1650-0.5,$B$3:$B$4503,1))</f>
        <v/>
      </c>
      <c r="D1653">
        <f>"Board certification – "&amp;IF(LEN(INDEX('Providers'!$A$4:$A$503,150))=0,"",INDEX('Providers'!$A$4:$A$503,150))</f>
        <v/>
      </c>
      <c r="E1653">
        <f>IF(ISNUMBER(INDEX('Providers'!$M$4:$M$503,150)),TEXT(INDEX('Providers'!$M$4:$M$503,150),"yyyy-mm-dd"),"")</f>
        <v/>
      </c>
      <c r="F1653">
        <f>"Certification"</f>
        <v/>
      </c>
      <c r="G1653">
        <f>""</f>
        <v/>
      </c>
      <c r="H1653">
        <f>"Medium"</f>
        <v/>
      </c>
      <c r="I1653">
        <f>TRIM(IF(LEN(IF(LEN(INDEX('Providers'!$L$4:$L$503,150))=0,"",INDEX('Providers'!$L$4:$L$503,150)))=0,"","Board / specialty: "&amp;IF(LEN(INDEX('Providers'!$L$4:$L$503,150))=0,"",INDEX('Providers'!$L$4:$L$503,150))&amp;". "))</f>
        <v/>
      </c>
      <c r="J1653">
        <f>IF(LEN(INDEX('Providers'!$AJ$4:$AJ$503,150))=0,"",INDEX('Providers'!$AJ$4:$AJ$503,150))</f>
        <v/>
      </c>
      <c r="K1653">
        <f>IF(LEN(INDEX('Providers'!$AI$4:$AI$503,150))=0,"",INDEX('Providers'!$AI$4:$AI$503,150))</f>
        <v/>
      </c>
    </row>
    <row r="1654">
      <c r="A1654">
        <f>IF(AND(LEN('Providers'!A154)&gt;0,ISNUMBER('Providers'!M154)),1,0)</f>
        <v/>
      </c>
      <c r="B1654">
        <f>B1653+A1654</f>
        <v/>
      </c>
      <c r="C1654">
        <f>IF(1651&gt;$B$4503,"",MATCH(1651-0.5,$B$3:$B$4503,1))</f>
        <v/>
      </c>
      <c r="D1654">
        <f>"Board certification – "&amp;IF(LEN(INDEX('Providers'!$A$4:$A$503,151))=0,"",INDEX('Providers'!$A$4:$A$503,151))</f>
        <v/>
      </c>
      <c r="E1654">
        <f>IF(ISNUMBER(INDEX('Providers'!$M$4:$M$503,151)),TEXT(INDEX('Providers'!$M$4:$M$503,151),"yyyy-mm-dd"),"")</f>
        <v/>
      </c>
      <c r="F1654">
        <f>"Certification"</f>
        <v/>
      </c>
      <c r="G1654">
        <f>""</f>
        <v/>
      </c>
      <c r="H1654">
        <f>"Medium"</f>
        <v/>
      </c>
      <c r="I1654">
        <f>TRIM(IF(LEN(IF(LEN(INDEX('Providers'!$L$4:$L$503,151))=0,"",INDEX('Providers'!$L$4:$L$503,151)))=0,"","Board / specialty: "&amp;IF(LEN(INDEX('Providers'!$L$4:$L$503,151))=0,"",INDEX('Providers'!$L$4:$L$503,151))&amp;". "))</f>
        <v/>
      </c>
      <c r="J1654">
        <f>IF(LEN(INDEX('Providers'!$AJ$4:$AJ$503,151))=0,"",INDEX('Providers'!$AJ$4:$AJ$503,151))</f>
        <v/>
      </c>
      <c r="K1654">
        <f>IF(LEN(INDEX('Providers'!$AI$4:$AI$503,151))=0,"",INDEX('Providers'!$AI$4:$AI$503,151))</f>
        <v/>
      </c>
    </row>
    <row r="1655">
      <c r="A1655">
        <f>IF(AND(LEN('Providers'!A155)&gt;0,ISNUMBER('Providers'!M155)),1,0)</f>
        <v/>
      </c>
      <c r="B1655">
        <f>B1654+A1655</f>
        <v/>
      </c>
      <c r="C1655">
        <f>IF(1652&gt;$B$4503,"",MATCH(1652-0.5,$B$3:$B$4503,1))</f>
        <v/>
      </c>
      <c r="D1655">
        <f>"Board certification – "&amp;IF(LEN(INDEX('Providers'!$A$4:$A$503,152))=0,"",INDEX('Providers'!$A$4:$A$503,152))</f>
        <v/>
      </c>
      <c r="E1655">
        <f>IF(ISNUMBER(INDEX('Providers'!$M$4:$M$503,152)),TEXT(INDEX('Providers'!$M$4:$M$503,152),"yyyy-mm-dd"),"")</f>
        <v/>
      </c>
      <c r="F1655">
        <f>"Certification"</f>
        <v/>
      </c>
      <c r="G1655">
        <f>""</f>
        <v/>
      </c>
      <c r="H1655">
        <f>"Medium"</f>
        <v/>
      </c>
      <c r="I1655">
        <f>TRIM(IF(LEN(IF(LEN(INDEX('Providers'!$L$4:$L$503,152))=0,"",INDEX('Providers'!$L$4:$L$503,152)))=0,"","Board / specialty: "&amp;IF(LEN(INDEX('Providers'!$L$4:$L$503,152))=0,"",INDEX('Providers'!$L$4:$L$503,152))&amp;". "))</f>
        <v/>
      </c>
      <c r="J1655">
        <f>IF(LEN(INDEX('Providers'!$AJ$4:$AJ$503,152))=0,"",INDEX('Providers'!$AJ$4:$AJ$503,152))</f>
        <v/>
      </c>
      <c r="K1655">
        <f>IF(LEN(INDEX('Providers'!$AI$4:$AI$503,152))=0,"",INDEX('Providers'!$AI$4:$AI$503,152))</f>
        <v/>
      </c>
    </row>
    <row r="1656">
      <c r="A1656">
        <f>IF(AND(LEN('Providers'!A156)&gt;0,ISNUMBER('Providers'!M156)),1,0)</f>
        <v/>
      </c>
      <c r="B1656">
        <f>B1655+A1656</f>
        <v/>
      </c>
      <c r="C1656">
        <f>IF(1653&gt;$B$4503,"",MATCH(1653-0.5,$B$3:$B$4503,1))</f>
        <v/>
      </c>
      <c r="D1656">
        <f>"Board certification – "&amp;IF(LEN(INDEX('Providers'!$A$4:$A$503,153))=0,"",INDEX('Providers'!$A$4:$A$503,153))</f>
        <v/>
      </c>
      <c r="E1656">
        <f>IF(ISNUMBER(INDEX('Providers'!$M$4:$M$503,153)),TEXT(INDEX('Providers'!$M$4:$M$503,153),"yyyy-mm-dd"),"")</f>
        <v/>
      </c>
      <c r="F1656">
        <f>"Certification"</f>
        <v/>
      </c>
      <c r="G1656">
        <f>""</f>
        <v/>
      </c>
      <c r="H1656">
        <f>"Medium"</f>
        <v/>
      </c>
      <c r="I1656">
        <f>TRIM(IF(LEN(IF(LEN(INDEX('Providers'!$L$4:$L$503,153))=0,"",INDEX('Providers'!$L$4:$L$503,153)))=0,"","Board / specialty: "&amp;IF(LEN(INDEX('Providers'!$L$4:$L$503,153))=0,"",INDEX('Providers'!$L$4:$L$503,153))&amp;". "))</f>
        <v/>
      </c>
      <c r="J1656">
        <f>IF(LEN(INDEX('Providers'!$AJ$4:$AJ$503,153))=0,"",INDEX('Providers'!$AJ$4:$AJ$503,153))</f>
        <v/>
      </c>
      <c r="K1656">
        <f>IF(LEN(INDEX('Providers'!$AI$4:$AI$503,153))=0,"",INDEX('Providers'!$AI$4:$AI$503,153))</f>
        <v/>
      </c>
    </row>
    <row r="1657">
      <c r="A1657">
        <f>IF(AND(LEN('Providers'!A157)&gt;0,ISNUMBER('Providers'!M157)),1,0)</f>
        <v/>
      </c>
      <c r="B1657">
        <f>B1656+A1657</f>
        <v/>
      </c>
      <c r="C1657">
        <f>IF(1654&gt;$B$4503,"",MATCH(1654-0.5,$B$3:$B$4503,1))</f>
        <v/>
      </c>
      <c r="D1657">
        <f>"Board certification – "&amp;IF(LEN(INDEX('Providers'!$A$4:$A$503,154))=0,"",INDEX('Providers'!$A$4:$A$503,154))</f>
        <v/>
      </c>
      <c r="E1657">
        <f>IF(ISNUMBER(INDEX('Providers'!$M$4:$M$503,154)),TEXT(INDEX('Providers'!$M$4:$M$503,154),"yyyy-mm-dd"),"")</f>
        <v/>
      </c>
      <c r="F1657">
        <f>"Certification"</f>
        <v/>
      </c>
      <c r="G1657">
        <f>""</f>
        <v/>
      </c>
      <c r="H1657">
        <f>"Medium"</f>
        <v/>
      </c>
      <c r="I1657">
        <f>TRIM(IF(LEN(IF(LEN(INDEX('Providers'!$L$4:$L$503,154))=0,"",INDEX('Providers'!$L$4:$L$503,154)))=0,"","Board / specialty: "&amp;IF(LEN(INDEX('Providers'!$L$4:$L$503,154))=0,"",INDEX('Providers'!$L$4:$L$503,154))&amp;". "))</f>
        <v/>
      </c>
      <c r="J1657">
        <f>IF(LEN(INDEX('Providers'!$AJ$4:$AJ$503,154))=0,"",INDEX('Providers'!$AJ$4:$AJ$503,154))</f>
        <v/>
      </c>
      <c r="K1657">
        <f>IF(LEN(INDEX('Providers'!$AI$4:$AI$503,154))=0,"",INDEX('Providers'!$AI$4:$AI$503,154))</f>
        <v/>
      </c>
    </row>
    <row r="1658">
      <c r="A1658">
        <f>IF(AND(LEN('Providers'!A158)&gt;0,ISNUMBER('Providers'!M158)),1,0)</f>
        <v/>
      </c>
      <c r="B1658">
        <f>B1657+A1658</f>
        <v/>
      </c>
      <c r="C1658">
        <f>IF(1655&gt;$B$4503,"",MATCH(1655-0.5,$B$3:$B$4503,1))</f>
        <v/>
      </c>
      <c r="D1658">
        <f>"Board certification – "&amp;IF(LEN(INDEX('Providers'!$A$4:$A$503,155))=0,"",INDEX('Providers'!$A$4:$A$503,155))</f>
        <v/>
      </c>
      <c r="E1658">
        <f>IF(ISNUMBER(INDEX('Providers'!$M$4:$M$503,155)),TEXT(INDEX('Providers'!$M$4:$M$503,155),"yyyy-mm-dd"),"")</f>
        <v/>
      </c>
      <c r="F1658">
        <f>"Certification"</f>
        <v/>
      </c>
      <c r="G1658">
        <f>""</f>
        <v/>
      </c>
      <c r="H1658">
        <f>"Medium"</f>
        <v/>
      </c>
      <c r="I1658">
        <f>TRIM(IF(LEN(IF(LEN(INDEX('Providers'!$L$4:$L$503,155))=0,"",INDEX('Providers'!$L$4:$L$503,155)))=0,"","Board / specialty: "&amp;IF(LEN(INDEX('Providers'!$L$4:$L$503,155))=0,"",INDEX('Providers'!$L$4:$L$503,155))&amp;". "))</f>
        <v/>
      </c>
      <c r="J1658">
        <f>IF(LEN(INDEX('Providers'!$AJ$4:$AJ$503,155))=0,"",INDEX('Providers'!$AJ$4:$AJ$503,155))</f>
        <v/>
      </c>
      <c r="K1658">
        <f>IF(LEN(INDEX('Providers'!$AI$4:$AI$503,155))=0,"",INDEX('Providers'!$AI$4:$AI$503,155))</f>
        <v/>
      </c>
    </row>
    <row r="1659">
      <c r="A1659">
        <f>IF(AND(LEN('Providers'!A159)&gt;0,ISNUMBER('Providers'!M159)),1,0)</f>
        <v/>
      </c>
      <c r="B1659">
        <f>B1658+A1659</f>
        <v/>
      </c>
      <c r="C1659">
        <f>IF(1656&gt;$B$4503,"",MATCH(1656-0.5,$B$3:$B$4503,1))</f>
        <v/>
      </c>
      <c r="D1659">
        <f>"Board certification – "&amp;IF(LEN(INDEX('Providers'!$A$4:$A$503,156))=0,"",INDEX('Providers'!$A$4:$A$503,156))</f>
        <v/>
      </c>
      <c r="E1659">
        <f>IF(ISNUMBER(INDEX('Providers'!$M$4:$M$503,156)),TEXT(INDEX('Providers'!$M$4:$M$503,156),"yyyy-mm-dd"),"")</f>
        <v/>
      </c>
      <c r="F1659">
        <f>"Certification"</f>
        <v/>
      </c>
      <c r="G1659">
        <f>""</f>
        <v/>
      </c>
      <c r="H1659">
        <f>"Medium"</f>
        <v/>
      </c>
      <c r="I1659">
        <f>TRIM(IF(LEN(IF(LEN(INDEX('Providers'!$L$4:$L$503,156))=0,"",INDEX('Providers'!$L$4:$L$503,156)))=0,"","Board / specialty: "&amp;IF(LEN(INDEX('Providers'!$L$4:$L$503,156))=0,"",INDEX('Providers'!$L$4:$L$503,156))&amp;". "))</f>
        <v/>
      </c>
      <c r="J1659">
        <f>IF(LEN(INDEX('Providers'!$AJ$4:$AJ$503,156))=0,"",INDEX('Providers'!$AJ$4:$AJ$503,156))</f>
        <v/>
      </c>
      <c r="K1659">
        <f>IF(LEN(INDEX('Providers'!$AI$4:$AI$503,156))=0,"",INDEX('Providers'!$AI$4:$AI$503,156))</f>
        <v/>
      </c>
    </row>
    <row r="1660">
      <c r="A1660">
        <f>IF(AND(LEN('Providers'!A160)&gt;0,ISNUMBER('Providers'!M160)),1,0)</f>
        <v/>
      </c>
      <c r="B1660">
        <f>B1659+A1660</f>
        <v/>
      </c>
      <c r="C1660">
        <f>IF(1657&gt;$B$4503,"",MATCH(1657-0.5,$B$3:$B$4503,1))</f>
        <v/>
      </c>
      <c r="D1660">
        <f>"Board certification – "&amp;IF(LEN(INDEX('Providers'!$A$4:$A$503,157))=0,"",INDEX('Providers'!$A$4:$A$503,157))</f>
        <v/>
      </c>
      <c r="E1660">
        <f>IF(ISNUMBER(INDEX('Providers'!$M$4:$M$503,157)),TEXT(INDEX('Providers'!$M$4:$M$503,157),"yyyy-mm-dd"),"")</f>
        <v/>
      </c>
      <c r="F1660">
        <f>"Certification"</f>
        <v/>
      </c>
      <c r="G1660">
        <f>""</f>
        <v/>
      </c>
      <c r="H1660">
        <f>"Medium"</f>
        <v/>
      </c>
      <c r="I1660">
        <f>TRIM(IF(LEN(IF(LEN(INDEX('Providers'!$L$4:$L$503,157))=0,"",INDEX('Providers'!$L$4:$L$503,157)))=0,"","Board / specialty: "&amp;IF(LEN(INDEX('Providers'!$L$4:$L$503,157))=0,"",INDEX('Providers'!$L$4:$L$503,157))&amp;". "))</f>
        <v/>
      </c>
      <c r="J1660">
        <f>IF(LEN(INDEX('Providers'!$AJ$4:$AJ$503,157))=0,"",INDEX('Providers'!$AJ$4:$AJ$503,157))</f>
        <v/>
      </c>
      <c r="K1660">
        <f>IF(LEN(INDEX('Providers'!$AI$4:$AI$503,157))=0,"",INDEX('Providers'!$AI$4:$AI$503,157))</f>
        <v/>
      </c>
    </row>
    <row r="1661">
      <c r="A1661">
        <f>IF(AND(LEN('Providers'!A161)&gt;0,ISNUMBER('Providers'!M161)),1,0)</f>
        <v/>
      </c>
      <c r="B1661">
        <f>B1660+A1661</f>
        <v/>
      </c>
      <c r="C1661">
        <f>IF(1658&gt;$B$4503,"",MATCH(1658-0.5,$B$3:$B$4503,1))</f>
        <v/>
      </c>
      <c r="D1661">
        <f>"Board certification – "&amp;IF(LEN(INDEX('Providers'!$A$4:$A$503,158))=0,"",INDEX('Providers'!$A$4:$A$503,158))</f>
        <v/>
      </c>
      <c r="E1661">
        <f>IF(ISNUMBER(INDEX('Providers'!$M$4:$M$503,158)),TEXT(INDEX('Providers'!$M$4:$M$503,158),"yyyy-mm-dd"),"")</f>
        <v/>
      </c>
      <c r="F1661">
        <f>"Certification"</f>
        <v/>
      </c>
      <c r="G1661">
        <f>""</f>
        <v/>
      </c>
      <c r="H1661">
        <f>"Medium"</f>
        <v/>
      </c>
      <c r="I1661">
        <f>TRIM(IF(LEN(IF(LEN(INDEX('Providers'!$L$4:$L$503,158))=0,"",INDEX('Providers'!$L$4:$L$503,158)))=0,"","Board / specialty: "&amp;IF(LEN(INDEX('Providers'!$L$4:$L$503,158))=0,"",INDEX('Providers'!$L$4:$L$503,158))&amp;". "))</f>
        <v/>
      </c>
      <c r="J1661">
        <f>IF(LEN(INDEX('Providers'!$AJ$4:$AJ$503,158))=0,"",INDEX('Providers'!$AJ$4:$AJ$503,158))</f>
        <v/>
      </c>
      <c r="K1661">
        <f>IF(LEN(INDEX('Providers'!$AI$4:$AI$503,158))=0,"",INDEX('Providers'!$AI$4:$AI$503,158))</f>
        <v/>
      </c>
    </row>
    <row r="1662">
      <c r="A1662">
        <f>IF(AND(LEN('Providers'!A162)&gt;0,ISNUMBER('Providers'!M162)),1,0)</f>
        <v/>
      </c>
      <c r="B1662">
        <f>B1661+A1662</f>
        <v/>
      </c>
      <c r="C1662">
        <f>IF(1659&gt;$B$4503,"",MATCH(1659-0.5,$B$3:$B$4503,1))</f>
        <v/>
      </c>
      <c r="D1662">
        <f>"Board certification – "&amp;IF(LEN(INDEX('Providers'!$A$4:$A$503,159))=0,"",INDEX('Providers'!$A$4:$A$503,159))</f>
        <v/>
      </c>
      <c r="E1662">
        <f>IF(ISNUMBER(INDEX('Providers'!$M$4:$M$503,159)),TEXT(INDEX('Providers'!$M$4:$M$503,159),"yyyy-mm-dd"),"")</f>
        <v/>
      </c>
      <c r="F1662">
        <f>"Certification"</f>
        <v/>
      </c>
      <c r="G1662">
        <f>""</f>
        <v/>
      </c>
      <c r="H1662">
        <f>"Medium"</f>
        <v/>
      </c>
      <c r="I1662">
        <f>TRIM(IF(LEN(IF(LEN(INDEX('Providers'!$L$4:$L$503,159))=0,"",INDEX('Providers'!$L$4:$L$503,159)))=0,"","Board / specialty: "&amp;IF(LEN(INDEX('Providers'!$L$4:$L$503,159))=0,"",INDEX('Providers'!$L$4:$L$503,159))&amp;". "))</f>
        <v/>
      </c>
      <c r="J1662">
        <f>IF(LEN(INDEX('Providers'!$AJ$4:$AJ$503,159))=0,"",INDEX('Providers'!$AJ$4:$AJ$503,159))</f>
        <v/>
      </c>
      <c r="K1662">
        <f>IF(LEN(INDEX('Providers'!$AI$4:$AI$503,159))=0,"",INDEX('Providers'!$AI$4:$AI$503,159))</f>
        <v/>
      </c>
    </row>
    <row r="1663">
      <c r="A1663">
        <f>IF(AND(LEN('Providers'!A163)&gt;0,ISNUMBER('Providers'!M163)),1,0)</f>
        <v/>
      </c>
      <c r="B1663">
        <f>B1662+A1663</f>
        <v/>
      </c>
      <c r="C1663">
        <f>IF(1660&gt;$B$4503,"",MATCH(1660-0.5,$B$3:$B$4503,1))</f>
        <v/>
      </c>
      <c r="D1663">
        <f>"Board certification – "&amp;IF(LEN(INDEX('Providers'!$A$4:$A$503,160))=0,"",INDEX('Providers'!$A$4:$A$503,160))</f>
        <v/>
      </c>
      <c r="E1663">
        <f>IF(ISNUMBER(INDEX('Providers'!$M$4:$M$503,160)),TEXT(INDEX('Providers'!$M$4:$M$503,160),"yyyy-mm-dd"),"")</f>
        <v/>
      </c>
      <c r="F1663">
        <f>"Certification"</f>
        <v/>
      </c>
      <c r="G1663">
        <f>""</f>
        <v/>
      </c>
      <c r="H1663">
        <f>"Medium"</f>
        <v/>
      </c>
      <c r="I1663">
        <f>TRIM(IF(LEN(IF(LEN(INDEX('Providers'!$L$4:$L$503,160))=0,"",INDEX('Providers'!$L$4:$L$503,160)))=0,"","Board / specialty: "&amp;IF(LEN(INDEX('Providers'!$L$4:$L$503,160))=0,"",INDEX('Providers'!$L$4:$L$503,160))&amp;". "))</f>
        <v/>
      </c>
      <c r="J1663">
        <f>IF(LEN(INDEX('Providers'!$AJ$4:$AJ$503,160))=0,"",INDEX('Providers'!$AJ$4:$AJ$503,160))</f>
        <v/>
      </c>
      <c r="K1663">
        <f>IF(LEN(INDEX('Providers'!$AI$4:$AI$503,160))=0,"",INDEX('Providers'!$AI$4:$AI$503,160))</f>
        <v/>
      </c>
    </row>
    <row r="1664">
      <c r="A1664">
        <f>IF(AND(LEN('Providers'!A164)&gt;0,ISNUMBER('Providers'!M164)),1,0)</f>
        <v/>
      </c>
      <c r="B1664">
        <f>B1663+A1664</f>
        <v/>
      </c>
      <c r="C1664">
        <f>IF(1661&gt;$B$4503,"",MATCH(1661-0.5,$B$3:$B$4503,1))</f>
        <v/>
      </c>
      <c r="D1664">
        <f>"Board certification – "&amp;IF(LEN(INDEX('Providers'!$A$4:$A$503,161))=0,"",INDEX('Providers'!$A$4:$A$503,161))</f>
        <v/>
      </c>
      <c r="E1664">
        <f>IF(ISNUMBER(INDEX('Providers'!$M$4:$M$503,161)),TEXT(INDEX('Providers'!$M$4:$M$503,161),"yyyy-mm-dd"),"")</f>
        <v/>
      </c>
      <c r="F1664">
        <f>"Certification"</f>
        <v/>
      </c>
      <c r="G1664">
        <f>""</f>
        <v/>
      </c>
      <c r="H1664">
        <f>"Medium"</f>
        <v/>
      </c>
      <c r="I1664">
        <f>TRIM(IF(LEN(IF(LEN(INDEX('Providers'!$L$4:$L$503,161))=0,"",INDEX('Providers'!$L$4:$L$503,161)))=0,"","Board / specialty: "&amp;IF(LEN(INDEX('Providers'!$L$4:$L$503,161))=0,"",INDEX('Providers'!$L$4:$L$503,161))&amp;". "))</f>
        <v/>
      </c>
      <c r="J1664">
        <f>IF(LEN(INDEX('Providers'!$AJ$4:$AJ$503,161))=0,"",INDEX('Providers'!$AJ$4:$AJ$503,161))</f>
        <v/>
      </c>
      <c r="K1664">
        <f>IF(LEN(INDEX('Providers'!$AI$4:$AI$503,161))=0,"",INDEX('Providers'!$AI$4:$AI$503,161))</f>
        <v/>
      </c>
    </row>
    <row r="1665">
      <c r="A1665">
        <f>IF(AND(LEN('Providers'!A165)&gt;0,ISNUMBER('Providers'!M165)),1,0)</f>
        <v/>
      </c>
      <c r="B1665">
        <f>B1664+A1665</f>
        <v/>
      </c>
      <c r="C1665">
        <f>IF(1662&gt;$B$4503,"",MATCH(1662-0.5,$B$3:$B$4503,1))</f>
        <v/>
      </c>
      <c r="D1665">
        <f>"Board certification – "&amp;IF(LEN(INDEX('Providers'!$A$4:$A$503,162))=0,"",INDEX('Providers'!$A$4:$A$503,162))</f>
        <v/>
      </c>
      <c r="E1665">
        <f>IF(ISNUMBER(INDEX('Providers'!$M$4:$M$503,162)),TEXT(INDEX('Providers'!$M$4:$M$503,162),"yyyy-mm-dd"),"")</f>
        <v/>
      </c>
      <c r="F1665">
        <f>"Certification"</f>
        <v/>
      </c>
      <c r="G1665">
        <f>""</f>
        <v/>
      </c>
      <c r="H1665">
        <f>"Medium"</f>
        <v/>
      </c>
      <c r="I1665">
        <f>TRIM(IF(LEN(IF(LEN(INDEX('Providers'!$L$4:$L$503,162))=0,"",INDEX('Providers'!$L$4:$L$503,162)))=0,"","Board / specialty: "&amp;IF(LEN(INDEX('Providers'!$L$4:$L$503,162))=0,"",INDEX('Providers'!$L$4:$L$503,162))&amp;". "))</f>
        <v/>
      </c>
      <c r="J1665">
        <f>IF(LEN(INDEX('Providers'!$AJ$4:$AJ$503,162))=0,"",INDEX('Providers'!$AJ$4:$AJ$503,162))</f>
        <v/>
      </c>
      <c r="K1665">
        <f>IF(LEN(INDEX('Providers'!$AI$4:$AI$503,162))=0,"",INDEX('Providers'!$AI$4:$AI$503,162))</f>
        <v/>
      </c>
    </row>
    <row r="1666">
      <c r="A1666">
        <f>IF(AND(LEN('Providers'!A166)&gt;0,ISNUMBER('Providers'!M166)),1,0)</f>
        <v/>
      </c>
      <c r="B1666">
        <f>B1665+A1666</f>
        <v/>
      </c>
      <c r="C1666">
        <f>IF(1663&gt;$B$4503,"",MATCH(1663-0.5,$B$3:$B$4503,1))</f>
        <v/>
      </c>
      <c r="D1666">
        <f>"Board certification – "&amp;IF(LEN(INDEX('Providers'!$A$4:$A$503,163))=0,"",INDEX('Providers'!$A$4:$A$503,163))</f>
        <v/>
      </c>
      <c r="E1666">
        <f>IF(ISNUMBER(INDEX('Providers'!$M$4:$M$503,163)),TEXT(INDEX('Providers'!$M$4:$M$503,163),"yyyy-mm-dd"),"")</f>
        <v/>
      </c>
      <c r="F1666">
        <f>"Certification"</f>
        <v/>
      </c>
      <c r="G1666">
        <f>""</f>
        <v/>
      </c>
      <c r="H1666">
        <f>"Medium"</f>
        <v/>
      </c>
      <c r="I1666">
        <f>TRIM(IF(LEN(IF(LEN(INDEX('Providers'!$L$4:$L$503,163))=0,"",INDEX('Providers'!$L$4:$L$503,163)))=0,"","Board / specialty: "&amp;IF(LEN(INDEX('Providers'!$L$4:$L$503,163))=0,"",INDEX('Providers'!$L$4:$L$503,163))&amp;". "))</f>
        <v/>
      </c>
      <c r="J1666">
        <f>IF(LEN(INDEX('Providers'!$AJ$4:$AJ$503,163))=0,"",INDEX('Providers'!$AJ$4:$AJ$503,163))</f>
        <v/>
      </c>
      <c r="K1666">
        <f>IF(LEN(INDEX('Providers'!$AI$4:$AI$503,163))=0,"",INDEX('Providers'!$AI$4:$AI$503,163))</f>
        <v/>
      </c>
    </row>
    <row r="1667">
      <c r="A1667">
        <f>IF(AND(LEN('Providers'!A167)&gt;0,ISNUMBER('Providers'!M167)),1,0)</f>
        <v/>
      </c>
      <c r="B1667">
        <f>B1666+A1667</f>
        <v/>
      </c>
      <c r="C1667">
        <f>IF(1664&gt;$B$4503,"",MATCH(1664-0.5,$B$3:$B$4503,1))</f>
        <v/>
      </c>
      <c r="D1667">
        <f>"Board certification – "&amp;IF(LEN(INDEX('Providers'!$A$4:$A$503,164))=0,"",INDEX('Providers'!$A$4:$A$503,164))</f>
        <v/>
      </c>
      <c r="E1667">
        <f>IF(ISNUMBER(INDEX('Providers'!$M$4:$M$503,164)),TEXT(INDEX('Providers'!$M$4:$M$503,164),"yyyy-mm-dd"),"")</f>
        <v/>
      </c>
      <c r="F1667">
        <f>"Certification"</f>
        <v/>
      </c>
      <c r="G1667">
        <f>""</f>
        <v/>
      </c>
      <c r="H1667">
        <f>"Medium"</f>
        <v/>
      </c>
      <c r="I1667">
        <f>TRIM(IF(LEN(IF(LEN(INDEX('Providers'!$L$4:$L$503,164))=0,"",INDEX('Providers'!$L$4:$L$503,164)))=0,"","Board / specialty: "&amp;IF(LEN(INDEX('Providers'!$L$4:$L$503,164))=0,"",INDEX('Providers'!$L$4:$L$503,164))&amp;". "))</f>
        <v/>
      </c>
      <c r="J1667">
        <f>IF(LEN(INDEX('Providers'!$AJ$4:$AJ$503,164))=0,"",INDEX('Providers'!$AJ$4:$AJ$503,164))</f>
        <v/>
      </c>
      <c r="K1667">
        <f>IF(LEN(INDEX('Providers'!$AI$4:$AI$503,164))=0,"",INDEX('Providers'!$AI$4:$AI$503,164))</f>
        <v/>
      </c>
    </row>
    <row r="1668">
      <c r="A1668">
        <f>IF(AND(LEN('Providers'!A168)&gt;0,ISNUMBER('Providers'!M168)),1,0)</f>
        <v/>
      </c>
      <c r="B1668">
        <f>B1667+A1668</f>
        <v/>
      </c>
      <c r="C1668">
        <f>IF(1665&gt;$B$4503,"",MATCH(1665-0.5,$B$3:$B$4503,1))</f>
        <v/>
      </c>
      <c r="D1668">
        <f>"Board certification – "&amp;IF(LEN(INDEX('Providers'!$A$4:$A$503,165))=0,"",INDEX('Providers'!$A$4:$A$503,165))</f>
        <v/>
      </c>
      <c r="E1668">
        <f>IF(ISNUMBER(INDEX('Providers'!$M$4:$M$503,165)),TEXT(INDEX('Providers'!$M$4:$M$503,165),"yyyy-mm-dd"),"")</f>
        <v/>
      </c>
      <c r="F1668">
        <f>"Certification"</f>
        <v/>
      </c>
      <c r="G1668">
        <f>""</f>
        <v/>
      </c>
      <c r="H1668">
        <f>"Medium"</f>
        <v/>
      </c>
      <c r="I1668">
        <f>TRIM(IF(LEN(IF(LEN(INDEX('Providers'!$L$4:$L$503,165))=0,"",INDEX('Providers'!$L$4:$L$503,165)))=0,"","Board / specialty: "&amp;IF(LEN(INDEX('Providers'!$L$4:$L$503,165))=0,"",INDEX('Providers'!$L$4:$L$503,165))&amp;". "))</f>
        <v/>
      </c>
      <c r="J1668">
        <f>IF(LEN(INDEX('Providers'!$AJ$4:$AJ$503,165))=0,"",INDEX('Providers'!$AJ$4:$AJ$503,165))</f>
        <v/>
      </c>
      <c r="K1668">
        <f>IF(LEN(INDEX('Providers'!$AI$4:$AI$503,165))=0,"",INDEX('Providers'!$AI$4:$AI$503,165))</f>
        <v/>
      </c>
    </row>
    <row r="1669">
      <c r="A1669">
        <f>IF(AND(LEN('Providers'!A169)&gt;0,ISNUMBER('Providers'!M169)),1,0)</f>
        <v/>
      </c>
      <c r="B1669">
        <f>B1668+A1669</f>
        <v/>
      </c>
      <c r="C1669">
        <f>IF(1666&gt;$B$4503,"",MATCH(1666-0.5,$B$3:$B$4503,1))</f>
        <v/>
      </c>
      <c r="D1669">
        <f>"Board certification – "&amp;IF(LEN(INDEX('Providers'!$A$4:$A$503,166))=0,"",INDEX('Providers'!$A$4:$A$503,166))</f>
        <v/>
      </c>
      <c r="E1669">
        <f>IF(ISNUMBER(INDEX('Providers'!$M$4:$M$503,166)),TEXT(INDEX('Providers'!$M$4:$M$503,166),"yyyy-mm-dd"),"")</f>
        <v/>
      </c>
      <c r="F1669">
        <f>"Certification"</f>
        <v/>
      </c>
      <c r="G1669">
        <f>""</f>
        <v/>
      </c>
      <c r="H1669">
        <f>"Medium"</f>
        <v/>
      </c>
      <c r="I1669">
        <f>TRIM(IF(LEN(IF(LEN(INDEX('Providers'!$L$4:$L$503,166))=0,"",INDEX('Providers'!$L$4:$L$503,166)))=0,"","Board / specialty: "&amp;IF(LEN(INDEX('Providers'!$L$4:$L$503,166))=0,"",INDEX('Providers'!$L$4:$L$503,166))&amp;". "))</f>
        <v/>
      </c>
      <c r="J1669">
        <f>IF(LEN(INDEX('Providers'!$AJ$4:$AJ$503,166))=0,"",INDEX('Providers'!$AJ$4:$AJ$503,166))</f>
        <v/>
      </c>
      <c r="K1669">
        <f>IF(LEN(INDEX('Providers'!$AI$4:$AI$503,166))=0,"",INDEX('Providers'!$AI$4:$AI$503,166))</f>
        <v/>
      </c>
    </row>
    <row r="1670">
      <c r="A1670">
        <f>IF(AND(LEN('Providers'!A170)&gt;0,ISNUMBER('Providers'!M170)),1,0)</f>
        <v/>
      </c>
      <c r="B1670">
        <f>B1669+A1670</f>
        <v/>
      </c>
      <c r="C1670">
        <f>IF(1667&gt;$B$4503,"",MATCH(1667-0.5,$B$3:$B$4503,1))</f>
        <v/>
      </c>
      <c r="D1670">
        <f>"Board certification – "&amp;IF(LEN(INDEX('Providers'!$A$4:$A$503,167))=0,"",INDEX('Providers'!$A$4:$A$503,167))</f>
        <v/>
      </c>
      <c r="E1670">
        <f>IF(ISNUMBER(INDEX('Providers'!$M$4:$M$503,167)),TEXT(INDEX('Providers'!$M$4:$M$503,167),"yyyy-mm-dd"),"")</f>
        <v/>
      </c>
      <c r="F1670">
        <f>"Certification"</f>
        <v/>
      </c>
      <c r="G1670">
        <f>""</f>
        <v/>
      </c>
      <c r="H1670">
        <f>"Medium"</f>
        <v/>
      </c>
      <c r="I1670">
        <f>TRIM(IF(LEN(IF(LEN(INDEX('Providers'!$L$4:$L$503,167))=0,"",INDEX('Providers'!$L$4:$L$503,167)))=0,"","Board / specialty: "&amp;IF(LEN(INDEX('Providers'!$L$4:$L$503,167))=0,"",INDEX('Providers'!$L$4:$L$503,167))&amp;". "))</f>
        <v/>
      </c>
      <c r="J1670">
        <f>IF(LEN(INDEX('Providers'!$AJ$4:$AJ$503,167))=0,"",INDEX('Providers'!$AJ$4:$AJ$503,167))</f>
        <v/>
      </c>
      <c r="K1670">
        <f>IF(LEN(INDEX('Providers'!$AI$4:$AI$503,167))=0,"",INDEX('Providers'!$AI$4:$AI$503,167))</f>
        <v/>
      </c>
    </row>
    <row r="1671">
      <c r="A1671">
        <f>IF(AND(LEN('Providers'!A171)&gt;0,ISNUMBER('Providers'!M171)),1,0)</f>
        <v/>
      </c>
      <c r="B1671">
        <f>B1670+A1671</f>
        <v/>
      </c>
      <c r="C1671">
        <f>IF(1668&gt;$B$4503,"",MATCH(1668-0.5,$B$3:$B$4503,1))</f>
        <v/>
      </c>
      <c r="D1671">
        <f>"Board certification – "&amp;IF(LEN(INDEX('Providers'!$A$4:$A$503,168))=0,"",INDEX('Providers'!$A$4:$A$503,168))</f>
        <v/>
      </c>
      <c r="E1671">
        <f>IF(ISNUMBER(INDEX('Providers'!$M$4:$M$503,168)),TEXT(INDEX('Providers'!$M$4:$M$503,168),"yyyy-mm-dd"),"")</f>
        <v/>
      </c>
      <c r="F1671">
        <f>"Certification"</f>
        <v/>
      </c>
      <c r="G1671">
        <f>""</f>
        <v/>
      </c>
      <c r="H1671">
        <f>"Medium"</f>
        <v/>
      </c>
      <c r="I1671">
        <f>TRIM(IF(LEN(IF(LEN(INDEX('Providers'!$L$4:$L$503,168))=0,"",INDEX('Providers'!$L$4:$L$503,168)))=0,"","Board / specialty: "&amp;IF(LEN(INDEX('Providers'!$L$4:$L$503,168))=0,"",INDEX('Providers'!$L$4:$L$503,168))&amp;". "))</f>
        <v/>
      </c>
      <c r="J1671">
        <f>IF(LEN(INDEX('Providers'!$AJ$4:$AJ$503,168))=0,"",INDEX('Providers'!$AJ$4:$AJ$503,168))</f>
        <v/>
      </c>
      <c r="K1671">
        <f>IF(LEN(INDEX('Providers'!$AI$4:$AI$503,168))=0,"",INDEX('Providers'!$AI$4:$AI$503,168))</f>
        <v/>
      </c>
    </row>
    <row r="1672">
      <c r="A1672">
        <f>IF(AND(LEN('Providers'!A172)&gt;0,ISNUMBER('Providers'!M172)),1,0)</f>
        <v/>
      </c>
      <c r="B1672">
        <f>B1671+A1672</f>
        <v/>
      </c>
      <c r="C1672">
        <f>IF(1669&gt;$B$4503,"",MATCH(1669-0.5,$B$3:$B$4503,1))</f>
        <v/>
      </c>
      <c r="D1672">
        <f>"Board certification – "&amp;IF(LEN(INDEX('Providers'!$A$4:$A$503,169))=0,"",INDEX('Providers'!$A$4:$A$503,169))</f>
        <v/>
      </c>
      <c r="E1672">
        <f>IF(ISNUMBER(INDEX('Providers'!$M$4:$M$503,169)),TEXT(INDEX('Providers'!$M$4:$M$503,169),"yyyy-mm-dd"),"")</f>
        <v/>
      </c>
      <c r="F1672">
        <f>"Certification"</f>
        <v/>
      </c>
      <c r="G1672">
        <f>""</f>
        <v/>
      </c>
      <c r="H1672">
        <f>"Medium"</f>
        <v/>
      </c>
      <c r="I1672">
        <f>TRIM(IF(LEN(IF(LEN(INDEX('Providers'!$L$4:$L$503,169))=0,"",INDEX('Providers'!$L$4:$L$503,169)))=0,"","Board / specialty: "&amp;IF(LEN(INDEX('Providers'!$L$4:$L$503,169))=0,"",INDEX('Providers'!$L$4:$L$503,169))&amp;". "))</f>
        <v/>
      </c>
      <c r="J1672">
        <f>IF(LEN(INDEX('Providers'!$AJ$4:$AJ$503,169))=0,"",INDEX('Providers'!$AJ$4:$AJ$503,169))</f>
        <v/>
      </c>
      <c r="K1672">
        <f>IF(LEN(INDEX('Providers'!$AI$4:$AI$503,169))=0,"",INDEX('Providers'!$AI$4:$AI$503,169))</f>
        <v/>
      </c>
    </row>
    <row r="1673">
      <c r="A1673">
        <f>IF(AND(LEN('Providers'!A173)&gt;0,ISNUMBER('Providers'!M173)),1,0)</f>
        <v/>
      </c>
      <c r="B1673">
        <f>B1672+A1673</f>
        <v/>
      </c>
      <c r="C1673">
        <f>IF(1670&gt;$B$4503,"",MATCH(1670-0.5,$B$3:$B$4503,1))</f>
        <v/>
      </c>
      <c r="D1673">
        <f>"Board certification – "&amp;IF(LEN(INDEX('Providers'!$A$4:$A$503,170))=0,"",INDEX('Providers'!$A$4:$A$503,170))</f>
        <v/>
      </c>
      <c r="E1673">
        <f>IF(ISNUMBER(INDEX('Providers'!$M$4:$M$503,170)),TEXT(INDEX('Providers'!$M$4:$M$503,170),"yyyy-mm-dd"),"")</f>
        <v/>
      </c>
      <c r="F1673">
        <f>"Certification"</f>
        <v/>
      </c>
      <c r="G1673">
        <f>""</f>
        <v/>
      </c>
      <c r="H1673">
        <f>"Medium"</f>
        <v/>
      </c>
      <c r="I1673">
        <f>TRIM(IF(LEN(IF(LEN(INDEX('Providers'!$L$4:$L$503,170))=0,"",INDEX('Providers'!$L$4:$L$503,170)))=0,"","Board / specialty: "&amp;IF(LEN(INDEX('Providers'!$L$4:$L$503,170))=0,"",INDEX('Providers'!$L$4:$L$503,170))&amp;". "))</f>
        <v/>
      </c>
      <c r="J1673">
        <f>IF(LEN(INDEX('Providers'!$AJ$4:$AJ$503,170))=0,"",INDEX('Providers'!$AJ$4:$AJ$503,170))</f>
        <v/>
      </c>
      <c r="K1673">
        <f>IF(LEN(INDEX('Providers'!$AI$4:$AI$503,170))=0,"",INDEX('Providers'!$AI$4:$AI$503,170))</f>
        <v/>
      </c>
    </row>
    <row r="1674">
      <c r="A1674">
        <f>IF(AND(LEN('Providers'!A174)&gt;0,ISNUMBER('Providers'!M174)),1,0)</f>
        <v/>
      </c>
      <c r="B1674">
        <f>B1673+A1674</f>
        <v/>
      </c>
      <c r="C1674">
        <f>IF(1671&gt;$B$4503,"",MATCH(1671-0.5,$B$3:$B$4503,1))</f>
        <v/>
      </c>
      <c r="D1674">
        <f>"Board certification – "&amp;IF(LEN(INDEX('Providers'!$A$4:$A$503,171))=0,"",INDEX('Providers'!$A$4:$A$503,171))</f>
        <v/>
      </c>
      <c r="E1674">
        <f>IF(ISNUMBER(INDEX('Providers'!$M$4:$M$503,171)),TEXT(INDEX('Providers'!$M$4:$M$503,171),"yyyy-mm-dd"),"")</f>
        <v/>
      </c>
      <c r="F1674">
        <f>"Certification"</f>
        <v/>
      </c>
      <c r="G1674">
        <f>""</f>
        <v/>
      </c>
      <c r="H1674">
        <f>"Medium"</f>
        <v/>
      </c>
      <c r="I1674">
        <f>TRIM(IF(LEN(IF(LEN(INDEX('Providers'!$L$4:$L$503,171))=0,"",INDEX('Providers'!$L$4:$L$503,171)))=0,"","Board / specialty: "&amp;IF(LEN(INDEX('Providers'!$L$4:$L$503,171))=0,"",INDEX('Providers'!$L$4:$L$503,171))&amp;". "))</f>
        <v/>
      </c>
      <c r="J1674">
        <f>IF(LEN(INDEX('Providers'!$AJ$4:$AJ$503,171))=0,"",INDEX('Providers'!$AJ$4:$AJ$503,171))</f>
        <v/>
      </c>
      <c r="K1674">
        <f>IF(LEN(INDEX('Providers'!$AI$4:$AI$503,171))=0,"",INDEX('Providers'!$AI$4:$AI$503,171))</f>
        <v/>
      </c>
    </row>
    <row r="1675">
      <c r="A1675">
        <f>IF(AND(LEN('Providers'!A175)&gt;0,ISNUMBER('Providers'!M175)),1,0)</f>
        <v/>
      </c>
      <c r="B1675">
        <f>B1674+A1675</f>
        <v/>
      </c>
      <c r="C1675">
        <f>IF(1672&gt;$B$4503,"",MATCH(1672-0.5,$B$3:$B$4503,1))</f>
        <v/>
      </c>
      <c r="D1675">
        <f>"Board certification – "&amp;IF(LEN(INDEX('Providers'!$A$4:$A$503,172))=0,"",INDEX('Providers'!$A$4:$A$503,172))</f>
        <v/>
      </c>
      <c r="E1675">
        <f>IF(ISNUMBER(INDEX('Providers'!$M$4:$M$503,172)),TEXT(INDEX('Providers'!$M$4:$M$503,172),"yyyy-mm-dd"),"")</f>
        <v/>
      </c>
      <c r="F1675">
        <f>"Certification"</f>
        <v/>
      </c>
      <c r="G1675">
        <f>""</f>
        <v/>
      </c>
      <c r="H1675">
        <f>"Medium"</f>
        <v/>
      </c>
      <c r="I1675">
        <f>TRIM(IF(LEN(IF(LEN(INDEX('Providers'!$L$4:$L$503,172))=0,"",INDEX('Providers'!$L$4:$L$503,172)))=0,"","Board / specialty: "&amp;IF(LEN(INDEX('Providers'!$L$4:$L$503,172))=0,"",INDEX('Providers'!$L$4:$L$503,172))&amp;". "))</f>
        <v/>
      </c>
      <c r="J1675">
        <f>IF(LEN(INDEX('Providers'!$AJ$4:$AJ$503,172))=0,"",INDEX('Providers'!$AJ$4:$AJ$503,172))</f>
        <v/>
      </c>
      <c r="K1675">
        <f>IF(LEN(INDEX('Providers'!$AI$4:$AI$503,172))=0,"",INDEX('Providers'!$AI$4:$AI$503,172))</f>
        <v/>
      </c>
    </row>
    <row r="1676">
      <c r="A1676">
        <f>IF(AND(LEN('Providers'!A176)&gt;0,ISNUMBER('Providers'!M176)),1,0)</f>
        <v/>
      </c>
      <c r="B1676">
        <f>B1675+A1676</f>
        <v/>
      </c>
      <c r="C1676">
        <f>IF(1673&gt;$B$4503,"",MATCH(1673-0.5,$B$3:$B$4503,1))</f>
        <v/>
      </c>
      <c r="D1676">
        <f>"Board certification – "&amp;IF(LEN(INDEX('Providers'!$A$4:$A$503,173))=0,"",INDEX('Providers'!$A$4:$A$503,173))</f>
        <v/>
      </c>
      <c r="E1676">
        <f>IF(ISNUMBER(INDEX('Providers'!$M$4:$M$503,173)),TEXT(INDEX('Providers'!$M$4:$M$503,173),"yyyy-mm-dd"),"")</f>
        <v/>
      </c>
      <c r="F1676">
        <f>"Certification"</f>
        <v/>
      </c>
      <c r="G1676">
        <f>""</f>
        <v/>
      </c>
      <c r="H1676">
        <f>"Medium"</f>
        <v/>
      </c>
      <c r="I1676">
        <f>TRIM(IF(LEN(IF(LEN(INDEX('Providers'!$L$4:$L$503,173))=0,"",INDEX('Providers'!$L$4:$L$503,173)))=0,"","Board / specialty: "&amp;IF(LEN(INDEX('Providers'!$L$4:$L$503,173))=0,"",INDEX('Providers'!$L$4:$L$503,173))&amp;". "))</f>
        <v/>
      </c>
      <c r="J1676">
        <f>IF(LEN(INDEX('Providers'!$AJ$4:$AJ$503,173))=0,"",INDEX('Providers'!$AJ$4:$AJ$503,173))</f>
        <v/>
      </c>
      <c r="K1676">
        <f>IF(LEN(INDEX('Providers'!$AI$4:$AI$503,173))=0,"",INDEX('Providers'!$AI$4:$AI$503,173))</f>
        <v/>
      </c>
    </row>
    <row r="1677">
      <c r="A1677">
        <f>IF(AND(LEN('Providers'!A177)&gt;0,ISNUMBER('Providers'!M177)),1,0)</f>
        <v/>
      </c>
      <c r="B1677">
        <f>B1676+A1677</f>
        <v/>
      </c>
      <c r="C1677">
        <f>IF(1674&gt;$B$4503,"",MATCH(1674-0.5,$B$3:$B$4503,1))</f>
        <v/>
      </c>
      <c r="D1677">
        <f>"Board certification – "&amp;IF(LEN(INDEX('Providers'!$A$4:$A$503,174))=0,"",INDEX('Providers'!$A$4:$A$503,174))</f>
        <v/>
      </c>
      <c r="E1677">
        <f>IF(ISNUMBER(INDEX('Providers'!$M$4:$M$503,174)),TEXT(INDEX('Providers'!$M$4:$M$503,174),"yyyy-mm-dd"),"")</f>
        <v/>
      </c>
      <c r="F1677">
        <f>"Certification"</f>
        <v/>
      </c>
      <c r="G1677">
        <f>""</f>
        <v/>
      </c>
      <c r="H1677">
        <f>"Medium"</f>
        <v/>
      </c>
      <c r="I1677">
        <f>TRIM(IF(LEN(IF(LEN(INDEX('Providers'!$L$4:$L$503,174))=0,"",INDEX('Providers'!$L$4:$L$503,174)))=0,"","Board / specialty: "&amp;IF(LEN(INDEX('Providers'!$L$4:$L$503,174))=0,"",INDEX('Providers'!$L$4:$L$503,174))&amp;". "))</f>
        <v/>
      </c>
      <c r="J1677">
        <f>IF(LEN(INDEX('Providers'!$AJ$4:$AJ$503,174))=0,"",INDEX('Providers'!$AJ$4:$AJ$503,174))</f>
        <v/>
      </c>
      <c r="K1677">
        <f>IF(LEN(INDEX('Providers'!$AI$4:$AI$503,174))=0,"",INDEX('Providers'!$AI$4:$AI$503,174))</f>
        <v/>
      </c>
    </row>
    <row r="1678">
      <c r="A1678">
        <f>IF(AND(LEN('Providers'!A178)&gt;0,ISNUMBER('Providers'!M178)),1,0)</f>
        <v/>
      </c>
      <c r="B1678">
        <f>B1677+A1678</f>
        <v/>
      </c>
      <c r="C1678">
        <f>IF(1675&gt;$B$4503,"",MATCH(1675-0.5,$B$3:$B$4503,1))</f>
        <v/>
      </c>
      <c r="D1678">
        <f>"Board certification – "&amp;IF(LEN(INDEX('Providers'!$A$4:$A$503,175))=0,"",INDEX('Providers'!$A$4:$A$503,175))</f>
        <v/>
      </c>
      <c r="E1678">
        <f>IF(ISNUMBER(INDEX('Providers'!$M$4:$M$503,175)),TEXT(INDEX('Providers'!$M$4:$M$503,175),"yyyy-mm-dd"),"")</f>
        <v/>
      </c>
      <c r="F1678">
        <f>"Certification"</f>
        <v/>
      </c>
      <c r="G1678">
        <f>""</f>
        <v/>
      </c>
      <c r="H1678">
        <f>"Medium"</f>
        <v/>
      </c>
      <c r="I1678">
        <f>TRIM(IF(LEN(IF(LEN(INDEX('Providers'!$L$4:$L$503,175))=0,"",INDEX('Providers'!$L$4:$L$503,175)))=0,"","Board / specialty: "&amp;IF(LEN(INDEX('Providers'!$L$4:$L$503,175))=0,"",INDEX('Providers'!$L$4:$L$503,175))&amp;". "))</f>
        <v/>
      </c>
      <c r="J1678">
        <f>IF(LEN(INDEX('Providers'!$AJ$4:$AJ$503,175))=0,"",INDEX('Providers'!$AJ$4:$AJ$503,175))</f>
        <v/>
      </c>
      <c r="K1678">
        <f>IF(LEN(INDEX('Providers'!$AI$4:$AI$503,175))=0,"",INDEX('Providers'!$AI$4:$AI$503,175))</f>
        <v/>
      </c>
    </row>
    <row r="1679">
      <c r="A1679">
        <f>IF(AND(LEN('Providers'!A179)&gt;0,ISNUMBER('Providers'!M179)),1,0)</f>
        <v/>
      </c>
      <c r="B1679">
        <f>B1678+A1679</f>
        <v/>
      </c>
      <c r="C1679">
        <f>IF(1676&gt;$B$4503,"",MATCH(1676-0.5,$B$3:$B$4503,1))</f>
        <v/>
      </c>
      <c r="D1679">
        <f>"Board certification – "&amp;IF(LEN(INDEX('Providers'!$A$4:$A$503,176))=0,"",INDEX('Providers'!$A$4:$A$503,176))</f>
        <v/>
      </c>
      <c r="E1679">
        <f>IF(ISNUMBER(INDEX('Providers'!$M$4:$M$503,176)),TEXT(INDEX('Providers'!$M$4:$M$503,176),"yyyy-mm-dd"),"")</f>
        <v/>
      </c>
      <c r="F1679">
        <f>"Certification"</f>
        <v/>
      </c>
      <c r="G1679">
        <f>""</f>
        <v/>
      </c>
      <c r="H1679">
        <f>"Medium"</f>
        <v/>
      </c>
      <c r="I1679">
        <f>TRIM(IF(LEN(IF(LEN(INDEX('Providers'!$L$4:$L$503,176))=0,"",INDEX('Providers'!$L$4:$L$503,176)))=0,"","Board / specialty: "&amp;IF(LEN(INDEX('Providers'!$L$4:$L$503,176))=0,"",INDEX('Providers'!$L$4:$L$503,176))&amp;". "))</f>
        <v/>
      </c>
      <c r="J1679">
        <f>IF(LEN(INDEX('Providers'!$AJ$4:$AJ$503,176))=0,"",INDEX('Providers'!$AJ$4:$AJ$503,176))</f>
        <v/>
      </c>
      <c r="K1679">
        <f>IF(LEN(INDEX('Providers'!$AI$4:$AI$503,176))=0,"",INDEX('Providers'!$AI$4:$AI$503,176))</f>
        <v/>
      </c>
    </row>
    <row r="1680">
      <c r="A1680">
        <f>IF(AND(LEN('Providers'!A180)&gt;0,ISNUMBER('Providers'!M180)),1,0)</f>
        <v/>
      </c>
      <c r="B1680">
        <f>B1679+A1680</f>
        <v/>
      </c>
      <c r="C1680">
        <f>IF(1677&gt;$B$4503,"",MATCH(1677-0.5,$B$3:$B$4503,1))</f>
        <v/>
      </c>
      <c r="D1680">
        <f>"Board certification – "&amp;IF(LEN(INDEX('Providers'!$A$4:$A$503,177))=0,"",INDEX('Providers'!$A$4:$A$503,177))</f>
        <v/>
      </c>
      <c r="E1680">
        <f>IF(ISNUMBER(INDEX('Providers'!$M$4:$M$503,177)),TEXT(INDEX('Providers'!$M$4:$M$503,177),"yyyy-mm-dd"),"")</f>
        <v/>
      </c>
      <c r="F1680">
        <f>"Certification"</f>
        <v/>
      </c>
      <c r="G1680">
        <f>""</f>
        <v/>
      </c>
      <c r="H1680">
        <f>"Medium"</f>
        <v/>
      </c>
      <c r="I1680">
        <f>TRIM(IF(LEN(IF(LEN(INDEX('Providers'!$L$4:$L$503,177))=0,"",INDEX('Providers'!$L$4:$L$503,177)))=0,"","Board / specialty: "&amp;IF(LEN(INDEX('Providers'!$L$4:$L$503,177))=0,"",INDEX('Providers'!$L$4:$L$503,177))&amp;". "))</f>
        <v/>
      </c>
      <c r="J1680">
        <f>IF(LEN(INDEX('Providers'!$AJ$4:$AJ$503,177))=0,"",INDEX('Providers'!$AJ$4:$AJ$503,177))</f>
        <v/>
      </c>
      <c r="K1680">
        <f>IF(LEN(INDEX('Providers'!$AI$4:$AI$503,177))=0,"",INDEX('Providers'!$AI$4:$AI$503,177))</f>
        <v/>
      </c>
    </row>
    <row r="1681">
      <c r="A1681">
        <f>IF(AND(LEN('Providers'!A181)&gt;0,ISNUMBER('Providers'!M181)),1,0)</f>
        <v/>
      </c>
      <c r="B1681">
        <f>B1680+A1681</f>
        <v/>
      </c>
      <c r="C1681">
        <f>IF(1678&gt;$B$4503,"",MATCH(1678-0.5,$B$3:$B$4503,1))</f>
        <v/>
      </c>
      <c r="D1681">
        <f>"Board certification – "&amp;IF(LEN(INDEX('Providers'!$A$4:$A$503,178))=0,"",INDEX('Providers'!$A$4:$A$503,178))</f>
        <v/>
      </c>
      <c r="E1681">
        <f>IF(ISNUMBER(INDEX('Providers'!$M$4:$M$503,178)),TEXT(INDEX('Providers'!$M$4:$M$503,178),"yyyy-mm-dd"),"")</f>
        <v/>
      </c>
      <c r="F1681">
        <f>"Certification"</f>
        <v/>
      </c>
      <c r="G1681">
        <f>""</f>
        <v/>
      </c>
      <c r="H1681">
        <f>"Medium"</f>
        <v/>
      </c>
      <c r="I1681">
        <f>TRIM(IF(LEN(IF(LEN(INDEX('Providers'!$L$4:$L$503,178))=0,"",INDEX('Providers'!$L$4:$L$503,178)))=0,"","Board / specialty: "&amp;IF(LEN(INDEX('Providers'!$L$4:$L$503,178))=0,"",INDEX('Providers'!$L$4:$L$503,178))&amp;". "))</f>
        <v/>
      </c>
      <c r="J1681">
        <f>IF(LEN(INDEX('Providers'!$AJ$4:$AJ$503,178))=0,"",INDEX('Providers'!$AJ$4:$AJ$503,178))</f>
        <v/>
      </c>
      <c r="K1681">
        <f>IF(LEN(INDEX('Providers'!$AI$4:$AI$503,178))=0,"",INDEX('Providers'!$AI$4:$AI$503,178))</f>
        <v/>
      </c>
    </row>
    <row r="1682">
      <c r="A1682">
        <f>IF(AND(LEN('Providers'!A182)&gt;0,ISNUMBER('Providers'!M182)),1,0)</f>
        <v/>
      </c>
      <c r="B1682">
        <f>B1681+A1682</f>
        <v/>
      </c>
      <c r="C1682">
        <f>IF(1679&gt;$B$4503,"",MATCH(1679-0.5,$B$3:$B$4503,1))</f>
        <v/>
      </c>
      <c r="D1682">
        <f>"Board certification – "&amp;IF(LEN(INDEX('Providers'!$A$4:$A$503,179))=0,"",INDEX('Providers'!$A$4:$A$503,179))</f>
        <v/>
      </c>
      <c r="E1682">
        <f>IF(ISNUMBER(INDEX('Providers'!$M$4:$M$503,179)),TEXT(INDEX('Providers'!$M$4:$M$503,179),"yyyy-mm-dd"),"")</f>
        <v/>
      </c>
      <c r="F1682">
        <f>"Certification"</f>
        <v/>
      </c>
      <c r="G1682">
        <f>""</f>
        <v/>
      </c>
      <c r="H1682">
        <f>"Medium"</f>
        <v/>
      </c>
      <c r="I1682">
        <f>TRIM(IF(LEN(IF(LEN(INDEX('Providers'!$L$4:$L$503,179))=0,"",INDEX('Providers'!$L$4:$L$503,179)))=0,"","Board / specialty: "&amp;IF(LEN(INDEX('Providers'!$L$4:$L$503,179))=0,"",INDEX('Providers'!$L$4:$L$503,179))&amp;". "))</f>
        <v/>
      </c>
      <c r="J1682">
        <f>IF(LEN(INDEX('Providers'!$AJ$4:$AJ$503,179))=0,"",INDEX('Providers'!$AJ$4:$AJ$503,179))</f>
        <v/>
      </c>
      <c r="K1682">
        <f>IF(LEN(INDEX('Providers'!$AI$4:$AI$503,179))=0,"",INDEX('Providers'!$AI$4:$AI$503,179))</f>
        <v/>
      </c>
    </row>
    <row r="1683">
      <c r="A1683">
        <f>IF(AND(LEN('Providers'!A183)&gt;0,ISNUMBER('Providers'!M183)),1,0)</f>
        <v/>
      </c>
      <c r="B1683">
        <f>B1682+A1683</f>
        <v/>
      </c>
      <c r="C1683">
        <f>IF(1680&gt;$B$4503,"",MATCH(1680-0.5,$B$3:$B$4503,1))</f>
        <v/>
      </c>
      <c r="D1683">
        <f>"Board certification – "&amp;IF(LEN(INDEX('Providers'!$A$4:$A$503,180))=0,"",INDEX('Providers'!$A$4:$A$503,180))</f>
        <v/>
      </c>
      <c r="E1683">
        <f>IF(ISNUMBER(INDEX('Providers'!$M$4:$M$503,180)),TEXT(INDEX('Providers'!$M$4:$M$503,180),"yyyy-mm-dd"),"")</f>
        <v/>
      </c>
      <c r="F1683">
        <f>"Certification"</f>
        <v/>
      </c>
      <c r="G1683">
        <f>""</f>
        <v/>
      </c>
      <c r="H1683">
        <f>"Medium"</f>
        <v/>
      </c>
      <c r="I1683">
        <f>TRIM(IF(LEN(IF(LEN(INDEX('Providers'!$L$4:$L$503,180))=0,"",INDEX('Providers'!$L$4:$L$503,180)))=0,"","Board / specialty: "&amp;IF(LEN(INDEX('Providers'!$L$4:$L$503,180))=0,"",INDEX('Providers'!$L$4:$L$503,180))&amp;". "))</f>
        <v/>
      </c>
      <c r="J1683">
        <f>IF(LEN(INDEX('Providers'!$AJ$4:$AJ$503,180))=0,"",INDEX('Providers'!$AJ$4:$AJ$503,180))</f>
        <v/>
      </c>
      <c r="K1683">
        <f>IF(LEN(INDEX('Providers'!$AI$4:$AI$503,180))=0,"",INDEX('Providers'!$AI$4:$AI$503,180))</f>
        <v/>
      </c>
    </row>
    <row r="1684">
      <c r="A1684">
        <f>IF(AND(LEN('Providers'!A184)&gt;0,ISNUMBER('Providers'!M184)),1,0)</f>
        <v/>
      </c>
      <c r="B1684">
        <f>B1683+A1684</f>
        <v/>
      </c>
      <c r="C1684">
        <f>IF(1681&gt;$B$4503,"",MATCH(1681-0.5,$B$3:$B$4503,1))</f>
        <v/>
      </c>
      <c r="D1684">
        <f>"Board certification – "&amp;IF(LEN(INDEX('Providers'!$A$4:$A$503,181))=0,"",INDEX('Providers'!$A$4:$A$503,181))</f>
        <v/>
      </c>
      <c r="E1684">
        <f>IF(ISNUMBER(INDEX('Providers'!$M$4:$M$503,181)),TEXT(INDEX('Providers'!$M$4:$M$503,181),"yyyy-mm-dd"),"")</f>
        <v/>
      </c>
      <c r="F1684">
        <f>"Certification"</f>
        <v/>
      </c>
      <c r="G1684">
        <f>""</f>
        <v/>
      </c>
      <c r="H1684">
        <f>"Medium"</f>
        <v/>
      </c>
      <c r="I1684">
        <f>TRIM(IF(LEN(IF(LEN(INDEX('Providers'!$L$4:$L$503,181))=0,"",INDEX('Providers'!$L$4:$L$503,181)))=0,"","Board / specialty: "&amp;IF(LEN(INDEX('Providers'!$L$4:$L$503,181))=0,"",INDEX('Providers'!$L$4:$L$503,181))&amp;". "))</f>
        <v/>
      </c>
      <c r="J1684">
        <f>IF(LEN(INDEX('Providers'!$AJ$4:$AJ$503,181))=0,"",INDEX('Providers'!$AJ$4:$AJ$503,181))</f>
        <v/>
      </c>
      <c r="K1684">
        <f>IF(LEN(INDEX('Providers'!$AI$4:$AI$503,181))=0,"",INDEX('Providers'!$AI$4:$AI$503,181))</f>
        <v/>
      </c>
    </row>
    <row r="1685">
      <c r="A1685">
        <f>IF(AND(LEN('Providers'!A185)&gt;0,ISNUMBER('Providers'!M185)),1,0)</f>
        <v/>
      </c>
      <c r="B1685">
        <f>B1684+A1685</f>
        <v/>
      </c>
      <c r="C1685">
        <f>IF(1682&gt;$B$4503,"",MATCH(1682-0.5,$B$3:$B$4503,1))</f>
        <v/>
      </c>
      <c r="D1685">
        <f>"Board certification – "&amp;IF(LEN(INDEX('Providers'!$A$4:$A$503,182))=0,"",INDEX('Providers'!$A$4:$A$503,182))</f>
        <v/>
      </c>
      <c r="E1685">
        <f>IF(ISNUMBER(INDEX('Providers'!$M$4:$M$503,182)),TEXT(INDEX('Providers'!$M$4:$M$503,182),"yyyy-mm-dd"),"")</f>
        <v/>
      </c>
      <c r="F1685">
        <f>"Certification"</f>
        <v/>
      </c>
      <c r="G1685">
        <f>""</f>
        <v/>
      </c>
      <c r="H1685">
        <f>"Medium"</f>
        <v/>
      </c>
      <c r="I1685">
        <f>TRIM(IF(LEN(IF(LEN(INDEX('Providers'!$L$4:$L$503,182))=0,"",INDEX('Providers'!$L$4:$L$503,182)))=0,"","Board / specialty: "&amp;IF(LEN(INDEX('Providers'!$L$4:$L$503,182))=0,"",INDEX('Providers'!$L$4:$L$503,182))&amp;". "))</f>
        <v/>
      </c>
      <c r="J1685">
        <f>IF(LEN(INDEX('Providers'!$AJ$4:$AJ$503,182))=0,"",INDEX('Providers'!$AJ$4:$AJ$503,182))</f>
        <v/>
      </c>
      <c r="K1685">
        <f>IF(LEN(INDEX('Providers'!$AI$4:$AI$503,182))=0,"",INDEX('Providers'!$AI$4:$AI$503,182))</f>
        <v/>
      </c>
    </row>
    <row r="1686">
      <c r="A1686">
        <f>IF(AND(LEN('Providers'!A186)&gt;0,ISNUMBER('Providers'!M186)),1,0)</f>
        <v/>
      </c>
      <c r="B1686">
        <f>B1685+A1686</f>
        <v/>
      </c>
      <c r="C1686">
        <f>IF(1683&gt;$B$4503,"",MATCH(1683-0.5,$B$3:$B$4503,1))</f>
        <v/>
      </c>
      <c r="D1686">
        <f>"Board certification – "&amp;IF(LEN(INDEX('Providers'!$A$4:$A$503,183))=0,"",INDEX('Providers'!$A$4:$A$503,183))</f>
        <v/>
      </c>
      <c r="E1686">
        <f>IF(ISNUMBER(INDEX('Providers'!$M$4:$M$503,183)),TEXT(INDEX('Providers'!$M$4:$M$503,183),"yyyy-mm-dd"),"")</f>
        <v/>
      </c>
      <c r="F1686">
        <f>"Certification"</f>
        <v/>
      </c>
      <c r="G1686">
        <f>""</f>
        <v/>
      </c>
      <c r="H1686">
        <f>"Medium"</f>
        <v/>
      </c>
      <c r="I1686">
        <f>TRIM(IF(LEN(IF(LEN(INDEX('Providers'!$L$4:$L$503,183))=0,"",INDEX('Providers'!$L$4:$L$503,183)))=0,"","Board / specialty: "&amp;IF(LEN(INDEX('Providers'!$L$4:$L$503,183))=0,"",INDEX('Providers'!$L$4:$L$503,183))&amp;". "))</f>
        <v/>
      </c>
      <c r="J1686">
        <f>IF(LEN(INDEX('Providers'!$AJ$4:$AJ$503,183))=0,"",INDEX('Providers'!$AJ$4:$AJ$503,183))</f>
        <v/>
      </c>
      <c r="K1686">
        <f>IF(LEN(INDEX('Providers'!$AI$4:$AI$503,183))=0,"",INDEX('Providers'!$AI$4:$AI$503,183))</f>
        <v/>
      </c>
    </row>
    <row r="1687">
      <c r="A1687">
        <f>IF(AND(LEN('Providers'!A187)&gt;0,ISNUMBER('Providers'!M187)),1,0)</f>
        <v/>
      </c>
      <c r="B1687">
        <f>B1686+A1687</f>
        <v/>
      </c>
      <c r="C1687">
        <f>IF(1684&gt;$B$4503,"",MATCH(1684-0.5,$B$3:$B$4503,1))</f>
        <v/>
      </c>
      <c r="D1687">
        <f>"Board certification – "&amp;IF(LEN(INDEX('Providers'!$A$4:$A$503,184))=0,"",INDEX('Providers'!$A$4:$A$503,184))</f>
        <v/>
      </c>
      <c r="E1687">
        <f>IF(ISNUMBER(INDEX('Providers'!$M$4:$M$503,184)),TEXT(INDEX('Providers'!$M$4:$M$503,184),"yyyy-mm-dd"),"")</f>
        <v/>
      </c>
      <c r="F1687">
        <f>"Certification"</f>
        <v/>
      </c>
      <c r="G1687">
        <f>""</f>
        <v/>
      </c>
      <c r="H1687">
        <f>"Medium"</f>
        <v/>
      </c>
      <c r="I1687">
        <f>TRIM(IF(LEN(IF(LEN(INDEX('Providers'!$L$4:$L$503,184))=0,"",INDEX('Providers'!$L$4:$L$503,184)))=0,"","Board / specialty: "&amp;IF(LEN(INDEX('Providers'!$L$4:$L$503,184))=0,"",INDEX('Providers'!$L$4:$L$503,184))&amp;". "))</f>
        <v/>
      </c>
      <c r="J1687">
        <f>IF(LEN(INDEX('Providers'!$AJ$4:$AJ$503,184))=0,"",INDEX('Providers'!$AJ$4:$AJ$503,184))</f>
        <v/>
      </c>
      <c r="K1687">
        <f>IF(LEN(INDEX('Providers'!$AI$4:$AI$503,184))=0,"",INDEX('Providers'!$AI$4:$AI$503,184))</f>
        <v/>
      </c>
    </row>
    <row r="1688">
      <c r="A1688">
        <f>IF(AND(LEN('Providers'!A188)&gt;0,ISNUMBER('Providers'!M188)),1,0)</f>
        <v/>
      </c>
      <c r="B1688">
        <f>B1687+A1688</f>
        <v/>
      </c>
      <c r="C1688">
        <f>IF(1685&gt;$B$4503,"",MATCH(1685-0.5,$B$3:$B$4503,1))</f>
        <v/>
      </c>
      <c r="D1688">
        <f>"Board certification – "&amp;IF(LEN(INDEX('Providers'!$A$4:$A$503,185))=0,"",INDEX('Providers'!$A$4:$A$503,185))</f>
        <v/>
      </c>
      <c r="E1688">
        <f>IF(ISNUMBER(INDEX('Providers'!$M$4:$M$503,185)),TEXT(INDEX('Providers'!$M$4:$M$503,185),"yyyy-mm-dd"),"")</f>
        <v/>
      </c>
      <c r="F1688">
        <f>"Certification"</f>
        <v/>
      </c>
      <c r="G1688">
        <f>""</f>
        <v/>
      </c>
      <c r="H1688">
        <f>"Medium"</f>
        <v/>
      </c>
      <c r="I1688">
        <f>TRIM(IF(LEN(IF(LEN(INDEX('Providers'!$L$4:$L$503,185))=0,"",INDEX('Providers'!$L$4:$L$503,185)))=0,"","Board / specialty: "&amp;IF(LEN(INDEX('Providers'!$L$4:$L$503,185))=0,"",INDEX('Providers'!$L$4:$L$503,185))&amp;". "))</f>
        <v/>
      </c>
      <c r="J1688">
        <f>IF(LEN(INDEX('Providers'!$AJ$4:$AJ$503,185))=0,"",INDEX('Providers'!$AJ$4:$AJ$503,185))</f>
        <v/>
      </c>
      <c r="K1688">
        <f>IF(LEN(INDEX('Providers'!$AI$4:$AI$503,185))=0,"",INDEX('Providers'!$AI$4:$AI$503,185))</f>
        <v/>
      </c>
    </row>
    <row r="1689">
      <c r="A1689">
        <f>IF(AND(LEN('Providers'!A189)&gt;0,ISNUMBER('Providers'!M189)),1,0)</f>
        <v/>
      </c>
      <c r="B1689">
        <f>B1688+A1689</f>
        <v/>
      </c>
      <c r="C1689">
        <f>IF(1686&gt;$B$4503,"",MATCH(1686-0.5,$B$3:$B$4503,1))</f>
        <v/>
      </c>
      <c r="D1689">
        <f>"Board certification – "&amp;IF(LEN(INDEX('Providers'!$A$4:$A$503,186))=0,"",INDEX('Providers'!$A$4:$A$503,186))</f>
        <v/>
      </c>
      <c r="E1689">
        <f>IF(ISNUMBER(INDEX('Providers'!$M$4:$M$503,186)),TEXT(INDEX('Providers'!$M$4:$M$503,186),"yyyy-mm-dd"),"")</f>
        <v/>
      </c>
      <c r="F1689">
        <f>"Certification"</f>
        <v/>
      </c>
      <c r="G1689">
        <f>""</f>
        <v/>
      </c>
      <c r="H1689">
        <f>"Medium"</f>
        <v/>
      </c>
      <c r="I1689">
        <f>TRIM(IF(LEN(IF(LEN(INDEX('Providers'!$L$4:$L$503,186))=0,"",INDEX('Providers'!$L$4:$L$503,186)))=0,"","Board / specialty: "&amp;IF(LEN(INDEX('Providers'!$L$4:$L$503,186))=0,"",INDEX('Providers'!$L$4:$L$503,186))&amp;". "))</f>
        <v/>
      </c>
      <c r="J1689">
        <f>IF(LEN(INDEX('Providers'!$AJ$4:$AJ$503,186))=0,"",INDEX('Providers'!$AJ$4:$AJ$503,186))</f>
        <v/>
      </c>
      <c r="K1689">
        <f>IF(LEN(INDEX('Providers'!$AI$4:$AI$503,186))=0,"",INDEX('Providers'!$AI$4:$AI$503,186))</f>
        <v/>
      </c>
    </row>
    <row r="1690">
      <c r="A1690">
        <f>IF(AND(LEN('Providers'!A190)&gt;0,ISNUMBER('Providers'!M190)),1,0)</f>
        <v/>
      </c>
      <c r="B1690">
        <f>B1689+A1690</f>
        <v/>
      </c>
      <c r="C1690">
        <f>IF(1687&gt;$B$4503,"",MATCH(1687-0.5,$B$3:$B$4503,1))</f>
        <v/>
      </c>
      <c r="D1690">
        <f>"Board certification – "&amp;IF(LEN(INDEX('Providers'!$A$4:$A$503,187))=0,"",INDEX('Providers'!$A$4:$A$503,187))</f>
        <v/>
      </c>
      <c r="E1690">
        <f>IF(ISNUMBER(INDEX('Providers'!$M$4:$M$503,187)),TEXT(INDEX('Providers'!$M$4:$M$503,187),"yyyy-mm-dd"),"")</f>
        <v/>
      </c>
      <c r="F1690">
        <f>"Certification"</f>
        <v/>
      </c>
      <c r="G1690">
        <f>""</f>
        <v/>
      </c>
      <c r="H1690">
        <f>"Medium"</f>
        <v/>
      </c>
      <c r="I1690">
        <f>TRIM(IF(LEN(IF(LEN(INDEX('Providers'!$L$4:$L$503,187))=0,"",INDEX('Providers'!$L$4:$L$503,187)))=0,"","Board / specialty: "&amp;IF(LEN(INDEX('Providers'!$L$4:$L$503,187))=0,"",INDEX('Providers'!$L$4:$L$503,187))&amp;". "))</f>
        <v/>
      </c>
      <c r="J1690">
        <f>IF(LEN(INDEX('Providers'!$AJ$4:$AJ$503,187))=0,"",INDEX('Providers'!$AJ$4:$AJ$503,187))</f>
        <v/>
      </c>
      <c r="K1690">
        <f>IF(LEN(INDEX('Providers'!$AI$4:$AI$503,187))=0,"",INDEX('Providers'!$AI$4:$AI$503,187))</f>
        <v/>
      </c>
    </row>
    <row r="1691">
      <c r="A1691">
        <f>IF(AND(LEN('Providers'!A191)&gt;0,ISNUMBER('Providers'!M191)),1,0)</f>
        <v/>
      </c>
      <c r="B1691">
        <f>B1690+A1691</f>
        <v/>
      </c>
      <c r="C1691">
        <f>IF(1688&gt;$B$4503,"",MATCH(1688-0.5,$B$3:$B$4503,1))</f>
        <v/>
      </c>
      <c r="D1691">
        <f>"Board certification – "&amp;IF(LEN(INDEX('Providers'!$A$4:$A$503,188))=0,"",INDEX('Providers'!$A$4:$A$503,188))</f>
        <v/>
      </c>
      <c r="E1691">
        <f>IF(ISNUMBER(INDEX('Providers'!$M$4:$M$503,188)),TEXT(INDEX('Providers'!$M$4:$M$503,188),"yyyy-mm-dd"),"")</f>
        <v/>
      </c>
      <c r="F1691">
        <f>"Certification"</f>
        <v/>
      </c>
      <c r="G1691">
        <f>""</f>
        <v/>
      </c>
      <c r="H1691">
        <f>"Medium"</f>
        <v/>
      </c>
      <c r="I1691">
        <f>TRIM(IF(LEN(IF(LEN(INDEX('Providers'!$L$4:$L$503,188))=0,"",INDEX('Providers'!$L$4:$L$503,188)))=0,"","Board / specialty: "&amp;IF(LEN(INDEX('Providers'!$L$4:$L$503,188))=0,"",INDEX('Providers'!$L$4:$L$503,188))&amp;". "))</f>
        <v/>
      </c>
      <c r="J1691">
        <f>IF(LEN(INDEX('Providers'!$AJ$4:$AJ$503,188))=0,"",INDEX('Providers'!$AJ$4:$AJ$503,188))</f>
        <v/>
      </c>
      <c r="K1691">
        <f>IF(LEN(INDEX('Providers'!$AI$4:$AI$503,188))=0,"",INDEX('Providers'!$AI$4:$AI$503,188))</f>
        <v/>
      </c>
    </row>
    <row r="1692">
      <c r="A1692">
        <f>IF(AND(LEN('Providers'!A192)&gt;0,ISNUMBER('Providers'!M192)),1,0)</f>
        <v/>
      </c>
      <c r="B1692">
        <f>B1691+A1692</f>
        <v/>
      </c>
      <c r="C1692">
        <f>IF(1689&gt;$B$4503,"",MATCH(1689-0.5,$B$3:$B$4503,1))</f>
        <v/>
      </c>
      <c r="D1692">
        <f>"Board certification – "&amp;IF(LEN(INDEX('Providers'!$A$4:$A$503,189))=0,"",INDEX('Providers'!$A$4:$A$503,189))</f>
        <v/>
      </c>
      <c r="E1692">
        <f>IF(ISNUMBER(INDEX('Providers'!$M$4:$M$503,189)),TEXT(INDEX('Providers'!$M$4:$M$503,189),"yyyy-mm-dd"),"")</f>
        <v/>
      </c>
      <c r="F1692">
        <f>"Certification"</f>
        <v/>
      </c>
      <c r="G1692">
        <f>""</f>
        <v/>
      </c>
      <c r="H1692">
        <f>"Medium"</f>
        <v/>
      </c>
      <c r="I1692">
        <f>TRIM(IF(LEN(IF(LEN(INDEX('Providers'!$L$4:$L$503,189))=0,"",INDEX('Providers'!$L$4:$L$503,189)))=0,"","Board / specialty: "&amp;IF(LEN(INDEX('Providers'!$L$4:$L$503,189))=0,"",INDEX('Providers'!$L$4:$L$503,189))&amp;". "))</f>
        <v/>
      </c>
      <c r="J1692">
        <f>IF(LEN(INDEX('Providers'!$AJ$4:$AJ$503,189))=0,"",INDEX('Providers'!$AJ$4:$AJ$503,189))</f>
        <v/>
      </c>
      <c r="K1692">
        <f>IF(LEN(INDEX('Providers'!$AI$4:$AI$503,189))=0,"",INDEX('Providers'!$AI$4:$AI$503,189))</f>
        <v/>
      </c>
    </row>
    <row r="1693">
      <c r="A1693">
        <f>IF(AND(LEN('Providers'!A193)&gt;0,ISNUMBER('Providers'!M193)),1,0)</f>
        <v/>
      </c>
      <c r="B1693">
        <f>B1692+A1693</f>
        <v/>
      </c>
      <c r="C1693">
        <f>IF(1690&gt;$B$4503,"",MATCH(1690-0.5,$B$3:$B$4503,1))</f>
        <v/>
      </c>
      <c r="D1693">
        <f>"Board certification – "&amp;IF(LEN(INDEX('Providers'!$A$4:$A$503,190))=0,"",INDEX('Providers'!$A$4:$A$503,190))</f>
        <v/>
      </c>
      <c r="E1693">
        <f>IF(ISNUMBER(INDEX('Providers'!$M$4:$M$503,190)),TEXT(INDEX('Providers'!$M$4:$M$503,190),"yyyy-mm-dd"),"")</f>
        <v/>
      </c>
      <c r="F1693">
        <f>"Certification"</f>
        <v/>
      </c>
      <c r="G1693">
        <f>""</f>
        <v/>
      </c>
      <c r="H1693">
        <f>"Medium"</f>
        <v/>
      </c>
      <c r="I1693">
        <f>TRIM(IF(LEN(IF(LEN(INDEX('Providers'!$L$4:$L$503,190))=0,"",INDEX('Providers'!$L$4:$L$503,190)))=0,"","Board / specialty: "&amp;IF(LEN(INDEX('Providers'!$L$4:$L$503,190))=0,"",INDEX('Providers'!$L$4:$L$503,190))&amp;". "))</f>
        <v/>
      </c>
      <c r="J1693">
        <f>IF(LEN(INDEX('Providers'!$AJ$4:$AJ$503,190))=0,"",INDEX('Providers'!$AJ$4:$AJ$503,190))</f>
        <v/>
      </c>
      <c r="K1693">
        <f>IF(LEN(INDEX('Providers'!$AI$4:$AI$503,190))=0,"",INDEX('Providers'!$AI$4:$AI$503,190))</f>
        <v/>
      </c>
    </row>
    <row r="1694">
      <c r="A1694">
        <f>IF(AND(LEN('Providers'!A194)&gt;0,ISNUMBER('Providers'!M194)),1,0)</f>
        <v/>
      </c>
      <c r="B1694">
        <f>B1693+A1694</f>
        <v/>
      </c>
      <c r="C1694">
        <f>IF(1691&gt;$B$4503,"",MATCH(1691-0.5,$B$3:$B$4503,1))</f>
        <v/>
      </c>
      <c r="D1694">
        <f>"Board certification – "&amp;IF(LEN(INDEX('Providers'!$A$4:$A$503,191))=0,"",INDEX('Providers'!$A$4:$A$503,191))</f>
        <v/>
      </c>
      <c r="E1694">
        <f>IF(ISNUMBER(INDEX('Providers'!$M$4:$M$503,191)),TEXT(INDEX('Providers'!$M$4:$M$503,191),"yyyy-mm-dd"),"")</f>
        <v/>
      </c>
      <c r="F1694">
        <f>"Certification"</f>
        <v/>
      </c>
      <c r="G1694">
        <f>""</f>
        <v/>
      </c>
      <c r="H1694">
        <f>"Medium"</f>
        <v/>
      </c>
      <c r="I1694">
        <f>TRIM(IF(LEN(IF(LEN(INDEX('Providers'!$L$4:$L$503,191))=0,"",INDEX('Providers'!$L$4:$L$503,191)))=0,"","Board / specialty: "&amp;IF(LEN(INDEX('Providers'!$L$4:$L$503,191))=0,"",INDEX('Providers'!$L$4:$L$503,191))&amp;". "))</f>
        <v/>
      </c>
      <c r="J1694">
        <f>IF(LEN(INDEX('Providers'!$AJ$4:$AJ$503,191))=0,"",INDEX('Providers'!$AJ$4:$AJ$503,191))</f>
        <v/>
      </c>
      <c r="K1694">
        <f>IF(LEN(INDEX('Providers'!$AI$4:$AI$503,191))=0,"",INDEX('Providers'!$AI$4:$AI$503,191))</f>
        <v/>
      </c>
    </row>
    <row r="1695">
      <c r="A1695">
        <f>IF(AND(LEN('Providers'!A195)&gt;0,ISNUMBER('Providers'!M195)),1,0)</f>
        <v/>
      </c>
      <c r="B1695">
        <f>B1694+A1695</f>
        <v/>
      </c>
      <c r="C1695">
        <f>IF(1692&gt;$B$4503,"",MATCH(1692-0.5,$B$3:$B$4503,1))</f>
        <v/>
      </c>
      <c r="D1695">
        <f>"Board certification – "&amp;IF(LEN(INDEX('Providers'!$A$4:$A$503,192))=0,"",INDEX('Providers'!$A$4:$A$503,192))</f>
        <v/>
      </c>
      <c r="E1695">
        <f>IF(ISNUMBER(INDEX('Providers'!$M$4:$M$503,192)),TEXT(INDEX('Providers'!$M$4:$M$503,192),"yyyy-mm-dd"),"")</f>
        <v/>
      </c>
      <c r="F1695">
        <f>"Certification"</f>
        <v/>
      </c>
      <c r="G1695">
        <f>""</f>
        <v/>
      </c>
      <c r="H1695">
        <f>"Medium"</f>
        <v/>
      </c>
      <c r="I1695">
        <f>TRIM(IF(LEN(IF(LEN(INDEX('Providers'!$L$4:$L$503,192))=0,"",INDEX('Providers'!$L$4:$L$503,192)))=0,"","Board / specialty: "&amp;IF(LEN(INDEX('Providers'!$L$4:$L$503,192))=0,"",INDEX('Providers'!$L$4:$L$503,192))&amp;". "))</f>
        <v/>
      </c>
      <c r="J1695">
        <f>IF(LEN(INDEX('Providers'!$AJ$4:$AJ$503,192))=0,"",INDEX('Providers'!$AJ$4:$AJ$503,192))</f>
        <v/>
      </c>
      <c r="K1695">
        <f>IF(LEN(INDEX('Providers'!$AI$4:$AI$503,192))=0,"",INDEX('Providers'!$AI$4:$AI$503,192))</f>
        <v/>
      </c>
    </row>
    <row r="1696">
      <c r="A1696">
        <f>IF(AND(LEN('Providers'!A196)&gt;0,ISNUMBER('Providers'!M196)),1,0)</f>
        <v/>
      </c>
      <c r="B1696">
        <f>B1695+A1696</f>
        <v/>
      </c>
      <c r="C1696">
        <f>IF(1693&gt;$B$4503,"",MATCH(1693-0.5,$B$3:$B$4503,1))</f>
        <v/>
      </c>
      <c r="D1696">
        <f>"Board certification – "&amp;IF(LEN(INDEX('Providers'!$A$4:$A$503,193))=0,"",INDEX('Providers'!$A$4:$A$503,193))</f>
        <v/>
      </c>
      <c r="E1696">
        <f>IF(ISNUMBER(INDEX('Providers'!$M$4:$M$503,193)),TEXT(INDEX('Providers'!$M$4:$M$503,193),"yyyy-mm-dd"),"")</f>
        <v/>
      </c>
      <c r="F1696">
        <f>"Certification"</f>
        <v/>
      </c>
      <c r="G1696">
        <f>""</f>
        <v/>
      </c>
      <c r="H1696">
        <f>"Medium"</f>
        <v/>
      </c>
      <c r="I1696">
        <f>TRIM(IF(LEN(IF(LEN(INDEX('Providers'!$L$4:$L$503,193))=0,"",INDEX('Providers'!$L$4:$L$503,193)))=0,"","Board / specialty: "&amp;IF(LEN(INDEX('Providers'!$L$4:$L$503,193))=0,"",INDEX('Providers'!$L$4:$L$503,193))&amp;". "))</f>
        <v/>
      </c>
      <c r="J1696">
        <f>IF(LEN(INDEX('Providers'!$AJ$4:$AJ$503,193))=0,"",INDEX('Providers'!$AJ$4:$AJ$503,193))</f>
        <v/>
      </c>
      <c r="K1696">
        <f>IF(LEN(INDEX('Providers'!$AI$4:$AI$503,193))=0,"",INDEX('Providers'!$AI$4:$AI$503,193))</f>
        <v/>
      </c>
    </row>
    <row r="1697">
      <c r="A1697">
        <f>IF(AND(LEN('Providers'!A197)&gt;0,ISNUMBER('Providers'!M197)),1,0)</f>
        <v/>
      </c>
      <c r="B1697">
        <f>B1696+A1697</f>
        <v/>
      </c>
      <c r="C1697">
        <f>IF(1694&gt;$B$4503,"",MATCH(1694-0.5,$B$3:$B$4503,1))</f>
        <v/>
      </c>
      <c r="D1697">
        <f>"Board certification – "&amp;IF(LEN(INDEX('Providers'!$A$4:$A$503,194))=0,"",INDEX('Providers'!$A$4:$A$503,194))</f>
        <v/>
      </c>
      <c r="E1697">
        <f>IF(ISNUMBER(INDEX('Providers'!$M$4:$M$503,194)),TEXT(INDEX('Providers'!$M$4:$M$503,194),"yyyy-mm-dd"),"")</f>
        <v/>
      </c>
      <c r="F1697">
        <f>"Certification"</f>
        <v/>
      </c>
      <c r="G1697">
        <f>""</f>
        <v/>
      </c>
      <c r="H1697">
        <f>"Medium"</f>
        <v/>
      </c>
      <c r="I1697">
        <f>TRIM(IF(LEN(IF(LEN(INDEX('Providers'!$L$4:$L$503,194))=0,"",INDEX('Providers'!$L$4:$L$503,194)))=0,"","Board / specialty: "&amp;IF(LEN(INDEX('Providers'!$L$4:$L$503,194))=0,"",INDEX('Providers'!$L$4:$L$503,194))&amp;". "))</f>
        <v/>
      </c>
      <c r="J1697">
        <f>IF(LEN(INDEX('Providers'!$AJ$4:$AJ$503,194))=0,"",INDEX('Providers'!$AJ$4:$AJ$503,194))</f>
        <v/>
      </c>
      <c r="K1697">
        <f>IF(LEN(INDEX('Providers'!$AI$4:$AI$503,194))=0,"",INDEX('Providers'!$AI$4:$AI$503,194))</f>
        <v/>
      </c>
    </row>
    <row r="1698">
      <c r="A1698">
        <f>IF(AND(LEN('Providers'!A198)&gt;0,ISNUMBER('Providers'!M198)),1,0)</f>
        <v/>
      </c>
      <c r="B1698">
        <f>B1697+A1698</f>
        <v/>
      </c>
      <c r="C1698">
        <f>IF(1695&gt;$B$4503,"",MATCH(1695-0.5,$B$3:$B$4503,1))</f>
        <v/>
      </c>
      <c r="D1698">
        <f>"Board certification – "&amp;IF(LEN(INDEX('Providers'!$A$4:$A$503,195))=0,"",INDEX('Providers'!$A$4:$A$503,195))</f>
        <v/>
      </c>
      <c r="E1698">
        <f>IF(ISNUMBER(INDEX('Providers'!$M$4:$M$503,195)),TEXT(INDEX('Providers'!$M$4:$M$503,195),"yyyy-mm-dd"),"")</f>
        <v/>
      </c>
      <c r="F1698">
        <f>"Certification"</f>
        <v/>
      </c>
      <c r="G1698">
        <f>""</f>
        <v/>
      </c>
      <c r="H1698">
        <f>"Medium"</f>
        <v/>
      </c>
      <c r="I1698">
        <f>TRIM(IF(LEN(IF(LEN(INDEX('Providers'!$L$4:$L$503,195))=0,"",INDEX('Providers'!$L$4:$L$503,195)))=0,"","Board / specialty: "&amp;IF(LEN(INDEX('Providers'!$L$4:$L$503,195))=0,"",INDEX('Providers'!$L$4:$L$503,195))&amp;". "))</f>
        <v/>
      </c>
      <c r="J1698">
        <f>IF(LEN(INDEX('Providers'!$AJ$4:$AJ$503,195))=0,"",INDEX('Providers'!$AJ$4:$AJ$503,195))</f>
        <v/>
      </c>
      <c r="K1698">
        <f>IF(LEN(INDEX('Providers'!$AI$4:$AI$503,195))=0,"",INDEX('Providers'!$AI$4:$AI$503,195))</f>
        <v/>
      </c>
    </row>
    <row r="1699">
      <c r="A1699">
        <f>IF(AND(LEN('Providers'!A199)&gt;0,ISNUMBER('Providers'!M199)),1,0)</f>
        <v/>
      </c>
      <c r="B1699">
        <f>B1698+A1699</f>
        <v/>
      </c>
      <c r="C1699">
        <f>IF(1696&gt;$B$4503,"",MATCH(1696-0.5,$B$3:$B$4503,1))</f>
        <v/>
      </c>
      <c r="D1699">
        <f>"Board certification – "&amp;IF(LEN(INDEX('Providers'!$A$4:$A$503,196))=0,"",INDEX('Providers'!$A$4:$A$503,196))</f>
        <v/>
      </c>
      <c r="E1699">
        <f>IF(ISNUMBER(INDEX('Providers'!$M$4:$M$503,196)),TEXT(INDEX('Providers'!$M$4:$M$503,196),"yyyy-mm-dd"),"")</f>
        <v/>
      </c>
      <c r="F1699">
        <f>"Certification"</f>
        <v/>
      </c>
      <c r="G1699">
        <f>""</f>
        <v/>
      </c>
      <c r="H1699">
        <f>"Medium"</f>
        <v/>
      </c>
      <c r="I1699">
        <f>TRIM(IF(LEN(IF(LEN(INDEX('Providers'!$L$4:$L$503,196))=0,"",INDEX('Providers'!$L$4:$L$503,196)))=0,"","Board / specialty: "&amp;IF(LEN(INDEX('Providers'!$L$4:$L$503,196))=0,"",INDEX('Providers'!$L$4:$L$503,196))&amp;". "))</f>
        <v/>
      </c>
      <c r="J1699">
        <f>IF(LEN(INDEX('Providers'!$AJ$4:$AJ$503,196))=0,"",INDEX('Providers'!$AJ$4:$AJ$503,196))</f>
        <v/>
      </c>
      <c r="K1699">
        <f>IF(LEN(INDEX('Providers'!$AI$4:$AI$503,196))=0,"",INDEX('Providers'!$AI$4:$AI$503,196))</f>
        <v/>
      </c>
    </row>
    <row r="1700">
      <c r="A1700">
        <f>IF(AND(LEN('Providers'!A200)&gt;0,ISNUMBER('Providers'!M200)),1,0)</f>
        <v/>
      </c>
      <c r="B1700">
        <f>B1699+A1700</f>
        <v/>
      </c>
      <c r="C1700">
        <f>IF(1697&gt;$B$4503,"",MATCH(1697-0.5,$B$3:$B$4503,1))</f>
        <v/>
      </c>
      <c r="D1700">
        <f>"Board certification – "&amp;IF(LEN(INDEX('Providers'!$A$4:$A$503,197))=0,"",INDEX('Providers'!$A$4:$A$503,197))</f>
        <v/>
      </c>
      <c r="E1700">
        <f>IF(ISNUMBER(INDEX('Providers'!$M$4:$M$503,197)),TEXT(INDEX('Providers'!$M$4:$M$503,197),"yyyy-mm-dd"),"")</f>
        <v/>
      </c>
      <c r="F1700">
        <f>"Certification"</f>
        <v/>
      </c>
      <c r="G1700">
        <f>""</f>
        <v/>
      </c>
      <c r="H1700">
        <f>"Medium"</f>
        <v/>
      </c>
      <c r="I1700">
        <f>TRIM(IF(LEN(IF(LEN(INDEX('Providers'!$L$4:$L$503,197))=0,"",INDEX('Providers'!$L$4:$L$503,197)))=0,"","Board / specialty: "&amp;IF(LEN(INDEX('Providers'!$L$4:$L$503,197))=0,"",INDEX('Providers'!$L$4:$L$503,197))&amp;". "))</f>
        <v/>
      </c>
      <c r="J1700">
        <f>IF(LEN(INDEX('Providers'!$AJ$4:$AJ$503,197))=0,"",INDEX('Providers'!$AJ$4:$AJ$503,197))</f>
        <v/>
      </c>
      <c r="K1700">
        <f>IF(LEN(INDEX('Providers'!$AI$4:$AI$503,197))=0,"",INDEX('Providers'!$AI$4:$AI$503,197))</f>
        <v/>
      </c>
    </row>
    <row r="1701">
      <c r="A1701">
        <f>IF(AND(LEN('Providers'!A201)&gt;0,ISNUMBER('Providers'!M201)),1,0)</f>
        <v/>
      </c>
      <c r="B1701">
        <f>B1700+A1701</f>
        <v/>
      </c>
      <c r="C1701">
        <f>IF(1698&gt;$B$4503,"",MATCH(1698-0.5,$B$3:$B$4503,1))</f>
        <v/>
      </c>
      <c r="D1701">
        <f>"Board certification – "&amp;IF(LEN(INDEX('Providers'!$A$4:$A$503,198))=0,"",INDEX('Providers'!$A$4:$A$503,198))</f>
        <v/>
      </c>
      <c r="E1701">
        <f>IF(ISNUMBER(INDEX('Providers'!$M$4:$M$503,198)),TEXT(INDEX('Providers'!$M$4:$M$503,198),"yyyy-mm-dd"),"")</f>
        <v/>
      </c>
      <c r="F1701">
        <f>"Certification"</f>
        <v/>
      </c>
      <c r="G1701">
        <f>""</f>
        <v/>
      </c>
      <c r="H1701">
        <f>"Medium"</f>
        <v/>
      </c>
      <c r="I1701">
        <f>TRIM(IF(LEN(IF(LEN(INDEX('Providers'!$L$4:$L$503,198))=0,"",INDEX('Providers'!$L$4:$L$503,198)))=0,"","Board / specialty: "&amp;IF(LEN(INDEX('Providers'!$L$4:$L$503,198))=0,"",INDEX('Providers'!$L$4:$L$503,198))&amp;". "))</f>
        <v/>
      </c>
      <c r="J1701">
        <f>IF(LEN(INDEX('Providers'!$AJ$4:$AJ$503,198))=0,"",INDEX('Providers'!$AJ$4:$AJ$503,198))</f>
        <v/>
      </c>
      <c r="K1701">
        <f>IF(LEN(INDEX('Providers'!$AI$4:$AI$503,198))=0,"",INDEX('Providers'!$AI$4:$AI$503,198))</f>
        <v/>
      </c>
    </row>
    <row r="1702">
      <c r="A1702">
        <f>IF(AND(LEN('Providers'!A202)&gt;0,ISNUMBER('Providers'!M202)),1,0)</f>
        <v/>
      </c>
      <c r="B1702">
        <f>B1701+A1702</f>
        <v/>
      </c>
      <c r="C1702">
        <f>IF(1699&gt;$B$4503,"",MATCH(1699-0.5,$B$3:$B$4503,1))</f>
        <v/>
      </c>
      <c r="D1702">
        <f>"Board certification – "&amp;IF(LEN(INDEX('Providers'!$A$4:$A$503,199))=0,"",INDEX('Providers'!$A$4:$A$503,199))</f>
        <v/>
      </c>
      <c r="E1702">
        <f>IF(ISNUMBER(INDEX('Providers'!$M$4:$M$503,199)),TEXT(INDEX('Providers'!$M$4:$M$503,199),"yyyy-mm-dd"),"")</f>
        <v/>
      </c>
      <c r="F1702">
        <f>"Certification"</f>
        <v/>
      </c>
      <c r="G1702">
        <f>""</f>
        <v/>
      </c>
      <c r="H1702">
        <f>"Medium"</f>
        <v/>
      </c>
      <c r="I1702">
        <f>TRIM(IF(LEN(IF(LEN(INDEX('Providers'!$L$4:$L$503,199))=0,"",INDEX('Providers'!$L$4:$L$503,199)))=0,"","Board / specialty: "&amp;IF(LEN(INDEX('Providers'!$L$4:$L$503,199))=0,"",INDEX('Providers'!$L$4:$L$503,199))&amp;". "))</f>
        <v/>
      </c>
      <c r="J1702">
        <f>IF(LEN(INDEX('Providers'!$AJ$4:$AJ$503,199))=0,"",INDEX('Providers'!$AJ$4:$AJ$503,199))</f>
        <v/>
      </c>
      <c r="K1702">
        <f>IF(LEN(INDEX('Providers'!$AI$4:$AI$503,199))=0,"",INDEX('Providers'!$AI$4:$AI$503,199))</f>
        <v/>
      </c>
    </row>
    <row r="1703">
      <c r="A1703">
        <f>IF(AND(LEN('Providers'!A203)&gt;0,ISNUMBER('Providers'!M203)),1,0)</f>
        <v/>
      </c>
      <c r="B1703">
        <f>B1702+A1703</f>
        <v/>
      </c>
      <c r="C1703">
        <f>IF(1700&gt;$B$4503,"",MATCH(1700-0.5,$B$3:$B$4503,1))</f>
        <v/>
      </c>
      <c r="D1703">
        <f>"Board certification – "&amp;IF(LEN(INDEX('Providers'!$A$4:$A$503,200))=0,"",INDEX('Providers'!$A$4:$A$503,200))</f>
        <v/>
      </c>
      <c r="E1703">
        <f>IF(ISNUMBER(INDEX('Providers'!$M$4:$M$503,200)),TEXT(INDEX('Providers'!$M$4:$M$503,200),"yyyy-mm-dd"),"")</f>
        <v/>
      </c>
      <c r="F1703">
        <f>"Certification"</f>
        <v/>
      </c>
      <c r="G1703">
        <f>""</f>
        <v/>
      </c>
      <c r="H1703">
        <f>"Medium"</f>
        <v/>
      </c>
      <c r="I1703">
        <f>TRIM(IF(LEN(IF(LEN(INDEX('Providers'!$L$4:$L$503,200))=0,"",INDEX('Providers'!$L$4:$L$503,200)))=0,"","Board / specialty: "&amp;IF(LEN(INDEX('Providers'!$L$4:$L$503,200))=0,"",INDEX('Providers'!$L$4:$L$503,200))&amp;". "))</f>
        <v/>
      </c>
      <c r="J1703">
        <f>IF(LEN(INDEX('Providers'!$AJ$4:$AJ$503,200))=0,"",INDEX('Providers'!$AJ$4:$AJ$503,200))</f>
        <v/>
      </c>
      <c r="K1703">
        <f>IF(LEN(INDEX('Providers'!$AI$4:$AI$503,200))=0,"",INDEX('Providers'!$AI$4:$AI$503,200))</f>
        <v/>
      </c>
    </row>
    <row r="1704">
      <c r="A1704">
        <f>IF(AND(LEN('Providers'!A204)&gt;0,ISNUMBER('Providers'!M204)),1,0)</f>
        <v/>
      </c>
      <c r="B1704">
        <f>B1703+A1704</f>
        <v/>
      </c>
      <c r="C1704">
        <f>IF(1701&gt;$B$4503,"",MATCH(1701-0.5,$B$3:$B$4503,1))</f>
        <v/>
      </c>
      <c r="D1704">
        <f>"Board certification – "&amp;IF(LEN(INDEX('Providers'!$A$4:$A$503,201))=0,"",INDEX('Providers'!$A$4:$A$503,201))</f>
        <v/>
      </c>
      <c r="E1704">
        <f>IF(ISNUMBER(INDEX('Providers'!$M$4:$M$503,201)),TEXT(INDEX('Providers'!$M$4:$M$503,201),"yyyy-mm-dd"),"")</f>
        <v/>
      </c>
      <c r="F1704">
        <f>"Certification"</f>
        <v/>
      </c>
      <c r="G1704">
        <f>""</f>
        <v/>
      </c>
      <c r="H1704">
        <f>"Medium"</f>
        <v/>
      </c>
      <c r="I1704">
        <f>TRIM(IF(LEN(IF(LEN(INDEX('Providers'!$L$4:$L$503,201))=0,"",INDEX('Providers'!$L$4:$L$503,201)))=0,"","Board / specialty: "&amp;IF(LEN(INDEX('Providers'!$L$4:$L$503,201))=0,"",INDEX('Providers'!$L$4:$L$503,201))&amp;". "))</f>
        <v/>
      </c>
      <c r="J1704">
        <f>IF(LEN(INDEX('Providers'!$AJ$4:$AJ$503,201))=0,"",INDEX('Providers'!$AJ$4:$AJ$503,201))</f>
        <v/>
      </c>
      <c r="K1704">
        <f>IF(LEN(INDEX('Providers'!$AI$4:$AI$503,201))=0,"",INDEX('Providers'!$AI$4:$AI$503,201))</f>
        <v/>
      </c>
    </row>
    <row r="1705">
      <c r="A1705">
        <f>IF(AND(LEN('Providers'!A205)&gt;0,ISNUMBER('Providers'!M205)),1,0)</f>
        <v/>
      </c>
      <c r="B1705">
        <f>B1704+A1705</f>
        <v/>
      </c>
      <c r="C1705">
        <f>IF(1702&gt;$B$4503,"",MATCH(1702-0.5,$B$3:$B$4503,1))</f>
        <v/>
      </c>
      <c r="D1705">
        <f>"Board certification – "&amp;IF(LEN(INDEX('Providers'!$A$4:$A$503,202))=0,"",INDEX('Providers'!$A$4:$A$503,202))</f>
        <v/>
      </c>
      <c r="E1705">
        <f>IF(ISNUMBER(INDEX('Providers'!$M$4:$M$503,202)),TEXT(INDEX('Providers'!$M$4:$M$503,202),"yyyy-mm-dd"),"")</f>
        <v/>
      </c>
      <c r="F1705">
        <f>"Certification"</f>
        <v/>
      </c>
      <c r="G1705">
        <f>""</f>
        <v/>
      </c>
      <c r="H1705">
        <f>"Medium"</f>
        <v/>
      </c>
      <c r="I1705">
        <f>TRIM(IF(LEN(IF(LEN(INDEX('Providers'!$L$4:$L$503,202))=0,"",INDEX('Providers'!$L$4:$L$503,202)))=0,"","Board / specialty: "&amp;IF(LEN(INDEX('Providers'!$L$4:$L$503,202))=0,"",INDEX('Providers'!$L$4:$L$503,202))&amp;". "))</f>
        <v/>
      </c>
      <c r="J1705">
        <f>IF(LEN(INDEX('Providers'!$AJ$4:$AJ$503,202))=0,"",INDEX('Providers'!$AJ$4:$AJ$503,202))</f>
        <v/>
      </c>
      <c r="K1705">
        <f>IF(LEN(INDEX('Providers'!$AI$4:$AI$503,202))=0,"",INDEX('Providers'!$AI$4:$AI$503,202))</f>
        <v/>
      </c>
    </row>
    <row r="1706">
      <c r="A1706">
        <f>IF(AND(LEN('Providers'!A206)&gt;0,ISNUMBER('Providers'!M206)),1,0)</f>
        <v/>
      </c>
      <c r="B1706">
        <f>B1705+A1706</f>
        <v/>
      </c>
      <c r="C1706">
        <f>IF(1703&gt;$B$4503,"",MATCH(1703-0.5,$B$3:$B$4503,1))</f>
        <v/>
      </c>
      <c r="D1706">
        <f>"Board certification – "&amp;IF(LEN(INDEX('Providers'!$A$4:$A$503,203))=0,"",INDEX('Providers'!$A$4:$A$503,203))</f>
        <v/>
      </c>
      <c r="E1706">
        <f>IF(ISNUMBER(INDEX('Providers'!$M$4:$M$503,203)),TEXT(INDEX('Providers'!$M$4:$M$503,203),"yyyy-mm-dd"),"")</f>
        <v/>
      </c>
      <c r="F1706">
        <f>"Certification"</f>
        <v/>
      </c>
      <c r="G1706">
        <f>""</f>
        <v/>
      </c>
      <c r="H1706">
        <f>"Medium"</f>
        <v/>
      </c>
      <c r="I1706">
        <f>TRIM(IF(LEN(IF(LEN(INDEX('Providers'!$L$4:$L$503,203))=0,"",INDEX('Providers'!$L$4:$L$503,203)))=0,"","Board / specialty: "&amp;IF(LEN(INDEX('Providers'!$L$4:$L$503,203))=0,"",INDEX('Providers'!$L$4:$L$503,203))&amp;". "))</f>
        <v/>
      </c>
      <c r="J1706">
        <f>IF(LEN(INDEX('Providers'!$AJ$4:$AJ$503,203))=0,"",INDEX('Providers'!$AJ$4:$AJ$503,203))</f>
        <v/>
      </c>
      <c r="K1706">
        <f>IF(LEN(INDEX('Providers'!$AI$4:$AI$503,203))=0,"",INDEX('Providers'!$AI$4:$AI$503,203))</f>
        <v/>
      </c>
    </row>
    <row r="1707">
      <c r="A1707">
        <f>IF(AND(LEN('Providers'!A207)&gt;0,ISNUMBER('Providers'!M207)),1,0)</f>
        <v/>
      </c>
      <c r="B1707">
        <f>B1706+A1707</f>
        <v/>
      </c>
      <c r="C1707">
        <f>IF(1704&gt;$B$4503,"",MATCH(1704-0.5,$B$3:$B$4503,1))</f>
        <v/>
      </c>
      <c r="D1707">
        <f>"Board certification – "&amp;IF(LEN(INDEX('Providers'!$A$4:$A$503,204))=0,"",INDEX('Providers'!$A$4:$A$503,204))</f>
        <v/>
      </c>
      <c r="E1707">
        <f>IF(ISNUMBER(INDEX('Providers'!$M$4:$M$503,204)),TEXT(INDEX('Providers'!$M$4:$M$503,204),"yyyy-mm-dd"),"")</f>
        <v/>
      </c>
      <c r="F1707">
        <f>"Certification"</f>
        <v/>
      </c>
      <c r="G1707">
        <f>""</f>
        <v/>
      </c>
      <c r="H1707">
        <f>"Medium"</f>
        <v/>
      </c>
      <c r="I1707">
        <f>TRIM(IF(LEN(IF(LEN(INDEX('Providers'!$L$4:$L$503,204))=0,"",INDEX('Providers'!$L$4:$L$503,204)))=0,"","Board / specialty: "&amp;IF(LEN(INDEX('Providers'!$L$4:$L$503,204))=0,"",INDEX('Providers'!$L$4:$L$503,204))&amp;". "))</f>
        <v/>
      </c>
      <c r="J1707">
        <f>IF(LEN(INDEX('Providers'!$AJ$4:$AJ$503,204))=0,"",INDEX('Providers'!$AJ$4:$AJ$503,204))</f>
        <v/>
      </c>
      <c r="K1707">
        <f>IF(LEN(INDEX('Providers'!$AI$4:$AI$503,204))=0,"",INDEX('Providers'!$AI$4:$AI$503,204))</f>
        <v/>
      </c>
    </row>
    <row r="1708">
      <c r="A1708">
        <f>IF(AND(LEN('Providers'!A208)&gt;0,ISNUMBER('Providers'!M208)),1,0)</f>
        <v/>
      </c>
      <c r="B1708">
        <f>B1707+A1708</f>
        <v/>
      </c>
      <c r="C1708">
        <f>IF(1705&gt;$B$4503,"",MATCH(1705-0.5,$B$3:$B$4503,1))</f>
        <v/>
      </c>
      <c r="D1708">
        <f>"Board certification – "&amp;IF(LEN(INDEX('Providers'!$A$4:$A$503,205))=0,"",INDEX('Providers'!$A$4:$A$503,205))</f>
        <v/>
      </c>
      <c r="E1708">
        <f>IF(ISNUMBER(INDEX('Providers'!$M$4:$M$503,205)),TEXT(INDEX('Providers'!$M$4:$M$503,205),"yyyy-mm-dd"),"")</f>
        <v/>
      </c>
      <c r="F1708">
        <f>"Certification"</f>
        <v/>
      </c>
      <c r="G1708">
        <f>""</f>
        <v/>
      </c>
      <c r="H1708">
        <f>"Medium"</f>
        <v/>
      </c>
      <c r="I1708">
        <f>TRIM(IF(LEN(IF(LEN(INDEX('Providers'!$L$4:$L$503,205))=0,"",INDEX('Providers'!$L$4:$L$503,205)))=0,"","Board / specialty: "&amp;IF(LEN(INDEX('Providers'!$L$4:$L$503,205))=0,"",INDEX('Providers'!$L$4:$L$503,205))&amp;". "))</f>
        <v/>
      </c>
      <c r="J1708">
        <f>IF(LEN(INDEX('Providers'!$AJ$4:$AJ$503,205))=0,"",INDEX('Providers'!$AJ$4:$AJ$503,205))</f>
        <v/>
      </c>
      <c r="K1708">
        <f>IF(LEN(INDEX('Providers'!$AI$4:$AI$503,205))=0,"",INDEX('Providers'!$AI$4:$AI$503,205))</f>
        <v/>
      </c>
    </row>
    <row r="1709">
      <c r="A1709">
        <f>IF(AND(LEN('Providers'!A209)&gt;0,ISNUMBER('Providers'!M209)),1,0)</f>
        <v/>
      </c>
      <c r="B1709">
        <f>B1708+A1709</f>
        <v/>
      </c>
      <c r="C1709">
        <f>IF(1706&gt;$B$4503,"",MATCH(1706-0.5,$B$3:$B$4503,1))</f>
        <v/>
      </c>
      <c r="D1709">
        <f>"Board certification – "&amp;IF(LEN(INDEX('Providers'!$A$4:$A$503,206))=0,"",INDEX('Providers'!$A$4:$A$503,206))</f>
        <v/>
      </c>
      <c r="E1709">
        <f>IF(ISNUMBER(INDEX('Providers'!$M$4:$M$503,206)),TEXT(INDEX('Providers'!$M$4:$M$503,206),"yyyy-mm-dd"),"")</f>
        <v/>
      </c>
      <c r="F1709">
        <f>"Certification"</f>
        <v/>
      </c>
      <c r="G1709">
        <f>""</f>
        <v/>
      </c>
      <c r="H1709">
        <f>"Medium"</f>
        <v/>
      </c>
      <c r="I1709">
        <f>TRIM(IF(LEN(IF(LEN(INDEX('Providers'!$L$4:$L$503,206))=0,"",INDEX('Providers'!$L$4:$L$503,206)))=0,"","Board / specialty: "&amp;IF(LEN(INDEX('Providers'!$L$4:$L$503,206))=0,"",INDEX('Providers'!$L$4:$L$503,206))&amp;". "))</f>
        <v/>
      </c>
      <c r="J1709">
        <f>IF(LEN(INDEX('Providers'!$AJ$4:$AJ$503,206))=0,"",INDEX('Providers'!$AJ$4:$AJ$503,206))</f>
        <v/>
      </c>
      <c r="K1709">
        <f>IF(LEN(INDEX('Providers'!$AI$4:$AI$503,206))=0,"",INDEX('Providers'!$AI$4:$AI$503,206))</f>
        <v/>
      </c>
    </row>
    <row r="1710">
      <c r="A1710">
        <f>IF(AND(LEN('Providers'!A210)&gt;0,ISNUMBER('Providers'!M210)),1,0)</f>
        <v/>
      </c>
      <c r="B1710">
        <f>B1709+A1710</f>
        <v/>
      </c>
      <c r="C1710">
        <f>IF(1707&gt;$B$4503,"",MATCH(1707-0.5,$B$3:$B$4503,1))</f>
        <v/>
      </c>
      <c r="D1710">
        <f>"Board certification – "&amp;IF(LEN(INDEX('Providers'!$A$4:$A$503,207))=0,"",INDEX('Providers'!$A$4:$A$503,207))</f>
        <v/>
      </c>
      <c r="E1710">
        <f>IF(ISNUMBER(INDEX('Providers'!$M$4:$M$503,207)),TEXT(INDEX('Providers'!$M$4:$M$503,207),"yyyy-mm-dd"),"")</f>
        <v/>
      </c>
      <c r="F1710">
        <f>"Certification"</f>
        <v/>
      </c>
      <c r="G1710">
        <f>""</f>
        <v/>
      </c>
      <c r="H1710">
        <f>"Medium"</f>
        <v/>
      </c>
      <c r="I1710">
        <f>TRIM(IF(LEN(IF(LEN(INDEX('Providers'!$L$4:$L$503,207))=0,"",INDEX('Providers'!$L$4:$L$503,207)))=0,"","Board / specialty: "&amp;IF(LEN(INDEX('Providers'!$L$4:$L$503,207))=0,"",INDEX('Providers'!$L$4:$L$503,207))&amp;". "))</f>
        <v/>
      </c>
      <c r="J1710">
        <f>IF(LEN(INDEX('Providers'!$AJ$4:$AJ$503,207))=0,"",INDEX('Providers'!$AJ$4:$AJ$503,207))</f>
        <v/>
      </c>
      <c r="K1710">
        <f>IF(LEN(INDEX('Providers'!$AI$4:$AI$503,207))=0,"",INDEX('Providers'!$AI$4:$AI$503,207))</f>
        <v/>
      </c>
    </row>
    <row r="1711">
      <c r="A1711">
        <f>IF(AND(LEN('Providers'!A211)&gt;0,ISNUMBER('Providers'!M211)),1,0)</f>
        <v/>
      </c>
      <c r="B1711">
        <f>B1710+A1711</f>
        <v/>
      </c>
      <c r="C1711">
        <f>IF(1708&gt;$B$4503,"",MATCH(1708-0.5,$B$3:$B$4503,1))</f>
        <v/>
      </c>
      <c r="D1711">
        <f>"Board certification – "&amp;IF(LEN(INDEX('Providers'!$A$4:$A$503,208))=0,"",INDEX('Providers'!$A$4:$A$503,208))</f>
        <v/>
      </c>
      <c r="E1711">
        <f>IF(ISNUMBER(INDEX('Providers'!$M$4:$M$503,208)),TEXT(INDEX('Providers'!$M$4:$M$503,208),"yyyy-mm-dd"),"")</f>
        <v/>
      </c>
      <c r="F1711">
        <f>"Certification"</f>
        <v/>
      </c>
      <c r="G1711">
        <f>""</f>
        <v/>
      </c>
      <c r="H1711">
        <f>"Medium"</f>
        <v/>
      </c>
      <c r="I1711">
        <f>TRIM(IF(LEN(IF(LEN(INDEX('Providers'!$L$4:$L$503,208))=0,"",INDEX('Providers'!$L$4:$L$503,208)))=0,"","Board / specialty: "&amp;IF(LEN(INDEX('Providers'!$L$4:$L$503,208))=0,"",INDEX('Providers'!$L$4:$L$503,208))&amp;". "))</f>
        <v/>
      </c>
      <c r="J1711">
        <f>IF(LEN(INDEX('Providers'!$AJ$4:$AJ$503,208))=0,"",INDEX('Providers'!$AJ$4:$AJ$503,208))</f>
        <v/>
      </c>
      <c r="K1711">
        <f>IF(LEN(INDEX('Providers'!$AI$4:$AI$503,208))=0,"",INDEX('Providers'!$AI$4:$AI$503,208))</f>
        <v/>
      </c>
    </row>
    <row r="1712">
      <c r="A1712">
        <f>IF(AND(LEN('Providers'!A212)&gt;0,ISNUMBER('Providers'!M212)),1,0)</f>
        <v/>
      </c>
      <c r="B1712">
        <f>B1711+A1712</f>
        <v/>
      </c>
      <c r="C1712">
        <f>IF(1709&gt;$B$4503,"",MATCH(1709-0.5,$B$3:$B$4503,1))</f>
        <v/>
      </c>
      <c r="D1712">
        <f>"Board certification – "&amp;IF(LEN(INDEX('Providers'!$A$4:$A$503,209))=0,"",INDEX('Providers'!$A$4:$A$503,209))</f>
        <v/>
      </c>
      <c r="E1712">
        <f>IF(ISNUMBER(INDEX('Providers'!$M$4:$M$503,209)),TEXT(INDEX('Providers'!$M$4:$M$503,209),"yyyy-mm-dd"),"")</f>
        <v/>
      </c>
      <c r="F1712">
        <f>"Certification"</f>
        <v/>
      </c>
      <c r="G1712">
        <f>""</f>
        <v/>
      </c>
      <c r="H1712">
        <f>"Medium"</f>
        <v/>
      </c>
      <c r="I1712">
        <f>TRIM(IF(LEN(IF(LEN(INDEX('Providers'!$L$4:$L$503,209))=0,"",INDEX('Providers'!$L$4:$L$503,209)))=0,"","Board / specialty: "&amp;IF(LEN(INDEX('Providers'!$L$4:$L$503,209))=0,"",INDEX('Providers'!$L$4:$L$503,209))&amp;". "))</f>
        <v/>
      </c>
      <c r="J1712">
        <f>IF(LEN(INDEX('Providers'!$AJ$4:$AJ$503,209))=0,"",INDEX('Providers'!$AJ$4:$AJ$503,209))</f>
        <v/>
      </c>
      <c r="K1712">
        <f>IF(LEN(INDEX('Providers'!$AI$4:$AI$503,209))=0,"",INDEX('Providers'!$AI$4:$AI$503,209))</f>
        <v/>
      </c>
    </row>
    <row r="1713">
      <c r="A1713">
        <f>IF(AND(LEN('Providers'!A213)&gt;0,ISNUMBER('Providers'!M213)),1,0)</f>
        <v/>
      </c>
      <c r="B1713">
        <f>B1712+A1713</f>
        <v/>
      </c>
      <c r="C1713">
        <f>IF(1710&gt;$B$4503,"",MATCH(1710-0.5,$B$3:$B$4503,1))</f>
        <v/>
      </c>
      <c r="D1713">
        <f>"Board certification – "&amp;IF(LEN(INDEX('Providers'!$A$4:$A$503,210))=0,"",INDEX('Providers'!$A$4:$A$503,210))</f>
        <v/>
      </c>
      <c r="E1713">
        <f>IF(ISNUMBER(INDEX('Providers'!$M$4:$M$503,210)),TEXT(INDEX('Providers'!$M$4:$M$503,210),"yyyy-mm-dd"),"")</f>
        <v/>
      </c>
      <c r="F1713">
        <f>"Certification"</f>
        <v/>
      </c>
      <c r="G1713">
        <f>""</f>
        <v/>
      </c>
      <c r="H1713">
        <f>"Medium"</f>
        <v/>
      </c>
      <c r="I1713">
        <f>TRIM(IF(LEN(IF(LEN(INDEX('Providers'!$L$4:$L$503,210))=0,"",INDEX('Providers'!$L$4:$L$503,210)))=0,"","Board / specialty: "&amp;IF(LEN(INDEX('Providers'!$L$4:$L$503,210))=0,"",INDEX('Providers'!$L$4:$L$503,210))&amp;". "))</f>
        <v/>
      </c>
      <c r="J1713">
        <f>IF(LEN(INDEX('Providers'!$AJ$4:$AJ$503,210))=0,"",INDEX('Providers'!$AJ$4:$AJ$503,210))</f>
        <v/>
      </c>
      <c r="K1713">
        <f>IF(LEN(INDEX('Providers'!$AI$4:$AI$503,210))=0,"",INDEX('Providers'!$AI$4:$AI$503,210))</f>
        <v/>
      </c>
    </row>
    <row r="1714">
      <c r="A1714">
        <f>IF(AND(LEN('Providers'!A214)&gt;0,ISNUMBER('Providers'!M214)),1,0)</f>
        <v/>
      </c>
      <c r="B1714">
        <f>B1713+A1714</f>
        <v/>
      </c>
      <c r="C1714">
        <f>IF(1711&gt;$B$4503,"",MATCH(1711-0.5,$B$3:$B$4503,1))</f>
        <v/>
      </c>
      <c r="D1714">
        <f>"Board certification – "&amp;IF(LEN(INDEX('Providers'!$A$4:$A$503,211))=0,"",INDEX('Providers'!$A$4:$A$503,211))</f>
        <v/>
      </c>
      <c r="E1714">
        <f>IF(ISNUMBER(INDEX('Providers'!$M$4:$M$503,211)),TEXT(INDEX('Providers'!$M$4:$M$503,211),"yyyy-mm-dd"),"")</f>
        <v/>
      </c>
      <c r="F1714">
        <f>"Certification"</f>
        <v/>
      </c>
      <c r="G1714">
        <f>""</f>
        <v/>
      </c>
      <c r="H1714">
        <f>"Medium"</f>
        <v/>
      </c>
      <c r="I1714">
        <f>TRIM(IF(LEN(IF(LEN(INDEX('Providers'!$L$4:$L$503,211))=0,"",INDEX('Providers'!$L$4:$L$503,211)))=0,"","Board / specialty: "&amp;IF(LEN(INDEX('Providers'!$L$4:$L$503,211))=0,"",INDEX('Providers'!$L$4:$L$503,211))&amp;". "))</f>
        <v/>
      </c>
      <c r="J1714">
        <f>IF(LEN(INDEX('Providers'!$AJ$4:$AJ$503,211))=0,"",INDEX('Providers'!$AJ$4:$AJ$503,211))</f>
        <v/>
      </c>
      <c r="K1714">
        <f>IF(LEN(INDEX('Providers'!$AI$4:$AI$503,211))=0,"",INDEX('Providers'!$AI$4:$AI$503,211))</f>
        <v/>
      </c>
    </row>
    <row r="1715">
      <c r="A1715">
        <f>IF(AND(LEN('Providers'!A215)&gt;0,ISNUMBER('Providers'!M215)),1,0)</f>
        <v/>
      </c>
      <c r="B1715">
        <f>B1714+A1715</f>
        <v/>
      </c>
      <c r="C1715">
        <f>IF(1712&gt;$B$4503,"",MATCH(1712-0.5,$B$3:$B$4503,1))</f>
        <v/>
      </c>
      <c r="D1715">
        <f>"Board certification – "&amp;IF(LEN(INDEX('Providers'!$A$4:$A$503,212))=0,"",INDEX('Providers'!$A$4:$A$503,212))</f>
        <v/>
      </c>
      <c r="E1715">
        <f>IF(ISNUMBER(INDEX('Providers'!$M$4:$M$503,212)),TEXT(INDEX('Providers'!$M$4:$M$503,212),"yyyy-mm-dd"),"")</f>
        <v/>
      </c>
      <c r="F1715">
        <f>"Certification"</f>
        <v/>
      </c>
      <c r="G1715">
        <f>""</f>
        <v/>
      </c>
      <c r="H1715">
        <f>"Medium"</f>
        <v/>
      </c>
      <c r="I1715">
        <f>TRIM(IF(LEN(IF(LEN(INDEX('Providers'!$L$4:$L$503,212))=0,"",INDEX('Providers'!$L$4:$L$503,212)))=0,"","Board / specialty: "&amp;IF(LEN(INDEX('Providers'!$L$4:$L$503,212))=0,"",INDEX('Providers'!$L$4:$L$503,212))&amp;". "))</f>
        <v/>
      </c>
      <c r="J1715">
        <f>IF(LEN(INDEX('Providers'!$AJ$4:$AJ$503,212))=0,"",INDEX('Providers'!$AJ$4:$AJ$503,212))</f>
        <v/>
      </c>
      <c r="K1715">
        <f>IF(LEN(INDEX('Providers'!$AI$4:$AI$503,212))=0,"",INDEX('Providers'!$AI$4:$AI$503,212))</f>
        <v/>
      </c>
    </row>
    <row r="1716">
      <c r="A1716">
        <f>IF(AND(LEN('Providers'!A216)&gt;0,ISNUMBER('Providers'!M216)),1,0)</f>
        <v/>
      </c>
      <c r="B1716">
        <f>B1715+A1716</f>
        <v/>
      </c>
      <c r="C1716">
        <f>IF(1713&gt;$B$4503,"",MATCH(1713-0.5,$B$3:$B$4503,1))</f>
        <v/>
      </c>
      <c r="D1716">
        <f>"Board certification – "&amp;IF(LEN(INDEX('Providers'!$A$4:$A$503,213))=0,"",INDEX('Providers'!$A$4:$A$503,213))</f>
        <v/>
      </c>
      <c r="E1716">
        <f>IF(ISNUMBER(INDEX('Providers'!$M$4:$M$503,213)),TEXT(INDEX('Providers'!$M$4:$M$503,213),"yyyy-mm-dd"),"")</f>
        <v/>
      </c>
      <c r="F1716">
        <f>"Certification"</f>
        <v/>
      </c>
      <c r="G1716">
        <f>""</f>
        <v/>
      </c>
      <c r="H1716">
        <f>"Medium"</f>
        <v/>
      </c>
      <c r="I1716">
        <f>TRIM(IF(LEN(IF(LEN(INDEX('Providers'!$L$4:$L$503,213))=0,"",INDEX('Providers'!$L$4:$L$503,213)))=0,"","Board / specialty: "&amp;IF(LEN(INDEX('Providers'!$L$4:$L$503,213))=0,"",INDEX('Providers'!$L$4:$L$503,213))&amp;". "))</f>
        <v/>
      </c>
      <c r="J1716">
        <f>IF(LEN(INDEX('Providers'!$AJ$4:$AJ$503,213))=0,"",INDEX('Providers'!$AJ$4:$AJ$503,213))</f>
        <v/>
      </c>
      <c r="K1716">
        <f>IF(LEN(INDEX('Providers'!$AI$4:$AI$503,213))=0,"",INDEX('Providers'!$AI$4:$AI$503,213))</f>
        <v/>
      </c>
    </row>
    <row r="1717">
      <c r="A1717">
        <f>IF(AND(LEN('Providers'!A217)&gt;0,ISNUMBER('Providers'!M217)),1,0)</f>
        <v/>
      </c>
      <c r="B1717">
        <f>B1716+A1717</f>
        <v/>
      </c>
      <c r="C1717">
        <f>IF(1714&gt;$B$4503,"",MATCH(1714-0.5,$B$3:$B$4503,1))</f>
        <v/>
      </c>
      <c r="D1717">
        <f>"Board certification – "&amp;IF(LEN(INDEX('Providers'!$A$4:$A$503,214))=0,"",INDEX('Providers'!$A$4:$A$503,214))</f>
        <v/>
      </c>
      <c r="E1717">
        <f>IF(ISNUMBER(INDEX('Providers'!$M$4:$M$503,214)),TEXT(INDEX('Providers'!$M$4:$M$503,214),"yyyy-mm-dd"),"")</f>
        <v/>
      </c>
      <c r="F1717">
        <f>"Certification"</f>
        <v/>
      </c>
      <c r="G1717">
        <f>""</f>
        <v/>
      </c>
      <c r="H1717">
        <f>"Medium"</f>
        <v/>
      </c>
      <c r="I1717">
        <f>TRIM(IF(LEN(IF(LEN(INDEX('Providers'!$L$4:$L$503,214))=0,"",INDEX('Providers'!$L$4:$L$503,214)))=0,"","Board / specialty: "&amp;IF(LEN(INDEX('Providers'!$L$4:$L$503,214))=0,"",INDEX('Providers'!$L$4:$L$503,214))&amp;". "))</f>
        <v/>
      </c>
      <c r="J1717">
        <f>IF(LEN(INDEX('Providers'!$AJ$4:$AJ$503,214))=0,"",INDEX('Providers'!$AJ$4:$AJ$503,214))</f>
        <v/>
      </c>
      <c r="K1717">
        <f>IF(LEN(INDEX('Providers'!$AI$4:$AI$503,214))=0,"",INDEX('Providers'!$AI$4:$AI$503,214))</f>
        <v/>
      </c>
    </row>
    <row r="1718">
      <c r="A1718">
        <f>IF(AND(LEN('Providers'!A218)&gt;0,ISNUMBER('Providers'!M218)),1,0)</f>
        <v/>
      </c>
      <c r="B1718">
        <f>B1717+A1718</f>
        <v/>
      </c>
      <c r="C1718">
        <f>IF(1715&gt;$B$4503,"",MATCH(1715-0.5,$B$3:$B$4503,1))</f>
        <v/>
      </c>
      <c r="D1718">
        <f>"Board certification – "&amp;IF(LEN(INDEX('Providers'!$A$4:$A$503,215))=0,"",INDEX('Providers'!$A$4:$A$503,215))</f>
        <v/>
      </c>
      <c r="E1718">
        <f>IF(ISNUMBER(INDEX('Providers'!$M$4:$M$503,215)),TEXT(INDEX('Providers'!$M$4:$M$503,215),"yyyy-mm-dd"),"")</f>
        <v/>
      </c>
      <c r="F1718">
        <f>"Certification"</f>
        <v/>
      </c>
      <c r="G1718">
        <f>""</f>
        <v/>
      </c>
      <c r="H1718">
        <f>"Medium"</f>
        <v/>
      </c>
      <c r="I1718">
        <f>TRIM(IF(LEN(IF(LEN(INDEX('Providers'!$L$4:$L$503,215))=0,"",INDEX('Providers'!$L$4:$L$503,215)))=0,"","Board / specialty: "&amp;IF(LEN(INDEX('Providers'!$L$4:$L$503,215))=0,"",INDEX('Providers'!$L$4:$L$503,215))&amp;". "))</f>
        <v/>
      </c>
      <c r="J1718">
        <f>IF(LEN(INDEX('Providers'!$AJ$4:$AJ$503,215))=0,"",INDEX('Providers'!$AJ$4:$AJ$503,215))</f>
        <v/>
      </c>
      <c r="K1718">
        <f>IF(LEN(INDEX('Providers'!$AI$4:$AI$503,215))=0,"",INDEX('Providers'!$AI$4:$AI$503,215))</f>
        <v/>
      </c>
    </row>
    <row r="1719">
      <c r="A1719">
        <f>IF(AND(LEN('Providers'!A219)&gt;0,ISNUMBER('Providers'!M219)),1,0)</f>
        <v/>
      </c>
      <c r="B1719">
        <f>B1718+A1719</f>
        <v/>
      </c>
      <c r="C1719">
        <f>IF(1716&gt;$B$4503,"",MATCH(1716-0.5,$B$3:$B$4503,1))</f>
        <v/>
      </c>
      <c r="D1719">
        <f>"Board certification – "&amp;IF(LEN(INDEX('Providers'!$A$4:$A$503,216))=0,"",INDEX('Providers'!$A$4:$A$503,216))</f>
        <v/>
      </c>
      <c r="E1719">
        <f>IF(ISNUMBER(INDEX('Providers'!$M$4:$M$503,216)),TEXT(INDEX('Providers'!$M$4:$M$503,216),"yyyy-mm-dd"),"")</f>
        <v/>
      </c>
      <c r="F1719">
        <f>"Certification"</f>
        <v/>
      </c>
      <c r="G1719">
        <f>""</f>
        <v/>
      </c>
      <c r="H1719">
        <f>"Medium"</f>
        <v/>
      </c>
      <c r="I1719">
        <f>TRIM(IF(LEN(IF(LEN(INDEX('Providers'!$L$4:$L$503,216))=0,"",INDEX('Providers'!$L$4:$L$503,216)))=0,"","Board / specialty: "&amp;IF(LEN(INDEX('Providers'!$L$4:$L$503,216))=0,"",INDEX('Providers'!$L$4:$L$503,216))&amp;". "))</f>
        <v/>
      </c>
      <c r="J1719">
        <f>IF(LEN(INDEX('Providers'!$AJ$4:$AJ$503,216))=0,"",INDEX('Providers'!$AJ$4:$AJ$503,216))</f>
        <v/>
      </c>
      <c r="K1719">
        <f>IF(LEN(INDEX('Providers'!$AI$4:$AI$503,216))=0,"",INDEX('Providers'!$AI$4:$AI$503,216))</f>
        <v/>
      </c>
    </row>
    <row r="1720">
      <c r="A1720">
        <f>IF(AND(LEN('Providers'!A220)&gt;0,ISNUMBER('Providers'!M220)),1,0)</f>
        <v/>
      </c>
      <c r="B1720">
        <f>B1719+A1720</f>
        <v/>
      </c>
      <c r="C1720">
        <f>IF(1717&gt;$B$4503,"",MATCH(1717-0.5,$B$3:$B$4503,1))</f>
        <v/>
      </c>
      <c r="D1720">
        <f>"Board certification – "&amp;IF(LEN(INDEX('Providers'!$A$4:$A$503,217))=0,"",INDEX('Providers'!$A$4:$A$503,217))</f>
        <v/>
      </c>
      <c r="E1720">
        <f>IF(ISNUMBER(INDEX('Providers'!$M$4:$M$503,217)),TEXT(INDEX('Providers'!$M$4:$M$503,217),"yyyy-mm-dd"),"")</f>
        <v/>
      </c>
      <c r="F1720">
        <f>"Certification"</f>
        <v/>
      </c>
      <c r="G1720">
        <f>""</f>
        <v/>
      </c>
      <c r="H1720">
        <f>"Medium"</f>
        <v/>
      </c>
      <c r="I1720">
        <f>TRIM(IF(LEN(IF(LEN(INDEX('Providers'!$L$4:$L$503,217))=0,"",INDEX('Providers'!$L$4:$L$503,217)))=0,"","Board / specialty: "&amp;IF(LEN(INDEX('Providers'!$L$4:$L$503,217))=0,"",INDEX('Providers'!$L$4:$L$503,217))&amp;". "))</f>
        <v/>
      </c>
      <c r="J1720">
        <f>IF(LEN(INDEX('Providers'!$AJ$4:$AJ$503,217))=0,"",INDEX('Providers'!$AJ$4:$AJ$503,217))</f>
        <v/>
      </c>
      <c r="K1720">
        <f>IF(LEN(INDEX('Providers'!$AI$4:$AI$503,217))=0,"",INDEX('Providers'!$AI$4:$AI$503,217))</f>
        <v/>
      </c>
    </row>
    <row r="1721">
      <c r="A1721">
        <f>IF(AND(LEN('Providers'!A221)&gt;0,ISNUMBER('Providers'!M221)),1,0)</f>
        <v/>
      </c>
      <c r="B1721">
        <f>B1720+A1721</f>
        <v/>
      </c>
      <c r="C1721">
        <f>IF(1718&gt;$B$4503,"",MATCH(1718-0.5,$B$3:$B$4503,1))</f>
        <v/>
      </c>
      <c r="D1721">
        <f>"Board certification – "&amp;IF(LEN(INDEX('Providers'!$A$4:$A$503,218))=0,"",INDEX('Providers'!$A$4:$A$503,218))</f>
        <v/>
      </c>
      <c r="E1721">
        <f>IF(ISNUMBER(INDEX('Providers'!$M$4:$M$503,218)),TEXT(INDEX('Providers'!$M$4:$M$503,218),"yyyy-mm-dd"),"")</f>
        <v/>
      </c>
      <c r="F1721">
        <f>"Certification"</f>
        <v/>
      </c>
      <c r="G1721">
        <f>""</f>
        <v/>
      </c>
      <c r="H1721">
        <f>"Medium"</f>
        <v/>
      </c>
      <c r="I1721">
        <f>TRIM(IF(LEN(IF(LEN(INDEX('Providers'!$L$4:$L$503,218))=0,"",INDEX('Providers'!$L$4:$L$503,218)))=0,"","Board / specialty: "&amp;IF(LEN(INDEX('Providers'!$L$4:$L$503,218))=0,"",INDEX('Providers'!$L$4:$L$503,218))&amp;". "))</f>
        <v/>
      </c>
      <c r="J1721">
        <f>IF(LEN(INDEX('Providers'!$AJ$4:$AJ$503,218))=0,"",INDEX('Providers'!$AJ$4:$AJ$503,218))</f>
        <v/>
      </c>
      <c r="K1721">
        <f>IF(LEN(INDEX('Providers'!$AI$4:$AI$503,218))=0,"",INDEX('Providers'!$AI$4:$AI$503,218))</f>
        <v/>
      </c>
    </row>
    <row r="1722">
      <c r="A1722">
        <f>IF(AND(LEN('Providers'!A222)&gt;0,ISNUMBER('Providers'!M222)),1,0)</f>
        <v/>
      </c>
      <c r="B1722">
        <f>B1721+A1722</f>
        <v/>
      </c>
      <c r="C1722">
        <f>IF(1719&gt;$B$4503,"",MATCH(1719-0.5,$B$3:$B$4503,1))</f>
        <v/>
      </c>
      <c r="D1722">
        <f>"Board certification – "&amp;IF(LEN(INDEX('Providers'!$A$4:$A$503,219))=0,"",INDEX('Providers'!$A$4:$A$503,219))</f>
        <v/>
      </c>
      <c r="E1722">
        <f>IF(ISNUMBER(INDEX('Providers'!$M$4:$M$503,219)),TEXT(INDEX('Providers'!$M$4:$M$503,219),"yyyy-mm-dd"),"")</f>
        <v/>
      </c>
      <c r="F1722">
        <f>"Certification"</f>
        <v/>
      </c>
      <c r="G1722">
        <f>""</f>
        <v/>
      </c>
      <c r="H1722">
        <f>"Medium"</f>
        <v/>
      </c>
      <c r="I1722">
        <f>TRIM(IF(LEN(IF(LEN(INDEX('Providers'!$L$4:$L$503,219))=0,"",INDEX('Providers'!$L$4:$L$503,219)))=0,"","Board / specialty: "&amp;IF(LEN(INDEX('Providers'!$L$4:$L$503,219))=0,"",INDEX('Providers'!$L$4:$L$503,219))&amp;". "))</f>
        <v/>
      </c>
      <c r="J1722">
        <f>IF(LEN(INDEX('Providers'!$AJ$4:$AJ$503,219))=0,"",INDEX('Providers'!$AJ$4:$AJ$503,219))</f>
        <v/>
      </c>
      <c r="K1722">
        <f>IF(LEN(INDEX('Providers'!$AI$4:$AI$503,219))=0,"",INDEX('Providers'!$AI$4:$AI$503,219))</f>
        <v/>
      </c>
    </row>
    <row r="1723">
      <c r="A1723">
        <f>IF(AND(LEN('Providers'!A223)&gt;0,ISNUMBER('Providers'!M223)),1,0)</f>
        <v/>
      </c>
      <c r="B1723">
        <f>B1722+A1723</f>
        <v/>
      </c>
      <c r="C1723">
        <f>IF(1720&gt;$B$4503,"",MATCH(1720-0.5,$B$3:$B$4503,1))</f>
        <v/>
      </c>
      <c r="D1723">
        <f>"Board certification – "&amp;IF(LEN(INDEX('Providers'!$A$4:$A$503,220))=0,"",INDEX('Providers'!$A$4:$A$503,220))</f>
        <v/>
      </c>
      <c r="E1723">
        <f>IF(ISNUMBER(INDEX('Providers'!$M$4:$M$503,220)),TEXT(INDEX('Providers'!$M$4:$M$503,220),"yyyy-mm-dd"),"")</f>
        <v/>
      </c>
      <c r="F1723">
        <f>"Certification"</f>
        <v/>
      </c>
      <c r="G1723">
        <f>""</f>
        <v/>
      </c>
      <c r="H1723">
        <f>"Medium"</f>
        <v/>
      </c>
      <c r="I1723">
        <f>TRIM(IF(LEN(IF(LEN(INDEX('Providers'!$L$4:$L$503,220))=0,"",INDEX('Providers'!$L$4:$L$503,220)))=0,"","Board / specialty: "&amp;IF(LEN(INDEX('Providers'!$L$4:$L$503,220))=0,"",INDEX('Providers'!$L$4:$L$503,220))&amp;". "))</f>
        <v/>
      </c>
      <c r="J1723">
        <f>IF(LEN(INDEX('Providers'!$AJ$4:$AJ$503,220))=0,"",INDEX('Providers'!$AJ$4:$AJ$503,220))</f>
        <v/>
      </c>
      <c r="K1723">
        <f>IF(LEN(INDEX('Providers'!$AI$4:$AI$503,220))=0,"",INDEX('Providers'!$AI$4:$AI$503,220))</f>
        <v/>
      </c>
    </row>
    <row r="1724">
      <c r="A1724">
        <f>IF(AND(LEN('Providers'!A224)&gt;0,ISNUMBER('Providers'!M224)),1,0)</f>
        <v/>
      </c>
      <c r="B1724">
        <f>B1723+A1724</f>
        <v/>
      </c>
      <c r="C1724">
        <f>IF(1721&gt;$B$4503,"",MATCH(1721-0.5,$B$3:$B$4503,1))</f>
        <v/>
      </c>
      <c r="D1724">
        <f>"Board certification – "&amp;IF(LEN(INDEX('Providers'!$A$4:$A$503,221))=0,"",INDEX('Providers'!$A$4:$A$503,221))</f>
        <v/>
      </c>
      <c r="E1724">
        <f>IF(ISNUMBER(INDEX('Providers'!$M$4:$M$503,221)),TEXT(INDEX('Providers'!$M$4:$M$503,221),"yyyy-mm-dd"),"")</f>
        <v/>
      </c>
      <c r="F1724">
        <f>"Certification"</f>
        <v/>
      </c>
      <c r="G1724">
        <f>""</f>
        <v/>
      </c>
      <c r="H1724">
        <f>"Medium"</f>
        <v/>
      </c>
      <c r="I1724">
        <f>TRIM(IF(LEN(IF(LEN(INDEX('Providers'!$L$4:$L$503,221))=0,"",INDEX('Providers'!$L$4:$L$503,221)))=0,"","Board / specialty: "&amp;IF(LEN(INDEX('Providers'!$L$4:$L$503,221))=0,"",INDEX('Providers'!$L$4:$L$503,221))&amp;". "))</f>
        <v/>
      </c>
      <c r="J1724">
        <f>IF(LEN(INDEX('Providers'!$AJ$4:$AJ$503,221))=0,"",INDEX('Providers'!$AJ$4:$AJ$503,221))</f>
        <v/>
      </c>
      <c r="K1724">
        <f>IF(LEN(INDEX('Providers'!$AI$4:$AI$503,221))=0,"",INDEX('Providers'!$AI$4:$AI$503,221))</f>
        <v/>
      </c>
    </row>
    <row r="1725">
      <c r="A1725">
        <f>IF(AND(LEN('Providers'!A225)&gt;0,ISNUMBER('Providers'!M225)),1,0)</f>
        <v/>
      </c>
      <c r="B1725">
        <f>B1724+A1725</f>
        <v/>
      </c>
      <c r="C1725">
        <f>IF(1722&gt;$B$4503,"",MATCH(1722-0.5,$B$3:$B$4503,1))</f>
        <v/>
      </c>
      <c r="D1725">
        <f>"Board certification – "&amp;IF(LEN(INDEX('Providers'!$A$4:$A$503,222))=0,"",INDEX('Providers'!$A$4:$A$503,222))</f>
        <v/>
      </c>
      <c r="E1725">
        <f>IF(ISNUMBER(INDEX('Providers'!$M$4:$M$503,222)),TEXT(INDEX('Providers'!$M$4:$M$503,222),"yyyy-mm-dd"),"")</f>
        <v/>
      </c>
      <c r="F1725">
        <f>"Certification"</f>
        <v/>
      </c>
      <c r="G1725">
        <f>""</f>
        <v/>
      </c>
      <c r="H1725">
        <f>"Medium"</f>
        <v/>
      </c>
      <c r="I1725">
        <f>TRIM(IF(LEN(IF(LEN(INDEX('Providers'!$L$4:$L$503,222))=0,"",INDEX('Providers'!$L$4:$L$503,222)))=0,"","Board / specialty: "&amp;IF(LEN(INDEX('Providers'!$L$4:$L$503,222))=0,"",INDEX('Providers'!$L$4:$L$503,222))&amp;". "))</f>
        <v/>
      </c>
      <c r="J1725">
        <f>IF(LEN(INDEX('Providers'!$AJ$4:$AJ$503,222))=0,"",INDEX('Providers'!$AJ$4:$AJ$503,222))</f>
        <v/>
      </c>
      <c r="K1725">
        <f>IF(LEN(INDEX('Providers'!$AI$4:$AI$503,222))=0,"",INDEX('Providers'!$AI$4:$AI$503,222))</f>
        <v/>
      </c>
    </row>
    <row r="1726">
      <c r="A1726">
        <f>IF(AND(LEN('Providers'!A226)&gt;0,ISNUMBER('Providers'!M226)),1,0)</f>
        <v/>
      </c>
      <c r="B1726">
        <f>B1725+A1726</f>
        <v/>
      </c>
      <c r="C1726">
        <f>IF(1723&gt;$B$4503,"",MATCH(1723-0.5,$B$3:$B$4503,1))</f>
        <v/>
      </c>
      <c r="D1726">
        <f>"Board certification – "&amp;IF(LEN(INDEX('Providers'!$A$4:$A$503,223))=0,"",INDEX('Providers'!$A$4:$A$503,223))</f>
        <v/>
      </c>
      <c r="E1726">
        <f>IF(ISNUMBER(INDEX('Providers'!$M$4:$M$503,223)),TEXT(INDEX('Providers'!$M$4:$M$503,223),"yyyy-mm-dd"),"")</f>
        <v/>
      </c>
      <c r="F1726">
        <f>"Certification"</f>
        <v/>
      </c>
      <c r="G1726">
        <f>""</f>
        <v/>
      </c>
      <c r="H1726">
        <f>"Medium"</f>
        <v/>
      </c>
      <c r="I1726">
        <f>TRIM(IF(LEN(IF(LEN(INDEX('Providers'!$L$4:$L$503,223))=0,"",INDEX('Providers'!$L$4:$L$503,223)))=0,"","Board / specialty: "&amp;IF(LEN(INDEX('Providers'!$L$4:$L$503,223))=0,"",INDEX('Providers'!$L$4:$L$503,223))&amp;". "))</f>
        <v/>
      </c>
      <c r="J1726">
        <f>IF(LEN(INDEX('Providers'!$AJ$4:$AJ$503,223))=0,"",INDEX('Providers'!$AJ$4:$AJ$503,223))</f>
        <v/>
      </c>
      <c r="K1726">
        <f>IF(LEN(INDEX('Providers'!$AI$4:$AI$503,223))=0,"",INDEX('Providers'!$AI$4:$AI$503,223))</f>
        <v/>
      </c>
    </row>
    <row r="1727">
      <c r="A1727">
        <f>IF(AND(LEN('Providers'!A227)&gt;0,ISNUMBER('Providers'!M227)),1,0)</f>
        <v/>
      </c>
      <c r="B1727">
        <f>B1726+A1727</f>
        <v/>
      </c>
      <c r="C1727">
        <f>IF(1724&gt;$B$4503,"",MATCH(1724-0.5,$B$3:$B$4503,1))</f>
        <v/>
      </c>
      <c r="D1727">
        <f>"Board certification – "&amp;IF(LEN(INDEX('Providers'!$A$4:$A$503,224))=0,"",INDEX('Providers'!$A$4:$A$503,224))</f>
        <v/>
      </c>
      <c r="E1727">
        <f>IF(ISNUMBER(INDEX('Providers'!$M$4:$M$503,224)),TEXT(INDEX('Providers'!$M$4:$M$503,224),"yyyy-mm-dd"),"")</f>
        <v/>
      </c>
      <c r="F1727">
        <f>"Certification"</f>
        <v/>
      </c>
      <c r="G1727">
        <f>""</f>
        <v/>
      </c>
      <c r="H1727">
        <f>"Medium"</f>
        <v/>
      </c>
      <c r="I1727">
        <f>TRIM(IF(LEN(IF(LEN(INDEX('Providers'!$L$4:$L$503,224))=0,"",INDEX('Providers'!$L$4:$L$503,224)))=0,"","Board / specialty: "&amp;IF(LEN(INDEX('Providers'!$L$4:$L$503,224))=0,"",INDEX('Providers'!$L$4:$L$503,224))&amp;". "))</f>
        <v/>
      </c>
      <c r="J1727">
        <f>IF(LEN(INDEX('Providers'!$AJ$4:$AJ$503,224))=0,"",INDEX('Providers'!$AJ$4:$AJ$503,224))</f>
        <v/>
      </c>
      <c r="K1727">
        <f>IF(LEN(INDEX('Providers'!$AI$4:$AI$503,224))=0,"",INDEX('Providers'!$AI$4:$AI$503,224))</f>
        <v/>
      </c>
    </row>
    <row r="1728">
      <c r="A1728">
        <f>IF(AND(LEN('Providers'!A228)&gt;0,ISNUMBER('Providers'!M228)),1,0)</f>
        <v/>
      </c>
      <c r="B1728">
        <f>B1727+A1728</f>
        <v/>
      </c>
      <c r="C1728">
        <f>IF(1725&gt;$B$4503,"",MATCH(1725-0.5,$B$3:$B$4503,1))</f>
        <v/>
      </c>
      <c r="D1728">
        <f>"Board certification – "&amp;IF(LEN(INDEX('Providers'!$A$4:$A$503,225))=0,"",INDEX('Providers'!$A$4:$A$503,225))</f>
        <v/>
      </c>
      <c r="E1728">
        <f>IF(ISNUMBER(INDEX('Providers'!$M$4:$M$503,225)),TEXT(INDEX('Providers'!$M$4:$M$503,225),"yyyy-mm-dd"),"")</f>
        <v/>
      </c>
      <c r="F1728">
        <f>"Certification"</f>
        <v/>
      </c>
      <c r="G1728">
        <f>""</f>
        <v/>
      </c>
      <c r="H1728">
        <f>"Medium"</f>
        <v/>
      </c>
      <c r="I1728">
        <f>TRIM(IF(LEN(IF(LEN(INDEX('Providers'!$L$4:$L$503,225))=0,"",INDEX('Providers'!$L$4:$L$503,225)))=0,"","Board / specialty: "&amp;IF(LEN(INDEX('Providers'!$L$4:$L$503,225))=0,"",INDEX('Providers'!$L$4:$L$503,225))&amp;". "))</f>
        <v/>
      </c>
      <c r="J1728">
        <f>IF(LEN(INDEX('Providers'!$AJ$4:$AJ$503,225))=0,"",INDEX('Providers'!$AJ$4:$AJ$503,225))</f>
        <v/>
      </c>
      <c r="K1728">
        <f>IF(LEN(INDEX('Providers'!$AI$4:$AI$503,225))=0,"",INDEX('Providers'!$AI$4:$AI$503,225))</f>
        <v/>
      </c>
    </row>
    <row r="1729">
      <c r="A1729">
        <f>IF(AND(LEN('Providers'!A229)&gt;0,ISNUMBER('Providers'!M229)),1,0)</f>
        <v/>
      </c>
      <c r="B1729">
        <f>B1728+A1729</f>
        <v/>
      </c>
      <c r="C1729">
        <f>IF(1726&gt;$B$4503,"",MATCH(1726-0.5,$B$3:$B$4503,1))</f>
        <v/>
      </c>
      <c r="D1729">
        <f>"Board certification – "&amp;IF(LEN(INDEX('Providers'!$A$4:$A$503,226))=0,"",INDEX('Providers'!$A$4:$A$503,226))</f>
        <v/>
      </c>
      <c r="E1729">
        <f>IF(ISNUMBER(INDEX('Providers'!$M$4:$M$503,226)),TEXT(INDEX('Providers'!$M$4:$M$503,226),"yyyy-mm-dd"),"")</f>
        <v/>
      </c>
      <c r="F1729">
        <f>"Certification"</f>
        <v/>
      </c>
      <c r="G1729">
        <f>""</f>
        <v/>
      </c>
      <c r="H1729">
        <f>"Medium"</f>
        <v/>
      </c>
      <c r="I1729">
        <f>TRIM(IF(LEN(IF(LEN(INDEX('Providers'!$L$4:$L$503,226))=0,"",INDEX('Providers'!$L$4:$L$503,226)))=0,"","Board / specialty: "&amp;IF(LEN(INDEX('Providers'!$L$4:$L$503,226))=0,"",INDEX('Providers'!$L$4:$L$503,226))&amp;". "))</f>
        <v/>
      </c>
      <c r="J1729">
        <f>IF(LEN(INDEX('Providers'!$AJ$4:$AJ$503,226))=0,"",INDEX('Providers'!$AJ$4:$AJ$503,226))</f>
        <v/>
      </c>
      <c r="K1729">
        <f>IF(LEN(INDEX('Providers'!$AI$4:$AI$503,226))=0,"",INDEX('Providers'!$AI$4:$AI$503,226))</f>
        <v/>
      </c>
    </row>
    <row r="1730">
      <c r="A1730">
        <f>IF(AND(LEN('Providers'!A230)&gt;0,ISNUMBER('Providers'!M230)),1,0)</f>
        <v/>
      </c>
      <c r="B1730">
        <f>B1729+A1730</f>
        <v/>
      </c>
      <c r="C1730">
        <f>IF(1727&gt;$B$4503,"",MATCH(1727-0.5,$B$3:$B$4503,1))</f>
        <v/>
      </c>
      <c r="D1730">
        <f>"Board certification – "&amp;IF(LEN(INDEX('Providers'!$A$4:$A$503,227))=0,"",INDEX('Providers'!$A$4:$A$503,227))</f>
        <v/>
      </c>
      <c r="E1730">
        <f>IF(ISNUMBER(INDEX('Providers'!$M$4:$M$503,227)),TEXT(INDEX('Providers'!$M$4:$M$503,227),"yyyy-mm-dd"),"")</f>
        <v/>
      </c>
      <c r="F1730">
        <f>"Certification"</f>
        <v/>
      </c>
      <c r="G1730">
        <f>""</f>
        <v/>
      </c>
      <c r="H1730">
        <f>"Medium"</f>
        <v/>
      </c>
      <c r="I1730">
        <f>TRIM(IF(LEN(IF(LEN(INDEX('Providers'!$L$4:$L$503,227))=0,"",INDEX('Providers'!$L$4:$L$503,227)))=0,"","Board / specialty: "&amp;IF(LEN(INDEX('Providers'!$L$4:$L$503,227))=0,"",INDEX('Providers'!$L$4:$L$503,227))&amp;". "))</f>
        <v/>
      </c>
      <c r="J1730">
        <f>IF(LEN(INDEX('Providers'!$AJ$4:$AJ$503,227))=0,"",INDEX('Providers'!$AJ$4:$AJ$503,227))</f>
        <v/>
      </c>
      <c r="K1730">
        <f>IF(LEN(INDEX('Providers'!$AI$4:$AI$503,227))=0,"",INDEX('Providers'!$AI$4:$AI$503,227))</f>
        <v/>
      </c>
    </row>
    <row r="1731">
      <c r="A1731">
        <f>IF(AND(LEN('Providers'!A231)&gt;0,ISNUMBER('Providers'!M231)),1,0)</f>
        <v/>
      </c>
      <c r="B1731">
        <f>B1730+A1731</f>
        <v/>
      </c>
      <c r="C1731">
        <f>IF(1728&gt;$B$4503,"",MATCH(1728-0.5,$B$3:$B$4503,1))</f>
        <v/>
      </c>
      <c r="D1731">
        <f>"Board certification – "&amp;IF(LEN(INDEX('Providers'!$A$4:$A$503,228))=0,"",INDEX('Providers'!$A$4:$A$503,228))</f>
        <v/>
      </c>
      <c r="E1731">
        <f>IF(ISNUMBER(INDEX('Providers'!$M$4:$M$503,228)),TEXT(INDEX('Providers'!$M$4:$M$503,228),"yyyy-mm-dd"),"")</f>
        <v/>
      </c>
      <c r="F1731">
        <f>"Certification"</f>
        <v/>
      </c>
      <c r="G1731">
        <f>""</f>
        <v/>
      </c>
      <c r="H1731">
        <f>"Medium"</f>
        <v/>
      </c>
      <c r="I1731">
        <f>TRIM(IF(LEN(IF(LEN(INDEX('Providers'!$L$4:$L$503,228))=0,"",INDEX('Providers'!$L$4:$L$503,228)))=0,"","Board / specialty: "&amp;IF(LEN(INDEX('Providers'!$L$4:$L$503,228))=0,"",INDEX('Providers'!$L$4:$L$503,228))&amp;". "))</f>
        <v/>
      </c>
      <c r="J1731">
        <f>IF(LEN(INDEX('Providers'!$AJ$4:$AJ$503,228))=0,"",INDEX('Providers'!$AJ$4:$AJ$503,228))</f>
        <v/>
      </c>
      <c r="K1731">
        <f>IF(LEN(INDEX('Providers'!$AI$4:$AI$503,228))=0,"",INDEX('Providers'!$AI$4:$AI$503,228))</f>
        <v/>
      </c>
    </row>
    <row r="1732">
      <c r="A1732">
        <f>IF(AND(LEN('Providers'!A232)&gt;0,ISNUMBER('Providers'!M232)),1,0)</f>
        <v/>
      </c>
      <c r="B1732">
        <f>B1731+A1732</f>
        <v/>
      </c>
      <c r="C1732">
        <f>IF(1729&gt;$B$4503,"",MATCH(1729-0.5,$B$3:$B$4503,1))</f>
        <v/>
      </c>
      <c r="D1732">
        <f>"Board certification – "&amp;IF(LEN(INDEX('Providers'!$A$4:$A$503,229))=0,"",INDEX('Providers'!$A$4:$A$503,229))</f>
        <v/>
      </c>
      <c r="E1732">
        <f>IF(ISNUMBER(INDEX('Providers'!$M$4:$M$503,229)),TEXT(INDEX('Providers'!$M$4:$M$503,229),"yyyy-mm-dd"),"")</f>
        <v/>
      </c>
      <c r="F1732">
        <f>"Certification"</f>
        <v/>
      </c>
      <c r="G1732">
        <f>""</f>
        <v/>
      </c>
      <c r="H1732">
        <f>"Medium"</f>
        <v/>
      </c>
      <c r="I1732">
        <f>TRIM(IF(LEN(IF(LEN(INDEX('Providers'!$L$4:$L$503,229))=0,"",INDEX('Providers'!$L$4:$L$503,229)))=0,"","Board / specialty: "&amp;IF(LEN(INDEX('Providers'!$L$4:$L$503,229))=0,"",INDEX('Providers'!$L$4:$L$503,229))&amp;". "))</f>
        <v/>
      </c>
      <c r="J1732">
        <f>IF(LEN(INDEX('Providers'!$AJ$4:$AJ$503,229))=0,"",INDEX('Providers'!$AJ$4:$AJ$503,229))</f>
        <v/>
      </c>
      <c r="K1732">
        <f>IF(LEN(INDEX('Providers'!$AI$4:$AI$503,229))=0,"",INDEX('Providers'!$AI$4:$AI$503,229))</f>
        <v/>
      </c>
    </row>
    <row r="1733">
      <c r="A1733">
        <f>IF(AND(LEN('Providers'!A233)&gt;0,ISNUMBER('Providers'!M233)),1,0)</f>
        <v/>
      </c>
      <c r="B1733">
        <f>B1732+A1733</f>
        <v/>
      </c>
      <c r="C1733">
        <f>IF(1730&gt;$B$4503,"",MATCH(1730-0.5,$B$3:$B$4503,1))</f>
        <v/>
      </c>
      <c r="D1733">
        <f>"Board certification – "&amp;IF(LEN(INDEX('Providers'!$A$4:$A$503,230))=0,"",INDEX('Providers'!$A$4:$A$503,230))</f>
        <v/>
      </c>
      <c r="E1733">
        <f>IF(ISNUMBER(INDEX('Providers'!$M$4:$M$503,230)),TEXT(INDEX('Providers'!$M$4:$M$503,230),"yyyy-mm-dd"),"")</f>
        <v/>
      </c>
      <c r="F1733">
        <f>"Certification"</f>
        <v/>
      </c>
      <c r="G1733">
        <f>""</f>
        <v/>
      </c>
      <c r="H1733">
        <f>"Medium"</f>
        <v/>
      </c>
      <c r="I1733">
        <f>TRIM(IF(LEN(IF(LEN(INDEX('Providers'!$L$4:$L$503,230))=0,"",INDEX('Providers'!$L$4:$L$503,230)))=0,"","Board / specialty: "&amp;IF(LEN(INDEX('Providers'!$L$4:$L$503,230))=0,"",INDEX('Providers'!$L$4:$L$503,230))&amp;". "))</f>
        <v/>
      </c>
      <c r="J1733">
        <f>IF(LEN(INDEX('Providers'!$AJ$4:$AJ$503,230))=0,"",INDEX('Providers'!$AJ$4:$AJ$503,230))</f>
        <v/>
      </c>
      <c r="K1733">
        <f>IF(LEN(INDEX('Providers'!$AI$4:$AI$503,230))=0,"",INDEX('Providers'!$AI$4:$AI$503,230))</f>
        <v/>
      </c>
    </row>
    <row r="1734">
      <c r="A1734">
        <f>IF(AND(LEN('Providers'!A234)&gt;0,ISNUMBER('Providers'!M234)),1,0)</f>
        <v/>
      </c>
      <c r="B1734">
        <f>B1733+A1734</f>
        <v/>
      </c>
      <c r="C1734">
        <f>IF(1731&gt;$B$4503,"",MATCH(1731-0.5,$B$3:$B$4503,1))</f>
        <v/>
      </c>
      <c r="D1734">
        <f>"Board certification – "&amp;IF(LEN(INDEX('Providers'!$A$4:$A$503,231))=0,"",INDEX('Providers'!$A$4:$A$503,231))</f>
        <v/>
      </c>
      <c r="E1734">
        <f>IF(ISNUMBER(INDEX('Providers'!$M$4:$M$503,231)),TEXT(INDEX('Providers'!$M$4:$M$503,231),"yyyy-mm-dd"),"")</f>
        <v/>
      </c>
      <c r="F1734">
        <f>"Certification"</f>
        <v/>
      </c>
      <c r="G1734">
        <f>""</f>
        <v/>
      </c>
      <c r="H1734">
        <f>"Medium"</f>
        <v/>
      </c>
      <c r="I1734">
        <f>TRIM(IF(LEN(IF(LEN(INDEX('Providers'!$L$4:$L$503,231))=0,"",INDEX('Providers'!$L$4:$L$503,231)))=0,"","Board / specialty: "&amp;IF(LEN(INDEX('Providers'!$L$4:$L$503,231))=0,"",INDEX('Providers'!$L$4:$L$503,231))&amp;". "))</f>
        <v/>
      </c>
      <c r="J1734">
        <f>IF(LEN(INDEX('Providers'!$AJ$4:$AJ$503,231))=0,"",INDEX('Providers'!$AJ$4:$AJ$503,231))</f>
        <v/>
      </c>
      <c r="K1734">
        <f>IF(LEN(INDEX('Providers'!$AI$4:$AI$503,231))=0,"",INDEX('Providers'!$AI$4:$AI$503,231))</f>
        <v/>
      </c>
    </row>
    <row r="1735">
      <c r="A1735">
        <f>IF(AND(LEN('Providers'!A235)&gt;0,ISNUMBER('Providers'!M235)),1,0)</f>
        <v/>
      </c>
      <c r="B1735">
        <f>B1734+A1735</f>
        <v/>
      </c>
      <c r="C1735">
        <f>IF(1732&gt;$B$4503,"",MATCH(1732-0.5,$B$3:$B$4503,1))</f>
        <v/>
      </c>
      <c r="D1735">
        <f>"Board certification – "&amp;IF(LEN(INDEX('Providers'!$A$4:$A$503,232))=0,"",INDEX('Providers'!$A$4:$A$503,232))</f>
        <v/>
      </c>
      <c r="E1735">
        <f>IF(ISNUMBER(INDEX('Providers'!$M$4:$M$503,232)),TEXT(INDEX('Providers'!$M$4:$M$503,232),"yyyy-mm-dd"),"")</f>
        <v/>
      </c>
      <c r="F1735">
        <f>"Certification"</f>
        <v/>
      </c>
      <c r="G1735">
        <f>""</f>
        <v/>
      </c>
      <c r="H1735">
        <f>"Medium"</f>
        <v/>
      </c>
      <c r="I1735">
        <f>TRIM(IF(LEN(IF(LEN(INDEX('Providers'!$L$4:$L$503,232))=0,"",INDEX('Providers'!$L$4:$L$503,232)))=0,"","Board / specialty: "&amp;IF(LEN(INDEX('Providers'!$L$4:$L$503,232))=0,"",INDEX('Providers'!$L$4:$L$503,232))&amp;". "))</f>
        <v/>
      </c>
      <c r="J1735">
        <f>IF(LEN(INDEX('Providers'!$AJ$4:$AJ$503,232))=0,"",INDEX('Providers'!$AJ$4:$AJ$503,232))</f>
        <v/>
      </c>
      <c r="K1735">
        <f>IF(LEN(INDEX('Providers'!$AI$4:$AI$503,232))=0,"",INDEX('Providers'!$AI$4:$AI$503,232))</f>
        <v/>
      </c>
    </row>
    <row r="1736">
      <c r="A1736">
        <f>IF(AND(LEN('Providers'!A236)&gt;0,ISNUMBER('Providers'!M236)),1,0)</f>
        <v/>
      </c>
      <c r="B1736">
        <f>B1735+A1736</f>
        <v/>
      </c>
      <c r="C1736">
        <f>IF(1733&gt;$B$4503,"",MATCH(1733-0.5,$B$3:$B$4503,1))</f>
        <v/>
      </c>
      <c r="D1736">
        <f>"Board certification – "&amp;IF(LEN(INDEX('Providers'!$A$4:$A$503,233))=0,"",INDEX('Providers'!$A$4:$A$503,233))</f>
        <v/>
      </c>
      <c r="E1736">
        <f>IF(ISNUMBER(INDEX('Providers'!$M$4:$M$503,233)),TEXT(INDEX('Providers'!$M$4:$M$503,233),"yyyy-mm-dd"),"")</f>
        <v/>
      </c>
      <c r="F1736">
        <f>"Certification"</f>
        <v/>
      </c>
      <c r="G1736">
        <f>""</f>
        <v/>
      </c>
      <c r="H1736">
        <f>"Medium"</f>
        <v/>
      </c>
      <c r="I1736">
        <f>TRIM(IF(LEN(IF(LEN(INDEX('Providers'!$L$4:$L$503,233))=0,"",INDEX('Providers'!$L$4:$L$503,233)))=0,"","Board / specialty: "&amp;IF(LEN(INDEX('Providers'!$L$4:$L$503,233))=0,"",INDEX('Providers'!$L$4:$L$503,233))&amp;". "))</f>
        <v/>
      </c>
      <c r="J1736">
        <f>IF(LEN(INDEX('Providers'!$AJ$4:$AJ$503,233))=0,"",INDEX('Providers'!$AJ$4:$AJ$503,233))</f>
        <v/>
      </c>
      <c r="K1736">
        <f>IF(LEN(INDEX('Providers'!$AI$4:$AI$503,233))=0,"",INDEX('Providers'!$AI$4:$AI$503,233))</f>
        <v/>
      </c>
    </row>
    <row r="1737">
      <c r="A1737">
        <f>IF(AND(LEN('Providers'!A237)&gt;0,ISNUMBER('Providers'!M237)),1,0)</f>
        <v/>
      </c>
      <c r="B1737">
        <f>B1736+A1737</f>
        <v/>
      </c>
      <c r="C1737">
        <f>IF(1734&gt;$B$4503,"",MATCH(1734-0.5,$B$3:$B$4503,1))</f>
        <v/>
      </c>
      <c r="D1737">
        <f>"Board certification – "&amp;IF(LEN(INDEX('Providers'!$A$4:$A$503,234))=0,"",INDEX('Providers'!$A$4:$A$503,234))</f>
        <v/>
      </c>
      <c r="E1737">
        <f>IF(ISNUMBER(INDEX('Providers'!$M$4:$M$503,234)),TEXT(INDEX('Providers'!$M$4:$M$503,234),"yyyy-mm-dd"),"")</f>
        <v/>
      </c>
      <c r="F1737">
        <f>"Certification"</f>
        <v/>
      </c>
      <c r="G1737">
        <f>""</f>
        <v/>
      </c>
      <c r="H1737">
        <f>"Medium"</f>
        <v/>
      </c>
      <c r="I1737">
        <f>TRIM(IF(LEN(IF(LEN(INDEX('Providers'!$L$4:$L$503,234))=0,"",INDEX('Providers'!$L$4:$L$503,234)))=0,"","Board / specialty: "&amp;IF(LEN(INDEX('Providers'!$L$4:$L$503,234))=0,"",INDEX('Providers'!$L$4:$L$503,234))&amp;". "))</f>
        <v/>
      </c>
      <c r="J1737">
        <f>IF(LEN(INDEX('Providers'!$AJ$4:$AJ$503,234))=0,"",INDEX('Providers'!$AJ$4:$AJ$503,234))</f>
        <v/>
      </c>
      <c r="K1737">
        <f>IF(LEN(INDEX('Providers'!$AI$4:$AI$503,234))=0,"",INDEX('Providers'!$AI$4:$AI$503,234))</f>
        <v/>
      </c>
    </row>
    <row r="1738">
      <c r="A1738">
        <f>IF(AND(LEN('Providers'!A238)&gt;0,ISNUMBER('Providers'!M238)),1,0)</f>
        <v/>
      </c>
      <c r="B1738">
        <f>B1737+A1738</f>
        <v/>
      </c>
      <c r="C1738">
        <f>IF(1735&gt;$B$4503,"",MATCH(1735-0.5,$B$3:$B$4503,1))</f>
        <v/>
      </c>
      <c r="D1738">
        <f>"Board certification – "&amp;IF(LEN(INDEX('Providers'!$A$4:$A$503,235))=0,"",INDEX('Providers'!$A$4:$A$503,235))</f>
        <v/>
      </c>
      <c r="E1738">
        <f>IF(ISNUMBER(INDEX('Providers'!$M$4:$M$503,235)),TEXT(INDEX('Providers'!$M$4:$M$503,235),"yyyy-mm-dd"),"")</f>
        <v/>
      </c>
      <c r="F1738">
        <f>"Certification"</f>
        <v/>
      </c>
      <c r="G1738">
        <f>""</f>
        <v/>
      </c>
      <c r="H1738">
        <f>"Medium"</f>
        <v/>
      </c>
      <c r="I1738">
        <f>TRIM(IF(LEN(IF(LEN(INDEX('Providers'!$L$4:$L$503,235))=0,"",INDEX('Providers'!$L$4:$L$503,235)))=0,"","Board / specialty: "&amp;IF(LEN(INDEX('Providers'!$L$4:$L$503,235))=0,"",INDEX('Providers'!$L$4:$L$503,235))&amp;". "))</f>
        <v/>
      </c>
      <c r="J1738">
        <f>IF(LEN(INDEX('Providers'!$AJ$4:$AJ$503,235))=0,"",INDEX('Providers'!$AJ$4:$AJ$503,235))</f>
        <v/>
      </c>
      <c r="K1738">
        <f>IF(LEN(INDEX('Providers'!$AI$4:$AI$503,235))=0,"",INDEX('Providers'!$AI$4:$AI$503,235))</f>
        <v/>
      </c>
    </row>
    <row r="1739">
      <c r="A1739">
        <f>IF(AND(LEN('Providers'!A239)&gt;0,ISNUMBER('Providers'!M239)),1,0)</f>
        <v/>
      </c>
      <c r="B1739">
        <f>B1738+A1739</f>
        <v/>
      </c>
      <c r="C1739">
        <f>IF(1736&gt;$B$4503,"",MATCH(1736-0.5,$B$3:$B$4503,1))</f>
        <v/>
      </c>
      <c r="D1739">
        <f>"Board certification – "&amp;IF(LEN(INDEX('Providers'!$A$4:$A$503,236))=0,"",INDEX('Providers'!$A$4:$A$503,236))</f>
        <v/>
      </c>
      <c r="E1739">
        <f>IF(ISNUMBER(INDEX('Providers'!$M$4:$M$503,236)),TEXT(INDEX('Providers'!$M$4:$M$503,236),"yyyy-mm-dd"),"")</f>
        <v/>
      </c>
      <c r="F1739">
        <f>"Certification"</f>
        <v/>
      </c>
      <c r="G1739">
        <f>""</f>
        <v/>
      </c>
      <c r="H1739">
        <f>"Medium"</f>
        <v/>
      </c>
      <c r="I1739">
        <f>TRIM(IF(LEN(IF(LEN(INDEX('Providers'!$L$4:$L$503,236))=0,"",INDEX('Providers'!$L$4:$L$503,236)))=0,"","Board / specialty: "&amp;IF(LEN(INDEX('Providers'!$L$4:$L$503,236))=0,"",INDEX('Providers'!$L$4:$L$503,236))&amp;". "))</f>
        <v/>
      </c>
      <c r="J1739">
        <f>IF(LEN(INDEX('Providers'!$AJ$4:$AJ$503,236))=0,"",INDEX('Providers'!$AJ$4:$AJ$503,236))</f>
        <v/>
      </c>
      <c r="K1739">
        <f>IF(LEN(INDEX('Providers'!$AI$4:$AI$503,236))=0,"",INDEX('Providers'!$AI$4:$AI$503,236))</f>
        <v/>
      </c>
    </row>
    <row r="1740">
      <c r="A1740">
        <f>IF(AND(LEN('Providers'!A240)&gt;0,ISNUMBER('Providers'!M240)),1,0)</f>
        <v/>
      </c>
      <c r="B1740">
        <f>B1739+A1740</f>
        <v/>
      </c>
      <c r="C1740">
        <f>IF(1737&gt;$B$4503,"",MATCH(1737-0.5,$B$3:$B$4503,1))</f>
        <v/>
      </c>
      <c r="D1740">
        <f>"Board certification – "&amp;IF(LEN(INDEX('Providers'!$A$4:$A$503,237))=0,"",INDEX('Providers'!$A$4:$A$503,237))</f>
        <v/>
      </c>
      <c r="E1740">
        <f>IF(ISNUMBER(INDEX('Providers'!$M$4:$M$503,237)),TEXT(INDEX('Providers'!$M$4:$M$503,237),"yyyy-mm-dd"),"")</f>
        <v/>
      </c>
      <c r="F1740">
        <f>"Certification"</f>
        <v/>
      </c>
      <c r="G1740">
        <f>""</f>
        <v/>
      </c>
      <c r="H1740">
        <f>"Medium"</f>
        <v/>
      </c>
      <c r="I1740">
        <f>TRIM(IF(LEN(IF(LEN(INDEX('Providers'!$L$4:$L$503,237))=0,"",INDEX('Providers'!$L$4:$L$503,237)))=0,"","Board / specialty: "&amp;IF(LEN(INDEX('Providers'!$L$4:$L$503,237))=0,"",INDEX('Providers'!$L$4:$L$503,237))&amp;". "))</f>
        <v/>
      </c>
      <c r="J1740">
        <f>IF(LEN(INDEX('Providers'!$AJ$4:$AJ$503,237))=0,"",INDEX('Providers'!$AJ$4:$AJ$503,237))</f>
        <v/>
      </c>
      <c r="K1740">
        <f>IF(LEN(INDEX('Providers'!$AI$4:$AI$503,237))=0,"",INDEX('Providers'!$AI$4:$AI$503,237))</f>
        <v/>
      </c>
    </row>
    <row r="1741">
      <c r="A1741">
        <f>IF(AND(LEN('Providers'!A241)&gt;0,ISNUMBER('Providers'!M241)),1,0)</f>
        <v/>
      </c>
      <c r="B1741">
        <f>B1740+A1741</f>
        <v/>
      </c>
      <c r="C1741">
        <f>IF(1738&gt;$B$4503,"",MATCH(1738-0.5,$B$3:$B$4503,1))</f>
        <v/>
      </c>
      <c r="D1741">
        <f>"Board certification – "&amp;IF(LEN(INDEX('Providers'!$A$4:$A$503,238))=0,"",INDEX('Providers'!$A$4:$A$503,238))</f>
        <v/>
      </c>
      <c r="E1741">
        <f>IF(ISNUMBER(INDEX('Providers'!$M$4:$M$503,238)),TEXT(INDEX('Providers'!$M$4:$M$503,238),"yyyy-mm-dd"),"")</f>
        <v/>
      </c>
      <c r="F1741">
        <f>"Certification"</f>
        <v/>
      </c>
      <c r="G1741">
        <f>""</f>
        <v/>
      </c>
      <c r="H1741">
        <f>"Medium"</f>
        <v/>
      </c>
      <c r="I1741">
        <f>TRIM(IF(LEN(IF(LEN(INDEX('Providers'!$L$4:$L$503,238))=0,"",INDEX('Providers'!$L$4:$L$503,238)))=0,"","Board / specialty: "&amp;IF(LEN(INDEX('Providers'!$L$4:$L$503,238))=0,"",INDEX('Providers'!$L$4:$L$503,238))&amp;". "))</f>
        <v/>
      </c>
      <c r="J1741">
        <f>IF(LEN(INDEX('Providers'!$AJ$4:$AJ$503,238))=0,"",INDEX('Providers'!$AJ$4:$AJ$503,238))</f>
        <v/>
      </c>
      <c r="K1741">
        <f>IF(LEN(INDEX('Providers'!$AI$4:$AI$503,238))=0,"",INDEX('Providers'!$AI$4:$AI$503,238))</f>
        <v/>
      </c>
    </row>
    <row r="1742">
      <c r="A1742">
        <f>IF(AND(LEN('Providers'!A242)&gt;0,ISNUMBER('Providers'!M242)),1,0)</f>
        <v/>
      </c>
      <c r="B1742">
        <f>B1741+A1742</f>
        <v/>
      </c>
      <c r="C1742">
        <f>IF(1739&gt;$B$4503,"",MATCH(1739-0.5,$B$3:$B$4503,1))</f>
        <v/>
      </c>
      <c r="D1742">
        <f>"Board certification – "&amp;IF(LEN(INDEX('Providers'!$A$4:$A$503,239))=0,"",INDEX('Providers'!$A$4:$A$503,239))</f>
        <v/>
      </c>
      <c r="E1742">
        <f>IF(ISNUMBER(INDEX('Providers'!$M$4:$M$503,239)),TEXT(INDEX('Providers'!$M$4:$M$503,239),"yyyy-mm-dd"),"")</f>
        <v/>
      </c>
      <c r="F1742">
        <f>"Certification"</f>
        <v/>
      </c>
      <c r="G1742">
        <f>""</f>
        <v/>
      </c>
      <c r="H1742">
        <f>"Medium"</f>
        <v/>
      </c>
      <c r="I1742">
        <f>TRIM(IF(LEN(IF(LEN(INDEX('Providers'!$L$4:$L$503,239))=0,"",INDEX('Providers'!$L$4:$L$503,239)))=0,"","Board / specialty: "&amp;IF(LEN(INDEX('Providers'!$L$4:$L$503,239))=0,"",INDEX('Providers'!$L$4:$L$503,239))&amp;". "))</f>
        <v/>
      </c>
      <c r="J1742">
        <f>IF(LEN(INDEX('Providers'!$AJ$4:$AJ$503,239))=0,"",INDEX('Providers'!$AJ$4:$AJ$503,239))</f>
        <v/>
      </c>
      <c r="K1742">
        <f>IF(LEN(INDEX('Providers'!$AI$4:$AI$503,239))=0,"",INDEX('Providers'!$AI$4:$AI$503,239))</f>
        <v/>
      </c>
    </row>
    <row r="1743">
      <c r="A1743">
        <f>IF(AND(LEN('Providers'!A243)&gt;0,ISNUMBER('Providers'!M243)),1,0)</f>
        <v/>
      </c>
      <c r="B1743">
        <f>B1742+A1743</f>
        <v/>
      </c>
      <c r="C1743">
        <f>IF(1740&gt;$B$4503,"",MATCH(1740-0.5,$B$3:$B$4503,1))</f>
        <v/>
      </c>
      <c r="D1743">
        <f>"Board certification – "&amp;IF(LEN(INDEX('Providers'!$A$4:$A$503,240))=0,"",INDEX('Providers'!$A$4:$A$503,240))</f>
        <v/>
      </c>
      <c r="E1743">
        <f>IF(ISNUMBER(INDEX('Providers'!$M$4:$M$503,240)),TEXT(INDEX('Providers'!$M$4:$M$503,240),"yyyy-mm-dd"),"")</f>
        <v/>
      </c>
      <c r="F1743">
        <f>"Certification"</f>
        <v/>
      </c>
      <c r="G1743">
        <f>""</f>
        <v/>
      </c>
      <c r="H1743">
        <f>"Medium"</f>
        <v/>
      </c>
      <c r="I1743">
        <f>TRIM(IF(LEN(IF(LEN(INDEX('Providers'!$L$4:$L$503,240))=0,"",INDEX('Providers'!$L$4:$L$503,240)))=0,"","Board / specialty: "&amp;IF(LEN(INDEX('Providers'!$L$4:$L$503,240))=0,"",INDEX('Providers'!$L$4:$L$503,240))&amp;". "))</f>
        <v/>
      </c>
      <c r="J1743">
        <f>IF(LEN(INDEX('Providers'!$AJ$4:$AJ$503,240))=0,"",INDEX('Providers'!$AJ$4:$AJ$503,240))</f>
        <v/>
      </c>
      <c r="K1743">
        <f>IF(LEN(INDEX('Providers'!$AI$4:$AI$503,240))=0,"",INDEX('Providers'!$AI$4:$AI$503,240))</f>
        <v/>
      </c>
    </row>
    <row r="1744">
      <c r="A1744">
        <f>IF(AND(LEN('Providers'!A244)&gt;0,ISNUMBER('Providers'!M244)),1,0)</f>
        <v/>
      </c>
      <c r="B1744">
        <f>B1743+A1744</f>
        <v/>
      </c>
      <c r="C1744">
        <f>IF(1741&gt;$B$4503,"",MATCH(1741-0.5,$B$3:$B$4503,1))</f>
        <v/>
      </c>
      <c r="D1744">
        <f>"Board certification – "&amp;IF(LEN(INDEX('Providers'!$A$4:$A$503,241))=0,"",INDEX('Providers'!$A$4:$A$503,241))</f>
        <v/>
      </c>
      <c r="E1744">
        <f>IF(ISNUMBER(INDEX('Providers'!$M$4:$M$503,241)),TEXT(INDEX('Providers'!$M$4:$M$503,241),"yyyy-mm-dd"),"")</f>
        <v/>
      </c>
      <c r="F1744">
        <f>"Certification"</f>
        <v/>
      </c>
      <c r="G1744">
        <f>""</f>
        <v/>
      </c>
      <c r="H1744">
        <f>"Medium"</f>
        <v/>
      </c>
      <c r="I1744">
        <f>TRIM(IF(LEN(IF(LEN(INDEX('Providers'!$L$4:$L$503,241))=0,"",INDEX('Providers'!$L$4:$L$503,241)))=0,"","Board / specialty: "&amp;IF(LEN(INDEX('Providers'!$L$4:$L$503,241))=0,"",INDEX('Providers'!$L$4:$L$503,241))&amp;". "))</f>
        <v/>
      </c>
      <c r="J1744">
        <f>IF(LEN(INDEX('Providers'!$AJ$4:$AJ$503,241))=0,"",INDEX('Providers'!$AJ$4:$AJ$503,241))</f>
        <v/>
      </c>
      <c r="K1744">
        <f>IF(LEN(INDEX('Providers'!$AI$4:$AI$503,241))=0,"",INDEX('Providers'!$AI$4:$AI$503,241))</f>
        <v/>
      </c>
    </row>
    <row r="1745">
      <c r="A1745">
        <f>IF(AND(LEN('Providers'!A245)&gt;0,ISNUMBER('Providers'!M245)),1,0)</f>
        <v/>
      </c>
      <c r="B1745">
        <f>B1744+A1745</f>
        <v/>
      </c>
      <c r="C1745">
        <f>IF(1742&gt;$B$4503,"",MATCH(1742-0.5,$B$3:$B$4503,1))</f>
        <v/>
      </c>
      <c r="D1745">
        <f>"Board certification – "&amp;IF(LEN(INDEX('Providers'!$A$4:$A$503,242))=0,"",INDEX('Providers'!$A$4:$A$503,242))</f>
        <v/>
      </c>
      <c r="E1745">
        <f>IF(ISNUMBER(INDEX('Providers'!$M$4:$M$503,242)),TEXT(INDEX('Providers'!$M$4:$M$503,242),"yyyy-mm-dd"),"")</f>
        <v/>
      </c>
      <c r="F1745">
        <f>"Certification"</f>
        <v/>
      </c>
      <c r="G1745">
        <f>""</f>
        <v/>
      </c>
      <c r="H1745">
        <f>"Medium"</f>
        <v/>
      </c>
      <c r="I1745">
        <f>TRIM(IF(LEN(IF(LEN(INDEX('Providers'!$L$4:$L$503,242))=0,"",INDEX('Providers'!$L$4:$L$503,242)))=0,"","Board / specialty: "&amp;IF(LEN(INDEX('Providers'!$L$4:$L$503,242))=0,"",INDEX('Providers'!$L$4:$L$503,242))&amp;". "))</f>
        <v/>
      </c>
      <c r="J1745">
        <f>IF(LEN(INDEX('Providers'!$AJ$4:$AJ$503,242))=0,"",INDEX('Providers'!$AJ$4:$AJ$503,242))</f>
        <v/>
      </c>
      <c r="K1745">
        <f>IF(LEN(INDEX('Providers'!$AI$4:$AI$503,242))=0,"",INDEX('Providers'!$AI$4:$AI$503,242))</f>
        <v/>
      </c>
    </row>
    <row r="1746">
      <c r="A1746">
        <f>IF(AND(LEN('Providers'!A246)&gt;0,ISNUMBER('Providers'!M246)),1,0)</f>
        <v/>
      </c>
      <c r="B1746">
        <f>B1745+A1746</f>
        <v/>
      </c>
      <c r="C1746">
        <f>IF(1743&gt;$B$4503,"",MATCH(1743-0.5,$B$3:$B$4503,1))</f>
        <v/>
      </c>
      <c r="D1746">
        <f>"Board certification – "&amp;IF(LEN(INDEX('Providers'!$A$4:$A$503,243))=0,"",INDEX('Providers'!$A$4:$A$503,243))</f>
        <v/>
      </c>
      <c r="E1746">
        <f>IF(ISNUMBER(INDEX('Providers'!$M$4:$M$503,243)),TEXT(INDEX('Providers'!$M$4:$M$503,243),"yyyy-mm-dd"),"")</f>
        <v/>
      </c>
      <c r="F1746">
        <f>"Certification"</f>
        <v/>
      </c>
      <c r="G1746">
        <f>""</f>
        <v/>
      </c>
      <c r="H1746">
        <f>"Medium"</f>
        <v/>
      </c>
      <c r="I1746">
        <f>TRIM(IF(LEN(IF(LEN(INDEX('Providers'!$L$4:$L$503,243))=0,"",INDEX('Providers'!$L$4:$L$503,243)))=0,"","Board / specialty: "&amp;IF(LEN(INDEX('Providers'!$L$4:$L$503,243))=0,"",INDEX('Providers'!$L$4:$L$503,243))&amp;". "))</f>
        <v/>
      </c>
      <c r="J1746">
        <f>IF(LEN(INDEX('Providers'!$AJ$4:$AJ$503,243))=0,"",INDEX('Providers'!$AJ$4:$AJ$503,243))</f>
        <v/>
      </c>
      <c r="K1746">
        <f>IF(LEN(INDEX('Providers'!$AI$4:$AI$503,243))=0,"",INDEX('Providers'!$AI$4:$AI$503,243))</f>
        <v/>
      </c>
    </row>
    <row r="1747">
      <c r="A1747">
        <f>IF(AND(LEN('Providers'!A247)&gt;0,ISNUMBER('Providers'!M247)),1,0)</f>
        <v/>
      </c>
      <c r="B1747">
        <f>B1746+A1747</f>
        <v/>
      </c>
      <c r="C1747">
        <f>IF(1744&gt;$B$4503,"",MATCH(1744-0.5,$B$3:$B$4503,1))</f>
        <v/>
      </c>
      <c r="D1747">
        <f>"Board certification – "&amp;IF(LEN(INDEX('Providers'!$A$4:$A$503,244))=0,"",INDEX('Providers'!$A$4:$A$503,244))</f>
        <v/>
      </c>
      <c r="E1747">
        <f>IF(ISNUMBER(INDEX('Providers'!$M$4:$M$503,244)),TEXT(INDEX('Providers'!$M$4:$M$503,244),"yyyy-mm-dd"),"")</f>
        <v/>
      </c>
      <c r="F1747">
        <f>"Certification"</f>
        <v/>
      </c>
      <c r="G1747">
        <f>""</f>
        <v/>
      </c>
      <c r="H1747">
        <f>"Medium"</f>
        <v/>
      </c>
      <c r="I1747">
        <f>TRIM(IF(LEN(IF(LEN(INDEX('Providers'!$L$4:$L$503,244))=0,"",INDEX('Providers'!$L$4:$L$503,244)))=0,"","Board / specialty: "&amp;IF(LEN(INDEX('Providers'!$L$4:$L$503,244))=0,"",INDEX('Providers'!$L$4:$L$503,244))&amp;". "))</f>
        <v/>
      </c>
      <c r="J1747">
        <f>IF(LEN(INDEX('Providers'!$AJ$4:$AJ$503,244))=0,"",INDEX('Providers'!$AJ$4:$AJ$503,244))</f>
        <v/>
      </c>
      <c r="K1747">
        <f>IF(LEN(INDEX('Providers'!$AI$4:$AI$503,244))=0,"",INDEX('Providers'!$AI$4:$AI$503,244))</f>
        <v/>
      </c>
    </row>
    <row r="1748">
      <c r="A1748">
        <f>IF(AND(LEN('Providers'!A248)&gt;0,ISNUMBER('Providers'!M248)),1,0)</f>
        <v/>
      </c>
      <c r="B1748">
        <f>B1747+A1748</f>
        <v/>
      </c>
      <c r="C1748">
        <f>IF(1745&gt;$B$4503,"",MATCH(1745-0.5,$B$3:$B$4503,1))</f>
        <v/>
      </c>
      <c r="D1748">
        <f>"Board certification – "&amp;IF(LEN(INDEX('Providers'!$A$4:$A$503,245))=0,"",INDEX('Providers'!$A$4:$A$503,245))</f>
        <v/>
      </c>
      <c r="E1748">
        <f>IF(ISNUMBER(INDEX('Providers'!$M$4:$M$503,245)),TEXT(INDEX('Providers'!$M$4:$M$503,245),"yyyy-mm-dd"),"")</f>
        <v/>
      </c>
      <c r="F1748">
        <f>"Certification"</f>
        <v/>
      </c>
      <c r="G1748">
        <f>""</f>
        <v/>
      </c>
      <c r="H1748">
        <f>"Medium"</f>
        <v/>
      </c>
      <c r="I1748">
        <f>TRIM(IF(LEN(IF(LEN(INDEX('Providers'!$L$4:$L$503,245))=0,"",INDEX('Providers'!$L$4:$L$503,245)))=0,"","Board / specialty: "&amp;IF(LEN(INDEX('Providers'!$L$4:$L$503,245))=0,"",INDEX('Providers'!$L$4:$L$503,245))&amp;". "))</f>
        <v/>
      </c>
      <c r="J1748">
        <f>IF(LEN(INDEX('Providers'!$AJ$4:$AJ$503,245))=0,"",INDEX('Providers'!$AJ$4:$AJ$503,245))</f>
        <v/>
      </c>
      <c r="K1748">
        <f>IF(LEN(INDEX('Providers'!$AI$4:$AI$503,245))=0,"",INDEX('Providers'!$AI$4:$AI$503,245))</f>
        <v/>
      </c>
    </row>
    <row r="1749">
      <c r="A1749">
        <f>IF(AND(LEN('Providers'!A249)&gt;0,ISNUMBER('Providers'!M249)),1,0)</f>
        <v/>
      </c>
      <c r="B1749">
        <f>B1748+A1749</f>
        <v/>
      </c>
      <c r="C1749">
        <f>IF(1746&gt;$B$4503,"",MATCH(1746-0.5,$B$3:$B$4503,1))</f>
        <v/>
      </c>
      <c r="D1749">
        <f>"Board certification – "&amp;IF(LEN(INDEX('Providers'!$A$4:$A$503,246))=0,"",INDEX('Providers'!$A$4:$A$503,246))</f>
        <v/>
      </c>
      <c r="E1749">
        <f>IF(ISNUMBER(INDEX('Providers'!$M$4:$M$503,246)),TEXT(INDEX('Providers'!$M$4:$M$503,246),"yyyy-mm-dd"),"")</f>
        <v/>
      </c>
      <c r="F1749">
        <f>"Certification"</f>
        <v/>
      </c>
      <c r="G1749">
        <f>""</f>
        <v/>
      </c>
      <c r="H1749">
        <f>"Medium"</f>
        <v/>
      </c>
      <c r="I1749">
        <f>TRIM(IF(LEN(IF(LEN(INDEX('Providers'!$L$4:$L$503,246))=0,"",INDEX('Providers'!$L$4:$L$503,246)))=0,"","Board / specialty: "&amp;IF(LEN(INDEX('Providers'!$L$4:$L$503,246))=0,"",INDEX('Providers'!$L$4:$L$503,246))&amp;". "))</f>
        <v/>
      </c>
      <c r="J1749">
        <f>IF(LEN(INDEX('Providers'!$AJ$4:$AJ$503,246))=0,"",INDEX('Providers'!$AJ$4:$AJ$503,246))</f>
        <v/>
      </c>
      <c r="K1749">
        <f>IF(LEN(INDEX('Providers'!$AI$4:$AI$503,246))=0,"",INDEX('Providers'!$AI$4:$AI$503,246))</f>
        <v/>
      </c>
    </row>
    <row r="1750">
      <c r="A1750">
        <f>IF(AND(LEN('Providers'!A250)&gt;0,ISNUMBER('Providers'!M250)),1,0)</f>
        <v/>
      </c>
      <c r="B1750">
        <f>B1749+A1750</f>
        <v/>
      </c>
      <c r="C1750">
        <f>IF(1747&gt;$B$4503,"",MATCH(1747-0.5,$B$3:$B$4503,1))</f>
        <v/>
      </c>
      <c r="D1750">
        <f>"Board certification – "&amp;IF(LEN(INDEX('Providers'!$A$4:$A$503,247))=0,"",INDEX('Providers'!$A$4:$A$503,247))</f>
        <v/>
      </c>
      <c r="E1750">
        <f>IF(ISNUMBER(INDEX('Providers'!$M$4:$M$503,247)),TEXT(INDEX('Providers'!$M$4:$M$503,247),"yyyy-mm-dd"),"")</f>
        <v/>
      </c>
      <c r="F1750">
        <f>"Certification"</f>
        <v/>
      </c>
      <c r="G1750">
        <f>""</f>
        <v/>
      </c>
      <c r="H1750">
        <f>"Medium"</f>
        <v/>
      </c>
      <c r="I1750">
        <f>TRIM(IF(LEN(IF(LEN(INDEX('Providers'!$L$4:$L$503,247))=0,"",INDEX('Providers'!$L$4:$L$503,247)))=0,"","Board / specialty: "&amp;IF(LEN(INDEX('Providers'!$L$4:$L$503,247))=0,"",INDEX('Providers'!$L$4:$L$503,247))&amp;". "))</f>
        <v/>
      </c>
      <c r="J1750">
        <f>IF(LEN(INDEX('Providers'!$AJ$4:$AJ$503,247))=0,"",INDEX('Providers'!$AJ$4:$AJ$503,247))</f>
        <v/>
      </c>
      <c r="K1750">
        <f>IF(LEN(INDEX('Providers'!$AI$4:$AI$503,247))=0,"",INDEX('Providers'!$AI$4:$AI$503,247))</f>
        <v/>
      </c>
    </row>
    <row r="1751">
      <c r="A1751">
        <f>IF(AND(LEN('Providers'!A251)&gt;0,ISNUMBER('Providers'!M251)),1,0)</f>
        <v/>
      </c>
      <c r="B1751">
        <f>B1750+A1751</f>
        <v/>
      </c>
      <c r="C1751">
        <f>IF(1748&gt;$B$4503,"",MATCH(1748-0.5,$B$3:$B$4503,1))</f>
        <v/>
      </c>
      <c r="D1751">
        <f>"Board certification – "&amp;IF(LEN(INDEX('Providers'!$A$4:$A$503,248))=0,"",INDEX('Providers'!$A$4:$A$503,248))</f>
        <v/>
      </c>
      <c r="E1751">
        <f>IF(ISNUMBER(INDEX('Providers'!$M$4:$M$503,248)),TEXT(INDEX('Providers'!$M$4:$M$503,248),"yyyy-mm-dd"),"")</f>
        <v/>
      </c>
      <c r="F1751">
        <f>"Certification"</f>
        <v/>
      </c>
      <c r="G1751">
        <f>""</f>
        <v/>
      </c>
      <c r="H1751">
        <f>"Medium"</f>
        <v/>
      </c>
      <c r="I1751">
        <f>TRIM(IF(LEN(IF(LEN(INDEX('Providers'!$L$4:$L$503,248))=0,"",INDEX('Providers'!$L$4:$L$503,248)))=0,"","Board / specialty: "&amp;IF(LEN(INDEX('Providers'!$L$4:$L$503,248))=0,"",INDEX('Providers'!$L$4:$L$503,248))&amp;". "))</f>
        <v/>
      </c>
      <c r="J1751">
        <f>IF(LEN(INDEX('Providers'!$AJ$4:$AJ$503,248))=0,"",INDEX('Providers'!$AJ$4:$AJ$503,248))</f>
        <v/>
      </c>
      <c r="K1751">
        <f>IF(LEN(INDEX('Providers'!$AI$4:$AI$503,248))=0,"",INDEX('Providers'!$AI$4:$AI$503,248))</f>
        <v/>
      </c>
    </row>
    <row r="1752">
      <c r="A1752">
        <f>IF(AND(LEN('Providers'!A252)&gt;0,ISNUMBER('Providers'!M252)),1,0)</f>
        <v/>
      </c>
      <c r="B1752">
        <f>B1751+A1752</f>
        <v/>
      </c>
      <c r="C1752">
        <f>IF(1749&gt;$B$4503,"",MATCH(1749-0.5,$B$3:$B$4503,1))</f>
        <v/>
      </c>
      <c r="D1752">
        <f>"Board certification – "&amp;IF(LEN(INDEX('Providers'!$A$4:$A$503,249))=0,"",INDEX('Providers'!$A$4:$A$503,249))</f>
        <v/>
      </c>
      <c r="E1752">
        <f>IF(ISNUMBER(INDEX('Providers'!$M$4:$M$503,249)),TEXT(INDEX('Providers'!$M$4:$M$503,249),"yyyy-mm-dd"),"")</f>
        <v/>
      </c>
      <c r="F1752">
        <f>"Certification"</f>
        <v/>
      </c>
      <c r="G1752">
        <f>""</f>
        <v/>
      </c>
      <c r="H1752">
        <f>"Medium"</f>
        <v/>
      </c>
      <c r="I1752">
        <f>TRIM(IF(LEN(IF(LEN(INDEX('Providers'!$L$4:$L$503,249))=0,"",INDEX('Providers'!$L$4:$L$503,249)))=0,"","Board / specialty: "&amp;IF(LEN(INDEX('Providers'!$L$4:$L$503,249))=0,"",INDEX('Providers'!$L$4:$L$503,249))&amp;". "))</f>
        <v/>
      </c>
      <c r="J1752">
        <f>IF(LEN(INDEX('Providers'!$AJ$4:$AJ$503,249))=0,"",INDEX('Providers'!$AJ$4:$AJ$503,249))</f>
        <v/>
      </c>
      <c r="K1752">
        <f>IF(LEN(INDEX('Providers'!$AI$4:$AI$503,249))=0,"",INDEX('Providers'!$AI$4:$AI$503,249))</f>
        <v/>
      </c>
    </row>
    <row r="1753">
      <c r="A1753">
        <f>IF(AND(LEN('Providers'!A253)&gt;0,ISNUMBER('Providers'!M253)),1,0)</f>
        <v/>
      </c>
      <c r="B1753">
        <f>B1752+A1753</f>
        <v/>
      </c>
      <c r="C1753">
        <f>IF(1750&gt;$B$4503,"",MATCH(1750-0.5,$B$3:$B$4503,1))</f>
        <v/>
      </c>
      <c r="D1753">
        <f>"Board certification – "&amp;IF(LEN(INDEX('Providers'!$A$4:$A$503,250))=0,"",INDEX('Providers'!$A$4:$A$503,250))</f>
        <v/>
      </c>
      <c r="E1753">
        <f>IF(ISNUMBER(INDEX('Providers'!$M$4:$M$503,250)),TEXT(INDEX('Providers'!$M$4:$M$503,250),"yyyy-mm-dd"),"")</f>
        <v/>
      </c>
      <c r="F1753">
        <f>"Certification"</f>
        <v/>
      </c>
      <c r="G1753">
        <f>""</f>
        <v/>
      </c>
      <c r="H1753">
        <f>"Medium"</f>
        <v/>
      </c>
      <c r="I1753">
        <f>TRIM(IF(LEN(IF(LEN(INDEX('Providers'!$L$4:$L$503,250))=0,"",INDEX('Providers'!$L$4:$L$503,250)))=0,"","Board / specialty: "&amp;IF(LEN(INDEX('Providers'!$L$4:$L$503,250))=0,"",INDEX('Providers'!$L$4:$L$503,250))&amp;". "))</f>
        <v/>
      </c>
      <c r="J1753">
        <f>IF(LEN(INDEX('Providers'!$AJ$4:$AJ$503,250))=0,"",INDEX('Providers'!$AJ$4:$AJ$503,250))</f>
        <v/>
      </c>
      <c r="K1753">
        <f>IF(LEN(INDEX('Providers'!$AI$4:$AI$503,250))=0,"",INDEX('Providers'!$AI$4:$AI$503,250))</f>
        <v/>
      </c>
    </row>
    <row r="1754">
      <c r="A1754">
        <f>IF(AND(LEN('Providers'!A254)&gt;0,ISNUMBER('Providers'!M254)),1,0)</f>
        <v/>
      </c>
      <c r="B1754">
        <f>B1753+A1754</f>
        <v/>
      </c>
      <c r="C1754">
        <f>IF(1751&gt;$B$4503,"",MATCH(1751-0.5,$B$3:$B$4503,1))</f>
        <v/>
      </c>
      <c r="D1754">
        <f>"Board certification – "&amp;IF(LEN(INDEX('Providers'!$A$4:$A$503,251))=0,"",INDEX('Providers'!$A$4:$A$503,251))</f>
        <v/>
      </c>
      <c r="E1754">
        <f>IF(ISNUMBER(INDEX('Providers'!$M$4:$M$503,251)),TEXT(INDEX('Providers'!$M$4:$M$503,251),"yyyy-mm-dd"),"")</f>
        <v/>
      </c>
      <c r="F1754">
        <f>"Certification"</f>
        <v/>
      </c>
      <c r="G1754">
        <f>""</f>
        <v/>
      </c>
      <c r="H1754">
        <f>"Medium"</f>
        <v/>
      </c>
      <c r="I1754">
        <f>TRIM(IF(LEN(IF(LEN(INDEX('Providers'!$L$4:$L$503,251))=0,"",INDEX('Providers'!$L$4:$L$503,251)))=0,"","Board / specialty: "&amp;IF(LEN(INDEX('Providers'!$L$4:$L$503,251))=0,"",INDEX('Providers'!$L$4:$L$503,251))&amp;". "))</f>
        <v/>
      </c>
      <c r="J1754">
        <f>IF(LEN(INDEX('Providers'!$AJ$4:$AJ$503,251))=0,"",INDEX('Providers'!$AJ$4:$AJ$503,251))</f>
        <v/>
      </c>
      <c r="K1754">
        <f>IF(LEN(INDEX('Providers'!$AI$4:$AI$503,251))=0,"",INDEX('Providers'!$AI$4:$AI$503,251))</f>
        <v/>
      </c>
    </row>
    <row r="1755">
      <c r="A1755">
        <f>IF(AND(LEN('Providers'!A255)&gt;0,ISNUMBER('Providers'!M255)),1,0)</f>
        <v/>
      </c>
      <c r="B1755">
        <f>B1754+A1755</f>
        <v/>
      </c>
      <c r="C1755">
        <f>IF(1752&gt;$B$4503,"",MATCH(1752-0.5,$B$3:$B$4503,1))</f>
        <v/>
      </c>
      <c r="D1755">
        <f>"Board certification – "&amp;IF(LEN(INDEX('Providers'!$A$4:$A$503,252))=0,"",INDEX('Providers'!$A$4:$A$503,252))</f>
        <v/>
      </c>
      <c r="E1755">
        <f>IF(ISNUMBER(INDEX('Providers'!$M$4:$M$503,252)),TEXT(INDEX('Providers'!$M$4:$M$503,252),"yyyy-mm-dd"),"")</f>
        <v/>
      </c>
      <c r="F1755">
        <f>"Certification"</f>
        <v/>
      </c>
      <c r="G1755">
        <f>""</f>
        <v/>
      </c>
      <c r="H1755">
        <f>"Medium"</f>
        <v/>
      </c>
      <c r="I1755">
        <f>TRIM(IF(LEN(IF(LEN(INDEX('Providers'!$L$4:$L$503,252))=0,"",INDEX('Providers'!$L$4:$L$503,252)))=0,"","Board / specialty: "&amp;IF(LEN(INDEX('Providers'!$L$4:$L$503,252))=0,"",INDEX('Providers'!$L$4:$L$503,252))&amp;". "))</f>
        <v/>
      </c>
      <c r="J1755">
        <f>IF(LEN(INDEX('Providers'!$AJ$4:$AJ$503,252))=0,"",INDEX('Providers'!$AJ$4:$AJ$503,252))</f>
        <v/>
      </c>
      <c r="K1755">
        <f>IF(LEN(INDEX('Providers'!$AI$4:$AI$503,252))=0,"",INDEX('Providers'!$AI$4:$AI$503,252))</f>
        <v/>
      </c>
    </row>
    <row r="1756">
      <c r="A1756">
        <f>IF(AND(LEN('Providers'!A256)&gt;0,ISNUMBER('Providers'!M256)),1,0)</f>
        <v/>
      </c>
      <c r="B1756">
        <f>B1755+A1756</f>
        <v/>
      </c>
      <c r="C1756">
        <f>IF(1753&gt;$B$4503,"",MATCH(1753-0.5,$B$3:$B$4503,1))</f>
        <v/>
      </c>
      <c r="D1756">
        <f>"Board certification – "&amp;IF(LEN(INDEX('Providers'!$A$4:$A$503,253))=0,"",INDEX('Providers'!$A$4:$A$503,253))</f>
        <v/>
      </c>
      <c r="E1756">
        <f>IF(ISNUMBER(INDEX('Providers'!$M$4:$M$503,253)),TEXT(INDEX('Providers'!$M$4:$M$503,253),"yyyy-mm-dd"),"")</f>
        <v/>
      </c>
      <c r="F1756">
        <f>"Certification"</f>
        <v/>
      </c>
      <c r="G1756">
        <f>""</f>
        <v/>
      </c>
      <c r="H1756">
        <f>"Medium"</f>
        <v/>
      </c>
      <c r="I1756">
        <f>TRIM(IF(LEN(IF(LEN(INDEX('Providers'!$L$4:$L$503,253))=0,"",INDEX('Providers'!$L$4:$L$503,253)))=0,"","Board / specialty: "&amp;IF(LEN(INDEX('Providers'!$L$4:$L$503,253))=0,"",INDEX('Providers'!$L$4:$L$503,253))&amp;". "))</f>
        <v/>
      </c>
      <c r="J1756">
        <f>IF(LEN(INDEX('Providers'!$AJ$4:$AJ$503,253))=0,"",INDEX('Providers'!$AJ$4:$AJ$503,253))</f>
        <v/>
      </c>
      <c r="K1756">
        <f>IF(LEN(INDEX('Providers'!$AI$4:$AI$503,253))=0,"",INDEX('Providers'!$AI$4:$AI$503,253))</f>
        <v/>
      </c>
    </row>
    <row r="1757">
      <c r="A1757">
        <f>IF(AND(LEN('Providers'!A257)&gt;0,ISNUMBER('Providers'!M257)),1,0)</f>
        <v/>
      </c>
      <c r="B1757">
        <f>B1756+A1757</f>
        <v/>
      </c>
      <c r="C1757">
        <f>IF(1754&gt;$B$4503,"",MATCH(1754-0.5,$B$3:$B$4503,1))</f>
        <v/>
      </c>
      <c r="D1757">
        <f>"Board certification – "&amp;IF(LEN(INDEX('Providers'!$A$4:$A$503,254))=0,"",INDEX('Providers'!$A$4:$A$503,254))</f>
        <v/>
      </c>
      <c r="E1757">
        <f>IF(ISNUMBER(INDEX('Providers'!$M$4:$M$503,254)),TEXT(INDEX('Providers'!$M$4:$M$503,254),"yyyy-mm-dd"),"")</f>
        <v/>
      </c>
      <c r="F1757">
        <f>"Certification"</f>
        <v/>
      </c>
      <c r="G1757">
        <f>""</f>
        <v/>
      </c>
      <c r="H1757">
        <f>"Medium"</f>
        <v/>
      </c>
      <c r="I1757">
        <f>TRIM(IF(LEN(IF(LEN(INDEX('Providers'!$L$4:$L$503,254))=0,"",INDEX('Providers'!$L$4:$L$503,254)))=0,"","Board / specialty: "&amp;IF(LEN(INDEX('Providers'!$L$4:$L$503,254))=0,"",INDEX('Providers'!$L$4:$L$503,254))&amp;". "))</f>
        <v/>
      </c>
      <c r="J1757">
        <f>IF(LEN(INDEX('Providers'!$AJ$4:$AJ$503,254))=0,"",INDEX('Providers'!$AJ$4:$AJ$503,254))</f>
        <v/>
      </c>
      <c r="K1757">
        <f>IF(LEN(INDEX('Providers'!$AI$4:$AI$503,254))=0,"",INDEX('Providers'!$AI$4:$AI$503,254))</f>
        <v/>
      </c>
    </row>
    <row r="1758">
      <c r="A1758">
        <f>IF(AND(LEN('Providers'!A258)&gt;0,ISNUMBER('Providers'!M258)),1,0)</f>
        <v/>
      </c>
      <c r="B1758">
        <f>B1757+A1758</f>
        <v/>
      </c>
      <c r="C1758">
        <f>IF(1755&gt;$B$4503,"",MATCH(1755-0.5,$B$3:$B$4503,1))</f>
        <v/>
      </c>
      <c r="D1758">
        <f>"Board certification – "&amp;IF(LEN(INDEX('Providers'!$A$4:$A$503,255))=0,"",INDEX('Providers'!$A$4:$A$503,255))</f>
        <v/>
      </c>
      <c r="E1758">
        <f>IF(ISNUMBER(INDEX('Providers'!$M$4:$M$503,255)),TEXT(INDEX('Providers'!$M$4:$M$503,255),"yyyy-mm-dd"),"")</f>
        <v/>
      </c>
      <c r="F1758">
        <f>"Certification"</f>
        <v/>
      </c>
      <c r="G1758">
        <f>""</f>
        <v/>
      </c>
      <c r="H1758">
        <f>"Medium"</f>
        <v/>
      </c>
      <c r="I1758">
        <f>TRIM(IF(LEN(IF(LEN(INDEX('Providers'!$L$4:$L$503,255))=0,"",INDEX('Providers'!$L$4:$L$503,255)))=0,"","Board / specialty: "&amp;IF(LEN(INDEX('Providers'!$L$4:$L$503,255))=0,"",INDEX('Providers'!$L$4:$L$503,255))&amp;". "))</f>
        <v/>
      </c>
      <c r="J1758">
        <f>IF(LEN(INDEX('Providers'!$AJ$4:$AJ$503,255))=0,"",INDEX('Providers'!$AJ$4:$AJ$503,255))</f>
        <v/>
      </c>
      <c r="K1758">
        <f>IF(LEN(INDEX('Providers'!$AI$4:$AI$503,255))=0,"",INDEX('Providers'!$AI$4:$AI$503,255))</f>
        <v/>
      </c>
    </row>
    <row r="1759">
      <c r="A1759">
        <f>IF(AND(LEN('Providers'!A259)&gt;0,ISNUMBER('Providers'!M259)),1,0)</f>
        <v/>
      </c>
      <c r="B1759">
        <f>B1758+A1759</f>
        <v/>
      </c>
      <c r="C1759">
        <f>IF(1756&gt;$B$4503,"",MATCH(1756-0.5,$B$3:$B$4503,1))</f>
        <v/>
      </c>
      <c r="D1759">
        <f>"Board certification – "&amp;IF(LEN(INDEX('Providers'!$A$4:$A$503,256))=0,"",INDEX('Providers'!$A$4:$A$503,256))</f>
        <v/>
      </c>
      <c r="E1759">
        <f>IF(ISNUMBER(INDEX('Providers'!$M$4:$M$503,256)),TEXT(INDEX('Providers'!$M$4:$M$503,256),"yyyy-mm-dd"),"")</f>
        <v/>
      </c>
      <c r="F1759">
        <f>"Certification"</f>
        <v/>
      </c>
      <c r="G1759">
        <f>""</f>
        <v/>
      </c>
      <c r="H1759">
        <f>"Medium"</f>
        <v/>
      </c>
      <c r="I1759">
        <f>TRIM(IF(LEN(IF(LEN(INDEX('Providers'!$L$4:$L$503,256))=0,"",INDEX('Providers'!$L$4:$L$503,256)))=0,"","Board / specialty: "&amp;IF(LEN(INDEX('Providers'!$L$4:$L$503,256))=0,"",INDEX('Providers'!$L$4:$L$503,256))&amp;". "))</f>
        <v/>
      </c>
      <c r="J1759">
        <f>IF(LEN(INDEX('Providers'!$AJ$4:$AJ$503,256))=0,"",INDEX('Providers'!$AJ$4:$AJ$503,256))</f>
        <v/>
      </c>
      <c r="K1759">
        <f>IF(LEN(INDEX('Providers'!$AI$4:$AI$503,256))=0,"",INDEX('Providers'!$AI$4:$AI$503,256))</f>
        <v/>
      </c>
    </row>
    <row r="1760">
      <c r="A1760">
        <f>IF(AND(LEN('Providers'!A260)&gt;0,ISNUMBER('Providers'!M260)),1,0)</f>
        <v/>
      </c>
      <c r="B1760">
        <f>B1759+A1760</f>
        <v/>
      </c>
      <c r="C1760">
        <f>IF(1757&gt;$B$4503,"",MATCH(1757-0.5,$B$3:$B$4503,1))</f>
        <v/>
      </c>
      <c r="D1760">
        <f>"Board certification – "&amp;IF(LEN(INDEX('Providers'!$A$4:$A$503,257))=0,"",INDEX('Providers'!$A$4:$A$503,257))</f>
        <v/>
      </c>
      <c r="E1760">
        <f>IF(ISNUMBER(INDEX('Providers'!$M$4:$M$503,257)),TEXT(INDEX('Providers'!$M$4:$M$503,257),"yyyy-mm-dd"),"")</f>
        <v/>
      </c>
      <c r="F1760">
        <f>"Certification"</f>
        <v/>
      </c>
      <c r="G1760">
        <f>""</f>
        <v/>
      </c>
      <c r="H1760">
        <f>"Medium"</f>
        <v/>
      </c>
      <c r="I1760">
        <f>TRIM(IF(LEN(IF(LEN(INDEX('Providers'!$L$4:$L$503,257))=0,"",INDEX('Providers'!$L$4:$L$503,257)))=0,"","Board / specialty: "&amp;IF(LEN(INDEX('Providers'!$L$4:$L$503,257))=0,"",INDEX('Providers'!$L$4:$L$503,257))&amp;". "))</f>
        <v/>
      </c>
      <c r="J1760">
        <f>IF(LEN(INDEX('Providers'!$AJ$4:$AJ$503,257))=0,"",INDEX('Providers'!$AJ$4:$AJ$503,257))</f>
        <v/>
      </c>
      <c r="K1760">
        <f>IF(LEN(INDEX('Providers'!$AI$4:$AI$503,257))=0,"",INDEX('Providers'!$AI$4:$AI$503,257))</f>
        <v/>
      </c>
    </row>
    <row r="1761">
      <c r="A1761">
        <f>IF(AND(LEN('Providers'!A261)&gt;0,ISNUMBER('Providers'!M261)),1,0)</f>
        <v/>
      </c>
      <c r="B1761">
        <f>B1760+A1761</f>
        <v/>
      </c>
      <c r="C1761">
        <f>IF(1758&gt;$B$4503,"",MATCH(1758-0.5,$B$3:$B$4503,1))</f>
        <v/>
      </c>
      <c r="D1761">
        <f>"Board certification – "&amp;IF(LEN(INDEX('Providers'!$A$4:$A$503,258))=0,"",INDEX('Providers'!$A$4:$A$503,258))</f>
        <v/>
      </c>
      <c r="E1761">
        <f>IF(ISNUMBER(INDEX('Providers'!$M$4:$M$503,258)),TEXT(INDEX('Providers'!$M$4:$M$503,258),"yyyy-mm-dd"),"")</f>
        <v/>
      </c>
      <c r="F1761">
        <f>"Certification"</f>
        <v/>
      </c>
      <c r="G1761">
        <f>""</f>
        <v/>
      </c>
      <c r="H1761">
        <f>"Medium"</f>
        <v/>
      </c>
      <c r="I1761">
        <f>TRIM(IF(LEN(IF(LEN(INDEX('Providers'!$L$4:$L$503,258))=0,"",INDEX('Providers'!$L$4:$L$503,258)))=0,"","Board / specialty: "&amp;IF(LEN(INDEX('Providers'!$L$4:$L$503,258))=0,"",INDEX('Providers'!$L$4:$L$503,258))&amp;". "))</f>
        <v/>
      </c>
      <c r="J1761">
        <f>IF(LEN(INDEX('Providers'!$AJ$4:$AJ$503,258))=0,"",INDEX('Providers'!$AJ$4:$AJ$503,258))</f>
        <v/>
      </c>
      <c r="K1761">
        <f>IF(LEN(INDEX('Providers'!$AI$4:$AI$503,258))=0,"",INDEX('Providers'!$AI$4:$AI$503,258))</f>
        <v/>
      </c>
    </row>
    <row r="1762">
      <c r="A1762">
        <f>IF(AND(LEN('Providers'!A262)&gt;0,ISNUMBER('Providers'!M262)),1,0)</f>
        <v/>
      </c>
      <c r="B1762">
        <f>B1761+A1762</f>
        <v/>
      </c>
      <c r="C1762">
        <f>IF(1759&gt;$B$4503,"",MATCH(1759-0.5,$B$3:$B$4503,1))</f>
        <v/>
      </c>
      <c r="D1762">
        <f>"Board certification – "&amp;IF(LEN(INDEX('Providers'!$A$4:$A$503,259))=0,"",INDEX('Providers'!$A$4:$A$503,259))</f>
        <v/>
      </c>
      <c r="E1762">
        <f>IF(ISNUMBER(INDEX('Providers'!$M$4:$M$503,259)),TEXT(INDEX('Providers'!$M$4:$M$503,259),"yyyy-mm-dd"),"")</f>
        <v/>
      </c>
      <c r="F1762">
        <f>"Certification"</f>
        <v/>
      </c>
      <c r="G1762">
        <f>""</f>
        <v/>
      </c>
      <c r="H1762">
        <f>"Medium"</f>
        <v/>
      </c>
      <c r="I1762">
        <f>TRIM(IF(LEN(IF(LEN(INDEX('Providers'!$L$4:$L$503,259))=0,"",INDEX('Providers'!$L$4:$L$503,259)))=0,"","Board / specialty: "&amp;IF(LEN(INDEX('Providers'!$L$4:$L$503,259))=0,"",INDEX('Providers'!$L$4:$L$503,259))&amp;". "))</f>
        <v/>
      </c>
      <c r="J1762">
        <f>IF(LEN(INDEX('Providers'!$AJ$4:$AJ$503,259))=0,"",INDEX('Providers'!$AJ$4:$AJ$503,259))</f>
        <v/>
      </c>
      <c r="K1762">
        <f>IF(LEN(INDEX('Providers'!$AI$4:$AI$503,259))=0,"",INDEX('Providers'!$AI$4:$AI$503,259))</f>
        <v/>
      </c>
    </row>
    <row r="1763">
      <c r="A1763">
        <f>IF(AND(LEN('Providers'!A263)&gt;0,ISNUMBER('Providers'!M263)),1,0)</f>
        <v/>
      </c>
      <c r="B1763">
        <f>B1762+A1763</f>
        <v/>
      </c>
      <c r="C1763">
        <f>IF(1760&gt;$B$4503,"",MATCH(1760-0.5,$B$3:$B$4503,1))</f>
        <v/>
      </c>
      <c r="D1763">
        <f>"Board certification – "&amp;IF(LEN(INDEX('Providers'!$A$4:$A$503,260))=0,"",INDEX('Providers'!$A$4:$A$503,260))</f>
        <v/>
      </c>
      <c r="E1763">
        <f>IF(ISNUMBER(INDEX('Providers'!$M$4:$M$503,260)),TEXT(INDEX('Providers'!$M$4:$M$503,260),"yyyy-mm-dd"),"")</f>
        <v/>
      </c>
      <c r="F1763">
        <f>"Certification"</f>
        <v/>
      </c>
      <c r="G1763">
        <f>""</f>
        <v/>
      </c>
      <c r="H1763">
        <f>"Medium"</f>
        <v/>
      </c>
      <c r="I1763">
        <f>TRIM(IF(LEN(IF(LEN(INDEX('Providers'!$L$4:$L$503,260))=0,"",INDEX('Providers'!$L$4:$L$503,260)))=0,"","Board / specialty: "&amp;IF(LEN(INDEX('Providers'!$L$4:$L$503,260))=0,"",INDEX('Providers'!$L$4:$L$503,260))&amp;". "))</f>
        <v/>
      </c>
      <c r="J1763">
        <f>IF(LEN(INDEX('Providers'!$AJ$4:$AJ$503,260))=0,"",INDEX('Providers'!$AJ$4:$AJ$503,260))</f>
        <v/>
      </c>
      <c r="K1763">
        <f>IF(LEN(INDEX('Providers'!$AI$4:$AI$503,260))=0,"",INDEX('Providers'!$AI$4:$AI$503,260))</f>
        <v/>
      </c>
    </row>
    <row r="1764">
      <c r="A1764">
        <f>IF(AND(LEN('Providers'!A264)&gt;0,ISNUMBER('Providers'!M264)),1,0)</f>
        <v/>
      </c>
      <c r="B1764">
        <f>B1763+A1764</f>
        <v/>
      </c>
      <c r="C1764">
        <f>IF(1761&gt;$B$4503,"",MATCH(1761-0.5,$B$3:$B$4503,1))</f>
        <v/>
      </c>
      <c r="D1764">
        <f>"Board certification – "&amp;IF(LEN(INDEX('Providers'!$A$4:$A$503,261))=0,"",INDEX('Providers'!$A$4:$A$503,261))</f>
        <v/>
      </c>
      <c r="E1764">
        <f>IF(ISNUMBER(INDEX('Providers'!$M$4:$M$503,261)),TEXT(INDEX('Providers'!$M$4:$M$503,261),"yyyy-mm-dd"),"")</f>
        <v/>
      </c>
      <c r="F1764">
        <f>"Certification"</f>
        <v/>
      </c>
      <c r="G1764">
        <f>""</f>
        <v/>
      </c>
      <c r="H1764">
        <f>"Medium"</f>
        <v/>
      </c>
      <c r="I1764">
        <f>TRIM(IF(LEN(IF(LEN(INDEX('Providers'!$L$4:$L$503,261))=0,"",INDEX('Providers'!$L$4:$L$503,261)))=0,"","Board / specialty: "&amp;IF(LEN(INDEX('Providers'!$L$4:$L$503,261))=0,"",INDEX('Providers'!$L$4:$L$503,261))&amp;". "))</f>
        <v/>
      </c>
      <c r="J1764">
        <f>IF(LEN(INDEX('Providers'!$AJ$4:$AJ$503,261))=0,"",INDEX('Providers'!$AJ$4:$AJ$503,261))</f>
        <v/>
      </c>
      <c r="K1764">
        <f>IF(LEN(INDEX('Providers'!$AI$4:$AI$503,261))=0,"",INDEX('Providers'!$AI$4:$AI$503,261))</f>
        <v/>
      </c>
    </row>
    <row r="1765">
      <c r="A1765">
        <f>IF(AND(LEN('Providers'!A265)&gt;0,ISNUMBER('Providers'!M265)),1,0)</f>
        <v/>
      </c>
      <c r="B1765">
        <f>B1764+A1765</f>
        <v/>
      </c>
      <c r="C1765">
        <f>IF(1762&gt;$B$4503,"",MATCH(1762-0.5,$B$3:$B$4503,1))</f>
        <v/>
      </c>
      <c r="D1765">
        <f>"Board certification – "&amp;IF(LEN(INDEX('Providers'!$A$4:$A$503,262))=0,"",INDEX('Providers'!$A$4:$A$503,262))</f>
        <v/>
      </c>
      <c r="E1765">
        <f>IF(ISNUMBER(INDEX('Providers'!$M$4:$M$503,262)),TEXT(INDEX('Providers'!$M$4:$M$503,262),"yyyy-mm-dd"),"")</f>
        <v/>
      </c>
      <c r="F1765">
        <f>"Certification"</f>
        <v/>
      </c>
      <c r="G1765">
        <f>""</f>
        <v/>
      </c>
      <c r="H1765">
        <f>"Medium"</f>
        <v/>
      </c>
      <c r="I1765">
        <f>TRIM(IF(LEN(IF(LEN(INDEX('Providers'!$L$4:$L$503,262))=0,"",INDEX('Providers'!$L$4:$L$503,262)))=0,"","Board / specialty: "&amp;IF(LEN(INDEX('Providers'!$L$4:$L$503,262))=0,"",INDEX('Providers'!$L$4:$L$503,262))&amp;". "))</f>
        <v/>
      </c>
      <c r="J1765">
        <f>IF(LEN(INDEX('Providers'!$AJ$4:$AJ$503,262))=0,"",INDEX('Providers'!$AJ$4:$AJ$503,262))</f>
        <v/>
      </c>
      <c r="K1765">
        <f>IF(LEN(INDEX('Providers'!$AI$4:$AI$503,262))=0,"",INDEX('Providers'!$AI$4:$AI$503,262))</f>
        <v/>
      </c>
    </row>
    <row r="1766">
      <c r="A1766">
        <f>IF(AND(LEN('Providers'!A266)&gt;0,ISNUMBER('Providers'!M266)),1,0)</f>
        <v/>
      </c>
      <c r="B1766">
        <f>B1765+A1766</f>
        <v/>
      </c>
      <c r="C1766">
        <f>IF(1763&gt;$B$4503,"",MATCH(1763-0.5,$B$3:$B$4503,1))</f>
        <v/>
      </c>
      <c r="D1766">
        <f>"Board certification – "&amp;IF(LEN(INDEX('Providers'!$A$4:$A$503,263))=0,"",INDEX('Providers'!$A$4:$A$503,263))</f>
        <v/>
      </c>
      <c r="E1766">
        <f>IF(ISNUMBER(INDEX('Providers'!$M$4:$M$503,263)),TEXT(INDEX('Providers'!$M$4:$M$503,263),"yyyy-mm-dd"),"")</f>
        <v/>
      </c>
      <c r="F1766">
        <f>"Certification"</f>
        <v/>
      </c>
      <c r="G1766">
        <f>""</f>
        <v/>
      </c>
      <c r="H1766">
        <f>"Medium"</f>
        <v/>
      </c>
      <c r="I1766">
        <f>TRIM(IF(LEN(IF(LEN(INDEX('Providers'!$L$4:$L$503,263))=0,"",INDEX('Providers'!$L$4:$L$503,263)))=0,"","Board / specialty: "&amp;IF(LEN(INDEX('Providers'!$L$4:$L$503,263))=0,"",INDEX('Providers'!$L$4:$L$503,263))&amp;". "))</f>
        <v/>
      </c>
      <c r="J1766">
        <f>IF(LEN(INDEX('Providers'!$AJ$4:$AJ$503,263))=0,"",INDEX('Providers'!$AJ$4:$AJ$503,263))</f>
        <v/>
      </c>
      <c r="K1766">
        <f>IF(LEN(INDEX('Providers'!$AI$4:$AI$503,263))=0,"",INDEX('Providers'!$AI$4:$AI$503,263))</f>
        <v/>
      </c>
    </row>
    <row r="1767">
      <c r="A1767">
        <f>IF(AND(LEN('Providers'!A267)&gt;0,ISNUMBER('Providers'!M267)),1,0)</f>
        <v/>
      </c>
      <c r="B1767">
        <f>B1766+A1767</f>
        <v/>
      </c>
      <c r="C1767">
        <f>IF(1764&gt;$B$4503,"",MATCH(1764-0.5,$B$3:$B$4503,1))</f>
        <v/>
      </c>
      <c r="D1767">
        <f>"Board certification – "&amp;IF(LEN(INDEX('Providers'!$A$4:$A$503,264))=0,"",INDEX('Providers'!$A$4:$A$503,264))</f>
        <v/>
      </c>
      <c r="E1767">
        <f>IF(ISNUMBER(INDEX('Providers'!$M$4:$M$503,264)),TEXT(INDEX('Providers'!$M$4:$M$503,264),"yyyy-mm-dd"),"")</f>
        <v/>
      </c>
      <c r="F1767">
        <f>"Certification"</f>
        <v/>
      </c>
      <c r="G1767">
        <f>""</f>
        <v/>
      </c>
      <c r="H1767">
        <f>"Medium"</f>
        <v/>
      </c>
      <c r="I1767">
        <f>TRIM(IF(LEN(IF(LEN(INDEX('Providers'!$L$4:$L$503,264))=0,"",INDEX('Providers'!$L$4:$L$503,264)))=0,"","Board / specialty: "&amp;IF(LEN(INDEX('Providers'!$L$4:$L$503,264))=0,"",INDEX('Providers'!$L$4:$L$503,264))&amp;". "))</f>
        <v/>
      </c>
      <c r="J1767">
        <f>IF(LEN(INDEX('Providers'!$AJ$4:$AJ$503,264))=0,"",INDEX('Providers'!$AJ$4:$AJ$503,264))</f>
        <v/>
      </c>
      <c r="K1767">
        <f>IF(LEN(INDEX('Providers'!$AI$4:$AI$503,264))=0,"",INDEX('Providers'!$AI$4:$AI$503,264))</f>
        <v/>
      </c>
    </row>
    <row r="1768">
      <c r="A1768">
        <f>IF(AND(LEN('Providers'!A268)&gt;0,ISNUMBER('Providers'!M268)),1,0)</f>
        <v/>
      </c>
      <c r="B1768">
        <f>B1767+A1768</f>
        <v/>
      </c>
      <c r="C1768">
        <f>IF(1765&gt;$B$4503,"",MATCH(1765-0.5,$B$3:$B$4503,1))</f>
        <v/>
      </c>
      <c r="D1768">
        <f>"Board certification – "&amp;IF(LEN(INDEX('Providers'!$A$4:$A$503,265))=0,"",INDEX('Providers'!$A$4:$A$503,265))</f>
        <v/>
      </c>
      <c r="E1768">
        <f>IF(ISNUMBER(INDEX('Providers'!$M$4:$M$503,265)),TEXT(INDEX('Providers'!$M$4:$M$503,265),"yyyy-mm-dd"),"")</f>
        <v/>
      </c>
      <c r="F1768">
        <f>"Certification"</f>
        <v/>
      </c>
      <c r="G1768">
        <f>""</f>
        <v/>
      </c>
      <c r="H1768">
        <f>"Medium"</f>
        <v/>
      </c>
      <c r="I1768">
        <f>TRIM(IF(LEN(IF(LEN(INDEX('Providers'!$L$4:$L$503,265))=0,"",INDEX('Providers'!$L$4:$L$503,265)))=0,"","Board / specialty: "&amp;IF(LEN(INDEX('Providers'!$L$4:$L$503,265))=0,"",INDEX('Providers'!$L$4:$L$503,265))&amp;". "))</f>
        <v/>
      </c>
      <c r="J1768">
        <f>IF(LEN(INDEX('Providers'!$AJ$4:$AJ$503,265))=0,"",INDEX('Providers'!$AJ$4:$AJ$503,265))</f>
        <v/>
      </c>
      <c r="K1768">
        <f>IF(LEN(INDEX('Providers'!$AI$4:$AI$503,265))=0,"",INDEX('Providers'!$AI$4:$AI$503,265))</f>
        <v/>
      </c>
    </row>
    <row r="1769">
      <c r="A1769">
        <f>IF(AND(LEN('Providers'!A269)&gt;0,ISNUMBER('Providers'!M269)),1,0)</f>
        <v/>
      </c>
      <c r="B1769">
        <f>B1768+A1769</f>
        <v/>
      </c>
      <c r="C1769">
        <f>IF(1766&gt;$B$4503,"",MATCH(1766-0.5,$B$3:$B$4503,1))</f>
        <v/>
      </c>
      <c r="D1769">
        <f>"Board certification – "&amp;IF(LEN(INDEX('Providers'!$A$4:$A$503,266))=0,"",INDEX('Providers'!$A$4:$A$503,266))</f>
        <v/>
      </c>
      <c r="E1769">
        <f>IF(ISNUMBER(INDEX('Providers'!$M$4:$M$503,266)),TEXT(INDEX('Providers'!$M$4:$M$503,266),"yyyy-mm-dd"),"")</f>
        <v/>
      </c>
      <c r="F1769">
        <f>"Certification"</f>
        <v/>
      </c>
      <c r="G1769">
        <f>""</f>
        <v/>
      </c>
      <c r="H1769">
        <f>"Medium"</f>
        <v/>
      </c>
      <c r="I1769">
        <f>TRIM(IF(LEN(IF(LEN(INDEX('Providers'!$L$4:$L$503,266))=0,"",INDEX('Providers'!$L$4:$L$503,266)))=0,"","Board / specialty: "&amp;IF(LEN(INDEX('Providers'!$L$4:$L$503,266))=0,"",INDEX('Providers'!$L$4:$L$503,266))&amp;". "))</f>
        <v/>
      </c>
      <c r="J1769">
        <f>IF(LEN(INDEX('Providers'!$AJ$4:$AJ$503,266))=0,"",INDEX('Providers'!$AJ$4:$AJ$503,266))</f>
        <v/>
      </c>
      <c r="K1769">
        <f>IF(LEN(INDEX('Providers'!$AI$4:$AI$503,266))=0,"",INDEX('Providers'!$AI$4:$AI$503,266))</f>
        <v/>
      </c>
    </row>
    <row r="1770">
      <c r="A1770">
        <f>IF(AND(LEN('Providers'!A270)&gt;0,ISNUMBER('Providers'!M270)),1,0)</f>
        <v/>
      </c>
      <c r="B1770">
        <f>B1769+A1770</f>
        <v/>
      </c>
      <c r="C1770">
        <f>IF(1767&gt;$B$4503,"",MATCH(1767-0.5,$B$3:$B$4503,1))</f>
        <v/>
      </c>
      <c r="D1770">
        <f>"Board certification – "&amp;IF(LEN(INDEX('Providers'!$A$4:$A$503,267))=0,"",INDEX('Providers'!$A$4:$A$503,267))</f>
        <v/>
      </c>
      <c r="E1770">
        <f>IF(ISNUMBER(INDEX('Providers'!$M$4:$M$503,267)),TEXT(INDEX('Providers'!$M$4:$M$503,267),"yyyy-mm-dd"),"")</f>
        <v/>
      </c>
      <c r="F1770">
        <f>"Certification"</f>
        <v/>
      </c>
      <c r="G1770">
        <f>""</f>
        <v/>
      </c>
      <c r="H1770">
        <f>"Medium"</f>
        <v/>
      </c>
      <c r="I1770">
        <f>TRIM(IF(LEN(IF(LEN(INDEX('Providers'!$L$4:$L$503,267))=0,"",INDEX('Providers'!$L$4:$L$503,267)))=0,"","Board / specialty: "&amp;IF(LEN(INDEX('Providers'!$L$4:$L$503,267))=0,"",INDEX('Providers'!$L$4:$L$503,267))&amp;". "))</f>
        <v/>
      </c>
      <c r="J1770">
        <f>IF(LEN(INDEX('Providers'!$AJ$4:$AJ$503,267))=0,"",INDEX('Providers'!$AJ$4:$AJ$503,267))</f>
        <v/>
      </c>
      <c r="K1770">
        <f>IF(LEN(INDEX('Providers'!$AI$4:$AI$503,267))=0,"",INDEX('Providers'!$AI$4:$AI$503,267))</f>
        <v/>
      </c>
    </row>
    <row r="1771">
      <c r="A1771">
        <f>IF(AND(LEN('Providers'!A271)&gt;0,ISNUMBER('Providers'!M271)),1,0)</f>
        <v/>
      </c>
      <c r="B1771">
        <f>B1770+A1771</f>
        <v/>
      </c>
      <c r="C1771">
        <f>IF(1768&gt;$B$4503,"",MATCH(1768-0.5,$B$3:$B$4503,1))</f>
        <v/>
      </c>
      <c r="D1771">
        <f>"Board certification – "&amp;IF(LEN(INDEX('Providers'!$A$4:$A$503,268))=0,"",INDEX('Providers'!$A$4:$A$503,268))</f>
        <v/>
      </c>
      <c r="E1771">
        <f>IF(ISNUMBER(INDEX('Providers'!$M$4:$M$503,268)),TEXT(INDEX('Providers'!$M$4:$M$503,268),"yyyy-mm-dd"),"")</f>
        <v/>
      </c>
      <c r="F1771">
        <f>"Certification"</f>
        <v/>
      </c>
      <c r="G1771">
        <f>""</f>
        <v/>
      </c>
      <c r="H1771">
        <f>"Medium"</f>
        <v/>
      </c>
      <c r="I1771">
        <f>TRIM(IF(LEN(IF(LEN(INDEX('Providers'!$L$4:$L$503,268))=0,"",INDEX('Providers'!$L$4:$L$503,268)))=0,"","Board / specialty: "&amp;IF(LEN(INDEX('Providers'!$L$4:$L$503,268))=0,"",INDEX('Providers'!$L$4:$L$503,268))&amp;". "))</f>
        <v/>
      </c>
      <c r="J1771">
        <f>IF(LEN(INDEX('Providers'!$AJ$4:$AJ$503,268))=0,"",INDEX('Providers'!$AJ$4:$AJ$503,268))</f>
        <v/>
      </c>
      <c r="K1771">
        <f>IF(LEN(INDEX('Providers'!$AI$4:$AI$503,268))=0,"",INDEX('Providers'!$AI$4:$AI$503,268))</f>
        <v/>
      </c>
    </row>
    <row r="1772">
      <c r="A1772">
        <f>IF(AND(LEN('Providers'!A272)&gt;0,ISNUMBER('Providers'!M272)),1,0)</f>
        <v/>
      </c>
      <c r="B1772">
        <f>B1771+A1772</f>
        <v/>
      </c>
      <c r="C1772">
        <f>IF(1769&gt;$B$4503,"",MATCH(1769-0.5,$B$3:$B$4503,1))</f>
        <v/>
      </c>
      <c r="D1772">
        <f>"Board certification – "&amp;IF(LEN(INDEX('Providers'!$A$4:$A$503,269))=0,"",INDEX('Providers'!$A$4:$A$503,269))</f>
        <v/>
      </c>
      <c r="E1772">
        <f>IF(ISNUMBER(INDEX('Providers'!$M$4:$M$503,269)),TEXT(INDEX('Providers'!$M$4:$M$503,269),"yyyy-mm-dd"),"")</f>
        <v/>
      </c>
      <c r="F1772">
        <f>"Certification"</f>
        <v/>
      </c>
      <c r="G1772">
        <f>""</f>
        <v/>
      </c>
      <c r="H1772">
        <f>"Medium"</f>
        <v/>
      </c>
      <c r="I1772">
        <f>TRIM(IF(LEN(IF(LEN(INDEX('Providers'!$L$4:$L$503,269))=0,"",INDEX('Providers'!$L$4:$L$503,269)))=0,"","Board / specialty: "&amp;IF(LEN(INDEX('Providers'!$L$4:$L$503,269))=0,"",INDEX('Providers'!$L$4:$L$503,269))&amp;". "))</f>
        <v/>
      </c>
      <c r="J1772">
        <f>IF(LEN(INDEX('Providers'!$AJ$4:$AJ$503,269))=0,"",INDEX('Providers'!$AJ$4:$AJ$503,269))</f>
        <v/>
      </c>
      <c r="K1772">
        <f>IF(LEN(INDEX('Providers'!$AI$4:$AI$503,269))=0,"",INDEX('Providers'!$AI$4:$AI$503,269))</f>
        <v/>
      </c>
    </row>
    <row r="1773">
      <c r="A1773">
        <f>IF(AND(LEN('Providers'!A273)&gt;0,ISNUMBER('Providers'!M273)),1,0)</f>
        <v/>
      </c>
      <c r="B1773">
        <f>B1772+A1773</f>
        <v/>
      </c>
      <c r="C1773">
        <f>IF(1770&gt;$B$4503,"",MATCH(1770-0.5,$B$3:$B$4503,1))</f>
        <v/>
      </c>
      <c r="D1773">
        <f>"Board certification – "&amp;IF(LEN(INDEX('Providers'!$A$4:$A$503,270))=0,"",INDEX('Providers'!$A$4:$A$503,270))</f>
        <v/>
      </c>
      <c r="E1773">
        <f>IF(ISNUMBER(INDEX('Providers'!$M$4:$M$503,270)),TEXT(INDEX('Providers'!$M$4:$M$503,270),"yyyy-mm-dd"),"")</f>
        <v/>
      </c>
      <c r="F1773">
        <f>"Certification"</f>
        <v/>
      </c>
      <c r="G1773">
        <f>""</f>
        <v/>
      </c>
      <c r="H1773">
        <f>"Medium"</f>
        <v/>
      </c>
      <c r="I1773">
        <f>TRIM(IF(LEN(IF(LEN(INDEX('Providers'!$L$4:$L$503,270))=0,"",INDEX('Providers'!$L$4:$L$503,270)))=0,"","Board / specialty: "&amp;IF(LEN(INDEX('Providers'!$L$4:$L$503,270))=0,"",INDEX('Providers'!$L$4:$L$503,270))&amp;". "))</f>
        <v/>
      </c>
      <c r="J1773">
        <f>IF(LEN(INDEX('Providers'!$AJ$4:$AJ$503,270))=0,"",INDEX('Providers'!$AJ$4:$AJ$503,270))</f>
        <v/>
      </c>
      <c r="K1773">
        <f>IF(LEN(INDEX('Providers'!$AI$4:$AI$503,270))=0,"",INDEX('Providers'!$AI$4:$AI$503,270))</f>
        <v/>
      </c>
    </row>
    <row r="1774">
      <c r="A1774">
        <f>IF(AND(LEN('Providers'!A274)&gt;0,ISNUMBER('Providers'!M274)),1,0)</f>
        <v/>
      </c>
      <c r="B1774">
        <f>B1773+A1774</f>
        <v/>
      </c>
      <c r="C1774">
        <f>IF(1771&gt;$B$4503,"",MATCH(1771-0.5,$B$3:$B$4503,1))</f>
        <v/>
      </c>
      <c r="D1774">
        <f>"Board certification – "&amp;IF(LEN(INDEX('Providers'!$A$4:$A$503,271))=0,"",INDEX('Providers'!$A$4:$A$503,271))</f>
        <v/>
      </c>
      <c r="E1774">
        <f>IF(ISNUMBER(INDEX('Providers'!$M$4:$M$503,271)),TEXT(INDEX('Providers'!$M$4:$M$503,271),"yyyy-mm-dd"),"")</f>
        <v/>
      </c>
      <c r="F1774">
        <f>"Certification"</f>
        <v/>
      </c>
      <c r="G1774">
        <f>""</f>
        <v/>
      </c>
      <c r="H1774">
        <f>"Medium"</f>
        <v/>
      </c>
      <c r="I1774">
        <f>TRIM(IF(LEN(IF(LEN(INDEX('Providers'!$L$4:$L$503,271))=0,"",INDEX('Providers'!$L$4:$L$503,271)))=0,"","Board / specialty: "&amp;IF(LEN(INDEX('Providers'!$L$4:$L$503,271))=0,"",INDEX('Providers'!$L$4:$L$503,271))&amp;". "))</f>
        <v/>
      </c>
      <c r="J1774">
        <f>IF(LEN(INDEX('Providers'!$AJ$4:$AJ$503,271))=0,"",INDEX('Providers'!$AJ$4:$AJ$503,271))</f>
        <v/>
      </c>
      <c r="K1774">
        <f>IF(LEN(INDEX('Providers'!$AI$4:$AI$503,271))=0,"",INDEX('Providers'!$AI$4:$AI$503,271))</f>
        <v/>
      </c>
    </row>
    <row r="1775">
      <c r="A1775">
        <f>IF(AND(LEN('Providers'!A275)&gt;0,ISNUMBER('Providers'!M275)),1,0)</f>
        <v/>
      </c>
      <c r="B1775">
        <f>B1774+A1775</f>
        <v/>
      </c>
      <c r="C1775">
        <f>IF(1772&gt;$B$4503,"",MATCH(1772-0.5,$B$3:$B$4503,1))</f>
        <v/>
      </c>
      <c r="D1775">
        <f>"Board certification – "&amp;IF(LEN(INDEX('Providers'!$A$4:$A$503,272))=0,"",INDEX('Providers'!$A$4:$A$503,272))</f>
        <v/>
      </c>
      <c r="E1775">
        <f>IF(ISNUMBER(INDEX('Providers'!$M$4:$M$503,272)),TEXT(INDEX('Providers'!$M$4:$M$503,272),"yyyy-mm-dd"),"")</f>
        <v/>
      </c>
      <c r="F1775">
        <f>"Certification"</f>
        <v/>
      </c>
      <c r="G1775">
        <f>""</f>
        <v/>
      </c>
      <c r="H1775">
        <f>"Medium"</f>
        <v/>
      </c>
      <c r="I1775">
        <f>TRIM(IF(LEN(IF(LEN(INDEX('Providers'!$L$4:$L$503,272))=0,"",INDEX('Providers'!$L$4:$L$503,272)))=0,"","Board / specialty: "&amp;IF(LEN(INDEX('Providers'!$L$4:$L$503,272))=0,"",INDEX('Providers'!$L$4:$L$503,272))&amp;". "))</f>
        <v/>
      </c>
      <c r="J1775">
        <f>IF(LEN(INDEX('Providers'!$AJ$4:$AJ$503,272))=0,"",INDEX('Providers'!$AJ$4:$AJ$503,272))</f>
        <v/>
      </c>
      <c r="K1775">
        <f>IF(LEN(INDEX('Providers'!$AI$4:$AI$503,272))=0,"",INDEX('Providers'!$AI$4:$AI$503,272))</f>
        <v/>
      </c>
    </row>
    <row r="1776">
      <c r="A1776">
        <f>IF(AND(LEN('Providers'!A276)&gt;0,ISNUMBER('Providers'!M276)),1,0)</f>
        <v/>
      </c>
      <c r="B1776">
        <f>B1775+A1776</f>
        <v/>
      </c>
      <c r="C1776">
        <f>IF(1773&gt;$B$4503,"",MATCH(1773-0.5,$B$3:$B$4503,1))</f>
        <v/>
      </c>
      <c r="D1776">
        <f>"Board certification – "&amp;IF(LEN(INDEX('Providers'!$A$4:$A$503,273))=0,"",INDEX('Providers'!$A$4:$A$503,273))</f>
        <v/>
      </c>
      <c r="E1776">
        <f>IF(ISNUMBER(INDEX('Providers'!$M$4:$M$503,273)),TEXT(INDEX('Providers'!$M$4:$M$503,273),"yyyy-mm-dd"),"")</f>
        <v/>
      </c>
      <c r="F1776">
        <f>"Certification"</f>
        <v/>
      </c>
      <c r="G1776">
        <f>""</f>
        <v/>
      </c>
      <c r="H1776">
        <f>"Medium"</f>
        <v/>
      </c>
      <c r="I1776">
        <f>TRIM(IF(LEN(IF(LEN(INDEX('Providers'!$L$4:$L$503,273))=0,"",INDEX('Providers'!$L$4:$L$503,273)))=0,"","Board / specialty: "&amp;IF(LEN(INDEX('Providers'!$L$4:$L$503,273))=0,"",INDEX('Providers'!$L$4:$L$503,273))&amp;". "))</f>
        <v/>
      </c>
      <c r="J1776">
        <f>IF(LEN(INDEX('Providers'!$AJ$4:$AJ$503,273))=0,"",INDEX('Providers'!$AJ$4:$AJ$503,273))</f>
        <v/>
      </c>
      <c r="K1776">
        <f>IF(LEN(INDEX('Providers'!$AI$4:$AI$503,273))=0,"",INDEX('Providers'!$AI$4:$AI$503,273))</f>
        <v/>
      </c>
    </row>
    <row r="1777">
      <c r="A1777">
        <f>IF(AND(LEN('Providers'!A277)&gt;0,ISNUMBER('Providers'!M277)),1,0)</f>
        <v/>
      </c>
      <c r="B1777">
        <f>B1776+A1777</f>
        <v/>
      </c>
      <c r="C1777">
        <f>IF(1774&gt;$B$4503,"",MATCH(1774-0.5,$B$3:$B$4503,1))</f>
        <v/>
      </c>
      <c r="D1777">
        <f>"Board certification – "&amp;IF(LEN(INDEX('Providers'!$A$4:$A$503,274))=0,"",INDEX('Providers'!$A$4:$A$503,274))</f>
        <v/>
      </c>
      <c r="E1777">
        <f>IF(ISNUMBER(INDEX('Providers'!$M$4:$M$503,274)),TEXT(INDEX('Providers'!$M$4:$M$503,274),"yyyy-mm-dd"),"")</f>
        <v/>
      </c>
      <c r="F1777">
        <f>"Certification"</f>
        <v/>
      </c>
      <c r="G1777">
        <f>""</f>
        <v/>
      </c>
      <c r="H1777">
        <f>"Medium"</f>
        <v/>
      </c>
      <c r="I1777">
        <f>TRIM(IF(LEN(IF(LEN(INDEX('Providers'!$L$4:$L$503,274))=0,"",INDEX('Providers'!$L$4:$L$503,274)))=0,"","Board / specialty: "&amp;IF(LEN(INDEX('Providers'!$L$4:$L$503,274))=0,"",INDEX('Providers'!$L$4:$L$503,274))&amp;". "))</f>
        <v/>
      </c>
      <c r="J1777">
        <f>IF(LEN(INDEX('Providers'!$AJ$4:$AJ$503,274))=0,"",INDEX('Providers'!$AJ$4:$AJ$503,274))</f>
        <v/>
      </c>
      <c r="K1777">
        <f>IF(LEN(INDEX('Providers'!$AI$4:$AI$503,274))=0,"",INDEX('Providers'!$AI$4:$AI$503,274))</f>
        <v/>
      </c>
    </row>
    <row r="1778">
      <c r="A1778">
        <f>IF(AND(LEN('Providers'!A278)&gt;0,ISNUMBER('Providers'!M278)),1,0)</f>
        <v/>
      </c>
      <c r="B1778">
        <f>B1777+A1778</f>
        <v/>
      </c>
      <c r="C1778">
        <f>IF(1775&gt;$B$4503,"",MATCH(1775-0.5,$B$3:$B$4503,1))</f>
        <v/>
      </c>
      <c r="D1778">
        <f>"Board certification – "&amp;IF(LEN(INDEX('Providers'!$A$4:$A$503,275))=0,"",INDEX('Providers'!$A$4:$A$503,275))</f>
        <v/>
      </c>
      <c r="E1778">
        <f>IF(ISNUMBER(INDEX('Providers'!$M$4:$M$503,275)),TEXT(INDEX('Providers'!$M$4:$M$503,275),"yyyy-mm-dd"),"")</f>
        <v/>
      </c>
      <c r="F1778">
        <f>"Certification"</f>
        <v/>
      </c>
      <c r="G1778">
        <f>""</f>
        <v/>
      </c>
      <c r="H1778">
        <f>"Medium"</f>
        <v/>
      </c>
      <c r="I1778">
        <f>TRIM(IF(LEN(IF(LEN(INDEX('Providers'!$L$4:$L$503,275))=0,"",INDEX('Providers'!$L$4:$L$503,275)))=0,"","Board / specialty: "&amp;IF(LEN(INDEX('Providers'!$L$4:$L$503,275))=0,"",INDEX('Providers'!$L$4:$L$503,275))&amp;". "))</f>
        <v/>
      </c>
      <c r="J1778">
        <f>IF(LEN(INDEX('Providers'!$AJ$4:$AJ$503,275))=0,"",INDEX('Providers'!$AJ$4:$AJ$503,275))</f>
        <v/>
      </c>
      <c r="K1778">
        <f>IF(LEN(INDEX('Providers'!$AI$4:$AI$503,275))=0,"",INDEX('Providers'!$AI$4:$AI$503,275))</f>
        <v/>
      </c>
    </row>
    <row r="1779">
      <c r="A1779">
        <f>IF(AND(LEN('Providers'!A279)&gt;0,ISNUMBER('Providers'!M279)),1,0)</f>
        <v/>
      </c>
      <c r="B1779">
        <f>B1778+A1779</f>
        <v/>
      </c>
      <c r="C1779">
        <f>IF(1776&gt;$B$4503,"",MATCH(1776-0.5,$B$3:$B$4503,1))</f>
        <v/>
      </c>
      <c r="D1779">
        <f>"Board certification – "&amp;IF(LEN(INDEX('Providers'!$A$4:$A$503,276))=0,"",INDEX('Providers'!$A$4:$A$503,276))</f>
        <v/>
      </c>
      <c r="E1779">
        <f>IF(ISNUMBER(INDEX('Providers'!$M$4:$M$503,276)),TEXT(INDEX('Providers'!$M$4:$M$503,276),"yyyy-mm-dd"),"")</f>
        <v/>
      </c>
      <c r="F1779">
        <f>"Certification"</f>
        <v/>
      </c>
      <c r="G1779">
        <f>""</f>
        <v/>
      </c>
      <c r="H1779">
        <f>"Medium"</f>
        <v/>
      </c>
      <c r="I1779">
        <f>TRIM(IF(LEN(IF(LEN(INDEX('Providers'!$L$4:$L$503,276))=0,"",INDEX('Providers'!$L$4:$L$503,276)))=0,"","Board / specialty: "&amp;IF(LEN(INDEX('Providers'!$L$4:$L$503,276))=0,"",INDEX('Providers'!$L$4:$L$503,276))&amp;". "))</f>
        <v/>
      </c>
      <c r="J1779">
        <f>IF(LEN(INDEX('Providers'!$AJ$4:$AJ$503,276))=0,"",INDEX('Providers'!$AJ$4:$AJ$503,276))</f>
        <v/>
      </c>
      <c r="K1779">
        <f>IF(LEN(INDEX('Providers'!$AI$4:$AI$503,276))=0,"",INDEX('Providers'!$AI$4:$AI$503,276))</f>
        <v/>
      </c>
    </row>
    <row r="1780">
      <c r="A1780">
        <f>IF(AND(LEN('Providers'!A280)&gt;0,ISNUMBER('Providers'!M280)),1,0)</f>
        <v/>
      </c>
      <c r="B1780">
        <f>B1779+A1780</f>
        <v/>
      </c>
      <c r="C1780">
        <f>IF(1777&gt;$B$4503,"",MATCH(1777-0.5,$B$3:$B$4503,1))</f>
        <v/>
      </c>
      <c r="D1780">
        <f>"Board certification – "&amp;IF(LEN(INDEX('Providers'!$A$4:$A$503,277))=0,"",INDEX('Providers'!$A$4:$A$503,277))</f>
        <v/>
      </c>
      <c r="E1780">
        <f>IF(ISNUMBER(INDEX('Providers'!$M$4:$M$503,277)),TEXT(INDEX('Providers'!$M$4:$M$503,277),"yyyy-mm-dd"),"")</f>
        <v/>
      </c>
      <c r="F1780">
        <f>"Certification"</f>
        <v/>
      </c>
      <c r="G1780">
        <f>""</f>
        <v/>
      </c>
      <c r="H1780">
        <f>"Medium"</f>
        <v/>
      </c>
      <c r="I1780">
        <f>TRIM(IF(LEN(IF(LEN(INDEX('Providers'!$L$4:$L$503,277))=0,"",INDEX('Providers'!$L$4:$L$503,277)))=0,"","Board / specialty: "&amp;IF(LEN(INDEX('Providers'!$L$4:$L$503,277))=0,"",INDEX('Providers'!$L$4:$L$503,277))&amp;". "))</f>
        <v/>
      </c>
      <c r="J1780">
        <f>IF(LEN(INDEX('Providers'!$AJ$4:$AJ$503,277))=0,"",INDEX('Providers'!$AJ$4:$AJ$503,277))</f>
        <v/>
      </c>
      <c r="K1780">
        <f>IF(LEN(INDEX('Providers'!$AI$4:$AI$503,277))=0,"",INDEX('Providers'!$AI$4:$AI$503,277))</f>
        <v/>
      </c>
    </row>
    <row r="1781">
      <c r="A1781">
        <f>IF(AND(LEN('Providers'!A281)&gt;0,ISNUMBER('Providers'!M281)),1,0)</f>
        <v/>
      </c>
      <c r="B1781">
        <f>B1780+A1781</f>
        <v/>
      </c>
      <c r="C1781">
        <f>IF(1778&gt;$B$4503,"",MATCH(1778-0.5,$B$3:$B$4503,1))</f>
        <v/>
      </c>
      <c r="D1781">
        <f>"Board certification – "&amp;IF(LEN(INDEX('Providers'!$A$4:$A$503,278))=0,"",INDEX('Providers'!$A$4:$A$503,278))</f>
        <v/>
      </c>
      <c r="E1781">
        <f>IF(ISNUMBER(INDEX('Providers'!$M$4:$M$503,278)),TEXT(INDEX('Providers'!$M$4:$M$503,278),"yyyy-mm-dd"),"")</f>
        <v/>
      </c>
      <c r="F1781">
        <f>"Certification"</f>
        <v/>
      </c>
      <c r="G1781">
        <f>""</f>
        <v/>
      </c>
      <c r="H1781">
        <f>"Medium"</f>
        <v/>
      </c>
      <c r="I1781">
        <f>TRIM(IF(LEN(IF(LEN(INDEX('Providers'!$L$4:$L$503,278))=0,"",INDEX('Providers'!$L$4:$L$503,278)))=0,"","Board / specialty: "&amp;IF(LEN(INDEX('Providers'!$L$4:$L$503,278))=0,"",INDEX('Providers'!$L$4:$L$503,278))&amp;". "))</f>
        <v/>
      </c>
      <c r="J1781">
        <f>IF(LEN(INDEX('Providers'!$AJ$4:$AJ$503,278))=0,"",INDEX('Providers'!$AJ$4:$AJ$503,278))</f>
        <v/>
      </c>
      <c r="K1781">
        <f>IF(LEN(INDEX('Providers'!$AI$4:$AI$503,278))=0,"",INDEX('Providers'!$AI$4:$AI$503,278))</f>
        <v/>
      </c>
    </row>
    <row r="1782">
      <c r="A1782">
        <f>IF(AND(LEN('Providers'!A282)&gt;0,ISNUMBER('Providers'!M282)),1,0)</f>
        <v/>
      </c>
      <c r="B1782">
        <f>B1781+A1782</f>
        <v/>
      </c>
      <c r="C1782">
        <f>IF(1779&gt;$B$4503,"",MATCH(1779-0.5,$B$3:$B$4503,1))</f>
        <v/>
      </c>
      <c r="D1782">
        <f>"Board certification – "&amp;IF(LEN(INDEX('Providers'!$A$4:$A$503,279))=0,"",INDEX('Providers'!$A$4:$A$503,279))</f>
        <v/>
      </c>
      <c r="E1782">
        <f>IF(ISNUMBER(INDEX('Providers'!$M$4:$M$503,279)),TEXT(INDEX('Providers'!$M$4:$M$503,279),"yyyy-mm-dd"),"")</f>
        <v/>
      </c>
      <c r="F1782">
        <f>"Certification"</f>
        <v/>
      </c>
      <c r="G1782">
        <f>""</f>
        <v/>
      </c>
      <c r="H1782">
        <f>"Medium"</f>
        <v/>
      </c>
      <c r="I1782">
        <f>TRIM(IF(LEN(IF(LEN(INDEX('Providers'!$L$4:$L$503,279))=0,"",INDEX('Providers'!$L$4:$L$503,279)))=0,"","Board / specialty: "&amp;IF(LEN(INDEX('Providers'!$L$4:$L$503,279))=0,"",INDEX('Providers'!$L$4:$L$503,279))&amp;". "))</f>
        <v/>
      </c>
      <c r="J1782">
        <f>IF(LEN(INDEX('Providers'!$AJ$4:$AJ$503,279))=0,"",INDEX('Providers'!$AJ$4:$AJ$503,279))</f>
        <v/>
      </c>
      <c r="K1782">
        <f>IF(LEN(INDEX('Providers'!$AI$4:$AI$503,279))=0,"",INDEX('Providers'!$AI$4:$AI$503,279))</f>
        <v/>
      </c>
    </row>
    <row r="1783">
      <c r="A1783">
        <f>IF(AND(LEN('Providers'!A283)&gt;0,ISNUMBER('Providers'!M283)),1,0)</f>
        <v/>
      </c>
      <c r="B1783">
        <f>B1782+A1783</f>
        <v/>
      </c>
      <c r="C1783">
        <f>IF(1780&gt;$B$4503,"",MATCH(1780-0.5,$B$3:$B$4503,1))</f>
        <v/>
      </c>
      <c r="D1783">
        <f>"Board certification – "&amp;IF(LEN(INDEX('Providers'!$A$4:$A$503,280))=0,"",INDEX('Providers'!$A$4:$A$503,280))</f>
        <v/>
      </c>
      <c r="E1783">
        <f>IF(ISNUMBER(INDEX('Providers'!$M$4:$M$503,280)),TEXT(INDEX('Providers'!$M$4:$M$503,280),"yyyy-mm-dd"),"")</f>
        <v/>
      </c>
      <c r="F1783">
        <f>"Certification"</f>
        <v/>
      </c>
      <c r="G1783">
        <f>""</f>
        <v/>
      </c>
      <c r="H1783">
        <f>"Medium"</f>
        <v/>
      </c>
      <c r="I1783">
        <f>TRIM(IF(LEN(IF(LEN(INDEX('Providers'!$L$4:$L$503,280))=0,"",INDEX('Providers'!$L$4:$L$503,280)))=0,"","Board / specialty: "&amp;IF(LEN(INDEX('Providers'!$L$4:$L$503,280))=0,"",INDEX('Providers'!$L$4:$L$503,280))&amp;". "))</f>
        <v/>
      </c>
      <c r="J1783">
        <f>IF(LEN(INDEX('Providers'!$AJ$4:$AJ$503,280))=0,"",INDEX('Providers'!$AJ$4:$AJ$503,280))</f>
        <v/>
      </c>
      <c r="K1783">
        <f>IF(LEN(INDEX('Providers'!$AI$4:$AI$503,280))=0,"",INDEX('Providers'!$AI$4:$AI$503,280))</f>
        <v/>
      </c>
    </row>
    <row r="1784">
      <c r="A1784">
        <f>IF(AND(LEN('Providers'!A284)&gt;0,ISNUMBER('Providers'!M284)),1,0)</f>
        <v/>
      </c>
      <c r="B1784">
        <f>B1783+A1784</f>
        <v/>
      </c>
      <c r="C1784">
        <f>IF(1781&gt;$B$4503,"",MATCH(1781-0.5,$B$3:$B$4503,1))</f>
        <v/>
      </c>
      <c r="D1784">
        <f>"Board certification – "&amp;IF(LEN(INDEX('Providers'!$A$4:$A$503,281))=0,"",INDEX('Providers'!$A$4:$A$503,281))</f>
        <v/>
      </c>
      <c r="E1784">
        <f>IF(ISNUMBER(INDEX('Providers'!$M$4:$M$503,281)),TEXT(INDEX('Providers'!$M$4:$M$503,281),"yyyy-mm-dd"),"")</f>
        <v/>
      </c>
      <c r="F1784">
        <f>"Certification"</f>
        <v/>
      </c>
      <c r="G1784">
        <f>""</f>
        <v/>
      </c>
      <c r="H1784">
        <f>"Medium"</f>
        <v/>
      </c>
      <c r="I1784">
        <f>TRIM(IF(LEN(IF(LEN(INDEX('Providers'!$L$4:$L$503,281))=0,"",INDEX('Providers'!$L$4:$L$503,281)))=0,"","Board / specialty: "&amp;IF(LEN(INDEX('Providers'!$L$4:$L$503,281))=0,"",INDEX('Providers'!$L$4:$L$503,281))&amp;". "))</f>
        <v/>
      </c>
      <c r="J1784">
        <f>IF(LEN(INDEX('Providers'!$AJ$4:$AJ$503,281))=0,"",INDEX('Providers'!$AJ$4:$AJ$503,281))</f>
        <v/>
      </c>
      <c r="K1784">
        <f>IF(LEN(INDEX('Providers'!$AI$4:$AI$503,281))=0,"",INDEX('Providers'!$AI$4:$AI$503,281))</f>
        <v/>
      </c>
    </row>
    <row r="1785">
      <c r="A1785">
        <f>IF(AND(LEN('Providers'!A285)&gt;0,ISNUMBER('Providers'!M285)),1,0)</f>
        <v/>
      </c>
      <c r="B1785">
        <f>B1784+A1785</f>
        <v/>
      </c>
      <c r="C1785">
        <f>IF(1782&gt;$B$4503,"",MATCH(1782-0.5,$B$3:$B$4503,1))</f>
        <v/>
      </c>
      <c r="D1785">
        <f>"Board certification – "&amp;IF(LEN(INDEX('Providers'!$A$4:$A$503,282))=0,"",INDEX('Providers'!$A$4:$A$503,282))</f>
        <v/>
      </c>
      <c r="E1785">
        <f>IF(ISNUMBER(INDEX('Providers'!$M$4:$M$503,282)),TEXT(INDEX('Providers'!$M$4:$M$503,282),"yyyy-mm-dd"),"")</f>
        <v/>
      </c>
      <c r="F1785">
        <f>"Certification"</f>
        <v/>
      </c>
      <c r="G1785">
        <f>""</f>
        <v/>
      </c>
      <c r="H1785">
        <f>"Medium"</f>
        <v/>
      </c>
      <c r="I1785">
        <f>TRIM(IF(LEN(IF(LEN(INDEX('Providers'!$L$4:$L$503,282))=0,"",INDEX('Providers'!$L$4:$L$503,282)))=0,"","Board / specialty: "&amp;IF(LEN(INDEX('Providers'!$L$4:$L$503,282))=0,"",INDEX('Providers'!$L$4:$L$503,282))&amp;". "))</f>
        <v/>
      </c>
      <c r="J1785">
        <f>IF(LEN(INDEX('Providers'!$AJ$4:$AJ$503,282))=0,"",INDEX('Providers'!$AJ$4:$AJ$503,282))</f>
        <v/>
      </c>
      <c r="K1785">
        <f>IF(LEN(INDEX('Providers'!$AI$4:$AI$503,282))=0,"",INDEX('Providers'!$AI$4:$AI$503,282))</f>
        <v/>
      </c>
    </row>
    <row r="1786">
      <c r="A1786">
        <f>IF(AND(LEN('Providers'!A286)&gt;0,ISNUMBER('Providers'!M286)),1,0)</f>
        <v/>
      </c>
      <c r="B1786">
        <f>B1785+A1786</f>
        <v/>
      </c>
      <c r="C1786">
        <f>IF(1783&gt;$B$4503,"",MATCH(1783-0.5,$B$3:$B$4503,1))</f>
        <v/>
      </c>
      <c r="D1786">
        <f>"Board certification – "&amp;IF(LEN(INDEX('Providers'!$A$4:$A$503,283))=0,"",INDEX('Providers'!$A$4:$A$503,283))</f>
        <v/>
      </c>
      <c r="E1786">
        <f>IF(ISNUMBER(INDEX('Providers'!$M$4:$M$503,283)),TEXT(INDEX('Providers'!$M$4:$M$503,283),"yyyy-mm-dd"),"")</f>
        <v/>
      </c>
      <c r="F1786">
        <f>"Certification"</f>
        <v/>
      </c>
      <c r="G1786">
        <f>""</f>
        <v/>
      </c>
      <c r="H1786">
        <f>"Medium"</f>
        <v/>
      </c>
      <c r="I1786">
        <f>TRIM(IF(LEN(IF(LEN(INDEX('Providers'!$L$4:$L$503,283))=0,"",INDEX('Providers'!$L$4:$L$503,283)))=0,"","Board / specialty: "&amp;IF(LEN(INDEX('Providers'!$L$4:$L$503,283))=0,"",INDEX('Providers'!$L$4:$L$503,283))&amp;". "))</f>
        <v/>
      </c>
      <c r="J1786">
        <f>IF(LEN(INDEX('Providers'!$AJ$4:$AJ$503,283))=0,"",INDEX('Providers'!$AJ$4:$AJ$503,283))</f>
        <v/>
      </c>
      <c r="K1786">
        <f>IF(LEN(INDEX('Providers'!$AI$4:$AI$503,283))=0,"",INDEX('Providers'!$AI$4:$AI$503,283))</f>
        <v/>
      </c>
    </row>
    <row r="1787">
      <c r="A1787">
        <f>IF(AND(LEN('Providers'!A287)&gt;0,ISNUMBER('Providers'!M287)),1,0)</f>
        <v/>
      </c>
      <c r="B1787">
        <f>B1786+A1787</f>
        <v/>
      </c>
      <c r="C1787">
        <f>IF(1784&gt;$B$4503,"",MATCH(1784-0.5,$B$3:$B$4503,1))</f>
        <v/>
      </c>
      <c r="D1787">
        <f>"Board certification – "&amp;IF(LEN(INDEX('Providers'!$A$4:$A$503,284))=0,"",INDEX('Providers'!$A$4:$A$503,284))</f>
        <v/>
      </c>
      <c r="E1787">
        <f>IF(ISNUMBER(INDEX('Providers'!$M$4:$M$503,284)),TEXT(INDEX('Providers'!$M$4:$M$503,284),"yyyy-mm-dd"),"")</f>
        <v/>
      </c>
      <c r="F1787">
        <f>"Certification"</f>
        <v/>
      </c>
      <c r="G1787">
        <f>""</f>
        <v/>
      </c>
      <c r="H1787">
        <f>"Medium"</f>
        <v/>
      </c>
      <c r="I1787">
        <f>TRIM(IF(LEN(IF(LEN(INDEX('Providers'!$L$4:$L$503,284))=0,"",INDEX('Providers'!$L$4:$L$503,284)))=0,"","Board / specialty: "&amp;IF(LEN(INDEX('Providers'!$L$4:$L$503,284))=0,"",INDEX('Providers'!$L$4:$L$503,284))&amp;". "))</f>
        <v/>
      </c>
      <c r="J1787">
        <f>IF(LEN(INDEX('Providers'!$AJ$4:$AJ$503,284))=0,"",INDEX('Providers'!$AJ$4:$AJ$503,284))</f>
        <v/>
      </c>
      <c r="K1787">
        <f>IF(LEN(INDEX('Providers'!$AI$4:$AI$503,284))=0,"",INDEX('Providers'!$AI$4:$AI$503,284))</f>
        <v/>
      </c>
    </row>
    <row r="1788">
      <c r="A1788">
        <f>IF(AND(LEN('Providers'!A288)&gt;0,ISNUMBER('Providers'!M288)),1,0)</f>
        <v/>
      </c>
      <c r="B1788">
        <f>B1787+A1788</f>
        <v/>
      </c>
      <c r="C1788">
        <f>IF(1785&gt;$B$4503,"",MATCH(1785-0.5,$B$3:$B$4503,1))</f>
        <v/>
      </c>
      <c r="D1788">
        <f>"Board certification – "&amp;IF(LEN(INDEX('Providers'!$A$4:$A$503,285))=0,"",INDEX('Providers'!$A$4:$A$503,285))</f>
        <v/>
      </c>
      <c r="E1788">
        <f>IF(ISNUMBER(INDEX('Providers'!$M$4:$M$503,285)),TEXT(INDEX('Providers'!$M$4:$M$503,285),"yyyy-mm-dd"),"")</f>
        <v/>
      </c>
      <c r="F1788">
        <f>"Certification"</f>
        <v/>
      </c>
      <c r="G1788">
        <f>""</f>
        <v/>
      </c>
      <c r="H1788">
        <f>"Medium"</f>
        <v/>
      </c>
      <c r="I1788">
        <f>TRIM(IF(LEN(IF(LEN(INDEX('Providers'!$L$4:$L$503,285))=0,"",INDEX('Providers'!$L$4:$L$503,285)))=0,"","Board / specialty: "&amp;IF(LEN(INDEX('Providers'!$L$4:$L$503,285))=0,"",INDEX('Providers'!$L$4:$L$503,285))&amp;". "))</f>
        <v/>
      </c>
      <c r="J1788">
        <f>IF(LEN(INDEX('Providers'!$AJ$4:$AJ$503,285))=0,"",INDEX('Providers'!$AJ$4:$AJ$503,285))</f>
        <v/>
      </c>
      <c r="K1788">
        <f>IF(LEN(INDEX('Providers'!$AI$4:$AI$503,285))=0,"",INDEX('Providers'!$AI$4:$AI$503,285))</f>
        <v/>
      </c>
    </row>
    <row r="1789">
      <c r="A1789">
        <f>IF(AND(LEN('Providers'!A289)&gt;0,ISNUMBER('Providers'!M289)),1,0)</f>
        <v/>
      </c>
      <c r="B1789">
        <f>B1788+A1789</f>
        <v/>
      </c>
      <c r="C1789">
        <f>IF(1786&gt;$B$4503,"",MATCH(1786-0.5,$B$3:$B$4503,1))</f>
        <v/>
      </c>
      <c r="D1789">
        <f>"Board certification – "&amp;IF(LEN(INDEX('Providers'!$A$4:$A$503,286))=0,"",INDEX('Providers'!$A$4:$A$503,286))</f>
        <v/>
      </c>
      <c r="E1789">
        <f>IF(ISNUMBER(INDEX('Providers'!$M$4:$M$503,286)),TEXT(INDEX('Providers'!$M$4:$M$503,286),"yyyy-mm-dd"),"")</f>
        <v/>
      </c>
      <c r="F1789">
        <f>"Certification"</f>
        <v/>
      </c>
      <c r="G1789">
        <f>""</f>
        <v/>
      </c>
      <c r="H1789">
        <f>"Medium"</f>
        <v/>
      </c>
      <c r="I1789">
        <f>TRIM(IF(LEN(IF(LEN(INDEX('Providers'!$L$4:$L$503,286))=0,"",INDEX('Providers'!$L$4:$L$503,286)))=0,"","Board / specialty: "&amp;IF(LEN(INDEX('Providers'!$L$4:$L$503,286))=0,"",INDEX('Providers'!$L$4:$L$503,286))&amp;". "))</f>
        <v/>
      </c>
      <c r="J1789">
        <f>IF(LEN(INDEX('Providers'!$AJ$4:$AJ$503,286))=0,"",INDEX('Providers'!$AJ$4:$AJ$503,286))</f>
        <v/>
      </c>
      <c r="K1789">
        <f>IF(LEN(INDEX('Providers'!$AI$4:$AI$503,286))=0,"",INDEX('Providers'!$AI$4:$AI$503,286))</f>
        <v/>
      </c>
    </row>
    <row r="1790">
      <c r="A1790">
        <f>IF(AND(LEN('Providers'!A290)&gt;0,ISNUMBER('Providers'!M290)),1,0)</f>
        <v/>
      </c>
      <c r="B1790">
        <f>B1789+A1790</f>
        <v/>
      </c>
      <c r="C1790">
        <f>IF(1787&gt;$B$4503,"",MATCH(1787-0.5,$B$3:$B$4503,1))</f>
        <v/>
      </c>
      <c r="D1790">
        <f>"Board certification – "&amp;IF(LEN(INDEX('Providers'!$A$4:$A$503,287))=0,"",INDEX('Providers'!$A$4:$A$503,287))</f>
        <v/>
      </c>
      <c r="E1790">
        <f>IF(ISNUMBER(INDEX('Providers'!$M$4:$M$503,287)),TEXT(INDEX('Providers'!$M$4:$M$503,287),"yyyy-mm-dd"),"")</f>
        <v/>
      </c>
      <c r="F1790">
        <f>"Certification"</f>
        <v/>
      </c>
      <c r="G1790">
        <f>""</f>
        <v/>
      </c>
      <c r="H1790">
        <f>"Medium"</f>
        <v/>
      </c>
      <c r="I1790">
        <f>TRIM(IF(LEN(IF(LEN(INDEX('Providers'!$L$4:$L$503,287))=0,"",INDEX('Providers'!$L$4:$L$503,287)))=0,"","Board / specialty: "&amp;IF(LEN(INDEX('Providers'!$L$4:$L$503,287))=0,"",INDEX('Providers'!$L$4:$L$503,287))&amp;". "))</f>
        <v/>
      </c>
      <c r="J1790">
        <f>IF(LEN(INDEX('Providers'!$AJ$4:$AJ$503,287))=0,"",INDEX('Providers'!$AJ$4:$AJ$503,287))</f>
        <v/>
      </c>
      <c r="K1790">
        <f>IF(LEN(INDEX('Providers'!$AI$4:$AI$503,287))=0,"",INDEX('Providers'!$AI$4:$AI$503,287))</f>
        <v/>
      </c>
    </row>
    <row r="1791">
      <c r="A1791">
        <f>IF(AND(LEN('Providers'!A291)&gt;0,ISNUMBER('Providers'!M291)),1,0)</f>
        <v/>
      </c>
      <c r="B1791">
        <f>B1790+A1791</f>
        <v/>
      </c>
      <c r="C1791">
        <f>IF(1788&gt;$B$4503,"",MATCH(1788-0.5,$B$3:$B$4503,1))</f>
        <v/>
      </c>
      <c r="D1791">
        <f>"Board certification – "&amp;IF(LEN(INDEX('Providers'!$A$4:$A$503,288))=0,"",INDEX('Providers'!$A$4:$A$503,288))</f>
        <v/>
      </c>
      <c r="E1791">
        <f>IF(ISNUMBER(INDEX('Providers'!$M$4:$M$503,288)),TEXT(INDEX('Providers'!$M$4:$M$503,288),"yyyy-mm-dd"),"")</f>
        <v/>
      </c>
      <c r="F1791">
        <f>"Certification"</f>
        <v/>
      </c>
      <c r="G1791">
        <f>""</f>
        <v/>
      </c>
      <c r="H1791">
        <f>"Medium"</f>
        <v/>
      </c>
      <c r="I1791">
        <f>TRIM(IF(LEN(IF(LEN(INDEX('Providers'!$L$4:$L$503,288))=0,"",INDEX('Providers'!$L$4:$L$503,288)))=0,"","Board / specialty: "&amp;IF(LEN(INDEX('Providers'!$L$4:$L$503,288))=0,"",INDEX('Providers'!$L$4:$L$503,288))&amp;". "))</f>
        <v/>
      </c>
      <c r="J1791">
        <f>IF(LEN(INDEX('Providers'!$AJ$4:$AJ$503,288))=0,"",INDEX('Providers'!$AJ$4:$AJ$503,288))</f>
        <v/>
      </c>
      <c r="K1791">
        <f>IF(LEN(INDEX('Providers'!$AI$4:$AI$503,288))=0,"",INDEX('Providers'!$AI$4:$AI$503,288))</f>
        <v/>
      </c>
    </row>
    <row r="1792">
      <c r="A1792">
        <f>IF(AND(LEN('Providers'!A292)&gt;0,ISNUMBER('Providers'!M292)),1,0)</f>
        <v/>
      </c>
      <c r="B1792">
        <f>B1791+A1792</f>
        <v/>
      </c>
      <c r="C1792">
        <f>IF(1789&gt;$B$4503,"",MATCH(1789-0.5,$B$3:$B$4503,1))</f>
        <v/>
      </c>
      <c r="D1792">
        <f>"Board certification – "&amp;IF(LEN(INDEX('Providers'!$A$4:$A$503,289))=0,"",INDEX('Providers'!$A$4:$A$503,289))</f>
        <v/>
      </c>
      <c r="E1792">
        <f>IF(ISNUMBER(INDEX('Providers'!$M$4:$M$503,289)),TEXT(INDEX('Providers'!$M$4:$M$503,289),"yyyy-mm-dd"),"")</f>
        <v/>
      </c>
      <c r="F1792">
        <f>"Certification"</f>
        <v/>
      </c>
      <c r="G1792">
        <f>""</f>
        <v/>
      </c>
      <c r="H1792">
        <f>"Medium"</f>
        <v/>
      </c>
      <c r="I1792">
        <f>TRIM(IF(LEN(IF(LEN(INDEX('Providers'!$L$4:$L$503,289))=0,"",INDEX('Providers'!$L$4:$L$503,289)))=0,"","Board / specialty: "&amp;IF(LEN(INDEX('Providers'!$L$4:$L$503,289))=0,"",INDEX('Providers'!$L$4:$L$503,289))&amp;". "))</f>
        <v/>
      </c>
      <c r="J1792">
        <f>IF(LEN(INDEX('Providers'!$AJ$4:$AJ$503,289))=0,"",INDEX('Providers'!$AJ$4:$AJ$503,289))</f>
        <v/>
      </c>
      <c r="K1792">
        <f>IF(LEN(INDEX('Providers'!$AI$4:$AI$503,289))=0,"",INDEX('Providers'!$AI$4:$AI$503,289))</f>
        <v/>
      </c>
    </row>
    <row r="1793">
      <c r="A1793">
        <f>IF(AND(LEN('Providers'!A293)&gt;0,ISNUMBER('Providers'!M293)),1,0)</f>
        <v/>
      </c>
      <c r="B1793">
        <f>B1792+A1793</f>
        <v/>
      </c>
      <c r="C1793">
        <f>IF(1790&gt;$B$4503,"",MATCH(1790-0.5,$B$3:$B$4503,1))</f>
        <v/>
      </c>
      <c r="D1793">
        <f>"Board certification – "&amp;IF(LEN(INDEX('Providers'!$A$4:$A$503,290))=0,"",INDEX('Providers'!$A$4:$A$503,290))</f>
        <v/>
      </c>
      <c r="E1793">
        <f>IF(ISNUMBER(INDEX('Providers'!$M$4:$M$503,290)),TEXT(INDEX('Providers'!$M$4:$M$503,290),"yyyy-mm-dd"),"")</f>
        <v/>
      </c>
      <c r="F1793">
        <f>"Certification"</f>
        <v/>
      </c>
      <c r="G1793">
        <f>""</f>
        <v/>
      </c>
      <c r="H1793">
        <f>"Medium"</f>
        <v/>
      </c>
      <c r="I1793">
        <f>TRIM(IF(LEN(IF(LEN(INDEX('Providers'!$L$4:$L$503,290))=0,"",INDEX('Providers'!$L$4:$L$503,290)))=0,"","Board / specialty: "&amp;IF(LEN(INDEX('Providers'!$L$4:$L$503,290))=0,"",INDEX('Providers'!$L$4:$L$503,290))&amp;". "))</f>
        <v/>
      </c>
      <c r="J1793">
        <f>IF(LEN(INDEX('Providers'!$AJ$4:$AJ$503,290))=0,"",INDEX('Providers'!$AJ$4:$AJ$503,290))</f>
        <v/>
      </c>
      <c r="K1793">
        <f>IF(LEN(INDEX('Providers'!$AI$4:$AI$503,290))=0,"",INDEX('Providers'!$AI$4:$AI$503,290))</f>
        <v/>
      </c>
    </row>
    <row r="1794">
      <c r="A1794">
        <f>IF(AND(LEN('Providers'!A294)&gt;0,ISNUMBER('Providers'!M294)),1,0)</f>
        <v/>
      </c>
      <c r="B1794">
        <f>B1793+A1794</f>
        <v/>
      </c>
      <c r="C1794">
        <f>IF(1791&gt;$B$4503,"",MATCH(1791-0.5,$B$3:$B$4503,1))</f>
        <v/>
      </c>
      <c r="D1794">
        <f>"Board certification – "&amp;IF(LEN(INDEX('Providers'!$A$4:$A$503,291))=0,"",INDEX('Providers'!$A$4:$A$503,291))</f>
        <v/>
      </c>
      <c r="E1794">
        <f>IF(ISNUMBER(INDEX('Providers'!$M$4:$M$503,291)),TEXT(INDEX('Providers'!$M$4:$M$503,291),"yyyy-mm-dd"),"")</f>
        <v/>
      </c>
      <c r="F1794">
        <f>"Certification"</f>
        <v/>
      </c>
      <c r="G1794">
        <f>""</f>
        <v/>
      </c>
      <c r="H1794">
        <f>"Medium"</f>
        <v/>
      </c>
      <c r="I1794">
        <f>TRIM(IF(LEN(IF(LEN(INDEX('Providers'!$L$4:$L$503,291))=0,"",INDEX('Providers'!$L$4:$L$503,291)))=0,"","Board / specialty: "&amp;IF(LEN(INDEX('Providers'!$L$4:$L$503,291))=0,"",INDEX('Providers'!$L$4:$L$503,291))&amp;". "))</f>
        <v/>
      </c>
      <c r="J1794">
        <f>IF(LEN(INDEX('Providers'!$AJ$4:$AJ$503,291))=0,"",INDEX('Providers'!$AJ$4:$AJ$503,291))</f>
        <v/>
      </c>
      <c r="K1794">
        <f>IF(LEN(INDEX('Providers'!$AI$4:$AI$503,291))=0,"",INDEX('Providers'!$AI$4:$AI$503,291))</f>
        <v/>
      </c>
    </row>
    <row r="1795">
      <c r="A1795">
        <f>IF(AND(LEN('Providers'!A295)&gt;0,ISNUMBER('Providers'!M295)),1,0)</f>
        <v/>
      </c>
      <c r="B1795">
        <f>B1794+A1795</f>
        <v/>
      </c>
      <c r="C1795">
        <f>IF(1792&gt;$B$4503,"",MATCH(1792-0.5,$B$3:$B$4503,1))</f>
        <v/>
      </c>
      <c r="D1795">
        <f>"Board certification – "&amp;IF(LEN(INDEX('Providers'!$A$4:$A$503,292))=0,"",INDEX('Providers'!$A$4:$A$503,292))</f>
        <v/>
      </c>
      <c r="E1795">
        <f>IF(ISNUMBER(INDEX('Providers'!$M$4:$M$503,292)),TEXT(INDEX('Providers'!$M$4:$M$503,292),"yyyy-mm-dd"),"")</f>
        <v/>
      </c>
      <c r="F1795">
        <f>"Certification"</f>
        <v/>
      </c>
      <c r="G1795">
        <f>""</f>
        <v/>
      </c>
      <c r="H1795">
        <f>"Medium"</f>
        <v/>
      </c>
      <c r="I1795">
        <f>TRIM(IF(LEN(IF(LEN(INDEX('Providers'!$L$4:$L$503,292))=0,"",INDEX('Providers'!$L$4:$L$503,292)))=0,"","Board / specialty: "&amp;IF(LEN(INDEX('Providers'!$L$4:$L$503,292))=0,"",INDEX('Providers'!$L$4:$L$503,292))&amp;". "))</f>
        <v/>
      </c>
      <c r="J1795">
        <f>IF(LEN(INDEX('Providers'!$AJ$4:$AJ$503,292))=0,"",INDEX('Providers'!$AJ$4:$AJ$503,292))</f>
        <v/>
      </c>
      <c r="K1795">
        <f>IF(LEN(INDEX('Providers'!$AI$4:$AI$503,292))=0,"",INDEX('Providers'!$AI$4:$AI$503,292))</f>
        <v/>
      </c>
    </row>
    <row r="1796">
      <c r="A1796">
        <f>IF(AND(LEN('Providers'!A296)&gt;0,ISNUMBER('Providers'!M296)),1,0)</f>
        <v/>
      </c>
      <c r="B1796">
        <f>B1795+A1796</f>
        <v/>
      </c>
      <c r="C1796">
        <f>IF(1793&gt;$B$4503,"",MATCH(1793-0.5,$B$3:$B$4503,1))</f>
        <v/>
      </c>
      <c r="D1796">
        <f>"Board certification – "&amp;IF(LEN(INDEX('Providers'!$A$4:$A$503,293))=0,"",INDEX('Providers'!$A$4:$A$503,293))</f>
        <v/>
      </c>
      <c r="E1796">
        <f>IF(ISNUMBER(INDEX('Providers'!$M$4:$M$503,293)),TEXT(INDEX('Providers'!$M$4:$M$503,293),"yyyy-mm-dd"),"")</f>
        <v/>
      </c>
      <c r="F1796">
        <f>"Certification"</f>
        <v/>
      </c>
      <c r="G1796">
        <f>""</f>
        <v/>
      </c>
      <c r="H1796">
        <f>"Medium"</f>
        <v/>
      </c>
      <c r="I1796">
        <f>TRIM(IF(LEN(IF(LEN(INDEX('Providers'!$L$4:$L$503,293))=0,"",INDEX('Providers'!$L$4:$L$503,293)))=0,"","Board / specialty: "&amp;IF(LEN(INDEX('Providers'!$L$4:$L$503,293))=0,"",INDEX('Providers'!$L$4:$L$503,293))&amp;". "))</f>
        <v/>
      </c>
      <c r="J1796">
        <f>IF(LEN(INDEX('Providers'!$AJ$4:$AJ$503,293))=0,"",INDEX('Providers'!$AJ$4:$AJ$503,293))</f>
        <v/>
      </c>
      <c r="K1796">
        <f>IF(LEN(INDEX('Providers'!$AI$4:$AI$503,293))=0,"",INDEX('Providers'!$AI$4:$AI$503,293))</f>
        <v/>
      </c>
    </row>
    <row r="1797">
      <c r="A1797">
        <f>IF(AND(LEN('Providers'!A297)&gt;0,ISNUMBER('Providers'!M297)),1,0)</f>
        <v/>
      </c>
      <c r="B1797">
        <f>B1796+A1797</f>
        <v/>
      </c>
      <c r="C1797">
        <f>IF(1794&gt;$B$4503,"",MATCH(1794-0.5,$B$3:$B$4503,1))</f>
        <v/>
      </c>
      <c r="D1797">
        <f>"Board certification – "&amp;IF(LEN(INDEX('Providers'!$A$4:$A$503,294))=0,"",INDEX('Providers'!$A$4:$A$503,294))</f>
        <v/>
      </c>
      <c r="E1797">
        <f>IF(ISNUMBER(INDEX('Providers'!$M$4:$M$503,294)),TEXT(INDEX('Providers'!$M$4:$M$503,294),"yyyy-mm-dd"),"")</f>
        <v/>
      </c>
      <c r="F1797">
        <f>"Certification"</f>
        <v/>
      </c>
      <c r="G1797">
        <f>""</f>
        <v/>
      </c>
      <c r="H1797">
        <f>"Medium"</f>
        <v/>
      </c>
      <c r="I1797">
        <f>TRIM(IF(LEN(IF(LEN(INDEX('Providers'!$L$4:$L$503,294))=0,"",INDEX('Providers'!$L$4:$L$503,294)))=0,"","Board / specialty: "&amp;IF(LEN(INDEX('Providers'!$L$4:$L$503,294))=0,"",INDEX('Providers'!$L$4:$L$503,294))&amp;". "))</f>
        <v/>
      </c>
      <c r="J1797">
        <f>IF(LEN(INDEX('Providers'!$AJ$4:$AJ$503,294))=0,"",INDEX('Providers'!$AJ$4:$AJ$503,294))</f>
        <v/>
      </c>
      <c r="K1797">
        <f>IF(LEN(INDEX('Providers'!$AI$4:$AI$503,294))=0,"",INDEX('Providers'!$AI$4:$AI$503,294))</f>
        <v/>
      </c>
    </row>
    <row r="1798">
      <c r="A1798">
        <f>IF(AND(LEN('Providers'!A298)&gt;0,ISNUMBER('Providers'!M298)),1,0)</f>
        <v/>
      </c>
      <c r="B1798">
        <f>B1797+A1798</f>
        <v/>
      </c>
      <c r="C1798">
        <f>IF(1795&gt;$B$4503,"",MATCH(1795-0.5,$B$3:$B$4503,1))</f>
        <v/>
      </c>
      <c r="D1798">
        <f>"Board certification – "&amp;IF(LEN(INDEX('Providers'!$A$4:$A$503,295))=0,"",INDEX('Providers'!$A$4:$A$503,295))</f>
        <v/>
      </c>
      <c r="E1798">
        <f>IF(ISNUMBER(INDEX('Providers'!$M$4:$M$503,295)),TEXT(INDEX('Providers'!$M$4:$M$503,295),"yyyy-mm-dd"),"")</f>
        <v/>
      </c>
      <c r="F1798">
        <f>"Certification"</f>
        <v/>
      </c>
      <c r="G1798">
        <f>""</f>
        <v/>
      </c>
      <c r="H1798">
        <f>"Medium"</f>
        <v/>
      </c>
      <c r="I1798">
        <f>TRIM(IF(LEN(IF(LEN(INDEX('Providers'!$L$4:$L$503,295))=0,"",INDEX('Providers'!$L$4:$L$503,295)))=0,"","Board / specialty: "&amp;IF(LEN(INDEX('Providers'!$L$4:$L$503,295))=0,"",INDEX('Providers'!$L$4:$L$503,295))&amp;". "))</f>
        <v/>
      </c>
      <c r="J1798">
        <f>IF(LEN(INDEX('Providers'!$AJ$4:$AJ$503,295))=0,"",INDEX('Providers'!$AJ$4:$AJ$503,295))</f>
        <v/>
      </c>
      <c r="K1798">
        <f>IF(LEN(INDEX('Providers'!$AI$4:$AI$503,295))=0,"",INDEX('Providers'!$AI$4:$AI$503,295))</f>
        <v/>
      </c>
    </row>
    <row r="1799">
      <c r="A1799">
        <f>IF(AND(LEN('Providers'!A299)&gt;0,ISNUMBER('Providers'!M299)),1,0)</f>
        <v/>
      </c>
      <c r="B1799">
        <f>B1798+A1799</f>
        <v/>
      </c>
      <c r="C1799">
        <f>IF(1796&gt;$B$4503,"",MATCH(1796-0.5,$B$3:$B$4503,1))</f>
        <v/>
      </c>
      <c r="D1799">
        <f>"Board certification – "&amp;IF(LEN(INDEX('Providers'!$A$4:$A$503,296))=0,"",INDEX('Providers'!$A$4:$A$503,296))</f>
        <v/>
      </c>
      <c r="E1799">
        <f>IF(ISNUMBER(INDEX('Providers'!$M$4:$M$503,296)),TEXT(INDEX('Providers'!$M$4:$M$503,296),"yyyy-mm-dd"),"")</f>
        <v/>
      </c>
      <c r="F1799">
        <f>"Certification"</f>
        <v/>
      </c>
      <c r="G1799">
        <f>""</f>
        <v/>
      </c>
      <c r="H1799">
        <f>"Medium"</f>
        <v/>
      </c>
      <c r="I1799">
        <f>TRIM(IF(LEN(IF(LEN(INDEX('Providers'!$L$4:$L$503,296))=0,"",INDEX('Providers'!$L$4:$L$503,296)))=0,"","Board / specialty: "&amp;IF(LEN(INDEX('Providers'!$L$4:$L$503,296))=0,"",INDEX('Providers'!$L$4:$L$503,296))&amp;". "))</f>
        <v/>
      </c>
      <c r="J1799">
        <f>IF(LEN(INDEX('Providers'!$AJ$4:$AJ$503,296))=0,"",INDEX('Providers'!$AJ$4:$AJ$503,296))</f>
        <v/>
      </c>
      <c r="K1799">
        <f>IF(LEN(INDEX('Providers'!$AI$4:$AI$503,296))=0,"",INDEX('Providers'!$AI$4:$AI$503,296))</f>
        <v/>
      </c>
    </row>
    <row r="1800">
      <c r="A1800">
        <f>IF(AND(LEN('Providers'!A300)&gt;0,ISNUMBER('Providers'!M300)),1,0)</f>
        <v/>
      </c>
      <c r="B1800">
        <f>B1799+A1800</f>
        <v/>
      </c>
      <c r="C1800">
        <f>IF(1797&gt;$B$4503,"",MATCH(1797-0.5,$B$3:$B$4503,1))</f>
        <v/>
      </c>
      <c r="D1800">
        <f>"Board certification – "&amp;IF(LEN(INDEX('Providers'!$A$4:$A$503,297))=0,"",INDEX('Providers'!$A$4:$A$503,297))</f>
        <v/>
      </c>
      <c r="E1800">
        <f>IF(ISNUMBER(INDEX('Providers'!$M$4:$M$503,297)),TEXT(INDEX('Providers'!$M$4:$M$503,297),"yyyy-mm-dd"),"")</f>
        <v/>
      </c>
      <c r="F1800">
        <f>"Certification"</f>
        <v/>
      </c>
      <c r="G1800">
        <f>""</f>
        <v/>
      </c>
      <c r="H1800">
        <f>"Medium"</f>
        <v/>
      </c>
      <c r="I1800">
        <f>TRIM(IF(LEN(IF(LEN(INDEX('Providers'!$L$4:$L$503,297))=0,"",INDEX('Providers'!$L$4:$L$503,297)))=0,"","Board / specialty: "&amp;IF(LEN(INDEX('Providers'!$L$4:$L$503,297))=0,"",INDEX('Providers'!$L$4:$L$503,297))&amp;". "))</f>
        <v/>
      </c>
      <c r="J1800">
        <f>IF(LEN(INDEX('Providers'!$AJ$4:$AJ$503,297))=0,"",INDEX('Providers'!$AJ$4:$AJ$503,297))</f>
        <v/>
      </c>
      <c r="K1800">
        <f>IF(LEN(INDEX('Providers'!$AI$4:$AI$503,297))=0,"",INDEX('Providers'!$AI$4:$AI$503,297))</f>
        <v/>
      </c>
    </row>
    <row r="1801">
      <c r="A1801">
        <f>IF(AND(LEN('Providers'!A301)&gt;0,ISNUMBER('Providers'!M301)),1,0)</f>
        <v/>
      </c>
      <c r="B1801">
        <f>B1800+A1801</f>
        <v/>
      </c>
      <c r="C1801">
        <f>IF(1798&gt;$B$4503,"",MATCH(1798-0.5,$B$3:$B$4503,1))</f>
        <v/>
      </c>
      <c r="D1801">
        <f>"Board certification – "&amp;IF(LEN(INDEX('Providers'!$A$4:$A$503,298))=0,"",INDEX('Providers'!$A$4:$A$503,298))</f>
        <v/>
      </c>
      <c r="E1801">
        <f>IF(ISNUMBER(INDEX('Providers'!$M$4:$M$503,298)),TEXT(INDEX('Providers'!$M$4:$M$503,298),"yyyy-mm-dd"),"")</f>
        <v/>
      </c>
      <c r="F1801">
        <f>"Certification"</f>
        <v/>
      </c>
      <c r="G1801">
        <f>""</f>
        <v/>
      </c>
      <c r="H1801">
        <f>"Medium"</f>
        <v/>
      </c>
      <c r="I1801">
        <f>TRIM(IF(LEN(IF(LEN(INDEX('Providers'!$L$4:$L$503,298))=0,"",INDEX('Providers'!$L$4:$L$503,298)))=0,"","Board / specialty: "&amp;IF(LEN(INDEX('Providers'!$L$4:$L$503,298))=0,"",INDEX('Providers'!$L$4:$L$503,298))&amp;". "))</f>
        <v/>
      </c>
      <c r="J1801">
        <f>IF(LEN(INDEX('Providers'!$AJ$4:$AJ$503,298))=0,"",INDEX('Providers'!$AJ$4:$AJ$503,298))</f>
        <v/>
      </c>
      <c r="K1801">
        <f>IF(LEN(INDEX('Providers'!$AI$4:$AI$503,298))=0,"",INDEX('Providers'!$AI$4:$AI$503,298))</f>
        <v/>
      </c>
    </row>
    <row r="1802">
      <c r="A1802">
        <f>IF(AND(LEN('Providers'!A302)&gt;0,ISNUMBER('Providers'!M302)),1,0)</f>
        <v/>
      </c>
      <c r="B1802">
        <f>B1801+A1802</f>
        <v/>
      </c>
      <c r="C1802">
        <f>IF(1799&gt;$B$4503,"",MATCH(1799-0.5,$B$3:$B$4503,1))</f>
        <v/>
      </c>
      <c r="D1802">
        <f>"Board certification – "&amp;IF(LEN(INDEX('Providers'!$A$4:$A$503,299))=0,"",INDEX('Providers'!$A$4:$A$503,299))</f>
        <v/>
      </c>
      <c r="E1802">
        <f>IF(ISNUMBER(INDEX('Providers'!$M$4:$M$503,299)),TEXT(INDEX('Providers'!$M$4:$M$503,299),"yyyy-mm-dd"),"")</f>
        <v/>
      </c>
      <c r="F1802">
        <f>"Certification"</f>
        <v/>
      </c>
      <c r="G1802">
        <f>""</f>
        <v/>
      </c>
      <c r="H1802">
        <f>"Medium"</f>
        <v/>
      </c>
      <c r="I1802">
        <f>TRIM(IF(LEN(IF(LEN(INDEX('Providers'!$L$4:$L$503,299))=0,"",INDEX('Providers'!$L$4:$L$503,299)))=0,"","Board / specialty: "&amp;IF(LEN(INDEX('Providers'!$L$4:$L$503,299))=0,"",INDEX('Providers'!$L$4:$L$503,299))&amp;". "))</f>
        <v/>
      </c>
      <c r="J1802">
        <f>IF(LEN(INDEX('Providers'!$AJ$4:$AJ$503,299))=0,"",INDEX('Providers'!$AJ$4:$AJ$503,299))</f>
        <v/>
      </c>
      <c r="K1802">
        <f>IF(LEN(INDEX('Providers'!$AI$4:$AI$503,299))=0,"",INDEX('Providers'!$AI$4:$AI$503,299))</f>
        <v/>
      </c>
    </row>
    <row r="1803">
      <c r="A1803">
        <f>IF(AND(LEN('Providers'!A303)&gt;0,ISNUMBER('Providers'!M303)),1,0)</f>
        <v/>
      </c>
      <c r="B1803">
        <f>B1802+A1803</f>
        <v/>
      </c>
      <c r="C1803">
        <f>IF(1800&gt;$B$4503,"",MATCH(1800-0.5,$B$3:$B$4503,1))</f>
        <v/>
      </c>
      <c r="D1803">
        <f>"Board certification – "&amp;IF(LEN(INDEX('Providers'!$A$4:$A$503,300))=0,"",INDEX('Providers'!$A$4:$A$503,300))</f>
        <v/>
      </c>
      <c r="E1803">
        <f>IF(ISNUMBER(INDEX('Providers'!$M$4:$M$503,300)),TEXT(INDEX('Providers'!$M$4:$M$503,300),"yyyy-mm-dd"),"")</f>
        <v/>
      </c>
      <c r="F1803">
        <f>"Certification"</f>
        <v/>
      </c>
      <c r="G1803">
        <f>""</f>
        <v/>
      </c>
      <c r="H1803">
        <f>"Medium"</f>
        <v/>
      </c>
      <c r="I1803">
        <f>TRIM(IF(LEN(IF(LEN(INDEX('Providers'!$L$4:$L$503,300))=0,"",INDEX('Providers'!$L$4:$L$503,300)))=0,"","Board / specialty: "&amp;IF(LEN(INDEX('Providers'!$L$4:$L$503,300))=0,"",INDEX('Providers'!$L$4:$L$503,300))&amp;". "))</f>
        <v/>
      </c>
      <c r="J1803">
        <f>IF(LEN(INDEX('Providers'!$AJ$4:$AJ$503,300))=0,"",INDEX('Providers'!$AJ$4:$AJ$503,300))</f>
        <v/>
      </c>
      <c r="K1803">
        <f>IF(LEN(INDEX('Providers'!$AI$4:$AI$503,300))=0,"",INDEX('Providers'!$AI$4:$AI$503,300))</f>
        <v/>
      </c>
    </row>
    <row r="1804">
      <c r="A1804">
        <f>IF(AND(LEN('Providers'!A304)&gt;0,ISNUMBER('Providers'!M304)),1,0)</f>
        <v/>
      </c>
      <c r="B1804">
        <f>B1803+A1804</f>
        <v/>
      </c>
      <c r="C1804">
        <f>IF(1801&gt;$B$4503,"",MATCH(1801-0.5,$B$3:$B$4503,1))</f>
        <v/>
      </c>
      <c r="D1804">
        <f>"Board certification – "&amp;IF(LEN(INDEX('Providers'!$A$4:$A$503,301))=0,"",INDEX('Providers'!$A$4:$A$503,301))</f>
        <v/>
      </c>
      <c r="E1804">
        <f>IF(ISNUMBER(INDEX('Providers'!$M$4:$M$503,301)),TEXT(INDEX('Providers'!$M$4:$M$503,301),"yyyy-mm-dd"),"")</f>
        <v/>
      </c>
      <c r="F1804">
        <f>"Certification"</f>
        <v/>
      </c>
      <c r="G1804">
        <f>""</f>
        <v/>
      </c>
      <c r="H1804">
        <f>"Medium"</f>
        <v/>
      </c>
      <c r="I1804">
        <f>TRIM(IF(LEN(IF(LEN(INDEX('Providers'!$L$4:$L$503,301))=0,"",INDEX('Providers'!$L$4:$L$503,301)))=0,"","Board / specialty: "&amp;IF(LEN(INDEX('Providers'!$L$4:$L$503,301))=0,"",INDEX('Providers'!$L$4:$L$503,301))&amp;". "))</f>
        <v/>
      </c>
      <c r="J1804">
        <f>IF(LEN(INDEX('Providers'!$AJ$4:$AJ$503,301))=0,"",INDEX('Providers'!$AJ$4:$AJ$503,301))</f>
        <v/>
      </c>
      <c r="K1804">
        <f>IF(LEN(INDEX('Providers'!$AI$4:$AI$503,301))=0,"",INDEX('Providers'!$AI$4:$AI$503,301))</f>
        <v/>
      </c>
    </row>
    <row r="1805">
      <c r="A1805">
        <f>IF(AND(LEN('Providers'!A305)&gt;0,ISNUMBER('Providers'!M305)),1,0)</f>
        <v/>
      </c>
      <c r="B1805">
        <f>B1804+A1805</f>
        <v/>
      </c>
      <c r="C1805">
        <f>IF(1802&gt;$B$4503,"",MATCH(1802-0.5,$B$3:$B$4503,1))</f>
        <v/>
      </c>
      <c r="D1805">
        <f>"Board certification – "&amp;IF(LEN(INDEX('Providers'!$A$4:$A$503,302))=0,"",INDEX('Providers'!$A$4:$A$503,302))</f>
        <v/>
      </c>
      <c r="E1805">
        <f>IF(ISNUMBER(INDEX('Providers'!$M$4:$M$503,302)),TEXT(INDEX('Providers'!$M$4:$M$503,302),"yyyy-mm-dd"),"")</f>
        <v/>
      </c>
      <c r="F1805">
        <f>"Certification"</f>
        <v/>
      </c>
      <c r="G1805">
        <f>""</f>
        <v/>
      </c>
      <c r="H1805">
        <f>"Medium"</f>
        <v/>
      </c>
      <c r="I1805">
        <f>TRIM(IF(LEN(IF(LEN(INDEX('Providers'!$L$4:$L$503,302))=0,"",INDEX('Providers'!$L$4:$L$503,302)))=0,"","Board / specialty: "&amp;IF(LEN(INDEX('Providers'!$L$4:$L$503,302))=0,"",INDEX('Providers'!$L$4:$L$503,302))&amp;". "))</f>
        <v/>
      </c>
      <c r="J1805">
        <f>IF(LEN(INDEX('Providers'!$AJ$4:$AJ$503,302))=0,"",INDEX('Providers'!$AJ$4:$AJ$503,302))</f>
        <v/>
      </c>
      <c r="K1805">
        <f>IF(LEN(INDEX('Providers'!$AI$4:$AI$503,302))=0,"",INDEX('Providers'!$AI$4:$AI$503,302))</f>
        <v/>
      </c>
    </row>
    <row r="1806">
      <c r="A1806">
        <f>IF(AND(LEN('Providers'!A306)&gt;0,ISNUMBER('Providers'!M306)),1,0)</f>
        <v/>
      </c>
      <c r="B1806">
        <f>B1805+A1806</f>
        <v/>
      </c>
      <c r="C1806">
        <f>IF(1803&gt;$B$4503,"",MATCH(1803-0.5,$B$3:$B$4503,1))</f>
        <v/>
      </c>
      <c r="D1806">
        <f>"Board certification – "&amp;IF(LEN(INDEX('Providers'!$A$4:$A$503,303))=0,"",INDEX('Providers'!$A$4:$A$503,303))</f>
        <v/>
      </c>
      <c r="E1806">
        <f>IF(ISNUMBER(INDEX('Providers'!$M$4:$M$503,303)),TEXT(INDEX('Providers'!$M$4:$M$503,303),"yyyy-mm-dd"),"")</f>
        <v/>
      </c>
      <c r="F1806">
        <f>"Certification"</f>
        <v/>
      </c>
      <c r="G1806">
        <f>""</f>
        <v/>
      </c>
      <c r="H1806">
        <f>"Medium"</f>
        <v/>
      </c>
      <c r="I1806">
        <f>TRIM(IF(LEN(IF(LEN(INDEX('Providers'!$L$4:$L$503,303))=0,"",INDEX('Providers'!$L$4:$L$503,303)))=0,"","Board / specialty: "&amp;IF(LEN(INDEX('Providers'!$L$4:$L$503,303))=0,"",INDEX('Providers'!$L$4:$L$503,303))&amp;". "))</f>
        <v/>
      </c>
      <c r="J1806">
        <f>IF(LEN(INDEX('Providers'!$AJ$4:$AJ$503,303))=0,"",INDEX('Providers'!$AJ$4:$AJ$503,303))</f>
        <v/>
      </c>
      <c r="K1806">
        <f>IF(LEN(INDEX('Providers'!$AI$4:$AI$503,303))=0,"",INDEX('Providers'!$AI$4:$AI$503,303))</f>
        <v/>
      </c>
    </row>
    <row r="1807">
      <c r="A1807">
        <f>IF(AND(LEN('Providers'!A307)&gt;0,ISNUMBER('Providers'!M307)),1,0)</f>
        <v/>
      </c>
      <c r="B1807">
        <f>B1806+A1807</f>
        <v/>
      </c>
      <c r="C1807">
        <f>IF(1804&gt;$B$4503,"",MATCH(1804-0.5,$B$3:$B$4503,1))</f>
        <v/>
      </c>
      <c r="D1807">
        <f>"Board certification – "&amp;IF(LEN(INDEX('Providers'!$A$4:$A$503,304))=0,"",INDEX('Providers'!$A$4:$A$503,304))</f>
        <v/>
      </c>
      <c r="E1807">
        <f>IF(ISNUMBER(INDEX('Providers'!$M$4:$M$503,304)),TEXT(INDEX('Providers'!$M$4:$M$503,304),"yyyy-mm-dd"),"")</f>
        <v/>
      </c>
      <c r="F1807">
        <f>"Certification"</f>
        <v/>
      </c>
      <c r="G1807">
        <f>""</f>
        <v/>
      </c>
      <c r="H1807">
        <f>"Medium"</f>
        <v/>
      </c>
      <c r="I1807">
        <f>TRIM(IF(LEN(IF(LEN(INDEX('Providers'!$L$4:$L$503,304))=0,"",INDEX('Providers'!$L$4:$L$503,304)))=0,"","Board / specialty: "&amp;IF(LEN(INDEX('Providers'!$L$4:$L$503,304))=0,"",INDEX('Providers'!$L$4:$L$503,304))&amp;". "))</f>
        <v/>
      </c>
      <c r="J1807">
        <f>IF(LEN(INDEX('Providers'!$AJ$4:$AJ$503,304))=0,"",INDEX('Providers'!$AJ$4:$AJ$503,304))</f>
        <v/>
      </c>
      <c r="K1807">
        <f>IF(LEN(INDEX('Providers'!$AI$4:$AI$503,304))=0,"",INDEX('Providers'!$AI$4:$AI$503,304))</f>
        <v/>
      </c>
    </row>
    <row r="1808">
      <c r="A1808">
        <f>IF(AND(LEN('Providers'!A308)&gt;0,ISNUMBER('Providers'!M308)),1,0)</f>
        <v/>
      </c>
      <c r="B1808">
        <f>B1807+A1808</f>
        <v/>
      </c>
      <c r="C1808">
        <f>IF(1805&gt;$B$4503,"",MATCH(1805-0.5,$B$3:$B$4503,1))</f>
        <v/>
      </c>
      <c r="D1808">
        <f>"Board certification – "&amp;IF(LEN(INDEX('Providers'!$A$4:$A$503,305))=0,"",INDEX('Providers'!$A$4:$A$503,305))</f>
        <v/>
      </c>
      <c r="E1808">
        <f>IF(ISNUMBER(INDEX('Providers'!$M$4:$M$503,305)),TEXT(INDEX('Providers'!$M$4:$M$503,305),"yyyy-mm-dd"),"")</f>
        <v/>
      </c>
      <c r="F1808">
        <f>"Certification"</f>
        <v/>
      </c>
      <c r="G1808">
        <f>""</f>
        <v/>
      </c>
      <c r="H1808">
        <f>"Medium"</f>
        <v/>
      </c>
      <c r="I1808">
        <f>TRIM(IF(LEN(IF(LEN(INDEX('Providers'!$L$4:$L$503,305))=0,"",INDEX('Providers'!$L$4:$L$503,305)))=0,"","Board / specialty: "&amp;IF(LEN(INDEX('Providers'!$L$4:$L$503,305))=0,"",INDEX('Providers'!$L$4:$L$503,305))&amp;". "))</f>
        <v/>
      </c>
      <c r="J1808">
        <f>IF(LEN(INDEX('Providers'!$AJ$4:$AJ$503,305))=0,"",INDEX('Providers'!$AJ$4:$AJ$503,305))</f>
        <v/>
      </c>
      <c r="K1808">
        <f>IF(LEN(INDEX('Providers'!$AI$4:$AI$503,305))=0,"",INDEX('Providers'!$AI$4:$AI$503,305))</f>
        <v/>
      </c>
    </row>
    <row r="1809">
      <c r="A1809">
        <f>IF(AND(LEN('Providers'!A309)&gt;0,ISNUMBER('Providers'!M309)),1,0)</f>
        <v/>
      </c>
      <c r="B1809">
        <f>B1808+A1809</f>
        <v/>
      </c>
      <c r="C1809">
        <f>IF(1806&gt;$B$4503,"",MATCH(1806-0.5,$B$3:$B$4503,1))</f>
        <v/>
      </c>
      <c r="D1809">
        <f>"Board certification – "&amp;IF(LEN(INDEX('Providers'!$A$4:$A$503,306))=0,"",INDEX('Providers'!$A$4:$A$503,306))</f>
        <v/>
      </c>
      <c r="E1809">
        <f>IF(ISNUMBER(INDEX('Providers'!$M$4:$M$503,306)),TEXT(INDEX('Providers'!$M$4:$M$503,306),"yyyy-mm-dd"),"")</f>
        <v/>
      </c>
      <c r="F1809">
        <f>"Certification"</f>
        <v/>
      </c>
      <c r="G1809">
        <f>""</f>
        <v/>
      </c>
      <c r="H1809">
        <f>"Medium"</f>
        <v/>
      </c>
      <c r="I1809">
        <f>TRIM(IF(LEN(IF(LEN(INDEX('Providers'!$L$4:$L$503,306))=0,"",INDEX('Providers'!$L$4:$L$503,306)))=0,"","Board / specialty: "&amp;IF(LEN(INDEX('Providers'!$L$4:$L$503,306))=0,"",INDEX('Providers'!$L$4:$L$503,306))&amp;". "))</f>
        <v/>
      </c>
      <c r="J1809">
        <f>IF(LEN(INDEX('Providers'!$AJ$4:$AJ$503,306))=0,"",INDEX('Providers'!$AJ$4:$AJ$503,306))</f>
        <v/>
      </c>
      <c r="K1809">
        <f>IF(LEN(INDEX('Providers'!$AI$4:$AI$503,306))=0,"",INDEX('Providers'!$AI$4:$AI$503,306))</f>
        <v/>
      </c>
    </row>
    <row r="1810">
      <c r="A1810">
        <f>IF(AND(LEN('Providers'!A310)&gt;0,ISNUMBER('Providers'!M310)),1,0)</f>
        <v/>
      </c>
      <c r="B1810">
        <f>B1809+A1810</f>
        <v/>
      </c>
      <c r="C1810">
        <f>IF(1807&gt;$B$4503,"",MATCH(1807-0.5,$B$3:$B$4503,1))</f>
        <v/>
      </c>
      <c r="D1810">
        <f>"Board certification – "&amp;IF(LEN(INDEX('Providers'!$A$4:$A$503,307))=0,"",INDEX('Providers'!$A$4:$A$503,307))</f>
        <v/>
      </c>
      <c r="E1810">
        <f>IF(ISNUMBER(INDEX('Providers'!$M$4:$M$503,307)),TEXT(INDEX('Providers'!$M$4:$M$503,307),"yyyy-mm-dd"),"")</f>
        <v/>
      </c>
      <c r="F1810">
        <f>"Certification"</f>
        <v/>
      </c>
      <c r="G1810">
        <f>""</f>
        <v/>
      </c>
      <c r="H1810">
        <f>"Medium"</f>
        <v/>
      </c>
      <c r="I1810">
        <f>TRIM(IF(LEN(IF(LEN(INDEX('Providers'!$L$4:$L$503,307))=0,"",INDEX('Providers'!$L$4:$L$503,307)))=0,"","Board / specialty: "&amp;IF(LEN(INDEX('Providers'!$L$4:$L$503,307))=0,"",INDEX('Providers'!$L$4:$L$503,307))&amp;". "))</f>
        <v/>
      </c>
      <c r="J1810">
        <f>IF(LEN(INDEX('Providers'!$AJ$4:$AJ$503,307))=0,"",INDEX('Providers'!$AJ$4:$AJ$503,307))</f>
        <v/>
      </c>
      <c r="K1810">
        <f>IF(LEN(INDEX('Providers'!$AI$4:$AI$503,307))=0,"",INDEX('Providers'!$AI$4:$AI$503,307))</f>
        <v/>
      </c>
    </row>
    <row r="1811">
      <c r="A1811">
        <f>IF(AND(LEN('Providers'!A311)&gt;0,ISNUMBER('Providers'!M311)),1,0)</f>
        <v/>
      </c>
      <c r="B1811">
        <f>B1810+A1811</f>
        <v/>
      </c>
      <c r="C1811">
        <f>IF(1808&gt;$B$4503,"",MATCH(1808-0.5,$B$3:$B$4503,1))</f>
        <v/>
      </c>
      <c r="D1811">
        <f>"Board certification – "&amp;IF(LEN(INDEX('Providers'!$A$4:$A$503,308))=0,"",INDEX('Providers'!$A$4:$A$503,308))</f>
        <v/>
      </c>
      <c r="E1811">
        <f>IF(ISNUMBER(INDEX('Providers'!$M$4:$M$503,308)),TEXT(INDEX('Providers'!$M$4:$M$503,308),"yyyy-mm-dd"),"")</f>
        <v/>
      </c>
      <c r="F1811">
        <f>"Certification"</f>
        <v/>
      </c>
      <c r="G1811">
        <f>""</f>
        <v/>
      </c>
      <c r="H1811">
        <f>"Medium"</f>
        <v/>
      </c>
      <c r="I1811">
        <f>TRIM(IF(LEN(IF(LEN(INDEX('Providers'!$L$4:$L$503,308))=0,"",INDEX('Providers'!$L$4:$L$503,308)))=0,"","Board / specialty: "&amp;IF(LEN(INDEX('Providers'!$L$4:$L$503,308))=0,"",INDEX('Providers'!$L$4:$L$503,308))&amp;". "))</f>
        <v/>
      </c>
      <c r="J1811">
        <f>IF(LEN(INDEX('Providers'!$AJ$4:$AJ$503,308))=0,"",INDEX('Providers'!$AJ$4:$AJ$503,308))</f>
        <v/>
      </c>
      <c r="K1811">
        <f>IF(LEN(INDEX('Providers'!$AI$4:$AI$503,308))=0,"",INDEX('Providers'!$AI$4:$AI$503,308))</f>
        <v/>
      </c>
    </row>
    <row r="1812">
      <c r="A1812">
        <f>IF(AND(LEN('Providers'!A312)&gt;0,ISNUMBER('Providers'!M312)),1,0)</f>
        <v/>
      </c>
      <c r="B1812">
        <f>B1811+A1812</f>
        <v/>
      </c>
      <c r="C1812">
        <f>IF(1809&gt;$B$4503,"",MATCH(1809-0.5,$B$3:$B$4503,1))</f>
        <v/>
      </c>
      <c r="D1812">
        <f>"Board certification – "&amp;IF(LEN(INDEX('Providers'!$A$4:$A$503,309))=0,"",INDEX('Providers'!$A$4:$A$503,309))</f>
        <v/>
      </c>
      <c r="E1812">
        <f>IF(ISNUMBER(INDEX('Providers'!$M$4:$M$503,309)),TEXT(INDEX('Providers'!$M$4:$M$503,309),"yyyy-mm-dd"),"")</f>
        <v/>
      </c>
      <c r="F1812">
        <f>"Certification"</f>
        <v/>
      </c>
      <c r="G1812">
        <f>""</f>
        <v/>
      </c>
      <c r="H1812">
        <f>"Medium"</f>
        <v/>
      </c>
      <c r="I1812">
        <f>TRIM(IF(LEN(IF(LEN(INDEX('Providers'!$L$4:$L$503,309))=0,"",INDEX('Providers'!$L$4:$L$503,309)))=0,"","Board / specialty: "&amp;IF(LEN(INDEX('Providers'!$L$4:$L$503,309))=0,"",INDEX('Providers'!$L$4:$L$503,309))&amp;". "))</f>
        <v/>
      </c>
      <c r="J1812">
        <f>IF(LEN(INDEX('Providers'!$AJ$4:$AJ$503,309))=0,"",INDEX('Providers'!$AJ$4:$AJ$503,309))</f>
        <v/>
      </c>
      <c r="K1812">
        <f>IF(LEN(INDEX('Providers'!$AI$4:$AI$503,309))=0,"",INDEX('Providers'!$AI$4:$AI$503,309))</f>
        <v/>
      </c>
    </row>
    <row r="1813">
      <c r="A1813">
        <f>IF(AND(LEN('Providers'!A313)&gt;0,ISNUMBER('Providers'!M313)),1,0)</f>
        <v/>
      </c>
      <c r="B1813">
        <f>B1812+A1813</f>
        <v/>
      </c>
      <c r="C1813">
        <f>IF(1810&gt;$B$4503,"",MATCH(1810-0.5,$B$3:$B$4503,1))</f>
        <v/>
      </c>
      <c r="D1813">
        <f>"Board certification – "&amp;IF(LEN(INDEX('Providers'!$A$4:$A$503,310))=0,"",INDEX('Providers'!$A$4:$A$503,310))</f>
        <v/>
      </c>
      <c r="E1813">
        <f>IF(ISNUMBER(INDEX('Providers'!$M$4:$M$503,310)),TEXT(INDEX('Providers'!$M$4:$M$503,310),"yyyy-mm-dd"),"")</f>
        <v/>
      </c>
      <c r="F1813">
        <f>"Certification"</f>
        <v/>
      </c>
      <c r="G1813">
        <f>""</f>
        <v/>
      </c>
      <c r="H1813">
        <f>"Medium"</f>
        <v/>
      </c>
      <c r="I1813">
        <f>TRIM(IF(LEN(IF(LEN(INDEX('Providers'!$L$4:$L$503,310))=0,"",INDEX('Providers'!$L$4:$L$503,310)))=0,"","Board / specialty: "&amp;IF(LEN(INDEX('Providers'!$L$4:$L$503,310))=0,"",INDEX('Providers'!$L$4:$L$503,310))&amp;". "))</f>
        <v/>
      </c>
      <c r="J1813">
        <f>IF(LEN(INDEX('Providers'!$AJ$4:$AJ$503,310))=0,"",INDEX('Providers'!$AJ$4:$AJ$503,310))</f>
        <v/>
      </c>
      <c r="K1813">
        <f>IF(LEN(INDEX('Providers'!$AI$4:$AI$503,310))=0,"",INDEX('Providers'!$AI$4:$AI$503,310))</f>
        <v/>
      </c>
    </row>
    <row r="1814">
      <c r="A1814">
        <f>IF(AND(LEN('Providers'!A314)&gt;0,ISNUMBER('Providers'!M314)),1,0)</f>
        <v/>
      </c>
      <c r="B1814">
        <f>B1813+A1814</f>
        <v/>
      </c>
      <c r="C1814">
        <f>IF(1811&gt;$B$4503,"",MATCH(1811-0.5,$B$3:$B$4503,1))</f>
        <v/>
      </c>
      <c r="D1814">
        <f>"Board certification – "&amp;IF(LEN(INDEX('Providers'!$A$4:$A$503,311))=0,"",INDEX('Providers'!$A$4:$A$503,311))</f>
        <v/>
      </c>
      <c r="E1814">
        <f>IF(ISNUMBER(INDEX('Providers'!$M$4:$M$503,311)),TEXT(INDEX('Providers'!$M$4:$M$503,311),"yyyy-mm-dd"),"")</f>
        <v/>
      </c>
      <c r="F1814">
        <f>"Certification"</f>
        <v/>
      </c>
      <c r="G1814">
        <f>""</f>
        <v/>
      </c>
      <c r="H1814">
        <f>"Medium"</f>
        <v/>
      </c>
      <c r="I1814">
        <f>TRIM(IF(LEN(IF(LEN(INDEX('Providers'!$L$4:$L$503,311))=0,"",INDEX('Providers'!$L$4:$L$503,311)))=0,"","Board / specialty: "&amp;IF(LEN(INDEX('Providers'!$L$4:$L$503,311))=0,"",INDEX('Providers'!$L$4:$L$503,311))&amp;". "))</f>
        <v/>
      </c>
      <c r="J1814">
        <f>IF(LEN(INDEX('Providers'!$AJ$4:$AJ$503,311))=0,"",INDEX('Providers'!$AJ$4:$AJ$503,311))</f>
        <v/>
      </c>
      <c r="K1814">
        <f>IF(LEN(INDEX('Providers'!$AI$4:$AI$503,311))=0,"",INDEX('Providers'!$AI$4:$AI$503,311))</f>
        <v/>
      </c>
    </row>
    <row r="1815">
      <c r="A1815">
        <f>IF(AND(LEN('Providers'!A315)&gt;0,ISNUMBER('Providers'!M315)),1,0)</f>
        <v/>
      </c>
      <c r="B1815">
        <f>B1814+A1815</f>
        <v/>
      </c>
      <c r="C1815">
        <f>IF(1812&gt;$B$4503,"",MATCH(1812-0.5,$B$3:$B$4503,1))</f>
        <v/>
      </c>
      <c r="D1815">
        <f>"Board certification – "&amp;IF(LEN(INDEX('Providers'!$A$4:$A$503,312))=0,"",INDEX('Providers'!$A$4:$A$503,312))</f>
        <v/>
      </c>
      <c r="E1815">
        <f>IF(ISNUMBER(INDEX('Providers'!$M$4:$M$503,312)),TEXT(INDEX('Providers'!$M$4:$M$503,312),"yyyy-mm-dd"),"")</f>
        <v/>
      </c>
      <c r="F1815">
        <f>"Certification"</f>
        <v/>
      </c>
      <c r="G1815">
        <f>""</f>
        <v/>
      </c>
      <c r="H1815">
        <f>"Medium"</f>
        <v/>
      </c>
      <c r="I1815">
        <f>TRIM(IF(LEN(IF(LEN(INDEX('Providers'!$L$4:$L$503,312))=0,"",INDEX('Providers'!$L$4:$L$503,312)))=0,"","Board / specialty: "&amp;IF(LEN(INDEX('Providers'!$L$4:$L$503,312))=0,"",INDEX('Providers'!$L$4:$L$503,312))&amp;". "))</f>
        <v/>
      </c>
      <c r="J1815">
        <f>IF(LEN(INDEX('Providers'!$AJ$4:$AJ$503,312))=0,"",INDEX('Providers'!$AJ$4:$AJ$503,312))</f>
        <v/>
      </c>
      <c r="K1815">
        <f>IF(LEN(INDEX('Providers'!$AI$4:$AI$503,312))=0,"",INDEX('Providers'!$AI$4:$AI$503,312))</f>
        <v/>
      </c>
    </row>
    <row r="1816">
      <c r="A1816">
        <f>IF(AND(LEN('Providers'!A316)&gt;0,ISNUMBER('Providers'!M316)),1,0)</f>
        <v/>
      </c>
      <c r="B1816">
        <f>B1815+A1816</f>
        <v/>
      </c>
      <c r="C1816">
        <f>IF(1813&gt;$B$4503,"",MATCH(1813-0.5,$B$3:$B$4503,1))</f>
        <v/>
      </c>
      <c r="D1816">
        <f>"Board certification – "&amp;IF(LEN(INDEX('Providers'!$A$4:$A$503,313))=0,"",INDEX('Providers'!$A$4:$A$503,313))</f>
        <v/>
      </c>
      <c r="E1816">
        <f>IF(ISNUMBER(INDEX('Providers'!$M$4:$M$503,313)),TEXT(INDEX('Providers'!$M$4:$M$503,313),"yyyy-mm-dd"),"")</f>
        <v/>
      </c>
      <c r="F1816">
        <f>"Certification"</f>
        <v/>
      </c>
      <c r="G1816">
        <f>""</f>
        <v/>
      </c>
      <c r="H1816">
        <f>"Medium"</f>
        <v/>
      </c>
      <c r="I1816">
        <f>TRIM(IF(LEN(IF(LEN(INDEX('Providers'!$L$4:$L$503,313))=0,"",INDEX('Providers'!$L$4:$L$503,313)))=0,"","Board / specialty: "&amp;IF(LEN(INDEX('Providers'!$L$4:$L$503,313))=0,"",INDEX('Providers'!$L$4:$L$503,313))&amp;". "))</f>
        <v/>
      </c>
      <c r="J1816">
        <f>IF(LEN(INDEX('Providers'!$AJ$4:$AJ$503,313))=0,"",INDEX('Providers'!$AJ$4:$AJ$503,313))</f>
        <v/>
      </c>
      <c r="K1816">
        <f>IF(LEN(INDEX('Providers'!$AI$4:$AI$503,313))=0,"",INDEX('Providers'!$AI$4:$AI$503,313))</f>
        <v/>
      </c>
    </row>
    <row r="1817">
      <c r="A1817">
        <f>IF(AND(LEN('Providers'!A317)&gt;0,ISNUMBER('Providers'!M317)),1,0)</f>
        <v/>
      </c>
      <c r="B1817">
        <f>B1816+A1817</f>
        <v/>
      </c>
      <c r="C1817">
        <f>IF(1814&gt;$B$4503,"",MATCH(1814-0.5,$B$3:$B$4503,1))</f>
        <v/>
      </c>
      <c r="D1817">
        <f>"Board certification – "&amp;IF(LEN(INDEX('Providers'!$A$4:$A$503,314))=0,"",INDEX('Providers'!$A$4:$A$503,314))</f>
        <v/>
      </c>
      <c r="E1817">
        <f>IF(ISNUMBER(INDEX('Providers'!$M$4:$M$503,314)),TEXT(INDEX('Providers'!$M$4:$M$503,314),"yyyy-mm-dd"),"")</f>
        <v/>
      </c>
      <c r="F1817">
        <f>"Certification"</f>
        <v/>
      </c>
      <c r="G1817">
        <f>""</f>
        <v/>
      </c>
      <c r="H1817">
        <f>"Medium"</f>
        <v/>
      </c>
      <c r="I1817">
        <f>TRIM(IF(LEN(IF(LEN(INDEX('Providers'!$L$4:$L$503,314))=0,"",INDEX('Providers'!$L$4:$L$503,314)))=0,"","Board / specialty: "&amp;IF(LEN(INDEX('Providers'!$L$4:$L$503,314))=0,"",INDEX('Providers'!$L$4:$L$503,314))&amp;". "))</f>
        <v/>
      </c>
      <c r="J1817">
        <f>IF(LEN(INDEX('Providers'!$AJ$4:$AJ$503,314))=0,"",INDEX('Providers'!$AJ$4:$AJ$503,314))</f>
        <v/>
      </c>
      <c r="K1817">
        <f>IF(LEN(INDEX('Providers'!$AI$4:$AI$503,314))=0,"",INDEX('Providers'!$AI$4:$AI$503,314))</f>
        <v/>
      </c>
    </row>
    <row r="1818">
      <c r="A1818">
        <f>IF(AND(LEN('Providers'!A318)&gt;0,ISNUMBER('Providers'!M318)),1,0)</f>
        <v/>
      </c>
      <c r="B1818">
        <f>B1817+A1818</f>
        <v/>
      </c>
      <c r="C1818">
        <f>IF(1815&gt;$B$4503,"",MATCH(1815-0.5,$B$3:$B$4503,1))</f>
        <v/>
      </c>
      <c r="D1818">
        <f>"Board certification – "&amp;IF(LEN(INDEX('Providers'!$A$4:$A$503,315))=0,"",INDEX('Providers'!$A$4:$A$503,315))</f>
        <v/>
      </c>
      <c r="E1818">
        <f>IF(ISNUMBER(INDEX('Providers'!$M$4:$M$503,315)),TEXT(INDEX('Providers'!$M$4:$M$503,315),"yyyy-mm-dd"),"")</f>
        <v/>
      </c>
      <c r="F1818">
        <f>"Certification"</f>
        <v/>
      </c>
      <c r="G1818">
        <f>""</f>
        <v/>
      </c>
      <c r="H1818">
        <f>"Medium"</f>
        <v/>
      </c>
      <c r="I1818">
        <f>TRIM(IF(LEN(IF(LEN(INDEX('Providers'!$L$4:$L$503,315))=0,"",INDEX('Providers'!$L$4:$L$503,315)))=0,"","Board / specialty: "&amp;IF(LEN(INDEX('Providers'!$L$4:$L$503,315))=0,"",INDEX('Providers'!$L$4:$L$503,315))&amp;". "))</f>
        <v/>
      </c>
      <c r="J1818">
        <f>IF(LEN(INDEX('Providers'!$AJ$4:$AJ$503,315))=0,"",INDEX('Providers'!$AJ$4:$AJ$503,315))</f>
        <v/>
      </c>
      <c r="K1818">
        <f>IF(LEN(INDEX('Providers'!$AI$4:$AI$503,315))=0,"",INDEX('Providers'!$AI$4:$AI$503,315))</f>
        <v/>
      </c>
    </row>
    <row r="1819">
      <c r="A1819">
        <f>IF(AND(LEN('Providers'!A319)&gt;0,ISNUMBER('Providers'!M319)),1,0)</f>
        <v/>
      </c>
      <c r="B1819">
        <f>B1818+A1819</f>
        <v/>
      </c>
      <c r="C1819">
        <f>IF(1816&gt;$B$4503,"",MATCH(1816-0.5,$B$3:$B$4503,1))</f>
        <v/>
      </c>
      <c r="D1819">
        <f>"Board certification – "&amp;IF(LEN(INDEX('Providers'!$A$4:$A$503,316))=0,"",INDEX('Providers'!$A$4:$A$503,316))</f>
        <v/>
      </c>
      <c r="E1819">
        <f>IF(ISNUMBER(INDEX('Providers'!$M$4:$M$503,316)),TEXT(INDEX('Providers'!$M$4:$M$503,316),"yyyy-mm-dd"),"")</f>
        <v/>
      </c>
      <c r="F1819">
        <f>"Certification"</f>
        <v/>
      </c>
      <c r="G1819">
        <f>""</f>
        <v/>
      </c>
      <c r="H1819">
        <f>"Medium"</f>
        <v/>
      </c>
      <c r="I1819">
        <f>TRIM(IF(LEN(IF(LEN(INDEX('Providers'!$L$4:$L$503,316))=0,"",INDEX('Providers'!$L$4:$L$503,316)))=0,"","Board / specialty: "&amp;IF(LEN(INDEX('Providers'!$L$4:$L$503,316))=0,"",INDEX('Providers'!$L$4:$L$503,316))&amp;". "))</f>
        <v/>
      </c>
      <c r="J1819">
        <f>IF(LEN(INDEX('Providers'!$AJ$4:$AJ$503,316))=0,"",INDEX('Providers'!$AJ$4:$AJ$503,316))</f>
        <v/>
      </c>
      <c r="K1819">
        <f>IF(LEN(INDEX('Providers'!$AI$4:$AI$503,316))=0,"",INDEX('Providers'!$AI$4:$AI$503,316))</f>
        <v/>
      </c>
    </row>
    <row r="1820">
      <c r="A1820">
        <f>IF(AND(LEN('Providers'!A320)&gt;0,ISNUMBER('Providers'!M320)),1,0)</f>
        <v/>
      </c>
      <c r="B1820">
        <f>B1819+A1820</f>
        <v/>
      </c>
      <c r="C1820">
        <f>IF(1817&gt;$B$4503,"",MATCH(1817-0.5,$B$3:$B$4503,1))</f>
        <v/>
      </c>
      <c r="D1820">
        <f>"Board certification – "&amp;IF(LEN(INDEX('Providers'!$A$4:$A$503,317))=0,"",INDEX('Providers'!$A$4:$A$503,317))</f>
        <v/>
      </c>
      <c r="E1820">
        <f>IF(ISNUMBER(INDEX('Providers'!$M$4:$M$503,317)),TEXT(INDEX('Providers'!$M$4:$M$503,317),"yyyy-mm-dd"),"")</f>
        <v/>
      </c>
      <c r="F1820">
        <f>"Certification"</f>
        <v/>
      </c>
      <c r="G1820">
        <f>""</f>
        <v/>
      </c>
      <c r="H1820">
        <f>"Medium"</f>
        <v/>
      </c>
      <c r="I1820">
        <f>TRIM(IF(LEN(IF(LEN(INDEX('Providers'!$L$4:$L$503,317))=0,"",INDEX('Providers'!$L$4:$L$503,317)))=0,"","Board / specialty: "&amp;IF(LEN(INDEX('Providers'!$L$4:$L$503,317))=0,"",INDEX('Providers'!$L$4:$L$503,317))&amp;". "))</f>
        <v/>
      </c>
      <c r="J1820">
        <f>IF(LEN(INDEX('Providers'!$AJ$4:$AJ$503,317))=0,"",INDEX('Providers'!$AJ$4:$AJ$503,317))</f>
        <v/>
      </c>
      <c r="K1820">
        <f>IF(LEN(INDEX('Providers'!$AI$4:$AI$503,317))=0,"",INDEX('Providers'!$AI$4:$AI$503,317))</f>
        <v/>
      </c>
    </row>
    <row r="1821">
      <c r="A1821">
        <f>IF(AND(LEN('Providers'!A321)&gt;0,ISNUMBER('Providers'!M321)),1,0)</f>
        <v/>
      </c>
      <c r="B1821">
        <f>B1820+A1821</f>
        <v/>
      </c>
      <c r="C1821">
        <f>IF(1818&gt;$B$4503,"",MATCH(1818-0.5,$B$3:$B$4503,1))</f>
        <v/>
      </c>
      <c r="D1821">
        <f>"Board certification – "&amp;IF(LEN(INDEX('Providers'!$A$4:$A$503,318))=0,"",INDEX('Providers'!$A$4:$A$503,318))</f>
        <v/>
      </c>
      <c r="E1821">
        <f>IF(ISNUMBER(INDEX('Providers'!$M$4:$M$503,318)),TEXT(INDEX('Providers'!$M$4:$M$503,318),"yyyy-mm-dd"),"")</f>
        <v/>
      </c>
      <c r="F1821">
        <f>"Certification"</f>
        <v/>
      </c>
      <c r="G1821">
        <f>""</f>
        <v/>
      </c>
      <c r="H1821">
        <f>"Medium"</f>
        <v/>
      </c>
      <c r="I1821">
        <f>TRIM(IF(LEN(IF(LEN(INDEX('Providers'!$L$4:$L$503,318))=0,"",INDEX('Providers'!$L$4:$L$503,318)))=0,"","Board / specialty: "&amp;IF(LEN(INDEX('Providers'!$L$4:$L$503,318))=0,"",INDEX('Providers'!$L$4:$L$503,318))&amp;". "))</f>
        <v/>
      </c>
      <c r="J1821">
        <f>IF(LEN(INDEX('Providers'!$AJ$4:$AJ$503,318))=0,"",INDEX('Providers'!$AJ$4:$AJ$503,318))</f>
        <v/>
      </c>
      <c r="K1821">
        <f>IF(LEN(INDEX('Providers'!$AI$4:$AI$503,318))=0,"",INDEX('Providers'!$AI$4:$AI$503,318))</f>
        <v/>
      </c>
    </row>
    <row r="1822">
      <c r="A1822">
        <f>IF(AND(LEN('Providers'!A322)&gt;0,ISNUMBER('Providers'!M322)),1,0)</f>
        <v/>
      </c>
      <c r="B1822">
        <f>B1821+A1822</f>
        <v/>
      </c>
      <c r="C1822">
        <f>IF(1819&gt;$B$4503,"",MATCH(1819-0.5,$B$3:$B$4503,1))</f>
        <v/>
      </c>
      <c r="D1822">
        <f>"Board certification – "&amp;IF(LEN(INDEX('Providers'!$A$4:$A$503,319))=0,"",INDEX('Providers'!$A$4:$A$503,319))</f>
        <v/>
      </c>
      <c r="E1822">
        <f>IF(ISNUMBER(INDEX('Providers'!$M$4:$M$503,319)),TEXT(INDEX('Providers'!$M$4:$M$503,319),"yyyy-mm-dd"),"")</f>
        <v/>
      </c>
      <c r="F1822">
        <f>"Certification"</f>
        <v/>
      </c>
      <c r="G1822">
        <f>""</f>
        <v/>
      </c>
      <c r="H1822">
        <f>"Medium"</f>
        <v/>
      </c>
      <c r="I1822">
        <f>TRIM(IF(LEN(IF(LEN(INDEX('Providers'!$L$4:$L$503,319))=0,"",INDEX('Providers'!$L$4:$L$503,319)))=0,"","Board / specialty: "&amp;IF(LEN(INDEX('Providers'!$L$4:$L$503,319))=0,"",INDEX('Providers'!$L$4:$L$503,319))&amp;". "))</f>
        <v/>
      </c>
      <c r="J1822">
        <f>IF(LEN(INDEX('Providers'!$AJ$4:$AJ$503,319))=0,"",INDEX('Providers'!$AJ$4:$AJ$503,319))</f>
        <v/>
      </c>
      <c r="K1822">
        <f>IF(LEN(INDEX('Providers'!$AI$4:$AI$503,319))=0,"",INDEX('Providers'!$AI$4:$AI$503,319))</f>
        <v/>
      </c>
    </row>
    <row r="1823">
      <c r="A1823">
        <f>IF(AND(LEN('Providers'!A323)&gt;0,ISNUMBER('Providers'!M323)),1,0)</f>
        <v/>
      </c>
      <c r="B1823">
        <f>B1822+A1823</f>
        <v/>
      </c>
      <c r="C1823">
        <f>IF(1820&gt;$B$4503,"",MATCH(1820-0.5,$B$3:$B$4503,1))</f>
        <v/>
      </c>
      <c r="D1823">
        <f>"Board certification – "&amp;IF(LEN(INDEX('Providers'!$A$4:$A$503,320))=0,"",INDEX('Providers'!$A$4:$A$503,320))</f>
        <v/>
      </c>
      <c r="E1823">
        <f>IF(ISNUMBER(INDEX('Providers'!$M$4:$M$503,320)),TEXT(INDEX('Providers'!$M$4:$M$503,320),"yyyy-mm-dd"),"")</f>
        <v/>
      </c>
      <c r="F1823">
        <f>"Certification"</f>
        <v/>
      </c>
      <c r="G1823">
        <f>""</f>
        <v/>
      </c>
      <c r="H1823">
        <f>"Medium"</f>
        <v/>
      </c>
      <c r="I1823">
        <f>TRIM(IF(LEN(IF(LEN(INDEX('Providers'!$L$4:$L$503,320))=0,"",INDEX('Providers'!$L$4:$L$503,320)))=0,"","Board / specialty: "&amp;IF(LEN(INDEX('Providers'!$L$4:$L$503,320))=0,"",INDEX('Providers'!$L$4:$L$503,320))&amp;". "))</f>
        <v/>
      </c>
      <c r="J1823">
        <f>IF(LEN(INDEX('Providers'!$AJ$4:$AJ$503,320))=0,"",INDEX('Providers'!$AJ$4:$AJ$503,320))</f>
        <v/>
      </c>
      <c r="K1823">
        <f>IF(LEN(INDEX('Providers'!$AI$4:$AI$503,320))=0,"",INDEX('Providers'!$AI$4:$AI$503,320))</f>
        <v/>
      </c>
    </row>
    <row r="1824">
      <c r="A1824">
        <f>IF(AND(LEN('Providers'!A324)&gt;0,ISNUMBER('Providers'!M324)),1,0)</f>
        <v/>
      </c>
      <c r="B1824">
        <f>B1823+A1824</f>
        <v/>
      </c>
      <c r="C1824">
        <f>IF(1821&gt;$B$4503,"",MATCH(1821-0.5,$B$3:$B$4503,1))</f>
        <v/>
      </c>
      <c r="D1824">
        <f>"Board certification – "&amp;IF(LEN(INDEX('Providers'!$A$4:$A$503,321))=0,"",INDEX('Providers'!$A$4:$A$503,321))</f>
        <v/>
      </c>
      <c r="E1824">
        <f>IF(ISNUMBER(INDEX('Providers'!$M$4:$M$503,321)),TEXT(INDEX('Providers'!$M$4:$M$503,321),"yyyy-mm-dd"),"")</f>
        <v/>
      </c>
      <c r="F1824">
        <f>"Certification"</f>
        <v/>
      </c>
      <c r="G1824">
        <f>""</f>
        <v/>
      </c>
      <c r="H1824">
        <f>"Medium"</f>
        <v/>
      </c>
      <c r="I1824">
        <f>TRIM(IF(LEN(IF(LEN(INDEX('Providers'!$L$4:$L$503,321))=0,"",INDEX('Providers'!$L$4:$L$503,321)))=0,"","Board / specialty: "&amp;IF(LEN(INDEX('Providers'!$L$4:$L$503,321))=0,"",INDEX('Providers'!$L$4:$L$503,321))&amp;". "))</f>
        <v/>
      </c>
      <c r="J1824">
        <f>IF(LEN(INDEX('Providers'!$AJ$4:$AJ$503,321))=0,"",INDEX('Providers'!$AJ$4:$AJ$503,321))</f>
        <v/>
      </c>
      <c r="K1824">
        <f>IF(LEN(INDEX('Providers'!$AI$4:$AI$503,321))=0,"",INDEX('Providers'!$AI$4:$AI$503,321))</f>
        <v/>
      </c>
    </row>
    <row r="1825">
      <c r="A1825">
        <f>IF(AND(LEN('Providers'!A325)&gt;0,ISNUMBER('Providers'!M325)),1,0)</f>
        <v/>
      </c>
      <c r="B1825">
        <f>B1824+A1825</f>
        <v/>
      </c>
      <c r="C1825">
        <f>IF(1822&gt;$B$4503,"",MATCH(1822-0.5,$B$3:$B$4503,1))</f>
        <v/>
      </c>
      <c r="D1825">
        <f>"Board certification – "&amp;IF(LEN(INDEX('Providers'!$A$4:$A$503,322))=0,"",INDEX('Providers'!$A$4:$A$503,322))</f>
        <v/>
      </c>
      <c r="E1825">
        <f>IF(ISNUMBER(INDEX('Providers'!$M$4:$M$503,322)),TEXT(INDEX('Providers'!$M$4:$M$503,322),"yyyy-mm-dd"),"")</f>
        <v/>
      </c>
      <c r="F1825">
        <f>"Certification"</f>
        <v/>
      </c>
      <c r="G1825">
        <f>""</f>
        <v/>
      </c>
      <c r="H1825">
        <f>"Medium"</f>
        <v/>
      </c>
      <c r="I1825">
        <f>TRIM(IF(LEN(IF(LEN(INDEX('Providers'!$L$4:$L$503,322))=0,"",INDEX('Providers'!$L$4:$L$503,322)))=0,"","Board / specialty: "&amp;IF(LEN(INDEX('Providers'!$L$4:$L$503,322))=0,"",INDEX('Providers'!$L$4:$L$503,322))&amp;". "))</f>
        <v/>
      </c>
      <c r="J1825">
        <f>IF(LEN(INDEX('Providers'!$AJ$4:$AJ$503,322))=0,"",INDEX('Providers'!$AJ$4:$AJ$503,322))</f>
        <v/>
      </c>
      <c r="K1825">
        <f>IF(LEN(INDEX('Providers'!$AI$4:$AI$503,322))=0,"",INDEX('Providers'!$AI$4:$AI$503,322))</f>
        <v/>
      </c>
    </row>
    <row r="1826">
      <c r="A1826">
        <f>IF(AND(LEN('Providers'!A326)&gt;0,ISNUMBER('Providers'!M326)),1,0)</f>
        <v/>
      </c>
      <c r="B1826">
        <f>B1825+A1826</f>
        <v/>
      </c>
      <c r="C1826">
        <f>IF(1823&gt;$B$4503,"",MATCH(1823-0.5,$B$3:$B$4503,1))</f>
        <v/>
      </c>
      <c r="D1826">
        <f>"Board certification – "&amp;IF(LEN(INDEX('Providers'!$A$4:$A$503,323))=0,"",INDEX('Providers'!$A$4:$A$503,323))</f>
        <v/>
      </c>
      <c r="E1826">
        <f>IF(ISNUMBER(INDEX('Providers'!$M$4:$M$503,323)),TEXT(INDEX('Providers'!$M$4:$M$503,323),"yyyy-mm-dd"),"")</f>
        <v/>
      </c>
      <c r="F1826">
        <f>"Certification"</f>
        <v/>
      </c>
      <c r="G1826">
        <f>""</f>
        <v/>
      </c>
      <c r="H1826">
        <f>"Medium"</f>
        <v/>
      </c>
      <c r="I1826">
        <f>TRIM(IF(LEN(IF(LEN(INDEX('Providers'!$L$4:$L$503,323))=0,"",INDEX('Providers'!$L$4:$L$503,323)))=0,"","Board / specialty: "&amp;IF(LEN(INDEX('Providers'!$L$4:$L$503,323))=0,"",INDEX('Providers'!$L$4:$L$503,323))&amp;". "))</f>
        <v/>
      </c>
      <c r="J1826">
        <f>IF(LEN(INDEX('Providers'!$AJ$4:$AJ$503,323))=0,"",INDEX('Providers'!$AJ$4:$AJ$503,323))</f>
        <v/>
      </c>
      <c r="K1826">
        <f>IF(LEN(INDEX('Providers'!$AI$4:$AI$503,323))=0,"",INDEX('Providers'!$AI$4:$AI$503,323))</f>
        <v/>
      </c>
    </row>
    <row r="1827">
      <c r="A1827">
        <f>IF(AND(LEN('Providers'!A327)&gt;0,ISNUMBER('Providers'!M327)),1,0)</f>
        <v/>
      </c>
      <c r="B1827">
        <f>B1826+A1827</f>
        <v/>
      </c>
      <c r="C1827">
        <f>IF(1824&gt;$B$4503,"",MATCH(1824-0.5,$B$3:$B$4503,1))</f>
        <v/>
      </c>
      <c r="D1827">
        <f>"Board certification – "&amp;IF(LEN(INDEX('Providers'!$A$4:$A$503,324))=0,"",INDEX('Providers'!$A$4:$A$503,324))</f>
        <v/>
      </c>
      <c r="E1827">
        <f>IF(ISNUMBER(INDEX('Providers'!$M$4:$M$503,324)),TEXT(INDEX('Providers'!$M$4:$M$503,324),"yyyy-mm-dd"),"")</f>
        <v/>
      </c>
      <c r="F1827">
        <f>"Certification"</f>
        <v/>
      </c>
      <c r="G1827">
        <f>""</f>
        <v/>
      </c>
      <c r="H1827">
        <f>"Medium"</f>
        <v/>
      </c>
      <c r="I1827">
        <f>TRIM(IF(LEN(IF(LEN(INDEX('Providers'!$L$4:$L$503,324))=0,"",INDEX('Providers'!$L$4:$L$503,324)))=0,"","Board / specialty: "&amp;IF(LEN(INDEX('Providers'!$L$4:$L$503,324))=0,"",INDEX('Providers'!$L$4:$L$503,324))&amp;". "))</f>
        <v/>
      </c>
      <c r="J1827">
        <f>IF(LEN(INDEX('Providers'!$AJ$4:$AJ$503,324))=0,"",INDEX('Providers'!$AJ$4:$AJ$503,324))</f>
        <v/>
      </c>
      <c r="K1827">
        <f>IF(LEN(INDEX('Providers'!$AI$4:$AI$503,324))=0,"",INDEX('Providers'!$AI$4:$AI$503,324))</f>
        <v/>
      </c>
    </row>
    <row r="1828">
      <c r="A1828">
        <f>IF(AND(LEN('Providers'!A328)&gt;0,ISNUMBER('Providers'!M328)),1,0)</f>
        <v/>
      </c>
      <c r="B1828">
        <f>B1827+A1828</f>
        <v/>
      </c>
      <c r="C1828">
        <f>IF(1825&gt;$B$4503,"",MATCH(1825-0.5,$B$3:$B$4503,1))</f>
        <v/>
      </c>
      <c r="D1828">
        <f>"Board certification – "&amp;IF(LEN(INDEX('Providers'!$A$4:$A$503,325))=0,"",INDEX('Providers'!$A$4:$A$503,325))</f>
        <v/>
      </c>
      <c r="E1828">
        <f>IF(ISNUMBER(INDEX('Providers'!$M$4:$M$503,325)),TEXT(INDEX('Providers'!$M$4:$M$503,325),"yyyy-mm-dd"),"")</f>
        <v/>
      </c>
      <c r="F1828">
        <f>"Certification"</f>
        <v/>
      </c>
      <c r="G1828">
        <f>""</f>
        <v/>
      </c>
      <c r="H1828">
        <f>"Medium"</f>
        <v/>
      </c>
      <c r="I1828">
        <f>TRIM(IF(LEN(IF(LEN(INDEX('Providers'!$L$4:$L$503,325))=0,"",INDEX('Providers'!$L$4:$L$503,325)))=0,"","Board / specialty: "&amp;IF(LEN(INDEX('Providers'!$L$4:$L$503,325))=0,"",INDEX('Providers'!$L$4:$L$503,325))&amp;". "))</f>
        <v/>
      </c>
      <c r="J1828">
        <f>IF(LEN(INDEX('Providers'!$AJ$4:$AJ$503,325))=0,"",INDEX('Providers'!$AJ$4:$AJ$503,325))</f>
        <v/>
      </c>
      <c r="K1828">
        <f>IF(LEN(INDEX('Providers'!$AI$4:$AI$503,325))=0,"",INDEX('Providers'!$AI$4:$AI$503,325))</f>
        <v/>
      </c>
    </row>
    <row r="1829">
      <c r="A1829">
        <f>IF(AND(LEN('Providers'!A329)&gt;0,ISNUMBER('Providers'!M329)),1,0)</f>
        <v/>
      </c>
      <c r="B1829">
        <f>B1828+A1829</f>
        <v/>
      </c>
      <c r="C1829">
        <f>IF(1826&gt;$B$4503,"",MATCH(1826-0.5,$B$3:$B$4503,1))</f>
        <v/>
      </c>
      <c r="D1829">
        <f>"Board certification – "&amp;IF(LEN(INDEX('Providers'!$A$4:$A$503,326))=0,"",INDEX('Providers'!$A$4:$A$503,326))</f>
        <v/>
      </c>
      <c r="E1829">
        <f>IF(ISNUMBER(INDEX('Providers'!$M$4:$M$503,326)),TEXT(INDEX('Providers'!$M$4:$M$503,326),"yyyy-mm-dd"),"")</f>
        <v/>
      </c>
      <c r="F1829">
        <f>"Certification"</f>
        <v/>
      </c>
      <c r="G1829">
        <f>""</f>
        <v/>
      </c>
      <c r="H1829">
        <f>"Medium"</f>
        <v/>
      </c>
      <c r="I1829">
        <f>TRIM(IF(LEN(IF(LEN(INDEX('Providers'!$L$4:$L$503,326))=0,"",INDEX('Providers'!$L$4:$L$503,326)))=0,"","Board / specialty: "&amp;IF(LEN(INDEX('Providers'!$L$4:$L$503,326))=0,"",INDEX('Providers'!$L$4:$L$503,326))&amp;". "))</f>
        <v/>
      </c>
      <c r="J1829">
        <f>IF(LEN(INDEX('Providers'!$AJ$4:$AJ$503,326))=0,"",INDEX('Providers'!$AJ$4:$AJ$503,326))</f>
        <v/>
      </c>
      <c r="K1829">
        <f>IF(LEN(INDEX('Providers'!$AI$4:$AI$503,326))=0,"",INDEX('Providers'!$AI$4:$AI$503,326))</f>
        <v/>
      </c>
    </row>
    <row r="1830">
      <c r="A1830">
        <f>IF(AND(LEN('Providers'!A330)&gt;0,ISNUMBER('Providers'!M330)),1,0)</f>
        <v/>
      </c>
      <c r="B1830">
        <f>B1829+A1830</f>
        <v/>
      </c>
      <c r="C1830">
        <f>IF(1827&gt;$B$4503,"",MATCH(1827-0.5,$B$3:$B$4503,1))</f>
        <v/>
      </c>
      <c r="D1830">
        <f>"Board certification – "&amp;IF(LEN(INDEX('Providers'!$A$4:$A$503,327))=0,"",INDEX('Providers'!$A$4:$A$503,327))</f>
        <v/>
      </c>
      <c r="E1830">
        <f>IF(ISNUMBER(INDEX('Providers'!$M$4:$M$503,327)),TEXT(INDEX('Providers'!$M$4:$M$503,327),"yyyy-mm-dd"),"")</f>
        <v/>
      </c>
      <c r="F1830">
        <f>"Certification"</f>
        <v/>
      </c>
      <c r="G1830">
        <f>""</f>
        <v/>
      </c>
      <c r="H1830">
        <f>"Medium"</f>
        <v/>
      </c>
      <c r="I1830">
        <f>TRIM(IF(LEN(IF(LEN(INDEX('Providers'!$L$4:$L$503,327))=0,"",INDEX('Providers'!$L$4:$L$503,327)))=0,"","Board / specialty: "&amp;IF(LEN(INDEX('Providers'!$L$4:$L$503,327))=0,"",INDEX('Providers'!$L$4:$L$503,327))&amp;". "))</f>
        <v/>
      </c>
      <c r="J1830">
        <f>IF(LEN(INDEX('Providers'!$AJ$4:$AJ$503,327))=0,"",INDEX('Providers'!$AJ$4:$AJ$503,327))</f>
        <v/>
      </c>
      <c r="K1830">
        <f>IF(LEN(INDEX('Providers'!$AI$4:$AI$503,327))=0,"",INDEX('Providers'!$AI$4:$AI$503,327))</f>
        <v/>
      </c>
    </row>
    <row r="1831">
      <c r="A1831">
        <f>IF(AND(LEN('Providers'!A331)&gt;0,ISNUMBER('Providers'!M331)),1,0)</f>
        <v/>
      </c>
      <c r="B1831">
        <f>B1830+A1831</f>
        <v/>
      </c>
      <c r="C1831">
        <f>IF(1828&gt;$B$4503,"",MATCH(1828-0.5,$B$3:$B$4503,1))</f>
        <v/>
      </c>
      <c r="D1831">
        <f>"Board certification – "&amp;IF(LEN(INDEX('Providers'!$A$4:$A$503,328))=0,"",INDEX('Providers'!$A$4:$A$503,328))</f>
        <v/>
      </c>
      <c r="E1831">
        <f>IF(ISNUMBER(INDEX('Providers'!$M$4:$M$503,328)),TEXT(INDEX('Providers'!$M$4:$M$503,328),"yyyy-mm-dd"),"")</f>
        <v/>
      </c>
      <c r="F1831">
        <f>"Certification"</f>
        <v/>
      </c>
      <c r="G1831">
        <f>""</f>
        <v/>
      </c>
      <c r="H1831">
        <f>"Medium"</f>
        <v/>
      </c>
      <c r="I1831">
        <f>TRIM(IF(LEN(IF(LEN(INDEX('Providers'!$L$4:$L$503,328))=0,"",INDEX('Providers'!$L$4:$L$503,328)))=0,"","Board / specialty: "&amp;IF(LEN(INDEX('Providers'!$L$4:$L$503,328))=0,"",INDEX('Providers'!$L$4:$L$503,328))&amp;". "))</f>
        <v/>
      </c>
      <c r="J1831">
        <f>IF(LEN(INDEX('Providers'!$AJ$4:$AJ$503,328))=0,"",INDEX('Providers'!$AJ$4:$AJ$503,328))</f>
        <v/>
      </c>
      <c r="K1831">
        <f>IF(LEN(INDEX('Providers'!$AI$4:$AI$503,328))=0,"",INDEX('Providers'!$AI$4:$AI$503,328))</f>
        <v/>
      </c>
    </row>
    <row r="1832">
      <c r="A1832">
        <f>IF(AND(LEN('Providers'!A332)&gt;0,ISNUMBER('Providers'!M332)),1,0)</f>
        <v/>
      </c>
      <c r="B1832">
        <f>B1831+A1832</f>
        <v/>
      </c>
      <c r="C1832">
        <f>IF(1829&gt;$B$4503,"",MATCH(1829-0.5,$B$3:$B$4503,1))</f>
        <v/>
      </c>
      <c r="D1832">
        <f>"Board certification – "&amp;IF(LEN(INDEX('Providers'!$A$4:$A$503,329))=0,"",INDEX('Providers'!$A$4:$A$503,329))</f>
        <v/>
      </c>
      <c r="E1832">
        <f>IF(ISNUMBER(INDEX('Providers'!$M$4:$M$503,329)),TEXT(INDEX('Providers'!$M$4:$M$503,329),"yyyy-mm-dd"),"")</f>
        <v/>
      </c>
      <c r="F1832">
        <f>"Certification"</f>
        <v/>
      </c>
      <c r="G1832">
        <f>""</f>
        <v/>
      </c>
      <c r="H1832">
        <f>"Medium"</f>
        <v/>
      </c>
      <c r="I1832">
        <f>TRIM(IF(LEN(IF(LEN(INDEX('Providers'!$L$4:$L$503,329))=0,"",INDEX('Providers'!$L$4:$L$503,329)))=0,"","Board / specialty: "&amp;IF(LEN(INDEX('Providers'!$L$4:$L$503,329))=0,"",INDEX('Providers'!$L$4:$L$503,329))&amp;". "))</f>
        <v/>
      </c>
      <c r="J1832">
        <f>IF(LEN(INDEX('Providers'!$AJ$4:$AJ$503,329))=0,"",INDEX('Providers'!$AJ$4:$AJ$503,329))</f>
        <v/>
      </c>
      <c r="K1832">
        <f>IF(LEN(INDEX('Providers'!$AI$4:$AI$503,329))=0,"",INDEX('Providers'!$AI$4:$AI$503,329))</f>
        <v/>
      </c>
    </row>
    <row r="1833">
      <c r="A1833">
        <f>IF(AND(LEN('Providers'!A333)&gt;0,ISNUMBER('Providers'!M333)),1,0)</f>
        <v/>
      </c>
      <c r="B1833">
        <f>B1832+A1833</f>
        <v/>
      </c>
      <c r="C1833">
        <f>IF(1830&gt;$B$4503,"",MATCH(1830-0.5,$B$3:$B$4503,1))</f>
        <v/>
      </c>
      <c r="D1833">
        <f>"Board certification – "&amp;IF(LEN(INDEX('Providers'!$A$4:$A$503,330))=0,"",INDEX('Providers'!$A$4:$A$503,330))</f>
        <v/>
      </c>
      <c r="E1833">
        <f>IF(ISNUMBER(INDEX('Providers'!$M$4:$M$503,330)),TEXT(INDEX('Providers'!$M$4:$M$503,330),"yyyy-mm-dd"),"")</f>
        <v/>
      </c>
      <c r="F1833">
        <f>"Certification"</f>
        <v/>
      </c>
      <c r="G1833">
        <f>""</f>
        <v/>
      </c>
      <c r="H1833">
        <f>"Medium"</f>
        <v/>
      </c>
      <c r="I1833">
        <f>TRIM(IF(LEN(IF(LEN(INDEX('Providers'!$L$4:$L$503,330))=0,"",INDEX('Providers'!$L$4:$L$503,330)))=0,"","Board / specialty: "&amp;IF(LEN(INDEX('Providers'!$L$4:$L$503,330))=0,"",INDEX('Providers'!$L$4:$L$503,330))&amp;". "))</f>
        <v/>
      </c>
      <c r="J1833">
        <f>IF(LEN(INDEX('Providers'!$AJ$4:$AJ$503,330))=0,"",INDEX('Providers'!$AJ$4:$AJ$503,330))</f>
        <v/>
      </c>
      <c r="K1833">
        <f>IF(LEN(INDEX('Providers'!$AI$4:$AI$503,330))=0,"",INDEX('Providers'!$AI$4:$AI$503,330))</f>
        <v/>
      </c>
    </row>
    <row r="1834">
      <c r="A1834">
        <f>IF(AND(LEN('Providers'!A334)&gt;0,ISNUMBER('Providers'!M334)),1,0)</f>
        <v/>
      </c>
      <c r="B1834">
        <f>B1833+A1834</f>
        <v/>
      </c>
      <c r="C1834">
        <f>IF(1831&gt;$B$4503,"",MATCH(1831-0.5,$B$3:$B$4503,1))</f>
        <v/>
      </c>
      <c r="D1834">
        <f>"Board certification – "&amp;IF(LEN(INDEX('Providers'!$A$4:$A$503,331))=0,"",INDEX('Providers'!$A$4:$A$503,331))</f>
        <v/>
      </c>
      <c r="E1834">
        <f>IF(ISNUMBER(INDEX('Providers'!$M$4:$M$503,331)),TEXT(INDEX('Providers'!$M$4:$M$503,331),"yyyy-mm-dd"),"")</f>
        <v/>
      </c>
      <c r="F1834">
        <f>"Certification"</f>
        <v/>
      </c>
      <c r="G1834">
        <f>""</f>
        <v/>
      </c>
      <c r="H1834">
        <f>"Medium"</f>
        <v/>
      </c>
      <c r="I1834">
        <f>TRIM(IF(LEN(IF(LEN(INDEX('Providers'!$L$4:$L$503,331))=0,"",INDEX('Providers'!$L$4:$L$503,331)))=0,"","Board / specialty: "&amp;IF(LEN(INDEX('Providers'!$L$4:$L$503,331))=0,"",INDEX('Providers'!$L$4:$L$503,331))&amp;". "))</f>
        <v/>
      </c>
      <c r="J1834">
        <f>IF(LEN(INDEX('Providers'!$AJ$4:$AJ$503,331))=0,"",INDEX('Providers'!$AJ$4:$AJ$503,331))</f>
        <v/>
      </c>
      <c r="K1834">
        <f>IF(LEN(INDEX('Providers'!$AI$4:$AI$503,331))=0,"",INDEX('Providers'!$AI$4:$AI$503,331))</f>
        <v/>
      </c>
    </row>
    <row r="1835">
      <c r="A1835">
        <f>IF(AND(LEN('Providers'!A335)&gt;0,ISNUMBER('Providers'!M335)),1,0)</f>
        <v/>
      </c>
      <c r="B1835">
        <f>B1834+A1835</f>
        <v/>
      </c>
      <c r="C1835">
        <f>IF(1832&gt;$B$4503,"",MATCH(1832-0.5,$B$3:$B$4503,1))</f>
        <v/>
      </c>
      <c r="D1835">
        <f>"Board certification – "&amp;IF(LEN(INDEX('Providers'!$A$4:$A$503,332))=0,"",INDEX('Providers'!$A$4:$A$503,332))</f>
        <v/>
      </c>
      <c r="E1835">
        <f>IF(ISNUMBER(INDEX('Providers'!$M$4:$M$503,332)),TEXT(INDEX('Providers'!$M$4:$M$503,332),"yyyy-mm-dd"),"")</f>
        <v/>
      </c>
      <c r="F1835">
        <f>"Certification"</f>
        <v/>
      </c>
      <c r="G1835">
        <f>""</f>
        <v/>
      </c>
      <c r="H1835">
        <f>"Medium"</f>
        <v/>
      </c>
      <c r="I1835">
        <f>TRIM(IF(LEN(IF(LEN(INDEX('Providers'!$L$4:$L$503,332))=0,"",INDEX('Providers'!$L$4:$L$503,332)))=0,"","Board / specialty: "&amp;IF(LEN(INDEX('Providers'!$L$4:$L$503,332))=0,"",INDEX('Providers'!$L$4:$L$503,332))&amp;". "))</f>
        <v/>
      </c>
      <c r="J1835">
        <f>IF(LEN(INDEX('Providers'!$AJ$4:$AJ$503,332))=0,"",INDEX('Providers'!$AJ$4:$AJ$503,332))</f>
        <v/>
      </c>
      <c r="K1835">
        <f>IF(LEN(INDEX('Providers'!$AI$4:$AI$503,332))=0,"",INDEX('Providers'!$AI$4:$AI$503,332))</f>
        <v/>
      </c>
    </row>
    <row r="1836">
      <c r="A1836">
        <f>IF(AND(LEN('Providers'!A336)&gt;0,ISNUMBER('Providers'!M336)),1,0)</f>
        <v/>
      </c>
      <c r="B1836">
        <f>B1835+A1836</f>
        <v/>
      </c>
      <c r="C1836">
        <f>IF(1833&gt;$B$4503,"",MATCH(1833-0.5,$B$3:$B$4503,1))</f>
        <v/>
      </c>
      <c r="D1836">
        <f>"Board certification – "&amp;IF(LEN(INDEX('Providers'!$A$4:$A$503,333))=0,"",INDEX('Providers'!$A$4:$A$503,333))</f>
        <v/>
      </c>
      <c r="E1836">
        <f>IF(ISNUMBER(INDEX('Providers'!$M$4:$M$503,333)),TEXT(INDEX('Providers'!$M$4:$M$503,333),"yyyy-mm-dd"),"")</f>
        <v/>
      </c>
      <c r="F1836">
        <f>"Certification"</f>
        <v/>
      </c>
      <c r="G1836">
        <f>""</f>
        <v/>
      </c>
      <c r="H1836">
        <f>"Medium"</f>
        <v/>
      </c>
      <c r="I1836">
        <f>TRIM(IF(LEN(IF(LEN(INDEX('Providers'!$L$4:$L$503,333))=0,"",INDEX('Providers'!$L$4:$L$503,333)))=0,"","Board / specialty: "&amp;IF(LEN(INDEX('Providers'!$L$4:$L$503,333))=0,"",INDEX('Providers'!$L$4:$L$503,333))&amp;". "))</f>
        <v/>
      </c>
      <c r="J1836">
        <f>IF(LEN(INDEX('Providers'!$AJ$4:$AJ$503,333))=0,"",INDEX('Providers'!$AJ$4:$AJ$503,333))</f>
        <v/>
      </c>
      <c r="K1836">
        <f>IF(LEN(INDEX('Providers'!$AI$4:$AI$503,333))=0,"",INDEX('Providers'!$AI$4:$AI$503,333))</f>
        <v/>
      </c>
    </row>
    <row r="1837">
      <c r="A1837">
        <f>IF(AND(LEN('Providers'!A337)&gt;0,ISNUMBER('Providers'!M337)),1,0)</f>
        <v/>
      </c>
      <c r="B1837">
        <f>B1836+A1837</f>
        <v/>
      </c>
      <c r="C1837">
        <f>IF(1834&gt;$B$4503,"",MATCH(1834-0.5,$B$3:$B$4503,1))</f>
        <v/>
      </c>
      <c r="D1837">
        <f>"Board certification – "&amp;IF(LEN(INDEX('Providers'!$A$4:$A$503,334))=0,"",INDEX('Providers'!$A$4:$A$503,334))</f>
        <v/>
      </c>
      <c r="E1837">
        <f>IF(ISNUMBER(INDEX('Providers'!$M$4:$M$503,334)),TEXT(INDEX('Providers'!$M$4:$M$503,334),"yyyy-mm-dd"),"")</f>
        <v/>
      </c>
      <c r="F1837">
        <f>"Certification"</f>
        <v/>
      </c>
      <c r="G1837">
        <f>""</f>
        <v/>
      </c>
      <c r="H1837">
        <f>"Medium"</f>
        <v/>
      </c>
      <c r="I1837">
        <f>TRIM(IF(LEN(IF(LEN(INDEX('Providers'!$L$4:$L$503,334))=0,"",INDEX('Providers'!$L$4:$L$503,334)))=0,"","Board / specialty: "&amp;IF(LEN(INDEX('Providers'!$L$4:$L$503,334))=0,"",INDEX('Providers'!$L$4:$L$503,334))&amp;". "))</f>
        <v/>
      </c>
      <c r="J1837">
        <f>IF(LEN(INDEX('Providers'!$AJ$4:$AJ$503,334))=0,"",INDEX('Providers'!$AJ$4:$AJ$503,334))</f>
        <v/>
      </c>
      <c r="K1837">
        <f>IF(LEN(INDEX('Providers'!$AI$4:$AI$503,334))=0,"",INDEX('Providers'!$AI$4:$AI$503,334))</f>
        <v/>
      </c>
    </row>
    <row r="1838">
      <c r="A1838">
        <f>IF(AND(LEN('Providers'!A338)&gt;0,ISNUMBER('Providers'!M338)),1,0)</f>
        <v/>
      </c>
      <c r="B1838">
        <f>B1837+A1838</f>
        <v/>
      </c>
      <c r="C1838">
        <f>IF(1835&gt;$B$4503,"",MATCH(1835-0.5,$B$3:$B$4503,1))</f>
        <v/>
      </c>
      <c r="D1838">
        <f>"Board certification – "&amp;IF(LEN(INDEX('Providers'!$A$4:$A$503,335))=0,"",INDEX('Providers'!$A$4:$A$503,335))</f>
        <v/>
      </c>
      <c r="E1838">
        <f>IF(ISNUMBER(INDEX('Providers'!$M$4:$M$503,335)),TEXT(INDEX('Providers'!$M$4:$M$503,335),"yyyy-mm-dd"),"")</f>
        <v/>
      </c>
      <c r="F1838">
        <f>"Certification"</f>
        <v/>
      </c>
      <c r="G1838">
        <f>""</f>
        <v/>
      </c>
      <c r="H1838">
        <f>"Medium"</f>
        <v/>
      </c>
      <c r="I1838">
        <f>TRIM(IF(LEN(IF(LEN(INDEX('Providers'!$L$4:$L$503,335))=0,"",INDEX('Providers'!$L$4:$L$503,335)))=0,"","Board / specialty: "&amp;IF(LEN(INDEX('Providers'!$L$4:$L$503,335))=0,"",INDEX('Providers'!$L$4:$L$503,335))&amp;". "))</f>
        <v/>
      </c>
      <c r="J1838">
        <f>IF(LEN(INDEX('Providers'!$AJ$4:$AJ$503,335))=0,"",INDEX('Providers'!$AJ$4:$AJ$503,335))</f>
        <v/>
      </c>
      <c r="K1838">
        <f>IF(LEN(INDEX('Providers'!$AI$4:$AI$503,335))=0,"",INDEX('Providers'!$AI$4:$AI$503,335))</f>
        <v/>
      </c>
    </row>
    <row r="1839">
      <c r="A1839">
        <f>IF(AND(LEN('Providers'!A339)&gt;0,ISNUMBER('Providers'!M339)),1,0)</f>
        <v/>
      </c>
      <c r="B1839">
        <f>B1838+A1839</f>
        <v/>
      </c>
      <c r="C1839">
        <f>IF(1836&gt;$B$4503,"",MATCH(1836-0.5,$B$3:$B$4503,1))</f>
        <v/>
      </c>
      <c r="D1839">
        <f>"Board certification – "&amp;IF(LEN(INDEX('Providers'!$A$4:$A$503,336))=0,"",INDEX('Providers'!$A$4:$A$503,336))</f>
        <v/>
      </c>
      <c r="E1839">
        <f>IF(ISNUMBER(INDEX('Providers'!$M$4:$M$503,336)),TEXT(INDEX('Providers'!$M$4:$M$503,336),"yyyy-mm-dd"),"")</f>
        <v/>
      </c>
      <c r="F1839">
        <f>"Certification"</f>
        <v/>
      </c>
      <c r="G1839">
        <f>""</f>
        <v/>
      </c>
      <c r="H1839">
        <f>"Medium"</f>
        <v/>
      </c>
      <c r="I1839">
        <f>TRIM(IF(LEN(IF(LEN(INDEX('Providers'!$L$4:$L$503,336))=0,"",INDEX('Providers'!$L$4:$L$503,336)))=0,"","Board / specialty: "&amp;IF(LEN(INDEX('Providers'!$L$4:$L$503,336))=0,"",INDEX('Providers'!$L$4:$L$503,336))&amp;". "))</f>
        <v/>
      </c>
      <c r="J1839">
        <f>IF(LEN(INDEX('Providers'!$AJ$4:$AJ$503,336))=0,"",INDEX('Providers'!$AJ$4:$AJ$503,336))</f>
        <v/>
      </c>
      <c r="K1839">
        <f>IF(LEN(INDEX('Providers'!$AI$4:$AI$503,336))=0,"",INDEX('Providers'!$AI$4:$AI$503,336))</f>
        <v/>
      </c>
    </row>
    <row r="1840">
      <c r="A1840">
        <f>IF(AND(LEN('Providers'!A340)&gt;0,ISNUMBER('Providers'!M340)),1,0)</f>
        <v/>
      </c>
      <c r="B1840">
        <f>B1839+A1840</f>
        <v/>
      </c>
      <c r="C1840">
        <f>IF(1837&gt;$B$4503,"",MATCH(1837-0.5,$B$3:$B$4503,1))</f>
        <v/>
      </c>
      <c r="D1840">
        <f>"Board certification – "&amp;IF(LEN(INDEX('Providers'!$A$4:$A$503,337))=0,"",INDEX('Providers'!$A$4:$A$503,337))</f>
        <v/>
      </c>
      <c r="E1840">
        <f>IF(ISNUMBER(INDEX('Providers'!$M$4:$M$503,337)),TEXT(INDEX('Providers'!$M$4:$M$503,337),"yyyy-mm-dd"),"")</f>
        <v/>
      </c>
      <c r="F1840">
        <f>"Certification"</f>
        <v/>
      </c>
      <c r="G1840">
        <f>""</f>
        <v/>
      </c>
      <c r="H1840">
        <f>"Medium"</f>
        <v/>
      </c>
      <c r="I1840">
        <f>TRIM(IF(LEN(IF(LEN(INDEX('Providers'!$L$4:$L$503,337))=0,"",INDEX('Providers'!$L$4:$L$503,337)))=0,"","Board / specialty: "&amp;IF(LEN(INDEX('Providers'!$L$4:$L$503,337))=0,"",INDEX('Providers'!$L$4:$L$503,337))&amp;". "))</f>
        <v/>
      </c>
      <c r="J1840">
        <f>IF(LEN(INDEX('Providers'!$AJ$4:$AJ$503,337))=0,"",INDEX('Providers'!$AJ$4:$AJ$503,337))</f>
        <v/>
      </c>
      <c r="K1840">
        <f>IF(LEN(INDEX('Providers'!$AI$4:$AI$503,337))=0,"",INDEX('Providers'!$AI$4:$AI$503,337))</f>
        <v/>
      </c>
    </row>
    <row r="1841">
      <c r="A1841">
        <f>IF(AND(LEN('Providers'!A341)&gt;0,ISNUMBER('Providers'!M341)),1,0)</f>
        <v/>
      </c>
      <c r="B1841">
        <f>B1840+A1841</f>
        <v/>
      </c>
      <c r="C1841">
        <f>IF(1838&gt;$B$4503,"",MATCH(1838-0.5,$B$3:$B$4503,1))</f>
        <v/>
      </c>
      <c r="D1841">
        <f>"Board certification – "&amp;IF(LEN(INDEX('Providers'!$A$4:$A$503,338))=0,"",INDEX('Providers'!$A$4:$A$503,338))</f>
        <v/>
      </c>
      <c r="E1841">
        <f>IF(ISNUMBER(INDEX('Providers'!$M$4:$M$503,338)),TEXT(INDEX('Providers'!$M$4:$M$503,338),"yyyy-mm-dd"),"")</f>
        <v/>
      </c>
      <c r="F1841">
        <f>"Certification"</f>
        <v/>
      </c>
      <c r="G1841">
        <f>""</f>
        <v/>
      </c>
      <c r="H1841">
        <f>"Medium"</f>
        <v/>
      </c>
      <c r="I1841">
        <f>TRIM(IF(LEN(IF(LEN(INDEX('Providers'!$L$4:$L$503,338))=0,"",INDEX('Providers'!$L$4:$L$503,338)))=0,"","Board / specialty: "&amp;IF(LEN(INDEX('Providers'!$L$4:$L$503,338))=0,"",INDEX('Providers'!$L$4:$L$503,338))&amp;". "))</f>
        <v/>
      </c>
      <c r="J1841">
        <f>IF(LEN(INDEX('Providers'!$AJ$4:$AJ$503,338))=0,"",INDEX('Providers'!$AJ$4:$AJ$503,338))</f>
        <v/>
      </c>
      <c r="K1841">
        <f>IF(LEN(INDEX('Providers'!$AI$4:$AI$503,338))=0,"",INDEX('Providers'!$AI$4:$AI$503,338))</f>
        <v/>
      </c>
    </row>
    <row r="1842">
      <c r="A1842">
        <f>IF(AND(LEN('Providers'!A342)&gt;0,ISNUMBER('Providers'!M342)),1,0)</f>
        <v/>
      </c>
      <c r="B1842">
        <f>B1841+A1842</f>
        <v/>
      </c>
      <c r="C1842">
        <f>IF(1839&gt;$B$4503,"",MATCH(1839-0.5,$B$3:$B$4503,1))</f>
        <v/>
      </c>
      <c r="D1842">
        <f>"Board certification – "&amp;IF(LEN(INDEX('Providers'!$A$4:$A$503,339))=0,"",INDEX('Providers'!$A$4:$A$503,339))</f>
        <v/>
      </c>
      <c r="E1842">
        <f>IF(ISNUMBER(INDEX('Providers'!$M$4:$M$503,339)),TEXT(INDEX('Providers'!$M$4:$M$503,339),"yyyy-mm-dd"),"")</f>
        <v/>
      </c>
      <c r="F1842">
        <f>"Certification"</f>
        <v/>
      </c>
      <c r="G1842">
        <f>""</f>
        <v/>
      </c>
      <c r="H1842">
        <f>"Medium"</f>
        <v/>
      </c>
      <c r="I1842">
        <f>TRIM(IF(LEN(IF(LEN(INDEX('Providers'!$L$4:$L$503,339))=0,"",INDEX('Providers'!$L$4:$L$503,339)))=0,"","Board / specialty: "&amp;IF(LEN(INDEX('Providers'!$L$4:$L$503,339))=0,"",INDEX('Providers'!$L$4:$L$503,339))&amp;". "))</f>
        <v/>
      </c>
      <c r="J1842">
        <f>IF(LEN(INDEX('Providers'!$AJ$4:$AJ$503,339))=0,"",INDEX('Providers'!$AJ$4:$AJ$503,339))</f>
        <v/>
      </c>
      <c r="K1842">
        <f>IF(LEN(INDEX('Providers'!$AI$4:$AI$503,339))=0,"",INDEX('Providers'!$AI$4:$AI$503,339))</f>
        <v/>
      </c>
    </row>
    <row r="1843">
      <c r="A1843">
        <f>IF(AND(LEN('Providers'!A343)&gt;0,ISNUMBER('Providers'!M343)),1,0)</f>
        <v/>
      </c>
      <c r="B1843">
        <f>B1842+A1843</f>
        <v/>
      </c>
      <c r="C1843">
        <f>IF(1840&gt;$B$4503,"",MATCH(1840-0.5,$B$3:$B$4503,1))</f>
        <v/>
      </c>
      <c r="D1843">
        <f>"Board certification – "&amp;IF(LEN(INDEX('Providers'!$A$4:$A$503,340))=0,"",INDEX('Providers'!$A$4:$A$503,340))</f>
        <v/>
      </c>
      <c r="E1843">
        <f>IF(ISNUMBER(INDEX('Providers'!$M$4:$M$503,340)),TEXT(INDEX('Providers'!$M$4:$M$503,340),"yyyy-mm-dd"),"")</f>
        <v/>
      </c>
      <c r="F1843">
        <f>"Certification"</f>
        <v/>
      </c>
      <c r="G1843">
        <f>""</f>
        <v/>
      </c>
      <c r="H1843">
        <f>"Medium"</f>
        <v/>
      </c>
      <c r="I1843">
        <f>TRIM(IF(LEN(IF(LEN(INDEX('Providers'!$L$4:$L$503,340))=0,"",INDEX('Providers'!$L$4:$L$503,340)))=0,"","Board / specialty: "&amp;IF(LEN(INDEX('Providers'!$L$4:$L$503,340))=0,"",INDEX('Providers'!$L$4:$L$503,340))&amp;". "))</f>
        <v/>
      </c>
      <c r="J1843">
        <f>IF(LEN(INDEX('Providers'!$AJ$4:$AJ$503,340))=0,"",INDEX('Providers'!$AJ$4:$AJ$503,340))</f>
        <v/>
      </c>
      <c r="K1843">
        <f>IF(LEN(INDEX('Providers'!$AI$4:$AI$503,340))=0,"",INDEX('Providers'!$AI$4:$AI$503,340))</f>
        <v/>
      </c>
    </row>
    <row r="1844">
      <c r="A1844">
        <f>IF(AND(LEN('Providers'!A344)&gt;0,ISNUMBER('Providers'!M344)),1,0)</f>
        <v/>
      </c>
      <c r="B1844">
        <f>B1843+A1844</f>
        <v/>
      </c>
      <c r="C1844">
        <f>IF(1841&gt;$B$4503,"",MATCH(1841-0.5,$B$3:$B$4503,1))</f>
        <v/>
      </c>
      <c r="D1844">
        <f>"Board certification – "&amp;IF(LEN(INDEX('Providers'!$A$4:$A$503,341))=0,"",INDEX('Providers'!$A$4:$A$503,341))</f>
        <v/>
      </c>
      <c r="E1844">
        <f>IF(ISNUMBER(INDEX('Providers'!$M$4:$M$503,341)),TEXT(INDEX('Providers'!$M$4:$M$503,341),"yyyy-mm-dd"),"")</f>
        <v/>
      </c>
      <c r="F1844">
        <f>"Certification"</f>
        <v/>
      </c>
      <c r="G1844">
        <f>""</f>
        <v/>
      </c>
      <c r="H1844">
        <f>"Medium"</f>
        <v/>
      </c>
      <c r="I1844">
        <f>TRIM(IF(LEN(IF(LEN(INDEX('Providers'!$L$4:$L$503,341))=0,"",INDEX('Providers'!$L$4:$L$503,341)))=0,"","Board / specialty: "&amp;IF(LEN(INDEX('Providers'!$L$4:$L$503,341))=0,"",INDEX('Providers'!$L$4:$L$503,341))&amp;". "))</f>
        <v/>
      </c>
      <c r="J1844">
        <f>IF(LEN(INDEX('Providers'!$AJ$4:$AJ$503,341))=0,"",INDEX('Providers'!$AJ$4:$AJ$503,341))</f>
        <v/>
      </c>
      <c r="K1844">
        <f>IF(LEN(INDEX('Providers'!$AI$4:$AI$503,341))=0,"",INDEX('Providers'!$AI$4:$AI$503,341))</f>
        <v/>
      </c>
    </row>
    <row r="1845">
      <c r="A1845">
        <f>IF(AND(LEN('Providers'!A345)&gt;0,ISNUMBER('Providers'!M345)),1,0)</f>
        <v/>
      </c>
      <c r="B1845">
        <f>B1844+A1845</f>
        <v/>
      </c>
      <c r="C1845">
        <f>IF(1842&gt;$B$4503,"",MATCH(1842-0.5,$B$3:$B$4503,1))</f>
        <v/>
      </c>
      <c r="D1845">
        <f>"Board certification – "&amp;IF(LEN(INDEX('Providers'!$A$4:$A$503,342))=0,"",INDEX('Providers'!$A$4:$A$503,342))</f>
        <v/>
      </c>
      <c r="E1845">
        <f>IF(ISNUMBER(INDEX('Providers'!$M$4:$M$503,342)),TEXT(INDEX('Providers'!$M$4:$M$503,342),"yyyy-mm-dd"),"")</f>
        <v/>
      </c>
      <c r="F1845">
        <f>"Certification"</f>
        <v/>
      </c>
      <c r="G1845">
        <f>""</f>
        <v/>
      </c>
      <c r="H1845">
        <f>"Medium"</f>
        <v/>
      </c>
      <c r="I1845">
        <f>TRIM(IF(LEN(IF(LEN(INDEX('Providers'!$L$4:$L$503,342))=0,"",INDEX('Providers'!$L$4:$L$503,342)))=0,"","Board / specialty: "&amp;IF(LEN(INDEX('Providers'!$L$4:$L$503,342))=0,"",INDEX('Providers'!$L$4:$L$503,342))&amp;". "))</f>
        <v/>
      </c>
      <c r="J1845">
        <f>IF(LEN(INDEX('Providers'!$AJ$4:$AJ$503,342))=0,"",INDEX('Providers'!$AJ$4:$AJ$503,342))</f>
        <v/>
      </c>
      <c r="K1845">
        <f>IF(LEN(INDEX('Providers'!$AI$4:$AI$503,342))=0,"",INDEX('Providers'!$AI$4:$AI$503,342))</f>
        <v/>
      </c>
    </row>
    <row r="1846">
      <c r="A1846">
        <f>IF(AND(LEN('Providers'!A346)&gt;0,ISNUMBER('Providers'!M346)),1,0)</f>
        <v/>
      </c>
      <c r="B1846">
        <f>B1845+A1846</f>
        <v/>
      </c>
      <c r="C1846">
        <f>IF(1843&gt;$B$4503,"",MATCH(1843-0.5,$B$3:$B$4503,1))</f>
        <v/>
      </c>
      <c r="D1846">
        <f>"Board certification – "&amp;IF(LEN(INDEX('Providers'!$A$4:$A$503,343))=0,"",INDEX('Providers'!$A$4:$A$503,343))</f>
        <v/>
      </c>
      <c r="E1846">
        <f>IF(ISNUMBER(INDEX('Providers'!$M$4:$M$503,343)),TEXT(INDEX('Providers'!$M$4:$M$503,343),"yyyy-mm-dd"),"")</f>
        <v/>
      </c>
      <c r="F1846">
        <f>"Certification"</f>
        <v/>
      </c>
      <c r="G1846">
        <f>""</f>
        <v/>
      </c>
      <c r="H1846">
        <f>"Medium"</f>
        <v/>
      </c>
      <c r="I1846">
        <f>TRIM(IF(LEN(IF(LEN(INDEX('Providers'!$L$4:$L$503,343))=0,"",INDEX('Providers'!$L$4:$L$503,343)))=0,"","Board / specialty: "&amp;IF(LEN(INDEX('Providers'!$L$4:$L$503,343))=0,"",INDEX('Providers'!$L$4:$L$503,343))&amp;". "))</f>
        <v/>
      </c>
      <c r="J1846">
        <f>IF(LEN(INDEX('Providers'!$AJ$4:$AJ$503,343))=0,"",INDEX('Providers'!$AJ$4:$AJ$503,343))</f>
        <v/>
      </c>
      <c r="K1846">
        <f>IF(LEN(INDEX('Providers'!$AI$4:$AI$503,343))=0,"",INDEX('Providers'!$AI$4:$AI$503,343))</f>
        <v/>
      </c>
    </row>
    <row r="1847">
      <c r="A1847">
        <f>IF(AND(LEN('Providers'!A347)&gt;0,ISNUMBER('Providers'!M347)),1,0)</f>
        <v/>
      </c>
      <c r="B1847">
        <f>B1846+A1847</f>
        <v/>
      </c>
      <c r="C1847">
        <f>IF(1844&gt;$B$4503,"",MATCH(1844-0.5,$B$3:$B$4503,1))</f>
        <v/>
      </c>
      <c r="D1847">
        <f>"Board certification – "&amp;IF(LEN(INDEX('Providers'!$A$4:$A$503,344))=0,"",INDEX('Providers'!$A$4:$A$503,344))</f>
        <v/>
      </c>
      <c r="E1847">
        <f>IF(ISNUMBER(INDEX('Providers'!$M$4:$M$503,344)),TEXT(INDEX('Providers'!$M$4:$M$503,344),"yyyy-mm-dd"),"")</f>
        <v/>
      </c>
      <c r="F1847">
        <f>"Certification"</f>
        <v/>
      </c>
      <c r="G1847">
        <f>""</f>
        <v/>
      </c>
      <c r="H1847">
        <f>"Medium"</f>
        <v/>
      </c>
      <c r="I1847">
        <f>TRIM(IF(LEN(IF(LEN(INDEX('Providers'!$L$4:$L$503,344))=0,"",INDEX('Providers'!$L$4:$L$503,344)))=0,"","Board / specialty: "&amp;IF(LEN(INDEX('Providers'!$L$4:$L$503,344))=0,"",INDEX('Providers'!$L$4:$L$503,344))&amp;". "))</f>
        <v/>
      </c>
      <c r="J1847">
        <f>IF(LEN(INDEX('Providers'!$AJ$4:$AJ$503,344))=0,"",INDEX('Providers'!$AJ$4:$AJ$503,344))</f>
        <v/>
      </c>
      <c r="K1847">
        <f>IF(LEN(INDEX('Providers'!$AI$4:$AI$503,344))=0,"",INDEX('Providers'!$AI$4:$AI$503,344))</f>
        <v/>
      </c>
    </row>
    <row r="1848">
      <c r="A1848">
        <f>IF(AND(LEN('Providers'!A348)&gt;0,ISNUMBER('Providers'!M348)),1,0)</f>
        <v/>
      </c>
      <c r="B1848">
        <f>B1847+A1848</f>
        <v/>
      </c>
      <c r="C1848">
        <f>IF(1845&gt;$B$4503,"",MATCH(1845-0.5,$B$3:$B$4503,1))</f>
        <v/>
      </c>
      <c r="D1848">
        <f>"Board certification – "&amp;IF(LEN(INDEX('Providers'!$A$4:$A$503,345))=0,"",INDEX('Providers'!$A$4:$A$503,345))</f>
        <v/>
      </c>
      <c r="E1848">
        <f>IF(ISNUMBER(INDEX('Providers'!$M$4:$M$503,345)),TEXT(INDEX('Providers'!$M$4:$M$503,345),"yyyy-mm-dd"),"")</f>
        <v/>
      </c>
      <c r="F1848">
        <f>"Certification"</f>
        <v/>
      </c>
      <c r="G1848">
        <f>""</f>
        <v/>
      </c>
      <c r="H1848">
        <f>"Medium"</f>
        <v/>
      </c>
      <c r="I1848">
        <f>TRIM(IF(LEN(IF(LEN(INDEX('Providers'!$L$4:$L$503,345))=0,"",INDEX('Providers'!$L$4:$L$503,345)))=0,"","Board / specialty: "&amp;IF(LEN(INDEX('Providers'!$L$4:$L$503,345))=0,"",INDEX('Providers'!$L$4:$L$503,345))&amp;". "))</f>
        <v/>
      </c>
      <c r="J1848">
        <f>IF(LEN(INDEX('Providers'!$AJ$4:$AJ$503,345))=0,"",INDEX('Providers'!$AJ$4:$AJ$503,345))</f>
        <v/>
      </c>
      <c r="K1848">
        <f>IF(LEN(INDEX('Providers'!$AI$4:$AI$503,345))=0,"",INDEX('Providers'!$AI$4:$AI$503,345))</f>
        <v/>
      </c>
    </row>
    <row r="1849">
      <c r="A1849">
        <f>IF(AND(LEN('Providers'!A349)&gt;0,ISNUMBER('Providers'!M349)),1,0)</f>
        <v/>
      </c>
      <c r="B1849">
        <f>B1848+A1849</f>
        <v/>
      </c>
      <c r="C1849">
        <f>IF(1846&gt;$B$4503,"",MATCH(1846-0.5,$B$3:$B$4503,1))</f>
        <v/>
      </c>
      <c r="D1849">
        <f>"Board certification – "&amp;IF(LEN(INDEX('Providers'!$A$4:$A$503,346))=0,"",INDEX('Providers'!$A$4:$A$503,346))</f>
        <v/>
      </c>
      <c r="E1849">
        <f>IF(ISNUMBER(INDEX('Providers'!$M$4:$M$503,346)),TEXT(INDEX('Providers'!$M$4:$M$503,346),"yyyy-mm-dd"),"")</f>
        <v/>
      </c>
      <c r="F1849">
        <f>"Certification"</f>
        <v/>
      </c>
      <c r="G1849">
        <f>""</f>
        <v/>
      </c>
      <c r="H1849">
        <f>"Medium"</f>
        <v/>
      </c>
      <c r="I1849">
        <f>TRIM(IF(LEN(IF(LEN(INDEX('Providers'!$L$4:$L$503,346))=0,"",INDEX('Providers'!$L$4:$L$503,346)))=0,"","Board / specialty: "&amp;IF(LEN(INDEX('Providers'!$L$4:$L$503,346))=0,"",INDEX('Providers'!$L$4:$L$503,346))&amp;". "))</f>
        <v/>
      </c>
      <c r="J1849">
        <f>IF(LEN(INDEX('Providers'!$AJ$4:$AJ$503,346))=0,"",INDEX('Providers'!$AJ$4:$AJ$503,346))</f>
        <v/>
      </c>
      <c r="K1849">
        <f>IF(LEN(INDEX('Providers'!$AI$4:$AI$503,346))=0,"",INDEX('Providers'!$AI$4:$AI$503,346))</f>
        <v/>
      </c>
    </row>
    <row r="1850">
      <c r="A1850">
        <f>IF(AND(LEN('Providers'!A350)&gt;0,ISNUMBER('Providers'!M350)),1,0)</f>
        <v/>
      </c>
      <c r="B1850">
        <f>B1849+A1850</f>
        <v/>
      </c>
      <c r="C1850">
        <f>IF(1847&gt;$B$4503,"",MATCH(1847-0.5,$B$3:$B$4503,1))</f>
        <v/>
      </c>
      <c r="D1850">
        <f>"Board certification – "&amp;IF(LEN(INDEX('Providers'!$A$4:$A$503,347))=0,"",INDEX('Providers'!$A$4:$A$503,347))</f>
        <v/>
      </c>
      <c r="E1850">
        <f>IF(ISNUMBER(INDEX('Providers'!$M$4:$M$503,347)),TEXT(INDEX('Providers'!$M$4:$M$503,347),"yyyy-mm-dd"),"")</f>
        <v/>
      </c>
      <c r="F1850">
        <f>"Certification"</f>
        <v/>
      </c>
      <c r="G1850">
        <f>""</f>
        <v/>
      </c>
      <c r="H1850">
        <f>"Medium"</f>
        <v/>
      </c>
      <c r="I1850">
        <f>TRIM(IF(LEN(IF(LEN(INDEX('Providers'!$L$4:$L$503,347))=0,"",INDEX('Providers'!$L$4:$L$503,347)))=0,"","Board / specialty: "&amp;IF(LEN(INDEX('Providers'!$L$4:$L$503,347))=0,"",INDEX('Providers'!$L$4:$L$503,347))&amp;". "))</f>
        <v/>
      </c>
      <c r="J1850">
        <f>IF(LEN(INDEX('Providers'!$AJ$4:$AJ$503,347))=0,"",INDEX('Providers'!$AJ$4:$AJ$503,347))</f>
        <v/>
      </c>
      <c r="K1850">
        <f>IF(LEN(INDEX('Providers'!$AI$4:$AI$503,347))=0,"",INDEX('Providers'!$AI$4:$AI$503,347))</f>
        <v/>
      </c>
    </row>
    <row r="1851">
      <c r="A1851">
        <f>IF(AND(LEN('Providers'!A351)&gt;0,ISNUMBER('Providers'!M351)),1,0)</f>
        <v/>
      </c>
      <c r="B1851">
        <f>B1850+A1851</f>
        <v/>
      </c>
      <c r="C1851">
        <f>IF(1848&gt;$B$4503,"",MATCH(1848-0.5,$B$3:$B$4503,1))</f>
        <v/>
      </c>
      <c r="D1851">
        <f>"Board certification – "&amp;IF(LEN(INDEX('Providers'!$A$4:$A$503,348))=0,"",INDEX('Providers'!$A$4:$A$503,348))</f>
        <v/>
      </c>
      <c r="E1851">
        <f>IF(ISNUMBER(INDEX('Providers'!$M$4:$M$503,348)),TEXT(INDEX('Providers'!$M$4:$M$503,348),"yyyy-mm-dd"),"")</f>
        <v/>
      </c>
      <c r="F1851">
        <f>"Certification"</f>
        <v/>
      </c>
      <c r="G1851">
        <f>""</f>
        <v/>
      </c>
      <c r="H1851">
        <f>"Medium"</f>
        <v/>
      </c>
      <c r="I1851">
        <f>TRIM(IF(LEN(IF(LEN(INDEX('Providers'!$L$4:$L$503,348))=0,"",INDEX('Providers'!$L$4:$L$503,348)))=0,"","Board / specialty: "&amp;IF(LEN(INDEX('Providers'!$L$4:$L$503,348))=0,"",INDEX('Providers'!$L$4:$L$503,348))&amp;". "))</f>
        <v/>
      </c>
      <c r="J1851">
        <f>IF(LEN(INDEX('Providers'!$AJ$4:$AJ$503,348))=0,"",INDEX('Providers'!$AJ$4:$AJ$503,348))</f>
        <v/>
      </c>
      <c r="K1851">
        <f>IF(LEN(INDEX('Providers'!$AI$4:$AI$503,348))=0,"",INDEX('Providers'!$AI$4:$AI$503,348))</f>
        <v/>
      </c>
    </row>
    <row r="1852">
      <c r="A1852">
        <f>IF(AND(LEN('Providers'!A352)&gt;0,ISNUMBER('Providers'!M352)),1,0)</f>
        <v/>
      </c>
      <c r="B1852">
        <f>B1851+A1852</f>
        <v/>
      </c>
      <c r="C1852">
        <f>IF(1849&gt;$B$4503,"",MATCH(1849-0.5,$B$3:$B$4503,1))</f>
        <v/>
      </c>
      <c r="D1852">
        <f>"Board certification – "&amp;IF(LEN(INDEX('Providers'!$A$4:$A$503,349))=0,"",INDEX('Providers'!$A$4:$A$503,349))</f>
        <v/>
      </c>
      <c r="E1852">
        <f>IF(ISNUMBER(INDEX('Providers'!$M$4:$M$503,349)),TEXT(INDEX('Providers'!$M$4:$M$503,349),"yyyy-mm-dd"),"")</f>
        <v/>
      </c>
      <c r="F1852">
        <f>"Certification"</f>
        <v/>
      </c>
      <c r="G1852">
        <f>""</f>
        <v/>
      </c>
      <c r="H1852">
        <f>"Medium"</f>
        <v/>
      </c>
      <c r="I1852">
        <f>TRIM(IF(LEN(IF(LEN(INDEX('Providers'!$L$4:$L$503,349))=0,"",INDEX('Providers'!$L$4:$L$503,349)))=0,"","Board / specialty: "&amp;IF(LEN(INDEX('Providers'!$L$4:$L$503,349))=0,"",INDEX('Providers'!$L$4:$L$503,349))&amp;". "))</f>
        <v/>
      </c>
      <c r="J1852">
        <f>IF(LEN(INDEX('Providers'!$AJ$4:$AJ$503,349))=0,"",INDEX('Providers'!$AJ$4:$AJ$503,349))</f>
        <v/>
      </c>
      <c r="K1852">
        <f>IF(LEN(INDEX('Providers'!$AI$4:$AI$503,349))=0,"",INDEX('Providers'!$AI$4:$AI$503,349))</f>
        <v/>
      </c>
    </row>
    <row r="1853">
      <c r="A1853">
        <f>IF(AND(LEN('Providers'!A353)&gt;0,ISNUMBER('Providers'!M353)),1,0)</f>
        <v/>
      </c>
      <c r="B1853">
        <f>B1852+A1853</f>
        <v/>
      </c>
      <c r="C1853">
        <f>IF(1850&gt;$B$4503,"",MATCH(1850-0.5,$B$3:$B$4503,1))</f>
        <v/>
      </c>
      <c r="D1853">
        <f>"Board certification – "&amp;IF(LEN(INDEX('Providers'!$A$4:$A$503,350))=0,"",INDEX('Providers'!$A$4:$A$503,350))</f>
        <v/>
      </c>
      <c r="E1853">
        <f>IF(ISNUMBER(INDEX('Providers'!$M$4:$M$503,350)),TEXT(INDEX('Providers'!$M$4:$M$503,350),"yyyy-mm-dd"),"")</f>
        <v/>
      </c>
      <c r="F1853">
        <f>"Certification"</f>
        <v/>
      </c>
      <c r="G1853">
        <f>""</f>
        <v/>
      </c>
      <c r="H1853">
        <f>"Medium"</f>
        <v/>
      </c>
      <c r="I1853">
        <f>TRIM(IF(LEN(IF(LEN(INDEX('Providers'!$L$4:$L$503,350))=0,"",INDEX('Providers'!$L$4:$L$503,350)))=0,"","Board / specialty: "&amp;IF(LEN(INDEX('Providers'!$L$4:$L$503,350))=0,"",INDEX('Providers'!$L$4:$L$503,350))&amp;". "))</f>
        <v/>
      </c>
      <c r="J1853">
        <f>IF(LEN(INDEX('Providers'!$AJ$4:$AJ$503,350))=0,"",INDEX('Providers'!$AJ$4:$AJ$503,350))</f>
        <v/>
      </c>
      <c r="K1853">
        <f>IF(LEN(INDEX('Providers'!$AI$4:$AI$503,350))=0,"",INDEX('Providers'!$AI$4:$AI$503,350))</f>
        <v/>
      </c>
    </row>
    <row r="1854">
      <c r="A1854">
        <f>IF(AND(LEN('Providers'!A354)&gt;0,ISNUMBER('Providers'!M354)),1,0)</f>
        <v/>
      </c>
      <c r="B1854">
        <f>B1853+A1854</f>
        <v/>
      </c>
      <c r="C1854">
        <f>IF(1851&gt;$B$4503,"",MATCH(1851-0.5,$B$3:$B$4503,1))</f>
        <v/>
      </c>
      <c r="D1854">
        <f>"Board certification – "&amp;IF(LEN(INDEX('Providers'!$A$4:$A$503,351))=0,"",INDEX('Providers'!$A$4:$A$503,351))</f>
        <v/>
      </c>
      <c r="E1854">
        <f>IF(ISNUMBER(INDEX('Providers'!$M$4:$M$503,351)),TEXT(INDEX('Providers'!$M$4:$M$503,351),"yyyy-mm-dd"),"")</f>
        <v/>
      </c>
      <c r="F1854">
        <f>"Certification"</f>
        <v/>
      </c>
      <c r="G1854">
        <f>""</f>
        <v/>
      </c>
      <c r="H1854">
        <f>"Medium"</f>
        <v/>
      </c>
      <c r="I1854">
        <f>TRIM(IF(LEN(IF(LEN(INDEX('Providers'!$L$4:$L$503,351))=0,"",INDEX('Providers'!$L$4:$L$503,351)))=0,"","Board / specialty: "&amp;IF(LEN(INDEX('Providers'!$L$4:$L$503,351))=0,"",INDEX('Providers'!$L$4:$L$503,351))&amp;". "))</f>
        <v/>
      </c>
      <c r="J1854">
        <f>IF(LEN(INDEX('Providers'!$AJ$4:$AJ$503,351))=0,"",INDEX('Providers'!$AJ$4:$AJ$503,351))</f>
        <v/>
      </c>
      <c r="K1854">
        <f>IF(LEN(INDEX('Providers'!$AI$4:$AI$503,351))=0,"",INDEX('Providers'!$AI$4:$AI$503,351))</f>
        <v/>
      </c>
    </row>
    <row r="1855">
      <c r="A1855">
        <f>IF(AND(LEN('Providers'!A355)&gt;0,ISNUMBER('Providers'!M355)),1,0)</f>
        <v/>
      </c>
      <c r="B1855">
        <f>B1854+A1855</f>
        <v/>
      </c>
      <c r="C1855">
        <f>IF(1852&gt;$B$4503,"",MATCH(1852-0.5,$B$3:$B$4503,1))</f>
        <v/>
      </c>
      <c r="D1855">
        <f>"Board certification – "&amp;IF(LEN(INDEX('Providers'!$A$4:$A$503,352))=0,"",INDEX('Providers'!$A$4:$A$503,352))</f>
        <v/>
      </c>
      <c r="E1855">
        <f>IF(ISNUMBER(INDEX('Providers'!$M$4:$M$503,352)),TEXT(INDEX('Providers'!$M$4:$M$503,352),"yyyy-mm-dd"),"")</f>
        <v/>
      </c>
      <c r="F1855">
        <f>"Certification"</f>
        <v/>
      </c>
      <c r="G1855">
        <f>""</f>
        <v/>
      </c>
      <c r="H1855">
        <f>"Medium"</f>
        <v/>
      </c>
      <c r="I1855">
        <f>TRIM(IF(LEN(IF(LEN(INDEX('Providers'!$L$4:$L$503,352))=0,"",INDEX('Providers'!$L$4:$L$503,352)))=0,"","Board / specialty: "&amp;IF(LEN(INDEX('Providers'!$L$4:$L$503,352))=0,"",INDEX('Providers'!$L$4:$L$503,352))&amp;". "))</f>
        <v/>
      </c>
      <c r="J1855">
        <f>IF(LEN(INDEX('Providers'!$AJ$4:$AJ$503,352))=0,"",INDEX('Providers'!$AJ$4:$AJ$503,352))</f>
        <v/>
      </c>
      <c r="K1855">
        <f>IF(LEN(INDEX('Providers'!$AI$4:$AI$503,352))=0,"",INDEX('Providers'!$AI$4:$AI$503,352))</f>
        <v/>
      </c>
    </row>
    <row r="1856">
      <c r="A1856">
        <f>IF(AND(LEN('Providers'!A356)&gt;0,ISNUMBER('Providers'!M356)),1,0)</f>
        <v/>
      </c>
      <c r="B1856">
        <f>B1855+A1856</f>
        <v/>
      </c>
      <c r="C1856">
        <f>IF(1853&gt;$B$4503,"",MATCH(1853-0.5,$B$3:$B$4503,1))</f>
        <v/>
      </c>
      <c r="D1856">
        <f>"Board certification – "&amp;IF(LEN(INDEX('Providers'!$A$4:$A$503,353))=0,"",INDEX('Providers'!$A$4:$A$503,353))</f>
        <v/>
      </c>
      <c r="E1856">
        <f>IF(ISNUMBER(INDEX('Providers'!$M$4:$M$503,353)),TEXT(INDEX('Providers'!$M$4:$M$503,353),"yyyy-mm-dd"),"")</f>
        <v/>
      </c>
      <c r="F1856">
        <f>"Certification"</f>
        <v/>
      </c>
      <c r="G1856">
        <f>""</f>
        <v/>
      </c>
      <c r="H1856">
        <f>"Medium"</f>
        <v/>
      </c>
      <c r="I1856">
        <f>TRIM(IF(LEN(IF(LEN(INDEX('Providers'!$L$4:$L$503,353))=0,"",INDEX('Providers'!$L$4:$L$503,353)))=0,"","Board / specialty: "&amp;IF(LEN(INDEX('Providers'!$L$4:$L$503,353))=0,"",INDEX('Providers'!$L$4:$L$503,353))&amp;". "))</f>
        <v/>
      </c>
      <c r="J1856">
        <f>IF(LEN(INDEX('Providers'!$AJ$4:$AJ$503,353))=0,"",INDEX('Providers'!$AJ$4:$AJ$503,353))</f>
        <v/>
      </c>
      <c r="K1856">
        <f>IF(LEN(INDEX('Providers'!$AI$4:$AI$503,353))=0,"",INDEX('Providers'!$AI$4:$AI$503,353))</f>
        <v/>
      </c>
    </row>
    <row r="1857">
      <c r="A1857">
        <f>IF(AND(LEN('Providers'!A357)&gt;0,ISNUMBER('Providers'!M357)),1,0)</f>
        <v/>
      </c>
      <c r="B1857">
        <f>B1856+A1857</f>
        <v/>
      </c>
      <c r="C1857">
        <f>IF(1854&gt;$B$4503,"",MATCH(1854-0.5,$B$3:$B$4503,1))</f>
        <v/>
      </c>
      <c r="D1857">
        <f>"Board certification – "&amp;IF(LEN(INDEX('Providers'!$A$4:$A$503,354))=0,"",INDEX('Providers'!$A$4:$A$503,354))</f>
        <v/>
      </c>
      <c r="E1857">
        <f>IF(ISNUMBER(INDEX('Providers'!$M$4:$M$503,354)),TEXT(INDEX('Providers'!$M$4:$M$503,354),"yyyy-mm-dd"),"")</f>
        <v/>
      </c>
      <c r="F1857">
        <f>"Certification"</f>
        <v/>
      </c>
      <c r="G1857">
        <f>""</f>
        <v/>
      </c>
      <c r="H1857">
        <f>"Medium"</f>
        <v/>
      </c>
      <c r="I1857">
        <f>TRIM(IF(LEN(IF(LEN(INDEX('Providers'!$L$4:$L$503,354))=0,"",INDEX('Providers'!$L$4:$L$503,354)))=0,"","Board / specialty: "&amp;IF(LEN(INDEX('Providers'!$L$4:$L$503,354))=0,"",INDEX('Providers'!$L$4:$L$503,354))&amp;". "))</f>
        <v/>
      </c>
      <c r="J1857">
        <f>IF(LEN(INDEX('Providers'!$AJ$4:$AJ$503,354))=0,"",INDEX('Providers'!$AJ$4:$AJ$503,354))</f>
        <v/>
      </c>
      <c r="K1857">
        <f>IF(LEN(INDEX('Providers'!$AI$4:$AI$503,354))=0,"",INDEX('Providers'!$AI$4:$AI$503,354))</f>
        <v/>
      </c>
    </row>
    <row r="1858">
      <c r="A1858">
        <f>IF(AND(LEN('Providers'!A358)&gt;0,ISNUMBER('Providers'!M358)),1,0)</f>
        <v/>
      </c>
      <c r="B1858">
        <f>B1857+A1858</f>
        <v/>
      </c>
      <c r="C1858">
        <f>IF(1855&gt;$B$4503,"",MATCH(1855-0.5,$B$3:$B$4503,1))</f>
        <v/>
      </c>
      <c r="D1858">
        <f>"Board certification – "&amp;IF(LEN(INDEX('Providers'!$A$4:$A$503,355))=0,"",INDEX('Providers'!$A$4:$A$503,355))</f>
        <v/>
      </c>
      <c r="E1858">
        <f>IF(ISNUMBER(INDEX('Providers'!$M$4:$M$503,355)),TEXT(INDEX('Providers'!$M$4:$M$503,355),"yyyy-mm-dd"),"")</f>
        <v/>
      </c>
      <c r="F1858">
        <f>"Certification"</f>
        <v/>
      </c>
      <c r="G1858">
        <f>""</f>
        <v/>
      </c>
      <c r="H1858">
        <f>"Medium"</f>
        <v/>
      </c>
      <c r="I1858">
        <f>TRIM(IF(LEN(IF(LEN(INDEX('Providers'!$L$4:$L$503,355))=0,"",INDEX('Providers'!$L$4:$L$503,355)))=0,"","Board / specialty: "&amp;IF(LEN(INDEX('Providers'!$L$4:$L$503,355))=0,"",INDEX('Providers'!$L$4:$L$503,355))&amp;". "))</f>
        <v/>
      </c>
      <c r="J1858">
        <f>IF(LEN(INDEX('Providers'!$AJ$4:$AJ$503,355))=0,"",INDEX('Providers'!$AJ$4:$AJ$503,355))</f>
        <v/>
      </c>
      <c r="K1858">
        <f>IF(LEN(INDEX('Providers'!$AI$4:$AI$503,355))=0,"",INDEX('Providers'!$AI$4:$AI$503,355))</f>
        <v/>
      </c>
    </row>
    <row r="1859">
      <c r="A1859">
        <f>IF(AND(LEN('Providers'!A359)&gt;0,ISNUMBER('Providers'!M359)),1,0)</f>
        <v/>
      </c>
      <c r="B1859">
        <f>B1858+A1859</f>
        <v/>
      </c>
      <c r="C1859">
        <f>IF(1856&gt;$B$4503,"",MATCH(1856-0.5,$B$3:$B$4503,1))</f>
        <v/>
      </c>
      <c r="D1859">
        <f>"Board certification – "&amp;IF(LEN(INDEX('Providers'!$A$4:$A$503,356))=0,"",INDEX('Providers'!$A$4:$A$503,356))</f>
        <v/>
      </c>
      <c r="E1859">
        <f>IF(ISNUMBER(INDEX('Providers'!$M$4:$M$503,356)),TEXT(INDEX('Providers'!$M$4:$M$503,356),"yyyy-mm-dd"),"")</f>
        <v/>
      </c>
      <c r="F1859">
        <f>"Certification"</f>
        <v/>
      </c>
      <c r="G1859">
        <f>""</f>
        <v/>
      </c>
      <c r="H1859">
        <f>"Medium"</f>
        <v/>
      </c>
      <c r="I1859">
        <f>TRIM(IF(LEN(IF(LEN(INDEX('Providers'!$L$4:$L$503,356))=0,"",INDEX('Providers'!$L$4:$L$503,356)))=0,"","Board / specialty: "&amp;IF(LEN(INDEX('Providers'!$L$4:$L$503,356))=0,"",INDEX('Providers'!$L$4:$L$503,356))&amp;". "))</f>
        <v/>
      </c>
      <c r="J1859">
        <f>IF(LEN(INDEX('Providers'!$AJ$4:$AJ$503,356))=0,"",INDEX('Providers'!$AJ$4:$AJ$503,356))</f>
        <v/>
      </c>
      <c r="K1859">
        <f>IF(LEN(INDEX('Providers'!$AI$4:$AI$503,356))=0,"",INDEX('Providers'!$AI$4:$AI$503,356))</f>
        <v/>
      </c>
    </row>
    <row r="1860">
      <c r="A1860">
        <f>IF(AND(LEN('Providers'!A360)&gt;0,ISNUMBER('Providers'!M360)),1,0)</f>
        <v/>
      </c>
      <c r="B1860">
        <f>B1859+A1860</f>
        <v/>
      </c>
      <c r="C1860">
        <f>IF(1857&gt;$B$4503,"",MATCH(1857-0.5,$B$3:$B$4503,1))</f>
        <v/>
      </c>
      <c r="D1860">
        <f>"Board certification – "&amp;IF(LEN(INDEX('Providers'!$A$4:$A$503,357))=0,"",INDEX('Providers'!$A$4:$A$503,357))</f>
        <v/>
      </c>
      <c r="E1860">
        <f>IF(ISNUMBER(INDEX('Providers'!$M$4:$M$503,357)),TEXT(INDEX('Providers'!$M$4:$M$503,357),"yyyy-mm-dd"),"")</f>
        <v/>
      </c>
      <c r="F1860">
        <f>"Certification"</f>
        <v/>
      </c>
      <c r="G1860">
        <f>""</f>
        <v/>
      </c>
      <c r="H1860">
        <f>"Medium"</f>
        <v/>
      </c>
      <c r="I1860">
        <f>TRIM(IF(LEN(IF(LEN(INDEX('Providers'!$L$4:$L$503,357))=0,"",INDEX('Providers'!$L$4:$L$503,357)))=0,"","Board / specialty: "&amp;IF(LEN(INDEX('Providers'!$L$4:$L$503,357))=0,"",INDEX('Providers'!$L$4:$L$503,357))&amp;". "))</f>
        <v/>
      </c>
      <c r="J1860">
        <f>IF(LEN(INDEX('Providers'!$AJ$4:$AJ$503,357))=0,"",INDEX('Providers'!$AJ$4:$AJ$503,357))</f>
        <v/>
      </c>
      <c r="K1860">
        <f>IF(LEN(INDEX('Providers'!$AI$4:$AI$503,357))=0,"",INDEX('Providers'!$AI$4:$AI$503,357))</f>
        <v/>
      </c>
    </row>
    <row r="1861">
      <c r="A1861">
        <f>IF(AND(LEN('Providers'!A361)&gt;0,ISNUMBER('Providers'!M361)),1,0)</f>
        <v/>
      </c>
      <c r="B1861">
        <f>B1860+A1861</f>
        <v/>
      </c>
      <c r="C1861">
        <f>IF(1858&gt;$B$4503,"",MATCH(1858-0.5,$B$3:$B$4503,1))</f>
        <v/>
      </c>
      <c r="D1861">
        <f>"Board certification – "&amp;IF(LEN(INDEX('Providers'!$A$4:$A$503,358))=0,"",INDEX('Providers'!$A$4:$A$503,358))</f>
        <v/>
      </c>
      <c r="E1861">
        <f>IF(ISNUMBER(INDEX('Providers'!$M$4:$M$503,358)),TEXT(INDEX('Providers'!$M$4:$M$503,358),"yyyy-mm-dd"),"")</f>
        <v/>
      </c>
      <c r="F1861">
        <f>"Certification"</f>
        <v/>
      </c>
      <c r="G1861">
        <f>""</f>
        <v/>
      </c>
      <c r="H1861">
        <f>"Medium"</f>
        <v/>
      </c>
      <c r="I1861">
        <f>TRIM(IF(LEN(IF(LEN(INDEX('Providers'!$L$4:$L$503,358))=0,"",INDEX('Providers'!$L$4:$L$503,358)))=0,"","Board / specialty: "&amp;IF(LEN(INDEX('Providers'!$L$4:$L$503,358))=0,"",INDEX('Providers'!$L$4:$L$503,358))&amp;". "))</f>
        <v/>
      </c>
      <c r="J1861">
        <f>IF(LEN(INDEX('Providers'!$AJ$4:$AJ$503,358))=0,"",INDEX('Providers'!$AJ$4:$AJ$503,358))</f>
        <v/>
      </c>
      <c r="K1861">
        <f>IF(LEN(INDEX('Providers'!$AI$4:$AI$503,358))=0,"",INDEX('Providers'!$AI$4:$AI$503,358))</f>
        <v/>
      </c>
    </row>
    <row r="1862">
      <c r="A1862">
        <f>IF(AND(LEN('Providers'!A362)&gt;0,ISNUMBER('Providers'!M362)),1,0)</f>
        <v/>
      </c>
      <c r="B1862">
        <f>B1861+A1862</f>
        <v/>
      </c>
      <c r="C1862">
        <f>IF(1859&gt;$B$4503,"",MATCH(1859-0.5,$B$3:$B$4503,1))</f>
        <v/>
      </c>
      <c r="D1862">
        <f>"Board certification – "&amp;IF(LEN(INDEX('Providers'!$A$4:$A$503,359))=0,"",INDEX('Providers'!$A$4:$A$503,359))</f>
        <v/>
      </c>
      <c r="E1862">
        <f>IF(ISNUMBER(INDEX('Providers'!$M$4:$M$503,359)),TEXT(INDEX('Providers'!$M$4:$M$503,359),"yyyy-mm-dd"),"")</f>
        <v/>
      </c>
      <c r="F1862">
        <f>"Certification"</f>
        <v/>
      </c>
      <c r="G1862">
        <f>""</f>
        <v/>
      </c>
      <c r="H1862">
        <f>"Medium"</f>
        <v/>
      </c>
      <c r="I1862">
        <f>TRIM(IF(LEN(IF(LEN(INDEX('Providers'!$L$4:$L$503,359))=0,"",INDEX('Providers'!$L$4:$L$503,359)))=0,"","Board / specialty: "&amp;IF(LEN(INDEX('Providers'!$L$4:$L$503,359))=0,"",INDEX('Providers'!$L$4:$L$503,359))&amp;". "))</f>
        <v/>
      </c>
      <c r="J1862">
        <f>IF(LEN(INDEX('Providers'!$AJ$4:$AJ$503,359))=0,"",INDEX('Providers'!$AJ$4:$AJ$503,359))</f>
        <v/>
      </c>
      <c r="K1862">
        <f>IF(LEN(INDEX('Providers'!$AI$4:$AI$503,359))=0,"",INDEX('Providers'!$AI$4:$AI$503,359))</f>
        <v/>
      </c>
    </row>
    <row r="1863">
      <c r="A1863">
        <f>IF(AND(LEN('Providers'!A363)&gt;0,ISNUMBER('Providers'!M363)),1,0)</f>
        <v/>
      </c>
      <c r="B1863">
        <f>B1862+A1863</f>
        <v/>
      </c>
      <c r="C1863">
        <f>IF(1860&gt;$B$4503,"",MATCH(1860-0.5,$B$3:$B$4503,1))</f>
        <v/>
      </c>
      <c r="D1863">
        <f>"Board certification – "&amp;IF(LEN(INDEX('Providers'!$A$4:$A$503,360))=0,"",INDEX('Providers'!$A$4:$A$503,360))</f>
        <v/>
      </c>
      <c r="E1863">
        <f>IF(ISNUMBER(INDEX('Providers'!$M$4:$M$503,360)),TEXT(INDEX('Providers'!$M$4:$M$503,360),"yyyy-mm-dd"),"")</f>
        <v/>
      </c>
      <c r="F1863">
        <f>"Certification"</f>
        <v/>
      </c>
      <c r="G1863">
        <f>""</f>
        <v/>
      </c>
      <c r="H1863">
        <f>"Medium"</f>
        <v/>
      </c>
      <c r="I1863">
        <f>TRIM(IF(LEN(IF(LEN(INDEX('Providers'!$L$4:$L$503,360))=0,"",INDEX('Providers'!$L$4:$L$503,360)))=0,"","Board / specialty: "&amp;IF(LEN(INDEX('Providers'!$L$4:$L$503,360))=0,"",INDEX('Providers'!$L$4:$L$503,360))&amp;". "))</f>
        <v/>
      </c>
      <c r="J1863">
        <f>IF(LEN(INDEX('Providers'!$AJ$4:$AJ$503,360))=0,"",INDEX('Providers'!$AJ$4:$AJ$503,360))</f>
        <v/>
      </c>
      <c r="K1863">
        <f>IF(LEN(INDEX('Providers'!$AI$4:$AI$503,360))=0,"",INDEX('Providers'!$AI$4:$AI$503,360))</f>
        <v/>
      </c>
    </row>
    <row r="1864">
      <c r="A1864">
        <f>IF(AND(LEN('Providers'!A364)&gt;0,ISNUMBER('Providers'!M364)),1,0)</f>
        <v/>
      </c>
      <c r="B1864">
        <f>B1863+A1864</f>
        <v/>
      </c>
      <c r="C1864">
        <f>IF(1861&gt;$B$4503,"",MATCH(1861-0.5,$B$3:$B$4503,1))</f>
        <v/>
      </c>
      <c r="D1864">
        <f>"Board certification – "&amp;IF(LEN(INDEX('Providers'!$A$4:$A$503,361))=0,"",INDEX('Providers'!$A$4:$A$503,361))</f>
        <v/>
      </c>
      <c r="E1864">
        <f>IF(ISNUMBER(INDEX('Providers'!$M$4:$M$503,361)),TEXT(INDEX('Providers'!$M$4:$M$503,361),"yyyy-mm-dd"),"")</f>
        <v/>
      </c>
      <c r="F1864">
        <f>"Certification"</f>
        <v/>
      </c>
      <c r="G1864">
        <f>""</f>
        <v/>
      </c>
      <c r="H1864">
        <f>"Medium"</f>
        <v/>
      </c>
      <c r="I1864">
        <f>TRIM(IF(LEN(IF(LEN(INDEX('Providers'!$L$4:$L$503,361))=0,"",INDEX('Providers'!$L$4:$L$503,361)))=0,"","Board / specialty: "&amp;IF(LEN(INDEX('Providers'!$L$4:$L$503,361))=0,"",INDEX('Providers'!$L$4:$L$503,361))&amp;". "))</f>
        <v/>
      </c>
      <c r="J1864">
        <f>IF(LEN(INDEX('Providers'!$AJ$4:$AJ$503,361))=0,"",INDEX('Providers'!$AJ$4:$AJ$503,361))</f>
        <v/>
      </c>
      <c r="K1864">
        <f>IF(LEN(INDEX('Providers'!$AI$4:$AI$503,361))=0,"",INDEX('Providers'!$AI$4:$AI$503,361))</f>
        <v/>
      </c>
    </row>
    <row r="1865">
      <c r="A1865">
        <f>IF(AND(LEN('Providers'!A365)&gt;0,ISNUMBER('Providers'!M365)),1,0)</f>
        <v/>
      </c>
      <c r="B1865">
        <f>B1864+A1865</f>
        <v/>
      </c>
      <c r="C1865">
        <f>IF(1862&gt;$B$4503,"",MATCH(1862-0.5,$B$3:$B$4503,1))</f>
        <v/>
      </c>
      <c r="D1865">
        <f>"Board certification – "&amp;IF(LEN(INDEX('Providers'!$A$4:$A$503,362))=0,"",INDEX('Providers'!$A$4:$A$503,362))</f>
        <v/>
      </c>
      <c r="E1865">
        <f>IF(ISNUMBER(INDEX('Providers'!$M$4:$M$503,362)),TEXT(INDEX('Providers'!$M$4:$M$503,362),"yyyy-mm-dd"),"")</f>
        <v/>
      </c>
      <c r="F1865">
        <f>"Certification"</f>
        <v/>
      </c>
      <c r="G1865">
        <f>""</f>
        <v/>
      </c>
      <c r="H1865">
        <f>"Medium"</f>
        <v/>
      </c>
      <c r="I1865">
        <f>TRIM(IF(LEN(IF(LEN(INDEX('Providers'!$L$4:$L$503,362))=0,"",INDEX('Providers'!$L$4:$L$503,362)))=0,"","Board / specialty: "&amp;IF(LEN(INDEX('Providers'!$L$4:$L$503,362))=0,"",INDEX('Providers'!$L$4:$L$503,362))&amp;". "))</f>
        <v/>
      </c>
      <c r="J1865">
        <f>IF(LEN(INDEX('Providers'!$AJ$4:$AJ$503,362))=0,"",INDEX('Providers'!$AJ$4:$AJ$503,362))</f>
        <v/>
      </c>
      <c r="K1865">
        <f>IF(LEN(INDEX('Providers'!$AI$4:$AI$503,362))=0,"",INDEX('Providers'!$AI$4:$AI$503,362))</f>
        <v/>
      </c>
    </row>
    <row r="1866">
      <c r="A1866">
        <f>IF(AND(LEN('Providers'!A366)&gt;0,ISNUMBER('Providers'!M366)),1,0)</f>
        <v/>
      </c>
      <c r="B1866">
        <f>B1865+A1866</f>
        <v/>
      </c>
      <c r="C1866">
        <f>IF(1863&gt;$B$4503,"",MATCH(1863-0.5,$B$3:$B$4503,1))</f>
        <v/>
      </c>
      <c r="D1866">
        <f>"Board certification – "&amp;IF(LEN(INDEX('Providers'!$A$4:$A$503,363))=0,"",INDEX('Providers'!$A$4:$A$503,363))</f>
        <v/>
      </c>
      <c r="E1866">
        <f>IF(ISNUMBER(INDEX('Providers'!$M$4:$M$503,363)),TEXT(INDEX('Providers'!$M$4:$M$503,363),"yyyy-mm-dd"),"")</f>
        <v/>
      </c>
      <c r="F1866">
        <f>"Certification"</f>
        <v/>
      </c>
      <c r="G1866">
        <f>""</f>
        <v/>
      </c>
      <c r="H1866">
        <f>"Medium"</f>
        <v/>
      </c>
      <c r="I1866">
        <f>TRIM(IF(LEN(IF(LEN(INDEX('Providers'!$L$4:$L$503,363))=0,"",INDEX('Providers'!$L$4:$L$503,363)))=0,"","Board / specialty: "&amp;IF(LEN(INDEX('Providers'!$L$4:$L$503,363))=0,"",INDEX('Providers'!$L$4:$L$503,363))&amp;". "))</f>
        <v/>
      </c>
      <c r="J1866">
        <f>IF(LEN(INDEX('Providers'!$AJ$4:$AJ$503,363))=0,"",INDEX('Providers'!$AJ$4:$AJ$503,363))</f>
        <v/>
      </c>
      <c r="K1866">
        <f>IF(LEN(INDEX('Providers'!$AI$4:$AI$503,363))=0,"",INDEX('Providers'!$AI$4:$AI$503,363))</f>
        <v/>
      </c>
    </row>
    <row r="1867">
      <c r="A1867">
        <f>IF(AND(LEN('Providers'!A367)&gt;0,ISNUMBER('Providers'!M367)),1,0)</f>
        <v/>
      </c>
      <c r="B1867">
        <f>B1866+A1867</f>
        <v/>
      </c>
      <c r="C1867">
        <f>IF(1864&gt;$B$4503,"",MATCH(1864-0.5,$B$3:$B$4503,1))</f>
        <v/>
      </c>
      <c r="D1867">
        <f>"Board certification – "&amp;IF(LEN(INDEX('Providers'!$A$4:$A$503,364))=0,"",INDEX('Providers'!$A$4:$A$503,364))</f>
        <v/>
      </c>
      <c r="E1867">
        <f>IF(ISNUMBER(INDEX('Providers'!$M$4:$M$503,364)),TEXT(INDEX('Providers'!$M$4:$M$503,364),"yyyy-mm-dd"),"")</f>
        <v/>
      </c>
      <c r="F1867">
        <f>"Certification"</f>
        <v/>
      </c>
      <c r="G1867">
        <f>""</f>
        <v/>
      </c>
      <c r="H1867">
        <f>"Medium"</f>
        <v/>
      </c>
      <c r="I1867">
        <f>TRIM(IF(LEN(IF(LEN(INDEX('Providers'!$L$4:$L$503,364))=0,"",INDEX('Providers'!$L$4:$L$503,364)))=0,"","Board / specialty: "&amp;IF(LEN(INDEX('Providers'!$L$4:$L$503,364))=0,"",INDEX('Providers'!$L$4:$L$503,364))&amp;". "))</f>
        <v/>
      </c>
      <c r="J1867">
        <f>IF(LEN(INDEX('Providers'!$AJ$4:$AJ$503,364))=0,"",INDEX('Providers'!$AJ$4:$AJ$503,364))</f>
        <v/>
      </c>
      <c r="K1867">
        <f>IF(LEN(INDEX('Providers'!$AI$4:$AI$503,364))=0,"",INDEX('Providers'!$AI$4:$AI$503,364))</f>
        <v/>
      </c>
    </row>
    <row r="1868">
      <c r="A1868">
        <f>IF(AND(LEN('Providers'!A368)&gt;0,ISNUMBER('Providers'!M368)),1,0)</f>
        <v/>
      </c>
      <c r="B1868">
        <f>B1867+A1868</f>
        <v/>
      </c>
      <c r="C1868">
        <f>IF(1865&gt;$B$4503,"",MATCH(1865-0.5,$B$3:$B$4503,1))</f>
        <v/>
      </c>
      <c r="D1868">
        <f>"Board certification – "&amp;IF(LEN(INDEX('Providers'!$A$4:$A$503,365))=0,"",INDEX('Providers'!$A$4:$A$503,365))</f>
        <v/>
      </c>
      <c r="E1868">
        <f>IF(ISNUMBER(INDEX('Providers'!$M$4:$M$503,365)),TEXT(INDEX('Providers'!$M$4:$M$503,365),"yyyy-mm-dd"),"")</f>
        <v/>
      </c>
      <c r="F1868">
        <f>"Certification"</f>
        <v/>
      </c>
      <c r="G1868">
        <f>""</f>
        <v/>
      </c>
      <c r="H1868">
        <f>"Medium"</f>
        <v/>
      </c>
      <c r="I1868">
        <f>TRIM(IF(LEN(IF(LEN(INDEX('Providers'!$L$4:$L$503,365))=0,"",INDEX('Providers'!$L$4:$L$503,365)))=0,"","Board / specialty: "&amp;IF(LEN(INDEX('Providers'!$L$4:$L$503,365))=0,"",INDEX('Providers'!$L$4:$L$503,365))&amp;". "))</f>
        <v/>
      </c>
      <c r="J1868">
        <f>IF(LEN(INDEX('Providers'!$AJ$4:$AJ$503,365))=0,"",INDEX('Providers'!$AJ$4:$AJ$503,365))</f>
        <v/>
      </c>
      <c r="K1868">
        <f>IF(LEN(INDEX('Providers'!$AI$4:$AI$503,365))=0,"",INDEX('Providers'!$AI$4:$AI$503,365))</f>
        <v/>
      </c>
    </row>
    <row r="1869">
      <c r="A1869">
        <f>IF(AND(LEN('Providers'!A369)&gt;0,ISNUMBER('Providers'!M369)),1,0)</f>
        <v/>
      </c>
      <c r="B1869">
        <f>B1868+A1869</f>
        <v/>
      </c>
      <c r="C1869">
        <f>IF(1866&gt;$B$4503,"",MATCH(1866-0.5,$B$3:$B$4503,1))</f>
        <v/>
      </c>
      <c r="D1869">
        <f>"Board certification – "&amp;IF(LEN(INDEX('Providers'!$A$4:$A$503,366))=0,"",INDEX('Providers'!$A$4:$A$503,366))</f>
        <v/>
      </c>
      <c r="E1869">
        <f>IF(ISNUMBER(INDEX('Providers'!$M$4:$M$503,366)),TEXT(INDEX('Providers'!$M$4:$M$503,366),"yyyy-mm-dd"),"")</f>
        <v/>
      </c>
      <c r="F1869">
        <f>"Certification"</f>
        <v/>
      </c>
      <c r="G1869">
        <f>""</f>
        <v/>
      </c>
      <c r="H1869">
        <f>"Medium"</f>
        <v/>
      </c>
      <c r="I1869">
        <f>TRIM(IF(LEN(IF(LEN(INDEX('Providers'!$L$4:$L$503,366))=0,"",INDEX('Providers'!$L$4:$L$503,366)))=0,"","Board / specialty: "&amp;IF(LEN(INDEX('Providers'!$L$4:$L$503,366))=0,"",INDEX('Providers'!$L$4:$L$503,366))&amp;". "))</f>
        <v/>
      </c>
      <c r="J1869">
        <f>IF(LEN(INDEX('Providers'!$AJ$4:$AJ$503,366))=0,"",INDEX('Providers'!$AJ$4:$AJ$503,366))</f>
        <v/>
      </c>
      <c r="K1869">
        <f>IF(LEN(INDEX('Providers'!$AI$4:$AI$503,366))=0,"",INDEX('Providers'!$AI$4:$AI$503,366))</f>
        <v/>
      </c>
    </row>
    <row r="1870">
      <c r="A1870">
        <f>IF(AND(LEN('Providers'!A370)&gt;0,ISNUMBER('Providers'!M370)),1,0)</f>
        <v/>
      </c>
      <c r="B1870">
        <f>B1869+A1870</f>
        <v/>
      </c>
      <c r="C1870">
        <f>IF(1867&gt;$B$4503,"",MATCH(1867-0.5,$B$3:$B$4503,1))</f>
        <v/>
      </c>
      <c r="D1870">
        <f>"Board certification – "&amp;IF(LEN(INDEX('Providers'!$A$4:$A$503,367))=0,"",INDEX('Providers'!$A$4:$A$503,367))</f>
        <v/>
      </c>
      <c r="E1870">
        <f>IF(ISNUMBER(INDEX('Providers'!$M$4:$M$503,367)),TEXT(INDEX('Providers'!$M$4:$M$503,367),"yyyy-mm-dd"),"")</f>
        <v/>
      </c>
      <c r="F1870">
        <f>"Certification"</f>
        <v/>
      </c>
      <c r="G1870">
        <f>""</f>
        <v/>
      </c>
      <c r="H1870">
        <f>"Medium"</f>
        <v/>
      </c>
      <c r="I1870">
        <f>TRIM(IF(LEN(IF(LEN(INDEX('Providers'!$L$4:$L$503,367))=0,"",INDEX('Providers'!$L$4:$L$503,367)))=0,"","Board / specialty: "&amp;IF(LEN(INDEX('Providers'!$L$4:$L$503,367))=0,"",INDEX('Providers'!$L$4:$L$503,367))&amp;". "))</f>
        <v/>
      </c>
      <c r="J1870">
        <f>IF(LEN(INDEX('Providers'!$AJ$4:$AJ$503,367))=0,"",INDEX('Providers'!$AJ$4:$AJ$503,367))</f>
        <v/>
      </c>
      <c r="K1870">
        <f>IF(LEN(INDEX('Providers'!$AI$4:$AI$503,367))=0,"",INDEX('Providers'!$AI$4:$AI$503,367))</f>
        <v/>
      </c>
    </row>
    <row r="1871">
      <c r="A1871">
        <f>IF(AND(LEN('Providers'!A371)&gt;0,ISNUMBER('Providers'!M371)),1,0)</f>
        <v/>
      </c>
      <c r="B1871">
        <f>B1870+A1871</f>
        <v/>
      </c>
      <c r="C1871">
        <f>IF(1868&gt;$B$4503,"",MATCH(1868-0.5,$B$3:$B$4503,1))</f>
        <v/>
      </c>
      <c r="D1871">
        <f>"Board certification – "&amp;IF(LEN(INDEX('Providers'!$A$4:$A$503,368))=0,"",INDEX('Providers'!$A$4:$A$503,368))</f>
        <v/>
      </c>
      <c r="E1871">
        <f>IF(ISNUMBER(INDEX('Providers'!$M$4:$M$503,368)),TEXT(INDEX('Providers'!$M$4:$M$503,368),"yyyy-mm-dd"),"")</f>
        <v/>
      </c>
      <c r="F1871">
        <f>"Certification"</f>
        <v/>
      </c>
      <c r="G1871">
        <f>""</f>
        <v/>
      </c>
      <c r="H1871">
        <f>"Medium"</f>
        <v/>
      </c>
      <c r="I1871">
        <f>TRIM(IF(LEN(IF(LEN(INDEX('Providers'!$L$4:$L$503,368))=0,"",INDEX('Providers'!$L$4:$L$503,368)))=0,"","Board / specialty: "&amp;IF(LEN(INDEX('Providers'!$L$4:$L$503,368))=0,"",INDEX('Providers'!$L$4:$L$503,368))&amp;". "))</f>
        <v/>
      </c>
      <c r="J1871">
        <f>IF(LEN(INDEX('Providers'!$AJ$4:$AJ$503,368))=0,"",INDEX('Providers'!$AJ$4:$AJ$503,368))</f>
        <v/>
      </c>
      <c r="K1871">
        <f>IF(LEN(INDEX('Providers'!$AI$4:$AI$503,368))=0,"",INDEX('Providers'!$AI$4:$AI$503,368))</f>
        <v/>
      </c>
    </row>
    <row r="1872">
      <c r="A1872">
        <f>IF(AND(LEN('Providers'!A372)&gt;0,ISNUMBER('Providers'!M372)),1,0)</f>
        <v/>
      </c>
      <c r="B1872">
        <f>B1871+A1872</f>
        <v/>
      </c>
      <c r="C1872">
        <f>IF(1869&gt;$B$4503,"",MATCH(1869-0.5,$B$3:$B$4503,1))</f>
        <v/>
      </c>
      <c r="D1872">
        <f>"Board certification – "&amp;IF(LEN(INDEX('Providers'!$A$4:$A$503,369))=0,"",INDEX('Providers'!$A$4:$A$503,369))</f>
        <v/>
      </c>
      <c r="E1872">
        <f>IF(ISNUMBER(INDEX('Providers'!$M$4:$M$503,369)),TEXT(INDEX('Providers'!$M$4:$M$503,369),"yyyy-mm-dd"),"")</f>
        <v/>
      </c>
      <c r="F1872">
        <f>"Certification"</f>
        <v/>
      </c>
      <c r="G1872">
        <f>""</f>
        <v/>
      </c>
      <c r="H1872">
        <f>"Medium"</f>
        <v/>
      </c>
      <c r="I1872">
        <f>TRIM(IF(LEN(IF(LEN(INDEX('Providers'!$L$4:$L$503,369))=0,"",INDEX('Providers'!$L$4:$L$503,369)))=0,"","Board / specialty: "&amp;IF(LEN(INDEX('Providers'!$L$4:$L$503,369))=0,"",INDEX('Providers'!$L$4:$L$503,369))&amp;". "))</f>
        <v/>
      </c>
      <c r="J1872">
        <f>IF(LEN(INDEX('Providers'!$AJ$4:$AJ$503,369))=0,"",INDEX('Providers'!$AJ$4:$AJ$503,369))</f>
        <v/>
      </c>
      <c r="K1872">
        <f>IF(LEN(INDEX('Providers'!$AI$4:$AI$503,369))=0,"",INDEX('Providers'!$AI$4:$AI$503,369))</f>
        <v/>
      </c>
    </row>
    <row r="1873">
      <c r="A1873">
        <f>IF(AND(LEN('Providers'!A373)&gt;0,ISNUMBER('Providers'!M373)),1,0)</f>
        <v/>
      </c>
      <c r="B1873">
        <f>B1872+A1873</f>
        <v/>
      </c>
      <c r="C1873">
        <f>IF(1870&gt;$B$4503,"",MATCH(1870-0.5,$B$3:$B$4503,1))</f>
        <v/>
      </c>
      <c r="D1873">
        <f>"Board certification – "&amp;IF(LEN(INDEX('Providers'!$A$4:$A$503,370))=0,"",INDEX('Providers'!$A$4:$A$503,370))</f>
        <v/>
      </c>
      <c r="E1873">
        <f>IF(ISNUMBER(INDEX('Providers'!$M$4:$M$503,370)),TEXT(INDEX('Providers'!$M$4:$M$503,370),"yyyy-mm-dd"),"")</f>
        <v/>
      </c>
      <c r="F1873">
        <f>"Certification"</f>
        <v/>
      </c>
      <c r="G1873">
        <f>""</f>
        <v/>
      </c>
      <c r="H1873">
        <f>"Medium"</f>
        <v/>
      </c>
      <c r="I1873">
        <f>TRIM(IF(LEN(IF(LEN(INDEX('Providers'!$L$4:$L$503,370))=0,"",INDEX('Providers'!$L$4:$L$503,370)))=0,"","Board / specialty: "&amp;IF(LEN(INDEX('Providers'!$L$4:$L$503,370))=0,"",INDEX('Providers'!$L$4:$L$503,370))&amp;". "))</f>
        <v/>
      </c>
      <c r="J1873">
        <f>IF(LEN(INDEX('Providers'!$AJ$4:$AJ$503,370))=0,"",INDEX('Providers'!$AJ$4:$AJ$503,370))</f>
        <v/>
      </c>
      <c r="K1873">
        <f>IF(LEN(INDEX('Providers'!$AI$4:$AI$503,370))=0,"",INDEX('Providers'!$AI$4:$AI$503,370))</f>
        <v/>
      </c>
    </row>
    <row r="1874">
      <c r="A1874">
        <f>IF(AND(LEN('Providers'!A374)&gt;0,ISNUMBER('Providers'!M374)),1,0)</f>
        <v/>
      </c>
      <c r="B1874">
        <f>B1873+A1874</f>
        <v/>
      </c>
      <c r="C1874">
        <f>IF(1871&gt;$B$4503,"",MATCH(1871-0.5,$B$3:$B$4503,1))</f>
        <v/>
      </c>
      <c r="D1874">
        <f>"Board certification – "&amp;IF(LEN(INDEX('Providers'!$A$4:$A$503,371))=0,"",INDEX('Providers'!$A$4:$A$503,371))</f>
        <v/>
      </c>
      <c r="E1874">
        <f>IF(ISNUMBER(INDEX('Providers'!$M$4:$M$503,371)),TEXT(INDEX('Providers'!$M$4:$M$503,371),"yyyy-mm-dd"),"")</f>
        <v/>
      </c>
      <c r="F1874">
        <f>"Certification"</f>
        <v/>
      </c>
      <c r="G1874">
        <f>""</f>
        <v/>
      </c>
      <c r="H1874">
        <f>"Medium"</f>
        <v/>
      </c>
      <c r="I1874">
        <f>TRIM(IF(LEN(IF(LEN(INDEX('Providers'!$L$4:$L$503,371))=0,"",INDEX('Providers'!$L$4:$L$503,371)))=0,"","Board / specialty: "&amp;IF(LEN(INDEX('Providers'!$L$4:$L$503,371))=0,"",INDEX('Providers'!$L$4:$L$503,371))&amp;". "))</f>
        <v/>
      </c>
      <c r="J1874">
        <f>IF(LEN(INDEX('Providers'!$AJ$4:$AJ$503,371))=0,"",INDEX('Providers'!$AJ$4:$AJ$503,371))</f>
        <v/>
      </c>
      <c r="K1874">
        <f>IF(LEN(INDEX('Providers'!$AI$4:$AI$503,371))=0,"",INDEX('Providers'!$AI$4:$AI$503,371))</f>
        <v/>
      </c>
    </row>
    <row r="1875">
      <c r="A1875">
        <f>IF(AND(LEN('Providers'!A375)&gt;0,ISNUMBER('Providers'!M375)),1,0)</f>
        <v/>
      </c>
      <c r="B1875">
        <f>B1874+A1875</f>
        <v/>
      </c>
      <c r="C1875">
        <f>IF(1872&gt;$B$4503,"",MATCH(1872-0.5,$B$3:$B$4503,1))</f>
        <v/>
      </c>
      <c r="D1875">
        <f>"Board certification – "&amp;IF(LEN(INDEX('Providers'!$A$4:$A$503,372))=0,"",INDEX('Providers'!$A$4:$A$503,372))</f>
        <v/>
      </c>
      <c r="E1875">
        <f>IF(ISNUMBER(INDEX('Providers'!$M$4:$M$503,372)),TEXT(INDEX('Providers'!$M$4:$M$503,372),"yyyy-mm-dd"),"")</f>
        <v/>
      </c>
      <c r="F1875">
        <f>"Certification"</f>
        <v/>
      </c>
      <c r="G1875">
        <f>""</f>
        <v/>
      </c>
      <c r="H1875">
        <f>"Medium"</f>
        <v/>
      </c>
      <c r="I1875">
        <f>TRIM(IF(LEN(IF(LEN(INDEX('Providers'!$L$4:$L$503,372))=0,"",INDEX('Providers'!$L$4:$L$503,372)))=0,"","Board / specialty: "&amp;IF(LEN(INDEX('Providers'!$L$4:$L$503,372))=0,"",INDEX('Providers'!$L$4:$L$503,372))&amp;". "))</f>
        <v/>
      </c>
      <c r="J1875">
        <f>IF(LEN(INDEX('Providers'!$AJ$4:$AJ$503,372))=0,"",INDEX('Providers'!$AJ$4:$AJ$503,372))</f>
        <v/>
      </c>
      <c r="K1875">
        <f>IF(LEN(INDEX('Providers'!$AI$4:$AI$503,372))=0,"",INDEX('Providers'!$AI$4:$AI$503,372))</f>
        <v/>
      </c>
    </row>
    <row r="1876">
      <c r="A1876">
        <f>IF(AND(LEN('Providers'!A376)&gt;0,ISNUMBER('Providers'!M376)),1,0)</f>
        <v/>
      </c>
      <c r="B1876">
        <f>B1875+A1876</f>
        <v/>
      </c>
      <c r="C1876">
        <f>IF(1873&gt;$B$4503,"",MATCH(1873-0.5,$B$3:$B$4503,1))</f>
        <v/>
      </c>
      <c r="D1876">
        <f>"Board certification – "&amp;IF(LEN(INDEX('Providers'!$A$4:$A$503,373))=0,"",INDEX('Providers'!$A$4:$A$503,373))</f>
        <v/>
      </c>
      <c r="E1876">
        <f>IF(ISNUMBER(INDEX('Providers'!$M$4:$M$503,373)),TEXT(INDEX('Providers'!$M$4:$M$503,373),"yyyy-mm-dd"),"")</f>
        <v/>
      </c>
      <c r="F1876">
        <f>"Certification"</f>
        <v/>
      </c>
      <c r="G1876">
        <f>""</f>
        <v/>
      </c>
      <c r="H1876">
        <f>"Medium"</f>
        <v/>
      </c>
      <c r="I1876">
        <f>TRIM(IF(LEN(IF(LEN(INDEX('Providers'!$L$4:$L$503,373))=0,"",INDEX('Providers'!$L$4:$L$503,373)))=0,"","Board / specialty: "&amp;IF(LEN(INDEX('Providers'!$L$4:$L$503,373))=0,"",INDEX('Providers'!$L$4:$L$503,373))&amp;". "))</f>
        <v/>
      </c>
      <c r="J1876">
        <f>IF(LEN(INDEX('Providers'!$AJ$4:$AJ$503,373))=0,"",INDEX('Providers'!$AJ$4:$AJ$503,373))</f>
        <v/>
      </c>
      <c r="K1876">
        <f>IF(LEN(INDEX('Providers'!$AI$4:$AI$503,373))=0,"",INDEX('Providers'!$AI$4:$AI$503,373))</f>
        <v/>
      </c>
    </row>
    <row r="1877">
      <c r="A1877">
        <f>IF(AND(LEN('Providers'!A377)&gt;0,ISNUMBER('Providers'!M377)),1,0)</f>
        <v/>
      </c>
      <c r="B1877">
        <f>B1876+A1877</f>
        <v/>
      </c>
      <c r="C1877">
        <f>IF(1874&gt;$B$4503,"",MATCH(1874-0.5,$B$3:$B$4503,1))</f>
        <v/>
      </c>
      <c r="D1877">
        <f>"Board certification – "&amp;IF(LEN(INDEX('Providers'!$A$4:$A$503,374))=0,"",INDEX('Providers'!$A$4:$A$503,374))</f>
        <v/>
      </c>
      <c r="E1877">
        <f>IF(ISNUMBER(INDEX('Providers'!$M$4:$M$503,374)),TEXT(INDEX('Providers'!$M$4:$M$503,374),"yyyy-mm-dd"),"")</f>
        <v/>
      </c>
      <c r="F1877">
        <f>"Certification"</f>
        <v/>
      </c>
      <c r="G1877">
        <f>""</f>
        <v/>
      </c>
      <c r="H1877">
        <f>"Medium"</f>
        <v/>
      </c>
      <c r="I1877">
        <f>TRIM(IF(LEN(IF(LEN(INDEX('Providers'!$L$4:$L$503,374))=0,"",INDEX('Providers'!$L$4:$L$503,374)))=0,"","Board / specialty: "&amp;IF(LEN(INDEX('Providers'!$L$4:$L$503,374))=0,"",INDEX('Providers'!$L$4:$L$503,374))&amp;". "))</f>
        <v/>
      </c>
      <c r="J1877">
        <f>IF(LEN(INDEX('Providers'!$AJ$4:$AJ$503,374))=0,"",INDEX('Providers'!$AJ$4:$AJ$503,374))</f>
        <v/>
      </c>
      <c r="K1877">
        <f>IF(LEN(INDEX('Providers'!$AI$4:$AI$503,374))=0,"",INDEX('Providers'!$AI$4:$AI$503,374))</f>
        <v/>
      </c>
    </row>
    <row r="1878">
      <c r="A1878">
        <f>IF(AND(LEN('Providers'!A378)&gt;0,ISNUMBER('Providers'!M378)),1,0)</f>
        <v/>
      </c>
      <c r="B1878">
        <f>B1877+A1878</f>
        <v/>
      </c>
      <c r="C1878">
        <f>IF(1875&gt;$B$4503,"",MATCH(1875-0.5,$B$3:$B$4503,1))</f>
        <v/>
      </c>
      <c r="D1878">
        <f>"Board certification – "&amp;IF(LEN(INDEX('Providers'!$A$4:$A$503,375))=0,"",INDEX('Providers'!$A$4:$A$503,375))</f>
        <v/>
      </c>
      <c r="E1878">
        <f>IF(ISNUMBER(INDEX('Providers'!$M$4:$M$503,375)),TEXT(INDEX('Providers'!$M$4:$M$503,375),"yyyy-mm-dd"),"")</f>
        <v/>
      </c>
      <c r="F1878">
        <f>"Certification"</f>
        <v/>
      </c>
      <c r="G1878">
        <f>""</f>
        <v/>
      </c>
      <c r="H1878">
        <f>"Medium"</f>
        <v/>
      </c>
      <c r="I1878">
        <f>TRIM(IF(LEN(IF(LEN(INDEX('Providers'!$L$4:$L$503,375))=0,"",INDEX('Providers'!$L$4:$L$503,375)))=0,"","Board / specialty: "&amp;IF(LEN(INDEX('Providers'!$L$4:$L$503,375))=0,"",INDEX('Providers'!$L$4:$L$503,375))&amp;". "))</f>
        <v/>
      </c>
      <c r="J1878">
        <f>IF(LEN(INDEX('Providers'!$AJ$4:$AJ$503,375))=0,"",INDEX('Providers'!$AJ$4:$AJ$503,375))</f>
        <v/>
      </c>
      <c r="K1878">
        <f>IF(LEN(INDEX('Providers'!$AI$4:$AI$503,375))=0,"",INDEX('Providers'!$AI$4:$AI$503,375))</f>
        <v/>
      </c>
    </row>
    <row r="1879">
      <c r="A1879">
        <f>IF(AND(LEN('Providers'!A379)&gt;0,ISNUMBER('Providers'!M379)),1,0)</f>
        <v/>
      </c>
      <c r="B1879">
        <f>B1878+A1879</f>
        <v/>
      </c>
      <c r="C1879">
        <f>IF(1876&gt;$B$4503,"",MATCH(1876-0.5,$B$3:$B$4503,1))</f>
        <v/>
      </c>
      <c r="D1879">
        <f>"Board certification – "&amp;IF(LEN(INDEX('Providers'!$A$4:$A$503,376))=0,"",INDEX('Providers'!$A$4:$A$503,376))</f>
        <v/>
      </c>
      <c r="E1879">
        <f>IF(ISNUMBER(INDEX('Providers'!$M$4:$M$503,376)),TEXT(INDEX('Providers'!$M$4:$M$503,376),"yyyy-mm-dd"),"")</f>
        <v/>
      </c>
      <c r="F1879">
        <f>"Certification"</f>
        <v/>
      </c>
      <c r="G1879">
        <f>""</f>
        <v/>
      </c>
      <c r="H1879">
        <f>"Medium"</f>
        <v/>
      </c>
      <c r="I1879">
        <f>TRIM(IF(LEN(IF(LEN(INDEX('Providers'!$L$4:$L$503,376))=0,"",INDEX('Providers'!$L$4:$L$503,376)))=0,"","Board / specialty: "&amp;IF(LEN(INDEX('Providers'!$L$4:$L$503,376))=0,"",INDEX('Providers'!$L$4:$L$503,376))&amp;". "))</f>
        <v/>
      </c>
      <c r="J1879">
        <f>IF(LEN(INDEX('Providers'!$AJ$4:$AJ$503,376))=0,"",INDEX('Providers'!$AJ$4:$AJ$503,376))</f>
        <v/>
      </c>
      <c r="K1879">
        <f>IF(LEN(INDEX('Providers'!$AI$4:$AI$503,376))=0,"",INDEX('Providers'!$AI$4:$AI$503,376))</f>
        <v/>
      </c>
    </row>
    <row r="1880">
      <c r="A1880">
        <f>IF(AND(LEN('Providers'!A380)&gt;0,ISNUMBER('Providers'!M380)),1,0)</f>
        <v/>
      </c>
      <c r="B1880">
        <f>B1879+A1880</f>
        <v/>
      </c>
      <c r="C1880">
        <f>IF(1877&gt;$B$4503,"",MATCH(1877-0.5,$B$3:$B$4503,1))</f>
        <v/>
      </c>
      <c r="D1880">
        <f>"Board certification – "&amp;IF(LEN(INDEX('Providers'!$A$4:$A$503,377))=0,"",INDEX('Providers'!$A$4:$A$503,377))</f>
        <v/>
      </c>
      <c r="E1880">
        <f>IF(ISNUMBER(INDEX('Providers'!$M$4:$M$503,377)),TEXT(INDEX('Providers'!$M$4:$M$503,377),"yyyy-mm-dd"),"")</f>
        <v/>
      </c>
      <c r="F1880">
        <f>"Certification"</f>
        <v/>
      </c>
      <c r="G1880">
        <f>""</f>
        <v/>
      </c>
      <c r="H1880">
        <f>"Medium"</f>
        <v/>
      </c>
      <c r="I1880">
        <f>TRIM(IF(LEN(IF(LEN(INDEX('Providers'!$L$4:$L$503,377))=0,"",INDEX('Providers'!$L$4:$L$503,377)))=0,"","Board / specialty: "&amp;IF(LEN(INDEX('Providers'!$L$4:$L$503,377))=0,"",INDEX('Providers'!$L$4:$L$503,377))&amp;". "))</f>
        <v/>
      </c>
      <c r="J1880">
        <f>IF(LEN(INDEX('Providers'!$AJ$4:$AJ$503,377))=0,"",INDEX('Providers'!$AJ$4:$AJ$503,377))</f>
        <v/>
      </c>
      <c r="K1880">
        <f>IF(LEN(INDEX('Providers'!$AI$4:$AI$503,377))=0,"",INDEX('Providers'!$AI$4:$AI$503,377))</f>
        <v/>
      </c>
    </row>
    <row r="1881">
      <c r="A1881">
        <f>IF(AND(LEN('Providers'!A381)&gt;0,ISNUMBER('Providers'!M381)),1,0)</f>
        <v/>
      </c>
      <c r="B1881">
        <f>B1880+A1881</f>
        <v/>
      </c>
      <c r="C1881">
        <f>IF(1878&gt;$B$4503,"",MATCH(1878-0.5,$B$3:$B$4503,1))</f>
        <v/>
      </c>
      <c r="D1881">
        <f>"Board certification – "&amp;IF(LEN(INDEX('Providers'!$A$4:$A$503,378))=0,"",INDEX('Providers'!$A$4:$A$503,378))</f>
        <v/>
      </c>
      <c r="E1881">
        <f>IF(ISNUMBER(INDEX('Providers'!$M$4:$M$503,378)),TEXT(INDEX('Providers'!$M$4:$M$503,378),"yyyy-mm-dd"),"")</f>
        <v/>
      </c>
      <c r="F1881">
        <f>"Certification"</f>
        <v/>
      </c>
      <c r="G1881">
        <f>""</f>
        <v/>
      </c>
      <c r="H1881">
        <f>"Medium"</f>
        <v/>
      </c>
      <c r="I1881">
        <f>TRIM(IF(LEN(IF(LEN(INDEX('Providers'!$L$4:$L$503,378))=0,"",INDEX('Providers'!$L$4:$L$503,378)))=0,"","Board / specialty: "&amp;IF(LEN(INDEX('Providers'!$L$4:$L$503,378))=0,"",INDEX('Providers'!$L$4:$L$503,378))&amp;". "))</f>
        <v/>
      </c>
      <c r="J1881">
        <f>IF(LEN(INDEX('Providers'!$AJ$4:$AJ$503,378))=0,"",INDEX('Providers'!$AJ$4:$AJ$503,378))</f>
        <v/>
      </c>
      <c r="K1881">
        <f>IF(LEN(INDEX('Providers'!$AI$4:$AI$503,378))=0,"",INDEX('Providers'!$AI$4:$AI$503,378))</f>
        <v/>
      </c>
    </row>
    <row r="1882">
      <c r="A1882">
        <f>IF(AND(LEN('Providers'!A382)&gt;0,ISNUMBER('Providers'!M382)),1,0)</f>
        <v/>
      </c>
      <c r="B1882">
        <f>B1881+A1882</f>
        <v/>
      </c>
      <c r="C1882">
        <f>IF(1879&gt;$B$4503,"",MATCH(1879-0.5,$B$3:$B$4503,1))</f>
        <v/>
      </c>
      <c r="D1882">
        <f>"Board certification – "&amp;IF(LEN(INDEX('Providers'!$A$4:$A$503,379))=0,"",INDEX('Providers'!$A$4:$A$503,379))</f>
        <v/>
      </c>
      <c r="E1882">
        <f>IF(ISNUMBER(INDEX('Providers'!$M$4:$M$503,379)),TEXT(INDEX('Providers'!$M$4:$M$503,379),"yyyy-mm-dd"),"")</f>
        <v/>
      </c>
      <c r="F1882">
        <f>"Certification"</f>
        <v/>
      </c>
      <c r="G1882">
        <f>""</f>
        <v/>
      </c>
      <c r="H1882">
        <f>"Medium"</f>
        <v/>
      </c>
      <c r="I1882">
        <f>TRIM(IF(LEN(IF(LEN(INDEX('Providers'!$L$4:$L$503,379))=0,"",INDEX('Providers'!$L$4:$L$503,379)))=0,"","Board / specialty: "&amp;IF(LEN(INDEX('Providers'!$L$4:$L$503,379))=0,"",INDEX('Providers'!$L$4:$L$503,379))&amp;". "))</f>
        <v/>
      </c>
      <c r="J1882">
        <f>IF(LEN(INDEX('Providers'!$AJ$4:$AJ$503,379))=0,"",INDEX('Providers'!$AJ$4:$AJ$503,379))</f>
        <v/>
      </c>
      <c r="K1882">
        <f>IF(LEN(INDEX('Providers'!$AI$4:$AI$503,379))=0,"",INDEX('Providers'!$AI$4:$AI$503,379))</f>
        <v/>
      </c>
    </row>
    <row r="1883">
      <c r="A1883">
        <f>IF(AND(LEN('Providers'!A383)&gt;0,ISNUMBER('Providers'!M383)),1,0)</f>
        <v/>
      </c>
      <c r="B1883">
        <f>B1882+A1883</f>
        <v/>
      </c>
      <c r="C1883">
        <f>IF(1880&gt;$B$4503,"",MATCH(1880-0.5,$B$3:$B$4503,1))</f>
        <v/>
      </c>
      <c r="D1883">
        <f>"Board certification – "&amp;IF(LEN(INDEX('Providers'!$A$4:$A$503,380))=0,"",INDEX('Providers'!$A$4:$A$503,380))</f>
        <v/>
      </c>
      <c r="E1883">
        <f>IF(ISNUMBER(INDEX('Providers'!$M$4:$M$503,380)),TEXT(INDEX('Providers'!$M$4:$M$503,380),"yyyy-mm-dd"),"")</f>
        <v/>
      </c>
      <c r="F1883">
        <f>"Certification"</f>
        <v/>
      </c>
      <c r="G1883">
        <f>""</f>
        <v/>
      </c>
      <c r="H1883">
        <f>"Medium"</f>
        <v/>
      </c>
      <c r="I1883">
        <f>TRIM(IF(LEN(IF(LEN(INDEX('Providers'!$L$4:$L$503,380))=0,"",INDEX('Providers'!$L$4:$L$503,380)))=0,"","Board / specialty: "&amp;IF(LEN(INDEX('Providers'!$L$4:$L$503,380))=0,"",INDEX('Providers'!$L$4:$L$503,380))&amp;". "))</f>
        <v/>
      </c>
      <c r="J1883">
        <f>IF(LEN(INDEX('Providers'!$AJ$4:$AJ$503,380))=0,"",INDEX('Providers'!$AJ$4:$AJ$503,380))</f>
        <v/>
      </c>
      <c r="K1883">
        <f>IF(LEN(INDEX('Providers'!$AI$4:$AI$503,380))=0,"",INDEX('Providers'!$AI$4:$AI$503,380))</f>
        <v/>
      </c>
    </row>
    <row r="1884">
      <c r="A1884">
        <f>IF(AND(LEN('Providers'!A384)&gt;0,ISNUMBER('Providers'!M384)),1,0)</f>
        <v/>
      </c>
      <c r="B1884">
        <f>B1883+A1884</f>
        <v/>
      </c>
      <c r="C1884">
        <f>IF(1881&gt;$B$4503,"",MATCH(1881-0.5,$B$3:$B$4503,1))</f>
        <v/>
      </c>
      <c r="D1884">
        <f>"Board certification – "&amp;IF(LEN(INDEX('Providers'!$A$4:$A$503,381))=0,"",INDEX('Providers'!$A$4:$A$503,381))</f>
        <v/>
      </c>
      <c r="E1884">
        <f>IF(ISNUMBER(INDEX('Providers'!$M$4:$M$503,381)),TEXT(INDEX('Providers'!$M$4:$M$503,381),"yyyy-mm-dd"),"")</f>
        <v/>
      </c>
      <c r="F1884">
        <f>"Certification"</f>
        <v/>
      </c>
      <c r="G1884">
        <f>""</f>
        <v/>
      </c>
      <c r="H1884">
        <f>"Medium"</f>
        <v/>
      </c>
      <c r="I1884">
        <f>TRIM(IF(LEN(IF(LEN(INDEX('Providers'!$L$4:$L$503,381))=0,"",INDEX('Providers'!$L$4:$L$503,381)))=0,"","Board / specialty: "&amp;IF(LEN(INDEX('Providers'!$L$4:$L$503,381))=0,"",INDEX('Providers'!$L$4:$L$503,381))&amp;". "))</f>
        <v/>
      </c>
      <c r="J1884">
        <f>IF(LEN(INDEX('Providers'!$AJ$4:$AJ$503,381))=0,"",INDEX('Providers'!$AJ$4:$AJ$503,381))</f>
        <v/>
      </c>
      <c r="K1884">
        <f>IF(LEN(INDEX('Providers'!$AI$4:$AI$503,381))=0,"",INDEX('Providers'!$AI$4:$AI$503,381))</f>
        <v/>
      </c>
    </row>
    <row r="1885">
      <c r="A1885">
        <f>IF(AND(LEN('Providers'!A385)&gt;0,ISNUMBER('Providers'!M385)),1,0)</f>
        <v/>
      </c>
      <c r="B1885">
        <f>B1884+A1885</f>
        <v/>
      </c>
      <c r="C1885">
        <f>IF(1882&gt;$B$4503,"",MATCH(1882-0.5,$B$3:$B$4503,1))</f>
        <v/>
      </c>
      <c r="D1885">
        <f>"Board certification – "&amp;IF(LEN(INDEX('Providers'!$A$4:$A$503,382))=0,"",INDEX('Providers'!$A$4:$A$503,382))</f>
        <v/>
      </c>
      <c r="E1885">
        <f>IF(ISNUMBER(INDEX('Providers'!$M$4:$M$503,382)),TEXT(INDEX('Providers'!$M$4:$M$503,382),"yyyy-mm-dd"),"")</f>
        <v/>
      </c>
      <c r="F1885">
        <f>"Certification"</f>
        <v/>
      </c>
      <c r="G1885">
        <f>""</f>
        <v/>
      </c>
      <c r="H1885">
        <f>"Medium"</f>
        <v/>
      </c>
      <c r="I1885">
        <f>TRIM(IF(LEN(IF(LEN(INDEX('Providers'!$L$4:$L$503,382))=0,"",INDEX('Providers'!$L$4:$L$503,382)))=0,"","Board / specialty: "&amp;IF(LEN(INDEX('Providers'!$L$4:$L$503,382))=0,"",INDEX('Providers'!$L$4:$L$503,382))&amp;". "))</f>
        <v/>
      </c>
      <c r="J1885">
        <f>IF(LEN(INDEX('Providers'!$AJ$4:$AJ$503,382))=0,"",INDEX('Providers'!$AJ$4:$AJ$503,382))</f>
        <v/>
      </c>
      <c r="K1885">
        <f>IF(LEN(INDEX('Providers'!$AI$4:$AI$503,382))=0,"",INDEX('Providers'!$AI$4:$AI$503,382))</f>
        <v/>
      </c>
    </row>
    <row r="1886">
      <c r="A1886">
        <f>IF(AND(LEN('Providers'!A386)&gt;0,ISNUMBER('Providers'!M386)),1,0)</f>
        <v/>
      </c>
      <c r="B1886">
        <f>B1885+A1886</f>
        <v/>
      </c>
      <c r="C1886">
        <f>IF(1883&gt;$B$4503,"",MATCH(1883-0.5,$B$3:$B$4503,1))</f>
        <v/>
      </c>
      <c r="D1886">
        <f>"Board certification – "&amp;IF(LEN(INDEX('Providers'!$A$4:$A$503,383))=0,"",INDEX('Providers'!$A$4:$A$503,383))</f>
        <v/>
      </c>
      <c r="E1886">
        <f>IF(ISNUMBER(INDEX('Providers'!$M$4:$M$503,383)),TEXT(INDEX('Providers'!$M$4:$M$503,383),"yyyy-mm-dd"),"")</f>
        <v/>
      </c>
      <c r="F1886">
        <f>"Certification"</f>
        <v/>
      </c>
      <c r="G1886">
        <f>""</f>
        <v/>
      </c>
      <c r="H1886">
        <f>"Medium"</f>
        <v/>
      </c>
      <c r="I1886">
        <f>TRIM(IF(LEN(IF(LEN(INDEX('Providers'!$L$4:$L$503,383))=0,"",INDEX('Providers'!$L$4:$L$503,383)))=0,"","Board / specialty: "&amp;IF(LEN(INDEX('Providers'!$L$4:$L$503,383))=0,"",INDEX('Providers'!$L$4:$L$503,383))&amp;". "))</f>
        <v/>
      </c>
      <c r="J1886">
        <f>IF(LEN(INDEX('Providers'!$AJ$4:$AJ$503,383))=0,"",INDEX('Providers'!$AJ$4:$AJ$503,383))</f>
        <v/>
      </c>
      <c r="K1886">
        <f>IF(LEN(INDEX('Providers'!$AI$4:$AI$503,383))=0,"",INDEX('Providers'!$AI$4:$AI$503,383))</f>
        <v/>
      </c>
    </row>
    <row r="1887">
      <c r="A1887">
        <f>IF(AND(LEN('Providers'!A387)&gt;0,ISNUMBER('Providers'!M387)),1,0)</f>
        <v/>
      </c>
      <c r="B1887">
        <f>B1886+A1887</f>
        <v/>
      </c>
      <c r="C1887">
        <f>IF(1884&gt;$B$4503,"",MATCH(1884-0.5,$B$3:$B$4503,1))</f>
        <v/>
      </c>
      <c r="D1887">
        <f>"Board certification – "&amp;IF(LEN(INDEX('Providers'!$A$4:$A$503,384))=0,"",INDEX('Providers'!$A$4:$A$503,384))</f>
        <v/>
      </c>
      <c r="E1887">
        <f>IF(ISNUMBER(INDEX('Providers'!$M$4:$M$503,384)),TEXT(INDEX('Providers'!$M$4:$M$503,384),"yyyy-mm-dd"),"")</f>
        <v/>
      </c>
      <c r="F1887">
        <f>"Certification"</f>
        <v/>
      </c>
      <c r="G1887">
        <f>""</f>
        <v/>
      </c>
      <c r="H1887">
        <f>"Medium"</f>
        <v/>
      </c>
      <c r="I1887">
        <f>TRIM(IF(LEN(IF(LEN(INDEX('Providers'!$L$4:$L$503,384))=0,"",INDEX('Providers'!$L$4:$L$503,384)))=0,"","Board / specialty: "&amp;IF(LEN(INDEX('Providers'!$L$4:$L$503,384))=0,"",INDEX('Providers'!$L$4:$L$503,384))&amp;". "))</f>
        <v/>
      </c>
      <c r="J1887">
        <f>IF(LEN(INDEX('Providers'!$AJ$4:$AJ$503,384))=0,"",INDEX('Providers'!$AJ$4:$AJ$503,384))</f>
        <v/>
      </c>
      <c r="K1887">
        <f>IF(LEN(INDEX('Providers'!$AI$4:$AI$503,384))=0,"",INDEX('Providers'!$AI$4:$AI$503,384))</f>
        <v/>
      </c>
    </row>
    <row r="1888">
      <c r="A1888">
        <f>IF(AND(LEN('Providers'!A388)&gt;0,ISNUMBER('Providers'!M388)),1,0)</f>
        <v/>
      </c>
      <c r="B1888">
        <f>B1887+A1888</f>
        <v/>
      </c>
      <c r="C1888">
        <f>IF(1885&gt;$B$4503,"",MATCH(1885-0.5,$B$3:$B$4503,1))</f>
        <v/>
      </c>
      <c r="D1888">
        <f>"Board certification – "&amp;IF(LEN(INDEX('Providers'!$A$4:$A$503,385))=0,"",INDEX('Providers'!$A$4:$A$503,385))</f>
        <v/>
      </c>
      <c r="E1888">
        <f>IF(ISNUMBER(INDEX('Providers'!$M$4:$M$503,385)),TEXT(INDEX('Providers'!$M$4:$M$503,385),"yyyy-mm-dd"),"")</f>
        <v/>
      </c>
      <c r="F1888">
        <f>"Certification"</f>
        <v/>
      </c>
      <c r="G1888">
        <f>""</f>
        <v/>
      </c>
      <c r="H1888">
        <f>"Medium"</f>
        <v/>
      </c>
      <c r="I1888">
        <f>TRIM(IF(LEN(IF(LEN(INDEX('Providers'!$L$4:$L$503,385))=0,"",INDEX('Providers'!$L$4:$L$503,385)))=0,"","Board / specialty: "&amp;IF(LEN(INDEX('Providers'!$L$4:$L$503,385))=0,"",INDEX('Providers'!$L$4:$L$503,385))&amp;". "))</f>
        <v/>
      </c>
      <c r="J1888">
        <f>IF(LEN(INDEX('Providers'!$AJ$4:$AJ$503,385))=0,"",INDEX('Providers'!$AJ$4:$AJ$503,385))</f>
        <v/>
      </c>
      <c r="K1888">
        <f>IF(LEN(INDEX('Providers'!$AI$4:$AI$503,385))=0,"",INDEX('Providers'!$AI$4:$AI$503,385))</f>
        <v/>
      </c>
    </row>
    <row r="1889">
      <c r="A1889">
        <f>IF(AND(LEN('Providers'!A389)&gt;0,ISNUMBER('Providers'!M389)),1,0)</f>
        <v/>
      </c>
      <c r="B1889">
        <f>B1888+A1889</f>
        <v/>
      </c>
      <c r="C1889">
        <f>IF(1886&gt;$B$4503,"",MATCH(1886-0.5,$B$3:$B$4503,1))</f>
        <v/>
      </c>
      <c r="D1889">
        <f>"Board certification – "&amp;IF(LEN(INDEX('Providers'!$A$4:$A$503,386))=0,"",INDEX('Providers'!$A$4:$A$503,386))</f>
        <v/>
      </c>
      <c r="E1889">
        <f>IF(ISNUMBER(INDEX('Providers'!$M$4:$M$503,386)),TEXT(INDEX('Providers'!$M$4:$M$503,386),"yyyy-mm-dd"),"")</f>
        <v/>
      </c>
      <c r="F1889">
        <f>"Certification"</f>
        <v/>
      </c>
      <c r="G1889">
        <f>""</f>
        <v/>
      </c>
      <c r="H1889">
        <f>"Medium"</f>
        <v/>
      </c>
      <c r="I1889">
        <f>TRIM(IF(LEN(IF(LEN(INDEX('Providers'!$L$4:$L$503,386))=0,"",INDEX('Providers'!$L$4:$L$503,386)))=0,"","Board / specialty: "&amp;IF(LEN(INDEX('Providers'!$L$4:$L$503,386))=0,"",INDEX('Providers'!$L$4:$L$503,386))&amp;". "))</f>
        <v/>
      </c>
      <c r="J1889">
        <f>IF(LEN(INDEX('Providers'!$AJ$4:$AJ$503,386))=0,"",INDEX('Providers'!$AJ$4:$AJ$503,386))</f>
        <v/>
      </c>
      <c r="K1889">
        <f>IF(LEN(INDEX('Providers'!$AI$4:$AI$503,386))=0,"",INDEX('Providers'!$AI$4:$AI$503,386))</f>
        <v/>
      </c>
    </row>
    <row r="1890">
      <c r="A1890">
        <f>IF(AND(LEN('Providers'!A390)&gt;0,ISNUMBER('Providers'!M390)),1,0)</f>
        <v/>
      </c>
      <c r="B1890">
        <f>B1889+A1890</f>
        <v/>
      </c>
      <c r="C1890">
        <f>IF(1887&gt;$B$4503,"",MATCH(1887-0.5,$B$3:$B$4503,1))</f>
        <v/>
      </c>
      <c r="D1890">
        <f>"Board certification – "&amp;IF(LEN(INDEX('Providers'!$A$4:$A$503,387))=0,"",INDEX('Providers'!$A$4:$A$503,387))</f>
        <v/>
      </c>
      <c r="E1890">
        <f>IF(ISNUMBER(INDEX('Providers'!$M$4:$M$503,387)),TEXT(INDEX('Providers'!$M$4:$M$503,387),"yyyy-mm-dd"),"")</f>
        <v/>
      </c>
      <c r="F1890">
        <f>"Certification"</f>
        <v/>
      </c>
      <c r="G1890">
        <f>""</f>
        <v/>
      </c>
      <c r="H1890">
        <f>"Medium"</f>
        <v/>
      </c>
      <c r="I1890">
        <f>TRIM(IF(LEN(IF(LEN(INDEX('Providers'!$L$4:$L$503,387))=0,"",INDEX('Providers'!$L$4:$L$503,387)))=0,"","Board / specialty: "&amp;IF(LEN(INDEX('Providers'!$L$4:$L$503,387))=0,"",INDEX('Providers'!$L$4:$L$503,387))&amp;". "))</f>
        <v/>
      </c>
      <c r="J1890">
        <f>IF(LEN(INDEX('Providers'!$AJ$4:$AJ$503,387))=0,"",INDEX('Providers'!$AJ$4:$AJ$503,387))</f>
        <v/>
      </c>
      <c r="K1890">
        <f>IF(LEN(INDEX('Providers'!$AI$4:$AI$503,387))=0,"",INDEX('Providers'!$AI$4:$AI$503,387))</f>
        <v/>
      </c>
    </row>
    <row r="1891">
      <c r="A1891">
        <f>IF(AND(LEN('Providers'!A391)&gt;0,ISNUMBER('Providers'!M391)),1,0)</f>
        <v/>
      </c>
      <c r="B1891">
        <f>B1890+A1891</f>
        <v/>
      </c>
      <c r="C1891">
        <f>IF(1888&gt;$B$4503,"",MATCH(1888-0.5,$B$3:$B$4503,1))</f>
        <v/>
      </c>
      <c r="D1891">
        <f>"Board certification – "&amp;IF(LEN(INDEX('Providers'!$A$4:$A$503,388))=0,"",INDEX('Providers'!$A$4:$A$503,388))</f>
        <v/>
      </c>
      <c r="E1891">
        <f>IF(ISNUMBER(INDEX('Providers'!$M$4:$M$503,388)),TEXT(INDEX('Providers'!$M$4:$M$503,388),"yyyy-mm-dd"),"")</f>
        <v/>
      </c>
      <c r="F1891">
        <f>"Certification"</f>
        <v/>
      </c>
      <c r="G1891">
        <f>""</f>
        <v/>
      </c>
      <c r="H1891">
        <f>"Medium"</f>
        <v/>
      </c>
      <c r="I1891">
        <f>TRIM(IF(LEN(IF(LEN(INDEX('Providers'!$L$4:$L$503,388))=0,"",INDEX('Providers'!$L$4:$L$503,388)))=0,"","Board / specialty: "&amp;IF(LEN(INDEX('Providers'!$L$4:$L$503,388))=0,"",INDEX('Providers'!$L$4:$L$503,388))&amp;". "))</f>
        <v/>
      </c>
      <c r="J1891">
        <f>IF(LEN(INDEX('Providers'!$AJ$4:$AJ$503,388))=0,"",INDEX('Providers'!$AJ$4:$AJ$503,388))</f>
        <v/>
      </c>
      <c r="K1891">
        <f>IF(LEN(INDEX('Providers'!$AI$4:$AI$503,388))=0,"",INDEX('Providers'!$AI$4:$AI$503,388))</f>
        <v/>
      </c>
    </row>
    <row r="1892">
      <c r="A1892">
        <f>IF(AND(LEN('Providers'!A392)&gt;0,ISNUMBER('Providers'!M392)),1,0)</f>
        <v/>
      </c>
      <c r="B1892">
        <f>B1891+A1892</f>
        <v/>
      </c>
      <c r="C1892">
        <f>IF(1889&gt;$B$4503,"",MATCH(1889-0.5,$B$3:$B$4503,1))</f>
        <v/>
      </c>
      <c r="D1892">
        <f>"Board certification – "&amp;IF(LEN(INDEX('Providers'!$A$4:$A$503,389))=0,"",INDEX('Providers'!$A$4:$A$503,389))</f>
        <v/>
      </c>
      <c r="E1892">
        <f>IF(ISNUMBER(INDEX('Providers'!$M$4:$M$503,389)),TEXT(INDEX('Providers'!$M$4:$M$503,389),"yyyy-mm-dd"),"")</f>
        <v/>
      </c>
      <c r="F1892">
        <f>"Certification"</f>
        <v/>
      </c>
      <c r="G1892">
        <f>""</f>
        <v/>
      </c>
      <c r="H1892">
        <f>"Medium"</f>
        <v/>
      </c>
      <c r="I1892">
        <f>TRIM(IF(LEN(IF(LEN(INDEX('Providers'!$L$4:$L$503,389))=0,"",INDEX('Providers'!$L$4:$L$503,389)))=0,"","Board / specialty: "&amp;IF(LEN(INDEX('Providers'!$L$4:$L$503,389))=0,"",INDEX('Providers'!$L$4:$L$503,389))&amp;". "))</f>
        <v/>
      </c>
      <c r="J1892">
        <f>IF(LEN(INDEX('Providers'!$AJ$4:$AJ$503,389))=0,"",INDEX('Providers'!$AJ$4:$AJ$503,389))</f>
        <v/>
      </c>
      <c r="K1892">
        <f>IF(LEN(INDEX('Providers'!$AI$4:$AI$503,389))=0,"",INDEX('Providers'!$AI$4:$AI$503,389))</f>
        <v/>
      </c>
    </row>
    <row r="1893">
      <c r="A1893">
        <f>IF(AND(LEN('Providers'!A393)&gt;0,ISNUMBER('Providers'!M393)),1,0)</f>
        <v/>
      </c>
      <c r="B1893">
        <f>B1892+A1893</f>
        <v/>
      </c>
      <c r="C1893">
        <f>IF(1890&gt;$B$4503,"",MATCH(1890-0.5,$B$3:$B$4503,1))</f>
        <v/>
      </c>
      <c r="D1893">
        <f>"Board certification – "&amp;IF(LEN(INDEX('Providers'!$A$4:$A$503,390))=0,"",INDEX('Providers'!$A$4:$A$503,390))</f>
        <v/>
      </c>
      <c r="E1893">
        <f>IF(ISNUMBER(INDEX('Providers'!$M$4:$M$503,390)),TEXT(INDEX('Providers'!$M$4:$M$503,390),"yyyy-mm-dd"),"")</f>
        <v/>
      </c>
      <c r="F1893">
        <f>"Certification"</f>
        <v/>
      </c>
      <c r="G1893">
        <f>""</f>
        <v/>
      </c>
      <c r="H1893">
        <f>"Medium"</f>
        <v/>
      </c>
      <c r="I1893">
        <f>TRIM(IF(LEN(IF(LEN(INDEX('Providers'!$L$4:$L$503,390))=0,"",INDEX('Providers'!$L$4:$L$503,390)))=0,"","Board / specialty: "&amp;IF(LEN(INDEX('Providers'!$L$4:$L$503,390))=0,"",INDEX('Providers'!$L$4:$L$503,390))&amp;". "))</f>
        <v/>
      </c>
      <c r="J1893">
        <f>IF(LEN(INDEX('Providers'!$AJ$4:$AJ$503,390))=0,"",INDEX('Providers'!$AJ$4:$AJ$503,390))</f>
        <v/>
      </c>
      <c r="K1893">
        <f>IF(LEN(INDEX('Providers'!$AI$4:$AI$503,390))=0,"",INDEX('Providers'!$AI$4:$AI$503,390))</f>
        <v/>
      </c>
    </row>
    <row r="1894">
      <c r="A1894">
        <f>IF(AND(LEN('Providers'!A394)&gt;0,ISNUMBER('Providers'!M394)),1,0)</f>
        <v/>
      </c>
      <c r="B1894">
        <f>B1893+A1894</f>
        <v/>
      </c>
      <c r="C1894">
        <f>IF(1891&gt;$B$4503,"",MATCH(1891-0.5,$B$3:$B$4503,1))</f>
        <v/>
      </c>
      <c r="D1894">
        <f>"Board certification – "&amp;IF(LEN(INDEX('Providers'!$A$4:$A$503,391))=0,"",INDEX('Providers'!$A$4:$A$503,391))</f>
        <v/>
      </c>
      <c r="E1894">
        <f>IF(ISNUMBER(INDEX('Providers'!$M$4:$M$503,391)),TEXT(INDEX('Providers'!$M$4:$M$503,391),"yyyy-mm-dd"),"")</f>
        <v/>
      </c>
      <c r="F1894">
        <f>"Certification"</f>
        <v/>
      </c>
      <c r="G1894">
        <f>""</f>
        <v/>
      </c>
      <c r="H1894">
        <f>"Medium"</f>
        <v/>
      </c>
      <c r="I1894">
        <f>TRIM(IF(LEN(IF(LEN(INDEX('Providers'!$L$4:$L$503,391))=0,"",INDEX('Providers'!$L$4:$L$503,391)))=0,"","Board / specialty: "&amp;IF(LEN(INDEX('Providers'!$L$4:$L$503,391))=0,"",INDEX('Providers'!$L$4:$L$503,391))&amp;". "))</f>
        <v/>
      </c>
      <c r="J1894">
        <f>IF(LEN(INDEX('Providers'!$AJ$4:$AJ$503,391))=0,"",INDEX('Providers'!$AJ$4:$AJ$503,391))</f>
        <v/>
      </c>
      <c r="K1894">
        <f>IF(LEN(INDEX('Providers'!$AI$4:$AI$503,391))=0,"",INDEX('Providers'!$AI$4:$AI$503,391))</f>
        <v/>
      </c>
    </row>
    <row r="1895">
      <c r="A1895">
        <f>IF(AND(LEN('Providers'!A395)&gt;0,ISNUMBER('Providers'!M395)),1,0)</f>
        <v/>
      </c>
      <c r="B1895">
        <f>B1894+A1895</f>
        <v/>
      </c>
      <c r="C1895">
        <f>IF(1892&gt;$B$4503,"",MATCH(1892-0.5,$B$3:$B$4503,1))</f>
        <v/>
      </c>
      <c r="D1895">
        <f>"Board certification – "&amp;IF(LEN(INDEX('Providers'!$A$4:$A$503,392))=0,"",INDEX('Providers'!$A$4:$A$503,392))</f>
        <v/>
      </c>
      <c r="E1895">
        <f>IF(ISNUMBER(INDEX('Providers'!$M$4:$M$503,392)),TEXT(INDEX('Providers'!$M$4:$M$503,392),"yyyy-mm-dd"),"")</f>
        <v/>
      </c>
      <c r="F1895">
        <f>"Certification"</f>
        <v/>
      </c>
      <c r="G1895">
        <f>""</f>
        <v/>
      </c>
      <c r="H1895">
        <f>"Medium"</f>
        <v/>
      </c>
      <c r="I1895">
        <f>TRIM(IF(LEN(IF(LEN(INDEX('Providers'!$L$4:$L$503,392))=0,"",INDEX('Providers'!$L$4:$L$503,392)))=0,"","Board / specialty: "&amp;IF(LEN(INDEX('Providers'!$L$4:$L$503,392))=0,"",INDEX('Providers'!$L$4:$L$503,392))&amp;". "))</f>
        <v/>
      </c>
      <c r="J1895">
        <f>IF(LEN(INDEX('Providers'!$AJ$4:$AJ$503,392))=0,"",INDEX('Providers'!$AJ$4:$AJ$503,392))</f>
        <v/>
      </c>
      <c r="K1895">
        <f>IF(LEN(INDEX('Providers'!$AI$4:$AI$503,392))=0,"",INDEX('Providers'!$AI$4:$AI$503,392))</f>
        <v/>
      </c>
    </row>
    <row r="1896">
      <c r="A1896">
        <f>IF(AND(LEN('Providers'!A396)&gt;0,ISNUMBER('Providers'!M396)),1,0)</f>
        <v/>
      </c>
      <c r="B1896">
        <f>B1895+A1896</f>
        <v/>
      </c>
      <c r="C1896">
        <f>IF(1893&gt;$B$4503,"",MATCH(1893-0.5,$B$3:$B$4503,1))</f>
        <v/>
      </c>
      <c r="D1896">
        <f>"Board certification – "&amp;IF(LEN(INDEX('Providers'!$A$4:$A$503,393))=0,"",INDEX('Providers'!$A$4:$A$503,393))</f>
        <v/>
      </c>
      <c r="E1896">
        <f>IF(ISNUMBER(INDEX('Providers'!$M$4:$M$503,393)),TEXT(INDEX('Providers'!$M$4:$M$503,393),"yyyy-mm-dd"),"")</f>
        <v/>
      </c>
      <c r="F1896">
        <f>"Certification"</f>
        <v/>
      </c>
      <c r="G1896">
        <f>""</f>
        <v/>
      </c>
      <c r="H1896">
        <f>"Medium"</f>
        <v/>
      </c>
      <c r="I1896">
        <f>TRIM(IF(LEN(IF(LEN(INDEX('Providers'!$L$4:$L$503,393))=0,"",INDEX('Providers'!$L$4:$L$503,393)))=0,"","Board / specialty: "&amp;IF(LEN(INDEX('Providers'!$L$4:$L$503,393))=0,"",INDEX('Providers'!$L$4:$L$503,393))&amp;". "))</f>
        <v/>
      </c>
      <c r="J1896">
        <f>IF(LEN(INDEX('Providers'!$AJ$4:$AJ$503,393))=0,"",INDEX('Providers'!$AJ$4:$AJ$503,393))</f>
        <v/>
      </c>
      <c r="K1896">
        <f>IF(LEN(INDEX('Providers'!$AI$4:$AI$503,393))=0,"",INDEX('Providers'!$AI$4:$AI$503,393))</f>
        <v/>
      </c>
    </row>
    <row r="1897">
      <c r="A1897">
        <f>IF(AND(LEN('Providers'!A397)&gt;0,ISNUMBER('Providers'!M397)),1,0)</f>
        <v/>
      </c>
      <c r="B1897">
        <f>B1896+A1897</f>
        <v/>
      </c>
      <c r="C1897">
        <f>IF(1894&gt;$B$4503,"",MATCH(1894-0.5,$B$3:$B$4503,1))</f>
        <v/>
      </c>
      <c r="D1897">
        <f>"Board certification – "&amp;IF(LEN(INDEX('Providers'!$A$4:$A$503,394))=0,"",INDEX('Providers'!$A$4:$A$503,394))</f>
        <v/>
      </c>
      <c r="E1897">
        <f>IF(ISNUMBER(INDEX('Providers'!$M$4:$M$503,394)),TEXT(INDEX('Providers'!$M$4:$M$503,394),"yyyy-mm-dd"),"")</f>
        <v/>
      </c>
      <c r="F1897">
        <f>"Certification"</f>
        <v/>
      </c>
      <c r="G1897">
        <f>""</f>
        <v/>
      </c>
      <c r="H1897">
        <f>"Medium"</f>
        <v/>
      </c>
      <c r="I1897">
        <f>TRIM(IF(LEN(IF(LEN(INDEX('Providers'!$L$4:$L$503,394))=0,"",INDEX('Providers'!$L$4:$L$503,394)))=0,"","Board / specialty: "&amp;IF(LEN(INDEX('Providers'!$L$4:$L$503,394))=0,"",INDEX('Providers'!$L$4:$L$503,394))&amp;". "))</f>
        <v/>
      </c>
      <c r="J1897">
        <f>IF(LEN(INDEX('Providers'!$AJ$4:$AJ$503,394))=0,"",INDEX('Providers'!$AJ$4:$AJ$503,394))</f>
        <v/>
      </c>
      <c r="K1897">
        <f>IF(LEN(INDEX('Providers'!$AI$4:$AI$503,394))=0,"",INDEX('Providers'!$AI$4:$AI$503,394))</f>
        <v/>
      </c>
    </row>
    <row r="1898">
      <c r="A1898">
        <f>IF(AND(LEN('Providers'!A398)&gt;0,ISNUMBER('Providers'!M398)),1,0)</f>
        <v/>
      </c>
      <c r="B1898">
        <f>B1897+A1898</f>
        <v/>
      </c>
      <c r="C1898">
        <f>IF(1895&gt;$B$4503,"",MATCH(1895-0.5,$B$3:$B$4503,1))</f>
        <v/>
      </c>
      <c r="D1898">
        <f>"Board certification – "&amp;IF(LEN(INDEX('Providers'!$A$4:$A$503,395))=0,"",INDEX('Providers'!$A$4:$A$503,395))</f>
        <v/>
      </c>
      <c r="E1898">
        <f>IF(ISNUMBER(INDEX('Providers'!$M$4:$M$503,395)),TEXT(INDEX('Providers'!$M$4:$M$503,395),"yyyy-mm-dd"),"")</f>
        <v/>
      </c>
      <c r="F1898">
        <f>"Certification"</f>
        <v/>
      </c>
      <c r="G1898">
        <f>""</f>
        <v/>
      </c>
      <c r="H1898">
        <f>"Medium"</f>
        <v/>
      </c>
      <c r="I1898">
        <f>TRIM(IF(LEN(IF(LEN(INDEX('Providers'!$L$4:$L$503,395))=0,"",INDEX('Providers'!$L$4:$L$503,395)))=0,"","Board / specialty: "&amp;IF(LEN(INDEX('Providers'!$L$4:$L$503,395))=0,"",INDEX('Providers'!$L$4:$L$503,395))&amp;". "))</f>
        <v/>
      </c>
      <c r="J1898">
        <f>IF(LEN(INDEX('Providers'!$AJ$4:$AJ$503,395))=0,"",INDEX('Providers'!$AJ$4:$AJ$503,395))</f>
        <v/>
      </c>
      <c r="K1898">
        <f>IF(LEN(INDEX('Providers'!$AI$4:$AI$503,395))=0,"",INDEX('Providers'!$AI$4:$AI$503,395))</f>
        <v/>
      </c>
    </row>
    <row r="1899">
      <c r="A1899">
        <f>IF(AND(LEN('Providers'!A399)&gt;0,ISNUMBER('Providers'!M399)),1,0)</f>
        <v/>
      </c>
      <c r="B1899">
        <f>B1898+A1899</f>
        <v/>
      </c>
      <c r="C1899">
        <f>IF(1896&gt;$B$4503,"",MATCH(1896-0.5,$B$3:$B$4503,1))</f>
        <v/>
      </c>
      <c r="D1899">
        <f>"Board certification – "&amp;IF(LEN(INDEX('Providers'!$A$4:$A$503,396))=0,"",INDEX('Providers'!$A$4:$A$503,396))</f>
        <v/>
      </c>
      <c r="E1899">
        <f>IF(ISNUMBER(INDEX('Providers'!$M$4:$M$503,396)),TEXT(INDEX('Providers'!$M$4:$M$503,396),"yyyy-mm-dd"),"")</f>
        <v/>
      </c>
      <c r="F1899">
        <f>"Certification"</f>
        <v/>
      </c>
      <c r="G1899">
        <f>""</f>
        <v/>
      </c>
      <c r="H1899">
        <f>"Medium"</f>
        <v/>
      </c>
      <c r="I1899">
        <f>TRIM(IF(LEN(IF(LEN(INDEX('Providers'!$L$4:$L$503,396))=0,"",INDEX('Providers'!$L$4:$L$503,396)))=0,"","Board / specialty: "&amp;IF(LEN(INDEX('Providers'!$L$4:$L$503,396))=0,"",INDEX('Providers'!$L$4:$L$503,396))&amp;". "))</f>
        <v/>
      </c>
      <c r="J1899">
        <f>IF(LEN(INDEX('Providers'!$AJ$4:$AJ$503,396))=0,"",INDEX('Providers'!$AJ$4:$AJ$503,396))</f>
        <v/>
      </c>
      <c r="K1899">
        <f>IF(LEN(INDEX('Providers'!$AI$4:$AI$503,396))=0,"",INDEX('Providers'!$AI$4:$AI$503,396))</f>
        <v/>
      </c>
    </row>
    <row r="1900">
      <c r="A1900">
        <f>IF(AND(LEN('Providers'!A400)&gt;0,ISNUMBER('Providers'!M400)),1,0)</f>
        <v/>
      </c>
      <c r="B1900">
        <f>B1899+A1900</f>
        <v/>
      </c>
      <c r="C1900">
        <f>IF(1897&gt;$B$4503,"",MATCH(1897-0.5,$B$3:$B$4503,1))</f>
        <v/>
      </c>
      <c r="D1900">
        <f>"Board certification – "&amp;IF(LEN(INDEX('Providers'!$A$4:$A$503,397))=0,"",INDEX('Providers'!$A$4:$A$503,397))</f>
        <v/>
      </c>
      <c r="E1900">
        <f>IF(ISNUMBER(INDEX('Providers'!$M$4:$M$503,397)),TEXT(INDEX('Providers'!$M$4:$M$503,397),"yyyy-mm-dd"),"")</f>
        <v/>
      </c>
      <c r="F1900">
        <f>"Certification"</f>
        <v/>
      </c>
      <c r="G1900">
        <f>""</f>
        <v/>
      </c>
      <c r="H1900">
        <f>"Medium"</f>
        <v/>
      </c>
      <c r="I1900">
        <f>TRIM(IF(LEN(IF(LEN(INDEX('Providers'!$L$4:$L$503,397))=0,"",INDEX('Providers'!$L$4:$L$503,397)))=0,"","Board / specialty: "&amp;IF(LEN(INDEX('Providers'!$L$4:$L$503,397))=0,"",INDEX('Providers'!$L$4:$L$503,397))&amp;". "))</f>
        <v/>
      </c>
      <c r="J1900">
        <f>IF(LEN(INDEX('Providers'!$AJ$4:$AJ$503,397))=0,"",INDEX('Providers'!$AJ$4:$AJ$503,397))</f>
        <v/>
      </c>
      <c r="K1900">
        <f>IF(LEN(INDEX('Providers'!$AI$4:$AI$503,397))=0,"",INDEX('Providers'!$AI$4:$AI$503,397))</f>
        <v/>
      </c>
    </row>
    <row r="1901">
      <c r="A1901">
        <f>IF(AND(LEN('Providers'!A401)&gt;0,ISNUMBER('Providers'!M401)),1,0)</f>
        <v/>
      </c>
      <c r="B1901">
        <f>B1900+A1901</f>
        <v/>
      </c>
      <c r="C1901">
        <f>IF(1898&gt;$B$4503,"",MATCH(1898-0.5,$B$3:$B$4503,1))</f>
        <v/>
      </c>
      <c r="D1901">
        <f>"Board certification – "&amp;IF(LEN(INDEX('Providers'!$A$4:$A$503,398))=0,"",INDEX('Providers'!$A$4:$A$503,398))</f>
        <v/>
      </c>
      <c r="E1901">
        <f>IF(ISNUMBER(INDEX('Providers'!$M$4:$M$503,398)),TEXT(INDEX('Providers'!$M$4:$M$503,398),"yyyy-mm-dd"),"")</f>
        <v/>
      </c>
      <c r="F1901">
        <f>"Certification"</f>
        <v/>
      </c>
      <c r="G1901">
        <f>""</f>
        <v/>
      </c>
      <c r="H1901">
        <f>"Medium"</f>
        <v/>
      </c>
      <c r="I1901">
        <f>TRIM(IF(LEN(IF(LEN(INDEX('Providers'!$L$4:$L$503,398))=0,"",INDEX('Providers'!$L$4:$L$503,398)))=0,"","Board / specialty: "&amp;IF(LEN(INDEX('Providers'!$L$4:$L$503,398))=0,"",INDEX('Providers'!$L$4:$L$503,398))&amp;". "))</f>
        <v/>
      </c>
      <c r="J1901">
        <f>IF(LEN(INDEX('Providers'!$AJ$4:$AJ$503,398))=0,"",INDEX('Providers'!$AJ$4:$AJ$503,398))</f>
        <v/>
      </c>
      <c r="K1901">
        <f>IF(LEN(INDEX('Providers'!$AI$4:$AI$503,398))=0,"",INDEX('Providers'!$AI$4:$AI$503,398))</f>
        <v/>
      </c>
    </row>
    <row r="1902">
      <c r="A1902">
        <f>IF(AND(LEN('Providers'!A402)&gt;0,ISNUMBER('Providers'!M402)),1,0)</f>
        <v/>
      </c>
      <c r="B1902">
        <f>B1901+A1902</f>
        <v/>
      </c>
      <c r="C1902">
        <f>IF(1899&gt;$B$4503,"",MATCH(1899-0.5,$B$3:$B$4503,1))</f>
        <v/>
      </c>
      <c r="D1902">
        <f>"Board certification – "&amp;IF(LEN(INDEX('Providers'!$A$4:$A$503,399))=0,"",INDEX('Providers'!$A$4:$A$503,399))</f>
        <v/>
      </c>
      <c r="E1902">
        <f>IF(ISNUMBER(INDEX('Providers'!$M$4:$M$503,399)),TEXT(INDEX('Providers'!$M$4:$M$503,399),"yyyy-mm-dd"),"")</f>
        <v/>
      </c>
      <c r="F1902">
        <f>"Certification"</f>
        <v/>
      </c>
      <c r="G1902">
        <f>""</f>
        <v/>
      </c>
      <c r="H1902">
        <f>"Medium"</f>
        <v/>
      </c>
      <c r="I1902">
        <f>TRIM(IF(LEN(IF(LEN(INDEX('Providers'!$L$4:$L$503,399))=0,"",INDEX('Providers'!$L$4:$L$503,399)))=0,"","Board / specialty: "&amp;IF(LEN(INDEX('Providers'!$L$4:$L$503,399))=0,"",INDEX('Providers'!$L$4:$L$503,399))&amp;". "))</f>
        <v/>
      </c>
      <c r="J1902">
        <f>IF(LEN(INDEX('Providers'!$AJ$4:$AJ$503,399))=0,"",INDEX('Providers'!$AJ$4:$AJ$503,399))</f>
        <v/>
      </c>
      <c r="K1902">
        <f>IF(LEN(INDEX('Providers'!$AI$4:$AI$503,399))=0,"",INDEX('Providers'!$AI$4:$AI$503,399))</f>
        <v/>
      </c>
    </row>
    <row r="1903">
      <c r="A1903">
        <f>IF(AND(LEN('Providers'!A403)&gt;0,ISNUMBER('Providers'!M403)),1,0)</f>
        <v/>
      </c>
      <c r="B1903">
        <f>B1902+A1903</f>
        <v/>
      </c>
      <c r="C1903">
        <f>IF(1900&gt;$B$4503,"",MATCH(1900-0.5,$B$3:$B$4503,1))</f>
        <v/>
      </c>
      <c r="D1903">
        <f>"Board certification – "&amp;IF(LEN(INDEX('Providers'!$A$4:$A$503,400))=0,"",INDEX('Providers'!$A$4:$A$503,400))</f>
        <v/>
      </c>
      <c r="E1903">
        <f>IF(ISNUMBER(INDEX('Providers'!$M$4:$M$503,400)),TEXT(INDEX('Providers'!$M$4:$M$503,400),"yyyy-mm-dd"),"")</f>
        <v/>
      </c>
      <c r="F1903">
        <f>"Certification"</f>
        <v/>
      </c>
      <c r="G1903">
        <f>""</f>
        <v/>
      </c>
      <c r="H1903">
        <f>"Medium"</f>
        <v/>
      </c>
      <c r="I1903">
        <f>TRIM(IF(LEN(IF(LEN(INDEX('Providers'!$L$4:$L$503,400))=0,"",INDEX('Providers'!$L$4:$L$503,400)))=0,"","Board / specialty: "&amp;IF(LEN(INDEX('Providers'!$L$4:$L$503,400))=0,"",INDEX('Providers'!$L$4:$L$503,400))&amp;". "))</f>
        <v/>
      </c>
      <c r="J1903">
        <f>IF(LEN(INDEX('Providers'!$AJ$4:$AJ$503,400))=0,"",INDEX('Providers'!$AJ$4:$AJ$503,400))</f>
        <v/>
      </c>
      <c r="K1903">
        <f>IF(LEN(INDEX('Providers'!$AI$4:$AI$503,400))=0,"",INDEX('Providers'!$AI$4:$AI$503,400))</f>
        <v/>
      </c>
    </row>
    <row r="1904">
      <c r="A1904">
        <f>IF(AND(LEN('Providers'!A404)&gt;0,ISNUMBER('Providers'!M404)),1,0)</f>
        <v/>
      </c>
      <c r="B1904">
        <f>B1903+A1904</f>
        <v/>
      </c>
      <c r="C1904">
        <f>IF(1901&gt;$B$4503,"",MATCH(1901-0.5,$B$3:$B$4503,1))</f>
        <v/>
      </c>
      <c r="D1904">
        <f>"Board certification – "&amp;IF(LEN(INDEX('Providers'!$A$4:$A$503,401))=0,"",INDEX('Providers'!$A$4:$A$503,401))</f>
        <v/>
      </c>
      <c r="E1904">
        <f>IF(ISNUMBER(INDEX('Providers'!$M$4:$M$503,401)),TEXT(INDEX('Providers'!$M$4:$M$503,401),"yyyy-mm-dd"),"")</f>
        <v/>
      </c>
      <c r="F1904">
        <f>"Certification"</f>
        <v/>
      </c>
      <c r="G1904">
        <f>""</f>
        <v/>
      </c>
      <c r="H1904">
        <f>"Medium"</f>
        <v/>
      </c>
      <c r="I1904">
        <f>TRIM(IF(LEN(IF(LEN(INDEX('Providers'!$L$4:$L$503,401))=0,"",INDEX('Providers'!$L$4:$L$503,401)))=0,"","Board / specialty: "&amp;IF(LEN(INDEX('Providers'!$L$4:$L$503,401))=0,"",INDEX('Providers'!$L$4:$L$503,401))&amp;". "))</f>
        <v/>
      </c>
      <c r="J1904">
        <f>IF(LEN(INDEX('Providers'!$AJ$4:$AJ$503,401))=0,"",INDEX('Providers'!$AJ$4:$AJ$503,401))</f>
        <v/>
      </c>
      <c r="K1904">
        <f>IF(LEN(INDEX('Providers'!$AI$4:$AI$503,401))=0,"",INDEX('Providers'!$AI$4:$AI$503,401))</f>
        <v/>
      </c>
    </row>
    <row r="1905">
      <c r="A1905">
        <f>IF(AND(LEN('Providers'!A405)&gt;0,ISNUMBER('Providers'!M405)),1,0)</f>
        <v/>
      </c>
      <c r="B1905">
        <f>B1904+A1905</f>
        <v/>
      </c>
      <c r="C1905">
        <f>IF(1902&gt;$B$4503,"",MATCH(1902-0.5,$B$3:$B$4503,1))</f>
        <v/>
      </c>
      <c r="D1905">
        <f>"Board certification – "&amp;IF(LEN(INDEX('Providers'!$A$4:$A$503,402))=0,"",INDEX('Providers'!$A$4:$A$503,402))</f>
        <v/>
      </c>
      <c r="E1905">
        <f>IF(ISNUMBER(INDEX('Providers'!$M$4:$M$503,402)),TEXT(INDEX('Providers'!$M$4:$M$503,402),"yyyy-mm-dd"),"")</f>
        <v/>
      </c>
      <c r="F1905">
        <f>"Certification"</f>
        <v/>
      </c>
      <c r="G1905">
        <f>""</f>
        <v/>
      </c>
      <c r="H1905">
        <f>"Medium"</f>
        <v/>
      </c>
      <c r="I1905">
        <f>TRIM(IF(LEN(IF(LEN(INDEX('Providers'!$L$4:$L$503,402))=0,"",INDEX('Providers'!$L$4:$L$503,402)))=0,"","Board / specialty: "&amp;IF(LEN(INDEX('Providers'!$L$4:$L$503,402))=0,"",INDEX('Providers'!$L$4:$L$503,402))&amp;". "))</f>
        <v/>
      </c>
      <c r="J1905">
        <f>IF(LEN(INDEX('Providers'!$AJ$4:$AJ$503,402))=0,"",INDEX('Providers'!$AJ$4:$AJ$503,402))</f>
        <v/>
      </c>
      <c r="K1905">
        <f>IF(LEN(INDEX('Providers'!$AI$4:$AI$503,402))=0,"",INDEX('Providers'!$AI$4:$AI$503,402))</f>
        <v/>
      </c>
    </row>
    <row r="1906">
      <c r="A1906">
        <f>IF(AND(LEN('Providers'!A406)&gt;0,ISNUMBER('Providers'!M406)),1,0)</f>
        <v/>
      </c>
      <c r="B1906">
        <f>B1905+A1906</f>
        <v/>
      </c>
      <c r="C1906">
        <f>IF(1903&gt;$B$4503,"",MATCH(1903-0.5,$B$3:$B$4503,1))</f>
        <v/>
      </c>
      <c r="D1906">
        <f>"Board certification – "&amp;IF(LEN(INDEX('Providers'!$A$4:$A$503,403))=0,"",INDEX('Providers'!$A$4:$A$503,403))</f>
        <v/>
      </c>
      <c r="E1906">
        <f>IF(ISNUMBER(INDEX('Providers'!$M$4:$M$503,403)),TEXT(INDEX('Providers'!$M$4:$M$503,403),"yyyy-mm-dd"),"")</f>
        <v/>
      </c>
      <c r="F1906">
        <f>"Certification"</f>
        <v/>
      </c>
      <c r="G1906">
        <f>""</f>
        <v/>
      </c>
      <c r="H1906">
        <f>"Medium"</f>
        <v/>
      </c>
      <c r="I1906">
        <f>TRIM(IF(LEN(IF(LEN(INDEX('Providers'!$L$4:$L$503,403))=0,"",INDEX('Providers'!$L$4:$L$503,403)))=0,"","Board / specialty: "&amp;IF(LEN(INDEX('Providers'!$L$4:$L$503,403))=0,"",INDEX('Providers'!$L$4:$L$503,403))&amp;". "))</f>
        <v/>
      </c>
      <c r="J1906">
        <f>IF(LEN(INDEX('Providers'!$AJ$4:$AJ$503,403))=0,"",INDEX('Providers'!$AJ$4:$AJ$503,403))</f>
        <v/>
      </c>
      <c r="K1906">
        <f>IF(LEN(INDEX('Providers'!$AI$4:$AI$503,403))=0,"",INDEX('Providers'!$AI$4:$AI$503,403))</f>
        <v/>
      </c>
    </row>
    <row r="1907">
      <c r="A1907">
        <f>IF(AND(LEN('Providers'!A407)&gt;0,ISNUMBER('Providers'!M407)),1,0)</f>
        <v/>
      </c>
      <c r="B1907">
        <f>B1906+A1907</f>
        <v/>
      </c>
      <c r="C1907">
        <f>IF(1904&gt;$B$4503,"",MATCH(1904-0.5,$B$3:$B$4503,1))</f>
        <v/>
      </c>
      <c r="D1907">
        <f>"Board certification – "&amp;IF(LEN(INDEX('Providers'!$A$4:$A$503,404))=0,"",INDEX('Providers'!$A$4:$A$503,404))</f>
        <v/>
      </c>
      <c r="E1907">
        <f>IF(ISNUMBER(INDEX('Providers'!$M$4:$M$503,404)),TEXT(INDEX('Providers'!$M$4:$M$503,404),"yyyy-mm-dd"),"")</f>
        <v/>
      </c>
      <c r="F1907">
        <f>"Certification"</f>
        <v/>
      </c>
      <c r="G1907">
        <f>""</f>
        <v/>
      </c>
      <c r="H1907">
        <f>"Medium"</f>
        <v/>
      </c>
      <c r="I1907">
        <f>TRIM(IF(LEN(IF(LEN(INDEX('Providers'!$L$4:$L$503,404))=0,"",INDEX('Providers'!$L$4:$L$503,404)))=0,"","Board / specialty: "&amp;IF(LEN(INDEX('Providers'!$L$4:$L$503,404))=0,"",INDEX('Providers'!$L$4:$L$503,404))&amp;". "))</f>
        <v/>
      </c>
      <c r="J1907">
        <f>IF(LEN(INDEX('Providers'!$AJ$4:$AJ$503,404))=0,"",INDEX('Providers'!$AJ$4:$AJ$503,404))</f>
        <v/>
      </c>
      <c r="K1907">
        <f>IF(LEN(INDEX('Providers'!$AI$4:$AI$503,404))=0,"",INDEX('Providers'!$AI$4:$AI$503,404))</f>
        <v/>
      </c>
    </row>
    <row r="1908">
      <c r="A1908">
        <f>IF(AND(LEN('Providers'!A408)&gt;0,ISNUMBER('Providers'!M408)),1,0)</f>
        <v/>
      </c>
      <c r="B1908">
        <f>B1907+A1908</f>
        <v/>
      </c>
      <c r="C1908">
        <f>IF(1905&gt;$B$4503,"",MATCH(1905-0.5,$B$3:$B$4503,1))</f>
        <v/>
      </c>
      <c r="D1908">
        <f>"Board certification – "&amp;IF(LEN(INDEX('Providers'!$A$4:$A$503,405))=0,"",INDEX('Providers'!$A$4:$A$503,405))</f>
        <v/>
      </c>
      <c r="E1908">
        <f>IF(ISNUMBER(INDEX('Providers'!$M$4:$M$503,405)),TEXT(INDEX('Providers'!$M$4:$M$503,405),"yyyy-mm-dd"),"")</f>
        <v/>
      </c>
      <c r="F1908">
        <f>"Certification"</f>
        <v/>
      </c>
      <c r="G1908">
        <f>""</f>
        <v/>
      </c>
      <c r="H1908">
        <f>"Medium"</f>
        <v/>
      </c>
      <c r="I1908">
        <f>TRIM(IF(LEN(IF(LEN(INDEX('Providers'!$L$4:$L$503,405))=0,"",INDEX('Providers'!$L$4:$L$503,405)))=0,"","Board / specialty: "&amp;IF(LEN(INDEX('Providers'!$L$4:$L$503,405))=0,"",INDEX('Providers'!$L$4:$L$503,405))&amp;". "))</f>
        <v/>
      </c>
      <c r="J1908">
        <f>IF(LEN(INDEX('Providers'!$AJ$4:$AJ$503,405))=0,"",INDEX('Providers'!$AJ$4:$AJ$503,405))</f>
        <v/>
      </c>
      <c r="K1908">
        <f>IF(LEN(INDEX('Providers'!$AI$4:$AI$503,405))=0,"",INDEX('Providers'!$AI$4:$AI$503,405))</f>
        <v/>
      </c>
    </row>
    <row r="1909">
      <c r="A1909">
        <f>IF(AND(LEN('Providers'!A409)&gt;0,ISNUMBER('Providers'!M409)),1,0)</f>
        <v/>
      </c>
      <c r="B1909">
        <f>B1908+A1909</f>
        <v/>
      </c>
      <c r="C1909">
        <f>IF(1906&gt;$B$4503,"",MATCH(1906-0.5,$B$3:$B$4503,1))</f>
        <v/>
      </c>
      <c r="D1909">
        <f>"Board certification – "&amp;IF(LEN(INDEX('Providers'!$A$4:$A$503,406))=0,"",INDEX('Providers'!$A$4:$A$503,406))</f>
        <v/>
      </c>
      <c r="E1909">
        <f>IF(ISNUMBER(INDEX('Providers'!$M$4:$M$503,406)),TEXT(INDEX('Providers'!$M$4:$M$503,406),"yyyy-mm-dd"),"")</f>
        <v/>
      </c>
      <c r="F1909">
        <f>"Certification"</f>
        <v/>
      </c>
      <c r="G1909">
        <f>""</f>
        <v/>
      </c>
      <c r="H1909">
        <f>"Medium"</f>
        <v/>
      </c>
      <c r="I1909">
        <f>TRIM(IF(LEN(IF(LEN(INDEX('Providers'!$L$4:$L$503,406))=0,"",INDEX('Providers'!$L$4:$L$503,406)))=0,"","Board / specialty: "&amp;IF(LEN(INDEX('Providers'!$L$4:$L$503,406))=0,"",INDEX('Providers'!$L$4:$L$503,406))&amp;". "))</f>
        <v/>
      </c>
      <c r="J1909">
        <f>IF(LEN(INDEX('Providers'!$AJ$4:$AJ$503,406))=0,"",INDEX('Providers'!$AJ$4:$AJ$503,406))</f>
        <v/>
      </c>
      <c r="K1909">
        <f>IF(LEN(INDEX('Providers'!$AI$4:$AI$503,406))=0,"",INDEX('Providers'!$AI$4:$AI$503,406))</f>
        <v/>
      </c>
    </row>
    <row r="1910">
      <c r="A1910">
        <f>IF(AND(LEN('Providers'!A410)&gt;0,ISNUMBER('Providers'!M410)),1,0)</f>
        <v/>
      </c>
      <c r="B1910">
        <f>B1909+A1910</f>
        <v/>
      </c>
      <c r="C1910">
        <f>IF(1907&gt;$B$4503,"",MATCH(1907-0.5,$B$3:$B$4503,1))</f>
        <v/>
      </c>
      <c r="D1910">
        <f>"Board certification – "&amp;IF(LEN(INDEX('Providers'!$A$4:$A$503,407))=0,"",INDEX('Providers'!$A$4:$A$503,407))</f>
        <v/>
      </c>
      <c r="E1910">
        <f>IF(ISNUMBER(INDEX('Providers'!$M$4:$M$503,407)),TEXT(INDEX('Providers'!$M$4:$M$503,407),"yyyy-mm-dd"),"")</f>
        <v/>
      </c>
      <c r="F1910">
        <f>"Certification"</f>
        <v/>
      </c>
      <c r="G1910">
        <f>""</f>
        <v/>
      </c>
      <c r="H1910">
        <f>"Medium"</f>
        <v/>
      </c>
      <c r="I1910">
        <f>TRIM(IF(LEN(IF(LEN(INDEX('Providers'!$L$4:$L$503,407))=0,"",INDEX('Providers'!$L$4:$L$503,407)))=0,"","Board / specialty: "&amp;IF(LEN(INDEX('Providers'!$L$4:$L$503,407))=0,"",INDEX('Providers'!$L$4:$L$503,407))&amp;". "))</f>
        <v/>
      </c>
      <c r="J1910">
        <f>IF(LEN(INDEX('Providers'!$AJ$4:$AJ$503,407))=0,"",INDEX('Providers'!$AJ$4:$AJ$503,407))</f>
        <v/>
      </c>
      <c r="K1910">
        <f>IF(LEN(INDEX('Providers'!$AI$4:$AI$503,407))=0,"",INDEX('Providers'!$AI$4:$AI$503,407))</f>
        <v/>
      </c>
    </row>
    <row r="1911">
      <c r="A1911">
        <f>IF(AND(LEN('Providers'!A411)&gt;0,ISNUMBER('Providers'!M411)),1,0)</f>
        <v/>
      </c>
      <c r="B1911">
        <f>B1910+A1911</f>
        <v/>
      </c>
      <c r="C1911">
        <f>IF(1908&gt;$B$4503,"",MATCH(1908-0.5,$B$3:$B$4503,1))</f>
        <v/>
      </c>
      <c r="D1911">
        <f>"Board certification – "&amp;IF(LEN(INDEX('Providers'!$A$4:$A$503,408))=0,"",INDEX('Providers'!$A$4:$A$503,408))</f>
        <v/>
      </c>
      <c r="E1911">
        <f>IF(ISNUMBER(INDEX('Providers'!$M$4:$M$503,408)),TEXT(INDEX('Providers'!$M$4:$M$503,408),"yyyy-mm-dd"),"")</f>
        <v/>
      </c>
      <c r="F1911">
        <f>"Certification"</f>
        <v/>
      </c>
      <c r="G1911">
        <f>""</f>
        <v/>
      </c>
      <c r="H1911">
        <f>"Medium"</f>
        <v/>
      </c>
      <c r="I1911">
        <f>TRIM(IF(LEN(IF(LEN(INDEX('Providers'!$L$4:$L$503,408))=0,"",INDEX('Providers'!$L$4:$L$503,408)))=0,"","Board / specialty: "&amp;IF(LEN(INDEX('Providers'!$L$4:$L$503,408))=0,"",INDEX('Providers'!$L$4:$L$503,408))&amp;". "))</f>
        <v/>
      </c>
      <c r="J1911">
        <f>IF(LEN(INDEX('Providers'!$AJ$4:$AJ$503,408))=0,"",INDEX('Providers'!$AJ$4:$AJ$503,408))</f>
        <v/>
      </c>
      <c r="K1911">
        <f>IF(LEN(INDEX('Providers'!$AI$4:$AI$503,408))=0,"",INDEX('Providers'!$AI$4:$AI$503,408))</f>
        <v/>
      </c>
    </row>
    <row r="1912">
      <c r="A1912">
        <f>IF(AND(LEN('Providers'!A412)&gt;0,ISNUMBER('Providers'!M412)),1,0)</f>
        <v/>
      </c>
      <c r="B1912">
        <f>B1911+A1912</f>
        <v/>
      </c>
      <c r="C1912">
        <f>IF(1909&gt;$B$4503,"",MATCH(1909-0.5,$B$3:$B$4503,1))</f>
        <v/>
      </c>
      <c r="D1912">
        <f>"Board certification – "&amp;IF(LEN(INDEX('Providers'!$A$4:$A$503,409))=0,"",INDEX('Providers'!$A$4:$A$503,409))</f>
        <v/>
      </c>
      <c r="E1912">
        <f>IF(ISNUMBER(INDEX('Providers'!$M$4:$M$503,409)),TEXT(INDEX('Providers'!$M$4:$M$503,409),"yyyy-mm-dd"),"")</f>
        <v/>
      </c>
      <c r="F1912">
        <f>"Certification"</f>
        <v/>
      </c>
      <c r="G1912">
        <f>""</f>
        <v/>
      </c>
      <c r="H1912">
        <f>"Medium"</f>
        <v/>
      </c>
      <c r="I1912">
        <f>TRIM(IF(LEN(IF(LEN(INDEX('Providers'!$L$4:$L$503,409))=0,"",INDEX('Providers'!$L$4:$L$503,409)))=0,"","Board / specialty: "&amp;IF(LEN(INDEX('Providers'!$L$4:$L$503,409))=0,"",INDEX('Providers'!$L$4:$L$503,409))&amp;". "))</f>
        <v/>
      </c>
      <c r="J1912">
        <f>IF(LEN(INDEX('Providers'!$AJ$4:$AJ$503,409))=0,"",INDEX('Providers'!$AJ$4:$AJ$503,409))</f>
        <v/>
      </c>
      <c r="K1912">
        <f>IF(LEN(INDEX('Providers'!$AI$4:$AI$503,409))=0,"",INDEX('Providers'!$AI$4:$AI$503,409))</f>
        <v/>
      </c>
    </row>
    <row r="1913">
      <c r="A1913">
        <f>IF(AND(LEN('Providers'!A413)&gt;0,ISNUMBER('Providers'!M413)),1,0)</f>
        <v/>
      </c>
      <c r="B1913">
        <f>B1912+A1913</f>
        <v/>
      </c>
      <c r="C1913">
        <f>IF(1910&gt;$B$4503,"",MATCH(1910-0.5,$B$3:$B$4503,1))</f>
        <v/>
      </c>
      <c r="D1913">
        <f>"Board certification – "&amp;IF(LEN(INDEX('Providers'!$A$4:$A$503,410))=0,"",INDEX('Providers'!$A$4:$A$503,410))</f>
        <v/>
      </c>
      <c r="E1913">
        <f>IF(ISNUMBER(INDEX('Providers'!$M$4:$M$503,410)),TEXT(INDEX('Providers'!$M$4:$M$503,410),"yyyy-mm-dd"),"")</f>
        <v/>
      </c>
      <c r="F1913">
        <f>"Certification"</f>
        <v/>
      </c>
      <c r="G1913">
        <f>""</f>
        <v/>
      </c>
      <c r="H1913">
        <f>"Medium"</f>
        <v/>
      </c>
      <c r="I1913">
        <f>TRIM(IF(LEN(IF(LEN(INDEX('Providers'!$L$4:$L$503,410))=0,"",INDEX('Providers'!$L$4:$L$503,410)))=0,"","Board / specialty: "&amp;IF(LEN(INDEX('Providers'!$L$4:$L$503,410))=0,"",INDEX('Providers'!$L$4:$L$503,410))&amp;". "))</f>
        <v/>
      </c>
      <c r="J1913">
        <f>IF(LEN(INDEX('Providers'!$AJ$4:$AJ$503,410))=0,"",INDEX('Providers'!$AJ$4:$AJ$503,410))</f>
        <v/>
      </c>
      <c r="K1913">
        <f>IF(LEN(INDEX('Providers'!$AI$4:$AI$503,410))=0,"",INDEX('Providers'!$AI$4:$AI$503,410))</f>
        <v/>
      </c>
    </row>
    <row r="1914">
      <c r="A1914">
        <f>IF(AND(LEN('Providers'!A414)&gt;0,ISNUMBER('Providers'!M414)),1,0)</f>
        <v/>
      </c>
      <c r="B1914">
        <f>B1913+A1914</f>
        <v/>
      </c>
      <c r="C1914">
        <f>IF(1911&gt;$B$4503,"",MATCH(1911-0.5,$B$3:$B$4503,1))</f>
        <v/>
      </c>
      <c r="D1914">
        <f>"Board certification – "&amp;IF(LEN(INDEX('Providers'!$A$4:$A$503,411))=0,"",INDEX('Providers'!$A$4:$A$503,411))</f>
        <v/>
      </c>
      <c r="E1914">
        <f>IF(ISNUMBER(INDEX('Providers'!$M$4:$M$503,411)),TEXT(INDEX('Providers'!$M$4:$M$503,411),"yyyy-mm-dd"),"")</f>
        <v/>
      </c>
      <c r="F1914">
        <f>"Certification"</f>
        <v/>
      </c>
      <c r="G1914">
        <f>""</f>
        <v/>
      </c>
      <c r="H1914">
        <f>"Medium"</f>
        <v/>
      </c>
      <c r="I1914">
        <f>TRIM(IF(LEN(IF(LEN(INDEX('Providers'!$L$4:$L$503,411))=0,"",INDEX('Providers'!$L$4:$L$503,411)))=0,"","Board / specialty: "&amp;IF(LEN(INDEX('Providers'!$L$4:$L$503,411))=0,"",INDEX('Providers'!$L$4:$L$503,411))&amp;". "))</f>
        <v/>
      </c>
      <c r="J1914">
        <f>IF(LEN(INDEX('Providers'!$AJ$4:$AJ$503,411))=0,"",INDEX('Providers'!$AJ$4:$AJ$503,411))</f>
        <v/>
      </c>
      <c r="K1914">
        <f>IF(LEN(INDEX('Providers'!$AI$4:$AI$503,411))=0,"",INDEX('Providers'!$AI$4:$AI$503,411))</f>
        <v/>
      </c>
    </row>
    <row r="1915">
      <c r="A1915">
        <f>IF(AND(LEN('Providers'!A415)&gt;0,ISNUMBER('Providers'!M415)),1,0)</f>
        <v/>
      </c>
      <c r="B1915">
        <f>B1914+A1915</f>
        <v/>
      </c>
      <c r="C1915">
        <f>IF(1912&gt;$B$4503,"",MATCH(1912-0.5,$B$3:$B$4503,1))</f>
        <v/>
      </c>
      <c r="D1915">
        <f>"Board certification – "&amp;IF(LEN(INDEX('Providers'!$A$4:$A$503,412))=0,"",INDEX('Providers'!$A$4:$A$503,412))</f>
        <v/>
      </c>
      <c r="E1915">
        <f>IF(ISNUMBER(INDEX('Providers'!$M$4:$M$503,412)),TEXT(INDEX('Providers'!$M$4:$M$503,412),"yyyy-mm-dd"),"")</f>
        <v/>
      </c>
      <c r="F1915">
        <f>"Certification"</f>
        <v/>
      </c>
      <c r="G1915">
        <f>""</f>
        <v/>
      </c>
      <c r="H1915">
        <f>"Medium"</f>
        <v/>
      </c>
      <c r="I1915">
        <f>TRIM(IF(LEN(IF(LEN(INDEX('Providers'!$L$4:$L$503,412))=0,"",INDEX('Providers'!$L$4:$L$503,412)))=0,"","Board / specialty: "&amp;IF(LEN(INDEX('Providers'!$L$4:$L$503,412))=0,"",INDEX('Providers'!$L$4:$L$503,412))&amp;". "))</f>
        <v/>
      </c>
      <c r="J1915">
        <f>IF(LEN(INDEX('Providers'!$AJ$4:$AJ$503,412))=0,"",INDEX('Providers'!$AJ$4:$AJ$503,412))</f>
        <v/>
      </c>
      <c r="K1915">
        <f>IF(LEN(INDEX('Providers'!$AI$4:$AI$503,412))=0,"",INDEX('Providers'!$AI$4:$AI$503,412))</f>
        <v/>
      </c>
    </row>
    <row r="1916">
      <c r="A1916">
        <f>IF(AND(LEN('Providers'!A416)&gt;0,ISNUMBER('Providers'!M416)),1,0)</f>
        <v/>
      </c>
      <c r="B1916">
        <f>B1915+A1916</f>
        <v/>
      </c>
      <c r="C1916">
        <f>IF(1913&gt;$B$4503,"",MATCH(1913-0.5,$B$3:$B$4503,1))</f>
        <v/>
      </c>
      <c r="D1916">
        <f>"Board certification – "&amp;IF(LEN(INDEX('Providers'!$A$4:$A$503,413))=0,"",INDEX('Providers'!$A$4:$A$503,413))</f>
        <v/>
      </c>
      <c r="E1916">
        <f>IF(ISNUMBER(INDEX('Providers'!$M$4:$M$503,413)),TEXT(INDEX('Providers'!$M$4:$M$503,413),"yyyy-mm-dd"),"")</f>
        <v/>
      </c>
      <c r="F1916">
        <f>"Certification"</f>
        <v/>
      </c>
      <c r="G1916">
        <f>""</f>
        <v/>
      </c>
      <c r="H1916">
        <f>"Medium"</f>
        <v/>
      </c>
      <c r="I1916">
        <f>TRIM(IF(LEN(IF(LEN(INDEX('Providers'!$L$4:$L$503,413))=0,"",INDEX('Providers'!$L$4:$L$503,413)))=0,"","Board / specialty: "&amp;IF(LEN(INDEX('Providers'!$L$4:$L$503,413))=0,"",INDEX('Providers'!$L$4:$L$503,413))&amp;". "))</f>
        <v/>
      </c>
      <c r="J1916">
        <f>IF(LEN(INDEX('Providers'!$AJ$4:$AJ$503,413))=0,"",INDEX('Providers'!$AJ$4:$AJ$503,413))</f>
        <v/>
      </c>
      <c r="K1916">
        <f>IF(LEN(INDEX('Providers'!$AI$4:$AI$503,413))=0,"",INDEX('Providers'!$AI$4:$AI$503,413))</f>
        <v/>
      </c>
    </row>
    <row r="1917">
      <c r="A1917">
        <f>IF(AND(LEN('Providers'!A417)&gt;0,ISNUMBER('Providers'!M417)),1,0)</f>
        <v/>
      </c>
      <c r="B1917">
        <f>B1916+A1917</f>
        <v/>
      </c>
      <c r="C1917">
        <f>IF(1914&gt;$B$4503,"",MATCH(1914-0.5,$B$3:$B$4503,1))</f>
        <v/>
      </c>
      <c r="D1917">
        <f>"Board certification – "&amp;IF(LEN(INDEX('Providers'!$A$4:$A$503,414))=0,"",INDEX('Providers'!$A$4:$A$503,414))</f>
        <v/>
      </c>
      <c r="E1917">
        <f>IF(ISNUMBER(INDEX('Providers'!$M$4:$M$503,414)),TEXT(INDEX('Providers'!$M$4:$M$503,414),"yyyy-mm-dd"),"")</f>
        <v/>
      </c>
      <c r="F1917">
        <f>"Certification"</f>
        <v/>
      </c>
      <c r="G1917">
        <f>""</f>
        <v/>
      </c>
      <c r="H1917">
        <f>"Medium"</f>
        <v/>
      </c>
      <c r="I1917">
        <f>TRIM(IF(LEN(IF(LEN(INDEX('Providers'!$L$4:$L$503,414))=0,"",INDEX('Providers'!$L$4:$L$503,414)))=0,"","Board / specialty: "&amp;IF(LEN(INDEX('Providers'!$L$4:$L$503,414))=0,"",INDEX('Providers'!$L$4:$L$503,414))&amp;". "))</f>
        <v/>
      </c>
      <c r="J1917">
        <f>IF(LEN(INDEX('Providers'!$AJ$4:$AJ$503,414))=0,"",INDEX('Providers'!$AJ$4:$AJ$503,414))</f>
        <v/>
      </c>
      <c r="K1917">
        <f>IF(LEN(INDEX('Providers'!$AI$4:$AI$503,414))=0,"",INDEX('Providers'!$AI$4:$AI$503,414))</f>
        <v/>
      </c>
    </row>
    <row r="1918">
      <c r="A1918">
        <f>IF(AND(LEN('Providers'!A418)&gt;0,ISNUMBER('Providers'!M418)),1,0)</f>
        <v/>
      </c>
      <c r="B1918">
        <f>B1917+A1918</f>
        <v/>
      </c>
      <c r="C1918">
        <f>IF(1915&gt;$B$4503,"",MATCH(1915-0.5,$B$3:$B$4503,1))</f>
        <v/>
      </c>
      <c r="D1918">
        <f>"Board certification – "&amp;IF(LEN(INDEX('Providers'!$A$4:$A$503,415))=0,"",INDEX('Providers'!$A$4:$A$503,415))</f>
        <v/>
      </c>
      <c r="E1918">
        <f>IF(ISNUMBER(INDEX('Providers'!$M$4:$M$503,415)),TEXT(INDEX('Providers'!$M$4:$M$503,415),"yyyy-mm-dd"),"")</f>
        <v/>
      </c>
      <c r="F1918">
        <f>"Certification"</f>
        <v/>
      </c>
      <c r="G1918">
        <f>""</f>
        <v/>
      </c>
      <c r="H1918">
        <f>"Medium"</f>
        <v/>
      </c>
      <c r="I1918">
        <f>TRIM(IF(LEN(IF(LEN(INDEX('Providers'!$L$4:$L$503,415))=0,"",INDEX('Providers'!$L$4:$L$503,415)))=0,"","Board / specialty: "&amp;IF(LEN(INDEX('Providers'!$L$4:$L$503,415))=0,"",INDEX('Providers'!$L$4:$L$503,415))&amp;". "))</f>
        <v/>
      </c>
      <c r="J1918">
        <f>IF(LEN(INDEX('Providers'!$AJ$4:$AJ$503,415))=0,"",INDEX('Providers'!$AJ$4:$AJ$503,415))</f>
        <v/>
      </c>
      <c r="K1918">
        <f>IF(LEN(INDEX('Providers'!$AI$4:$AI$503,415))=0,"",INDEX('Providers'!$AI$4:$AI$503,415))</f>
        <v/>
      </c>
    </row>
    <row r="1919">
      <c r="A1919">
        <f>IF(AND(LEN('Providers'!A419)&gt;0,ISNUMBER('Providers'!M419)),1,0)</f>
        <v/>
      </c>
      <c r="B1919">
        <f>B1918+A1919</f>
        <v/>
      </c>
      <c r="C1919">
        <f>IF(1916&gt;$B$4503,"",MATCH(1916-0.5,$B$3:$B$4503,1))</f>
        <v/>
      </c>
      <c r="D1919">
        <f>"Board certification – "&amp;IF(LEN(INDEX('Providers'!$A$4:$A$503,416))=0,"",INDEX('Providers'!$A$4:$A$503,416))</f>
        <v/>
      </c>
      <c r="E1919">
        <f>IF(ISNUMBER(INDEX('Providers'!$M$4:$M$503,416)),TEXT(INDEX('Providers'!$M$4:$M$503,416),"yyyy-mm-dd"),"")</f>
        <v/>
      </c>
      <c r="F1919">
        <f>"Certification"</f>
        <v/>
      </c>
      <c r="G1919">
        <f>""</f>
        <v/>
      </c>
      <c r="H1919">
        <f>"Medium"</f>
        <v/>
      </c>
      <c r="I1919">
        <f>TRIM(IF(LEN(IF(LEN(INDEX('Providers'!$L$4:$L$503,416))=0,"",INDEX('Providers'!$L$4:$L$503,416)))=0,"","Board / specialty: "&amp;IF(LEN(INDEX('Providers'!$L$4:$L$503,416))=0,"",INDEX('Providers'!$L$4:$L$503,416))&amp;". "))</f>
        <v/>
      </c>
      <c r="J1919">
        <f>IF(LEN(INDEX('Providers'!$AJ$4:$AJ$503,416))=0,"",INDEX('Providers'!$AJ$4:$AJ$503,416))</f>
        <v/>
      </c>
      <c r="K1919">
        <f>IF(LEN(INDEX('Providers'!$AI$4:$AI$503,416))=0,"",INDEX('Providers'!$AI$4:$AI$503,416))</f>
        <v/>
      </c>
    </row>
    <row r="1920">
      <c r="A1920">
        <f>IF(AND(LEN('Providers'!A420)&gt;0,ISNUMBER('Providers'!M420)),1,0)</f>
        <v/>
      </c>
      <c r="B1920">
        <f>B1919+A1920</f>
        <v/>
      </c>
      <c r="C1920">
        <f>IF(1917&gt;$B$4503,"",MATCH(1917-0.5,$B$3:$B$4503,1))</f>
        <v/>
      </c>
      <c r="D1920">
        <f>"Board certification – "&amp;IF(LEN(INDEX('Providers'!$A$4:$A$503,417))=0,"",INDEX('Providers'!$A$4:$A$503,417))</f>
        <v/>
      </c>
      <c r="E1920">
        <f>IF(ISNUMBER(INDEX('Providers'!$M$4:$M$503,417)),TEXT(INDEX('Providers'!$M$4:$M$503,417),"yyyy-mm-dd"),"")</f>
        <v/>
      </c>
      <c r="F1920">
        <f>"Certification"</f>
        <v/>
      </c>
      <c r="G1920">
        <f>""</f>
        <v/>
      </c>
      <c r="H1920">
        <f>"Medium"</f>
        <v/>
      </c>
      <c r="I1920">
        <f>TRIM(IF(LEN(IF(LEN(INDEX('Providers'!$L$4:$L$503,417))=0,"",INDEX('Providers'!$L$4:$L$503,417)))=0,"","Board / specialty: "&amp;IF(LEN(INDEX('Providers'!$L$4:$L$503,417))=0,"",INDEX('Providers'!$L$4:$L$503,417))&amp;". "))</f>
        <v/>
      </c>
      <c r="J1920">
        <f>IF(LEN(INDEX('Providers'!$AJ$4:$AJ$503,417))=0,"",INDEX('Providers'!$AJ$4:$AJ$503,417))</f>
        <v/>
      </c>
      <c r="K1920">
        <f>IF(LEN(INDEX('Providers'!$AI$4:$AI$503,417))=0,"",INDEX('Providers'!$AI$4:$AI$503,417))</f>
        <v/>
      </c>
    </row>
    <row r="1921">
      <c r="A1921">
        <f>IF(AND(LEN('Providers'!A421)&gt;0,ISNUMBER('Providers'!M421)),1,0)</f>
        <v/>
      </c>
      <c r="B1921">
        <f>B1920+A1921</f>
        <v/>
      </c>
      <c r="C1921">
        <f>IF(1918&gt;$B$4503,"",MATCH(1918-0.5,$B$3:$B$4503,1))</f>
        <v/>
      </c>
      <c r="D1921">
        <f>"Board certification – "&amp;IF(LEN(INDEX('Providers'!$A$4:$A$503,418))=0,"",INDEX('Providers'!$A$4:$A$503,418))</f>
        <v/>
      </c>
      <c r="E1921">
        <f>IF(ISNUMBER(INDEX('Providers'!$M$4:$M$503,418)),TEXT(INDEX('Providers'!$M$4:$M$503,418),"yyyy-mm-dd"),"")</f>
        <v/>
      </c>
      <c r="F1921">
        <f>"Certification"</f>
        <v/>
      </c>
      <c r="G1921">
        <f>""</f>
        <v/>
      </c>
      <c r="H1921">
        <f>"Medium"</f>
        <v/>
      </c>
      <c r="I1921">
        <f>TRIM(IF(LEN(IF(LEN(INDEX('Providers'!$L$4:$L$503,418))=0,"",INDEX('Providers'!$L$4:$L$503,418)))=0,"","Board / specialty: "&amp;IF(LEN(INDEX('Providers'!$L$4:$L$503,418))=0,"",INDEX('Providers'!$L$4:$L$503,418))&amp;". "))</f>
        <v/>
      </c>
      <c r="J1921">
        <f>IF(LEN(INDEX('Providers'!$AJ$4:$AJ$503,418))=0,"",INDEX('Providers'!$AJ$4:$AJ$503,418))</f>
        <v/>
      </c>
      <c r="K1921">
        <f>IF(LEN(INDEX('Providers'!$AI$4:$AI$503,418))=0,"",INDEX('Providers'!$AI$4:$AI$503,418))</f>
        <v/>
      </c>
    </row>
    <row r="1922">
      <c r="A1922">
        <f>IF(AND(LEN('Providers'!A422)&gt;0,ISNUMBER('Providers'!M422)),1,0)</f>
        <v/>
      </c>
      <c r="B1922">
        <f>B1921+A1922</f>
        <v/>
      </c>
      <c r="C1922">
        <f>IF(1919&gt;$B$4503,"",MATCH(1919-0.5,$B$3:$B$4503,1))</f>
        <v/>
      </c>
      <c r="D1922">
        <f>"Board certification – "&amp;IF(LEN(INDEX('Providers'!$A$4:$A$503,419))=0,"",INDEX('Providers'!$A$4:$A$503,419))</f>
        <v/>
      </c>
      <c r="E1922">
        <f>IF(ISNUMBER(INDEX('Providers'!$M$4:$M$503,419)),TEXT(INDEX('Providers'!$M$4:$M$503,419),"yyyy-mm-dd"),"")</f>
        <v/>
      </c>
      <c r="F1922">
        <f>"Certification"</f>
        <v/>
      </c>
      <c r="G1922">
        <f>""</f>
        <v/>
      </c>
      <c r="H1922">
        <f>"Medium"</f>
        <v/>
      </c>
      <c r="I1922">
        <f>TRIM(IF(LEN(IF(LEN(INDEX('Providers'!$L$4:$L$503,419))=0,"",INDEX('Providers'!$L$4:$L$503,419)))=0,"","Board / specialty: "&amp;IF(LEN(INDEX('Providers'!$L$4:$L$503,419))=0,"",INDEX('Providers'!$L$4:$L$503,419))&amp;". "))</f>
        <v/>
      </c>
      <c r="J1922">
        <f>IF(LEN(INDEX('Providers'!$AJ$4:$AJ$503,419))=0,"",INDEX('Providers'!$AJ$4:$AJ$503,419))</f>
        <v/>
      </c>
      <c r="K1922">
        <f>IF(LEN(INDEX('Providers'!$AI$4:$AI$503,419))=0,"",INDEX('Providers'!$AI$4:$AI$503,419))</f>
        <v/>
      </c>
    </row>
    <row r="1923">
      <c r="A1923">
        <f>IF(AND(LEN('Providers'!A423)&gt;0,ISNUMBER('Providers'!M423)),1,0)</f>
        <v/>
      </c>
      <c r="B1923">
        <f>B1922+A1923</f>
        <v/>
      </c>
      <c r="C1923">
        <f>IF(1920&gt;$B$4503,"",MATCH(1920-0.5,$B$3:$B$4503,1))</f>
        <v/>
      </c>
      <c r="D1923">
        <f>"Board certification – "&amp;IF(LEN(INDEX('Providers'!$A$4:$A$503,420))=0,"",INDEX('Providers'!$A$4:$A$503,420))</f>
        <v/>
      </c>
      <c r="E1923">
        <f>IF(ISNUMBER(INDEX('Providers'!$M$4:$M$503,420)),TEXT(INDEX('Providers'!$M$4:$M$503,420),"yyyy-mm-dd"),"")</f>
        <v/>
      </c>
      <c r="F1923">
        <f>"Certification"</f>
        <v/>
      </c>
      <c r="G1923">
        <f>""</f>
        <v/>
      </c>
      <c r="H1923">
        <f>"Medium"</f>
        <v/>
      </c>
      <c r="I1923">
        <f>TRIM(IF(LEN(IF(LEN(INDEX('Providers'!$L$4:$L$503,420))=0,"",INDEX('Providers'!$L$4:$L$503,420)))=0,"","Board / specialty: "&amp;IF(LEN(INDEX('Providers'!$L$4:$L$503,420))=0,"",INDEX('Providers'!$L$4:$L$503,420))&amp;". "))</f>
        <v/>
      </c>
      <c r="J1923">
        <f>IF(LEN(INDEX('Providers'!$AJ$4:$AJ$503,420))=0,"",INDEX('Providers'!$AJ$4:$AJ$503,420))</f>
        <v/>
      </c>
      <c r="K1923">
        <f>IF(LEN(INDEX('Providers'!$AI$4:$AI$503,420))=0,"",INDEX('Providers'!$AI$4:$AI$503,420))</f>
        <v/>
      </c>
    </row>
    <row r="1924">
      <c r="A1924">
        <f>IF(AND(LEN('Providers'!A424)&gt;0,ISNUMBER('Providers'!M424)),1,0)</f>
        <v/>
      </c>
      <c r="B1924">
        <f>B1923+A1924</f>
        <v/>
      </c>
      <c r="C1924">
        <f>IF(1921&gt;$B$4503,"",MATCH(1921-0.5,$B$3:$B$4503,1))</f>
        <v/>
      </c>
      <c r="D1924">
        <f>"Board certification – "&amp;IF(LEN(INDEX('Providers'!$A$4:$A$503,421))=0,"",INDEX('Providers'!$A$4:$A$503,421))</f>
        <v/>
      </c>
      <c r="E1924">
        <f>IF(ISNUMBER(INDEX('Providers'!$M$4:$M$503,421)),TEXT(INDEX('Providers'!$M$4:$M$503,421),"yyyy-mm-dd"),"")</f>
        <v/>
      </c>
      <c r="F1924">
        <f>"Certification"</f>
        <v/>
      </c>
      <c r="G1924">
        <f>""</f>
        <v/>
      </c>
      <c r="H1924">
        <f>"Medium"</f>
        <v/>
      </c>
      <c r="I1924">
        <f>TRIM(IF(LEN(IF(LEN(INDEX('Providers'!$L$4:$L$503,421))=0,"",INDEX('Providers'!$L$4:$L$503,421)))=0,"","Board / specialty: "&amp;IF(LEN(INDEX('Providers'!$L$4:$L$503,421))=0,"",INDEX('Providers'!$L$4:$L$503,421))&amp;". "))</f>
        <v/>
      </c>
      <c r="J1924">
        <f>IF(LEN(INDEX('Providers'!$AJ$4:$AJ$503,421))=0,"",INDEX('Providers'!$AJ$4:$AJ$503,421))</f>
        <v/>
      </c>
      <c r="K1924">
        <f>IF(LEN(INDEX('Providers'!$AI$4:$AI$503,421))=0,"",INDEX('Providers'!$AI$4:$AI$503,421))</f>
        <v/>
      </c>
    </row>
    <row r="1925">
      <c r="A1925">
        <f>IF(AND(LEN('Providers'!A425)&gt;0,ISNUMBER('Providers'!M425)),1,0)</f>
        <v/>
      </c>
      <c r="B1925">
        <f>B1924+A1925</f>
        <v/>
      </c>
      <c r="C1925">
        <f>IF(1922&gt;$B$4503,"",MATCH(1922-0.5,$B$3:$B$4503,1))</f>
        <v/>
      </c>
      <c r="D1925">
        <f>"Board certification – "&amp;IF(LEN(INDEX('Providers'!$A$4:$A$503,422))=0,"",INDEX('Providers'!$A$4:$A$503,422))</f>
        <v/>
      </c>
      <c r="E1925">
        <f>IF(ISNUMBER(INDEX('Providers'!$M$4:$M$503,422)),TEXT(INDEX('Providers'!$M$4:$M$503,422),"yyyy-mm-dd"),"")</f>
        <v/>
      </c>
      <c r="F1925">
        <f>"Certification"</f>
        <v/>
      </c>
      <c r="G1925">
        <f>""</f>
        <v/>
      </c>
      <c r="H1925">
        <f>"Medium"</f>
        <v/>
      </c>
      <c r="I1925">
        <f>TRIM(IF(LEN(IF(LEN(INDEX('Providers'!$L$4:$L$503,422))=0,"",INDEX('Providers'!$L$4:$L$503,422)))=0,"","Board / specialty: "&amp;IF(LEN(INDEX('Providers'!$L$4:$L$503,422))=0,"",INDEX('Providers'!$L$4:$L$503,422))&amp;". "))</f>
        <v/>
      </c>
      <c r="J1925">
        <f>IF(LEN(INDEX('Providers'!$AJ$4:$AJ$503,422))=0,"",INDEX('Providers'!$AJ$4:$AJ$503,422))</f>
        <v/>
      </c>
      <c r="K1925">
        <f>IF(LEN(INDEX('Providers'!$AI$4:$AI$503,422))=0,"",INDEX('Providers'!$AI$4:$AI$503,422))</f>
        <v/>
      </c>
    </row>
    <row r="1926">
      <c r="A1926">
        <f>IF(AND(LEN('Providers'!A426)&gt;0,ISNUMBER('Providers'!M426)),1,0)</f>
        <v/>
      </c>
      <c r="B1926">
        <f>B1925+A1926</f>
        <v/>
      </c>
      <c r="C1926">
        <f>IF(1923&gt;$B$4503,"",MATCH(1923-0.5,$B$3:$B$4503,1))</f>
        <v/>
      </c>
      <c r="D1926">
        <f>"Board certification – "&amp;IF(LEN(INDEX('Providers'!$A$4:$A$503,423))=0,"",INDEX('Providers'!$A$4:$A$503,423))</f>
        <v/>
      </c>
      <c r="E1926">
        <f>IF(ISNUMBER(INDEX('Providers'!$M$4:$M$503,423)),TEXT(INDEX('Providers'!$M$4:$M$503,423),"yyyy-mm-dd"),"")</f>
        <v/>
      </c>
      <c r="F1926">
        <f>"Certification"</f>
        <v/>
      </c>
      <c r="G1926">
        <f>""</f>
        <v/>
      </c>
      <c r="H1926">
        <f>"Medium"</f>
        <v/>
      </c>
      <c r="I1926">
        <f>TRIM(IF(LEN(IF(LEN(INDEX('Providers'!$L$4:$L$503,423))=0,"",INDEX('Providers'!$L$4:$L$503,423)))=0,"","Board / specialty: "&amp;IF(LEN(INDEX('Providers'!$L$4:$L$503,423))=0,"",INDEX('Providers'!$L$4:$L$503,423))&amp;". "))</f>
        <v/>
      </c>
      <c r="J1926">
        <f>IF(LEN(INDEX('Providers'!$AJ$4:$AJ$503,423))=0,"",INDEX('Providers'!$AJ$4:$AJ$503,423))</f>
        <v/>
      </c>
      <c r="K1926">
        <f>IF(LEN(INDEX('Providers'!$AI$4:$AI$503,423))=0,"",INDEX('Providers'!$AI$4:$AI$503,423))</f>
        <v/>
      </c>
    </row>
    <row r="1927">
      <c r="A1927">
        <f>IF(AND(LEN('Providers'!A427)&gt;0,ISNUMBER('Providers'!M427)),1,0)</f>
        <v/>
      </c>
      <c r="B1927">
        <f>B1926+A1927</f>
        <v/>
      </c>
      <c r="C1927">
        <f>IF(1924&gt;$B$4503,"",MATCH(1924-0.5,$B$3:$B$4503,1))</f>
        <v/>
      </c>
      <c r="D1927">
        <f>"Board certification – "&amp;IF(LEN(INDEX('Providers'!$A$4:$A$503,424))=0,"",INDEX('Providers'!$A$4:$A$503,424))</f>
        <v/>
      </c>
      <c r="E1927">
        <f>IF(ISNUMBER(INDEX('Providers'!$M$4:$M$503,424)),TEXT(INDEX('Providers'!$M$4:$M$503,424),"yyyy-mm-dd"),"")</f>
        <v/>
      </c>
      <c r="F1927">
        <f>"Certification"</f>
        <v/>
      </c>
      <c r="G1927">
        <f>""</f>
        <v/>
      </c>
      <c r="H1927">
        <f>"Medium"</f>
        <v/>
      </c>
      <c r="I1927">
        <f>TRIM(IF(LEN(IF(LEN(INDEX('Providers'!$L$4:$L$503,424))=0,"",INDEX('Providers'!$L$4:$L$503,424)))=0,"","Board / specialty: "&amp;IF(LEN(INDEX('Providers'!$L$4:$L$503,424))=0,"",INDEX('Providers'!$L$4:$L$503,424))&amp;". "))</f>
        <v/>
      </c>
      <c r="J1927">
        <f>IF(LEN(INDEX('Providers'!$AJ$4:$AJ$503,424))=0,"",INDEX('Providers'!$AJ$4:$AJ$503,424))</f>
        <v/>
      </c>
      <c r="K1927">
        <f>IF(LEN(INDEX('Providers'!$AI$4:$AI$503,424))=0,"",INDEX('Providers'!$AI$4:$AI$503,424))</f>
        <v/>
      </c>
    </row>
    <row r="1928">
      <c r="A1928">
        <f>IF(AND(LEN('Providers'!A428)&gt;0,ISNUMBER('Providers'!M428)),1,0)</f>
        <v/>
      </c>
      <c r="B1928">
        <f>B1927+A1928</f>
        <v/>
      </c>
      <c r="C1928">
        <f>IF(1925&gt;$B$4503,"",MATCH(1925-0.5,$B$3:$B$4503,1))</f>
        <v/>
      </c>
      <c r="D1928">
        <f>"Board certification – "&amp;IF(LEN(INDEX('Providers'!$A$4:$A$503,425))=0,"",INDEX('Providers'!$A$4:$A$503,425))</f>
        <v/>
      </c>
      <c r="E1928">
        <f>IF(ISNUMBER(INDEX('Providers'!$M$4:$M$503,425)),TEXT(INDEX('Providers'!$M$4:$M$503,425),"yyyy-mm-dd"),"")</f>
        <v/>
      </c>
      <c r="F1928">
        <f>"Certification"</f>
        <v/>
      </c>
      <c r="G1928">
        <f>""</f>
        <v/>
      </c>
      <c r="H1928">
        <f>"Medium"</f>
        <v/>
      </c>
      <c r="I1928">
        <f>TRIM(IF(LEN(IF(LEN(INDEX('Providers'!$L$4:$L$503,425))=0,"",INDEX('Providers'!$L$4:$L$503,425)))=0,"","Board / specialty: "&amp;IF(LEN(INDEX('Providers'!$L$4:$L$503,425))=0,"",INDEX('Providers'!$L$4:$L$503,425))&amp;". "))</f>
        <v/>
      </c>
      <c r="J1928">
        <f>IF(LEN(INDEX('Providers'!$AJ$4:$AJ$503,425))=0,"",INDEX('Providers'!$AJ$4:$AJ$503,425))</f>
        <v/>
      </c>
      <c r="K1928">
        <f>IF(LEN(INDEX('Providers'!$AI$4:$AI$503,425))=0,"",INDEX('Providers'!$AI$4:$AI$503,425))</f>
        <v/>
      </c>
    </row>
    <row r="1929">
      <c r="A1929">
        <f>IF(AND(LEN('Providers'!A429)&gt;0,ISNUMBER('Providers'!M429)),1,0)</f>
        <v/>
      </c>
      <c r="B1929">
        <f>B1928+A1929</f>
        <v/>
      </c>
      <c r="C1929">
        <f>IF(1926&gt;$B$4503,"",MATCH(1926-0.5,$B$3:$B$4503,1))</f>
        <v/>
      </c>
      <c r="D1929">
        <f>"Board certification – "&amp;IF(LEN(INDEX('Providers'!$A$4:$A$503,426))=0,"",INDEX('Providers'!$A$4:$A$503,426))</f>
        <v/>
      </c>
      <c r="E1929">
        <f>IF(ISNUMBER(INDEX('Providers'!$M$4:$M$503,426)),TEXT(INDEX('Providers'!$M$4:$M$503,426),"yyyy-mm-dd"),"")</f>
        <v/>
      </c>
      <c r="F1929">
        <f>"Certification"</f>
        <v/>
      </c>
      <c r="G1929">
        <f>""</f>
        <v/>
      </c>
      <c r="H1929">
        <f>"Medium"</f>
        <v/>
      </c>
      <c r="I1929">
        <f>TRIM(IF(LEN(IF(LEN(INDEX('Providers'!$L$4:$L$503,426))=0,"",INDEX('Providers'!$L$4:$L$503,426)))=0,"","Board / specialty: "&amp;IF(LEN(INDEX('Providers'!$L$4:$L$503,426))=0,"",INDEX('Providers'!$L$4:$L$503,426))&amp;". "))</f>
        <v/>
      </c>
      <c r="J1929">
        <f>IF(LEN(INDEX('Providers'!$AJ$4:$AJ$503,426))=0,"",INDEX('Providers'!$AJ$4:$AJ$503,426))</f>
        <v/>
      </c>
      <c r="K1929">
        <f>IF(LEN(INDEX('Providers'!$AI$4:$AI$503,426))=0,"",INDEX('Providers'!$AI$4:$AI$503,426))</f>
        <v/>
      </c>
    </row>
    <row r="1930">
      <c r="A1930">
        <f>IF(AND(LEN('Providers'!A430)&gt;0,ISNUMBER('Providers'!M430)),1,0)</f>
        <v/>
      </c>
      <c r="B1930">
        <f>B1929+A1930</f>
        <v/>
      </c>
      <c r="C1930">
        <f>IF(1927&gt;$B$4503,"",MATCH(1927-0.5,$B$3:$B$4503,1))</f>
        <v/>
      </c>
      <c r="D1930">
        <f>"Board certification – "&amp;IF(LEN(INDEX('Providers'!$A$4:$A$503,427))=0,"",INDEX('Providers'!$A$4:$A$503,427))</f>
        <v/>
      </c>
      <c r="E1930">
        <f>IF(ISNUMBER(INDEX('Providers'!$M$4:$M$503,427)),TEXT(INDEX('Providers'!$M$4:$M$503,427),"yyyy-mm-dd"),"")</f>
        <v/>
      </c>
      <c r="F1930">
        <f>"Certification"</f>
        <v/>
      </c>
      <c r="G1930">
        <f>""</f>
        <v/>
      </c>
      <c r="H1930">
        <f>"Medium"</f>
        <v/>
      </c>
      <c r="I1930">
        <f>TRIM(IF(LEN(IF(LEN(INDEX('Providers'!$L$4:$L$503,427))=0,"",INDEX('Providers'!$L$4:$L$503,427)))=0,"","Board / specialty: "&amp;IF(LEN(INDEX('Providers'!$L$4:$L$503,427))=0,"",INDEX('Providers'!$L$4:$L$503,427))&amp;". "))</f>
        <v/>
      </c>
      <c r="J1930">
        <f>IF(LEN(INDEX('Providers'!$AJ$4:$AJ$503,427))=0,"",INDEX('Providers'!$AJ$4:$AJ$503,427))</f>
        <v/>
      </c>
      <c r="K1930">
        <f>IF(LEN(INDEX('Providers'!$AI$4:$AI$503,427))=0,"",INDEX('Providers'!$AI$4:$AI$503,427))</f>
        <v/>
      </c>
    </row>
    <row r="1931">
      <c r="A1931">
        <f>IF(AND(LEN('Providers'!A431)&gt;0,ISNUMBER('Providers'!M431)),1,0)</f>
        <v/>
      </c>
      <c r="B1931">
        <f>B1930+A1931</f>
        <v/>
      </c>
      <c r="C1931">
        <f>IF(1928&gt;$B$4503,"",MATCH(1928-0.5,$B$3:$B$4503,1))</f>
        <v/>
      </c>
      <c r="D1931">
        <f>"Board certification – "&amp;IF(LEN(INDEX('Providers'!$A$4:$A$503,428))=0,"",INDEX('Providers'!$A$4:$A$503,428))</f>
        <v/>
      </c>
      <c r="E1931">
        <f>IF(ISNUMBER(INDEX('Providers'!$M$4:$M$503,428)),TEXT(INDEX('Providers'!$M$4:$M$503,428),"yyyy-mm-dd"),"")</f>
        <v/>
      </c>
      <c r="F1931">
        <f>"Certification"</f>
        <v/>
      </c>
      <c r="G1931">
        <f>""</f>
        <v/>
      </c>
      <c r="H1931">
        <f>"Medium"</f>
        <v/>
      </c>
      <c r="I1931">
        <f>TRIM(IF(LEN(IF(LEN(INDEX('Providers'!$L$4:$L$503,428))=0,"",INDEX('Providers'!$L$4:$L$503,428)))=0,"","Board / specialty: "&amp;IF(LEN(INDEX('Providers'!$L$4:$L$503,428))=0,"",INDEX('Providers'!$L$4:$L$503,428))&amp;". "))</f>
        <v/>
      </c>
      <c r="J1931">
        <f>IF(LEN(INDEX('Providers'!$AJ$4:$AJ$503,428))=0,"",INDEX('Providers'!$AJ$4:$AJ$503,428))</f>
        <v/>
      </c>
      <c r="K1931">
        <f>IF(LEN(INDEX('Providers'!$AI$4:$AI$503,428))=0,"",INDEX('Providers'!$AI$4:$AI$503,428))</f>
        <v/>
      </c>
    </row>
    <row r="1932">
      <c r="A1932">
        <f>IF(AND(LEN('Providers'!A432)&gt;0,ISNUMBER('Providers'!M432)),1,0)</f>
        <v/>
      </c>
      <c r="B1932">
        <f>B1931+A1932</f>
        <v/>
      </c>
      <c r="C1932">
        <f>IF(1929&gt;$B$4503,"",MATCH(1929-0.5,$B$3:$B$4503,1))</f>
        <v/>
      </c>
      <c r="D1932">
        <f>"Board certification – "&amp;IF(LEN(INDEX('Providers'!$A$4:$A$503,429))=0,"",INDEX('Providers'!$A$4:$A$503,429))</f>
        <v/>
      </c>
      <c r="E1932">
        <f>IF(ISNUMBER(INDEX('Providers'!$M$4:$M$503,429)),TEXT(INDEX('Providers'!$M$4:$M$503,429),"yyyy-mm-dd"),"")</f>
        <v/>
      </c>
      <c r="F1932">
        <f>"Certification"</f>
        <v/>
      </c>
      <c r="G1932">
        <f>""</f>
        <v/>
      </c>
      <c r="H1932">
        <f>"Medium"</f>
        <v/>
      </c>
      <c r="I1932">
        <f>TRIM(IF(LEN(IF(LEN(INDEX('Providers'!$L$4:$L$503,429))=0,"",INDEX('Providers'!$L$4:$L$503,429)))=0,"","Board / specialty: "&amp;IF(LEN(INDEX('Providers'!$L$4:$L$503,429))=0,"",INDEX('Providers'!$L$4:$L$503,429))&amp;". "))</f>
        <v/>
      </c>
      <c r="J1932">
        <f>IF(LEN(INDEX('Providers'!$AJ$4:$AJ$503,429))=0,"",INDEX('Providers'!$AJ$4:$AJ$503,429))</f>
        <v/>
      </c>
      <c r="K1932">
        <f>IF(LEN(INDEX('Providers'!$AI$4:$AI$503,429))=0,"",INDEX('Providers'!$AI$4:$AI$503,429))</f>
        <v/>
      </c>
    </row>
    <row r="1933">
      <c r="A1933">
        <f>IF(AND(LEN('Providers'!A433)&gt;0,ISNUMBER('Providers'!M433)),1,0)</f>
        <v/>
      </c>
      <c r="B1933">
        <f>B1932+A1933</f>
        <v/>
      </c>
      <c r="C1933">
        <f>IF(1930&gt;$B$4503,"",MATCH(1930-0.5,$B$3:$B$4503,1))</f>
        <v/>
      </c>
      <c r="D1933">
        <f>"Board certification – "&amp;IF(LEN(INDEX('Providers'!$A$4:$A$503,430))=0,"",INDEX('Providers'!$A$4:$A$503,430))</f>
        <v/>
      </c>
      <c r="E1933">
        <f>IF(ISNUMBER(INDEX('Providers'!$M$4:$M$503,430)),TEXT(INDEX('Providers'!$M$4:$M$503,430),"yyyy-mm-dd"),"")</f>
        <v/>
      </c>
      <c r="F1933">
        <f>"Certification"</f>
        <v/>
      </c>
      <c r="G1933">
        <f>""</f>
        <v/>
      </c>
      <c r="H1933">
        <f>"Medium"</f>
        <v/>
      </c>
      <c r="I1933">
        <f>TRIM(IF(LEN(IF(LEN(INDEX('Providers'!$L$4:$L$503,430))=0,"",INDEX('Providers'!$L$4:$L$503,430)))=0,"","Board / specialty: "&amp;IF(LEN(INDEX('Providers'!$L$4:$L$503,430))=0,"",INDEX('Providers'!$L$4:$L$503,430))&amp;". "))</f>
        <v/>
      </c>
      <c r="J1933">
        <f>IF(LEN(INDEX('Providers'!$AJ$4:$AJ$503,430))=0,"",INDEX('Providers'!$AJ$4:$AJ$503,430))</f>
        <v/>
      </c>
      <c r="K1933">
        <f>IF(LEN(INDEX('Providers'!$AI$4:$AI$503,430))=0,"",INDEX('Providers'!$AI$4:$AI$503,430))</f>
        <v/>
      </c>
    </row>
    <row r="1934">
      <c r="A1934">
        <f>IF(AND(LEN('Providers'!A434)&gt;0,ISNUMBER('Providers'!M434)),1,0)</f>
        <v/>
      </c>
      <c r="B1934">
        <f>B1933+A1934</f>
        <v/>
      </c>
      <c r="C1934">
        <f>IF(1931&gt;$B$4503,"",MATCH(1931-0.5,$B$3:$B$4503,1))</f>
        <v/>
      </c>
      <c r="D1934">
        <f>"Board certification – "&amp;IF(LEN(INDEX('Providers'!$A$4:$A$503,431))=0,"",INDEX('Providers'!$A$4:$A$503,431))</f>
        <v/>
      </c>
      <c r="E1934">
        <f>IF(ISNUMBER(INDEX('Providers'!$M$4:$M$503,431)),TEXT(INDEX('Providers'!$M$4:$M$503,431),"yyyy-mm-dd"),"")</f>
        <v/>
      </c>
      <c r="F1934">
        <f>"Certification"</f>
        <v/>
      </c>
      <c r="G1934">
        <f>""</f>
        <v/>
      </c>
      <c r="H1934">
        <f>"Medium"</f>
        <v/>
      </c>
      <c r="I1934">
        <f>TRIM(IF(LEN(IF(LEN(INDEX('Providers'!$L$4:$L$503,431))=0,"",INDEX('Providers'!$L$4:$L$503,431)))=0,"","Board / specialty: "&amp;IF(LEN(INDEX('Providers'!$L$4:$L$503,431))=0,"",INDEX('Providers'!$L$4:$L$503,431))&amp;". "))</f>
        <v/>
      </c>
      <c r="J1934">
        <f>IF(LEN(INDEX('Providers'!$AJ$4:$AJ$503,431))=0,"",INDEX('Providers'!$AJ$4:$AJ$503,431))</f>
        <v/>
      </c>
      <c r="K1934">
        <f>IF(LEN(INDEX('Providers'!$AI$4:$AI$503,431))=0,"",INDEX('Providers'!$AI$4:$AI$503,431))</f>
        <v/>
      </c>
    </row>
    <row r="1935">
      <c r="A1935">
        <f>IF(AND(LEN('Providers'!A435)&gt;0,ISNUMBER('Providers'!M435)),1,0)</f>
        <v/>
      </c>
      <c r="B1935">
        <f>B1934+A1935</f>
        <v/>
      </c>
      <c r="C1935">
        <f>IF(1932&gt;$B$4503,"",MATCH(1932-0.5,$B$3:$B$4503,1))</f>
        <v/>
      </c>
      <c r="D1935">
        <f>"Board certification – "&amp;IF(LEN(INDEX('Providers'!$A$4:$A$503,432))=0,"",INDEX('Providers'!$A$4:$A$503,432))</f>
        <v/>
      </c>
      <c r="E1935">
        <f>IF(ISNUMBER(INDEX('Providers'!$M$4:$M$503,432)),TEXT(INDEX('Providers'!$M$4:$M$503,432),"yyyy-mm-dd"),"")</f>
        <v/>
      </c>
      <c r="F1935">
        <f>"Certification"</f>
        <v/>
      </c>
      <c r="G1935">
        <f>""</f>
        <v/>
      </c>
      <c r="H1935">
        <f>"Medium"</f>
        <v/>
      </c>
      <c r="I1935">
        <f>TRIM(IF(LEN(IF(LEN(INDEX('Providers'!$L$4:$L$503,432))=0,"",INDEX('Providers'!$L$4:$L$503,432)))=0,"","Board / specialty: "&amp;IF(LEN(INDEX('Providers'!$L$4:$L$503,432))=0,"",INDEX('Providers'!$L$4:$L$503,432))&amp;". "))</f>
        <v/>
      </c>
      <c r="J1935">
        <f>IF(LEN(INDEX('Providers'!$AJ$4:$AJ$503,432))=0,"",INDEX('Providers'!$AJ$4:$AJ$503,432))</f>
        <v/>
      </c>
      <c r="K1935">
        <f>IF(LEN(INDEX('Providers'!$AI$4:$AI$503,432))=0,"",INDEX('Providers'!$AI$4:$AI$503,432))</f>
        <v/>
      </c>
    </row>
    <row r="1936">
      <c r="A1936">
        <f>IF(AND(LEN('Providers'!A436)&gt;0,ISNUMBER('Providers'!M436)),1,0)</f>
        <v/>
      </c>
      <c r="B1936">
        <f>B1935+A1936</f>
        <v/>
      </c>
      <c r="C1936">
        <f>IF(1933&gt;$B$4503,"",MATCH(1933-0.5,$B$3:$B$4503,1))</f>
        <v/>
      </c>
      <c r="D1936">
        <f>"Board certification – "&amp;IF(LEN(INDEX('Providers'!$A$4:$A$503,433))=0,"",INDEX('Providers'!$A$4:$A$503,433))</f>
        <v/>
      </c>
      <c r="E1936">
        <f>IF(ISNUMBER(INDEX('Providers'!$M$4:$M$503,433)),TEXT(INDEX('Providers'!$M$4:$M$503,433),"yyyy-mm-dd"),"")</f>
        <v/>
      </c>
      <c r="F1936">
        <f>"Certification"</f>
        <v/>
      </c>
      <c r="G1936">
        <f>""</f>
        <v/>
      </c>
      <c r="H1936">
        <f>"Medium"</f>
        <v/>
      </c>
      <c r="I1936">
        <f>TRIM(IF(LEN(IF(LEN(INDEX('Providers'!$L$4:$L$503,433))=0,"",INDEX('Providers'!$L$4:$L$503,433)))=0,"","Board / specialty: "&amp;IF(LEN(INDEX('Providers'!$L$4:$L$503,433))=0,"",INDEX('Providers'!$L$4:$L$503,433))&amp;". "))</f>
        <v/>
      </c>
      <c r="J1936">
        <f>IF(LEN(INDEX('Providers'!$AJ$4:$AJ$503,433))=0,"",INDEX('Providers'!$AJ$4:$AJ$503,433))</f>
        <v/>
      </c>
      <c r="K1936">
        <f>IF(LEN(INDEX('Providers'!$AI$4:$AI$503,433))=0,"",INDEX('Providers'!$AI$4:$AI$503,433))</f>
        <v/>
      </c>
    </row>
    <row r="1937">
      <c r="A1937">
        <f>IF(AND(LEN('Providers'!A437)&gt;0,ISNUMBER('Providers'!M437)),1,0)</f>
        <v/>
      </c>
      <c r="B1937">
        <f>B1936+A1937</f>
        <v/>
      </c>
      <c r="C1937">
        <f>IF(1934&gt;$B$4503,"",MATCH(1934-0.5,$B$3:$B$4503,1))</f>
        <v/>
      </c>
      <c r="D1937">
        <f>"Board certification – "&amp;IF(LEN(INDEX('Providers'!$A$4:$A$503,434))=0,"",INDEX('Providers'!$A$4:$A$503,434))</f>
        <v/>
      </c>
      <c r="E1937">
        <f>IF(ISNUMBER(INDEX('Providers'!$M$4:$M$503,434)),TEXT(INDEX('Providers'!$M$4:$M$503,434),"yyyy-mm-dd"),"")</f>
        <v/>
      </c>
      <c r="F1937">
        <f>"Certification"</f>
        <v/>
      </c>
      <c r="G1937">
        <f>""</f>
        <v/>
      </c>
      <c r="H1937">
        <f>"Medium"</f>
        <v/>
      </c>
      <c r="I1937">
        <f>TRIM(IF(LEN(IF(LEN(INDEX('Providers'!$L$4:$L$503,434))=0,"",INDEX('Providers'!$L$4:$L$503,434)))=0,"","Board / specialty: "&amp;IF(LEN(INDEX('Providers'!$L$4:$L$503,434))=0,"",INDEX('Providers'!$L$4:$L$503,434))&amp;". "))</f>
        <v/>
      </c>
      <c r="J1937">
        <f>IF(LEN(INDEX('Providers'!$AJ$4:$AJ$503,434))=0,"",INDEX('Providers'!$AJ$4:$AJ$503,434))</f>
        <v/>
      </c>
      <c r="K1937">
        <f>IF(LEN(INDEX('Providers'!$AI$4:$AI$503,434))=0,"",INDEX('Providers'!$AI$4:$AI$503,434))</f>
        <v/>
      </c>
    </row>
    <row r="1938">
      <c r="A1938">
        <f>IF(AND(LEN('Providers'!A438)&gt;0,ISNUMBER('Providers'!M438)),1,0)</f>
        <v/>
      </c>
      <c r="B1938">
        <f>B1937+A1938</f>
        <v/>
      </c>
      <c r="C1938">
        <f>IF(1935&gt;$B$4503,"",MATCH(1935-0.5,$B$3:$B$4503,1))</f>
        <v/>
      </c>
      <c r="D1938">
        <f>"Board certification – "&amp;IF(LEN(INDEX('Providers'!$A$4:$A$503,435))=0,"",INDEX('Providers'!$A$4:$A$503,435))</f>
        <v/>
      </c>
      <c r="E1938">
        <f>IF(ISNUMBER(INDEX('Providers'!$M$4:$M$503,435)),TEXT(INDEX('Providers'!$M$4:$M$503,435),"yyyy-mm-dd"),"")</f>
        <v/>
      </c>
      <c r="F1938">
        <f>"Certification"</f>
        <v/>
      </c>
      <c r="G1938">
        <f>""</f>
        <v/>
      </c>
      <c r="H1938">
        <f>"Medium"</f>
        <v/>
      </c>
      <c r="I1938">
        <f>TRIM(IF(LEN(IF(LEN(INDEX('Providers'!$L$4:$L$503,435))=0,"",INDEX('Providers'!$L$4:$L$503,435)))=0,"","Board / specialty: "&amp;IF(LEN(INDEX('Providers'!$L$4:$L$503,435))=0,"",INDEX('Providers'!$L$4:$L$503,435))&amp;". "))</f>
        <v/>
      </c>
      <c r="J1938">
        <f>IF(LEN(INDEX('Providers'!$AJ$4:$AJ$503,435))=0,"",INDEX('Providers'!$AJ$4:$AJ$503,435))</f>
        <v/>
      </c>
      <c r="K1938">
        <f>IF(LEN(INDEX('Providers'!$AI$4:$AI$503,435))=0,"",INDEX('Providers'!$AI$4:$AI$503,435))</f>
        <v/>
      </c>
    </row>
    <row r="1939">
      <c r="A1939">
        <f>IF(AND(LEN('Providers'!A439)&gt;0,ISNUMBER('Providers'!M439)),1,0)</f>
        <v/>
      </c>
      <c r="B1939">
        <f>B1938+A1939</f>
        <v/>
      </c>
      <c r="C1939">
        <f>IF(1936&gt;$B$4503,"",MATCH(1936-0.5,$B$3:$B$4503,1))</f>
        <v/>
      </c>
      <c r="D1939">
        <f>"Board certification – "&amp;IF(LEN(INDEX('Providers'!$A$4:$A$503,436))=0,"",INDEX('Providers'!$A$4:$A$503,436))</f>
        <v/>
      </c>
      <c r="E1939">
        <f>IF(ISNUMBER(INDEX('Providers'!$M$4:$M$503,436)),TEXT(INDEX('Providers'!$M$4:$M$503,436),"yyyy-mm-dd"),"")</f>
        <v/>
      </c>
      <c r="F1939">
        <f>"Certification"</f>
        <v/>
      </c>
      <c r="G1939">
        <f>""</f>
        <v/>
      </c>
      <c r="H1939">
        <f>"Medium"</f>
        <v/>
      </c>
      <c r="I1939">
        <f>TRIM(IF(LEN(IF(LEN(INDEX('Providers'!$L$4:$L$503,436))=0,"",INDEX('Providers'!$L$4:$L$503,436)))=0,"","Board / specialty: "&amp;IF(LEN(INDEX('Providers'!$L$4:$L$503,436))=0,"",INDEX('Providers'!$L$4:$L$503,436))&amp;". "))</f>
        <v/>
      </c>
      <c r="J1939">
        <f>IF(LEN(INDEX('Providers'!$AJ$4:$AJ$503,436))=0,"",INDEX('Providers'!$AJ$4:$AJ$503,436))</f>
        <v/>
      </c>
      <c r="K1939">
        <f>IF(LEN(INDEX('Providers'!$AI$4:$AI$503,436))=0,"",INDEX('Providers'!$AI$4:$AI$503,436))</f>
        <v/>
      </c>
    </row>
    <row r="1940">
      <c r="A1940">
        <f>IF(AND(LEN('Providers'!A440)&gt;0,ISNUMBER('Providers'!M440)),1,0)</f>
        <v/>
      </c>
      <c r="B1940">
        <f>B1939+A1940</f>
        <v/>
      </c>
      <c r="C1940">
        <f>IF(1937&gt;$B$4503,"",MATCH(1937-0.5,$B$3:$B$4503,1))</f>
        <v/>
      </c>
      <c r="D1940">
        <f>"Board certification – "&amp;IF(LEN(INDEX('Providers'!$A$4:$A$503,437))=0,"",INDEX('Providers'!$A$4:$A$503,437))</f>
        <v/>
      </c>
      <c r="E1940">
        <f>IF(ISNUMBER(INDEX('Providers'!$M$4:$M$503,437)),TEXT(INDEX('Providers'!$M$4:$M$503,437),"yyyy-mm-dd"),"")</f>
        <v/>
      </c>
      <c r="F1940">
        <f>"Certification"</f>
        <v/>
      </c>
      <c r="G1940">
        <f>""</f>
        <v/>
      </c>
      <c r="H1940">
        <f>"Medium"</f>
        <v/>
      </c>
      <c r="I1940">
        <f>TRIM(IF(LEN(IF(LEN(INDEX('Providers'!$L$4:$L$503,437))=0,"",INDEX('Providers'!$L$4:$L$503,437)))=0,"","Board / specialty: "&amp;IF(LEN(INDEX('Providers'!$L$4:$L$503,437))=0,"",INDEX('Providers'!$L$4:$L$503,437))&amp;". "))</f>
        <v/>
      </c>
      <c r="J1940">
        <f>IF(LEN(INDEX('Providers'!$AJ$4:$AJ$503,437))=0,"",INDEX('Providers'!$AJ$4:$AJ$503,437))</f>
        <v/>
      </c>
      <c r="K1940">
        <f>IF(LEN(INDEX('Providers'!$AI$4:$AI$503,437))=0,"",INDEX('Providers'!$AI$4:$AI$503,437))</f>
        <v/>
      </c>
    </row>
    <row r="1941">
      <c r="A1941">
        <f>IF(AND(LEN('Providers'!A441)&gt;0,ISNUMBER('Providers'!M441)),1,0)</f>
        <v/>
      </c>
      <c r="B1941">
        <f>B1940+A1941</f>
        <v/>
      </c>
      <c r="C1941">
        <f>IF(1938&gt;$B$4503,"",MATCH(1938-0.5,$B$3:$B$4503,1))</f>
        <v/>
      </c>
      <c r="D1941">
        <f>"Board certification – "&amp;IF(LEN(INDEX('Providers'!$A$4:$A$503,438))=0,"",INDEX('Providers'!$A$4:$A$503,438))</f>
        <v/>
      </c>
      <c r="E1941">
        <f>IF(ISNUMBER(INDEX('Providers'!$M$4:$M$503,438)),TEXT(INDEX('Providers'!$M$4:$M$503,438),"yyyy-mm-dd"),"")</f>
        <v/>
      </c>
      <c r="F1941">
        <f>"Certification"</f>
        <v/>
      </c>
      <c r="G1941">
        <f>""</f>
        <v/>
      </c>
      <c r="H1941">
        <f>"Medium"</f>
        <v/>
      </c>
      <c r="I1941">
        <f>TRIM(IF(LEN(IF(LEN(INDEX('Providers'!$L$4:$L$503,438))=0,"",INDEX('Providers'!$L$4:$L$503,438)))=0,"","Board / specialty: "&amp;IF(LEN(INDEX('Providers'!$L$4:$L$503,438))=0,"",INDEX('Providers'!$L$4:$L$503,438))&amp;". "))</f>
        <v/>
      </c>
      <c r="J1941">
        <f>IF(LEN(INDEX('Providers'!$AJ$4:$AJ$503,438))=0,"",INDEX('Providers'!$AJ$4:$AJ$503,438))</f>
        <v/>
      </c>
      <c r="K1941">
        <f>IF(LEN(INDEX('Providers'!$AI$4:$AI$503,438))=0,"",INDEX('Providers'!$AI$4:$AI$503,438))</f>
        <v/>
      </c>
    </row>
    <row r="1942">
      <c r="A1942">
        <f>IF(AND(LEN('Providers'!A442)&gt;0,ISNUMBER('Providers'!M442)),1,0)</f>
        <v/>
      </c>
      <c r="B1942">
        <f>B1941+A1942</f>
        <v/>
      </c>
      <c r="C1942">
        <f>IF(1939&gt;$B$4503,"",MATCH(1939-0.5,$B$3:$B$4503,1))</f>
        <v/>
      </c>
      <c r="D1942">
        <f>"Board certification – "&amp;IF(LEN(INDEX('Providers'!$A$4:$A$503,439))=0,"",INDEX('Providers'!$A$4:$A$503,439))</f>
        <v/>
      </c>
      <c r="E1942">
        <f>IF(ISNUMBER(INDEX('Providers'!$M$4:$M$503,439)),TEXT(INDEX('Providers'!$M$4:$M$503,439),"yyyy-mm-dd"),"")</f>
        <v/>
      </c>
      <c r="F1942">
        <f>"Certification"</f>
        <v/>
      </c>
      <c r="G1942">
        <f>""</f>
        <v/>
      </c>
      <c r="H1942">
        <f>"Medium"</f>
        <v/>
      </c>
      <c r="I1942">
        <f>TRIM(IF(LEN(IF(LEN(INDEX('Providers'!$L$4:$L$503,439))=0,"",INDEX('Providers'!$L$4:$L$503,439)))=0,"","Board / specialty: "&amp;IF(LEN(INDEX('Providers'!$L$4:$L$503,439))=0,"",INDEX('Providers'!$L$4:$L$503,439))&amp;". "))</f>
        <v/>
      </c>
      <c r="J1942">
        <f>IF(LEN(INDEX('Providers'!$AJ$4:$AJ$503,439))=0,"",INDEX('Providers'!$AJ$4:$AJ$503,439))</f>
        <v/>
      </c>
      <c r="K1942">
        <f>IF(LEN(INDEX('Providers'!$AI$4:$AI$503,439))=0,"",INDEX('Providers'!$AI$4:$AI$503,439))</f>
        <v/>
      </c>
    </row>
    <row r="1943">
      <c r="A1943">
        <f>IF(AND(LEN('Providers'!A443)&gt;0,ISNUMBER('Providers'!M443)),1,0)</f>
        <v/>
      </c>
      <c r="B1943">
        <f>B1942+A1943</f>
        <v/>
      </c>
      <c r="C1943">
        <f>IF(1940&gt;$B$4503,"",MATCH(1940-0.5,$B$3:$B$4503,1))</f>
        <v/>
      </c>
      <c r="D1943">
        <f>"Board certification – "&amp;IF(LEN(INDEX('Providers'!$A$4:$A$503,440))=0,"",INDEX('Providers'!$A$4:$A$503,440))</f>
        <v/>
      </c>
      <c r="E1943">
        <f>IF(ISNUMBER(INDEX('Providers'!$M$4:$M$503,440)),TEXT(INDEX('Providers'!$M$4:$M$503,440),"yyyy-mm-dd"),"")</f>
        <v/>
      </c>
      <c r="F1943">
        <f>"Certification"</f>
        <v/>
      </c>
      <c r="G1943">
        <f>""</f>
        <v/>
      </c>
      <c r="H1943">
        <f>"Medium"</f>
        <v/>
      </c>
      <c r="I1943">
        <f>TRIM(IF(LEN(IF(LEN(INDEX('Providers'!$L$4:$L$503,440))=0,"",INDEX('Providers'!$L$4:$L$503,440)))=0,"","Board / specialty: "&amp;IF(LEN(INDEX('Providers'!$L$4:$L$503,440))=0,"",INDEX('Providers'!$L$4:$L$503,440))&amp;". "))</f>
        <v/>
      </c>
      <c r="J1943">
        <f>IF(LEN(INDEX('Providers'!$AJ$4:$AJ$503,440))=0,"",INDEX('Providers'!$AJ$4:$AJ$503,440))</f>
        <v/>
      </c>
      <c r="K1943">
        <f>IF(LEN(INDEX('Providers'!$AI$4:$AI$503,440))=0,"",INDEX('Providers'!$AI$4:$AI$503,440))</f>
        <v/>
      </c>
    </row>
    <row r="1944">
      <c r="A1944">
        <f>IF(AND(LEN('Providers'!A444)&gt;0,ISNUMBER('Providers'!M444)),1,0)</f>
        <v/>
      </c>
      <c r="B1944">
        <f>B1943+A1944</f>
        <v/>
      </c>
      <c r="C1944">
        <f>IF(1941&gt;$B$4503,"",MATCH(1941-0.5,$B$3:$B$4503,1))</f>
        <v/>
      </c>
      <c r="D1944">
        <f>"Board certification – "&amp;IF(LEN(INDEX('Providers'!$A$4:$A$503,441))=0,"",INDEX('Providers'!$A$4:$A$503,441))</f>
        <v/>
      </c>
      <c r="E1944">
        <f>IF(ISNUMBER(INDEX('Providers'!$M$4:$M$503,441)),TEXT(INDEX('Providers'!$M$4:$M$503,441),"yyyy-mm-dd"),"")</f>
        <v/>
      </c>
      <c r="F1944">
        <f>"Certification"</f>
        <v/>
      </c>
      <c r="G1944">
        <f>""</f>
        <v/>
      </c>
      <c r="H1944">
        <f>"Medium"</f>
        <v/>
      </c>
      <c r="I1944">
        <f>TRIM(IF(LEN(IF(LEN(INDEX('Providers'!$L$4:$L$503,441))=0,"",INDEX('Providers'!$L$4:$L$503,441)))=0,"","Board / specialty: "&amp;IF(LEN(INDEX('Providers'!$L$4:$L$503,441))=0,"",INDEX('Providers'!$L$4:$L$503,441))&amp;". "))</f>
        <v/>
      </c>
      <c r="J1944">
        <f>IF(LEN(INDEX('Providers'!$AJ$4:$AJ$503,441))=0,"",INDEX('Providers'!$AJ$4:$AJ$503,441))</f>
        <v/>
      </c>
      <c r="K1944">
        <f>IF(LEN(INDEX('Providers'!$AI$4:$AI$503,441))=0,"",INDEX('Providers'!$AI$4:$AI$503,441))</f>
        <v/>
      </c>
    </row>
    <row r="1945">
      <c r="A1945">
        <f>IF(AND(LEN('Providers'!A445)&gt;0,ISNUMBER('Providers'!M445)),1,0)</f>
        <v/>
      </c>
      <c r="B1945">
        <f>B1944+A1945</f>
        <v/>
      </c>
      <c r="C1945">
        <f>IF(1942&gt;$B$4503,"",MATCH(1942-0.5,$B$3:$B$4503,1))</f>
        <v/>
      </c>
      <c r="D1945">
        <f>"Board certification – "&amp;IF(LEN(INDEX('Providers'!$A$4:$A$503,442))=0,"",INDEX('Providers'!$A$4:$A$503,442))</f>
        <v/>
      </c>
      <c r="E1945">
        <f>IF(ISNUMBER(INDEX('Providers'!$M$4:$M$503,442)),TEXT(INDEX('Providers'!$M$4:$M$503,442),"yyyy-mm-dd"),"")</f>
        <v/>
      </c>
      <c r="F1945">
        <f>"Certification"</f>
        <v/>
      </c>
      <c r="G1945">
        <f>""</f>
        <v/>
      </c>
      <c r="H1945">
        <f>"Medium"</f>
        <v/>
      </c>
      <c r="I1945">
        <f>TRIM(IF(LEN(IF(LEN(INDEX('Providers'!$L$4:$L$503,442))=0,"",INDEX('Providers'!$L$4:$L$503,442)))=0,"","Board / specialty: "&amp;IF(LEN(INDEX('Providers'!$L$4:$L$503,442))=0,"",INDEX('Providers'!$L$4:$L$503,442))&amp;". "))</f>
        <v/>
      </c>
      <c r="J1945">
        <f>IF(LEN(INDEX('Providers'!$AJ$4:$AJ$503,442))=0,"",INDEX('Providers'!$AJ$4:$AJ$503,442))</f>
        <v/>
      </c>
      <c r="K1945">
        <f>IF(LEN(INDEX('Providers'!$AI$4:$AI$503,442))=0,"",INDEX('Providers'!$AI$4:$AI$503,442))</f>
        <v/>
      </c>
    </row>
    <row r="1946">
      <c r="A1946">
        <f>IF(AND(LEN('Providers'!A446)&gt;0,ISNUMBER('Providers'!M446)),1,0)</f>
        <v/>
      </c>
      <c r="B1946">
        <f>B1945+A1946</f>
        <v/>
      </c>
      <c r="C1946">
        <f>IF(1943&gt;$B$4503,"",MATCH(1943-0.5,$B$3:$B$4503,1))</f>
        <v/>
      </c>
      <c r="D1946">
        <f>"Board certification – "&amp;IF(LEN(INDEX('Providers'!$A$4:$A$503,443))=0,"",INDEX('Providers'!$A$4:$A$503,443))</f>
        <v/>
      </c>
      <c r="E1946">
        <f>IF(ISNUMBER(INDEX('Providers'!$M$4:$M$503,443)),TEXT(INDEX('Providers'!$M$4:$M$503,443),"yyyy-mm-dd"),"")</f>
        <v/>
      </c>
      <c r="F1946">
        <f>"Certification"</f>
        <v/>
      </c>
      <c r="G1946">
        <f>""</f>
        <v/>
      </c>
      <c r="H1946">
        <f>"Medium"</f>
        <v/>
      </c>
      <c r="I1946">
        <f>TRIM(IF(LEN(IF(LEN(INDEX('Providers'!$L$4:$L$503,443))=0,"",INDEX('Providers'!$L$4:$L$503,443)))=0,"","Board / specialty: "&amp;IF(LEN(INDEX('Providers'!$L$4:$L$503,443))=0,"",INDEX('Providers'!$L$4:$L$503,443))&amp;". "))</f>
        <v/>
      </c>
      <c r="J1946">
        <f>IF(LEN(INDEX('Providers'!$AJ$4:$AJ$503,443))=0,"",INDEX('Providers'!$AJ$4:$AJ$503,443))</f>
        <v/>
      </c>
      <c r="K1946">
        <f>IF(LEN(INDEX('Providers'!$AI$4:$AI$503,443))=0,"",INDEX('Providers'!$AI$4:$AI$503,443))</f>
        <v/>
      </c>
    </row>
    <row r="1947">
      <c r="A1947">
        <f>IF(AND(LEN('Providers'!A447)&gt;0,ISNUMBER('Providers'!M447)),1,0)</f>
        <v/>
      </c>
      <c r="B1947">
        <f>B1946+A1947</f>
        <v/>
      </c>
      <c r="C1947">
        <f>IF(1944&gt;$B$4503,"",MATCH(1944-0.5,$B$3:$B$4503,1))</f>
        <v/>
      </c>
      <c r="D1947">
        <f>"Board certification – "&amp;IF(LEN(INDEX('Providers'!$A$4:$A$503,444))=0,"",INDEX('Providers'!$A$4:$A$503,444))</f>
        <v/>
      </c>
      <c r="E1947">
        <f>IF(ISNUMBER(INDEX('Providers'!$M$4:$M$503,444)),TEXT(INDEX('Providers'!$M$4:$M$503,444),"yyyy-mm-dd"),"")</f>
        <v/>
      </c>
      <c r="F1947">
        <f>"Certification"</f>
        <v/>
      </c>
      <c r="G1947">
        <f>""</f>
        <v/>
      </c>
      <c r="H1947">
        <f>"Medium"</f>
        <v/>
      </c>
      <c r="I1947">
        <f>TRIM(IF(LEN(IF(LEN(INDEX('Providers'!$L$4:$L$503,444))=0,"",INDEX('Providers'!$L$4:$L$503,444)))=0,"","Board / specialty: "&amp;IF(LEN(INDEX('Providers'!$L$4:$L$503,444))=0,"",INDEX('Providers'!$L$4:$L$503,444))&amp;". "))</f>
        <v/>
      </c>
      <c r="J1947">
        <f>IF(LEN(INDEX('Providers'!$AJ$4:$AJ$503,444))=0,"",INDEX('Providers'!$AJ$4:$AJ$503,444))</f>
        <v/>
      </c>
      <c r="K1947">
        <f>IF(LEN(INDEX('Providers'!$AI$4:$AI$503,444))=0,"",INDEX('Providers'!$AI$4:$AI$503,444))</f>
        <v/>
      </c>
    </row>
    <row r="1948">
      <c r="A1948">
        <f>IF(AND(LEN('Providers'!A448)&gt;0,ISNUMBER('Providers'!M448)),1,0)</f>
        <v/>
      </c>
      <c r="B1948">
        <f>B1947+A1948</f>
        <v/>
      </c>
      <c r="C1948">
        <f>IF(1945&gt;$B$4503,"",MATCH(1945-0.5,$B$3:$B$4503,1))</f>
        <v/>
      </c>
      <c r="D1948">
        <f>"Board certification – "&amp;IF(LEN(INDEX('Providers'!$A$4:$A$503,445))=0,"",INDEX('Providers'!$A$4:$A$503,445))</f>
        <v/>
      </c>
      <c r="E1948">
        <f>IF(ISNUMBER(INDEX('Providers'!$M$4:$M$503,445)),TEXT(INDEX('Providers'!$M$4:$M$503,445),"yyyy-mm-dd"),"")</f>
        <v/>
      </c>
      <c r="F1948">
        <f>"Certification"</f>
        <v/>
      </c>
      <c r="G1948">
        <f>""</f>
        <v/>
      </c>
      <c r="H1948">
        <f>"Medium"</f>
        <v/>
      </c>
      <c r="I1948">
        <f>TRIM(IF(LEN(IF(LEN(INDEX('Providers'!$L$4:$L$503,445))=0,"",INDEX('Providers'!$L$4:$L$503,445)))=0,"","Board / specialty: "&amp;IF(LEN(INDEX('Providers'!$L$4:$L$503,445))=0,"",INDEX('Providers'!$L$4:$L$503,445))&amp;". "))</f>
        <v/>
      </c>
      <c r="J1948">
        <f>IF(LEN(INDEX('Providers'!$AJ$4:$AJ$503,445))=0,"",INDEX('Providers'!$AJ$4:$AJ$503,445))</f>
        <v/>
      </c>
      <c r="K1948">
        <f>IF(LEN(INDEX('Providers'!$AI$4:$AI$503,445))=0,"",INDEX('Providers'!$AI$4:$AI$503,445))</f>
        <v/>
      </c>
    </row>
    <row r="1949">
      <c r="A1949">
        <f>IF(AND(LEN('Providers'!A449)&gt;0,ISNUMBER('Providers'!M449)),1,0)</f>
        <v/>
      </c>
      <c r="B1949">
        <f>B1948+A1949</f>
        <v/>
      </c>
      <c r="C1949">
        <f>IF(1946&gt;$B$4503,"",MATCH(1946-0.5,$B$3:$B$4503,1))</f>
        <v/>
      </c>
      <c r="D1949">
        <f>"Board certification – "&amp;IF(LEN(INDEX('Providers'!$A$4:$A$503,446))=0,"",INDEX('Providers'!$A$4:$A$503,446))</f>
        <v/>
      </c>
      <c r="E1949">
        <f>IF(ISNUMBER(INDEX('Providers'!$M$4:$M$503,446)),TEXT(INDEX('Providers'!$M$4:$M$503,446),"yyyy-mm-dd"),"")</f>
        <v/>
      </c>
      <c r="F1949">
        <f>"Certification"</f>
        <v/>
      </c>
      <c r="G1949">
        <f>""</f>
        <v/>
      </c>
      <c r="H1949">
        <f>"Medium"</f>
        <v/>
      </c>
      <c r="I1949">
        <f>TRIM(IF(LEN(IF(LEN(INDEX('Providers'!$L$4:$L$503,446))=0,"",INDEX('Providers'!$L$4:$L$503,446)))=0,"","Board / specialty: "&amp;IF(LEN(INDEX('Providers'!$L$4:$L$503,446))=0,"",INDEX('Providers'!$L$4:$L$503,446))&amp;". "))</f>
        <v/>
      </c>
      <c r="J1949">
        <f>IF(LEN(INDEX('Providers'!$AJ$4:$AJ$503,446))=0,"",INDEX('Providers'!$AJ$4:$AJ$503,446))</f>
        <v/>
      </c>
      <c r="K1949">
        <f>IF(LEN(INDEX('Providers'!$AI$4:$AI$503,446))=0,"",INDEX('Providers'!$AI$4:$AI$503,446))</f>
        <v/>
      </c>
    </row>
    <row r="1950">
      <c r="A1950">
        <f>IF(AND(LEN('Providers'!A450)&gt;0,ISNUMBER('Providers'!M450)),1,0)</f>
        <v/>
      </c>
      <c r="B1950">
        <f>B1949+A1950</f>
        <v/>
      </c>
      <c r="C1950">
        <f>IF(1947&gt;$B$4503,"",MATCH(1947-0.5,$B$3:$B$4503,1))</f>
        <v/>
      </c>
      <c r="D1950">
        <f>"Board certification – "&amp;IF(LEN(INDEX('Providers'!$A$4:$A$503,447))=0,"",INDEX('Providers'!$A$4:$A$503,447))</f>
        <v/>
      </c>
      <c r="E1950">
        <f>IF(ISNUMBER(INDEX('Providers'!$M$4:$M$503,447)),TEXT(INDEX('Providers'!$M$4:$M$503,447),"yyyy-mm-dd"),"")</f>
        <v/>
      </c>
      <c r="F1950">
        <f>"Certification"</f>
        <v/>
      </c>
      <c r="G1950">
        <f>""</f>
        <v/>
      </c>
      <c r="H1950">
        <f>"Medium"</f>
        <v/>
      </c>
      <c r="I1950">
        <f>TRIM(IF(LEN(IF(LEN(INDEX('Providers'!$L$4:$L$503,447))=0,"",INDEX('Providers'!$L$4:$L$503,447)))=0,"","Board / specialty: "&amp;IF(LEN(INDEX('Providers'!$L$4:$L$503,447))=0,"",INDEX('Providers'!$L$4:$L$503,447))&amp;". "))</f>
        <v/>
      </c>
      <c r="J1950">
        <f>IF(LEN(INDEX('Providers'!$AJ$4:$AJ$503,447))=0,"",INDEX('Providers'!$AJ$4:$AJ$503,447))</f>
        <v/>
      </c>
      <c r="K1950">
        <f>IF(LEN(INDEX('Providers'!$AI$4:$AI$503,447))=0,"",INDEX('Providers'!$AI$4:$AI$503,447))</f>
        <v/>
      </c>
    </row>
    <row r="1951">
      <c r="A1951">
        <f>IF(AND(LEN('Providers'!A451)&gt;0,ISNUMBER('Providers'!M451)),1,0)</f>
        <v/>
      </c>
      <c r="B1951">
        <f>B1950+A1951</f>
        <v/>
      </c>
      <c r="C1951">
        <f>IF(1948&gt;$B$4503,"",MATCH(1948-0.5,$B$3:$B$4503,1))</f>
        <v/>
      </c>
      <c r="D1951">
        <f>"Board certification – "&amp;IF(LEN(INDEX('Providers'!$A$4:$A$503,448))=0,"",INDEX('Providers'!$A$4:$A$503,448))</f>
        <v/>
      </c>
      <c r="E1951">
        <f>IF(ISNUMBER(INDEX('Providers'!$M$4:$M$503,448)),TEXT(INDEX('Providers'!$M$4:$M$503,448),"yyyy-mm-dd"),"")</f>
        <v/>
      </c>
      <c r="F1951">
        <f>"Certification"</f>
        <v/>
      </c>
      <c r="G1951">
        <f>""</f>
        <v/>
      </c>
      <c r="H1951">
        <f>"Medium"</f>
        <v/>
      </c>
      <c r="I1951">
        <f>TRIM(IF(LEN(IF(LEN(INDEX('Providers'!$L$4:$L$503,448))=0,"",INDEX('Providers'!$L$4:$L$503,448)))=0,"","Board / specialty: "&amp;IF(LEN(INDEX('Providers'!$L$4:$L$503,448))=0,"",INDEX('Providers'!$L$4:$L$503,448))&amp;". "))</f>
        <v/>
      </c>
      <c r="J1951">
        <f>IF(LEN(INDEX('Providers'!$AJ$4:$AJ$503,448))=0,"",INDEX('Providers'!$AJ$4:$AJ$503,448))</f>
        <v/>
      </c>
      <c r="K1951">
        <f>IF(LEN(INDEX('Providers'!$AI$4:$AI$503,448))=0,"",INDEX('Providers'!$AI$4:$AI$503,448))</f>
        <v/>
      </c>
    </row>
    <row r="1952">
      <c r="A1952">
        <f>IF(AND(LEN('Providers'!A452)&gt;0,ISNUMBER('Providers'!M452)),1,0)</f>
        <v/>
      </c>
      <c r="B1952">
        <f>B1951+A1952</f>
        <v/>
      </c>
      <c r="C1952">
        <f>IF(1949&gt;$B$4503,"",MATCH(1949-0.5,$B$3:$B$4503,1))</f>
        <v/>
      </c>
      <c r="D1952">
        <f>"Board certification – "&amp;IF(LEN(INDEX('Providers'!$A$4:$A$503,449))=0,"",INDEX('Providers'!$A$4:$A$503,449))</f>
        <v/>
      </c>
      <c r="E1952">
        <f>IF(ISNUMBER(INDEX('Providers'!$M$4:$M$503,449)),TEXT(INDEX('Providers'!$M$4:$M$503,449),"yyyy-mm-dd"),"")</f>
        <v/>
      </c>
      <c r="F1952">
        <f>"Certification"</f>
        <v/>
      </c>
      <c r="G1952">
        <f>""</f>
        <v/>
      </c>
      <c r="H1952">
        <f>"Medium"</f>
        <v/>
      </c>
      <c r="I1952">
        <f>TRIM(IF(LEN(IF(LEN(INDEX('Providers'!$L$4:$L$503,449))=0,"",INDEX('Providers'!$L$4:$L$503,449)))=0,"","Board / specialty: "&amp;IF(LEN(INDEX('Providers'!$L$4:$L$503,449))=0,"",INDEX('Providers'!$L$4:$L$503,449))&amp;". "))</f>
        <v/>
      </c>
      <c r="J1952">
        <f>IF(LEN(INDEX('Providers'!$AJ$4:$AJ$503,449))=0,"",INDEX('Providers'!$AJ$4:$AJ$503,449))</f>
        <v/>
      </c>
      <c r="K1952">
        <f>IF(LEN(INDEX('Providers'!$AI$4:$AI$503,449))=0,"",INDEX('Providers'!$AI$4:$AI$503,449))</f>
        <v/>
      </c>
    </row>
    <row r="1953">
      <c r="A1953">
        <f>IF(AND(LEN('Providers'!A453)&gt;0,ISNUMBER('Providers'!M453)),1,0)</f>
        <v/>
      </c>
      <c r="B1953">
        <f>B1952+A1953</f>
        <v/>
      </c>
      <c r="C1953">
        <f>IF(1950&gt;$B$4503,"",MATCH(1950-0.5,$B$3:$B$4503,1))</f>
        <v/>
      </c>
      <c r="D1953">
        <f>"Board certification – "&amp;IF(LEN(INDEX('Providers'!$A$4:$A$503,450))=0,"",INDEX('Providers'!$A$4:$A$503,450))</f>
        <v/>
      </c>
      <c r="E1953">
        <f>IF(ISNUMBER(INDEX('Providers'!$M$4:$M$503,450)),TEXT(INDEX('Providers'!$M$4:$M$503,450),"yyyy-mm-dd"),"")</f>
        <v/>
      </c>
      <c r="F1953">
        <f>"Certification"</f>
        <v/>
      </c>
      <c r="G1953">
        <f>""</f>
        <v/>
      </c>
      <c r="H1953">
        <f>"Medium"</f>
        <v/>
      </c>
      <c r="I1953">
        <f>TRIM(IF(LEN(IF(LEN(INDEX('Providers'!$L$4:$L$503,450))=0,"",INDEX('Providers'!$L$4:$L$503,450)))=0,"","Board / specialty: "&amp;IF(LEN(INDEX('Providers'!$L$4:$L$503,450))=0,"",INDEX('Providers'!$L$4:$L$503,450))&amp;". "))</f>
        <v/>
      </c>
      <c r="J1953">
        <f>IF(LEN(INDEX('Providers'!$AJ$4:$AJ$503,450))=0,"",INDEX('Providers'!$AJ$4:$AJ$503,450))</f>
        <v/>
      </c>
      <c r="K1953">
        <f>IF(LEN(INDEX('Providers'!$AI$4:$AI$503,450))=0,"",INDEX('Providers'!$AI$4:$AI$503,450))</f>
        <v/>
      </c>
    </row>
    <row r="1954">
      <c r="A1954">
        <f>IF(AND(LEN('Providers'!A454)&gt;0,ISNUMBER('Providers'!M454)),1,0)</f>
        <v/>
      </c>
      <c r="B1954">
        <f>B1953+A1954</f>
        <v/>
      </c>
      <c r="C1954">
        <f>IF(1951&gt;$B$4503,"",MATCH(1951-0.5,$B$3:$B$4503,1))</f>
        <v/>
      </c>
      <c r="D1954">
        <f>"Board certification – "&amp;IF(LEN(INDEX('Providers'!$A$4:$A$503,451))=0,"",INDEX('Providers'!$A$4:$A$503,451))</f>
        <v/>
      </c>
      <c r="E1954">
        <f>IF(ISNUMBER(INDEX('Providers'!$M$4:$M$503,451)),TEXT(INDEX('Providers'!$M$4:$M$503,451),"yyyy-mm-dd"),"")</f>
        <v/>
      </c>
      <c r="F1954">
        <f>"Certification"</f>
        <v/>
      </c>
      <c r="G1954">
        <f>""</f>
        <v/>
      </c>
      <c r="H1954">
        <f>"Medium"</f>
        <v/>
      </c>
      <c r="I1954">
        <f>TRIM(IF(LEN(IF(LEN(INDEX('Providers'!$L$4:$L$503,451))=0,"",INDEX('Providers'!$L$4:$L$503,451)))=0,"","Board / specialty: "&amp;IF(LEN(INDEX('Providers'!$L$4:$L$503,451))=0,"",INDEX('Providers'!$L$4:$L$503,451))&amp;". "))</f>
        <v/>
      </c>
      <c r="J1954">
        <f>IF(LEN(INDEX('Providers'!$AJ$4:$AJ$503,451))=0,"",INDEX('Providers'!$AJ$4:$AJ$503,451))</f>
        <v/>
      </c>
      <c r="K1954">
        <f>IF(LEN(INDEX('Providers'!$AI$4:$AI$503,451))=0,"",INDEX('Providers'!$AI$4:$AI$503,451))</f>
        <v/>
      </c>
    </row>
    <row r="1955">
      <c r="A1955">
        <f>IF(AND(LEN('Providers'!A455)&gt;0,ISNUMBER('Providers'!M455)),1,0)</f>
        <v/>
      </c>
      <c r="B1955">
        <f>B1954+A1955</f>
        <v/>
      </c>
      <c r="C1955">
        <f>IF(1952&gt;$B$4503,"",MATCH(1952-0.5,$B$3:$B$4503,1))</f>
        <v/>
      </c>
      <c r="D1955">
        <f>"Board certification – "&amp;IF(LEN(INDEX('Providers'!$A$4:$A$503,452))=0,"",INDEX('Providers'!$A$4:$A$503,452))</f>
        <v/>
      </c>
      <c r="E1955">
        <f>IF(ISNUMBER(INDEX('Providers'!$M$4:$M$503,452)),TEXT(INDEX('Providers'!$M$4:$M$503,452),"yyyy-mm-dd"),"")</f>
        <v/>
      </c>
      <c r="F1955">
        <f>"Certification"</f>
        <v/>
      </c>
      <c r="G1955">
        <f>""</f>
        <v/>
      </c>
      <c r="H1955">
        <f>"Medium"</f>
        <v/>
      </c>
      <c r="I1955">
        <f>TRIM(IF(LEN(IF(LEN(INDEX('Providers'!$L$4:$L$503,452))=0,"",INDEX('Providers'!$L$4:$L$503,452)))=0,"","Board / specialty: "&amp;IF(LEN(INDEX('Providers'!$L$4:$L$503,452))=0,"",INDEX('Providers'!$L$4:$L$503,452))&amp;". "))</f>
        <v/>
      </c>
      <c r="J1955">
        <f>IF(LEN(INDEX('Providers'!$AJ$4:$AJ$503,452))=0,"",INDEX('Providers'!$AJ$4:$AJ$503,452))</f>
        <v/>
      </c>
      <c r="K1955">
        <f>IF(LEN(INDEX('Providers'!$AI$4:$AI$503,452))=0,"",INDEX('Providers'!$AI$4:$AI$503,452))</f>
        <v/>
      </c>
    </row>
    <row r="1956">
      <c r="A1956">
        <f>IF(AND(LEN('Providers'!A456)&gt;0,ISNUMBER('Providers'!M456)),1,0)</f>
        <v/>
      </c>
      <c r="B1956">
        <f>B1955+A1956</f>
        <v/>
      </c>
      <c r="C1956">
        <f>IF(1953&gt;$B$4503,"",MATCH(1953-0.5,$B$3:$B$4503,1))</f>
        <v/>
      </c>
      <c r="D1956">
        <f>"Board certification – "&amp;IF(LEN(INDEX('Providers'!$A$4:$A$503,453))=0,"",INDEX('Providers'!$A$4:$A$503,453))</f>
        <v/>
      </c>
      <c r="E1956">
        <f>IF(ISNUMBER(INDEX('Providers'!$M$4:$M$503,453)),TEXT(INDEX('Providers'!$M$4:$M$503,453),"yyyy-mm-dd"),"")</f>
        <v/>
      </c>
      <c r="F1956">
        <f>"Certification"</f>
        <v/>
      </c>
      <c r="G1956">
        <f>""</f>
        <v/>
      </c>
      <c r="H1956">
        <f>"Medium"</f>
        <v/>
      </c>
      <c r="I1956">
        <f>TRIM(IF(LEN(IF(LEN(INDEX('Providers'!$L$4:$L$503,453))=0,"",INDEX('Providers'!$L$4:$L$503,453)))=0,"","Board / specialty: "&amp;IF(LEN(INDEX('Providers'!$L$4:$L$503,453))=0,"",INDEX('Providers'!$L$4:$L$503,453))&amp;". "))</f>
        <v/>
      </c>
      <c r="J1956">
        <f>IF(LEN(INDEX('Providers'!$AJ$4:$AJ$503,453))=0,"",INDEX('Providers'!$AJ$4:$AJ$503,453))</f>
        <v/>
      </c>
      <c r="K1956">
        <f>IF(LEN(INDEX('Providers'!$AI$4:$AI$503,453))=0,"",INDEX('Providers'!$AI$4:$AI$503,453))</f>
        <v/>
      </c>
    </row>
    <row r="1957">
      <c r="A1957">
        <f>IF(AND(LEN('Providers'!A457)&gt;0,ISNUMBER('Providers'!M457)),1,0)</f>
        <v/>
      </c>
      <c r="B1957">
        <f>B1956+A1957</f>
        <v/>
      </c>
      <c r="C1957">
        <f>IF(1954&gt;$B$4503,"",MATCH(1954-0.5,$B$3:$B$4503,1))</f>
        <v/>
      </c>
      <c r="D1957">
        <f>"Board certification – "&amp;IF(LEN(INDEX('Providers'!$A$4:$A$503,454))=0,"",INDEX('Providers'!$A$4:$A$503,454))</f>
        <v/>
      </c>
      <c r="E1957">
        <f>IF(ISNUMBER(INDEX('Providers'!$M$4:$M$503,454)),TEXT(INDEX('Providers'!$M$4:$M$503,454),"yyyy-mm-dd"),"")</f>
        <v/>
      </c>
      <c r="F1957">
        <f>"Certification"</f>
        <v/>
      </c>
      <c r="G1957">
        <f>""</f>
        <v/>
      </c>
      <c r="H1957">
        <f>"Medium"</f>
        <v/>
      </c>
      <c r="I1957">
        <f>TRIM(IF(LEN(IF(LEN(INDEX('Providers'!$L$4:$L$503,454))=0,"",INDEX('Providers'!$L$4:$L$503,454)))=0,"","Board / specialty: "&amp;IF(LEN(INDEX('Providers'!$L$4:$L$503,454))=0,"",INDEX('Providers'!$L$4:$L$503,454))&amp;". "))</f>
        <v/>
      </c>
      <c r="J1957">
        <f>IF(LEN(INDEX('Providers'!$AJ$4:$AJ$503,454))=0,"",INDEX('Providers'!$AJ$4:$AJ$503,454))</f>
        <v/>
      </c>
      <c r="K1957">
        <f>IF(LEN(INDEX('Providers'!$AI$4:$AI$503,454))=0,"",INDEX('Providers'!$AI$4:$AI$503,454))</f>
        <v/>
      </c>
    </row>
    <row r="1958">
      <c r="A1958">
        <f>IF(AND(LEN('Providers'!A458)&gt;0,ISNUMBER('Providers'!M458)),1,0)</f>
        <v/>
      </c>
      <c r="B1958">
        <f>B1957+A1958</f>
        <v/>
      </c>
      <c r="C1958">
        <f>IF(1955&gt;$B$4503,"",MATCH(1955-0.5,$B$3:$B$4503,1))</f>
        <v/>
      </c>
      <c r="D1958">
        <f>"Board certification – "&amp;IF(LEN(INDEX('Providers'!$A$4:$A$503,455))=0,"",INDEX('Providers'!$A$4:$A$503,455))</f>
        <v/>
      </c>
      <c r="E1958">
        <f>IF(ISNUMBER(INDEX('Providers'!$M$4:$M$503,455)),TEXT(INDEX('Providers'!$M$4:$M$503,455),"yyyy-mm-dd"),"")</f>
        <v/>
      </c>
      <c r="F1958">
        <f>"Certification"</f>
        <v/>
      </c>
      <c r="G1958">
        <f>""</f>
        <v/>
      </c>
      <c r="H1958">
        <f>"Medium"</f>
        <v/>
      </c>
      <c r="I1958">
        <f>TRIM(IF(LEN(IF(LEN(INDEX('Providers'!$L$4:$L$503,455))=0,"",INDEX('Providers'!$L$4:$L$503,455)))=0,"","Board / specialty: "&amp;IF(LEN(INDEX('Providers'!$L$4:$L$503,455))=0,"",INDEX('Providers'!$L$4:$L$503,455))&amp;". "))</f>
        <v/>
      </c>
      <c r="J1958">
        <f>IF(LEN(INDEX('Providers'!$AJ$4:$AJ$503,455))=0,"",INDEX('Providers'!$AJ$4:$AJ$503,455))</f>
        <v/>
      </c>
      <c r="K1958">
        <f>IF(LEN(INDEX('Providers'!$AI$4:$AI$503,455))=0,"",INDEX('Providers'!$AI$4:$AI$503,455))</f>
        <v/>
      </c>
    </row>
    <row r="1959">
      <c r="A1959">
        <f>IF(AND(LEN('Providers'!A459)&gt;0,ISNUMBER('Providers'!M459)),1,0)</f>
        <v/>
      </c>
      <c r="B1959">
        <f>B1958+A1959</f>
        <v/>
      </c>
      <c r="C1959">
        <f>IF(1956&gt;$B$4503,"",MATCH(1956-0.5,$B$3:$B$4503,1))</f>
        <v/>
      </c>
      <c r="D1959">
        <f>"Board certification – "&amp;IF(LEN(INDEX('Providers'!$A$4:$A$503,456))=0,"",INDEX('Providers'!$A$4:$A$503,456))</f>
        <v/>
      </c>
      <c r="E1959">
        <f>IF(ISNUMBER(INDEX('Providers'!$M$4:$M$503,456)),TEXT(INDEX('Providers'!$M$4:$M$503,456),"yyyy-mm-dd"),"")</f>
        <v/>
      </c>
      <c r="F1959">
        <f>"Certification"</f>
        <v/>
      </c>
      <c r="G1959">
        <f>""</f>
        <v/>
      </c>
      <c r="H1959">
        <f>"Medium"</f>
        <v/>
      </c>
      <c r="I1959">
        <f>TRIM(IF(LEN(IF(LEN(INDEX('Providers'!$L$4:$L$503,456))=0,"",INDEX('Providers'!$L$4:$L$503,456)))=0,"","Board / specialty: "&amp;IF(LEN(INDEX('Providers'!$L$4:$L$503,456))=0,"",INDEX('Providers'!$L$4:$L$503,456))&amp;". "))</f>
        <v/>
      </c>
      <c r="J1959">
        <f>IF(LEN(INDEX('Providers'!$AJ$4:$AJ$503,456))=0,"",INDEX('Providers'!$AJ$4:$AJ$503,456))</f>
        <v/>
      </c>
      <c r="K1959">
        <f>IF(LEN(INDEX('Providers'!$AI$4:$AI$503,456))=0,"",INDEX('Providers'!$AI$4:$AI$503,456))</f>
        <v/>
      </c>
    </row>
    <row r="1960">
      <c r="A1960">
        <f>IF(AND(LEN('Providers'!A460)&gt;0,ISNUMBER('Providers'!M460)),1,0)</f>
        <v/>
      </c>
      <c r="B1960">
        <f>B1959+A1960</f>
        <v/>
      </c>
      <c r="C1960">
        <f>IF(1957&gt;$B$4503,"",MATCH(1957-0.5,$B$3:$B$4503,1))</f>
        <v/>
      </c>
      <c r="D1960">
        <f>"Board certification – "&amp;IF(LEN(INDEX('Providers'!$A$4:$A$503,457))=0,"",INDEX('Providers'!$A$4:$A$503,457))</f>
        <v/>
      </c>
      <c r="E1960">
        <f>IF(ISNUMBER(INDEX('Providers'!$M$4:$M$503,457)),TEXT(INDEX('Providers'!$M$4:$M$503,457),"yyyy-mm-dd"),"")</f>
        <v/>
      </c>
      <c r="F1960">
        <f>"Certification"</f>
        <v/>
      </c>
      <c r="G1960">
        <f>""</f>
        <v/>
      </c>
      <c r="H1960">
        <f>"Medium"</f>
        <v/>
      </c>
      <c r="I1960">
        <f>TRIM(IF(LEN(IF(LEN(INDEX('Providers'!$L$4:$L$503,457))=0,"",INDEX('Providers'!$L$4:$L$503,457)))=0,"","Board / specialty: "&amp;IF(LEN(INDEX('Providers'!$L$4:$L$503,457))=0,"",INDEX('Providers'!$L$4:$L$503,457))&amp;". "))</f>
        <v/>
      </c>
      <c r="J1960">
        <f>IF(LEN(INDEX('Providers'!$AJ$4:$AJ$503,457))=0,"",INDEX('Providers'!$AJ$4:$AJ$503,457))</f>
        <v/>
      </c>
      <c r="K1960">
        <f>IF(LEN(INDEX('Providers'!$AI$4:$AI$503,457))=0,"",INDEX('Providers'!$AI$4:$AI$503,457))</f>
        <v/>
      </c>
    </row>
    <row r="1961">
      <c r="A1961">
        <f>IF(AND(LEN('Providers'!A461)&gt;0,ISNUMBER('Providers'!M461)),1,0)</f>
        <v/>
      </c>
      <c r="B1961">
        <f>B1960+A1961</f>
        <v/>
      </c>
      <c r="C1961">
        <f>IF(1958&gt;$B$4503,"",MATCH(1958-0.5,$B$3:$B$4503,1))</f>
        <v/>
      </c>
      <c r="D1961">
        <f>"Board certification – "&amp;IF(LEN(INDEX('Providers'!$A$4:$A$503,458))=0,"",INDEX('Providers'!$A$4:$A$503,458))</f>
        <v/>
      </c>
      <c r="E1961">
        <f>IF(ISNUMBER(INDEX('Providers'!$M$4:$M$503,458)),TEXT(INDEX('Providers'!$M$4:$M$503,458),"yyyy-mm-dd"),"")</f>
        <v/>
      </c>
      <c r="F1961">
        <f>"Certification"</f>
        <v/>
      </c>
      <c r="G1961">
        <f>""</f>
        <v/>
      </c>
      <c r="H1961">
        <f>"Medium"</f>
        <v/>
      </c>
      <c r="I1961">
        <f>TRIM(IF(LEN(IF(LEN(INDEX('Providers'!$L$4:$L$503,458))=0,"",INDEX('Providers'!$L$4:$L$503,458)))=0,"","Board / specialty: "&amp;IF(LEN(INDEX('Providers'!$L$4:$L$503,458))=0,"",INDEX('Providers'!$L$4:$L$503,458))&amp;". "))</f>
        <v/>
      </c>
      <c r="J1961">
        <f>IF(LEN(INDEX('Providers'!$AJ$4:$AJ$503,458))=0,"",INDEX('Providers'!$AJ$4:$AJ$503,458))</f>
        <v/>
      </c>
      <c r="K1961">
        <f>IF(LEN(INDEX('Providers'!$AI$4:$AI$503,458))=0,"",INDEX('Providers'!$AI$4:$AI$503,458))</f>
        <v/>
      </c>
    </row>
    <row r="1962">
      <c r="A1962">
        <f>IF(AND(LEN('Providers'!A462)&gt;0,ISNUMBER('Providers'!M462)),1,0)</f>
        <v/>
      </c>
      <c r="B1962">
        <f>B1961+A1962</f>
        <v/>
      </c>
      <c r="C1962">
        <f>IF(1959&gt;$B$4503,"",MATCH(1959-0.5,$B$3:$B$4503,1))</f>
        <v/>
      </c>
      <c r="D1962">
        <f>"Board certification – "&amp;IF(LEN(INDEX('Providers'!$A$4:$A$503,459))=0,"",INDEX('Providers'!$A$4:$A$503,459))</f>
        <v/>
      </c>
      <c r="E1962">
        <f>IF(ISNUMBER(INDEX('Providers'!$M$4:$M$503,459)),TEXT(INDEX('Providers'!$M$4:$M$503,459),"yyyy-mm-dd"),"")</f>
        <v/>
      </c>
      <c r="F1962">
        <f>"Certification"</f>
        <v/>
      </c>
      <c r="G1962">
        <f>""</f>
        <v/>
      </c>
      <c r="H1962">
        <f>"Medium"</f>
        <v/>
      </c>
      <c r="I1962">
        <f>TRIM(IF(LEN(IF(LEN(INDEX('Providers'!$L$4:$L$503,459))=0,"",INDEX('Providers'!$L$4:$L$503,459)))=0,"","Board / specialty: "&amp;IF(LEN(INDEX('Providers'!$L$4:$L$503,459))=0,"",INDEX('Providers'!$L$4:$L$503,459))&amp;". "))</f>
        <v/>
      </c>
      <c r="J1962">
        <f>IF(LEN(INDEX('Providers'!$AJ$4:$AJ$503,459))=0,"",INDEX('Providers'!$AJ$4:$AJ$503,459))</f>
        <v/>
      </c>
      <c r="K1962">
        <f>IF(LEN(INDEX('Providers'!$AI$4:$AI$503,459))=0,"",INDEX('Providers'!$AI$4:$AI$503,459))</f>
        <v/>
      </c>
    </row>
    <row r="1963">
      <c r="A1963">
        <f>IF(AND(LEN('Providers'!A463)&gt;0,ISNUMBER('Providers'!M463)),1,0)</f>
        <v/>
      </c>
      <c r="B1963">
        <f>B1962+A1963</f>
        <v/>
      </c>
      <c r="C1963">
        <f>IF(1960&gt;$B$4503,"",MATCH(1960-0.5,$B$3:$B$4503,1))</f>
        <v/>
      </c>
      <c r="D1963">
        <f>"Board certification – "&amp;IF(LEN(INDEX('Providers'!$A$4:$A$503,460))=0,"",INDEX('Providers'!$A$4:$A$503,460))</f>
        <v/>
      </c>
      <c r="E1963">
        <f>IF(ISNUMBER(INDEX('Providers'!$M$4:$M$503,460)),TEXT(INDEX('Providers'!$M$4:$M$503,460),"yyyy-mm-dd"),"")</f>
        <v/>
      </c>
      <c r="F1963">
        <f>"Certification"</f>
        <v/>
      </c>
      <c r="G1963">
        <f>""</f>
        <v/>
      </c>
      <c r="H1963">
        <f>"Medium"</f>
        <v/>
      </c>
      <c r="I1963">
        <f>TRIM(IF(LEN(IF(LEN(INDEX('Providers'!$L$4:$L$503,460))=0,"",INDEX('Providers'!$L$4:$L$503,460)))=0,"","Board / specialty: "&amp;IF(LEN(INDEX('Providers'!$L$4:$L$503,460))=0,"",INDEX('Providers'!$L$4:$L$503,460))&amp;". "))</f>
        <v/>
      </c>
      <c r="J1963">
        <f>IF(LEN(INDEX('Providers'!$AJ$4:$AJ$503,460))=0,"",INDEX('Providers'!$AJ$4:$AJ$503,460))</f>
        <v/>
      </c>
      <c r="K1963">
        <f>IF(LEN(INDEX('Providers'!$AI$4:$AI$503,460))=0,"",INDEX('Providers'!$AI$4:$AI$503,460))</f>
        <v/>
      </c>
    </row>
    <row r="1964">
      <c r="A1964">
        <f>IF(AND(LEN('Providers'!A464)&gt;0,ISNUMBER('Providers'!M464)),1,0)</f>
        <v/>
      </c>
      <c r="B1964">
        <f>B1963+A1964</f>
        <v/>
      </c>
      <c r="C1964">
        <f>IF(1961&gt;$B$4503,"",MATCH(1961-0.5,$B$3:$B$4503,1))</f>
        <v/>
      </c>
      <c r="D1964">
        <f>"Board certification – "&amp;IF(LEN(INDEX('Providers'!$A$4:$A$503,461))=0,"",INDEX('Providers'!$A$4:$A$503,461))</f>
        <v/>
      </c>
      <c r="E1964">
        <f>IF(ISNUMBER(INDEX('Providers'!$M$4:$M$503,461)),TEXT(INDEX('Providers'!$M$4:$M$503,461),"yyyy-mm-dd"),"")</f>
        <v/>
      </c>
      <c r="F1964">
        <f>"Certification"</f>
        <v/>
      </c>
      <c r="G1964">
        <f>""</f>
        <v/>
      </c>
      <c r="H1964">
        <f>"Medium"</f>
        <v/>
      </c>
      <c r="I1964">
        <f>TRIM(IF(LEN(IF(LEN(INDEX('Providers'!$L$4:$L$503,461))=0,"",INDEX('Providers'!$L$4:$L$503,461)))=0,"","Board / specialty: "&amp;IF(LEN(INDEX('Providers'!$L$4:$L$503,461))=0,"",INDEX('Providers'!$L$4:$L$503,461))&amp;". "))</f>
        <v/>
      </c>
      <c r="J1964">
        <f>IF(LEN(INDEX('Providers'!$AJ$4:$AJ$503,461))=0,"",INDEX('Providers'!$AJ$4:$AJ$503,461))</f>
        <v/>
      </c>
      <c r="K1964">
        <f>IF(LEN(INDEX('Providers'!$AI$4:$AI$503,461))=0,"",INDEX('Providers'!$AI$4:$AI$503,461))</f>
        <v/>
      </c>
    </row>
    <row r="1965">
      <c r="A1965">
        <f>IF(AND(LEN('Providers'!A465)&gt;0,ISNUMBER('Providers'!M465)),1,0)</f>
        <v/>
      </c>
      <c r="B1965">
        <f>B1964+A1965</f>
        <v/>
      </c>
      <c r="C1965">
        <f>IF(1962&gt;$B$4503,"",MATCH(1962-0.5,$B$3:$B$4503,1))</f>
        <v/>
      </c>
      <c r="D1965">
        <f>"Board certification – "&amp;IF(LEN(INDEX('Providers'!$A$4:$A$503,462))=0,"",INDEX('Providers'!$A$4:$A$503,462))</f>
        <v/>
      </c>
      <c r="E1965">
        <f>IF(ISNUMBER(INDEX('Providers'!$M$4:$M$503,462)),TEXT(INDEX('Providers'!$M$4:$M$503,462),"yyyy-mm-dd"),"")</f>
        <v/>
      </c>
      <c r="F1965">
        <f>"Certification"</f>
        <v/>
      </c>
      <c r="G1965">
        <f>""</f>
        <v/>
      </c>
      <c r="H1965">
        <f>"Medium"</f>
        <v/>
      </c>
      <c r="I1965">
        <f>TRIM(IF(LEN(IF(LEN(INDEX('Providers'!$L$4:$L$503,462))=0,"",INDEX('Providers'!$L$4:$L$503,462)))=0,"","Board / specialty: "&amp;IF(LEN(INDEX('Providers'!$L$4:$L$503,462))=0,"",INDEX('Providers'!$L$4:$L$503,462))&amp;". "))</f>
        <v/>
      </c>
      <c r="J1965">
        <f>IF(LEN(INDEX('Providers'!$AJ$4:$AJ$503,462))=0,"",INDEX('Providers'!$AJ$4:$AJ$503,462))</f>
        <v/>
      </c>
      <c r="K1965">
        <f>IF(LEN(INDEX('Providers'!$AI$4:$AI$503,462))=0,"",INDEX('Providers'!$AI$4:$AI$503,462))</f>
        <v/>
      </c>
    </row>
    <row r="1966">
      <c r="A1966">
        <f>IF(AND(LEN('Providers'!A466)&gt;0,ISNUMBER('Providers'!M466)),1,0)</f>
        <v/>
      </c>
      <c r="B1966">
        <f>B1965+A1966</f>
        <v/>
      </c>
      <c r="C1966">
        <f>IF(1963&gt;$B$4503,"",MATCH(1963-0.5,$B$3:$B$4503,1))</f>
        <v/>
      </c>
      <c r="D1966">
        <f>"Board certification – "&amp;IF(LEN(INDEX('Providers'!$A$4:$A$503,463))=0,"",INDEX('Providers'!$A$4:$A$503,463))</f>
        <v/>
      </c>
      <c r="E1966">
        <f>IF(ISNUMBER(INDEX('Providers'!$M$4:$M$503,463)),TEXT(INDEX('Providers'!$M$4:$M$503,463),"yyyy-mm-dd"),"")</f>
        <v/>
      </c>
      <c r="F1966">
        <f>"Certification"</f>
        <v/>
      </c>
      <c r="G1966">
        <f>""</f>
        <v/>
      </c>
      <c r="H1966">
        <f>"Medium"</f>
        <v/>
      </c>
      <c r="I1966">
        <f>TRIM(IF(LEN(IF(LEN(INDEX('Providers'!$L$4:$L$503,463))=0,"",INDEX('Providers'!$L$4:$L$503,463)))=0,"","Board / specialty: "&amp;IF(LEN(INDEX('Providers'!$L$4:$L$503,463))=0,"",INDEX('Providers'!$L$4:$L$503,463))&amp;". "))</f>
        <v/>
      </c>
      <c r="J1966">
        <f>IF(LEN(INDEX('Providers'!$AJ$4:$AJ$503,463))=0,"",INDEX('Providers'!$AJ$4:$AJ$503,463))</f>
        <v/>
      </c>
      <c r="K1966">
        <f>IF(LEN(INDEX('Providers'!$AI$4:$AI$503,463))=0,"",INDEX('Providers'!$AI$4:$AI$503,463))</f>
        <v/>
      </c>
    </row>
    <row r="1967">
      <c r="A1967">
        <f>IF(AND(LEN('Providers'!A467)&gt;0,ISNUMBER('Providers'!M467)),1,0)</f>
        <v/>
      </c>
      <c r="B1967">
        <f>B1966+A1967</f>
        <v/>
      </c>
      <c r="C1967">
        <f>IF(1964&gt;$B$4503,"",MATCH(1964-0.5,$B$3:$B$4503,1))</f>
        <v/>
      </c>
      <c r="D1967">
        <f>"Board certification – "&amp;IF(LEN(INDEX('Providers'!$A$4:$A$503,464))=0,"",INDEX('Providers'!$A$4:$A$503,464))</f>
        <v/>
      </c>
      <c r="E1967">
        <f>IF(ISNUMBER(INDEX('Providers'!$M$4:$M$503,464)),TEXT(INDEX('Providers'!$M$4:$M$503,464),"yyyy-mm-dd"),"")</f>
        <v/>
      </c>
      <c r="F1967">
        <f>"Certification"</f>
        <v/>
      </c>
      <c r="G1967">
        <f>""</f>
        <v/>
      </c>
      <c r="H1967">
        <f>"Medium"</f>
        <v/>
      </c>
      <c r="I1967">
        <f>TRIM(IF(LEN(IF(LEN(INDEX('Providers'!$L$4:$L$503,464))=0,"",INDEX('Providers'!$L$4:$L$503,464)))=0,"","Board / specialty: "&amp;IF(LEN(INDEX('Providers'!$L$4:$L$503,464))=0,"",INDEX('Providers'!$L$4:$L$503,464))&amp;". "))</f>
        <v/>
      </c>
      <c r="J1967">
        <f>IF(LEN(INDEX('Providers'!$AJ$4:$AJ$503,464))=0,"",INDEX('Providers'!$AJ$4:$AJ$503,464))</f>
        <v/>
      </c>
      <c r="K1967">
        <f>IF(LEN(INDEX('Providers'!$AI$4:$AI$503,464))=0,"",INDEX('Providers'!$AI$4:$AI$503,464))</f>
        <v/>
      </c>
    </row>
    <row r="1968">
      <c r="A1968">
        <f>IF(AND(LEN('Providers'!A468)&gt;0,ISNUMBER('Providers'!M468)),1,0)</f>
        <v/>
      </c>
      <c r="B1968">
        <f>B1967+A1968</f>
        <v/>
      </c>
      <c r="C1968">
        <f>IF(1965&gt;$B$4503,"",MATCH(1965-0.5,$B$3:$B$4503,1))</f>
        <v/>
      </c>
      <c r="D1968">
        <f>"Board certification – "&amp;IF(LEN(INDEX('Providers'!$A$4:$A$503,465))=0,"",INDEX('Providers'!$A$4:$A$503,465))</f>
        <v/>
      </c>
      <c r="E1968">
        <f>IF(ISNUMBER(INDEX('Providers'!$M$4:$M$503,465)),TEXT(INDEX('Providers'!$M$4:$M$503,465),"yyyy-mm-dd"),"")</f>
        <v/>
      </c>
      <c r="F1968">
        <f>"Certification"</f>
        <v/>
      </c>
      <c r="G1968">
        <f>""</f>
        <v/>
      </c>
      <c r="H1968">
        <f>"Medium"</f>
        <v/>
      </c>
      <c r="I1968">
        <f>TRIM(IF(LEN(IF(LEN(INDEX('Providers'!$L$4:$L$503,465))=0,"",INDEX('Providers'!$L$4:$L$503,465)))=0,"","Board / specialty: "&amp;IF(LEN(INDEX('Providers'!$L$4:$L$503,465))=0,"",INDEX('Providers'!$L$4:$L$503,465))&amp;". "))</f>
        <v/>
      </c>
      <c r="J1968">
        <f>IF(LEN(INDEX('Providers'!$AJ$4:$AJ$503,465))=0,"",INDEX('Providers'!$AJ$4:$AJ$503,465))</f>
        <v/>
      </c>
      <c r="K1968">
        <f>IF(LEN(INDEX('Providers'!$AI$4:$AI$503,465))=0,"",INDEX('Providers'!$AI$4:$AI$503,465))</f>
        <v/>
      </c>
    </row>
    <row r="1969">
      <c r="A1969">
        <f>IF(AND(LEN('Providers'!A469)&gt;0,ISNUMBER('Providers'!M469)),1,0)</f>
        <v/>
      </c>
      <c r="B1969">
        <f>B1968+A1969</f>
        <v/>
      </c>
      <c r="C1969">
        <f>IF(1966&gt;$B$4503,"",MATCH(1966-0.5,$B$3:$B$4503,1))</f>
        <v/>
      </c>
      <c r="D1969">
        <f>"Board certification – "&amp;IF(LEN(INDEX('Providers'!$A$4:$A$503,466))=0,"",INDEX('Providers'!$A$4:$A$503,466))</f>
        <v/>
      </c>
      <c r="E1969">
        <f>IF(ISNUMBER(INDEX('Providers'!$M$4:$M$503,466)),TEXT(INDEX('Providers'!$M$4:$M$503,466),"yyyy-mm-dd"),"")</f>
        <v/>
      </c>
      <c r="F1969">
        <f>"Certification"</f>
        <v/>
      </c>
      <c r="G1969">
        <f>""</f>
        <v/>
      </c>
      <c r="H1969">
        <f>"Medium"</f>
        <v/>
      </c>
      <c r="I1969">
        <f>TRIM(IF(LEN(IF(LEN(INDEX('Providers'!$L$4:$L$503,466))=0,"",INDEX('Providers'!$L$4:$L$503,466)))=0,"","Board / specialty: "&amp;IF(LEN(INDEX('Providers'!$L$4:$L$503,466))=0,"",INDEX('Providers'!$L$4:$L$503,466))&amp;". "))</f>
        <v/>
      </c>
      <c r="J1969">
        <f>IF(LEN(INDEX('Providers'!$AJ$4:$AJ$503,466))=0,"",INDEX('Providers'!$AJ$4:$AJ$503,466))</f>
        <v/>
      </c>
      <c r="K1969">
        <f>IF(LEN(INDEX('Providers'!$AI$4:$AI$503,466))=0,"",INDEX('Providers'!$AI$4:$AI$503,466))</f>
        <v/>
      </c>
    </row>
    <row r="1970">
      <c r="A1970">
        <f>IF(AND(LEN('Providers'!A470)&gt;0,ISNUMBER('Providers'!M470)),1,0)</f>
        <v/>
      </c>
      <c r="B1970">
        <f>B1969+A1970</f>
        <v/>
      </c>
      <c r="C1970">
        <f>IF(1967&gt;$B$4503,"",MATCH(1967-0.5,$B$3:$B$4503,1))</f>
        <v/>
      </c>
      <c r="D1970">
        <f>"Board certification – "&amp;IF(LEN(INDEX('Providers'!$A$4:$A$503,467))=0,"",INDEX('Providers'!$A$4:$A$503,467))</f>
        <v/>
      </c>
      <c r="E1970">
        <f>IF(ISNUMBER(INDEX('Providers'!$M$4:$M$503,467)),TEXT(INDEX('Providers'!$M$4:$M$503,467),"yyyy-mm-dd"),"")</f>
        <v/>
      </c>
      <c r="F1970">
        <f>"Certification"</f>
        <v/>
      </c>
      <c r="G1970">
        <f>""</f>
        <v/>
      </c>
      <c r="H1970">
        <f>"Medium"</f>
        <v/>
      </c>
      <c r="I1970">
        <f>TRIM(IF(LEN(IF(LEN(INDEX('Providers'!$L$4:$L$503,467))=0,"",INDEX('Providers'!$L$4:$L$503,467)))=0,"","Board / specialty: "&amp;IF(LEN(INDEX('Providers'!$L$4:$L$503,467))=0,"",INDEX('Providers'!$L$4:$L$503,467))&amp;". "))</f>
        <v/>
      </c>
      <c r="J1970">
        <f>IF(LEN(INDEX('Providers'!$AJ$4:$AJ$503,467))=0,"",INDEX('Providers'!$AJ$4:$AJ$503,467))</f>
        <v/>
      </c>
      <c r="K1970">
        <f>IF(LEN(INDEX('Providers'!$AI$4:$AI$503,467))=0,"",INDEX('Providers'!$AI$4:$AI$503,467))</f>
        <v/>
      </c>
    </row>
    <row r="1971">
      <c r="A1971">
        <f>IF(AND(LEN('Providers'!A471)&gt;0,ISNUMBER('Providers'!M471)),1,0)</f>
        <v/>
      </c>
      <c r="B1971">
        <f>B1970+A1971</f>
        <v/>
      </c>
      <c r="C1971">
        <f>IF(1968&gt;$B$4503,"",MATCH(1968-0.5,$B$3:$B$4503,1))</f>
        <v/>
      </c>
      <c r="D1971">
        <f>"Board certification – "&amp;IF(LEN(INDEX('Providers'!$A$4:$A$503,468))=0,"",INDEX('Providers'!$A$4:$A$503,468))</f>
        <v/>
      </c>
      <c r="E1971">
        <f>IF(ISNUMBER(INDEX('Providers'!$M$4:$M$503,468)),TEXT(INDEX('Providers'!$M$4:$M$503,468),"yyyy-mm-dd"),"")</f>
        <v/>
      </c>
      <c r="F1971">
        <f>"Certification"</f>
        <v/>
      </c>
      <c r="G1971">
        <f>""</f>
        <v/>
      </c>
      <c r="H1971">
        <f>"Medium"</f>
        <v/>
      </c>
      <c r="I1971">
        <f>TRIM(IF(LEN(IF(LEN(INDEX('Providers'!$L$4:$L$503,468))=0,"",INDEX('Providers'!$L$4:$L$503,468)))=0,"","Board / specialty: "&amp;IF(LEN(INDEX('Providers'!$L$4:$L$503,468))=0,"",INDEX('Providers'!$L$4:$L$503,468))&amp;". "))</f>
        <v/>
      </c>
      <c r="J1971">
        <f>IF(LEN(INDEX('Providers'!$AJ$4:$AJ$503,468))=0,"",INDEX('Providers'!$AJ$4:$AJ$503,468))</f>
        <v/>
      </c>
      <c r="K1971">
        <f>IF(LEN(INDEX('Providers'!$AI$4:$AI$503,468))=0,"",INDEX('Providers'!$AI$4:$AI$503,468))</f>
        <v/>
      </c>
    </row>
    <row r="1972">
      <c r="A1972">
        <f>IF(AND(LEN('Providers'!A472)&gt;0,ISNUMBER('Providers'!M472)),1,0)</f>
        <v/>
      </c>
      <c r="B1972">
        <f>B1971+A1972</f>
        <v/>
      </c>
      <c r="C1972">
        <f>IF(1969&gt;$B$4503,"",MATCH(1969-0.5,$B$3:$B$4503,1))</f>
        <v/>
      </c>
      <c r="D1972">
        <f>"Board certification – "&amp;IF(LEN(INDEX('Providers'!$A$4:$A$503,469))=0,"",INDEX('Providers'!$A$4:$A$503,469))</f>
        <v/>
      </c>
      <c r="E1972">
        <f>IF(ISNUMBER(INDEX('Providers'!$M$4:$M$503,469)),TEXT(INDEX('Providers'!$M$4:$M$503,469),"yyyy-mm-dd"),"")</f>
        <v/>
      </c>
      <c r="F1972">
        <f>"Certification"</f>
        <v/>
      </c>
      <c r="G1972">
        <f>""</f>
        <v/>
      </c>
      <c r="H1972">
        <f>"Medium"</f>
        <v/>
      </c>
      <c r="I1972">
        <f>TRIM(IF(LEN(IF(LEN(INDEX('Providers'!$L$4:$L$503,469))=0,"",INDEX('Providers'!$L$4:$L$503,469)))=0,"","Board / specialty: "&amp;IF(LEN(INDEX('Providers'!$L$4:$L$503,469))=0,"",INDEX('Providers'!$L$4:$L$503,469))&amp;". "))</f>
        <v/>
      </c>
      <c r="J1972">
        <f>IF(LEN(INDEX('Providers'!$AJ$4:$AJ$503,469))=0,"",INDEX('Providers'!$AJ$4:$AJ$503,469))</f>
        <v/>
      </c>
      <c r="K1972">
        <f>IF(LEN(INDEX('Providers'!$AI$4:$AI$503,469))=0,"",INDEX('Providers'!$AI$4:$AI$503,469))</f>
        <v/>
      </c>
    </row>
    <row r="1973">
      <c r="A1973">
        <f>IF(AND(LEN('Providers'!A473)&gt;0,ISNUMBER('Providers'!M473)),1,0)</f>
        <v/>
      </c>
      <c r="B1973">
        <f>B1972+A1973</f>
        <v/>
      </c>
      <c r="C1973">
        <f>IF(1970&gt;$B$4503,"",MATCH(1970-0.5,$B$3:$B$4503,1))</f>
        <v/>
      </c>
      <c r="D1973">
        <f>"Board certification – "&amp;IF(LEN(INDEX('Providers'!$A$4:$A$503,470))=0,"",INDEX('Providers'!$A$4:$A$503,470))</f>
        <v/>
      </c>
      <c r="E1973">
        <f>IF(ISNUMBER(INDEX('Providers'!$M$4:$M$503,470)),TEXT(INDEX('Providers'!$M$4:$M$503,470),"yyyy-mm-dd"),"")</f>
        <v/>
      </c>
      <c r="F1973">
        <f>"Certification"</f>
        <v/>
      </c>
      <c r="G1973">
        <f>""</f>
        <v/>
      </c>
      <c r="H1973">
        <f>"Medium"</f>
        <v/>
      </c>
      <c r="I1973">
        <f>TRIM(IF(LEN(IF(LEN(INDEX('Providers'!$L$4:$L$503,470))=0,"",INDEX('Providers'!$L$4:$L$503,470)))=0,"","Board / specialty: "&amp;IF(LEN(INDEX('Providers'!$L$4:$L$503,470))=0,"",INDEX('Providers'!$L$4:$L$503,470))&amp;". "))</f>
        <v/>
      </c>
      <c r="J1973">
        <f>IF(LEN(INDEX('Providers'!$AJ$4:$AJ$503,470))=0,"",INDEX('Providers'!$AJ$4:$AJ$503,470))</f>
        <v/>
      </c>
      <c r="K1973">
        <f>IF(LEN(INDEX('Providers'!$AI$4:$AI$503,470))=0,"",INDEX('Providers'!$AI$4:$AI$503,470))</f>
        <v/>
      </c>
    </row>
    <row r="1974">
      <c r="A1974">
        <f>IF(AND(LEN('Providers'!A474)&gt;0,ISNUMBER('Providers'!M474)),1,0)</f>
        <v/>
      </c>
      <c r="B1974">
        <f>B1973+A1974</f>
        <v/>
      </c>
      <c r="C1974">
        <f>IF(1971&gt;$B$4503,"",MATCH(1971-0.5,$B$3:$B$4503,1))</f>
        <v/>
      </c>
      <c r="D1974">
        <f>"Board certification – "&amp;IF(LEN(INDEX('Providers'!$A$4:$A$503,471))=0,"",INDEX('Providers'!$A$4:$A$503,471))</f>
        <v/>
      </c>
      <c r="E1974">
        <f>IF(ISNUMBER(INDEX('Providers'!$M$4:$M$503,471)),TEXT(INDEX('Providers'!$M$4:$M$503,471),"yyyy-mm-dd"),"")</f>
        <v/>
      </c>
      <c r="F1974">
        <f>"Certification"</f>
        <v/>
      </c>
      <c r="G1974">
        <f>""</f>
        <v/>
      </c>
      <c r="H1974">
        <f>"Medium"</f>
        <v/>
      </c>
      <c r="I1974">
        <f>TRIM(IF(LEN(IF(LEN(INDEX('Providers'!$L$4:$L$503,471))=0,"",INDEX('Providers'!$L$4:$L$503,471)))=0,"","Board / specialty: "&amp;IF(LEN(INDEX('Providers'!$L$4:$L$503,471))=0,"",INDEX('Providers'!$L$4:$L$503,471))&amp;". "))</f>
        <v/>
      </c>
      <c r="J1974">
        <f>IF(LEN(INDEX('Providers'!$AJ$4:$AJ$503,471))=0,"",INDEX('Providers'!$AJ$4:$AJ$503,471))</f>
        <v/>
      </c>
      <c r="K1974">
        <f>IF(LEN(INDEX('Providers'!$AI$4:$AI$503,471))=0,"",INDEX('Providers'!$AI$4:$AI$503,471))</f>
        <v/>
      </c>
    </row>
    <row r="1975">
      <c r="A1975">
        <f>IF(AND(LEN('Providers'!A475)&gt;0,ISNUMBER('Providers'!M475)),1,0)</f>
        <v/>
      </c>
      <c r="B1975">
        <f>B1974+A1975</f>
        <v/>
      </c>
      <c r="C1975">
        <f>IF(1972&gt;$B$4503,"",MATCH(1972-0.5,$B$3:$B$4503,1))</f>
        <v/>
      </c>
      <c r="D1975">
        <f>"Board certification – "&amp;IF(LEN(INDEX('Providers'!$A$4:$A$503,472))=0,"",INDEX('Providers'!$A$4:$A$503,472))</f>
        <v/>
      </c>
      <c r="E1975">
        <f>IF(ISNUMBER(INDEX('Providers'!$M$4:$M$503,472)),TEXT(INDEX('Providers'!$M$4:$M$503,472),"yyyy-mm-dd"),"")</f>
        <v/>
      </c>
      <c r="F1975">
        <f>"Certification"</f>
        <v/>
      </c>
      <c r="G1975">
        <f>""</f>
        <v/>
      </c>
      <c r="H1975">
        <f>"Medium"</f>
        <v/>
      </c>
      <c r="I1975">
        <f>TRIM(IF(LEN(IF(LEN(INDEX('Providers'!$L$4:$L$503,472))=0,"",INDEX('Providers'!$L$4:$L$503,472)))=0,"","Board / specialty: "&amp;IF(LEN(INDEX('Providers'!$L$4:$L$503,472))=0,"",INDEX('Providers'!$L$4:$L$503,472))&amp;". "))</f>
        <v/>
      </c>
      <c r="J1975">
        <f>IF(LEN(INDEX('Providers'!$AJ$4:$AJ$503,472))=0,"",INDEX('Providers'!$AJ$4:$AJ$503,472))</f>
        <v/>
      </c>
      <c r="K1975">
        <f>IF(LEN(INDEX('Providers'!$AI$4:$AI$503,472))=0,"",INDEX('Providers'!$AI$4:$AI$503,472))</f>
        <v/>
      </c>
    </row>
    <row r="1976">
      <c r="A1976">
        <f>IF(AND(LEN('Providers'!A476)&gt;0,ISNUMBER('Providers'!M476)),1,0)</f>
        <v/>
      </c>
      <c r="B1976">
        <f>B1975+A1976</f>
        <v/>
      </c>
      <c r="C1976">
        <f>IF(1973&gt;$B$4503,"",MATCH(1973-0.5,$B$3:$B$4503,1))</f>
        <v/>
      </c>
      <c r="D1976">
        <f>"Board certification – "&amp;IF(LEN(INDEX('Providers'!$A$4:$A$503,473))=0,"",INDEX('Providers'!$A$4:$A$503,473))</f>
        <v/>
      </c>
      <c r="E1976">
        <f>IF(ISNUMBER(INDEX('Providers'!$M$4:$M$503,473)),TEXT(INDEX('Providers'!$M$4:$M$503,473),"yyyy-mm-dd"),"")</f>
        <v/>
      </c>
      <c r="F1976">
        <f>"Certification"</f>
        <v/>
      </c>
      <c r="G1976">
        <f>""</f>
        <v/>
      </c>
      <c r="H1976">
        <f>"Medium"</f>
        <v/>
      </c>
      <c r="I1976">
        <f>TRIM(IF(LEN(IF(LEN(INDEX('Providers'!$L$4:$L$503,473))=0,"",INDEX('Providers'!$L$4:$L$503,473)))=0,"","Board / specialty: "&amp;IF(LEN(INDEX('Providers'!$L$4:$L$503,473))=0,"",INDEX('Providers'!$L$4:$L$503,473))&amp;". "))</f>
        <v/>
      </c>
      <c r="J1976">
        <f>IF(LEN(INDEX('Providers'!$AJ$4:$AJ$503,473))=0,"",INDEX('Providers'!$AJ$4:$AJ$503,473))</f>
        <v/>
      </c>
      <c r="K1976">
        <f>IF(LEN(INDEX('Providers'!$AI$4:$AI$503,473))=0,"",INDEX('Providers'!$AI$4:$AI$503,473))</f>
        <v/>
      </c>
    </row>
    <row r="1977">
      <c r="A1977">
        <f>IF(AND(LEN('Providers'!A477)&gt;0,ISNUMBER('Providers'!M477)),1,0)</f>
        <v/>
      </c>
      <c r="B1977">
        <f>B1976+A1977</f>
        <v/>
      </c>
      <c r="C1977">
        <f>IF(1974&gt;$B$4503,"",MATCH(1974-0.5,$B$3:$B$4503,1))</f>
        <v/>
      </c>
      <c r="D1977">
        <f>"Board certification – "&amp;IF(LEN(INDEX('Providers'!$A$4:$A$503,474))=0,"",INDEX('Providers'!$A$4:$A$503,474))</f>
        <v/>
      </c>
      <c r="E1977">
        <f>IF(ISNUMBER(INDEX('Providers'!$M$4:$M$503,474)),TEXT(INDEX('Providers'!$M$4:$M$503,474),"yyyy-mm-dd"),"")</f>
        <v/>
      </c>
      <c r="F1977">
        <f>"Certification"</f>
        <v/>
      </c>
      <c r="G1977">
        <f>""</f>
        <v/>
      </c>
      <c r="H1977">
        <f>"Medium"</f>
        <v/>
      </c>
      <c r="I1977">
        <f>TRIM(IF(LEN(IF(LEN(INDEX('Providers'!$L$4:$L$503,474))=0,"",INDEX('Providers'!$L$4:$L$503,474)))=0,"","Board / specialty: "&amp;IF(LEN(INDEX('Providers'!$L$4:$L$503,474))=0,"",INDEX('Providers'!$L$4:$L$503,474))&amp;". "))</f>
        <v/>
      </c>
      <c r="J1977">
        <f>IF(LEN(INDEX('Providers'!$AJ$4:$AJ$503,474))=0,"",INDEX('Providers'!$AJ$4:$AJ$503,474))</f>
        <v/>
      </c>
      <c r="K1977">
        <f>IF(LEN(INDEX('Providers'!$AI$4:$AI$503,474))=0,"",INDEX('Providers'!$AI$4:$AI$503,474))</f>
        <v/>
      </c>
    </row>
    <row r="1978">
      <c r="A1978">
        <f>IF(AND(LEN('Providers'!A478)&gt;0,ISNUMBER('Providers'!M478)),1,0)</f>
        <v/>
      </c>
      <c r="B1978">
        <f>B1977+A1978</f>
        <v/>
      </c>
      <c r="C1978">
        <f>IF(1975&gt;$B$4503,"",MATCH(1975-0.5,$B$3:$B$4503,1))</f>
        <v/>
      </c>
      <c r="D1978">
        <f>"Board certification – "&amp;IF(LEN(INDEX('Providers'!$A$4:$A$503,475))=0,"",INDEX('Providers'!$A$4:$A$503,475))</f>
        <v/>
      </c>
      <c r="E1978">
        <f>IF(ISNUMBER(INDEX('Providers'!$M$4:$M$503,475)),TEXT(INDEX('Providers'!$M$4:$M$503,475),"yyyy-mm-dd"),"")</f>
        <v/>
      </c>
      <c r="F1978">
        <f>"Certification"</f>
        <v/>
      </c>
      <c r="G1978">
        <f>""</f>
        <v/>
      </c>
      <c r="H1978">
        <f>"Medium"</f>
        <v/>
      </c>
      <c r="I1978">
        <f>TRIM(IF(LEN(IF(LEN(INDEX('Providers'!$L$4:$L$503,475))=0,"",INDEX('Providers'!$L$4:$L$503,475)))=0,"","Board / specialty: "&amp;IF(LEN(INDEX('Providers'!$L$4:$L$503,475))=0,"",INDEX('Providers'!$L$4:$L$503,475))&amp;". "))</f>
        <v/>
      </c>
      <c r="J1978">
        <f>IF(LEN(INDEX('Providers'!$AJ$4:$AJ$503,475))=0,"",INDEX('Providers'!$AJ$4:$AJ$503,475))</f>
        <v/>
      </c>
      <c r="K1978">
        <f>IF(LEN(INDEX('Providers'!$AI$4:$AI$503,475))=0,"",INDEX('Providers'!$AI$4:$AI$503,475))</f>
        <v/>
      </c>
    </row>
    <row r="1979">
      <c r="A1979">
        <f>IF(AND(LEN('Providers'!A479)&gt;0,ISNUMBER('Providers'!M479)),1,0)</f>
        <v/>
      </c>
      <c r="B1979">
        <f>B1978+A1979</f>
        <v/>
      </c>
      <c r="C1979">
        <f>IF(1976&gt;$B$4503,"",MATCH(1976-0.5,$B$3:$B$4503,1))</f>
        <v/>
      </c>
      <c r="D1979">
        <f>"Board certification – "&amp;IF(LEN(INDEX('Providers'!$A$4:$A$503,476))=0,"",INDEX('Providers'!$A$4:$A$503,476))</f>
        <v/>
      </c>
      <c r="E1979">
        <f>IF(ISNUMBER(INDEX('Providers'!$M$4:$M$503,476)),TEXT(INDEX('Providers'!$M$4:$M$503,476),"yyyy-mm-dd"),"")</f>
        <v/>
      </c>
      <c r="F1979">
        <f>"Certification"</f>
        <v/>
      </c>
      <c r="G1979">
        <f>""</f>
        <v/>
      </c>
      <c r="H1979">
        <f>"Medium"</f>
        <v/>
      </c>
      <c r="I1979">
        <f>TRIM(IF(LEN(IF(LEN(INDEX('Providers'!$L$4:$L$503,476))=0,"",INDEX('Providers'!$L$4:$L$503,476)))=0,"","Board / specialty: "&amp;IF(LEN(INDEX('Providers'!$L$4:$L$503,476))=0,"",INDEX('Providers'!$L$4:$L$503,476))&amp;". "))</f>
        <v/>
      </c>
      <c r="J1979">
        <f>IF(LEN(INDEX('Providers'!$AJ$4:$AJ$503,476))=0,"",INDEX('Providers'!$AJ$4:$AJ$503,476))</f>
        <v/>
      </c>
      <c r="K1979">
        <f>IF(LEN(INDEX('Providers'!$AI$4:$AI$503,476))=0,"",INDEX('Providers'!$AI$4:$AI$503,476))</f>
        <v/>
      </c>
    </row>
    <row r="1980">
      <c r="A1980">
        <f>IF(AND(LEN('Providers'!A480)&gt;0,ISNUMBER('Providers'!M480)),1,0)</f>
        <v/>
      </c>
      <c r="B1980">
        <f>B1979+A1980</f>
        <v/>
      </c>
      <c r="C1980">
        <f>IF(1977&gt;$B$4503,"",MATCH(1977-0.5,$B$3:$B$4503,1))</f>
        <v/>
      </c>
      <c r="D1980">
        <f>"Board certification – "&amp;IF(LEN(INDEX('Providers'!$A$4:$A$503,477))=0,"",INDEX('Providers'!$A$4:$A$503,477))</f>
        <v/>
      </c>
      <c r="E1980">
        <f>IF(ISNUMBER(INDEX('Providers'!$M$4:$M$503,477)),TEXT(INDEX('Providers'!$M$4:$M$503,477),"yyyy-mm-dd"),"")</f>
        <v/>
      </c>
      <c r="F1980">
        <f>"Certification"</f>
        <v/>
      </c>
      <c r="G1980">
        <f>""</f>
        <v/>
      </c>
      <c r="H1980">
        <f>"Medium"</f>
        <v/>
      </c>
      <c r="I1980">
        <f>TRIM(IF(LEN(IF(LEN(INDEX('Providers'!$L$4:$L$503,477))=0,"",INDEX('Providers'!$L$4:$L$503,477)))=0,"","Board / specialty: "&amp;IF(LEN(INDEX('Providers'!$L$4:$L$503,477))=0,"",INDEX('Providers'!$L$4:$L$503,477))&amp;". "))</f>
        <v/>
      </c>
      <c r="J1980">
        <f>IF(LEN(INDEX('Providers'!$AJ$4:$AJ$503,477))=0,"",INDEX('Providers'!$AJ$4:$AJ$503,477))</f>
        <v/>
      </c>
      <c r="K1980">
        <f>IF(LEN(INDEX('Providers'!$AI$4:$AI$503,477))=0,"",INDEX('Providers'!$AI$4:$AI$503,477))</f>
        <v/>
      </c>
    </row>
    <row r="1981">
      <c r="A1981">
        <f>IF(AND(LEN('Providers'!A481)&gt;0,ISNUMBER('Providers'!M481)),1,0)</f>
        <v/>
      </c>
      <c r="B1981">
        <f>B1980+A1981</f>
        <v/>
      </c>
      <c r="C1981">
        <f>IF(1978&gt;$B$4503,"",MATCH(1978-0.5,$B$3:$B$4503,1))</f>
        <v/>
      </c>
      <c r="D1981">
        <f>"Board certification – "&amp;IF(LEN(INDEX('Providers'!$A$4:$A$503,478))=0,"",INDEX('Providers'!$A$4:$A$503,478))</f>
        <v/>
      </c>
      <c r="E1981">
        <f>IF(ISNUMBER(INDEX('Providers'!$M$4:$M$503,478)),TEXT(INDEX('Providers'!$M$4:$M$503,478),"yyyy-mm-dd"),"")</f>
        <v/>
      </c>
      <c r="F1981">
        <f>"Certification"</f>
        <v/>
      </c>
      <c r="G1981">
        <f>""</f>
        <v/>
      </c>
      <c r="H1981">
        <f>"Medium"</f>
        <v/>
      </c>
      <c r="I1981">
        <f>TRIM(IF(LEN(IF(LEN(INDEX('Providers'!$L$4:$L$503,478))=0,"",INDEX('Providers'!$L$4:$L$503,478)))=0,"","Board / specialty: "&amp;IF(LEN(INDEX('Providers'!$L$4:$L$503,478))=0,"",INDEX('Providers'!$L$4:$L$503,478))&amp;". "))</f>
        <v/>
      </c>
      <c r="J1981">
        <f>IF(LEN(INDEX('Providers'!$AJ$4:$AJ$503,478))=0,"",INDEX('Providers'!$AJ$4:$AJ$503,478))</f>
        <v/>
      </c>
      <c r="K1981">
        <f>IF(LEN(INDEX('Providers'!$AI$4:$AI$503,478))=0,"",INDEX('Providers'!$AI$4:$AI$503,478))</f>
        <v/>
      </c>
    </row>
    <row r="1982">
      <c r="A1982">
        <f>IF(AND(LEN('Providers'!A482)&gt;0,ISNUMBER('Providers'!M482)),1,0)</f>
        <v/>
      </c>
      <c r="B1982">
        <f>B1981+A1982</f>
        <v/>
      </c>
      <c r="C1982">
        <f>IF(1979&gt;$B$4503,"",MATCH(1979-0.5,$B$3:$B$4503,1))</f>
        <v/>
      </c>
      <c r="D1982">
        <f>"Board certification – "&amp;IF(LEN(INDEX('Providers'!$A$4:$A$503,479))=0,"",INDEX('Providers'!$A$4:$A$503,479))</f>
        <v/>
      </c>
      <c r="E1982">
        <f>IF(ISNUMBER(INDEX('Providers'!$M$4:$M$503,479)),TEXT(INDEX('Providers'!$M$4:$M$503,479),"yyyy-mm-dd"),"")</f>
        <v/>
      </c>
      <c r="F1982">
        <f>"Certification"</f>
        <v/>
      </c>
      <c r="G1982">
        <f>""</f>
        <v/>
      </c>
      <c r="H1982">
        <f>"Medium"</f>
        <v/>
      </c>
      <c r="I1982">
        <f>TRIM(IF(LEN(IF(LEN(INDEX('Providers'!$L$4:$L$503,479))=0,"",INDEX('Providers'!$L$4:$L$503,479)))=0,"","Board / specialty: "&amp;IF(LEN(INDEX('Providers'!$L$4:$L$503,479))=0,"",INDEX('Providers'!$L$4:$L$503,479))&amp;". "))</f>
        <v/>
      </c>
      <c r="J1982">
        <f>IF(LEN(INDEX('Providers'!$AJ$4:$AJ$503,479))=0,"",INDEX('Providers'!$AJ$4:$AJ$503,479))</f>
        <v/>
      </c>
      <c r="K1982">
        <f>IF(LEN(INDEX('Providers'!$AI$4:$AI$503,479))=0,"",INDEX('Providers'!$AI$4:$AI$503,479))</f>
        <v/>
      </c>
    </row>
    <row r="1983">
      <c r="A1983">
        <f>IF(AND(LEN('Providers'!A483)&gt;0,ISNUMBER('Providers'!M483)),1,0)</f>
        <v/>
      </c>
      <c r="B1983">
        <f>B1982+A1983</f>
        <v/>
      </c>
      <c r="C1983">
        <f>IF(1980&gt;$B$4503,"",MATCH(1980-0.5,$B$3:$B$4503,1))</f>
        <v/>
      </c>
      <c r="D1983">
        <f>"Board certification – "&amp;IF(LEN(INDEX('Providers'!$A$4:$A$503,480))=0,"",INDEX('Providers'!$A$4:$A$503,480))</f>
        <v/>
      </c>
      <c r="E1983">
        <f>IF(ISNUMBER(INDEX('Providers'!$M$4:$M$503,480)),TEXT(INDEX('Providers'!$M$4:$M$503,480),"yyyy-mm-dd"),"")</f>
        <v/>
      </c>
      <c r="F1983">
        <f>"Certification"</f>
        <v/>
      </c>
      <c r="G1983">
        <f>""</f>
        <v/>
      </c>
      <c r="H1983">
        <f>"Medium"</f>
        <v/>
      </c>
      <c r="I1983">
        <f>TRIM(IF(LEN(IF(LEN(INDEX('Providers'!$L$4:$L$503,480))=0,"",INDEX('Providers'!$L$4:$L$503,480)))=0,"","Board / specialty: "&amp;IF(LEN(INDEX('Providers'!$L$4:$L$503,480))=0,"",INDEX('Providers'!$L$4:$L$503,480))&amp;". "))</f>
        <v/>
      </c>
      <c r="J1983">
        <f>IF(LEN(INDEX('Providers'!$AJ$4:$AJ$503,480))=0,"",INDEX('Providers'!$AJ$4:$AJ$503,480))</f>
        <v/>
      </c>
      <c r="K1983">
        <f>IF(LEN(INDEX('Providers'!$AI$4:$AI$503,480))=0,"",INDEX('Providers'!$AI$4:$AI$503,480))</f>
        <v/>
      </c>
    </row>
    <row r="1984">
      <c r="A1984">
        <f>IF(AND(LEN('Providers'!A484)&gt;0,ISNUMBER('Providers'!M484)),1,0)</f>
        <v/>
      </c>
      <c r="B1984">
        <f>B1983+A1984</f>
        <v/>
      </c>
      <c r="C1984">
        <f>IF(1981&gt;$B$4503,"",MATCH(1981-0.5,$B$3:$B$4503,1))</f>
        <v/>
      </c>
      <c r="D1984">
        <f>"Board certification – "&amp;IF(LEN(INDEX('Providers'!$A$4:$A$503,481))=0,"",INDEX('Providers'!$A$4:$A$503,481))</f>
        <v/>
      </c>
      <c r="E1984">
        <f>IF(ISNUMBER(INDEX('Providers'!$M$4:$M$503,481)),TEXT(INDEX('Providers'!$M$4:$M$503,481),"yyyy-mm-dd"),"")</f>
        <v/>
      </c>
      <c r="F1984">
        <f>"Certification"</f>
        <v/>
      </c>
      <c r="G1984">
        <f>""</f>
        <v/>
      </c>
      <c r="H1984">
        <f>"Medium"</f>
        <v/>
      </c>
      <c r="I1984">
        <f>TRIM(IF(LEN(IF(LEN(INDEX('Providers'!$L$4:$L$503,481))=0,"",INDEX('Providers'!$L$4:$L$503,481)))=0,"","Board / specialty: "&amp;IF(LEN(INDEX('Providers'!$L$4:$L$503,481))=0,"",INDEX('Providers'!$L$4:$L$503,481))&amp;". "))</f>
        <v/>
      </c>
      <c r="J1984">
        <f>IF(LEN(INDEX('Providers'!$AJ$4:$AJ$503,481))=0,"",INDEX('Providers'!$AJ$4:$AJ$503,481))</f>
        <v/>
      </c>
      <c r="K1984">
        <f>IF(LEN(INDEX('Providers'!$AI$4:$AI$503,481))=0,"",INDEX('Providers'!$AI$4:$AI$503,481))</f>
        <v/>
      </c>
    </row>
    <row r="1985">
      <c r="A1985">
        <f>IF(AND(LEN('Providers'!A485)&gt;0,ISNUMBER('Providers'!M485)),1,0)</f>
        <v/>
      </c>
      <c r="B1985">
        <f>B1984+A1985</f>
        <v/>
      </c>
      <c r="C1985">
        <f>IF(1982&gt;$B$4503,"",MATCH(1982-0.5,$B$3:$B$4503,1))</f>
        <v/>
      </c>
      <c r="D1985">
        <f>"Board certification – "&amp;IF(LEN(INDEX('Providers'!$A$4:$A$503,482))=0,"",INDEX('Providers'!$A$4:$A$503,482))</f>
        <v/>
      </c>
      <c r="E1985">
        <f>IF(ISNUMBER(INDEX('Providers'!$M$4:$M$503,482)),TEXT(INDEX('Providers'!$M$4:$M$503,482),"yyyy-mm-dd"),"")</f>
        <v/>
      </c>
      <c r="F1985">
        <f>"Certification"</f>
        <v/>
      </c>
      <c r="G1985">
        <f>""</f>
        <v/>
      </c>
      <c r="H1985">
        <f>"Medium"</f>
        <v/>
      </c>
      <c r="I1985">
        <f>TRIM(IF(LEN(IF(LEN(INDEX('Providers'!$L$4:$L$503,482))=0,"",INDEX('Providers'!$L$4:$L$503,482)))=0,"","Board / specialty: "&amp;IF(LEN(INDEX('Providers'!$L$4:$L$503,482))=0,"",INDEX('Providers'!$L$4:$L$503,482))&amp;". "))</f>
        <v/>
      </c>
      <c r="J1985">
        <f>IF(LEN(INDEX('Providers'!$AJ$4:$AJ$503,482))=0,"",INDEX('Providers'!$AJ$4:$AJ$503,482))</f>
        <v/>
      </c>
      <c r="K1985">
        <f>IF(LEN(INDEX('Providers'!$AI$4:$AI$503,482))=0,"",INDEX('Providers'!$AI$4:$AI$503,482))</f>
        <v/>
      </c>
    </row>
    <row r="1986">
      <c r="A1986">
        <f>IF(AND(LEN('Providers'!A486)&gt;0,ISNUMBER('Providers'!M486)),1,0)</f>
        <v/>
      </c>
      <c r="B1986">
        <f>B1985+A1986</f>
        <v/>
      </c>
      <c r="C1986">
        <f>IF(1983&gt;$B$4503,"",MATCH(1983-0.5,$B$3:$B$4503,1))</f>
        <v/>
      </c>
      <c r="D1986">
        <f>"Board certification – "&amp;IF(LEN(INDEX('Providers'!$A$4:$A$503,483))=0,"",INDEX('Providers'!$A$4:$A$503,483))</f>
        <v/>
      </c>
      <c r="E1986">
        <f>IF(ISNUMBER(INDEX('Providers'!$M$4:$M$503,483)),TEXT(INDEX('Providers'!$M$4:$M$503,483),"yyyy-mm-dd"),"")</f>
        <v/>
      </c>
      <c r="F1986">
        <f>"Certification"</f>
        <v/>
      </c>
      <c r="G1986">
        <f>""</f>
        <v/>
      </c>
      <c r="H1986">
        <f>"Medium"</f>
        <v/>
      </c>
      <c r="I1986">
        <f>TRIM(IF(LEN(IF(LEN(INDEX('Providers'!$L$4:$L$503,483))=0,"",INDEX('Providers'!$L$4:$L$503,483)))=0,"","Board / specialty: "&amp;IF(LEN(INDEX('Providers'!$L$4:$L$503,483))=0,"",INDEX('Providers'!$L$4:$L$503,483))&amp;". "))</f>
        <v/>
      </c>
      <c r="J1986">
        <f>IF(LEN(INDEX('Providers'!$AJ$4:$AJ$503,483))=0,"",INDEX('Providers'!$AJ$4:$AJ$503,483))</f>
        <v/>
      </c>
      <c r="K1986">
        <f>IF(LEN(INDEX('Providers'!$AI$4:$AI$503,483))=0,"",INDEX('Providers'!$AI$4:$AI$503,483))</f>
        <v/>
      </c>
    </row>
    <row r="1987">
      <c r="A1987">
        <f>IF(AND(LEN('Providers'!A487)&gt;0,ISNUMBER('Providers'!M487)),1,0)</f>
        <v/>
      </c>
      <c r="B1987">
        <f>B1986+A1987</f>
        <v/>
      </c>
      <c r="C1987">
        <f>IF(1984&gt;$B$4503,"",MATCH(1984-0.5,$B$3:$B$4503,1))</f>
        <v/>
      </c>
      <c r="D1987">
        <f>"Board certification – "&amp;IF(LEN(INDEX('Providers'!$A$4:$A$503,484))=0,"",INDEX('Providers'!$A$4:$A$503,484))</f>
        <v/>
      </c>
      <c r="E1987">
        <f>IF(ISNUMBER(INDEX('Providers'!$M$4:$M$503,484)),TEXT(INDEX('Providers'!$M$4:$M$503,484),"yyyy-mm-dd"),"")</f>
        <v/>
      </c>
      <c r="F1987">
        <f>"Certification"</f>
        <v/>
      </c>
      <c r="G1987">
        <f>""</f>
        <v/>
      </c>
      <c r="H1987">
        <f>"Medium"</f>
        <v/>
      </c>
      <c r="I1987">
        <f>TRIM(IF(LEN(IF(LEN(INDEX('Providers'!$L$4:$L$503,484))=0,"",INDEX('Providers'!$L$4:$L$503,484)))=0,"","Board / specialty: "&amp;IF(LEN(INDEX('Providers'!$L$4:$L$503,484))=0,"",INDEX('Providers'!$L$4:$L$503,484))&amp;". "))</f>
        <v/>
      </c>
      <c r="J1987">
        <f>IF(LEN(INDEX('Providers'!$AJ$4:$AJ$503,484))=0,"",INDEX('Providers'!$AJ$4:$AJ$503,484))</f>
        <v/>
      </c>
      <c r="K1987">
        <f>IF(LEN(INDEX('Providers'!$AI$4:$AI$503,484))=0,"",INDEX('Providers'!$AI$4:$AI$503,484))</f>
        <v/>
      </c>
    </row>
    <row r="1988">
      <c r="A1988">
        <f>IF(AND(LEN('Providers'!A488)&gt;0,ISNUMBER('Providers'!M488)),1,0)</f>
        <v/>
      </c>
      <c r="B1988">
        <f>B1987+A1988</f>
        <v/>
      </c>
      <c r="C1988">
        <f>IF(1985&gt;$B$4503,"",MATCH(1985-0.5,$B$3:$B$4503,1))</f>
        <v/>
      </c>
      <c r="D1988">
        <f>"Board certification – "&amp;IF(LEN(INDEX('Providers'!$A$4:$A$503,485))=0,"",INDEX('Providers'!$A$4:$A$503,485))</f>
        <v/>
      </c>
      <c r="E1988">
        <f>IF(ISNUMBER(INDEX('Providers'!$M$4:$M$503,485)),TEXT(INDEX('Providers'!$M$4:$M$503,485),"yyyy-mm-dd"),"")</f>
        <v/>
      </c>
      <c r="F1988">
        <f>"Certification"</f>
        <v/>
      </c>
      <c r="G1988">
        <f>""</f>
        <v/>
      </c>
      <c r="H1988">
        <f>"Medium"</f>
        <v/>
      </c>
      <c r="I1988">
        <f>TRIM(IF(LEN(IF(LEN(INDEX('Providers'!$L$4:$L$503,485))=0,"",INDEX('Providers'!$L$4:$L$503,485)))=0,"","Board / specialty: "&amp;IF(LEN(INDEX('Providers'!$L$4:$L$503,485))=0,"",INDEX('Providers'!$L$4:$L$503,485))&amp;". "))</f>
        <v/>
      </c>
      <c r="J1988">
        <f>IF(LEN(INDEX('Providers'!$AJ$4:$AJ$503,485))=0,"",INDEX('Providers'!$AJ$4:$AJ$503,485))</f>
        <v/>
      </c>
      <c r="K1988">
        <f>IF(LEN(INDEX('Providers'!$AI$4:$AI$503,485))=0,"",INDEX('Providers'!$AI$4:$AI$503,485))</f>
        <v/>
      </c>
    </row>
    <row r="1989">
      <c r="A1989">
        <f>IF(AND(LEN('Providers'!A489)&gt;0,ISNUMBER('Providers'!M489)),1,0)</f>
        <v/>
      </c>
      <c r="B1989">
        <f>B1988+A1989</f>
        <v/>
      </c>
      <c r="C1989">
        <f>IF(1986&gt;$B$4503,"",MATCH(1986-0.5,$B$3:$B$4503,1))</f>
        <v/>
      </c>
      <c r="D1989">
        <f>"Board certification – "&amp;IF(LEN(INDEX('Providers'!$A$4:$A$503,486))=0,"",INDEX('Providers'!$A$4:$A$503,486))</f>
        <v/>
      </c>
      <c r="E1989">
        <f>IF(ISNUMBER(INDEX('Providers'!$M$4:$M$503,486)),TEXT(INDEX('Providers'!$M$4:$M$503,486),"yyyy-mm-dd"),"")</f>
        <v/>
      </c>
      <c r="F1989">
        <f>"Certification"</f>
        <v/>
      </c>
      <c r="G1989">
        <f>""</f>
        <v/>
      </c>
      <c r="H1989">
        <f>"Medium"</f>
        <v/>
      </c>
      <c r="I1989">
        <f>TRIM(IF(LEN(IF(LEN(INDEX('Providers'!$L$4:$L$503,486))=0,"",INDEX('Providers'!$L$4:$L$503,486)))=0,"","Board / specialty: "&amp;IF(LEN(INDEX('Providers'!$L$4:$L$503,486))=0,"",INDEX('Providers'!$L$4:$L$503,486))&amp;". "))</f>
        <v/>
      </c>
      <c r="J1989">
        <f>IF(LEN(INDEX('Providers'!$AJ$4:$AJ$503,486))=0,"",INDEX('Providers'!$AJ$4:$AJ$503,486))</f>
        <v/>
      </c>
      <c r="K1989">
        <f>IF(LEN(INDEX('Providers'!$AI$4:$AI$503,486))=0,"",INDEX('Providers'!$AI$4:$AI$503,486))</f>
        <v/>
      </c>
    </row>
    <row r="1990">
      <c r="A1990">
        <f>IF(AND(LEN('Providers'!A490)&gt;0,ISNUMBER('Providers'!M490)),1,0)</f>
        <v/>
      </c>
      <c r="B1990">
        <f>B1989+A1990</f>
        <v/>
      </c>
      <c r="C1990">
        <f>IF(1987&gt;$B$4503,"",MATCH(1987-0.5,$B$3:$B$4503,1))</f>
        <v/>
      </c>
      <c r="D1990">
        <f>"Board certification – "&amp;IF(LEN(INDEX('Providers'!$A$4:$A$503,487))=0,"",INDEX('Providers'!$A$4:$A$503,487))</f>
        <v/>
      </c>
      <c r="E1990">
        <f>IF(ISNUMBER(INDEX('Providers'!$M$4:$M$503,487)),TEXT(INDEX('Providers'!$M$4:$M$503,487),"yyyy-mm-dd"),"")</f>
        <v/>
      </c>
      <c r="F1990">
        <f>"Certification"</f>
        <v/>
      </c>
      <c r="G1990">
        <f>""</f>
        <v/>
      </c>
      <c r="H1990">
        <f>"Medium"</f>
        <v/>
      </c>
      <c r="I1990">
        <f>TRIM(IF(LEN(IF(LEN(INDEX('Providers'!$L$4:$L$503,487))=0,"",INDEX('Providers'!$L$4:$L$503,487)))=0,"","Board / specialty: "&amp;IF(LEN(INDEX('Providers'!$L$4:$L$503,487))=0,"",INDEX('Providers'!$L$4:$L$503,487))&amp;". "))</f>
        <v/>
      </c>
      <c r="J1990">
        <f>IF(LEN(INDEX('Providers'!$AJ$4:$AJ$503,487))=0,"",INDEX('Providers'!$AJ$4:$AJ$503,487))</f>
        <v/>
      </c>
      <c r="K1990">
        <f>IF(LEN(INDEX('Providers'!$AI$4:$AI$503,487))=0,"",INDEX('Providers'!$AI$4:$AI$503,487))</f>
        <v/>
      </c>
    </row>
    <row r="1991">
      <c r="A1991">
        <f>IF(AND(LEN('Providers'!A491)&gt;0,ISNUMBER('Providers'!M491)),1,0)</f>
        <v/>
      </c>
      <c r="B1991">
        <f>B1990+A1991</f>
        <v/>
      </c>
      <c r="C1991">
        <f>IF(1988&gt;$B$4503,"",MATCH(1988-0.5,$B$3:$B$4503,1))</f>
        <v/>
      </c>
      <c r="D1991">
        <f>"Board certification – "&amp;IF(LEN(INDEX('Providers'!$A$4:$A$503,488))=0,"",INDEX('Providers'!$A$4:$A$503,488))</f>
        <v/>
      </c>
      <c r="E1991">
        <f>IF(ISNUMBER(INDEX('Providers'!$M$4:$M$503,488)),TEXT(INDEX('Providers'!$M$4:$M$503,488),"yyyy-mm-dd"),"")</f>
        <v/>
      </c>
      <c r="F1991">
        <f>"Certification"</f>
        <v/>
      </c>
      <c r="G1991">
        <f>""</f>
        <v/>
      </c>
      <c r="H1991">
        <f>"Medium"</f>
        <v/>
      </c>
      <c r="I1991">
        <f>TRIM(IF(LEN(IF(LEN(INDEX('Providers'!$L$4:$L$503,488))=0,"",INDEX('Providers'!$L$4:$L$503,488)))=0,"","Board / specialty: "&amp;IF(LEN(INDEX('Providers'!$L$4:$L$503,488))=0,"",INDEX('Providers'!$L$4:$L$503,488))&amp;". "))</f>
        <v/>
      </c>
      <c r="J1991">
        <f>IF(LEN(INDEX('Providers'!$AJ$4:$AJ$503,488))=0,"",INDEX('Providers'!$AJ$4:$AJ$503,488))</f>
        <v/>
      </c>
      <c r="K1991">
        <f>IF(LEN(INDEX('Providers'!$AI$4:$AI$503,488))=0,"",INDEX('Providers'!$AI$4:$AI$503,488))</f>
        <v/>
      </c>
    </row>
    <row r="1992">
      <c r="A1992">
        <f>IF(AND(LEN('Providers'!A492)&gt;0,ISNUMBER('Providers'!M492)),1,0)</f>
        <v/>
      </c>
      <c r="B1992">
        <f>B1991+A1992</f>
        <v/>
      </c>
      <c r="C1992">
        <f>IF(1989&gt;$B$4503,"",MATCH(1989-0.5,$B$3:$B$4503,1))</f>
        <v/>
      </c>
      <c r="D1992">
        <f>"Board certification – "&amp;IF(LEN(INDEX('Providers'!$A$4:$A$503,489))=0,"",INDEX('Providers'!$A$4:$A$503,489))</f>
        <v/>
      </c>
      <c r="E1992">
        <f>IF(ISNUMBER(INDEX('Providers'!$M$4:$M$503,489)),TEXT(INDEX('Providers'!$M$4:$M$503,489),"yyyy-mm-dd"),"")</f>
        <v/>
      </c>
      <c r="F1992">
        <f>"Certification"</f>
        <v/>
      </c>
      <c r="G1992">
        <f>""</f>
        <v/>
      </c>
      <c r="H1992">
        <f>"Medium"</f>
        <v/>
      </c>
      <c r="I1992">
        <f>TRIM(IF(LEN(IF(LEN(INDEX('Providers'!$L$4:$L$503,489))=0,"",INDEX('Providers'!$L$4:$L$503,489)))=0,"","Board / specialty: "&amp;IF(LEN(INDEX('Providers'!$L$4:$L$503,489))=0,"",INDEX('Providers'!$L$4:$L$503,489))&amp;". "))</f>
        <v/>
      </c>
      <c r="J1992">
        <f>IF(LEN(INDEX('Providers'!$AJ$4:$AJ$503,489))=0,"",INDEX('Providers'!$AJ$4:$AJ$503,489))</f>
        <v/>
      </c>
      <c r="K1992">
        <f>IF(LEN(INDEX('Providers'!$AI$4:$AI$503,489))=0,"",INDEX('Providers'!$AI$4:$AI$503,489))</f>
        <v/>
      </c>
    </row>
    <row r="1993">
      <c r="A1993">
        <f>IF(AND(LEN('Providers'!A493)&gt;0,ISNUMBER('Providers'!M493)),1,0)</f>
        <v/>
      </c>
      <c r="B1993">
        <f>B1992+A1993</f>
        <v/>
      </c>
      <c r="C1993">
        <f>IF(1990&gt;$B$4503,"",MATCH(1990-0.5,$B$3:$B$4503,1))</f>
        <v/>
      </c>
      <c r="D1993">
        <f>"Board certification – "&amp;IF(LEN(INDEX('Providers'!$A$4:$A$503,490))=0,"",INDEX('Providers'!$A$4:$A$503,490))</f>
        <v/>
      </c>
      <c r="E1993">
        <f>IF(ISNUMBER(INDEX('Providers'!$M$4:$M$503,490)),TEXT(INDEX('Providers'!$M$4:$M$503,490),"yyyy-mm-dd"),"")</f>
        <v/>
      </c>
      <c r="F1993">
        <f>"Certification"</f>
        <v/>
      </c>
      <c r="G1993">
        <f>""</f>
        <v/>
      </c>
      <c r="H1993">
        <f>"Medium"</f>
        <v/>
      </c>
      <c r="I1993">
        <f>TRIM(IF(LEN(IF(LEN(INDEX('Providers'!$L$4:$L$503,490))=0,"",INDEX('Providers'!$L$4:$L$503,490)))=0,"","Board / specialty: "&amp;IF(LEN(INDEX('Providers'!$L$4:$L$503,490))=0,"",INDEX('Providers'!$L$4:$L$503,490))&amp;". "))</f>
        <v/>
      </c>
      <c r="J1993">
        <f>IF(LEN(INDEX('Providers'!$AJ$4:$AJ$503,490))=0,"",INDEX('Providers'!$AJ$4:$AJ$503,490))</f>
        <v/>
      </c>
      <c r="K1993">
        <f>IF(LEN(INDEX('Providers'!$AI$4:$AI$503,490))=0,"",INDEX('Providers'!$AI$4:$AI$503,490))</f>
        <v/>
      </c>
    </row>
    <row r="1994">
      <c r="A1994">
        <f>IF(AND(LEN('Providers'!A494)&gt;0,ISNUMBER('Providers'!M494)),1,0)</f>
        <v/>
      </c>
      <c r="B1994">
        <f>B1993+A1994</f>
        <v/>
      </c>
      <c r="C1994">
        <f>IF(1991&gt;$B$4503,"",MATCH(1991-0.5,$B$3:$B$4503,1))</f>
        <v/>
      </c>
      <c r="D1994">
        <f>"Board certification – "&amp;IF(LEN(INDEX('Providers'!$A$4:$A$503,491))=0,"",INDEX('Providers'!$A$4:$A$503,491))</f>
        <v/>
      </c>
      <c r="E1994">
        <f>IF(ISNUMBER(INDEX('Providers'!$M$4:$M$503,491)),TEXT(INDEX('Providers'!$M$4:$M$503,491),"yyyy-mm-dd"),"")</f>
        <v/>
      </c>
      <c r="F1994">
        <f>"Certification"</f>
        <v/>
      </c>
      <c r="G1994">
        <f>""</f>
        <v/>
      </c>
      <c r="H1994">
        <f>"Medium"</f>
        <v/>
      </c>
      <c r="I1994">
        <f>TRIM(IF(LEN(IF(LEN(INDEX('Providers'!$L$4:$L$503,491))=0,"",INDEX('Providers'!$L$4:$L$503,491)))=0,"","Board / specialty: "&amp;IF(LEN(INDEX('Providers'!$L$4:$L$503,491))=0,"",INDEX('Providers'!$L$4:$L$503,491))&amp;". "))</f>
        <v/>
      </c>
      <c r="J1994">
        <f>IF(LEN(INDEX('Providers'!$AJ$4:$AJ$503,491))=0,"",INDEX('Providers'!$AJ$4:$AJ$503,491))</f>
        <v/>
      </c>
      <c r="K1994">
        <f>IF(LEN(INDEX('Providers'!$AI$4:$AI$503,491))=0,"",INDEX('Providers'!$AI$4:$AI$503,491))</f>
        <v/>
      </c>
    </row>
    <row r="1995">
      <c r="A1995">
        <f>IF(AND(LEN('Providers'!A495)&gt;0,ISNUMBER('Providers'!M495)),1,0)</f>
        <v/>
      </c>
      <c r="B1995">
        <f>B1994+A1995</f>
        <v/>
      </c>
      <c r="C1995">
        <f>IF(1992&gt;$B$4503,"",MATCH(1992-0.5,$B$3:$B$4503,1))</f>
        <v/>
      </c>
      <c r="D1995">
        <f>"Board certification – "&amp;IF(LEN(INDEX('Providers'!$A$4:$A$503,492))=0,"",INDEX('Providers'!$A$4:$A$503,492))</f>
        <v/>
      </c>
      <c r="E1995">
        <f>IF(ISNUMBER(INDEX('Providers'!$M$4:$M$503,492)),TEXT(INDEX('Providers'!$M$4:$M$503,492),"yyyy-mm-dd"),"")</f>
        <v/>
      </c>
      <c r="F1995">
        <f>"Certification"</f>
        <v/>
      </c>
      <c r="G1995">
        <f>""</f>
        <v/>
      </c>
      <c r="H1995">
        <f>"Medium"</f>
        <v/>
      </c>
      <c r="I1995">
        <f>TRIM(IF(LEN(IF(LEN(INDEX('Providers'!$L$4:$L$503,492))=0,"",INDEX('Providers'!$L$4:$L$503,492)))=0,"","Board / specialty: "&amp;IF(LEN(INDEX('Providers'!$L$4:$L$503,492))=0,"",INDEX('Providers'!$L$4:$L$503,492))&amp;". "))</f>
        <v/>
      </c>
      <c r="J1995">
        <f>IF(LEN(INDEX('Providers'!$AJ$4:$AJ$503,492))=0,"",INDEX('Providers'!$AJ$4:$AJ$503,492))</f>
        <v/>
      </c>
      <c r="K1995">
        <f>IF(LEN(INDEX('Providers'!$AI$4:$AI$503,492))=0,"",INDEX('Providers'!$AI$4:$AI$503,492))</f>
        <v/>
      </c>
    </row>
    <row r="1996">
      <c r="A1996">
        <f>IF(AND(LEN('Providers'!A496)&gt;0,ISNUMBER('Providers'!M496)),1,0)</f>
        <v/>
      </c>
      <c r="B1996">
        <f>B1995+A1996</f>
        <v/>
      </c>
      <c r="C1996">
        <f>IF(1993&gt;$B$4503,"",MATCH(1993-0.5,$B$3:$B$4503,1))</f>
        <v/>
      </c>
      <c r="D1996">
        <f>"Board certification – "&amp;IF(LEN(INDEX('Providers'!$A$4:$A$503,493))=0,"",INDEX('Providers'!$A$4:$A$503,493))</f>
        <v/>
      </c>
      <c r="E1996">
        <f>IF(ISNUMBER(INDEX('Providers'!$M$4:$M$503,493)),TEXT(INDEX('Providers'!$M$4:$M$503,493),"yyyy-mm-dd"),"")</f>
        <v/>
      </c>
      <c r="F1996">
        <f>"Certification"</f>
        <v/>
      </c>
      <c r="G1996">
        <f>""</f>
        <v/>
      </c>
      <c r="H1996">
        <f>"Medium"</f>
        <v/>
      </c>
      <c r="I1996">
        <f>TRIM(IF(LEN(IF(LEN(INDEX('Providers'!$L$4:$L$503,493))=0,"",INDEX('Providers'!$L$4:$L$503,493)))=0,"","Board / specialty: "&amp;IF(LEN(INDEX('Providers'!$L$4:$L$503,493))=0,"",INDEX('Providers'!$L$4:$L$503,493))&amp;". "))</f>
        <v/>
      </c>
      <c r="J1996">
        <f>IF(LEN(INDEX('Providers'!$AJ$4:$AJ$503,493))=0,"",INDEX('Providers'!$AJ$4:$AJ$503,493))</f>
        <v/>
      </c>
      <c r="K1996">
        <f>IF(LEN(INDEX('Providers'!$AI$4:$AI$503,493))=0,"",INDEX('Providers'!$AI$4:$AI$503,493))</f>
        <v/>
      </c>
    </row>
    <row r="1997">
      <c r="A1997">
        <f>IF(AND(LEN('Providers'!A497)&gt;0,ISNUMBER('Providers'!M497)),1,0)</f>
        <v/>
      </c>
      <c r="B1997">
        <f>B1996+A1997</f>
        <v/>
      </c>
      <c r="C1997">
        <f>IF(1994&gt;$B$4503,"",MATCH(1994-0.5,$B$3:$B$4503,1))</f>
        <v/>
      </c>
      <c r="D1997">
        <f>"Board certification – "&amp;IF(LEN(INDEX('Providers'!$A$4:$A$503,494))=0,"",INDEX('Providers'!$A$4:$A$503,494))</f>
        <v/>
      </c>
      <c r="E1997">
        <f>IF(ISNUMBER(INDEX('Providers'!$M$4:$M$503,494)),TEXT(INDEX('Providers'!$M$4:$M$503,494),"yyyy-mm-dd"),"")</f>
        <v/>
      </c>
      <c r="F1997">
        <f>"Certification"</f>
        <v/>
      </c>
      <c r="G1997">
        <f>""</f>
        <v/>
      </c>
      <c r="H1997">
        <f>"Medium"</f>
        <v/>
      </c>
      <c r="I1997">
        <f>TRIM(IF(LEN(IF(LEN(INDEX('Providers'!$L$4:$L$503,494))=0,"",INDEX('Providers'!$L$4:$L$503,494)))=0,"","Board / specialty: "&amp;IF(LEN(INDEX('Providers'!$L$4:$L$503,494))=0,"",INDEX('Providers'!$L$4:$L$503,494))&amp;". "))</f>
        <v/>
      </c>
      <c r="J1997">
        <f>IF(LEN(INDEX('Providers'!$AJ$4:$AJ$503,494))=0,"",INDEX('Providers'!$AJ$4:$AJ$503,494))</f>
        <v/>
      </c>
      <c r="K1997">
        <f>IF(LEN(INDEX('Providers'!$AI$4:$AI$503,494))=0,"",INDEX('Providers'!$AI$4:$AI$503,494))</f>
        <v/>
      </c>
    </row>
    <row r="1998">
      <c r="A1998">
        <f>IF(AND(LEN('Providers'!A498)&gt;0,ISNUMBER('Providers'!M498)),1,0)</f>
        <v/>
      </c>
      <c r="B1998">
        <f>B1997+A1998</f>
        <v/>
      </c>
      <c r="C1998">
        <f>IF(1995&gt;$B$4503,"",MATCH(1995-0.5,$B$3:$B$4503,1))</f>
        <v/>
      </c>
      <c r="D1998">
        <f>"Board certification – "&amp;IF(LEN(INDEX('Providers'!$A$4:$A$503,495))=0,"",INDEX('Providers'!$A$4:$A$503,495))</f>
        <v/>
      </c>
      <c r="E1998">
        <f>IF(ISNUMBER(INDEX('Providers'!$M$4:$M$503,495)),TEXT(INDEX('Providers'!$M$4:$M$503,495),"yyyy-mm-dd"),"")</f>
        <v/>
      </c>
      <c r="F1998">
        <f>"Certification"</f>
        <v/>
      </c>
      <c r="G1998">
        <f>""</f>
        <v/>
      </c>
      <c r="H1998">
        <f>"Medium"</f>
        <v/>
      </c>
      <c r="I1998">
        <f>TRIM(IF(LEN(IF(LEN(INDEX('Providers'!$L$4:$L$503,495))=0,"",INDEX('Providers'!$L$4:$L$503,495)))=0,"","Board / specialty: "&amp;IF(LEN(INDEX('Providers'!$L$4:$L$503,495))=0,"",INDEX('Providers'!$L$4:$L$503,495))&amp;". "))</f>
        <v/>
      </c>
      <c r="J1998">
        <f>IF(LEN(INDEX('Providers'!$AJ$4:$AJ$503,495))=0,"",INDEX('Providers'!$AJ$4:$AJ$503,495))</f>
        <v/>
      </c>
      <c r="K1998">
        <f>IF(LEN(INDEX('Providers'!$AI$4:$AI$503,495))=0,"",INDEX('Providers'!$AI$4:$AI$503,495))</f>
        <v/>
      </c>
    </row>
    <row r="1999">
      <c r="A1999">
        <f>IF(AND(LEN('Providers'!A499)&gt;0,ISNUMBER('Providers'!M499)),1,0)</f>
        <v/>
      </c>
      <c r="B1999">
        <f>B1998+A1999</f>
        <v/>
      </c>
      <c r="C1999">
        <f>IF(1996&gt;$B$4503,"",MATCH(1996-0.5,$B$3:$B$4503,1))</f>
        <v/>
      </c>
      <c r="D1999">
        <f>"Board certification – "&amp;IF(LEN(INDEX('Providers'!$A$4:$A$503,496))=0,"",INDEX('Providers'!$A$4:$A$503,496))</f>
        <v/>
      </c>
      <c r="E1999">
        <f>IF(ISNUMBER(INDEX('Providers'!$M$4:$M$503,496)),TEXT(INDEX('Providers'!$M$4:$M$503,496),"yyyy-mm-dd"),"")</f>
        <v/>
      </c>
      <c r="F1999">
        <f>"Certification"</f>
        <v/>
      </c>
      <c r="G1999">
        <f>""</f>
        <v/>
      </c>
      <c r="H1999">
        <f>"Medium"</f>
        <v/>
      </c>
      <c r="I1999">
        <f>TRIM(IF(LEN(IF(LEN(INDEX('Providers'!$L$4:$L$503,496))=0,"",INDEX('Providers'!$L$4:$L$503,496)))=0,"","Board / specialty: "&amp;IF(LEN(INDEX('Providers'!$L$4:$L$503,496))=0,"",INDEX('Providers'!$L$4:$L$503,496))&amp;". "))</f>
        <v/>
      </c>
      <c r="J1999">
        <f>IF(LEN(INDEX('Providers'!$AJ$4:$AJ$503,496))=0,"",INDEX('Providers'!$AJ$4:$AJ$503,496))</f>
        <v/>
      </c>
      <c r="K1999">
        <f>IF(LEN(INDEX('Providers'!$AI$4:$AI$503,496))=0,"",INDEX('Providers'!$AI$4:$AI$503,496))</f>
        <v/>
      </c>
    </row>
    <row r="2000">
      <c r="A2000">
        <f>IF(AND(LEN('Providers'!A500)&gt;0,ISNUMBER('Providers'!M500)),1,0)</f>
        <v/>
      </c>
      <c r="B2000">
        <f>B1999+A2000</f>
        <v/>
      </c>
      <c r="C2000">
        <f>IF(1997&gt;$B$4503,"",MATCH(1997-0.5,$B$3:$B$4503,1))</f>
        <v/>
      </c>
      <c r="D2000">
        <f>"Board certification – "&amp;IF(LEN(INDEX('Providers'!$A$4:$A$503,497))=0,"",INDEX('Providers'!$A$4:$A$503,497))</f>
        <v/>
      </c>
      <c r="E2000">
        <f>IF(ISNUMBER(INDEX('Providers'!$M$4:$M$503,497)),TEXT(INDEX('Providers'!$M$4:$M$503,497),"yyyy-mm-dd"),"")</f>
        <v/>
      </c>
      <c r="F2000">
        <f>"Certification"</f>
        <v/>
      </c>
      <c r="G2000">
        <f>""</f>
        <v/>
      </c>
      <c r="H2000">
        <f>"Medium"</f>
        <v/>
      </c>
      <c r="I2000">
        <f>TRIM(IF(LEN(IF(LEN(INDEX('Providers'!$L$4:$L$503,497))=0,"",INDEX('Providers'!$L$4:$L$503,497)))=0,"","Board / specialty: "&amp;IF(LEN(INDEX('Providers'!$L$4:$L$503,497))=0,"",INDEX('Providers'!$L$4:$L$503,497))&amp;". "))</f>
        <v/>
      </c>
      <c r="J2000">
        <f>IF(LEN(INDEX('Providers'!$AJ$4:$AJ$503,497))=0,"",INDEX('Providers'!$AJ$4:$AJ$503,497))</f>
        <v/>
      </c>
      <c r="K2000">
        <f>IF(LEN(INDEX('Providers'!$AI$4:$AI$503,497))=0,"",INDEX('Providers'!$AI$4:$AI$503,497))</f>
        <v/>
      </c>
    </row>
    <row r="2001">
      <c r="A2001">
        <f>IF(AND(LEN('Providers'!A501)&gt;0,ISNUMBER('Providers'!M501)),1,0)</f>
        <v/>
      </c>
      <c r="B2001">
        <f>B2000+A2001</f>
        <v/>
      </c>
      <c r="C2001">
        <f>IF(1998&gt;$B$4503,"",MATCH(1998-0.5,$B$3:$B$4503,1))</f>
        <v/>
      </c>
      <c r="D2001">
        <f>"Board certification – "&amp;IF(LEN(INDEX('Providers'!$A$4:$A$503,498))=0,"",INDEX('Providers'!$A$4:$A$503,498))</f>
        <v/>
      </c>
      <c r="E2001">
        <f>IF(ISNUMBER(INDEX('Providers'!$M$4:$M$503,498)),TEXT(INDEX('Providers'!$M$4:$M$503,498),"yyyy-mm-dd"),"")</f>
        <v/>
      </c>
      <c r="F2001">
        <f>"Certification"</f>
        <v/>
      </c>
      <c r="G2001">
        <f>""</f>
        <v/>
      </c>
      <c r="H2001">
        <f>"Medium"</f>
        <v/>
      </c>
      <c r="I2001">
        <f>TRIM(IF(LEN(IF(LEN(INDEX('Providers'!$L$4:$L$503,498))=0,"",INDEX('Providers'!$L$4:$L$503,498)))=0,"","Board / specialty: "&amp;IF(LEN(INDEX('Providers'!$L$4:$L$503,498))=0,"",INDEX('Providers'!$L$4:$L$503,498))&amp;". "))</f>
        <v/>
      </c>
      <c r="J2001">
        <f>IF(LEN(INDEX('Providers'!$AJ$4:$AJ$503,498))=0,"",INDEX('Providers'!$AJ$4:$AJ$503,498))</f>
        <v/>
      </c>
      <c r="K2001">
        <f>IF(LEN(INDEX('Providers'!$AI$4:$AI$503,498))=0,"",INDEX('Providers'!$AI$4:$AI$503,498))</f>
        <v/>
      </c>
    </row>
    <row r="2002">
      <c r="A2002">
        <f>IF(AND(LEN('Providers'!A502)&gt;0,ISNUMBER('Providers'!M502)),1,0)</f>
        <v/>
      </c>
      <c r="B2002">
        <f>B2001+A2002</f>
        <v/>
      </c>
      <c r="C2002">
        <f>IF(1999&gt;$B$4503,"",MATCH(1999-0.5,$B$3:$B$4503,1))</f>
        <v/>
      </c>
      <c r="D2002">
        <f>"Board certification – "&amp;IF(LEN(INDEX('Providers'!$A$4:$A$503,499))=0,"",INDEX('Providers'!$A$4:$A$503,499))</f>
        <v/>
      </c>
      <c r="E2002">
        <f>IF(ISNUMBER(INDEX('Providers'!$M$4:$M$503,499)),TEXT(INDEX('Providers'!$M$4:$M$503,499),"yyyy-mm-dd"),"")</f>
        <v/>
      </c>
      <c r="F2002">
        <f>"Certification"</f>
        <v/>
      </c>
      <c r="G2002">
        <f>""</f>
        <v/>
      </c>
      <c r="H2002">
        <f>"Medium"</f>
        <v/>
      </c>
      <c r="I2002">
        <f>TRIM(IF(LEN(IF(LEN(INDEX('Providers'!$L$4:$L$503,499))=0,"",INDEX('Providers'!$L$4:$L$503,499)))=0,"","Board / specialty: "&amp;IF(LEN(INDEX('Providers'!$L$4:$L$503,499))=0,"",INDEX('Providers'!$L$4:$L$503,499))&amp;". "))</f>
        <v/>
      </c>
      <c r="J2002">
        <f>IF(LEN(INDEX('Providers'!$AJ$4:$AJ$503,499))=0,"",INDEX('Providers'!$AJ$4:$AJ$503,499))</f>
        <v/>
      </c>
      <c r="K2002">
        <f>IF(LEN(INDEX('Providers'!$AI$4:$AI$503,499))=0,"",INDEX('Providers'!$AI$4:$AI$503,499))</f>
        <v/>
      </c>
    </row>
    <row r="2003">
      <c r="A2003">
        <f>IF(AND(LEN('Providers'!A503)&gt;0,ISNUMBER('Providers'!M503)),1,0)</f>
        <v/>
      </c>
      <c r="B2003">
        <f>B2002+A2003</f>
        <v/>
      </c>
      <c r="C2003">
        <f>IF(2000&gt;$B$4503,"",MATCH(2000-0.5,$B$3:$B$4503,1))</f>
        <v/>
      </c>
      <c r="D2003">
        <f>"Board certification – "&amp;IF(LEN(INDEX('Providers'!$A$4:$A$503,500))=0,"",INDEX('Providers'!$A$4:$A$503,500))</f>
        <v/>
      </c>
      <c r="E2003">
        <f>IF(ISNUMBER(INDEX('Providers'!$M$4:$M$503,500)),TEXT(INDEX('Providers'!$M$4:$M$503,500),"yyyy-mm-dd"),"")</f>
        <v/>
      </c>
      <c r="F2003">
        <f>"Certification"</f>
        <v/>
      </c>
      <c r="G2003">
        <f>""</f>
        <v/>
      </c>
      <c r="H2003">
        <f>"Medium"</f>
        <v/>
      </c>
      <c r="I2003">
        <f>TRIM(IF(LEN(IF(LEN(INDEX('Providers'!$L$4:$L$503,500))=0,"",INDEX('Providers'!$L$4:$L$503,500)))=0,"","Board / specialty: "&amp;IF(LEN(INDEX('Providers'!$L$4:$L$503,500))=0,"",INDEX('Providers'!$L$4:$L$503,500))&amp;". "))</f>
        <v/>
      </c>
      <c r="J2003">
        <f>IF(LEN(INDEX('Providers'!$AJ$4:$AJ$503,500))=0,"",INDEX('Providers'!$AJ$4:$AJ$503,500))</f>
        <v/>
      </c>
      <c r="K2003">
        <f>IF(LEN(INDEX('Providers'!$AI$4:$AI$503,500))=0,"",INDEX('Providers'!$AI$4:$AI$503,500))</f>
        <v/>
      </c>
    </row>
    <row r="2004">
      <c r="A2004">
        <f>IF(AND(LEN('Providers'!A4)&gt;0,ISNUMBER('Providers'!Q4)),1,0)</f>
        <v/>
      </c>
      <c r="B2004">
        <f>B2003+A2004</f>
        <v/>
      </c>
      <c r="C2004">
        <f>IF(2001&gt;$B$4503,"",MATCH(2001-0.5,$B$3:$B$4503,1))</f>
        <v/>
      </c>
      <c r="D2004">
        <f>"Malpractice insurance – "&amp;IF(LEN(INDEX('Providers'!$A$4:$A$503,1))=0,"",INDEX('Providers'!$A$4:$A$503,1))</f>
        <v/>
      </c>
      <c r="E2004">
        <f>IF(ISNUMBER(INDEX('Providers'!$Q$4:$Q$503,1)),TEXT(INDEX('Providers'!$Q$4:$Q$503,1),"yyyy-mm-dd"),"")</f>
        <v/>
      </c>
      <c r="F2004">
        <f>"Insurance"</f>
        <v/>
      </c>
      <c r="G2004">
        <f>""</f>
        <v/>
      </c>
      <c r="H2004">
        <f>"High"</f>
        <v/>
      </c>
      <c r="I2004">
        <f>TRIM(IF(LEN(IF(LEN(INDEX('Providers'!$N$4:$N$503,1))=0,"",INDEX('Providers'!$N$4:$N$503,1)))=0,"","Carrier: "&amp;IF(LEN(INDEX('Providers'!$N$4:$N$503,1))=0,"",INDEX('Providers'!$N$4:$N$503,1))&amp;". ")&amp;IF(LEN(IF(LEN(INDEX('Providers'!$O$4:$O$503,1))=0,"",INDEX('Providers'!$O$4:$O$503,1)))=0,"","Policy no.: "&amp;IF(LEN(INDEX('Providers'!$O$4:$O$503,1))=0,"",INDEX('Providers'!$O$4:$O$503,1))&amp;". ")&amp;IF(LEN(IF(LEN(INDEX('Providers'!$P$4:$P$503,1))=0,"",INDEX('Providers'!$P$4:$P$503,1)))=0,"","Coverage form: "&amp;IF(LEN(INDEX('Providers'!$P$4:$P$503,1))=0,"",INDEX('Providers'!$P$4:$P$503,1))&amp;". "))</f>
        <v/>
      </c>
      <c r="J2004">
        <f>IF(LEN(INDEX('Providers'!$AJ$4:$AJ$503,1))=0,"",INDEX('Providers'!$AJ$4:$AJ$503,1))</f>
        <v/>
      </c>
      <c r="K2004">
        <f>IF(LEN(INDEX('Providers'!$AI$4:$AI$503,1))=0,"",INDEX('Providers'!$AI$4:$AI$503,1))</f>
        <v/>
      </c>
    </row>
    <row r="2005">
      <c r="A2005">
        <f>IF(AND(LEN('Providers'!A5)&gt;0,ISNUMBER('Providers'!Q5)),1,0)</f>
        <v/>
      </c>
      <c r="B2005">
        <f>B2004+A2005</f>
        <v/>
      </c>
      <c r="C2005">
        <f>IF(2002&gt;$B$4503,"",MATCH(2002-0.5,$B$3:$B$4503,1))</f>
        <v/>
      </c>
      <c r="D2005">
        <f>"Malpractice insurance – "&amp;IF(LEN(INDEX('Providers'!$A$4:$A$503,2))=0,"",INDEX('Providers'!$A$4:$A$503,2))</f>
        <v/>
      </c>
      <c r="E2005">
        <f>IF(ISNUMBER(INDEX('Providers'!$Q$4:$Q$503,2)),TEXT(INDEX('Providers'!$Q$4:$Q$503,2),"yyyy-mm-dd"),"")</f>
        <v/>
      </c>
      <c r="F2005">
        <f>"Insurance"</f>
        <v/>
      </c>
      <c r="G2005">
        <f>""</f>
        <v/>
      </c>
      <c r="H2005">
        <f>"High"</f>
        <v/>
      </c>
      <c r="I2005">
        <f>TRIM(IF(LEN(IF(LEN(INDEX('Providers'!$N$4:$N$503,2))=0,"",INDEX('Providers'!$N$4:$N$503,2)))=0,"","Carrier: "&amp;IF(LEN(INDEX('Providers'!$N$4:$N$503,2))=0,"",INDEX('Providers'!$N$4:$N$503,2))&amp;". ")&amp;IF(LEN(IF(LEN(INDEX('Providers'!$O$4:$O$503,2))=0,"",INDEX('Providers'!$O$4:$O$503,2)))=0,"","Policy no.: "&amp;IF(LEN(INDEX('Providers'!$O$4:$O$503,2))=0,"",INDEX('Providers'!$O$4:$O$503,2))&amp;". ")&amp;IF(LEN(IF(LEN(INDEX('Providers'!$P$4:$P$503,2))=0,"",INDEX('Providers'!$P$4:$P$503,2)))=0,"","Coverage form: "&amp;IF(LEN(INDEX('Providers'!$P$4:$P$503,2))=0,"",INDEX('Providers'!$P$4:$P$503,2))&amp;". "))</f>
        <v/>
      </c>
      <c r="J2005">
        <f>IF(LEN(INDEX('Providers'!$AJ$4:$AJ$503,2))=0,"",INDEX('Providers'!$AJ$4:$AJ$503,2))</f>
        <v/>
      </c>
      <c r="K2005">
        <f>IF(LEN(INDEX('Providers'!$AI$4:$AI$503,2))=0,"",INDEX('Providers'!$AI$4:$AI$503,2))</f>
        <v/>
      </c>
    </row>
    <row r="2006">
      <c r="A2006">
        <f>IF(AND(LEN('Providers'!A6)&gt;0,ISNUMBER('Providers'!Q6)),1,0)</f>
        <v/>
      </c>
      <c r="B2006">
        <f>B2005+A2006</f>
        <v/>
      </c>
      <c r="C2006">
        <f>IF(2003&gt;$B$4503,"",MATCH(2003-0.5,$B$3:$B$4503,1))</f>
        <v/>
      </c>
      <c r="D2006">
        <f>"Malpractice insurance – "&amp;IF(LEN(INDEX('Providers'!$A$4:$A$503,3))=0,"",INDEX('Providers'!$A$4:$A$503,3))</f>
        <v/>
      </c>
      <c r="E2006">
        <f>IF(ISNUMBER(INDEX('Providers'!$Q$4:$Q$503,3)),TEXT(INDEX('Providers'!$Q$4:$Q$503,3),"yyyy-mm-dd"),"")</f>
        <v/>
      </c>
      <c r="F2006">
        <f>"Insurance"</f>
        <v/>
      </c>
      <c r="G2006">
        <f>""</f>
        <v/>
      </c>
      <c r="H2006">
        <f>"High"</f>
        <v/>
      </c>
      <c r="I2006">
        <f>TRIM(IF(LEN(IF(LEN(INDEX('Providers'!$N$4:$N$503,3))=0,"",INDEX('Providers'!$N$4:$N$503,3)))=0,"","Carrier: "&amp;IF(LEN(INDEX('Providers'!$N$4:$N$503,3))=0,"",INDEX('Providers'!$N$4:$N$503,3))&amp;". ")&amp;IF(LEN(IF(LEN(INDEX('Providers'!$O$4:$O$503,3))=0,"",INDEX('Providers'!$O$4:$O$503,3)))=0,"","Policy no.: "&amp;IF(LEN(INDEX('Providers'!$O$4:$O$503,3))=0,"",INDEX('Providers'!$O$4:$O$503,3))&amp;". ")&amp;IF(LEN(IF(LEN(INDEX('Providers'!$P$4:$P$503,3))=0,"",INDEX('Providers'!$P$4:$P$503,3)))=0,"","Coverage form: "&amp;IF(LEN(INDEX('Providers'!$P$4:$P$503,3))=0,"",INDEX('Providers'!$P$4:$P$503,3))&amp;". "))</f>
        <v/>
      </c>
      <c r="J2006">
        <f>IF(LEN(INDEX('Providers'!$AJ$4:$AJ$503,3))=0,"",INDEX('Providers'!$AJ$4:$AJ$503,3))</f>
        <v/>
      </c>
      <c r="K2006">
        <f>IF(LEN(INDEX('Providers'!$AI$4:$AI$503,3))=0,"",INDEX('Providers'!$AI$4:$AI$503,3))</f>
        <v/>
      </c>
    </row>
    <row r="2007">
      <c r="A2007">
        <f>IF(AND(LEN('Providers'!A7)&gt;0,ISNUMBER('Providers'!Q7)),1,0)</f>
        <v/>
      </c>
      <c r="B2007">
        <f>B2006+A2007</f>
        <v/>
      </c>
      <c r="C2007">
        <f>IF(2004&gt;$B$4503,"",MATCH(2004-0.5,$B$3:$B$4503,1))</f>
        <v/>
      </c>
      <c r="D2007">
        <f>"Malpractice insurance – "&amp;IF(LEN(INDEX('Providers'!$A$4:$A$503,4))=0,"",INDEX('Providers'!$A$4:$A$503,4))</f>
        <v/>
      </c>
      <c r="E2007">
        <f>IF(ISNUMBER(INDEX('Providers'!$Q$4:$Q$503,4)),TEXT(INDEX('Providers'!$Q$4:$Q$503,4),"yyyy-mm-dd"),"")</f>
        <v/>
      </c>
      <c r="F2007">
        <f>"Insurance"</f>
        <v/>
      </c>
      <c r="G2007">
        <f>""</f>
        <v/>
      </c>
      <c r="H2007">
        <f>"High"</f>
        <v/>
      </c>
      <c r="I2007">
        <f>TRIM(IF(LEN(IF(LEN(INDEX('Providers'!$N$4:$N$503,4))=0,"",INDEX('Providers'!$N$4:$N$503,4)))=0,"","Carrier: "&amp;IF(LEN(INDEX('Providers'!$N$4:$N$503,4))=0,"",INDEX('Providers'!$N$4:$N$503,4))&amp;". ")&amp;IF(LEN(IF(LEN(INDEX('Providers'!$O$4:$O$503,4))=0,"",INDEX('Providers'!$O$4:$O$503,4)))=0,"","Policy no.: "&amp;IF(LEN(INDEX('Providers'!$O$4:$O$503,4))=0,"",INDEX('Providers'!$O$4:$O$503,4))&amp;". ")&amp;IF(LEN(IF(LEN(INDEX('Providers'!$P$4:$P$503,4))=0,"",INDEX('Providers'!$P$4:$P$503,4)))=0,"","Coverage form: "&amp;IF(LEN(INDEX('Providers'!$P$4:$P$503,4))=0,"",INDEX('Providers'!$P$4:$P$503,4))&amp;". "))</f>
        <v/>
      </c>
      <c r="J2007">
        <f>IF(LEN(INDEX('Providers'!$AJ$4:$AJ$503,4))=0,"",INDEX('Providers'!$AJ$4:$AJ$503,4))</f>
        <v/>
      </c>
      <c r="K2007">
        <f>IF(LEN(INDEX('Providers'!$AI$4:$AI$503,4))=0,"",INDEX('Providers'!$AI$4:$AI$503,4))</f>
        <v/>
      </c>
    </row>
    <row r="2008">
      <c r="A2008">
        <f>IF(AND(LEN('Providers'!A8)&gt;0,ISNUMBER('Providers'!Q8)),1,0)</f>
        <v/>
      </c>
      <c r="B2008">
        <f>B2007+A2008</f>
        <v/>
      </c>
      <c r="C2008">
        <f>IF(2005&gt;$B$4503,"",MATCH(2005-0.5,$B$3:$B$4503,1))</f>
        <v/>
      </c>
      <c r="D2008">
        <f>"Malpractice insurance – "&amp;IF(LEN(INDEX('Providers'!$A$4:$A$503,5))=0,"",INDEX('Providers'!$A$4:$A$503,5))</f>
        <v/>
      </c>
      <c r="E2008">
        <f>IF(ISNUMBER(INDEX('Providers'!$Q$4:$Q$503,5)),TEXT(INDEX('Providers'!$Q$4:$Q$503,5),"yyyy-mm-dd"),"")</f>
        <v/>
      </c>
      <c r="F2008">
        <f>"Insurance"</f>
        <v/>
      </c>
      <c r="G2008">
        <f>""</f>
        <v/>
      </c>
      <c r="H2008">
        <f>"High"</f>
        <v/>
      </c>
      <c r="I2008">
        <f>TRIM(IF(LEN(IF(LEN(INDEX('Providers'!$N$4:$N$503,5))=0,"",INDEX('Providers'!$N$4:$N$503,5)))=0,"","Carrier: "&amp;IF(LEN(INDEX('Providers'!$N$4:$N$503,5))=0,"",INDEX('Providers'!$N$4:$N$503,5))&amp;". ")&amp;IF(LEN(IF(LEN(INDEX('Providers'!$O$4:$O$503,5))=0,"",INDEX('Providers'!$O$4:$O$503,5)))=0,"","Policy no.: "&amp;IF(LEN(INDEX('Providers'!$O$4:$O$503,5))=0,"",INDEX('Providers'!$O$4:$O$503,5))&amp;". ")&amp;IF(LEN(IF(LEN(INDEX('Providers'!$P$4:$P$503,5))=0,"",INDEX('Providers'!$P$4:$P$503,5)))=0,"","Coverage form: "&amp;IF(LEN(INDEX('Providers'!$P$4:$P$503,5))=0,"",INDEX('Providers'!$P$4:$P$503,5))&amp;". "))</f>
        <v/>
      </c>
      <c r="J2008">
        <f>IF(LEN(INDEX('Providers'!$AJ$4:$AJ$503,5))=0,"",INDEX('Providers'!$AJ$4:$AJ$503,5))</f>
        <v/>
      </c>
      <c r="K2008">
        <f>IF(LEN(INDEX('Providers'!$AI$4:$AI$503,5))=0,"",INDEX('Providers'!$AI$4:$AI$503,5))</f>
        <v/>
      </c>
    </row>
    <row r="2009">
      <c r="A2009">
        <f>IF(AND(LEN('Providers'!A9)&gt;0,ISNUMBER('Providers'!Q9)),1,0)</f>
        <v/>
      </c>
      <c r="B2009">
        <f>B2008+A2009</f>
        <v/>
      </c>
      <c r="C2009">
        <f>IF(2006&gt;$B$4503,"",MATCH(2006-0.5,$B$3:$B$4503,1))</f>
        <v/>
      </c>
      <c r="D2009">
        <f>"Malpractice insurance – "&amp;IF(LEN(INDEX('Providers'!$A$4:$A$503,6))=0,"",INDEX('Providers'!$A$4:$A$503,6))</f>
        <v/>
      </c>
      <c r="E2009">
        <f>IF(ISNUMBER(INDEX('Providers'!$Q$4:$Q$503,6)),TEXT(INDEX('Providers'!$Q$4:$Q$503,6),"yyyy-mm-dd"),"")</f>
        <v/>
      </c>
      <c r="F2009">
        <f>"Insurance"</f>
        <v/>
      </c>
      <c r="G2009">
        <f>""</f>
        <v/>
      </c>
      <c r="H2009">
        <f>"High"</f>
        <v/>
      </c>
      <c r="I2009">
        <f>TRIM(IF(LEN(IF(LEN(INDEX('Providers'!$N$4:$N$503,6))=0,"",INDEX('Providers'!$N$4:$N$503,6)))=0,"","Carrier: "&amp;IF(LEN(INDEX('Providers'!$N$4:$N$503,6))=0,"",INDEX('Providers'!$N$4:$N$503,6))&amp;". ")&amp;IF(LEN(IF(LEN(INDEX('Providers'!$O$4:$O$503,6))=0,"",INDEX('Providers'!$O$4:$O$503,6)))=0,"","Policy no.: "&amp;IF(LEN(INDEX('Providers'!$O$4:$O$503,6))=0,"",INDEX('Providers'!$O$4:$O$503,6))&amp;". ")&amp;IF(LEN(IF(LEN(INDEX('Providers'!$P$4:$P$503,6))=0,"",INDEX('Providers'!$P$4:$P$503,6)))=0,"","Coverage form: "&amp;IF(LEN(INDEX('Providers'!$P$4:$P$503,6))=0,"",INDEX('Providers'!$P$4:$P$503,6))&amp;". "))</f>
        <v/>
      </c>
      <c r="J2009">
        <f>IF(LEN(INDEX('Providers'!$AJ$4:$AJ$503,6))=0,"",INDEX('Providers'!$AJ$4:$AJ$503,6))</f>
        <v/>
      </c>
      <c r="K2009">
        <f>IF(LEN(INDEX('Providers'!$AI$4:$AI$503,6))=0,"",INDEX('Providers'!$AI$4:$AI$503,6))</f>
        <v/>
      </c>
    </row>
    <row r="2010">
      <c r="A2010">
        <f>IF(AND(LEN('Providers'!A10)&gt;0,ISNUMBER('Providers'!Q10)),1,0)</f>
        <v/>
      </c>
      <c r="B2010">
        <f>B2009+A2010</f>
        <v/>
      </c>
      <c r="C2010">
        <f>IF(2007&gt;$B$4503,"",MATCH(2007-0.5,$B$3:$B$4503,1))</f>
        <v/>
      </c>
      <c r="D2010">
        <f>"Malpractice insurance – "&amp;IF(LEN(INDEX('Providers'!$A$4:$A$503,7))=0,"",INDEX('Providers'!$A$4:$A$503,7))</f>
        <v/>
      </c>
      <c r="E2010">
        <f>IF(ISNUMBER(INDEX('Providers'!$Q$4:$Q$503,7)),TEXT(INDEX('Providers'!$Q$4:$Q$503,7),"yyyy-mm-dd"),"")</f>
        <v/>
      </c>
      <c r="F2010">
        <f>"Insurance"</f>
        <v/>
      </c>
      <c r="G2010">
        <f>""</f>
        <v/>
      </c>
      <c r="H2010">
        <f>"High"</f>
        <v/>
      </c>
      <c r="I2010">
        <f>TRIM(IF(LEN(IF(LEN(INDEX('Providers'!$N$4:$N$503,7))=0,"",INDEX('Providers'!$N$4:$N$503,7)))=0,"","Carrier: "&amp;IF(LEN(INDEX('Providers'!$N$4:$N$503,7))=0,"",INDEX('Providers'!$N$4:$N$503,7))&amp;". ")&amp;IF(LEN(IF(LEN(INDEX('Providers'!$O$4:$O$503,7))=0,"",INDEX('Providers'!$O$4:$O$503,7)))=0,"","Policy no.: "&amp;IF(LEN(INDEX('Providers'!$O$4:$O$503,7))=0,"",INDEX('Providers'!$O$4:$O$503,7))&amp;". ")&amp;IF(LEN(IF(LEN(INDEX('Providers'!$P$4:$P$503,7))=0,"",INDEX('Providers'!$P$4:$P$503,7)))=0,"","Coverage form: "&amp;IF(LEN(INDEX('Providers'!$P$4:$P$503,7))=0,"",INDEX('Providers'!$P$4:$P$503,7))&amp;". "))</f>
        <v/>
      </c>
      <c r="J2010">
        <f>IF(LEN(INDEX('Providers'!$AJ$4:$AJ$503,7))=0,"",INDEX('Providers'!$AJ$4:$AJ$503,7))</f>
        <v/>
      </c>
      <c r="K2010">
        <f>IF(LEN(INDEX('Providers'!$AI$4:$AI$503,7))=0,"",INDEX('Providers'!$AI$4:$AI$503,7))</f>
        <v/>
      </c>
    </row>
    <row r="2011">
      <c r="A2011">
        <f>IF(AND(LEN('Providers'!A11)&gt;0,ISNUMBER('Providers'!Q11)),1,0)</f>
        <v/>
      </c>
      <c r="B2011">
        <f>B2010+A2011</f>
        <v/>
      </c>
      <c r="C2011">
        <f>IF(2008&gt;$B$4503,"",MATCH(2008-0.5,$B$3:$B$4503,1))</f>
        <v/>
      </c>
      <c r="D2011">
        <f>"Malpractice insurance – "&amp;IF(LEN(INDEX('Providers'!$A$4:$A$503,8))=0,"",INDEX('Providers'!$A$4:$A$503,8))</f>
        <v/>
      </c>
      <c r="E2011">
        <f>IF(ISNUMBER(INDEX('Providers'!$Q$4:$Q$503,8)),TEXT(INDEX('Providers'!$Q$4:$Q$503,8),"yyyy-mm-dd"),"")</f>
        <v/>
      </c>
      <c r="F2011">
        <f>"Insurance"</f>
        <v/>
      </c>
      <c r="G2011">
        <f>""</f>
        <v/>
      </c>
      <c r="H2011">
        <f>"High"</f>
        <v/>
      </c>
      <c r="I2011">
        <f>TRIM(IF(LEN(IF(LEN(INDEX('Providers'!$N$4:$N$503,8))=0,"",INDEX('Providers'!$N$4:$N$503,8)))=0,"","Carrier: "&amp;IF(LEN(INDEX('Providers'!$N$4:$N$503,8))=0,"",INDEX('Providers'!$N$4:$N$503,8))&amp;". ")&amp;IF(LEN(IF(LEN(INDEX('Providers'!$O$4:$O$503,8))=0,"",INDEX('Providers'!$O$4:$O$503,8)))=0,"","Policy no.: "&amp;IF(LEN(INDEX('Providers'!$O$4:$O$503,8))=0,"",INDEX('Providers'!$O$4:$O$503,8))&amp;". ")&amp;IF(LEN(IF(LEN(INDEX('Providers'!$P$4:$P$503,8))=0,"",INDEX('Providers'!$P$4:$P$503,8)))=0,"","Coverage form: "&amp;IF(LEN(INDEX('Providers'!$P$4:$P$503,8))=0,"",INDEX('Providers'!$P$4:$P$503,8))&amp;". "))</f>
        <v/>
      </c>
      <c r="J2011">
        <f>IF(LEN(INDEX('Providers'!$AJ$4:$AJ$503,8))=0,"",INDEX('Providers'!$AJ$4:$AJ$503,8))</f>
        <v/>
      </c>
      <c r="K2011">
        <f>IF(LEN(INDEX('Providers'!$AI$4:$AI$503,8))=0,"",INDEX('Providers'!$AI$4:$AI$503,8))</f>
        <v/>
      </c>
    </row>
    <row r="2012">
      <c r="A2012">
        <f>IF(AND(LEN('Providers'!A12)&gt;0,ISNUMBER('Providers'!Q12)),1,0)</f>
        <v/>
      </c>
      <c r="B2012">
        <f>B2011+A2012</f>
        <v/>
      </c>
      <c r="C2012">
        <f>IF(2009&gt;$B$4503,"",MATCH(2009-0.5,$B$3:$B$4503,1))</f>
        <v/>
      </c>
      <c r="D2012">
        <f>"Malpractice insurance – "&amp;IF(LEN(INDEX('Providers'!$A$4:$A$503,9))=0,"",INDEX('Providers'!$A$4:$A$503,9))</f>
        <v/>
      </c>
      <c r="E2012">
        <f>IF(ISNUMBER(INDEX('Providers'!$Q$4:$Q$503,9)),TEXT(INDEX('Providers'!$Q$4:$Q$503,9),"yyyy-mm-dd"),"")</f>
        <v/>
      </c>
      <c r="F2012">
        <f>"Insurance"</f>
        <v/>
      </c>
      <c r="G2012">
        <f>""</f>
        <v/>
      </c>
      <c r="H2012">
        <f>"High"</f>
        <v/>
      </c>
      <c r="I2012">
        <f>TRIM(IF(LEN(IF(LEN(INDEX('Providers'!$N$4:$N$503,9))=0,"",INDEX('Providers'!$N$4:$N$503,9)))=0,"","Carrier: "&amp;IF(LEN(INDEX('Providers'!$N$4:$N$503,9))=0,"",INDEX('Providers'!$N$4:$N$503,9))&amp;". ")&amp;IF(LEN(IF(LEN(INDEX('Providers'!$O$4:$O$503,9))=0,"",INDEX('Providers'!$O$4:$O$503,9)))=0,"","Policy no.: "&amp;IF(LEN(INDEX('Providers'!$O$4:$O$503,9))=0,"",INDEX('Providers'!$O$4:$O$503,9))&amp;". ")&amp;IF(LEN(IF(LEN(INDEX('Providers'!$P$4:$P$503,9))=0,"",INDEX('Providers'!$P$4:$P$503,9)))=0,"","Coverage form: "&amp;IF(LEN(INDEX('Providers'!$P$4:$P$503,9))=0,"",INDEX('Providers'!$P$4:$P$503,9))&amp;". "))</f>
        <v/>
      </c>
      <c r="J2012">
        <f>IF(LEN(INDEX('Providers'!$AJ$4:$AJ$503,9))=0,"",INDEX('Providers'!$AJ$4:$AJ$503,9))</f>
        <v/>
      </c>
      <c r="K2012">
        <f>IF(LEN(INDEX('Providers'!$AI$4:$AI$503,9))=0,"",INDEX('Providers'!$AI$4:$AI$503,9))</f>
        <v/>
      </c>
    </row>
    <row r="2013">
      <c r="A2013">
        <f>IF(AND(LEN('Providers'!A13)&gt;0,ISNUMBER('Providers'!Q13)),1,0)</f>
        <v/>
      </c>
      <c r="B2013">
        <f>B2012+A2013</f>
        <v/>
      </c>
      <c r="C2013">
        <f>IF(2010&gt;$B$4503,"",MATCH(2010-0.5,$B$3:$B$4503,1))</f>
        <v/>
      </c>
      <c r="D2013">
        <f>"Malpractice insurance – "&amp;IF(LEN(INDEX('Providers'!$A$4:$A$503,10))=0,"",INDEX('Providers'!$A$4:$A$503,10))</f>
        <v/>
      </c>
      <c r="E2013">
        <f>IF(ISNUMBER(INDEX('Providers'!$Q$4:$Q$503,10)),TEXT(INDEX('Providers'!$Q$4:$Q$503,10),"yyyy-mm-dd"),"")</f>
        <v/>
      </c>
      <c r="F2013">
        <f>"Insurance"</f>
        <v/>
      </c>
      <c r="G2013">
        <f>""</f>
        <v/>
      </c>
      <c r="H2013">
        <f>"High"</f>
        <v/>
      </c>
      <c r="I2013">
        <f>TRIM(IF(LEN(IF(LEN(INDEX('Providers'!$N$4:$N$503,10))=0,"",INDEX('Providers'!$N$4:$N$503,10)))=0,"","Carrier: "&amp;IF(LEN(INDEX('Providers'!$N$4:$N$503,10))=0,"",INDEX('Providers'!$N$4:$N$503,10))&amp;". ")&amp;IF(LEN(IF(LEN(INDEX('Providers'!$O$4:$O$503,10))=0,"",INDEX('Providers'!$O$4:$O$503,10)))=0,"","Policy no.: "&amp;IF(LEN(INDEX('Providers'!$O$4:$O$503,10))=0,"",INDEX('Providers'!$O$4:$O$503,10))&amp;". ")&amp;IF(LEN(IF(LEN(INDEX('Providers'!$P$4:$P$503,10))=0,"",INDEX('Providers'!$P$4:$P$503,10)))=0,"","Coverage form: "&amp;IF(LEN(INDEX('Providers'!$P$4:$P$503,10))=0,"",INDEX('Providers'!$P$4:$P$503,10))&amp;". "))</f>
        <v/>
      </c>
      <c r="J2013">
        <f>IF(LEN(INDEX('Providers'!$AJ$4:$AJ$503,10))=0,"",INDEX('Providers'!$AJ$4:$AJ$503,10))</f>
        <v/>
      </c>
      <c r="K2013">
        <f>IF(LEN(INDEX('Providers'!$AI$4:$AI$503,10))=0,"",INDEX('Providers'!$AI$4:$AI$503,10))</f>
        <v/>
      </c>
    </row>
    <row r="2014">
      <c r="A2014">
        <f>IF(AND(LEN('Providers'!A14)&gt;0,ISNUMBER('Providers'!Q14)),1,0)</f>
        <v/>
      </c>
      <c r="B2014">
        <f>B2013+A2014</f>
        <v/>
      </c>
      <c r="C2014">
        <f>IF(2011&gt;$B$4503,"",MATCH(2011-0.5,$B$3:$B$4503,1))</f>
        <v/>
      </c>
      <c r="D2014">
        <f>"Malpractice insurance – "&amp;IF(LEN(INDEX('Providers'!$A$4:$A$503,11))=0,"",INDEX('Providers'!$A$4:$A$503,11))</f>
        <v/>
      </c>
      <c r="E2014">
        <f>IF(ISNUMBER(INDEX('Providers'!$Q$4:$Q$503,11)),TEXT(INDEX('Providers'!$Q$4:$Q$503,11),"yyyy-mm-dd"),"")</f>
        <v/>
      </c>
      <c r="F2014">
        <f>"Insurance"</f>
        <v/>
      </c>
      <c r="G2014">
        <f>""</f>
        <v/>
      </c>
      <c r="H2014">
        <f>"High"</f>
        <v/>
      </c>
      <c r="I2014">
        <f>TRIM(IF(LEN(IF(LEN(INDEX('Providers'!$N$4:$N$503,11))=0,"",INDEX('Providers'!$N$4:$N$503,11)))=0,"","Carrier: "&amp;IF(LEN(INDEX('Providers'!$N$4:$N$503,11))=0,"",INDEX('Providers'!$N$4:$N$503,11))&amp;". ")&amp;IF(LEN(IF(LEN(INDEX('Providers'!$O$4:$O$503,11))=0,"",INDEX('Providers'!$O$4:$O$503,11)))=0,"","Policy no.: "&amp;IF(LEN(INDEX('Providers'!$O$4:$O$503,11))=0,"",INDEX('Providers'!$O$4:$O$503,11))&amp;". ")&amp;IF(LEN(IF(LEN(INDEX('Providers'!$P$4:$P$503,11))=0,"",INDEX('Providers'!$P$4:$P$503,11)))=0,"","Coverage form: "&amp;IF(LEN(INDEX('Providers'!$P$4:$P$503,11))=0,"",INDEX('Providers'!$P$4:$P$503,11))&amp;". "))</f>
        <v/>
      </c>
      <c r="J2014">
        <f>IF(LEN(INDEX('Providers'!$AJ$4:$AJ$503,11))=0,"",INDEX('Providers'!$AJ$4:$AJ$503,11))</f>
        <v/>
      </c>
      <c r="K2014">
        <f>IF(LEN(INDEX('Providers'!$AI$4:$AI$503,11))=0,"",INDEX('Providers'!$AI$4:$AI$503,11))</f>
        <v/>
      </c>
    </row>
    <row r="2015">
      <c r="A2015">
        <f>IF(AND(LEN('Providers'!A15)&gt;0,ISNUMBER('Providers'!Q15)),1,0)</f>
        <v/>
      </c>
      <c r="B2015">
        <f>B2014+A2015</f>
        <v/>
      </c>
      <c r="C2015">
        <f>IF(2012&gt;$B$4503,"",MATCH(2012-0.5,$B$3:$B$4503,1))</f>
        <v/>
      </c>
      <c r="D2015">
        <f>"Malpractice insurance – "&amp;IF(LEN(INDEX('Providers'!$A$4:$A$503,12))=0,"",INDEX('Providers'!$A$4:$A$503,12))</f>
        <v/>
      </c>
      <c r="E2015">
        <f>IF(ISNUMBER(INDEX('Providers'!$Q$4:$Q$503,12)),TEXT(INDEX('Providers'!$Q$4:$Q$503,12),"yyyy-mm-dd"),"")</f>
        <v/>
      </c>
      <c r="F2015">
        <f>"Insurance"</f>
        <v/>
      </c>
      <c r="G2015">
        <f>""</f>
        <v/>
      </c>
      <c r="H2015">
        <f>"High"</f>
        <v/>
      </c>
      <c r="I2015">
        <f>TRIM(IF(LEN(IF(LEN(INDEX('Providers'!$N$4:$N$503,12))=0,"",INDEX('Providers'!$N$4:$N$503,12)))=0,"","Carrier: "&amp;IF(LEN(INDEX('Providers'!$N$4:$N$503,12))=0,"",INDEX('Providers'!$N$4:$N$503,12))&amp;". ")&amp;IF(LEN(IF(LEN(INDEX('Providers'!$O$4:$O$503,12))=0,"",INDEX('Providers'!$O$4:$O$503,12)))=0,"","Policy no.: "&amp;IF(LEN(INDEX('Providers'!$O$4:$O$503,12))=0,"",INDEX('Providers'!$O$4:$O$503,12))&amp;". ")&amp;IF(LEN(IF(LEN(INDEX('Providers'!$P$4:$P$503,12))=0,"",INDEX('Providers'!$P$4:$P$503,12)))=0,"","Coverage form: "&amp;IF(LEN(INDEX('Providers'!$P$4:$P$503,12))=0,"",INDEX('Providers'!$P$4:$P$503,12))&amp;". "))</f>
        <v/>
      </c>
      <c r="J2015">
        <f>IF(LEN(INDEX('Providers'!$AJ$4:$AJ$503,12))=0,"",INDEX('Providers'!$AJ$4:$AJ$503,12))</f>
        <v/>
      </c>
      <c r="K2015">
        <f>IF(LEN(INDEX('Providers'!$AI$4:$AI$503,12))=0,"",INDEX('Providers'!$AI$4:$AI$503,12))</f>
        <v/>
      </c>
    </row>
    <row r="2016">
      <c r="A2016">
        <f>IF(AND(LEN('Providers'!A16)&gt;0,ISNUMBER('Providers'!Q16)),1,0)</f>
        <v/>
      </c>
      <c r="B2016">
        <f>B2015+A2016</f>
        <v/>
      </c>
      <c r="C2016">
        <f>IF(2013&gt;$B$4503,"",MATCH(2013-0.5,$B$3:$B$4503,1))</f>
        <v/>
      </c>
      <c r="D2016">
        <f>"Malpractice insurance – "&amp;IF(LEN(INDEX('Providers'!$A$4:$A$503,13))=0,"",INDEX('Providers'!$A$4:$A$503,13))</f>
        <v/>
      </c>
      <c r="E2016">
        <f>IF(ISNUMBER(INDEX('Providers'!$Q$4:$Q$503,13)),TEXT(INDEX('Providers'!$Q$4:$Q$503,13),"yyyy-mm-dd"),"")</f>
        <v/>
      </c>
      <c r="F2016">
        <f>"Insurance"</f>
        <v/>
      </c>
      <c r="G2016">
        <f>""</f>
        <v/>
      </c>
      <c r="H2016">
        <f>"High"</f>
        <v/>
      </c>
      <c r="I2016">
        <f>TRIM(IF(LEN(IF(LEN(INDEX('Providers'!$N$4:$N$503,13))=0,"",INDEX('Providers'!$N$4:$N$503,13)))=0,"","Carrier: "&amp;IF(LEN(INDEX('Providers'!$N$4:$N$503,13))=0,"",INDEX('Providers'!$N$4:$N$503,13))&amp;". ")&amp;IF(LEN(IF(LEN(INDEX('Providers'!$O$4:$O$503,13))=0,"",INDEX('Providers'!$O$4:$O$503,13)))=0,"","Policy no.: "&amp;IF(LEN(INDEX('Providers'!$O$4:$O$503,13))=0,"",INDEX('Providers'!$O$4:$O$503,13))&amp;". ")&amp;IF(LEN(IF(LEN(INDEX('Providers'!$P$4:$P$503,13))=0,"",INDEX('Providers'!$P$4:$P$503,13)))=0,"","Coverage form: "&amp;IF(LEN(INDEX('Providers'!$P$4:$P$503,13))=0,"",INDEX('Providers'!$P$4:$P$503,13))&amp;". "))</f>
        <v/>
      </c>
      <c r="J2016">
        <f>IF(LEN(INDEX('Providers'!$AJ$4:$AJ$503,13))=0,"",INDEX('Providers'!$AJ$4:$AJ$503,13))</f>
        <v/>
      </c>
      <c r="K2016">
        <f>IF(LEN(INDEX('Providers'!$AI$4:$AI$503,13))=0,"",INDEX('Providers'!$AI$4:$AI$503,13))</f>
        <v/>
      </c>
    </row>
    <row r="2017">
      <c r="A2017">
        <f>IF(AND(LEN('Providers'!A17)&gt;0,ISNUMBER('Providers'!Q17)),1,0)</f>
        <v/>
      </c>
      <c r="B2017">
        <f>B2016+A2017</f>
        <v/>
      </c>
      <c r="C2017">
        <f>IF(2014&gt;$B$4503,"",MATCH(2014-0.5,$B$3:$B$4503,1))</f>
        <v/>
      </c>
      <c r="D2017">
        <f>"Malpractice insurance – "&amp;IF(LEN(INDEX('Providers'!$A$4:$A$503,14))=0,"",INDEX('Providers'!$A$4:$A$503,14))</f>
        <v/>
      </c>
      <c r="E2017">
        <f>IF(ISNUMBER(INDEX('Providers'!$Q$4:$Q$503,14)),TEXT(INDEX('Providers'!$Q$4:$Q$503,14),"yyyy-mm-dd"),"")</f>
        <v/>
      </c>
      <c r="F2017">
        <f>"Insurance"</f>
        <v/>
      </c>
      <c r="G2017">
        <f>""</f>
        <v/>
      </c>
      <c r="H2017">
        <f>"High"</f>
        <v/>
      </c>
      <c r="I2017">
        <f>TRIM(IF(LEN(IF(LEN(INDEX('Providers'!$N$4:$N$503,14))=0,"",INDEX('Providers'!$N$4:$N$503,14)))=0,"","Carrier: "&amp;IF(LEN(INDEX('Providers'!$N$4:$N$503,14))=0,"",INDEX('Providers'!$N$4:$N$503,14))&amp;". ")&amp;IF(LEN(IF(LEN(INDEX('Providers'!$O$4:$O$503,14))=0,"",INDEX('Providers'!$O$4:$O$503,14)))=0,"","Policy no.: "&amp;IF(LEN(INDEX('Providers'!$O$4:$O$503,14))=0,"",INDEX('Providers'!$O$4:$O$503,14))&amp;". ")&amp;IF(LEN(IF(LEN(INDEX('Providers'!$P$4:$P$503,14))=0,"",INDEX('Providers'!$P$4:$P$503,14)))=0,"","Coverage form: "&amp;IF(LEN(INDEX('Providers'!$P$4:$P$503,14))=0,"",INDEX('Providers'!$P$4:$P$503,14))&amp;". "))</f>
        <v/>
      </c>
      <c r="J2017">
        <f>IF(LEN(INDEX('Providers'!$AJ$4:$AJ$503,14))=0,"",INDEX('Providers'!$AJ$4:$AJ$503,14))</f>
        <v/>
      </c>
      <c r="K2017">
        <f>IF(LEN(INDEX('Providers'!$AI$4:$AI$503,14))=0,"",INDEX('Providers'!$AI$4:$AI$503,14))</f>
        <v/>
      </c>
    </row>
    <row r="2018">
      <c r="A2018">
        <f>IF(AND(LEN('Providers'!A18)&gt;0,ISNUMBER('Providers'!Q18)),1,0)</f>
        <v/>
      </c>
      <c r="B2018">
        <f>B2017+A2018</f>
        <v/>
      </c>
      <c r="C2018">
        <f>IF(2015&gt;$B$4503,"",MATCH(2015-0.5,$B$3:$B$4503,1))</f>
        <v/>
      </c>
      <c r="D2018">
        <f>"Malpractice insurance – "&amp;IF(LEN(INDEX('Providers'!$A$4:$A$503,15))=0,"",INDEX('Providers'!$A$4:$A$503,15))</f>
        <v/>
      </c>
      <c r="E2018">
        <f>IF(ISNUMBER(INDEX('Providers'!$Q$4:$Q$503,15)),TEXT(INDEX('Providers'!$Q$4:$Q$503,15),"yyyy-mm-dd"),"")</f>
        <v/>
      </c>
      <c r="F2018">
        <f>"Insurance"</f>
        <v/>
      </c>
      <c r="G2018">
        <f>""</f>
        <v/>
      </c>
      <c r="H2018">
        <f>"High"</f>
        <v/>
      </c>
      <c r="I2018">
        <f>TRIM(IF(LEN(IF(LEN(INDEX('Providers'!$N$4:$N$503,15))=0,"",INDEX('Providers'!$N$4:$N$503,15)))=0,"","Carrier: "&amp;IF(LEN(INDEX('Providers'!$N$4:$N$503,15))=0,"",INDEX('Providers'!$N$4:$N$503,15))&amp;". ")&amp;IF(LEN(IF(LEN(INDEX('Providers'!$O$4:$O$503,15))=0,"",INDEX('Providers'!$O$4:$O$503,15)))=0,"","Policy no.: "&amp;IF(LEN(INDEX('Providers'!$O$4:$O$503,15))=0,"",INDEX('Providers'!$O$4:$O$503,15))&amp;". ")&amp;IF(LEN(IF(LEN(INDEX('Providers'!$P$4:$P$503,15))=0,"",INDEX('Providers'!$P$4:$P$503,15)))=0,"","Coverage form: "&amp;IF(LEN(INDEX('Providers'!$P$4:$P$503,15))=0,"",INDEX('Providers'!$P$4:$P$503,15))&amp;". "))</f>
        <v/>
      </c>
      <c r="J2018">
        <f>IF(LEN(INDEX('Providers'!$AJ$4:$AJ$503,15))=0,"",INDEX('Providers'!$AJ$4:$AJ$503,15))</f>
        <v/>
      </c>
      <c r="K2018">
        <f>IF(LEN(INDEX('Providers'!$AI$4:$AI$503,15))=0,"",INDEX('Providers'!$AI$4:$AI$503,15))</f>
        <v/>
      </c>
    </row>
    <row r="2019">
      <c r="A2019">
        <f>IF(AND(LEN('Providers'!A19)&gt;0,ISNUMBER('Providers'!Q19)),1,0)</f>
        <v/>
      </c>
      <c r="B2019">
        <f>B2018+A2019</f>
        <v/>
      </c>
      <c r="C2019">
        <f>IF(2016&gt;$B$4503,"",MATCH(2016-0.5,$B$3:$B$4503,1))</f>
        <v/>
      </c>
      <c r="D2019">
        <f>"Malpractice insurance – "&amp;IF(LEN(INDEX('Providers'!$A$4:$A$503,16))=0,"",INDEX('Providers'!$A$4:$A$503,16))</f>
        <v/>
      </c>
      <c r="E2019">
        <f>IF(ISNUMBER(INDEX('Providers'!$Q$4:$Q$503,16)),TEXT(INDEX('Providers'!$Q$4:$Q$503,16),"yyyy-mm-dd"),"")</f>
        <v/>
      </c>
      <c r="F2019">
        <f>"Insurance"</f>
        <v/>
      </c>
      <c r="G2019">
        <f>""</f>
        <v/>
      </c>
      <c r="H2019">
        <f>"High"</f>
        <v/>
      </c>
      <c r="I2019">
        <f>TRIM(IF(LEN(IF(LEN(INDEX('Providers'!$N$4:$N$503,16))=0,"",INDEX('Providers'!$N$4:$N$503,16)))=0,"","Carrier: "&amp;IF(LEN(INDEX('Providers'!$N$4:$N$503,16))=0,"",INDEX('Providers'!$N$4:$N$503,16))&amp;". ")&amp;IF(LEN(IF(LEN(INDEX('Providers'!$O$4:$O$503,16))=0,"",INDEX('Providers'!$O$4:$O$503,16)))=0,"","Policy no.: "&amp;IF(LEN(INDEX('Providers'!$O$4:$O$503,16))=0,"",INDEX('Providers'!$O$4:$O$503,16))&amp;". ")&amp;IF(LEN(IF(LEN(INDEX('Providers'!$P$4:$P$503,16))=0,"",INDEX('Providers'!$P$4:$P$503,16)))=0,"","Coverage form: "&amp;IF(LEN(INDEX('Providers'!$P$4:$P$503,16))=0,"",INDEX('Providers'!$P$4:$P$503,16))&amp;". "))</f>
        <v/>
      </c>
      <c r="J2019">
        <f>IF(LEN(INDEX('Providers'!$AJ$4:$AJ$503,16))=0,"",INDEX('Providers'!$AJ$4:$AJ$503,16))</f>
        <v/>
      </c>
      <c r="K2019">
        <f>IF(LEN(INDEX('Providers'!$AI$4:$AI$503,16))=0,"",INDEX('Providers'!$AI$4:$AI$503,16))</f>
        <v/>
      </c>
    </row>
    <row r="2020">
      <c r="A2020">
        <f>IF(AND(LEN('Providers'!A20)&gt;0,ISNUMBER('Providers'!Q20)),1,0)</f>
        <v/>
      </c>
      <c r="B2020">
        <f>B2019+A2020</f>
        <v/>
      </c>
      <c r="C2020">
        <f>IF(2017&gt;$B$4503,"",MATCH(2017-0.5,$B$3:$B$4503,1))</f>
        <v/>
      </c>
      <c r="D2020">
        <f>"Malpractice insurance – "&amp;IF(LEN(INDEX('Providers'!$A$4:$A$503,17))=0,"",INDEX('Providers'!$A$4:$A$503,17))</f>
        <v/>
      </c>
      <c r="E2020">
        <f>IF(ISNUMBER(INDEX('Providers'!$Q$4:$Q$503,17)),TEXT(INDEX('Providers'!$Q$4:$Q$503,17),"yyyy-mm-dd"),"")</f>
        <v/>
      </c>
      <c r="F2020">
        <f>"Insurance"</f>
        <v/>
      </c>
      <c r="G2020">
        <f>""</f>
        <v/>
      </c>
      <c r="H2020">
        <f>"High"</f>
        <v/>
      </c>
      <c r="I2020">
        <f>TRIM(IF(LEN(IF(LEN(INDEX('Providers'!$N$4:$N$503,17))=0,"",INDEX('Providers'!$N$4:$N$503,17)))=0,"","Carrier: "&amp;IF(LEN(INDEX('Providers'!$N$4:$N$503,17))=0,"",INDEX('Providers'!$N$4:$N$503,17))&amp;". ")&amp;IF(LEN(IF(LEN(INDEX('Providers'!$O$4:$O$503,17))=0,"",INDEX('Providers'!$O$4:$O$503,17)))=0,"","Policy no.: "&amp;IF(LEN(INDEX('Providers'!$O$4:$O$503,17))=0,"",INDEX('Providers'!$O$4:$O$503,17))&amp;". ")&amp;IF(LEN(IF(LEN(INDEX('Providers'!$P$4:$P$503,17))=0,"",INDEX('Providers'!$P$4:$P$503,17)))=0,"","Coverage form: "&amp;IF(LEN(INDEX('Providers'!$P$4:$P$503,17))=0,"",INDEX('Providers'!$P$4:$P$503,17))&amp;". "))</f>
        <v/>
      </c>
      <c r="J2020">
        <f>IF(LEN(INDEX('Providers'!$AJ$4:$AJ$503,17))=0,"",INDEX('Providers'!$AJ$4:$AJ$503,17))</f>
        <v/>
      </c>
      <c r="K2020">
        <f>IF(LEN(INDEX('Providers'!$AI$4:$AI$503,17))=0,"",INDEX('Providers'!$AI$4:$AI$503,17))</f>
        <v/>
      </c>
    </row>
    <row r="2021">
      <c r="A2021">
        <f>IF(AND(LEN('Providers'!A21)&gt;0,ISNUMBER('Providers'!Q21)),1,0)</f>
        <v/>
      </c>
      <c r="B2021">
        <f>B2020+A2021</f>
        <v/>
      </c>
      <c r="C2021">
        <f>IF(2018&gt;$B$4503,"",MATCH(2018-0.5,$B$3:$B$4503,1))</f>
        <v/>
      </c>
      <c r="D2021">
        <f>"Malpractice insurance – "&amp;IF(LEN(INDEX('Providers'!$A$4:$A$503,18))=0,"",INDEX('Providers'!$A$4:$A$503,18))</f>
        <v/>
      </c>
      <c r="E2021">
        <f>IF(ISNUMBER(INDEX('Providers'!$Q$4:$Q$503,18)),TEXT(INDEX('Providers'!$Q$4:$Q$503,18),"yyyy-mm-dd"),"")</f>
        <v/>
      </c>
      <c r="F2021">
        <f>"Insurance"</f>
        <v/>
      </c>
      <c r="G2021">
        <f>""</f>
        <v/>
      </c>
      <c r="H2021">
        <f>"High"</f>
        <v/>
      </c>
      <c r="I2021">
        <f>TRIM(IF(LEN(IF(LEN(INDEX('Providers'!$N$4:$N$503,18))=0,"",INDEX('Providers'!$N$4:$N$503,18)))=0,"","Carrier: "&amp;IF(LEN(INDEX('Providers'!$N$4:$N$503,18))=0,"",INDEX('Providers'!$N$4:$N$503,18))&amp;". ")&amp;IF(LEN(IF(LEN(INDEX('Providers'!$O$4:$O$503,18))=0,"",INDEX('Providers'!$O$4:$O$503,18)))=0,"","Policy no.: "&amp;IF(LEN(INDEX('Providers'!$O$4:$O$503,18))=0,"",INDEX('Providers'!$O$4:$O$503,18))&amp;". ")&amp;IF(LEN(IF(LEN(INDEX('Providers'!$P$4:$P$503,18))=0,"",INDEX('Providers'!$P$4:$P$503,18)))=0,"","Coverage form: "&amp;IF(LEN(INDEX('Providers'!$P$4:$P$503,18))=0,"",INDEX('Providers'!$P$4:$P$503,18))&amp;". "))</f>
        <v/>
      </c>
      <c r="J2021">
        <f>IF(LEN(INDEX('Providers'!$AJ$4:$AJ$503,18))=0,"",INDEX('Providers'!$AJ$4:$AJ$503,18))</f>
        <v/>
      </c>
      <c r="K2021">
        <f>IF(LEN(INDEX('Providers'!$AI$4:$AI$503,18))=0,"",INDEX('Providers'!$AI$4:$AI$503,18))</f>
        <v/>
      </c>
    </row>
    <row r="2022">
      <c r="A2022">
        <f>IF(AND(LEN('Providers'!A22)&gt;0,ISNUMBER('Providers'!Q22)),1,0)</f>
        <v/>
      </c>
      <c r="B2022">
        <f>B2021+A2022</f>
        <v/>
      </c>
      <c r="C2022">
        <f>IF(2019&gt;$B$4503,"",MATCH(2019-0.5,$B$3:$B$4503,1))</f>
        <v/>
      </c>
      <c r="D2022">
        <f>"Malpractice insurance – "&amp;IF(LEN(INDEX('Providers'!$A$4:$A$503,19))=0,"",INDEX('Providers'!$A$4:$A$503,19))</f>
        <v/>
      </c>
      <c r="E2022">
        <f>IF(ISNUMBER(INDEX('Providers'!$Q$4:$Q$503,19)),TEXT(INDEX('Providers'!$Q$4:$Q$503,19),"yyyy-mm-dd"),"")</f>
        <v/>
      </c>
      <c r="F2022">
        <f>"Insurance"</f>
        <v/>
      </c>
      <c r="G2022">
        <f>""</f>
        <v/>
      </c>
      <c r="H2022">
        <f>"High"</f>
        <v/>
      </c>
      <c r="I2022">
        <f>TRIM(IF(LEN(IF(LEN(INDEX('Providers'!$N$4:$N$503,19))=0,"",INDEX('Providers'!$N$4:$N$503,19)))=0,"","Carrier: "&amp;IF(LEN(INDEX('Providers'!$N$4:$N$503,19))=0,"",INDEX('Providers'!$N$4:$N$503,19))&amp;". ")&amp;IF(LEN(IF(LEN(INDEX('Providers'!$O$4:$O$503,19))=0,"",INDEX('Providers'!$O$4:$O$503,19)))=0,"","Policy no.: "&amp;IF(LEN(INDEX('Providers'!$O$4:$O$503,19))=0,"",INDEX('Providers'!$O$4:$O$503,19))&amp;". ")&amp;IF(LEN(IF(LEN(INDEX('Providers'!$P$4:$P$503,19))=0,"",INDEX('Providers'!$P$4:$P$503,19)))=0,"","Coverage form: "&amp;IF(LEN(INDEX('Providers'!$P$4:$P$503,19))=0,"",INDEX('Providers'!$P$4:$P$503,19))&amp;". "))</f>
        <v/>
      </c>
      <c r="J2022">
        <f>IF(LEN(INDEX('Providers'!$AJ$4:$AJ$503,19))=0,"",INDEX('Providers'!$AJ$4:$AJ$503,19))</f>
        <v/>
      </c>
      <c r="K2022">
        <f>IF(LEN(INDEX('Providers'!$AI$4:$AI$503,19))=0,"",INDEX('Providers'!$AI$4:$AI$503,19))</f>
        <v/>
      </c>
    </row>
    <row r="2023">
      <c r="A2023">
        <f>IF(AND(LEN('Providers'!A23)&gt;0,ISNUMBER('Providers'!Q23)),1,0)</f>
        <v/>
      </c>
      <c r="B2023">
        <f>B2022+A2023</f>
        <v/>
      </c>
      <c r="C2023">
        <f>IF(2020&gt;$B$4503,"",MATCH(2020-0.5,$B$3:$B$4503,1))</f>
        <v/>
      </c>
      <c r="D2023">
        <f>"Malpractice insurance – "&amp;IF(LEN(INDEX('Providers'!$A$4:$A$503,20))=0,"",INDEX('Providers'!$A$4:$A$503,20))</f>
        <v/>
      </c>
      <c r="E2023">
        <f>IF(ISNUMBER(INDEX('Providers'!$Q$4:$Q$503,20)),TEXT(INDEX('Providers'!$Q$4:$Q$503,20),"yyyy-mm-dd"),"")</f>
        <v/>
      </c>
      <c r="F2023">
        <f>"Insurance"</f>
        <v/>
      </c>
      <c r="G2023">
        <f>""</f>
        <v/>
      </c>
      <c r="H2023">
        <f>"High"</f>
        <v/>
      </c>
      <c r="I2023">
        <f>TRIM(IF(LEN(IF(LEN(INDEX('Providers'!$N$4:$N$503,20))=0,"",INDEX('Providers'!$N$4:$N$503,20)))=0,"","Carrier: "&amp;IF(LEN(INDEX('Providers'!$N$4:$N$503,20))=0,"",INDEX('Providers'!$N$4:$N$503,20))&amp;". ")&amp;IF(LEN(IF(LEN(INDEX('Providers'!$O$4:$O$503,20))=0,"",INDEX('Providers'!$O$4:$O$503,20)))=0,"","Policy no.: "&amp;IF(LEN(INDEX('Providers'!$O$4:$O$503,20))=0,"",INDEX('Providers'!$O$4:$O$503,20))&amp;". ")&amp;IF(LEN(IF(LEN(INDEX('Providers'!$P$4:$P$503,20))=0,"",INDEX('Providers'!$P$4:$P$503,20)))=0,"","Coverage form: "&amp;IF(LEN(INDEX('Providers'!$P$4:$P$503,20))=0,"",INDEX('Providers'!$P$4:$P$503,20))&amp;". "))</f>
        <v/>
      </c>
      <c r="J2023">
        <f>IF(LEN(INDEX('Providers'!$AJ$4:$AJ$503,20))=0,"",INDEX('Providers'!$AJ$4:$AJ$503,20))</f>
        <v/>
      </c>
      <c r="K2023">
        <f>IF(LEN(INDEX('Providers'!$AI$4:$AI$503,20))=0,"",INDEX('Providers'!$AI$4:$AI$503,20))</f>
        <v/>
      </c>
    </row>
    <row r="2024">
      <c r="A2024">
        <f>IF(AND(LEN('Providers'!A24)&gt;0,ISNUMBER('Providers'!Q24)),1,0)</f>
        <v/>
      </c>
      <c r="B2024">
        <f>B2023+A2024</f>
        <v/>
      </c>
      <c r="C2024">
        <f>IF(2021&gt;$B$4503,"",MATCH(2021-0.5,$B$3:$B$4503,1))</f>
        <v/>
      </c>
      <c r="D2024">
        <f>"Malpractice insurance – "&amp;IF(LEN(INDEX('Providers'!$A$4:$A$503,21))=0,"",INDEX('Providers'!$A$4:$A$503,21))</f>
        <v/>
      </c>
      <c r="E2024">
        <f>IF(ISNUMBER(INDEX('Providers'!$Q$4:$Q$503,21)),TEXT(INDEX('Providers'!$Q$4:$Q$503,21),"yyyy-mm-dd"),"")</f>
        <v/>
      </c>
      <c r="F2024">
        <f>"Insurance"</f>
        <v/>
      </c>
      <c r="G2024">
        <f>""</f>
        <v/>
      </c>
      <c r="H2024">
        <f>"High"</f>
        <v/>
      </c>
      <c r="I2024">
        <f>TRIM(IF(LEN(IF(LEN(INDEX('Providers'!$N$4:$N$503,21))=0,"",INDEX('Providers'!$N$4:$N$503,21)))=0,"","Carrier: "&amp;IF(LEN(INDEX('Providers'!$N$4:$N$503,21))=0,"",INDEX('Providers'!$N$4:$N$503,21))&amp;". ")&amp;IF(LEN(IF(LEN(INDEX('Providers'!$O$4:$O$503,21))=0,"",INDEX('Providers'!$O$4:$O$503,21)))=0,"","Policy no.: "&amp;IF(LEN(INDEX('Providers'!$O$4:$O$503,21))=0,"",INDEX('Providers'!$O$4:$O$503,21))&amp;". ")&amp;IF(LEN(IF(LEN(INDEX('Providers'!$P$4:$P$503,21))=0,"",INDEX('Providers'!$P$4:$P$503,21)))=0,"","Coverage form: "&amp;IF(LEN(INDEX('Providers'!$P$4:$P$503,21))=0,"",INDEX('Providers'!$P$4:$P$503,21))&amp;". "))</f>
        <v/>
      </c>
      <c r="J2024">
        <f>IF(LEN(INDEX('Providers'!$AJ$4:$AJ$503,21))=0,"",INDEX('Providers'!$AJ$4:$AJ$503,21))</f>
        <v/>
      </c>
      <c r="K2024">
        <f>IF(LEN(INDEX('Providers'!$AI$4:$AI$503,21))=0,"",INDEX('Providers'!$AI$4:$AI$503,21))</f>
        <v/>
      </c>
    </row>
    <row r="2025">
      <c r="A2025">
        <f>IF(AND(LEN('Providers'!A25)&gt;0,ISNUMBER('Providers'!Q25)),1,0)</f>
        <v/>
      </c>
      <c r="B2025">
        <f>B2024+A2025</f>
        <v/>
      </c>
      <c r="C2025">
        <f>IF(2022&gt;$B$4503,"",MATCH(2022-0.5,$B$3:$B$4503,1))</f>
        <v/>
      </c>
      <c r="D2025">
        <f>"Malpractice insurance – "&amp;IF(LEN(INDEX('Providers'!$A$4:$A$503,22))=0,"",INDEX('Providers'!$A$4:$A$503,22))</f>
        <v/>
      </c>
      <c r="E2025">
        <f>IF(ISNUMBER(INDEX('Providers'!$Q$4:$Q$503,22)),TEXT(INDEX('Providers'!$Q$4:$Q$503,22),"yyyy-mm-dd"),"")</f>
        <v/>
      </c>
      <c r="F2025">
        <f>"Insurance"</f>
        <v/>
      </c>
      <c r="G2025">
        <f>""</f>
        <v/>
      </c>
      <c r="H2025">
        <f>"High"</f>
        <v/>
      </c>
      <c r="I2025">
        <f>TRIM(IF(LEN(IF(LEN(INDEX('Providers'!$N$4:$N$503,22))=0,"",INDEX('Providers'!$N$4:$N$503,22)))=0,"","Carrier: "&amp;IF(LEN(INDEX('Providers'!$N$4:$N$503,22))=0,"",INDEX('Providers'!$N$4:$N$503,22))&amp;". ")&amp;IF(LEN(IF(LEN(INDEX('Providers'!$O$4:$O$503,22))=0,"",INDEX('Providers'!$O$4:$O$503,22)))=0,"","Policy no.: "&amp;IF(LEN(INDEX('Providers'!$O$4:$O$503,22))=0,"",INDEX('Providers'!$O$4:$O$503,22))&amp;". ")&amp;IF(LEN(IF(LEN(INDEX('Providers'!$P$4:$P$503,22))=0,"",INDEX('Providers'!$P$4:$P$503,22)))=0,"","Coverage form: "&amp;IF(LEN(INDEX('Providers'!$P$4:$P$503,22))=0,"",INDEX('Providers'!$P$4:$P$503,22))&amp;". "))</f>
        <v/>
      </c>
      <c r="J2025">
        <f>IF(LEN(INDEX('Providers'!$AJ$4:$AJ$503,22))=0,"",INDEX('Providers'!$AJ$4:$AJ$503,22))</f>
        <v/>
      </c>
      <c r="K2025">
        <f>IF(LEN(INDEX('Providers'!$AI$4:$AI$503,22))=0,"",INDEX('Providers'!$AI$4:$AI$503,22))</f>
        <v/>
      </c>
    </row>
    <row r="2026">
      <c r="A2026">
        <f>IF(AND(LEN('Providers'!A26)&gt;0,ISNUMBER('Providers'!Q26)),1,0)</f>
        <v/>
      </c>
      <c r="B2026">
        <f>B2025+A2026</f>
        <v/>
      </c>
      <c r="C2026">
        <f>IF(2023&gt;$B$4503,"",MATCH(2023-0.5,$B$3:$B$4503,1))</f>
        <v/>
      </c>
      <c r="D2026">
        <f>"Malpractice insurance – "&amp;IF(LEN(INDEX('Providers'!$A$4:$A$503,23))=0,"",INDEX('Providers'!$A$4:$A$503,23))</f>
        <v/>
      </c>
      <c r="E2026">
        <f>IF(ISNUMBER(INDEX('Providers'!$Q$4:$Q$503,23)),TEXT(INDEX('Providers'!$Q$4:$Q$503,23),"yyyy-mm-dd"),"")</f>
        <v/>
      </c>
      <c r="F2026">
        <f>"Insurance"</f>
        <v/>
      </c>
      <c r="G2026">
        <f>""</f>
        <v/>
      </c>
      <c r="H2026">
        <f>"High"</f>
        <v/>
      </c>
      <c r="I2026">
        <f>TRIM(IF(LEN(IF(LEN(INDEX('Providers'!$N$4:$N$503,23))=0,"",INDEX('Providers'!$N$4:$N$503,23)))=0,"","Carrier: "&amp;IF(LEN(INDEX('Providers'!$N$4:$N$503,23))=0,"",INDEX('Providers'!$N$4:$N$503,23))&amp;". ")&amp;IF(LEN(IF(LEN(INDEX('Providers'!$O$4:$O$503,23))=0,"",INDEX('Providers'!$O$4:$O$503,23)))=0,"","Policy no.: "&amp;IF(LEN(INDEX('Providers'!$O$4:$O$503,23))=0,"",INDEX('Providers'!$O$4:$O$503,23))&amp;". ")&amp;IF(LEN(IF(LEN(INDEX('Providers'!$P$4:$P$503,23))=0,"",INDEX('Providers'!$P$4:$P$503,23)))=0,"","Coverage form: "&amp;IF(LEN(INDEX('Providers'!$P$4:$P$503,23))=0,"",INDEX('Providers'!$P$4:$P$503,23))&amp;". "))</f>
        <v/>
      </c>
      <c r="J2026">
        <f>IF(LEN(INDEX('Providers'!$AJ$4:$AJ$503,23))=0,"",INDEX('Providers'!$AJ$4:$AJ$503,23))</f>
        <v/>
      </c>
      <c r="K2026">
        <f>IF(LEN(INDEX('Providers'!$AI$4:$AI$503,23))=0,"",INDEX('Providers'!$AI$4:$AI$503,23))</f>
        <v/>
      </c>
    </row>
    <row r="2027">
      <c r="A2027">
        <f>IF(AND(LEN('Providers'!A27)&gt;0,ISNUMBER('Providers'!Q27)),1,0)</f>
        <v/>
      </c>
      <c r="B2027">
        <f>B2026+A2027</f>
        <v/>
      </c>
      <c r="C2027">
        <f>IF(2024&gt;$B$4503,"",MATCH(2024-0.5,$B$3:$B$4503,1))</f>
        <v/>
      </c>
      <c r="D2027">
        <f>"Malpractice insurance – "&amp;IF(LEN(INDEX('Providers'!$A$4:$A$503,24))=0,"",INDEX('Providers'!$A$4:$A$503,24))</f>
        <v/>
      </c>
      <c r="E2027">
        <f>IF(ISNUMBER(INDEX('Providers'!$Q$4:$Q$503,24)),TEXT(INDEX('Providers'!$Q$4:$Q$503,24),"yyyy-mm-dd"),"")</f>
        <v/>
      </c>
      <c r="F2027">
        <f>"Insurance"</f>
        <v/>
      </c>
      <c r="G2027">
        <f>""</f>
        <v/>
      </c>
      <c r="H2027">
        <f>"High"</f>
        <v/>
      </c>
      <c r="I2027">
        <f>TRIM(IF(LEN(IF(LEN(INDEX('Providers'!$N$4:$N$503,24))=0,"",INDEX('Providers'!$N$4:$N$503,24)))=0,"","Carrier: "&amp;IF(LEN(INDEX('Providers'!$N$4:$N$503,24))=0,"",INDEX('Providers'!$N$4:$N$503,24))&amp;". ")&amp;IF(LEN(IF(LEN(INDEX('Providers'!$O$4:$O$503,24))=0,"",INDEX('Providers'!$O$4:$O$503,24)))=0,"","Policy no.: "&amp;IF(LEN(INDEX('Providers'!$O$4:$O$503,24))=0,"",INDEX('Providers'!$O$4:$O$503,24))&amp;". ")&amp;IF(LEN(IF(LEN(INDEX('Providers'!$P$4:$P$503,24))=0,"",INDEX('Providers'!$P$4:$P$503,24)))=0,"","Coverage form: "&amp;IF(LEN(INDEX('Providers'!$P$4:$P$503,24))=0,"",INDEX('Providers'!$P$4:$P$503,24))&amp;". "))</f>
        <v/>
      </c>
      <c r="J2027">
        <f>IF(LEN(INDEX('Providers'!$AJ$4:$AJ$503,24))=0,"",INDEX('Providers'!$AJ$4:$AJ$503,24))</f>
        <v/>
      </c>
      <c r="K2027">
        <f>IF(LEN(INDEX('Providers'!$AI$4:$AI$503,24))=0,"",INDEX('Providers'!$AI$4:$AI$503,24))</f>
        <v/>
      </c>
    </row>
    <row r="2028">
      <c r="A2028">
        <f>IF(AND(LEN('Providers'!A28)&gt;0,ISNUMBER('Providers'!Q28)),1,0)</f>
        <v/>
      </c>
      <c r="B2028">
        <f>B2027+A2028</f>
        <v/>
      </c>
      <c r="C2028">
        <f>IF(2025&gt;$B$4503,"",MATCH(2025-0.5,$B$3:$B$4503,1))</f>
        <v/>
      </c>
      <c r="D2028">
        <f>"Malpractice insurance – "&amp;IF(LEN(INDEX('Providers'!$A$4:$A$503,25))=0,"",INDEX('Providers'!$A$4:$A$503,25))</f>
        <v/>
      </c>
      <c r="E2028">
        <f>IF(ISNUMBER(INDEX('Providers'!$Q$4:$Q$503,25)),TEXT(INDEX('Providers'!$Q$4:$Q$503,25),"yyyy-mm-dd"),"")</f>
        <v/>
      </c>
      <c r="F2028">
        <f>"Insurance"</f>
        <v/>
      </c>
      <c r="G2028">
        <f>""</f>
        <v/>
      </c>
      <c r="H2028">
        <f>"High"</f>
        <v/>
      </c>
      <c r="I2028">
        <f>TRIM(IF(LEN(IF(LEN(INDEX('Providers'!$N$4:$N$503,25))=0,"",INDEX('Providers'!$N$4:$N$503,25)))=0,"","Carrier: "&amp;IF(LEN(INDEX('Providers'!$N$4:$N$503,25))=0,"",INDEX('Providers'!$N$4:$N$503,25))&amp;". ")&amp;IF(LEN(IF(LEN(INDEX('Providers'!$O$4:$O$503,25))=0,"",INDEX('Providers'!$O$4:$O$503,25)))=0,"","Policy no.: "&amp;IF(LEN(INDEX('Providers'!$O$4:$O$503,25))=0,"",INDEX('Providers'!$O$4:$O$503,25))&amp;". ")&amp;IF(LEN(IF(LEN(INDEX('Providers'!$P$4:$P$503,25))=0,"",INDEX('Providers'!$P$4:$P$503,25)))=0,"","Coverage form: "&amp;IF(LEN(INDEX('Providers'!$P$4:$P$503,25))=0,"",INDEX('Providers'!$P$4:$P$503,25))&amp;". "))</f>
        <v/>
      </c>
      <c r="J2028">
        <f>IF(LEN(INDEX('Providers'!$AJ$4:$AJ$503,25))=0,"",INDEX('Providers'!$AJ$4:$AJ$503,25))</f>
        <v/>
      </c>
      <c r="K2028">
        <f>IF(LEN(INDEX('Providers'!$AI$4:$AI$503,25))=0,"",INDEX('Providers'!$AI$4:$AI$503,25))</f>
        <v/>
      </c>
    </row>
    <row r="2029">
      <c r="A2029">
        <f>IF(AND(LEN('Providers'!A29)&gt;0,ISNUMBER('Providers'!Q29)),1,0)</f>
        <v/>
      </c>
      <c r="B2029">
        <f>B2028+A2029</f>
        <v/>
      </c>
      <c r="C2029">
        <f>IF(2026&gt;$B$4503,"",MATCH(2026-0.5,$B$3:$B$4503,1))</f>
        <v/>
      </c>
      <c r="D2029">
        <f>"Malpractice insurance – "&amp;IF(LEN(INDEX('Providers'!$A$4:$A$503,26))=0,"",INDEX('Providers'!$A$4:$A$503,26))</f>
        <v/>
      </c>
      <c r="E2029">
        <f>IF(ISNUMBER(INDEX('Providers'!$Q$4:$Q$503,26)),TEXT(INDEX('Providers'!$Q$4:$Q$503,26),"yyyy-mm-dd"),"")</f>
        <v/>
      </c>
      <c r="F2029">
        <f>"Insurance"</f>
        <v/>
      </c>
      <c r="G2029">
        <f>""</f>
        <v/>
      </c>
      <c r="H2029">
        <f>"High"</f>
        <v/>
      </c>
      <c r="I2029">
        <f>TRIM(IF(LEN(IF(LEN(INDEX('Providers'!$N$4:$N$503,26))=0,"",INDEX('Providers'!$N$4:$N$503,26)))=0,"","Carrier: "&amp;IF(LEN(INDEX('Providers'!$N$4:$N$503,26))=0,"",INDEX('Providers'!$N$4:$N$503,26))&amp;". ")&amp;IF(LEN(IF(LEN(INDEX('Providers'!$O$4:$O$503,26))=0,"",INDEX('Providers'!$O$4:$O$503,26)))=0,"","Policy no.: "&amp;IF(LEN(INDEX('Providers'!$O$4:$O$503,26))=0,"",INDEX('Providers'!$O$4:$O$503,26))&amp;". ")&amp;IF(LEN(IF(LEN(INDEX('Providers'!$P$4:$P$503,26))=0,"",INDEX('Providers'!$P$4:$P$503,26)))=0,"","Coverage form: "&amp;IF(LEN(INDEX('Providers'!$P$4:$P$503,26))=0,"",INDEX('Providers'!$P$4:$P$503,26))&amp;". "))</f>
        <v/>
      </c>
      <c r="J2029">
        <f>IF(LEN(INDEX('Providers'!$AJ$4:$AJ$503,26))=0,"",INDEX('Providers'!$AJ$4:$AJ$503,26))</f>
        <v/>
      </c>
      <c r="K2029">
        <f>IF(LEN(INDEX('Providers'!$AI$4:$AI$503,26))=0,"",INDEX('Providers'!$AI$4:$AI$503,26))</f>
        <v/>
      </c>
    </row>
    <row r="2030">
      <c r="A2030">
        <f>IF(AND(LEN('Providers'!A30)&gt;0,ISNUMBER('Providers'!Q30)),1,0)</f>
        <v/>
      </c>
      <c r="B2030">
        <f>B2029+A2030</f>
        <v/>
      </c>
      <c r="C2030">
        <f>IF(2027&gt;$B$4503,"",MATCH(2027-0.5,$B$3:$B$4503,1))</f>
        <v/>
      </c>
      <c r="D2030">
        <f>"Malpractice insurance – "&amp;IF(LEN(INDEX('Providers'!$A$4:$A$503,27))=0,"",INDEX('Providers'!$A$4:$A$503,27))</f>
        <v/>
      </c>
      <c r="E2030">
        <f>IF(ISNUMBER(INDEX('Providers'!$Q$4:$Q$503,27)),TEXT(INDEX('Providers'!$Q$4:$Q$503,27),"yyyy-mm-dd"),"")</f>
        <v/>
      </c>
      <c r="F2030">
        <f>"Insurance"</f>
        <v/>
      </c>
      <c r="G2030">
        <f>""</f>
        <v/>
      </c>
      <c r="H2030">
        <f>"High"</f>
        <v/>
      </c>
      <c r="I2030">
        <f>TRIM(IF(LEN(IF(LEN(INDEX('Providers'!$N$4:$N$503,27))=0,"",INDEX('Providers'!$N$4:$N$503,27)))=0,"","Carrier: "&amp;IF(LEN(INDEX('Providers'!$N$4:$N$503,27))=0,"",INDEX('Providers'!$N$4:$N$503,27))&amp;". ")&amp;IF(LEN(IF(LEN(INDEX('Providers'!$O$4:$O$503,27))=0,"",INDEX('Providers'!$O$4:$O$503,27)))=0,"","Policy no.: "&amp;IF(LEN(INDEX('Providers'!$O$4:$O$503,27))=0,"",INDEX('Providers'!$O$4:$O$503,27))&amp;". ")&amp;IF(LEN(IF(LEN(INDEX('Providers'!$P$4:$P$503,27))=0,"",INDEX('Providers'!$P$4:$P$503,27)))=0,"","Coverage form: "&amp;IF(LEN(INDEX('Providers'!$P$4:$P$503,27))=0,"",INDEX('Providers'!$P$4:$P$503,27))&amp;". "))</f>
        <v/>
      </c>
      <c r="J2030">
        <f>IF(LEN(INDEX('Providers'!$AJ$4:$AJ$503,27))=0,"",INDEX('Providers'!$AJ$4:$AJ$503,27))</f>
        <v/>
      </c>
      <c r="K2030">
        <f>IF(LEN(INDEX('Providers'!$AI$4:$AI$503,27))=0,"",INDEX('Providers'!$AI$4:$AI$503,27))</f>
        <v/>
      </c>
    </row>
    <row r="2031">
      <c r="A2031">
        <f>IF(AND(LEN('Providers'!A31)&gt;0,ISNUMBER('Providers'!Q31)),1,0)</f>
        <v/>
      </c>
      <c r="B2031">
        <f>B2030+A2031</f>
        <v/>
      </c>
      <c r="C2031">
        <f>IF(2028&gt;$B$4503,"",MATCH(2028-0.5,$B$3:$B$4503,1))</f>
        <v/>
      </c>
      <c r="D2031">
        <f>"Malpractice insurance – "&amp;IF(LEN(INDEX('Providers'!$A$4:$A$503,28))=0,"",INDEX('Providers'!$A$4:$A$503,28))</f>
        <v/>
      </c>
      <c r="E2031">
        <f>IF(ISNUMBER(INDEX('Providers'!$Q$4:$Q$503,28)),TEXT(INDEX('Providers'!$Q$4:$Q$503,28),"yyyy-mm-dd"),"")</f>
        <v/>
      </c>
      <c r="F2031">
        <f>"Insurance"</f>
        <v/>
      </c>
      <c r="G2031">
        <f>""</f>
        <v/>
      </c>
      <c r="H2031">
        <f>"High"</f>
        <v/>
      </c>
      <c r="I2031">
        <f>TRIM(IF(LEN(IF(LEN(INDEX('Providers'!$N$4:$N$503,28))=0,"",INDEX('Providers'!$N$4:$N$503,28)))=0,"","Carrier: "&amp;IF(LEN(INDEX('Providers'!$N$4:$N$503,28))=0,"",INDEX('Providers'!$N$4:$N$503,28))&amp;". ")&amp;IF(LEN(IF(LEN(INDEX('Providers'!$O$4:$O$503,28))=0,"",INDEX('Providers'!$O$4:$O$503,28)))=0,"","Policy no.: "&amp;IF(LEN(INDEX('Providers'!$O$4:$O$503,28))=0,"",INDEX('Providers'!$O$4:$O$503,28))&amp;". ")&amp;IF(LEN(IF(LEN(INDEX('Providers'!$P$4:$P$503,28))=0,"",INDEX('Providers'!$P$4:$P$503,28)))=0,"","Coverage form: "&amp;IF(LEN(INDEX('Providers'!$P$4:$P$503,28))=0,"",INDEX('Providers'!$P$4:$P$503,28))&amp;". "))</f>
        <v/>
      </c>
      <c r="J2031">
        <f>IF(LEN(INDEX('Providers'!$AJ$4:$AJ$503,28))=0,"",INDEX('Providers'!$AJ$4:$AJ$503,28))</f>
        <v/>
      </c>
      <c r="K2031">
        <f>IF(LEN(INDEX('Providers'!$AI$4:$AI$503,28))=0,"",INDEX('Providers'!$AI$4:$AI$503,28))</f>
        <v/>
      </c>
    </row>
    <row r="2032">
      <c r="A2032">
        <f>IF(AND(LEN('Providers'!A32)&gt;0,ISNUMBER('Providers'!Q32)),1,0)</f>
        <v/>
      </c>
      <c r="B2032">
        <f>B2031+A2032</f>
        <v/>
      </c>
      <c r="C2032">
        <f>IF(2029&gt;$B$4503,"",MATCH(2029-0.5,$B$3:$B$4503,1))</f>
        <v/>
      </c>
      <c r="D2032">
        <f>"Malpractice insurance – "&amp;IF(LEN(INDEX('Providers'!$A$4:$A$503,29))=0,"",INDEX('Providers'!$A$4:$A$503,29))</f>
        <v/>
      </c>
      <c r="E2032">
        <f>IF(ISNUMBER(INDEX('Providers'!$Q$4:$Q$503,29)),TEXT(INDEX('Providers'!$Q$4:$Q$503,29),"yyyy-mm-dd"),"")</f>
        <v/>
      </c>
      <c r="F2032">
        <f>"Insurance"</f>
        <v/>
      </c>
      <c r="G2032">
        <f>""</f>
        <v/>
      </c>
      <c r="H2032">
        <f>"High"</f>
        <v/>
      </c>
      <c r="I2032">
        <f>TRIM(IF(LEN(IF(LEN(INDEX('Providers'!$N$4:$N$503,29))=0,"",INDEX('Providers'!$N$4:$N$503,29)))=0,"","Carrier: "&amp;IF(LEN(INDEX('Providers'!$N$4:$N$503,29))=0,"",INDEX('Providers'!$N$4:$N$503,29))&amp;". ")&amp;IF(LEN(IF(LEN(INDEX('Providers'!$O$4:$O$503,29))=0,"",INDEX('Providers'!$O$4:$O$503,29)))=0,"","Policy no.: "&amp;IF(LEN(INDEX('Providers'!$O$4:$O$503,29))=0,"",INDEX('Providers'!$O$4:$O$503,29))&amp;". ")&amp;IF(LEN(IF(LEN(INDEX('Providers'!$P$4:$P$503,29))=0,"",INDEX('Providers'!$P$4:$P$503,29)))=0,"","Coverage form: "&amp;IF(LEN(INDEX('Providers'!$P$4:$P$503,29))=0,"",INDEX('Providers'!$P$4:$P$503,29))&amp;". "))</f>
        <v/>
      </c>
      <c r="J2032">
        <f>IF(LEN(INDEX('Providers'!$AJ$4:$AJ$503,29))=0,"",INDEX('Providers'!$AJ$4:$AJ$503,29))</f>
        <v/>
      </c>
      <c r="K2032">
        <f>IF(LEN(INDEX('Providers'!$AI$4:$AI$503,29))=0,"",INDEX('Providers'!$AI$4:$AI$503,29))</f>
        <v/>
      </c>
    </row>
    <row r="2033">
      <c r="A2033">
        <f>IF(AND(LEN('Providers'!A33)&gt;0,ISNUMBER('Providers'!Q33)),1,0)</f>
        <v/>
      </c>
      <c r="B2033">
        <f>B2032+A2033</f>
        <v/>
      </c>
      <c r="C2033">
        <f>IF(2030&gt;$B$4503,"",MATCH(2030-0.5,$B$3:$B$4503,1))</f>
        <v/>
      </c>
      <c r="D2033">
        <f>"Malpractice insurance – "&amp;IF(LEN(INDEX('Providers'!$A$4:$A$503,30))=0,"",INDEX('Providers'!$A$4:$A$503,30))</f>
        <v/>
      </c>
      <c r="E2033">
        <f>IF(ISNUMBER(INDEX('Providers'!$Q$4:$Q$503,30)),TEXT(INDEX('Providers'!$Q$4:$Q$503,30),"yyyy-mm-dd"),"")</f>
        <v/>
      </c>
      <c r="F2033">
        <f>"Insurance"</f>
        <v/>
      </c>
      <c r="G2033">
        <f>""</f>
        <v/>
      </c>
      <c r="H2033">
        <f>"High"</f>
        <v/>
      </c>
      <c r="I2033">
        <f>TRIM(IF(LEN(IF(LEN(INDEX('Providers'!$N$4:$N$503,30))=0,"",INDEX('Providers'!$N$4:$N$503,30)))=0,"","Carrier: "&amp;IF(LEN(INDEX('Providers'!$N$4:$N$503,30))=0,"",INDEX('Providers'!$N$4:$N$503,30))&amp;". ")&amp;IF(LEN(IF(LEN(INDEX('Providers'!$O$4:$O$503,30))=0,"",INDEX('Providers'!$O$4:$O$503,30)))=0,"","Policy no.: "&amp;IF(LEN(INDEX('Providers'!$O$4:$O$503,30))=0,"",INDEX('Providers'!$O$4:$O$503,30))&amp;". ")&amp;IF(LEN(IF(LEN(INDEX('Providers'!$P$4:$P$503,30))=0,"",INDEX('Providers'!$P$4:$P$503,30)))=0,"","Coverage form: "&amp;IF(LEN(INDEX('Providers'!$P$4:$P$503,30))=0,"",INDEX('Providers'!$P$4:$P$503,30))&amp;". "))</f>
        <v/>
      </c>
      <c r="J2033">
        <f>IF(LEN(INDEX('Providers'!$AJ$4:$AJ$503,30))=0,"",INDEX('Providers'!$AJ$4:$AJ$503,30))</f>
        <v/>
      </c>
      <c r="K2033">
        <f>IF(LEN(INDEX('Providers'!$AI$4:$AI$503,30))=0,"",INDEX('Providers'!$AI$4:$AI$503,30))</f>
        <v/>
      </c>
    </row>
    <row r="2034">
      <c r="A2034">
        <f>IF(AND(LEN('Providers'!A34)&gt;0,ISNUMBER('Providers'!Q34)),1,0)</f>
        <v/>
      </c>
      <c r="B2034">
        <f>B2033+A2034</f>
        <v/>
      </c>
      <c r="C2034">
        <f>IF(2031&gt;$B$4503,"",MATCH(2031-0.5,$B$3:$B$4503,1))</f>
        <v/>
      </c>
      <c r="D2034">
        <f>"Malpractice insurance – "&amp;IF(LEN(INDEX('Providers'!$A$4:$A$503,31))=0,"",INDEX('Providers'!$A$4:$A$503,31))</f>
        <v/>
      </c>
      <c r="E2034">
        <f>IF(ISNUMBER(INDEX('Providers'!$Q$4:$Q$503,31)),TEXT(INDEX('Providers'!$Q$4:$Q$503,31),"yyyy-mm-dd"),"")</f>
        <v/>
      </c>
      <c r="F2034">
        <f>"Insurance"</f>
        <v/>
      </c>
      <c r="G2034">
        <f>""</f>
        <v/>
      </c>
      <c r="H2034">
        <f>"High"</f>
        <v/>
      </c>
      <c r="I2034">
        <f>TRIM(IF(LEN(IF(LEN(INDEX('Providers'!$N$4:$N$503,31))=0,"",INDEX('Providers'!$N$4:$N$503,31)))=0,"","Carrier: "&amp;IF(LEN(INDEX('Providers'!$N$4:$N$503,31))=0,"",INDEX('Providers'!$N$4:$N$503,31))&amp;". ")&amp;IF(LEN(IF(LEN(INDEX('Providers'!$O$4:$O$503,31))=0,"",INDEX('Providers'!$O$4:$O$503,31)))=0,"","Policy no.: "&amp;IF(LEN(INDEX('Providers'!$O$4:$O$503,31))=0,"",INDEX('Providers'!$O$4:$O$503,31))&amp;". ")&amp;IF(LEN(IF(LEN(INDEX('Providers'!$P$4:$P$503,31))=0,"",INDEX('Providers'!$P$4:$P$503,31)))=0,"","Coverage form: "&amp;IF(LEN(INDEX('Providers'!$P$4:$P$503,31))=0,"",INDEX('Providers'!$P$4:$P$503,31))&amp;". "))</f>
        <v/>
      </c>
      <c r="J2034">
        <f>IF(LEN(INDEX('Providers'!$AJ$4:$AJ$503,31))=0,"",INDEX('Providers'!$AJ$4:$AJ$503,31))</f>
        <v/>
      </c>
      <c r="K2034">
        <f>IF(LEN(INDEX('Providers'!$AI$4:$AI$503,31))=0,"",INDEX('Providers'!$AI$4:$AI$503,31))</f>
        <v/>
      </c>
    </row>
    <row r="2035">
      <c r="A2035">
        <f>IF(AND(LEN('Providers'!A35)&gt;0,ISNUMBER('Providers'!Q35)),1,0)</f>
        <v/>
      </c>
      <c r="B2035">
        <f>B2034+A2035</f>
        <v/>
      </c>
      <c r="C2035">
        <f>IF(2032&gt;$B$4503,"",MATCH(2032-0.5,$B$3:$B$4503,1))</f>
        <v/>
      </c>
      <c r="D2035">
        <f>"Malpractice insurance – "&amp;IF(LEN(INDEX('Providers'!$A$4:$A$503,32))=0,"",INDEX('Providers'!$A$4:$A$503,32))</f>
        <v/>
      </c>
      <c r="E2035">
        <f>IF(ISNUMBER(INDEX('Providers'!$Q$4:$Q$503,32)),TEXT(INDEX('Providers'!$Q$4:$Q$503,32),"yyyy-mm-dd"),"")</f>
        <v/>
      </c>
      <c r="F2035">
        <f>"Insurance"</f>
        <v/>
      </c>
      <c r="G2035">
        <f>""</f>
        <v/>
      </c>
      <c r="H2035">
        <f>"High"</f>
        <v/>
      </c>
      <c r="I2035">
        <f>TRIM(IF(LEN(IF(LEN(INDEX('Providers'!$N$4:$N$503,32))=0,"",INDEX('Providers'!$N$4:$N$503,32)))=0,"","Carrier: "&amp;IF(LEN(INDEX('Providers'!$N$4:$N$503,32))=0,"",INDEX('Providers'!$N$4:$N$503,32))&amp;". ")&amp;IF(LEN(IF(LEN(INDEX('Providers'!$O$4:$O$503,32))=0,"",INDEX('Providers'!$O$4:$O$503,32)))=0,"","Policy no.: "&amp;IF(LEN(INDEX('Providers'!$O$4:$O$503,32))=0,"",INDEX('Providers'!$O$4:$O$503,32))&amp;". ")&amp;IF(LEN(IF(LEN(INDEX('Providers'!$P$4:$P$503,32))=0,"",INDEX('Providers'!$P$4:$P$503,32)))=0,"","Coverage form: "&amp;IF(LEN(INDEX('Providers'!$P$4:$P$503,32))=0,"",INDEX('Providers'!$P$4:$P$503,32))&amp;". "))</f>
        <v/>
      </c>
      <c r="J2035">
        <f>IF(LEN(INDEX('Providers'!$AJ$4:$AJ$503,32))=0,"",INDEX('Providers'!$AJ$4:$AJ$503,32))</f>
        <v/>
      </c>
      <c r="K2035">
        <f>IF(LEN(INDEX('Providers'!$AI$4:$AI$503,32))=0,"",INDEX('Providers'!$AI$4:$AI$503,32))</f>
        <v/>
      </c>
    </row>
    <row r="2036">
      <c r="A2036">
        <f>IF(AND(LEN('Providers'!A36)&gt;0,ISNUMBER('Providers'!Q36)),1,0)</f>
        <v/>
      </c>
      <c r="B2036">
        <f>B2035+A2036</f>
        <v/>
      </c>
      <c r="C2036">
        <f>IF(2033&gt;$B$4503,"",MATCH(2033-0.5,$B$3:$B$4503,1))</f>
        <v/>
      </c>
      <c r="D2036">
        <f>"Malpractice insurance – "&amp;IF(LEN(INDEX('Providers'!$A$4:$A$503,33))=0,"",INDEX('Providers'!$A$4:$A$503,33))</f>
        <v/>
      </c>
      <c r="E2036">
        <f>IF(ISNUMBER(INDEX('Providers'!$Q$4:$Q$503,33)),TEXT(INDEX('Providers'!$Q$4:$Q$503,33),"yyyy-mm-dd"),"")</f>
        <v/>
      </c>
      <c r="F2036">
        <f>"Insurance"</f>
        <v/>
      </c>
      <c r="G2036">
        <f>""</f>
        <v/>
      </c>
      <c r="H2036">
        <f>"High"</f>
        <v/>
      </c>
      <c r="I2036">
        <f>TRIM(IF(LEN(IF(LEN(INDEX('Providers'!$N$4:$N$503,33))=0,"",INDEX('Providers'!$N$4:$N$503,33)))=0,"","Carrier: "&amp;IF(LEN(INDEX('Providers'!$N$4:$N$503,33))=0,"",INDEX('Providers'!$N$4:$N$503,33))&amp;". ")&amp;IF(LEN(IF(LEN(INDEX('Providers'!$O$4:$O$503,33))=0,"",INDEX('Providers'!$O$4:$O$503,33)))=0,"","Policy no.: "&amp;IF(LEN(INDEX('Providers'!$O$4:$O$503,33))=0,"",INDEX('Providers'!$O$4:$O$503,33))&amp;". ")&amp;IF(LEN(IF(LEN(INDEX('Providers'!$P$4:$P$503,33))=0,"",INDEX('Providers'!$P$4:$P$503,33)))=0,"","Coverage form: "&amp;IF(LEN(INDEX('Providers'!$P$4:$P$503,33))=0,"",INDEX('Providers'!$P$4:$P$503,33))&amp;". "))</f>
        <v/>
      </c>
      <c r="J2036">
        <f>IF(LEN(INDEX('Providers'!$AJ$4:$AJ$503,33))=0,"",INDEX('Providers'!$AJ$4:$AJ$503,33))</f>
        <v/>
      </c>
      <c r="K2036">
        <f>IF(LEN(INDEX('Providers'!$AI$4:$AI$503,33))=0,"",INDEX('Providers'!$AI$4:$AI$503,33))</f>
        <v/>
      </c>
    </row>
    <row r="2037">
      <c r="A2037">
        <f>IF(AND(LEN('Providers'!A37)&gt;0,ISNUMBER('Providers'!Q37)),1,0)</f>
        <v/>
      </c>
      <c r="B2037">
        <f>B2036+A2037</f>
        <v/>
      </c>
      <c r="C2037">
        <f>IF(2034&gt;$B$4503,"",MATCH(2034-0.5,$B$3:$B$4503,1))</f>
        <v/>
      </c>
      <c r="D2037">
        <f>"Malpractice insurance – "&amp;IF(LEN(INDEX('Providers'!$A$4:$A$503,34))=0,"",INDEX('Providers'!$A$4:$A$503,34))</f>
        <v/>
      </c>
      <c r="E2037">
        <f>IF(ISNUMBER(INDEX('Providers'!$Q$4:$Q$503,34)),TEXT(INDEX('Providers'!$Q$4:$Q$503,34),"yyyy-mm-dd"),"")</f>
        <v/>
      </c>
      <c r="F2037">
        <f>"Insurance"</f>
        <v/>
      </c>
      <c r="G2037">
        <f>""</f>
        <v/>
      </c>
      <c r="H2037">
        <f>"High"</f>
        <v/>
      </c>
      <c r="I2037">
        <f>TRIM(IF(LEN(IF(LEN(INDEX('Providers'!$N$4:$N$503,34))=0,"",INDEX('Providers'!$N$4:$N$503,34)))=0,"","Carrier: "&amp;IF(LEN(INDEX('Providers'!$N$4:$N$503,34))=0,"",INDEX('Providers'!$N$4:$N$503,34))&amp;". ")&amp;IF(LEN(IF(LEN(INDEX('Providers'!$O$4:$O$503,34))=0,"",INDEX('Providers'!$O$4:$O$503,34)))=0,"","Policy no.: "&amp;IF(LEN(INDEX('Providers'!$O$4:$O$503,34))=0,"",INDEX('Providers'!$O$4:$O$503,34))&amp;". ")&amp;IF(LEN(IF(LEN(INDEX('Providers'!$P$4:$P$503,34))=0,"",INDEX('Providers'!$P$4:$P$503,34)))=0,"","Coverage form: "&amp;IF(LEN(INDEX('Providers'!$P$4:$P$503,34))=0,"",INDEX('Providers'!$P$4:$P$503,34))&amp;". "))</f>
        <v/>
      </c>
      <c r="J2037">
        <f>IF(LEN(INDEX('Providers'!$AJ$4:$AJ$503,34))=0,"",INDEX('Providers'!$AJ$4:$AJ$503,34))</f>
        <v/>
      </c>
      <c r="K2037">
        <f>IF(LEN(INDEX('Providers'!$AI$4:$AI$503,34))=0,"",INDEX('Providers'!$AI$4:$AI$503,34))</f>
        <v/>
      </c>
    </row>
    <row r="2038">
      <c r="A2038">
        <f>IF(AND(LEN('Providers'!A38)&gt;0,ISNUMBER('Providers'!Q38)),1,0)</f>
        <v/>
      </c>
      <c r="B2038">
        <f>B2037+A2038</f>
        <v/>
      </c>
      <c r="C2038">
        <f>IF(2035&gt;$B$4503,"",MATCH(2035-0.5,$B$3:$B$4503,1))</f>
        <v/>
      </c>
      <c r="D2038">
        <f>"Malpractice insurance – "&amp;IF(LEN(INDEX('Providers'!$A$4:$A$503,35))=0,"",INDEX('Providers'!$A$4:$A$503,35))</f>
        <v/>
      </c>
      <c r="E2038">
        <f>IF(ISNUMBER(INDEX('Providers'!$Q$4:$Q$503,35)),TEXT(INDEX('Providers'!$Q$4:$Q$503,35),"yyyy-mm-dd"),"")</f>
        <v/>
      </c>
      <c r="F2038">
        <f>"Insurance"</f>
        <v/>
      </c>
      <c r="G2038">
        <f>""</f>
        <v/>
      </c>
      <c r="H2038">
        <f>"High"</f>
        <v/>
      </c>
      <c r="I2038">
        <f>TRIM(IF(LEN(IF(LEN(INDEX('Providers'!$N$4:$N$503,35))=0,"",INDEX('Providers'!$N$4:$N$503,35)))=0,"","Carrier: "&amp;IF(LEN(INDEX('Providers'!$N$4:$N$503,35))=0,"",INDEX('Providers'!$N$4:$N$503,35))&amp;". ")&amp;IF(LEN(IF(LEN(INDEX('Providers'!$O$4:$O$503,35))=0,"",INDEX('Providers'!$O$4:$O$503,35)))=0,"","Policy no.: "&amp;IF(LEN(INDEX('Providers'!$O$4:$O$503,35))=0,"",INDEX('Providers'!$O$4:$O$503,35))&amp;". ")&amp;IF(LEN(IF(LEN(INDEX('Providers'!$P$4:$P$503,35))=0,"",INDEX('Providers'!$P$4:$P$503,35)))=0,"","Coverage form: "&amp;IF(LEN(INDEX('Providers'!$P$4:$P$503,35))=0,"",INDEX('Providers'!$P$4:$P$503,35))&amp;". "))</f>
        <v/>
      </c>
      <c r="J2038">
        <f>IF(LEN(INDEX('Providers'!$AJ$4:$AJ$503,35))=0,"",INDEX('Providers'!$AJ$4:$AJ$503,35))</f>
        <v/>
      </c>
      <c r="K2038">
        <f>IF(LEN(INDEX('Providers'!$AI$4:$AI$503,35))=0,"",INDEX('Providers'!$AI$4:$AI$503,35))</f>
        <v/>
      </c>
    </row>
    <row r="2039">
      <c r="A2039">
        <f>IF(AND(LEN('Providers'!A39)&gt;0,ISNUMBER('Providers'!Q39)),1,0)</f>
        <v/>
      </c>
      <c r="B2039">
        <f>B2038+A2039</f>
        <v/>
      </c>
      <c r="C2039">
        <f>IF(2036&gt;$B$4503,"",MATCH(2036-0.5,$B$3:$B$4503,1))</f>
        <v/>
      </c>
      <c r="D2039">
        <f>"Malpractice insurance – "&amp;IF(LEN(INDEX('Providers'!$A$4:$A$503,36))=0,"",INDEX('Providers'!$A$4:$A$503,36))</f>
        <v/>
      </c>
      <c r="E2039">
        <f>IF(ISNUMBER(INDEX('Providers'!$Q$4:$Q$503,36)),TEXT(INDEX('Providers'!$Q$4:$Q$503,36),"yyyy-mm-dd"),"")</f>
        <v/>
      </c>
      <c r="F2039">
        <f>"Insurance"</f>
        <v/>
      </c>
      <c r="G2039">
        <f>""</f>
        <v/>
      </c>
      <c r="H2039">
        <f>"High"</f>
        <v/>
      </c>
      <c r="I2039">
        <f>TRIM(IF(LEN(IF(LEN(INDEX('Providers'!$N$4:$N$503,36))=0,"",INDEX('Providers'!$N$4:$N$503,36)))=0,"","Carrier: "&amp;IF(LEN(INDEX('Providers'!$N$4:$N$503,36))=0,"",INDEX('Providers'!$N$4:$N$503,36))&amp;". ")&amp;IF(LEN(IF(LEN(INDEX('Providers'!$O$4:$O$503,36))=0,"",INDEX('Providers'!$O$4:$O$503,36)))=0,"","Policy no.: "&amp;IF(LEN(INDEX('Providers'!$O$4:$O$503,36))=0,"",INDEX('Providers'!$O$4:$O$503,36))&amp;". ")&amp;IF(LEN(IF(LEN(INDEX('Providers'!$P$4:$P$503,36))=0,"",INDEX('Providers'!$P$4:$P$503,36)))=0,"","Coverage form: "&amp;IF(LEN(INDEX('Providers'!$P$4:$P$503,36))=0,"",INDEX('Providers'!$P$4:$P$503,36))&amp;". "))</f>
        <v/>
      </c>
      <c r="J2039">
        <f>IF(LEN(INDEX('Providers'!$AJ$4:$AJ$503,36))=0,"",INDEX('Providers'!$AJ$4:$AJ$503,36))</f>
        <v/>
      </c>
      <c r="K2039">
        <f>IF(LEN(INDEX('Providers'!$AI$4:$AI$503,36))=0,"",INDEX('Providers'!$AI$4:$AI$503,36))</f>
        <v/>
      </c>
    </row>
    <row r="2040">
      <c r="A2040">
        <f>IF(AND(LEN('Providers'!A40)&gt;0,ISNUMBER('Providers'!Q40)),1,0)</f>
        <v/>
      </c>
      <c r="B2040">
        <f>B2039+A2040</f>
        <v/>
      </c>
      <c r="C2040">
        <f>IF(2037&gt;$B$4503,"",MATCH(2037-0.5,$B$3:$B$4503,1))</f>
        <v/>
      </c>
      <c r="D2040">
        <f>"Malpractice insurance – "&amp;IF(LEN(INDEX('Providers'!$A$4:$A$503,37))=0,"",INDEX('Providers'!$A$4:$A$503,37))</f>
        <v/>
      </c>
      <c r="E2040">
        <f>IF(ISNUMBER(INDEX('Providers'!$Q$4:$Q$503,37)),TEXT(INDEX('Providers'!$Q$4:$Q$503,37),"yyyy-mm-dd"),"")</f>
        <v/>
      </c>
      <c r="F2040">
        <f>"Insurance"</f>
        <v/>
      </c>
      <c r="G2040">
        <f>""</f>
        <v/>
      </c>
      <c r="H2040">
        <f>"High"</f>
        <v/>
      </c>
      <c r="I2040">
        <f>TRIM(IF(LEN(IF(LEN(INDEX('Providers'!$N$4:$N$503,37))=0,"",INDEX('Providers'!$N$4:$N$503,37)))=0,"","Carrier: "&amp;IF(LEN(INDEX('Providers'!$N$4:$N$503,37))=0,"",INDEX('Providers'!$N$4:$N$503,37))&amp;". ")&amp;IF(LEN(IF(LEN(INDEX('Providers'!$O$4:$O$503,37))=0,"",INDEX('Providers'!$O$4:$O$503,37)))=0,"","Policy no.: "&amp;IF(LEN(INDEX('Providers'!$O$4:$O$503,37))=0,"",INDEX('Providers'!$O$4:$O$503,37))&amp;". ")&amp;IF(LEN(IF(LEN(INDEX('Providers'!$P$4:$P$503,37))=0,"",INDEX('Providers'!$P$4:$P$503,37)))=0,"","Coverage form: "&amp;IF(LEN(INDEX('Providers'!$P$4:$P$503,37))=0,"",INDEX('Providers'!$P$4:$P$503,37))&amp;". "))</f>
        <v/>
      </c>
      <c r="J2040">
        <f>IF(LEN(INDEX('Providers'!$AJ$4:$AJ$503,37))=0,"",INDEX('Providers'!$AJ$4:$AJ$503,37))</f>
        <v/>
      </c>
      <c r="K2040">
        <f>IF(LEN(INDEX('Providers'!$AI$4:$AI$503,37))=0,"",INDEX('Providers'!$AI$4:$AI$503,37))</f>
        <v/>
      </c>
    </row>
    <row r="2041">
      <c r="A2041">
        <f>IF(AND(LEN('Providers'!A41)&gt;0,ISNUMBER('Providers'!Q41)),1,0)</f>
        <v/>
      </c>
      <c r="B2041">
        <f>B2040+A2041</f>
        <v/>
      </c>
      <c r="C2041">
        <f>IF(2038&gt;$B$4503,"",MATCH(2038-0.5,$B$3:$B$4503,1))</f>
        <v/>
      </c>
      <c r="D2041">
        <f>"Malpractice insurance – "&amp;IF(LEN(INDEX('Providers'!$A$4:$A$503,38))=0,"",INDEX('Providers'!$A$4:$A$503,38))</f>
        <v/>
      </c>
      <c r="E2041">
        <f>IF(ISNUMBER(INDEX('Providers'!$Q$4:$Q$503,38)),TEXT(INDEX('Providers'!$Q$4:$Q$503,38),"yyyy-mm-dd"),"")</f>
        <v/>
      </c>
      <c r="F2041">
        <f>"Insurance"</f>
        <v/>
      </c>
      <c r="G2041">
        <f>""</f>
        <v/>
      </c>
      <c r="H2041">
        <f>"High"</f>
        <v/>
      </c>
      <c r="I2041">
        <f>TRIM(IF(LEN(IF(LEN(INDEX('Providers'!$N$4:$N$503,38))=0,"",INDEX('Providers'!$N$4:$N$503,38)))=0,"","Carrier: "&amp;IF(LEN(INDEX('Providers'!$N$4:$N$503,38))=0,"",INDEX('Providers'!$N$4:$N$503,38))&amp;". ")&amp;IF(LEN(IF(LEN(INDEX('Providers'!$O$4:$O$503,38))=0,"",INDEX('Providers'!$O$4:$O$503,38)))=0,"","Policy no.: "&amp;IF(LEN(INDEX('Providers'!$O$4:$O$503,38))=0,"",INDEX('Providers'!$O$4:$O$503,38))&amp;". ")&amp;IF(LEN(IF(LEN(INDEX('Providers'!$P$4:$P$503,38))=0,"",INDEX('Providers'!$P$4:$P$503,38)))=0,"","Coverage form: "&amp;IF(LEN(INDEX('Providers'!$P$4:$P$503,38))=0,"",INDEX('Providers'!$P$4:$P$503,38))&amp;". "))</f>
        <v/>
      </c>
      <c r="J2041">
        <f>IF(LEN(INDEX('Providers'!$AJ$4:$AJ$503,38))=0,"",INDEX('Providers'!$AJ$4:$AJ$503,38))</f>
        <v/>
      </c>
      <c r="K2041">
        <f>IF(LEN(INDEX('Providers'!$AI$4:$AI$503,38))=0,"",INDEX('Providers'!$AI$4:$AI$503,38))</f>
        <v/>
      </c>
    </row>
    <row r="2042">
      <c r="A2042">
        <f>IF(AND(LEN('Providers'!A42)&gt;0,ISNUMBER('Providers'!Q42)),1,0)</f>
        <v/>
      </c>
      <c r="B2042">
        <f>B2041+A2042</f>
        <v/>
      </c>
      <c r="C2042">
        <f>IF(2039&gt;$B$4503,"",MATCH(2039-0.5,$B$3:$B$4503,1))</f>
        <v/>
      </c>
      <c r="D2042">
        <f>"Malpractice insurance – "&amp;IF(LEN(INDEX('Providers'!$A$4:$A$503,39))=0,"",INDEX('Providers'!$A$4:$A$503,39))</f>
        <v/>
      </c>
      <c r="E2042">
        <f>IF(ISNUMBER(INDEX('Providers'!$Q$4:$Q$503,39)),TEXT(INDEX('Providers'!$Q$4:$Q$503,39),"yyyy-mm-dd"),"")</f>
        <v/>
      </c>
      <c r="F2042">
        <f>"Insurance"</f>
        <v/>
      </c>
      <c r="G2042">
        <f>""</f>
        <v/>
      </c>
      <c r="H2042">
        <f>"High"</f>
        <v/>
      </c>
      <c r="I2042">
        <f>TRIM(IF(LEN(IF(LEN(INDEX('Providers'!$N$4:$N$503,39))=0,"",INDEX('Providers'!$N$4:$N$503,39)))=0,"","Carrier: "&amp;IF(LEN(INDEX('Providers'!$N$4:$N$503,39))=0,"",INDEX('Providers'!$N$4:$N$503,39))&amp;". ")&amp;IF(LEN(IF(LEN(INDEX('Providers'!$O$4:$O$503,39))=0,"",INDEX('Providers'!$O$4:$O$503,39)))=0,"","Policy no.: "&amp;IF(LEN(INDEX('Providers'!$O$4:$O$503,39))=0,"",INDEX('Providers'!$O$4:$O$503,39))&amp;". ")&amp;IF(LEN(IF(LEN(INDEX('Providers'!$P$4:$P$503,39))=0,"",INDEX('Providers'!$P$4:$P$503,39)))=0,"","Coverage form: "&amp;IF(LEN(INDEX('Providers'!$P$4:$P$503,39))=0,"",INDEX('Providers'!$P$4:$P$503,39))&amp;". "))</f>
        <v/>
      </c>
      <c r="J2042">
        <f>IF(LEN(INDEX('Providers'!$AJ$4:$AJ$503,39))=0,"",INDEX('Providers'!$AJ$4:$AJ$503,39))</f>
        <v/>
      </c>
      <c r="K2042">
        <f>IF(LEN(INDEX('Providers'!$AI$4:$AI$503,39))=0,"",INDEX('Providers'!$AI$4:$AI$503,39))</f>
        <v/>
      </c>
    </row>
    <row r="2043">
      <c r="A2043">
        <f>IF(AND(LEN('Providers'!A43)&gt;0,ISNUMBER('Providers'!Q43)),1,0)</f>
        <v/>
      </c>
      <c r="B2043">
        <f>B2042+A2043</f>
        <v/>
      </c>
      <c r="C2043">
        <f>IF(2040&gt;$B$4503,"",MATCH(2040-0.5,$B$3:$B$4503,1))</f>
        <v/>
      </c>
      <c r="D2043">
        <f>"Malpractice insurance – "&amp;IF(LEN(INDEX('Providers'!$A$4:$A$503,40))=0,"",INDEX('Providers'!$A$4:$A$503,40))</f>
        <v/>
      </c>
      <c r="E2043">
        <f>IF(ISNUMBER(INDEX('Providers'!$Q$4:$Q$503,40)),TEXT(INDEX('Providers'!$Q$4:$Q$503,40),"yyyy-mm-dd"),"")</f>
        <v/>
      </c>
      <c r="F2043">
        <f>"Insurance"</f>
        <v/>
      </c>
      <c r="G2043">
        <f>""</f>
        <v/>
      </c>
      <c r="H2043">
        <f>"High"</f>
        <v/>
      </c>
      <c r="I2043">
        <f>TRIM(IF(LEN(IF(LEN(INDEX('Providers'!$N$4:$N$503,40))=0,"",INDEX('Providers'!$N$4:$N$503,40)))=0,"","Carrier: "&amp;IF(LEN(INDEX('Providers'!$N$4:$N$503,40))=0,"",INDEX('Providers'!$N$4:$N$503,40))&amp;". ")&amp;IF(LEN(IF(LEN(INDEX('Providers'!$O$4:$O$503,40))=0,"",INDEX('Providers'!$O$4:$O$503,40)))=0,"","Policy no.: "&amp;IF(LEN(INDEX('Providers'!$O$4:$O$503,40))=0,"",INDEX('Providers'!$O$4:$O$503,40))&amp;". ")&amp;IF(LEN(IF(LEN(INDEX('Providers'!$P$4:$P$503,40))=0,"",INDEX('Providers'!$P$4:$P$503,40)))=0,"","Coverage form: "&amp;IF(LEN(INDEX('Providers'!$P$4:$P$503,40))=0,"",INDEX('Providers'!$P$4:$P$503,40))&amp;". "))</f>
        <v/>
      </c>
      <c r="J2043">
        <f>IF(LEN(INDEX('Providers'!$AJ$4:$AJ$503,40))=0,"",INDEX('Providers'!$AJ$4:$AJ$503,40))</f>
        <v/>
      </c>
      <c r="K2043">
        <f>IF(LEN(INDEX('Providers'!$AI$4:$AI$503,40))=0,"",INDEX('Providers'!$AI$4:$AI$503,40))</f>
        <v/>
      </c>
    </row>
    <row r="2044">
      <c r="A2044">
        <f>IF(AND(LEN('Providers'!A44)&gt;0,ISNUMBER('Providers'!Q44)),1,0)</f>
        <v/>
      </c>
      <c r="B2044">
        <f>B2043+A2044</f>
        <v/>
      </c>
      <c r="C2044">
        <f>IF(2041&gt;$B$4503,"",MATCH(2041-0.5,$B$3:$B$4503,1))</f>
        <v/>
      </c>
      <c r="D2044">
        <f>"Malpractice insurance – "&amp;IF(LEN(INDEX('Providers'!$A$4:$A$503,41))=0,"",INDEX('Providers'!$A$4:$A$503,41))</f>
        <v/>
      </c>
      <c r="E2044">
        <f>IF(ISNUMBER(INDEX('Providers'!$Q$4:$Q$503,41)),TEXT(INDEX('Providers'!$Q$4:$Q$503,41),"yyyy-mm-dd"),"")</f>
        <v/>
      </c>
      <c r="F2044">
        <f>"Insurance"</f>
        <v/>
      </c>
      <c r="G2044">
        <f>""</f>
        <v/>
      </c>
      <c r="H2044">
        <f>"High"</f>
        <v/>
      </c>
      <c r="I2044">
        <f>TRIM(IF(LEN(IF(LEN(INDEX('Providers'!$N$4:$N$503,41))=0,"",INDEX('Providers'!$N$4:$N$503,41)))=0,"","Carrier: "&amp;IF(LEN(INDEX('Providers'!$N$4:$N$503,41))=0,"",INDEX('Providers'!$N$4:$N$503,41))&amp;". ")&amp;IF(LEN(IF(LEN(INDEX('Providers'!$O$4:$O$503,41))=0,"",INDEX('Providers'!$O$4:$O$503,41)))=0,"","Policy no.: "&amp;IF(LEN(INDEX('Providers'!$O$4:$O$503,41))=0,"",INDEX('Providers'!$O$4:$O$503,41))&amp;". ")&amp;IF(LEN(IF(LEN(INDEX('Providers'!$P$4:$P$503,41))=0,"",INDEX('Providers'!$P$4:$P$503,41)))=0,"","Coverage form: "&amp;IF(LEN(INDEX('Providers'!$P$4:$P$503,41))=0,"",INDEX('Providers'!$P$4:$P$503,41))&amp;". "))</f>
        <v/>
      </c>
      <c r="J2044">
        <f>IF(LEN(INDEX('Providers'!$AJ$4:$AJ$503,41))=0,"",INDEX('Providers'!$AJ$4:$AJ$503,41))</f>
        <v/>
      </c>
      <c r="K2044">
        <f>IF(LEN(INDEX('Providers'!$AI$4:$AI$503,41))=0,"",INDEX('Providers'!$AI$4:$AI$503,41))</f>
        <v/>
      </c>
    </row>
    <row r="2045">
      <c r="A2045">
        <f>IF(AND(LEN('Providers'!A45)&gt;0,ISNUMBER('Providers'!Q45)),1,0)</f>
        <v/>
      </c>
      <c r="B2045">
        <f>B2044+A2045</f>
        <v/>
      </c>
      <c r="C2045">
        <f>IF(2042&gt;$B$4503,"",MATCH(2042-0.5,$B$3:$B$4503,1))</f>
        <v/>
      </c>
      <c r="D2045">
        <f>"Malpractice insurance – "&amp;IF(LEN(INDEX('Providers'!$A$4:$A$503,42))=0,"",INDEX('Providers'!$A$4:$A$503,42))</f>
        <v/>
      </c>
      <c r="E2045">
        <f>IF(ISNUMBER(INDEX('Providers'!$Q$4:$Q$503,42)),TEXT(INDEX('Providers'!$Q$4:$Q$503,42),"yyyy-mm-dd"),"")</f>
        <v/>
      </c>
      <c r="F2045">
        <f>"Insurance"</f>
        <v/>
      </c>
      <c r="G2045">
        <f>""</f>
        <v/>
      </c>
      <c r="H2045">
        <f>"High"</f>
        <v/>
      </c>
      <c r="I2045">
        <f>TRIM(IF(LEN(IF(LEN(INDEX('Providers'!$N$4:$N$503,42))=0,"",INDEX('Providers'!$N$4:$N$503,42)))=0,"","Carrier: "&amp;IF(LEN(INDEX('Providers'!$N$4:$N$503,42))=0,"",INDEX('Providers'!$N$4:$N$503,42))&amp;". ")&amp;IF(LEN(IF(LEN(INDEX('Providers'!$O$4:$O$503,42))=0,"",INDEX('Providers'!$O$4:$O$503,42)))=0,"","Policy no.: "&amp;IF(LEN(INDEX('Providers'!$O$4:$O$503,42))=0,"",INDEX('Providers'!$O$4:$O$503,42))&amp;". ")&amp;IF(LEN(IF(LEN(INDEX('Providers'!$P$4:$P$503,42))=0,"",INDEX('Providers'!$P$4:$P$503,42)))=0,"","Coverage form: "&amp;IF(LEN(INDEX('Providers'!$P$4:$P$503,42))=0,"",INDEX('Providers'!$P$4:$P$503,42))&amp;". "))</f>
        <v/>
      </c>
      <c r="J2045">
        <f>IF(LEN(INDEX('Providers'!$AJ$4:$AJ$503,42))=0,"",INDEX('Providers'!$AJ$4:$AJ$503,42))</f>
        <v/>
      </c>
      <c r="K2045">
        <f>IF(LEN(INDEX('Providers'!$AI$4:$AI$503,42))=0,"",INDEX('Providers'!$AI$4:$AI$503,42))</f>
        <v/>
      </c>
    </row>
    <row r="2046">
      <c r="A2046">
        <f>IF(AND(LEN('Providers'!A46)&gt;0,ISNUMBER('Providers'!Q46)),1,0)</f>
        <v/>
      </c>
      <c r="B2046">
        <f>B2045+A2046</f>
        <v/>
      </c>
      <c r="C2046">
        <f>IF(2043&gt;$B$4503,"",MATCH(2043-0.5,$B$3:$B$4503,1))</f>
        <v/>
      </c>
      <c r="D2046">
        <f>"Malpractice insurance – "&amp;IF(LEN(INDEX('Providers'!$A$4:$A$503,43))=0,"",INDEX('Providers'!$A$4:$A$503,43))</f>
        <v/>
      </c>
      <c r="E2046">
        <f>IF(ISNUMBER(INDEX('Providers'!$Q$4:$Q$503,43)),TEXT(INDEX('Providers'!$Q$4:$Q$503,43),"yyyy-mm-dd"),"")</f>
        <v/>
      </c>
      <c r="F2046">
        <f>"Insurance"</f>
        <v/>
      </c>
      <c r="G2046">
        <f>""</f>
        <v/>
      </c>
      <c r="H2046">
        <f>"High"</f>
        <v/>
      </c>
      <c r="I2046">
        <f>TRIM(IF(LEN(IF(LEN(INDEX('Providers'!$N$4:$N$503,43))=0,"",INDEX('Providers'!$N$4:$N$503,43)))=0,"","Carrier: "&amp;IF(LEN(INDEX('Providers'!$N$4:$N$503,43))=0,"",INDEX('Providers'!$N$4:$N$503,43))&amp;". ")&amp;IF(LEN(IF(LEN(INDEX('Providers'!$O$4:$O$503,43))=0,"",INDEX('Providers'!$O$4:$O$503,43)))=0,"","Policy no.: "&amp;IF(LEN(INDEX('Providers'!$O$4:$O$503,43))=0,"",INDEX('Providers'!$O$4:$O$503,43))&amp;". ")&amp;IF(LEN(IF(LEN(INDEX('Providers'!$P$4:$P$503,43))=0,"",INDEX('Providers'!$P$4:$P$503,43)))=0,"","Coverage form: "&amp;IF(LEN(INDEX('Providers'!$P$4:$P$503,43))=0,"",INDEX('Providers'!$P$4:$P$503,43))&amp;". "))</f>
        <v/>
      </c>
      <c r="J2046">
        <f>IF(LEN(INDEX('Providers'!$AJ$4:$AJ$503,43))=0,"",INDEX('Providers'!$AJ$4:$AJ$503,43))</f>
        <v/>
      </c>
      <c r="K2046">
        <f>IF(LEN(INDEX('Providers'!$AI$4:$AI$503,43))=0,"",INDEX('Providers'!$AI$4:$AI$503,43))</f>
        <v/>
      </c>
    </row>
    <row r="2047">
      <c r="A2047">
        <f>IF(AND(LEN('Providers'!A47)&gt;0,ISNUMBER('Providers'!Q47)),1,0)</f>
        <v/>
      </c>
      <c r="B2047">
        <f>B2046+A2047</f>
        <v/>
      </c>
      <c r="C2047">
        <f>IF(2044&gt;$B$4503,"",MATCH(2044-0.5,$B$3:$B$4503,1))</f>
        <v/>
      </c>
      <c r="D2047">
        <f>"Malpractice insurance – "&amp;IF(LEN(INDEX('Providers'!$A$4:$A$503,44))=0,"",INDEX('Providers'!$A$4:$A$503,44))</f>
        <v/>
      </c>
      <c r="E2047">
        <f>IF(ISNUMBER(INDEX('Providers'!$Q$4:$Q$503,44)),TEXT(INDEX('Providers'!$Q$4:$Q$503,44),"yyyy-mm-dd"),"")</f>
        <v/>
      </c>
      <c r="F2047">
        <f>"Insurance"</f>
        <v/>
      </c>
      <c r="G2047">
        <f>""</f>
        <v/>
      </c>
      <c r="H2047">
        <f>"High"</f>
        <v/>
      </c>
      <c r="I2047">
        <f>TRIM(IF(LEN(IF(LEN(INDEX('Providers'!$N$4:$N$503,44))=0,"",INDEX('Providers'!$N$4:$N$503,44)))=0,"","Carrier: "&amp;IF(LEN(INDEX('Providers'!$N$4:$N$503,44))=0,"",INDEX('Providers'!$N$4:$N$503,44))&amp;". ")&amp;IF(LEN(IF(LEN(INDEX('Providers'!$O$4:$O$503,44))=0,"",INDEX('Providers'!$O$4:$O$503,44)))=0,"","Policy no.: "&amp;IF(LEN(INDEX('Providers'!$O$4:$O$503,44))=0,"",INDEX('Providers'!$O$4:$O$503,44))&amp;". ")&amp;IF(LEN(IF(LEN(INDEX('Providers'!$P$4:$P$503,44))=0,"",INDEX('Providers'!$P$4:$P$503,44)))=0,"","Coverage form: "&amp;IF(LEN(INDEX('Providers'!$P$4:$P$503,44))=0,"",INDEX('Providers'!$P$4:$P$503,44))&amp;". "))</f>
        <v/>
      </c>
      <c r="J2047">
        <f>IF(LEN(INDEX('Providers'!$AJ$4:$AJ$503,44))=0,"",INDEX('Providers'!$AJ$4:$AJ$503,44))</f>
        <v/>
      </c>
      <c r="K2047">
        <f>IF(LEN(INDEX('Providers'!$AI$4:$AI$503,44))=0,"",INDEX('Providers'!$AI$4:$AI$503,44))</f>
        <v/>
      </c>
    </row>
    <row r="2048">
      <c r="A2048">
        <f>IF(AND(LEN('Providers'!A48)&gt;0,ISNUMBER('Providers'!Q48)),1,0)</f>
        <v/>
      </c>
      <c r="B2048">
        <f>B2047+A2048</f>
        <v/>
      </c>
      <c r="C2048">
        <f>IF(2045&gt;$B$4503,"",MATCH(2045-0.5,$B$3:$B$4503,1))</f>
        <v/>
      </c>
      <c r="D2048">
        <f>"Malpractice insurance – "&amp;IF(LEN(INDEX('Providers'!$A$4:$A$503,45))=0,"",INDEX('Providers'!$A$4:$A$503,45))</f>
        <v/>
      </c>
      <c r="E2048">
        <f>IF(ISNUMBER(INDEX('Providers'!$Q$4:$Q$503,45)),TEXT(INDEX('Providers'!$Q$4:$Q$503,45),"yyyy-mm-dd"),"")</f>
        <v/>
      </c>
      <c r="F2048">
        <f>"Insurance"</f>
        <v/>
      </c>
      <c r="G2048">
        <f>""</f>
        <v/>
      </c>
      <c r="H2048">
        <f>"High"</f>
        <v/>
      </c>
      <c r="I2048">
        <f>TRIM(IF(LEN(IF(LEN(INDEX('Providers'!$N$4:$N$503,45))=0,"",INDEX('Providers'!$N$4:$N$503,45)))=0,"","Carrier: "&amp;IF(LEN(INDEX('Providers'!$N$4:$N$503,45))=0,"",INDEX('Providers'!$N$4:$N$503,45))&amp;". ")&amp;IF(LEN(IF(LEN(INDEX('Providers'!$O$4:$O$503,45))=0,"",INDEX('Providers'!$O$4:$O$503,45)))=0,"","Policy no.: "&amp;IF(LEN(INDEX('Providers'!$O$4:$O$503,45))=0,"",INDEX('Providers'!$O$4:$O$503,45))&amp;". ")&amp;IF(LEN(IF(LEN(INDEX('Providers'!$P$4:$P$503,45))=0,"",INDEX('Providers'!$P$4:$P$503,45)))=0,"","Coverage form: "&amp;IF(LEN(INDEX('Providers'!$P$4:$P$503,45))=0,"",INDEX('Providers'!$P$4:$P$503,45))&amp;". "))</f>
        <v/>
      </c>
      <c r="J2048">
        <f>IF(LEN(INDEX('Providers'!$AJ$4:$AJ$503,45))=0,"",INDEX('Providers'!$AJ$4:$AJ$503,45))</f>
        <v/>
      </c>
      <c r="K2048">
        <f>IF(LEN(INDEX('Providers'!$AI$4:$AI$503,45))=0,"",INDEX('Providers'!$AI$4:$AI$503,45))</f>
        <v/>
      </c>
    </row>
    <row r="2049">
      <c r="A2049">
        <f>IF(AND(LEN('Providers'!A49)&gt;0,ISNUMBER('Providers'!Q49)),1,0)</f>
        <v/>
      </c>
      <c r="B2049">
        <f>B2048+A2049</f>
        <v/>
      </c>
      <c r="C2049">
        <f>IF(2046&gt;$B$4503,"",MATCH(2046-0.5,$B$3:$B$4503,1))</f>
        <v/>
      </c>
      <c r="D2049">
        <f>"Malpractice insurance – "&amp;IF(LEN(INDEX('Providers'!$A$4:$A$503,46))=0,"",INDEX('Providers'!$A$4:$A$503,46))</f>
        <v/>
      </c>
      <c r="E2049">
        <f>IF(ISNUMBER(INDEX('Providers'!$Q$4:$Q$503,46)),TEXT(INDEX('Providers'!$Q$4:$Q$503,46),"yyyy-mm-dd"),"")</f>
        <v/>
      </c>
      <c r="F2049">
        <f>"Insurance"</f>
        <v/>
      </c>
      <c r="G2049">
        <f>""</f>
        <v/>
      </c>
      <c r="H2049">
        <f>"High"</f>
        <v/>
      </c>
      <c r="I2049">
        <f>TRIM(IF(LEN(IF(LEN(INDEX('Providers'!$N$4:$N$503,46))=0,"",INDEX('Providers'!$N$4:$N$503,46)))=0,"","Carrier: "&amp;IF(LEN(INDEX('Providers'!$N$4:$N$503,46))=0,"",INDEX('Providers'!$N$4:$N$503,46))&amp;". ")&amp;IF(LEN(IF(LEN(INDEX('Providers'!$O$4:$O$503,46))=0,"",INDEX('Providers'!$O$4:$O$503,46)))=0,"","Policy no.: "&amp;IF(LEN(INDEX('Providers'!$O$4:$O$503,46))=0,"",INDEX('Providers'!$O$4:$O$503,46))&amp;". ")&amp;IF(LEN(IF(LEN(INDEX('Providers'!$P$4:$P$503,46))=0,"",INDEX('Providers'!$P$4:$P$503,46)))=0,"","Coverage form: "&amp;IF(LEN(INDEX('Providers'!$P$4:$P$503,46))=0,"",INDEX('Providers'!$P$4:$P$503,46))&amp;". "))</f>
        <v/>
      </c>
      <c r="J2049">
        <f>IF(LEN(INDEX('Providers'!$AJ$4:$AJ$503,46))=0,"",INDEX('Providers'!$AJ$4:$AJ$503,46))</f>
        <v/>
      </c>
      <c r="K2049">
        <f>IF(LEN(INDEX('Providers'!$AI$4:$AI$503,46))=0,"",INDEX('Providers'!$AI$4:$AI$503,46))</f>
        <v/>
      </c>
    </row>
    <row r="2050">
      <c r="A2050">
        <f>IF(AND(LEN('Providers'!A50)&gt;0,ISNUMBER('Providers'!Q50)),1,0)</f>
        <v/>
      </c>
      <c r="B2050">
        <f>B2049+A2050</f>
        <v/>
      </c>
      <c r="C2050">
        <f>IF(2047&gt;$B$4503,"",MATCH(2047-0.5,$B$3:$B$4503,1))</f>
        <v/>
      </c>
      <c r="D2050">
        <f>"Malpractice insurance – "&amp;IF(LEN(INDEX('Providers'!$A$4:$A$503,47))=0,"",INDEX('Providers'!$A$4:$A$503,47))</f>
        <v/>
      </c>
      <c r="E2050">
        <f>IF(ISNUMBER(INDEX('Providers'!$Q$4:$Q$503,47)),TEXT(INDEX('Providers'!$Q$4:$Q$503,47),"yyyy-mm-dd"),"")</f>
        <v/>
      </c>
      <c r="F2050">
        <f>"Insurance"</f>
        <v/>
      </c>
      <c r="G2050">
        <f>""</f>
        <v/>
      </c>
      <c r="H2050">
        <f>"High"</f>
        <v/>
      </c>
      <c r="I2050">
        <f>TRIM(IF(LEN(IF(LEN(INDEX('Providers'!$N$4:$N$503,47))=0,"",INDEX('Providers'!$N$4:$N$503,47)))=0,"","Carrier: "&amp;IF(LEN(INDEX('Providers'!$N$4:$N$503,47))=0,"",INDEX('Providers'!$N$4:$N$503,47))&amp;". ")&amp;IF(LEN(IF(LEN(INDEX('Providers'!$O$4:$O$503,47))=0,"",INDEX('Providers'!$O$4:$O$503,47)))=0,"","Policy no.: "&amp;IF(LEN(INDEX('Providers'!$O$4:$O$503,47))=0,"",INDEX('Providers'!$O$4:$O$503,47))&amp;". ")&amp;IF(LEN(IF(LEN(INDEX('Providers'!$P$4:$P$503,47))=0,"",INDEX('Providers'!$P$4:$P$503,47)))=0,"","Coverage form: "&amp;IF(LEN(INDEX('Providers'!$P$4:$P$503,47))=0,"",INDEX('Providers'!$P$4:$P$503,47))&amp;". "))</f>
        <v/>
      </c>
      <c r="J2050">
        <f>IF(LEN(INDEX('Providers'!$AJ$4:$AJ$503,47))=0,"",INDEX('Providers'!$AJ$4:$AJ$503,47))</f>
        <v/>
      </c>
      <c r="K2050">
        <f>IF(LEN(INDEX('Providers'!$AI$4:$AI$503,47))=0,"",INDEX('Providers'!$AI$4:$AI$503,47))</f>
        <v/>
      </c>
    </row>
    <row r="2051">
      <c r="A2051">
        <f>IF(AND(LEN('Providers'!A51)&gt;0,ISNUMBER('Providers'!Q51)),1,0)</f>
        <v/>
      </c>
      <c r="B2051">
        <f>B2050+A2051</f>
        <v/>
      </c>
      <c r="C2051">
        <f>IF(2048&gt;$B$4503,"",MATCH(2048-0.5,$B$3:$B$4503,1))</f>
        <v/>
      </c>
      <c r="D2051">
        <f>"Malpractice insurance – "&amp;IF(LEN(INDEX('Providers'!$A$4:$A$503,48))=0,"",INDEX('Providers'!$A$4:$A$503,48))</f>
        <v/>
      </c>
      <c r="E2051">
        <f>IF(ISNUMBER(INDEX('Providers'!$Q$4:$Q$503,48)),TEXT(INDEX('Providers'!$Q$4:$Q$503,48),"yyyy-mm-dd"),"")</f>
        <v/>
      </c>
      <c r="F2051">
        <f>"Insurance"</f>
        <v/>
      </c>
      <c r="G2051">
        <f>""</f>
        <v/>
      </c>
      <c r="H2051">
        <f>"High"</f>
        <v/>
      </c>
      <c r="I2051">
        <f>TRIM(IF(LEN(IF(LEN(INDEX('Providers'!$N$4:$N$503,48))=0,"",INDEX('Providers'!$N$4:$N$503,48)))=0,"","Carrier: "&amp;IF(LEN(INDEX('Providers'!$N$4:$N$503,48))=0,"",INDEX('Providers'!$N$4:$N$503,48))&amp;". ")&amp;IF(LEN(IF(LEN(INDEX('Providers'!$O$4:$O$503,48))=0,"",INDEX('Providers'!$O$4:$O$503,48)))=0,"","Policy no.: "&amp;IF(LEN(INDEX('Providers'!$O$4:$O$503,48))=0,"",INDEX('Providers'!$O$4:$O$503,48))&amp;". ")&amp;IF(LEN(IF(LEN(INDEX('Providers'!$P$4:$P$503,48))=0,"",INDEX('Providers'!$P$4:$P$503,48)))=0,"","Coverage form: "&amp;IF(LEN(INDEX('Providers'!$P$4:$P$503,48))=0,"",INDEX('Providers'!$P$4:$P$503,48))&amp;". "))</f>
        <v/>
      </c>
      <c r="J2051">
        <f>IF(LEN(INDEX('Providers'!$AJ$4:$AJ$503,48))=0,"",INDEX('Providers'!$AJ$4:$AJ$503,48))</f>
        <v/>
      </c>
      <c r="K2051">
        <f>IF(LEN(INDEX('Providers'!$AI$4:$AI$503,48))=0,"",INDEX('Providers'!$AI$4:$AI$503,48))</f>
        <v/>
      </c>
    </row>
    <row r="2052">
      <c r="A2052">
        <f>IF(AND(LEN('Providers'!A52)&gt;0,ISNUMBER('Providers'!Q52)),1,0)</f>
        <v/>
      </c>
      <c r="B2052">
        <f>B2051+A2052</f>
        <v/>
      </c>
      <c r="C2052">
        <f>IF(2049&gt;$B$4503,"",MATCH(2049-0.5,$B$3:$B$4503,1))</f>
        <v/>
      </c>
      <c r="D2052">
        <f>"Malpractice insurance – "&amp;IF(LEN(INDEX('Providers'!$A$4:$A$503,49))=0,"",INDEX('Providers'!$A$4:$A$503,49))</f>
        <v/>
      </c>
      <c r="E2052">
        <f>IF(ISNUMBER(INDEX('Providers'!$Q$4:$Q$503,49)),TEXT(INDEX('Providers'!$Q$4:$Q$503,49),"yyyy-mm-dd"),"")</f>
        <v/>
      </c>
      <c r="F2052">
        <f>"Insurance"</f>
        <v/>
      </c>
      <c r="G2052">
        <f>""</f>
        <v/>
      </c>
      <c r="H2052">
        <f>"High"</f>
        <v/>
      </c>
      <c r="I2052">
        <f>TRIM(IF(LEN(IF(LEN(INDEX('Providers'!$N$4:$N$503,49))=0,"",INDEX('Providers'!$N$4:$N$503,49)))=0,"","Carrier: "&amp;IF(LEN(INDEX('Providers'!$N$4:$N$503,49))=0,"",INDEX('Providers'!$N$4:$N$503,49))&amp;". ")&amp;IF(LEN(IF(LEN(INDEX('Providers'!$O$4:$O$503,49))=0,"",INDEX('Providers'!$O$4:$O$503,49)))=0,"","Policy no.: "&amp;IF(LEN(INDEX('Providers'!$O$4:$O$503,49))=0,"",INDEX('Providers'!$O$4:$O$503,49))&amp;". ")&amp;IF(LEN(IF(LEN(INDEX('Providers'!$P$4:$P$503,49))=0,"",INDEX('Providers'!$P$4:$P$503,49)))=0,"","Coverage form: "&amp;IF(LEN(INDEX('Providers'!$P$4:$P$503,49))=0,"",INDEX('Providers'!$P$4:$P$503,49))&amp;". "))</f>
        <v/>
      </c>
      <c r="J2052">
        <f>IF(LEN(INDEX('Providers'!$AJ$4:$AJ$503,49))=0,"",INDEX('Providers'!$AJ$4:$AJ$503,49))</f>
        <v/>
      </c>
      <c r="K2052">
        <f>IF(LEN(INDEX('Providers'!$AI$4:$AI$503,49))=0,"",INDEX('Providers'!$AI$4:$AI$503,49))</f>
        <v/>
      </c>
    </row>
    <row r="2053">
      <c r="A2053">
        <f>IF(AND(LEN('Providers'!A53)&gt;0,ISNUMBER('Providers'!Q53)),1,0)</f>
        <v/>
      </c>
      <c r="B2053">
        <f>B2052+A2053</f>
        <v/>
      </c>
      <c r="C2053">
        <f>IF(2050&gt;$B$4503,"",MATCH(2050-0.5,$B$3:$B$4503,1))</f>
        <v/>
      </c>
      <c r="D2053">
        <f>"Malpractice insurance – "&amp;IF(LEN(INDEX('Providers'!$A$4:$A$503,50))=0,"",INDEX('Providers'!$A$4:$A$503,50))</f>
        <v/>
      </c>
      <c r="E2053">
        <f>IF(ISNUMBER(INDEX('Providers'!$Q$4:$Q$503,50)),TEXT(INDEX('Providers'!$Q$4:$Q$503,50),"yyyy-mm-dd"),"")</f>
        <v/>
      </c>
      <c r="F2053">
        <f>"Insurance"</f>
        <v/>
      </c>
      <c r="G2053">
        <f>""</f>
        <v/>
      </c>
      <c r="H2053">
        <f>"High"</f>
        <v/>
      </c>
      <c r="I2053">
        <f>TRIM(IF(LEN(IF(LEN(INDEX('Providers'!$N$4:$N$503,50))=0,"",INDEX('Providers'!$N$4:$N$503,50)))=0,"","Carrier: "&amp;IF(LEN(INDEX('Providers'!$N$4:$N$503,50))=0,"",INDEX('Providers'!$N$4:$N$503,50))&amp;". ")&amp;IF(LEN(IF(LEN(INDEX('Providers'!$O$4:$O$503,50))=0,"",INDEX('Providers'!$O$4:$O$503,50)))=0,"","Policy no.: "&amp;IF(LEN(INDEX('Providers'!$O$4:$O$503,50))=0,"",INDEX('Providers'!$O$4:$O$503,50))&amp;". ")&amp;IF(LEN(IF(LEN(INDEX('Providers'!$P$4:$P$503,50))=0,"",INDEX('Providers'!$P$4:$P$503,50)))=0,"","Coverage form: "&amp;IF(LEN(INDEX('Providers'!$P$4:$P$503,50))=0,"",INDEX('Providers'!$P$4:$P$503,50))&amp;". "))</f>
        <v/>
      </c>
      <c r="J2053">
        <f>IF(LEN(INDEX('Providers'!$AJ$4:$AJ$503,50))=0,"",INDEX('Providers'!$AJ$4:$AJ$503,50))</f>
        <v/>
      </c>
      <c r="K2053">
        <f>IF(LEN(INDEX('Providers'!$AI$4:$AI$503,50))=0,"",INDEX('Providers'!$AI$4:$AI$503,50))</f>
        <v/>
      </c>
    </row>
    <row r="2054">
      <c r="A2054">
        <f>IF(AND(LEN('Providers'!A54)&gt;0,ISNUMBER('Providers'!Q54)),1,0)</f>
        <v/>
      </c>
      <c r="B2054">
        <f>B2053+A2054</f>
        <v/>
      </c>
      <c r="C2054">
        <f>IF(2051&gt;$B$4503,"",MATCH(2051-0.5,$B$3:$B$4503,1))</f>
        <v/>
      </c>
      <c r="D2054">
        <f>"Malpractice insurance – "&amp;IF(LEN(INDEX('Providers'!$A$4:$A$503,51))=0,"",INDEX('Providers'!$A$4:$A$503,51))</f>
        <v/>
      </c>
      <c r="E2054">
        <f>IF(ISNUMBER(INDEX('Providers'!$Q$4:$Q$503,51)),TEXT(INDEX('Providers'!$Q$4:$Q$503,51),"yyyy-mm-dd"),"")</f>
        <v/>
      </c>
      <c r="F2054">
        <f>"Insurance"</f>
        <v/>
      </c>
      <c r="G2054">
        <f>""</f>
        <v/>
      </c>
      <c r="H2054">
        <f>"High"</f>
        <v/>
      </c>
      <c r="I2054">
        <f>TRIM(IF(LEN(IF(LEN(INDEX('Providers'!$N$4:$N$503,51))=0,"",INDEX('Providers'!$N$4:$N$503,51)))=0,"","Carrier: "&amp;IF(LEN(INDEX('Providers'!$N$4:$N$503,51))=0,"",INDEX('Providers'!$N$4:$N$503,51))&amp;". ")&amp;IF(LEN(IF(LEN(INDEX('Providers'!$O$4:$O$503,51))=0,"",INDEX('Providers'!$O$4:$O$503,51)))=0,"","Policy no.: "&amp;IF(LEN(INDEX('Providers'!$O$4:$O$503,51))=0,"",INDEX('Providers'!$O$4:$O$503,51))&amp;". ")&amp;IF(LEN(IF(LEN(INDEX('Providers'!$P$4:$P$503,51))=0,"",INDEX('Providers'!$P$4:$P$503,51)))=0,"","Coverage form: "&amp;IF(LEN(INDEX('Providers'!$P$4:$P$503,51))=0,"",INDEX('Providers'!$P$4:$P$503,51))&amp;". "))</f>
        <v/>
      </c>
      <c r="J2054">
        <f>IF(LEN(INDEX('Providers'!$AJ$4:$AJ$503,51))=0,"",INDEX('Providers'!$AJ$4:$AJ$503,51))</f>
        <v/>
      </c>
      <c r="K2054">
        <f>IF(LEN(INDEX('Providers'!$AI$4:$AI$503,51))=0,"",INDEX('Providers'!$AI$4:$AI$503,51))</f>
        <v/>
      </c>
    </row>
    <row r="2055">
      <c r="A2055">
        <f>IF(AND(LEN('Providers'!A55)&gt;0,ISNUMBER('Providers'!Q55)),1,0)</f>
        <v/>
      </c>
      <c r="B2055">
        <f>B2054+A2055</f>
        <v/>
      </c>
      <c r="C2055">
        <f>IF(2052&gt;$B$4503,"",MATCH(2052-0.5,$B$3:$B$4503,1))</f>
        <v/>
      </c>
      <c r="D2055">
        <f>"Malpractice insurance – "&amp;IF(LEN(INDEX('Providers'!$A$4:$A$503,52))=0,"",INDEX('Providers'!$A$4:$A$503,52))</f>
        <v/>
      </c>
      <c r="E2055">
        <f>IF(ISNUMBER(INDEX('Providers'!$Q$4:$Q$503,52)),TEXT(INDEX('Providers'!$Q$4:$Q$503,52),"yyyy-mm-dd"),"")</f>
        <v/>
      </c>
      <c r="F2055">
        <f>"Insurance"</f>
        <v/>
      </c>
      <c r="G2055">
        <f>""</f>
        <v/>
      </c>
      <c r="H2055">
        <f>"High"</f>
        <v/>
      </c>
      <c r="I2055">
        <f>TRIM(IF(LEN(IF(LEN(INDEX('Providers'!$N$4:$N$503,52))=0,"",INDEX('Providers'!$N$4:$N$503,52)))=0,"","Carrier: "&amp;IF(LEN(INDEX('Providers'!$N$4:$N$503,52))=0,"",INDEX('Providers'!$N$4:$N$503,52))&amp;". ")&amp;IF(LEN(IF(LEN(INDEX('Providers'!$O$4:$O$503,52))=0,"",INDEX('Providers'!$O$4:$O$503,52)))=0,"","Policy no.: "&amp;IF(LEN(INDEX('Providers'!$O$4:$O$503,52))=0,"",INDEX('Providers'!$O$4:$O$503,52))&amp;". ")&amp;IF(LEN(IF(LEN(INDEX('Providers'!$P$4:$P$503,52))=0,"",INDEX('Providers'!$P$4:$P$503,52)))=0,"","Coverage form: "&amp;IF(LEN(INDEX('Providers'!$P$4:$P$503,52))=0,"",INDEX('Providers'!$P$4:$P$503,52))&amp;". "))</f>
        <v/>
      </c>
      <c r="J2055">
        <f>IF(LEN(INDEX('Providers'!$AJ$4:$AJ$503,52))=0,"",INDEX('Providers'!$AJ$4:$AJ$503,52))</f>
        <v/>
      </c>
      <c r="K2055">
        <f>IF(LEN(INDEX('Providers'!$AI$4:$AI$503,52))=0,"",INDEX('Providers'!$AI$4:$AI$503,52))</f>
        <v/>
      </c>
    </row>
    <row r="2056">
      <c r="A2056">
        <f>IF(AND(LEN('Providers'!A56)&gt;0,ISNUMBER('Providers'!Q56)),1,0)</f>
        <v/>
      </c>
      <c r="B2056">
        <f>B2055+A2056</f>
        <v/>
      </c>
      <c r="C2056">
        <f>IF(2053&gt;$B$4503,"",MATCH(2053-0.5,$B$3:$B$4503,1))</f>
        <v/>
      </c>
      <c r="D2056">
        <f>"Malpractice insurance – "&amp;IF(LEN(INDEX('Providers'!$A$4:$A$503,53))=0,"",INDEX('Providers'!$A$4:$A$503,53))</f>
        <v/>
      </c>
      <c r="E2056">
        <f>IF(ISNUMBER(INDEX('Providers'!$Q$4:$Q$503,53)),TEXT(INDEX('Providers'!$Q$4:$Q$503,53),"yyyy-mm-dd"),"")</f>
        <v/>
      </c>
      <c r="F2056">
        <f>"Insurance"</f>
        <v/>
      </c>
      <c r="G2056">
        <f>""</f>
        <v/>
      </c>
      <c r="H2056">
        <f>"High"</f>
        <v/>
      </c>
      <c r="I2056">
        <f>TRIM(IF(LEN(IF(LEN(INDEX('Providers'!$N$4:$N$503,53))=0,"",INDEX('Providers'!$N$4:$N$503,53)))=0,"","Carrier: "&amp;IF(LEN(INDEX('Providers'!$N$4:$N$503,53))=0,"",INDEX('Providers'!$N$4:$N$503,53))&amp;". ")&amp;IF(LEN(IF(LEN(INDEX('Providers'!$O$4:$O$503,53))=0,"",INDEX('Providers'!$O$4:$O$503,53)))=0,"","Policy no.: "&amp;IF(LEN(INDEX('Providers'!$O$4:$O$503,53))=0,"",INDEX('Providers'!$O$4:$O$503,53))&amp;". ")&amp;IF(LEN(IF(LEN(INDEX('Providers'!$P$4:$P$503,53))=0,"",INDEX('Providers'!$P$4:$P$503,53)))=0,"","Coverage form: "&amp;IF(LEN(INDEX('Providers'!$P$4:$P$503,53))=0,"",INDEX('Providers'!$P$4:$P$503,53))&amp;". "))</f>
        <v/>
      </c>
      <c r="J2056">
        <f>IF(LEN(INDEX('Providers'!$AJ$4:$AJ$503,53))=0,"",INDEX('Providers'!$AJ$4:$AJ$503,53))</f>
        <v/>
      </c>
      <c r="K2056">
        <f>IF(LEN(INDEX('Providers'!$AI$4:$AI$503,53))=0,"",INDEX('Providers'!$AI$4:$AI$503,53))</f>
        <v/>
      </c>
    </row>
    <row r="2057">
      <c r="A2057">
        <f>IF(AND(LEN('Providers'!A57)&gt;0,ISNUMBER('Providers'!Q57)),1,0)</f>
        <v/>
      </c>
      <c r="B2057">
        <f>B2056+A2057</f>
        <v/>
      </c>
      <c r="C2057">
        <f>IF(2054&gt;$B$4503,"",MATCH(2054-0.5,$B$3:$B$4503,1))</f>
        <v/>
      </c>
      <c r="D2057">
        <f>"Malpractice insurance – "&amp;IF(LEN(INDEX('Providers'!$A$4:$A$503,54))=0,"",INDEX('Providers'!$A$4:$A$503,54))</f>
        <v/>
      </c>
      <c r="E2057">
        <f>IF(ISNUMBER(INDEX('Providers'!$Q$4:$Q$503,54)),TEXT(INDEX('Providers'!$Q$4:$Q$503,54),"yyyy-mm-dd"),"")</f>
        <v/>
      </c>
      <c r="F2057">
        <f>"Insurance"</f>
        <v/>
      </c>
      <c r="G2057">
        <f>""</f>
        <v/>
      </c>
      <c r="H2057">
        <f>"High"</f>
        <v/>
      </c>
      <c r="I2057">
        <f>TRIM(IF(LEN(IF(LEN(INDEX('Providers'!$N$4:$N$503,54))=0,"",INDEX('Providers'!$N$4:$N$503,54)))=0,"","Carrier: "&amp;IF(LEN(INDEX('Providers'!$N$4:$N$503,54))=0,"",INDEX('Providers'!$N$4:$N$503,54))&amp;". ")&amp;IF(LEN(IF(LEN(INDEX('Providers'!$O$4:$O$503,54))=0,"",INDEX('Providers'!$O$4:$O$503,54)))=0,"","Policy no.: "&amp;IF(LEN(INDEX('Providers'!$O$4:$O$503,54))=0,"",INDEX('Providers'!$O$4:$O$503,54))&amp;". ")&amp;IF(LEN(IF(LEN(INDEX('Providers'!$P$4:$P$503,54))=0,"",INDEX('Providers'!$P$4:$P$503,54)))=0,"","Coverage form: "&amp;IF(LEN(INDEX('Providers'!$P$4:$P$503,54))=0,"",INDEX('Providers'!$P$4:$P$503,54))&amp;". "))</f>
        <v/>
      </c>
      <c r="J2057">
        <f>IF(LEN(INDEX('Providers'!$AJ$4:$AJ$503,54))=0,"",INDEX('Providers'!$AJ$4:$AJ$503,54))</f>
        <v/>
      </c>
      <c r="K2057">
        <f>IF(LEN(INDEX('Providers'!$AI$4:$AI$503,54))=0,"",INDEX('Providers'!$AI$4:$AI$503,54))</f>
        <v/>
      </c>
    </row>
    <row r="2058">
      <c r="A2058">
        <f>IF(AND(LEN('Providers'!A58)&gt;0,ISNUMBER('Providers'!Q58)),1,0)</f>
        <v/>
      </c>
      <c r="B2058">
        <f>B2057+A2058</f>
        <v/>
      </c>
      <c r="C2058">
        <f>IF(2055&gt;$B$4503,"",MATCH(2055-0.5,$B$3:$B$4503,1))</f>
        <v/>
      </c>
      <c r="D2058">
        <f>"Malpractice insurance – "&amp;IF(LEN(INDEX('Providers'!$A$4:$A$503,55))=0,"",INDEX('Providers'!$A$4:$A$503,55))</f>
        <v/>
      </c>
      <c r="E2058">
        <f>IF(ISNUMBER(INDEX('Providers'!$Q$4:$Q$503,55)),TEXT(INDEX('Providers'!$Q$4:$Q$503,55),"yyyy-mm-dd"),"")</f>
        <v/>
      </c>
      <c r="F2058">
        <f>"Insurance"</f>
        <v/>
      </c>
      <c r="G2058">
        <f>""</f>
        <v/>
      </c>
      <c r="H2058">
        <f>"High"</f>
        <v/>
      </c>
      <c r="I2058">
        <f>TRIM(IF(LEN(IF(LEN(INDEX('Providers'!$N$4:$N$503,55))=0,"",INDEX('Providers'!$N$4:$N$503,55)))=0,"","Carrier: "&amp;IF(LEN(INDEX('Providers'!$N$4:$N$503,55))=0,"",INDEX('Providers'!$N$4:$N$503,55))&amp;". ")&amp;IF(LEN(IF(LEN(INDEX('Providers'!$O$4:$O$503,55))=0,"",INDEX('Providers'!$O$4:$O$503,55)))=0,"","Policy no.: "&amp;IF(LEN(INDEX('Providers'!$O$4:$O$503,55))=0,"",INDEX('Providers'!$O$4:$O$503,55))&amp;". ")&amp;IF(LEN(IF(LEN(INDEX('Providers'!$P$4:$P$503,55))=0,"",INDEX('Providers'!$P$4:$P$503,55)))=0,"","Coverage form: "&amp;IF(LEN(INDEX('Providers'!$P$4:$P$503,55))=0,"",INDEX('Providers'!$P$4:$P$503,55))&amp;". "))</f>
        <v/>
      </c>
      <c r="J2058">
        <f>IF(LEN(INDEX('Providers'!$AJ$4:$AJ$503,55))=0,"",INDEX('Providers'!$AJ$4:$AJ$503,55))</f>
        <v/>
      </c>
      <c r="K2058">
        <f>IF(LEN(INDEX('Providers'!$AI$4:$AI$503,55))=0,"",INDEX('Providers'!$AI$4:$AI$503,55))</f>
        <v/>
      </c>
    </row>
    <row r="2059">
      <c r="A2059">
        <f>IF(AND(LEN('Providers'!A59)&gt;0,ISNUMBER('Providers'!Q59)),1,0)</f>
        <v/>
      </c>
      <c r="B2059">
        <f>B2058+A2059</f>
        <v/>
      </c>
      <c r="C2059">
        <f>IF(2056&gt;$B$4503,"",MATCH(2056-0.5,$B$3:$B$4503,1))</f>
        <v/>
      </c>
      <c r="D2059">
        <f>"Malpractice insurance – "&amp;IF(LEN(INDEX('Providers'!$A$4:$A$503,56))=0,"",INDEX('Providers'!$A$4:$A$503,56))</f>
        <v/>
      </c>
      <c r="E2059">
        <f>IF(ISNUMBER(INDEX('Providers'!$Q$4:$Q$503,56)),TEXT(INDEX('Providers'!$Q$4:$Q$503,56),"yyyy-mm-dd"),"")</f>
        <v/>
      </c>
      <c r="F2059">
        <f>"Insurance"</f>
        <v/>
      </c>
      <c r="G2059">
        <f>""</f>
        <v/>
      </c>
      <c r="H2059">
        <f>"High"</f>
        <v/>
      </c>
      <c r="I2059">
        <f>TRIM(IF(LEN(IF(LEN(INDEX('Providers'!$N$4:$N$503,56))=0,"",INDEX('Providers'!$N$4:$N$503,56)))=0,"","Carrier: "&amp;IF(LEN(INDEX('Providers'!$N$4:$N$503,56))=0,"",INDEX('Providers'!$N$4:$N$503,56))&amp;". ")&amp;IF(LEN(IF(LEN(INDEX('Providers'!$O$4:$O$503,56))=0,"",INDEX('Providers'!$O$4:$O$503,56)))=0,"","Policy no.: "&amp;IF(LEN(INDEX('Providers'!$O$4:$O$503,56))=0,"",INDEX('Providers'!$O$4:$O$503,56))&amp;". ")&amp;IF(LEN(IF(LEN(INDEX('Providers'!$P$4:$P$503,56))=0,"",INDEX('Providers'!$P$4:$P$503,56)))=0,"","Coverage form: "&amp;IF(LEN(INDEX('Providers'!$P$4:$P$503,56))=0,"",INDEX('Providers'!$P$4:$P$503,56))&amp;". "))</f>
        <v/>
      </c>
      <c r="J2059">
        <f>IF(LEN(INDEX('Providers'!$AJ$4:$AJ$503,56))=0,"",INDEX('Providers'!$AJ$4:$AJ$503,56))</f>
        <v/>
      </c>
      <c r="K2059">
        <f>IF(LEN(INDEX('Providers'!$AI$4:$AI$503,56))=0,"",INDEX('Providers'!$AI$4:$AI$503,56))</f>
        <v/>
      </c>
    </row>
    <row r="2060">
      <c r="A2060">
        <f>IF(AND(LEN('Providers'!A60)&gt;0,ISNUMBER('Providers'!Q60)),1,0)</f>
        <v/>
      </c>
      <c r="B2060">
        <f>B2059+A2060</f>
        <v/>
      </c>
      <c r="C2060">
        <f>IF(2057&gt;$B$4503,"",MATCH(2057-0.5,$B$3:$B$4503,1))</f>
        <v/>
      </c>
      <c r="D2060">
        <f>"Malpractice insurance – "&amp;IF(LEN(INDEX('Providers'!$A$4:$A$503,57))=0,"",INDEX('Providers'!$A$4:$A$503,57))</f>
        <v/>
      </c>
      <c r="E2060">
        <f>IF(ISNUMBER(INDEX('Providers'!$Q$4:$Q$503,57)),TEXT(INDEX('Providers'!$Q$4:$Q$503,57),"yyyy-mm-dd"),"")</f>
        <v/>
      </c>
      <c r="F2060">
        <f>"Insurance"</f>
        <v/>
      </c>
      <c r="G2060">
        <f>""</f>
        <v/>
      </c>
      <c r="H2060">
        <f>"High"</f>
        <v/>
      </c>
      <c r="I2060">
        <f>TRIM(IF(LEN(IF(LEN(INDEX('Providers'!$N$4:$N$503,57))=0,"",INDEX('Providers'!$N$4:$N$503,57)))=0,"","Carrier: "&amp;IF(LEN(INDEX('Providers'!$N$4:$N$503,57))=0,"",INDEX('Providers'!$N$4:$N$503,57))&amp;". ")&amp;IF(LEN(IF(LEN(INDEX('Providers'!$O$4:$O$503,57))=0,"",INDEX('Providers'!$O$4:$O$503,57)))=0,"","Policy no.: "&amp;IF(LEN(INDEX('Providers'!$O$4:$O$503,57))=0,"",INDEX('Providers'!$O$4:$O$503,57))&amp;". ")&amp;IF(LEN(IF(LEN(INDEX('Providers'!$P$4:$P$503,57))=0,"",INDEX('Providers'!$P$4:$P$503,57)))=0,"","Coverage form: "&amp;IF(LEN(INDEX('Providers'!$P$4:$P$503,57))=0,"",INDEX('Providers'!$P$4:$P$503,57))&amp;". "))</f>
        <v/>
      </c>
      <c r="J2060">
        <f>IF(LEN(INDEX('Providers'!$AJ$4:$AJ$503,57))=0,"",INDEX('Providers'!$AJ$4:$AJ$503,57))</f>
        <v/>
      </c>
      <c r="K2060">
        <f>IF(LEN(INDEX('Providers'!$AI$4:$AI$503,57))=0,"",INDEX('Providers'!$AI$4:$AI$503,57))</f>
        <v/>
      </c>
    </row>
    <row r="2061">
      <c r="A2061">
        <f>IF(AND(LEN('Providers'!A61)&gt;0,ISNUMBER('Providers'!Q61)),1,0)</f>
        <v/>
      </c>
      <c r="B2061">
        <f>B2060+A2061</f>
        <v/>
      </c>
      <c r="C2061">
        <f>IF(2058&gt;$B$4503,"",MATCH(2058-0.5,$B$3:$B$4503,1))</f>
        <v/>
      </c>
      <c r="D2061">
        <f>"Malpractice insurance – "&amp;IF(LEN(INDEX('Providers'!$A$4:$A$503,58))=0,"",INDEX('Providers'!$A$4:$A$503,58))</f>
        <v/>
      </c>
      <c r="E2061">
        <f>IF(ISNUMBER(INDEX('Providers'!$Q$4:$Q$503,58)),TEXT(INDEX('Providers'!$Q$4:$Q$503,58),"yyyy-mm-dd"),"")</f>
        <v/>
      </c>
      <c r="F2061">
        <f>"Insurance"</f>
        <v/>
      </c>
      <c r="G2061">
        <f>""</f>
        <v/>
      </c>
      <c r="H2061">
        <f>"High"</f>
        <v/>
      </c>
      <c r="I2061">
        <f>TRIM(IF(LEN(IF(LEN(INDEX('Providers'!$N$4:$N$503,58))=0,"",INDEX('Providers'!$N$4:$N$503,58)))=0,"","Carrier: "&amp;IF(LEN(INDEX('Providers'!$N$4:$N$503,58))=0,"",INDEX('Providers'!$N$4:$N$503,58))&amp;". ")&amp;IF(LEN(IF(LEN(INDEX('Providers'!$O$4:$O$503,58))=0,"",INDEX('Providers'!$O$4:$O$503,58)))=0,"","Policy no.: "&amp;IF(LEN(INDEX('Providers'!$O$4:$O$503,58))=0,"",INDEX('Providers'!$O$4:$O$503,58))&amp;". ")&amp;IF(LEN(IF(LEN(INDEX('Providers'!$P$4:$P$503,58))=0,"",INDEX('Providers'!$P$4:$P$503,58)))=0,"","Coverage form: "&amp;IF(LEN(INDEX('Providers'!$P$4:$P$503,58))=0,"",INDEX('Providers'!$P$4:$P$503,58))&amp;". "))</f>
        <v/>
      </c>
      <c r="J2061">
        <f>IF(LEN(INDEX('Providers'!$AJ$4:$AJ$503,58))=0,"",INDEX('Providers'!$AJ$4:$AJ$503,58))</f>
        <v/>
      </c>
      <c r="K2061">
        <f>IF(LEN(INDEX('Providers'!$AI$4:$AI$503,58))=0,"",INDEX('Providers'!$AI$4:$AI$503,58))</f>
        <v/>
      </c>
    </row>
    <row r="2062">
      <c r="A2062">
        <f>IF(AND(LEN('Providers'!A62)&gt;0,ISNUMBER('Providers'!Q62)),1,0)</f>
        <v/>
      </c>
      <c r="B2062">
        <f>B2061+A2062</f>
        <v/>
      </c>
      <c r="C2062">
        <f>IF(2059&gt;$B$4503,"",MATCH(2059-0.5,$B$3:$B$4503,1))</f>
        <v/>
      </c>
      <c r="D2062">
        <f>"Malpractice insurance – "&amp;IF(LEN(INDEX('Providers'!$A$4:$A$503,59))=0,"",INDEX('Providers'!$A$4:$A$503,59))</f>
        <v/>
      </c>
      <c r="E2062">
        <f>IF(ISNUMBER(INDEX('Providers'!$Q$4:$Q$503,59)),TEXT(INDEX('Providers'!$Q$4:$Q$503,59),"yyyy-mm-dd"),"")</f>
        <v/>
      </c>
      <c r="F2062">
        <f>"Insurance"</f>
        <v/>
      </c>
      <c r="G2062">
        <f>""</f>
        <v/>
      </c>
      <c r="H2062">
        <f>"High"</f>
        <v/>
      </c>
      <c r="I2062">
        <f>TRIM(IF(LEN(IF(LEN(INDEX('Providers'!$N$4:$N$503,59))=0,"",INDEX('Providers'!$N$4:$N$503,59)))=0,"","Carrier: "&amp;IF(LEN(INDEX('Providers'!$N$4:$N$503,59))=0,"",INDEX('Providers'!$N$4:$N$503,59))&amp;". ")&amp;IF(LEN(IF(LEN(INDEX('Providers'!$O$4:$O$503,59))=0,"",INDEX('Providers'!$O$4:$O$503,59)))=0,"","Policy no.: "&amp;IF(LEN(INDEX('Providers'!$O$4:$O$503,59))=0,"",INDEX('Providers'!$O$4:$O$503,59))&amp;". ")&amp;IF(LEN(IF(LEN(INDEX('Providers'!$P$4:$P$503,59))=0,"",INDEX('Providers'!$P$4:$P$503,59)))=0,"","Coverage form: "&amp;IF(LEN(INDEX('Providers'!$P$4:$P$503,59))=0,"",INDEX('Providers'!$P$4:$P$503,59))&amp;". "))</f>
        <v/>
      </c>
      <c r="J2062">
        <f>IF(LEN(INDEX('Providers'!$AJ$4:$AJ$503,59))=0,"",INDEX('Providers'!$AJ$4:$AJ$503,59))</f>
        <v/>
      </c>
      <c r="K2062">
        <f>IF(LEN(INDEX('Providers'!$AI$4:$AI$503,59))=0,"",INDEX('Providers'!$AI$4:$AI$503,59))</f>
        <v/>
      </c>
    </row>
    <row r="2063">
      <c r="A2063">
        <f>IF(AND(LEN('Providers'!A63)&gt;0,ISNUMBER('Providers'!Q63)),1,0)</f>
        <v/>
      </c>
      <c r="B2063">
        <f>B2062+A2063</f>
        <v/>
      </c>
      <c r="C2063">
        <f>IF(2060&gt;$B$4503,"",MATCH(2060-0.5,$B$3:$B$4503,1))</f>
        <v/>
      </c>
      <c r="D2063">
        <f>"Malpractice insurance – "&amp;IF(LEN(INDEX('Providers'!$A$4:$A$503,60))=0,"",INDEX('Providers'!$A$4:$A$503,60))</f>
        <v/>
      </c>
      <c r="E2063">
        <f>IF(ISNUMBER(INDEX('Providers'!$Q$4:$Q$503,60)),TEXT(INDEX('Providers'!$Q$4:$Q$503,60),"yyyy-mm-dd"),"")</f>
        <v/>
      </c>
      <c r="F2063">
        <f>"Insurance"</f>
        <v/>
      </c>
      <c r="G2063">
        <f>""</f>
        <v/>
      </c>
      <c r="H2063">
        <f>"High"</f>
        <v/>
      </c>
      <c r="I2063">
        <f>TRIM(IF(LEN(IF(LEN(INDEX('Providers'!$N$4:$N$503,60))=0,"",INDEX('Providers'!$N$4:$N$503,60)))=0,"","Carrier: "&amp;IF(LEN(INDEX('Providers'!$N$4:$N$503,60))=0,"",INDEX('Providers'!$N$4:$N$503,60))&amp;". ")&amp;IF(LEN(IF(LEN(INDEX('Providers'!$O$4:$O$503,60))=0,"",INDEX('Providers'!$O$4:$O$503,60)))=0,"","Policy no.: "&amp;IF(LEN(INDEX('Providers'!$O$4:$O$503,60))=0,"",INDEX('Providers'!$O$4:$O$503,60))&amp;". ")&amp;IF(LEN(IF(LEN(INDEX('Providers'!$P$4:$P$503,60))=0,"",INDEX('Providers'!$P$4:$P$503,60)))=0,"","Coverage form: "&amp;IF(LEN(INDEX('Providers'!$P$4:$P$503,60))=0,"",INDEX('Providers'!$P$4:$P$503,60))&amp;". "))</f>
        <v/>
      </c>
      <c r="J2063">
        <f>IF(LEN(INDEX('Providers'!$AJ$4:$AJ$503,60))=0,"",INDEX('Providers'!$AJ$4:$AJ$503,60))</f>
        <v/>
      </c>
      <c r="K2063">
        <f>IF(LEN(INDEX('Providers'!$AI$4:$AI$503,60))=0,"",INDEX('Providers'!$AI$4:$AI$503,60))</f>
        <v/>
      </c>
    </row>
    <row r="2064">
      <c r="A2064">
        <f>IF(AND(LEN('Providers'!A64)&gt;0,ISNUMBER('Providers'!Q64)),1,0)</f>
        <v/>
      </c>
      <c r="B2064">
        <f>B2063+A2064</f>
        <v/>
      </c>
      <c r="C2064">
        <f>IF(2061&gt;$B$4503,"",MATCH(2061-0.5,$B$3:$B$4503,1))</f>
        <v/>
      </c>
      <c r="D2064">
        <f>"Malpractice insurance – "&amp;IF(LEN(INDEX('Providers'!$A$4:$A$503,61))=0,"",INDEX('Providers'!$A$4:$A$503,61))</f>
        <v/>
      </c>
      <c r="E2064">
        <f>IF(ISNUMBER(INDEX('Providers'!$Q$4:$Q$503,61)),TEXT(INDEX('Providers'!$Q$4:$Q$503,61),"yyyy-mm-dd"),"")</f>
        <v/>
      </c>
      <c r="F2064">
        <f>"Insurance"</f>
        <v/>
      </c>
      <c r="G2064">
        <f>""</f>
        <v/>
      </c>
      <c r="H2064">
        <f>"High"</f>
        <v/>
      </c>
      <c r="I2064">
        <f>TRIM(IF(LEN(IF(LEN(INDEX('Providers'!$N$4:$N$503,61))=0,"",INDEX('Providers'!$N$4:$N$503,61)))=0,"","Carrier: "&amp;IF(LEN(INDEX('Providers'!$N$4:$N$503,61))=0,"",INDEX('Providers'!$N$4:$N$503,61))&amp;". ")&amp;IF(LEN(IF(LEN(INDEX('Providers'!$O$4:$O$503,61))=0,"",INDEX('Providers'!$O$4:$O$503,61)))=0,"","Policy no.: "&amp;IF(LEN(INDEX('Providers'!$O$4:$O$503,61))=0,"",INDEX('Providers'!$O$4:$O$503,61))&amp;". ")&amp;IF(LEN(IF(LEN(INDEX('Providers'!$P$4:$P$503,61))=0,"",INDEX('Providers'!$P$4:$P$503,61)))=0,"","Coverage form: "&amp;IF(LEN(INDEX('Providers'!$P$4:$P$503,61))=0,"",INDEX('Providers'!$P$4:$P$503,61))&amp;". "))</f>
        <v/>
      </c>
      <c r="J2064">
        <f>IF(LEN(INDEX('Providers'!$AJ$4:$AJ$503,61))=0,"",INDEX('Providers'!$AJ$4:$AJ$503,61))</f>
        <v/>
      </c>
      <c r="K2064">
        <f>IF(LEN(INDEX('Providers'!$AI$4:$AI$503,61))=0,"",INDEX('Providers'!$AI$4:$AI$503,61))</f>
        <v/>
      </c>
    </row>
    <row r="2065">
      <c r="A2065">
        <f>IF(AND(LEN('Providers'!A65)&gt;0,ISNUMBER('Providers'!Q65)),1,0)</f>
        <v/>
      </c>
      <c r="B2065">
        <f>B2064+A2065</f>
        <v/>
      </c>
      <c r="C2065">
        <f>IF(2062&gt;$B$4503,"",MATCH(2062-0.5,$B$3:$B$4503,1))</f>
        <v/>
      </c>
      <c r="D2065">
        <f>"Malpractice insurance – "&amp;IF(LEN(INDEX('Providers'!$A$4:$A$503,62))=0,"",INDEX('Providers'!$A$4:$A$503,62))</f>
        <v/>
      </c>
      <c r="E2065">
        <f>IF(ISNUMBER(INDEX('Providers'!$Q$4:$Q$503,62)),TEXT(INDEX('Providers'!$Q$4:$Q$503,62),"yyyy-mm-dd"),"")</f>
        <v/>
      </c>
      <c r="F2065">
        <f>"Insurance"</f>
        <v/>
      </c>
      <c r="G2065">
        <f>""</f>
        <v/>
      </c>
      <c r="H2065">
        <f>"High"</f>
        <v/>
      </c>
      <c r="I2065">
        <f>TRIM(IF(LEN(IF(LEN(INDEX('Providers'!$N$4:$N$503,62))=0,"",INDEX('Providers'!$N$4:$N$503,62)))=0,"","Carrier: "&amp;IF(LEN(INDEX('Providers'!$N$4:$N$503,62))=0,"",INDEX('Providers'!$N$4:$N$503,62))&amp;". ")&amp;IF(LEN(IF(LEN(INDEX('Providers'!$O$4:$O$503,62))=0,"",INDEX('Providers'!$O$4:$O$503,62)))=0,"","Policy no.: "&amp;IF(LEN(INDEX('Providers'!$O$4:$O$503,62))=0,"",INDEX('Providers'!$O$4:$O$503,62))&amp;". ")&amp;IF(LEN(IF(LEN(INDEX('Providers'!$P$4:$P$503,62))=0,"",INDEX('Providers'!$P$4:$P$503,62)))=0,"","Coverage form: "&amp;IF(LEN(INDEX('Providers'!$P$4:$P$503,62))=0,"",INDEX('Providers'!$P$4:$P$503,62))&amp;". "))</f>
        <v/>
      </c>
      <c r="J2065">
        <f>IF(LEN(INDEX('Providers'!$AJ$4:$AJ$503,62))=0,"",INDEX('Providers'!$AJ$4:$AJ$503,62))</f>
        <v/>
      </c>
      <c r="K2065">
        <f>IF(LEN(INDEX('Providers'!$AI$4:$AI$503,62))=0,"",INDEX('Providers'!$AI$4:$AI$503,62))</f>
        <v/>
      </c>
    </row>
    <row r="2066">
      <c r="A2066">
        <f>IF(AND(LEN('Providers'!A66)&gt;0,ISNUMBER('Providers'!Q66)),1,0)</f>
        <v/>
      </c>
      <c r="B2066">
        <f>B2065+A2066</f>
        <v/>
      </c>
      <c r="C2066">
        <f>IF(2063&gt;$B$4503,"",MATCH(2063-0.5,$B$3:$B$4503,1))</f>
        <v/>
      </c>
      <c r="D2066">
        <f>"Malpractice insurance – "&amp;IF(LEN(INDEX('Providers'!$A$4:$A$503,63))=0,"",INDEX('Providers'!$A$4:$A$503,63))</f>
        <v/>
      </c>
      <c r="E2066">
        <f>IF(ISNUMBER(INDEX('Providers'!$Q$4:$Q$503,63)),TEXT(INDEX('Providers'!$Q$4:$Q$503,63),"yyyy-mm-dd"),"")</f>
        <v/>
      </c>
      <c r="F2066">
        <f>"Insurance"</f>
        <v/>
      </c>
      <c r="G2066">
        <f>""</f>
        <v/>
      </c>
      <c r="H2066">
        <f>"High"</f>
        <v/>
      </c>
      <c r="I2066">
        <f>TRIM(IF(LEN(IF(LEN(INDEX('Providers'!$N$4:$N$503,63))=0,"",INDEX('Providers'!$N$4:$N$503,63)))=0,"","Carrier: "&amp;IF(LEN(INDEX('Providers'!$N$4:$N$503,63))=0,"",INDEX('Providers'!$N$4:$N$503,63))&amp;". ")&amp;IF(LEN(IF(LEN(INDEX('Providers'!$O$4:$O$503,63))=0,"",INDEX('Providers'!$O$4:$O$503,63)))=0,"","Policy no.: "&amp;IF(LEN(INDEX('Providers'!$O$4:$O$503,63))=0,"",INDEX('Providers'!$O$4:$O$503,63))&amp;". ")&amp;IF(LEN(IF(LEN(INDEX('Providers'!$P$4:$P$503,63))=0,"",INDEX('Providers'!$P$4:$P$503,63)))=0,"","Coverage form: "&amp;IF(LEN(INDEX('Providers'!$P$4:$P$503,63))=0,"",INDEX('Providers'!$P$4:$P$503,63))&amp;". "))</f>
        <v/>
      </c>
      <c r="J2066">
        <f>IF(LEN(INDEX('Providers'!$AJ$4:$AJ$503,63))=0,"",INDEX('Providers'!$AJ$4:$AJ$503,63))</f>
        <v/>
      </c>
      <c r="K2066">
        <f>IF(LEN(INDEX('Providers'!$AI$4:$AI$503,63))=0,"",INDEX('Providers'!$AI$4:$AI$503,63))</f>
        <v/>
      </c>
    </row>
    <row r="2067">
      <c r="A2067">
        <f>IF(AND(LEN('Providers'!A67)&gt;0,ISNUMBER('Providers'!Q67)),1,0)</f>
        <v/>
      </c>
      <c r="B2067">
        <f>B2066+A2067</f>
        <v/>
      </c>
      <c r="C2067">
        <f>IF(2064&gt;$B$4503,"",MATCH(2064-0.5,$B$3:$B$4503,1))</f>
        <v/>
      </c>
      <c r="D2067">
        <f>"Malpractice insurance – "&amp;IF(LEN(INDEX('Providers'!$A$4:$A$503,64))=0,"",INDEX('Providers'!$A$4:$A$503,64))</f>
        <v/>
      </c>
      <c r="E2067">
        <f>IF(ISNUMBER(INDEX('Providers'!$Q$4:$Q$503,64)),TEXT(INDEX('Providers'!$Q$4:$Q$503,64),"yyyy-mm-dd"),"")</f>
        <v/>
      </c>
      <c r="F2067">
        <f>"Insurance"</f>
        <v/>
      </c>
      <c r="G2067">
        <f>""</f>
        <v/>
      </c>
      <c r="H2067">
        <f>"High"</f>
        <v/>
      </c>
      <c r="I2067">
        <f>TRIM(IF(LEN(IF(LEN(INDEX('Providers'!$N$4:$N$503,64))=0,"",INDEX('Providers'!$N$4:$N$503,64)))=0,"","Carrier: "&amp;IF(LEN(INDEX('Providers'!$N$4:$N$503,64))=0,"",INDEX('Providers'!$N$4:$N$503,64))&amp;". ")&amp;IF(LEN(IF(LEN(INDEX('Providers'!$O$4:$O$503,64))=0,"",INDEX('Providers'!$O$4:$O$503,64)))=0,"","Policy no.: "&amp;IF(LEN(INDEX('Providers'!$O$4:$O$503,64))=0,"",INDEX('Providers'!$O$4:$O$503,64))&amp;". ")&amp;IF(LEN(IF(LEN(INDEX('Providers'!$P$4:$P$503,64))=0,"",INDEX('Providers'!$P$4:$P$503,64)))=0,"","Coverage form: "&amp;IF(LEN(INDEX('Providers'!$P$4:$P$503,64))=0,"",INDEX('Providers'!$P$4:$P$503,64))&amp;". "))</f>
        <v/>
      </c>
      <c r="J2067">
        <f>IF(LEN(INDEX('Providers'!$AJ$4:$AJ$503,64))=0,"",INDEX('Providers'!$AJ$4:$AJ$503,64))</f>
        <v/>
      </c>
      <c r="K2067">
        <f>IF(LEN(INDEX('Providers'!$AI$4:$AI$503,64))=0,"",INDEX('Providers'!$AI$4:$AI$503,64))</f>
        <v/>
      </c>
    </row>
    <row r="2068">
      <c r="A2068">
        <f>IF(AND(LEN('Providers'!A68)&gt;0,ISNUMBER('Providers'!Q68)),1,0)</f>
        <v/>
      </c>
      <c r="B2068">
        <f>B2067+A2068</f>
        <v/>
      </c>
      <c r="C2068">
        <f>IF(2065&gt;$B$4503,"",MATCH(2065-0.5,$B$3:$B$4503,1))</f>
        <v/>
      </c>
      <c r="D2068">
        <f>"Malpractice insurance – "&amp;IF(LEN(INDEX('Providers'!$A$4:$A$503,65))=0,"",INDEX('Providers'!$A$4:$A$503,65))</f>
        <v/>
      </c>
      <c r="E2068">
        <f>IF(ISNUMBER(INDEX('Providers'!$Q$4:$Q$503,65)),TEXT(INDEX('Providers'!$Q$4:$Q$503,65),"yyyy-mm-dd"),"")</f>
        <v/>
      </c>
      <c r="F2068">
        <f>"Insurance"</f>
        <v/>
      </c>
      <c r="G2068">
        <f>""</f>
        <v/>
      </c>
      <c r="H2068">
        <f>"High"</f>
        <v/>
      </c>
      <c r="I2068">
        <f>TRIM(IF(LEN(IF(LEN(INDEX('Providers'!$N$4:$N$503,65))=0,"",INDEX('Providers'!$N$4:$N$503,65)))=0,"","Carrier: "&amp;IF(LEN(INDEX('Providers'!$N$4:$N$503,65))=0,"",INDEX('Providers'!$N$4:$N$503,65))&amp;". ")&amp;IF(LEN(IF(LEN(INDEX('Providers'!$O$4:$O$503,65))=0,"",INDEX('Providers'!$O$4:$O$503,65)))=0,"","Policy no.: "&amp;IF(LEN(INDEX('Providers'!$O$4:$O$503,65))=0,"",INDEX('Providers'!$O$4:$O$503,65))&amp;". ")&amp;IF(LEN(IF(LEN(INDEX('Providers'!$P$4:$P$503,65))=0,"",INDEX('Providers'!$P$4:$P$503,65)))=0,"","Coverage form: "&amp;IF(LEN(INDEX('Providers'!$P$4:$P$503,65))=0,"",INDEX('Providers'!$P$4:$P$503,65))&amp;". "))</f>
        <v/>
      </c>
      <c r="J2068">
        <f>IF(LEN(INDEX('Providers'!$AJ$4:$AJ$503,65))=0,"",INDEX('Providers'!$AJ$4:$AJ$503,65))</f>
        <v/>
      </c>
      <c r="K2068">
        <f>IF(LEN(INDEX('Providers'!$AI$4:$AI$503,65))=0,"",INDEX('Providers'!$AI$4:$AI$503,65))</f>
        <v/>
      </c>
    </row>
    <row r="2069">
      <c r="A2069">
        <f>IF(AND(LEN('Providers'!A69)&gt;0,ISNUMBER('Providers'!Q69)),1,0)</f>
        <v/>
      </c>
      <c r="B2069">
        <f>B2068+A2069</f>
        <v/>
      </c>
      <c r="C2069">
        <f>IF(2066&gt;$B$4503,"",MATCH(2066-0.5,$B$3:$B$4503,1))</f>
        <v/>
      </c>
      <c r="D2069">
        <f>"Malpractice insurance – "&amp;IF(LEN(INDEX('Providers'!$A$4:$A$503,66))=0,"",INDEX('Providers'!$A$4:$A$503,66))</f>
        <v/>
      </c>
      <c r="E2069">
        <f>IF(ISNUMBER(INDEX('Providers'!$Q$4:$Q$503,66)),TEXT(INDEX('Providers'!$Q$4:$Q$503,66),"yyyy-mm-dd"),"")</f>
        <v/>
      </c>
      <c r="F2069">
        <f>"Insurance"</f>
        <v/>
      </c>
      <c r="G2069">
        <f>""</f>
        <v/>
      </c>
      <c r="H2069">
        <f>"High"</f>
        <v/>
      </c>
      <c r="I2069">
        <f>TRIM(IF(LEN(IF(LEN(INDEX('Providers'!$N$4:$N$503,66))=0,"",INDEX('Providers'!$N$4:$N$503,66)))=0,"","Carrier: "&amp;IF(LEN(INDEX('Providers'!$N$4:$N$503,66))=0,"",INDEX('Providers'!$N$4:$N$503,66))&amp;". ")&amp;IF(LEN(IF(LEN(INDEX('Providers'!$O$4:$O$503,66))=0,"",INDEX('Providers'!$O$4:$O$503,66)))=0,"","Policy no.: "&amp;IF(LEN(INDEX('Providers'!$O$4:$O$503,66))=0,"",INDEX('Providers'!$O$4:$O$503,66))&amp;". ")&amp;IF(LEN(IF(LEN(INDEX('Providers'!$P$4:$P$503,66))=0,"",INDEX('Providers'!$P$4:$P$503,66)))=0,"","Coverage form: "&amp;IF(LEN(INDEX('Providers'!$P$4:$P$503,66))=0,"",INDEX('Providers'!$P$4:$P$503,66))&amp;". "))</f>
        <v/>
      </c>
      <c r="J2069">
        <f>IF(LEN(INDEX('Providers'!$AJ$4:$AJ$503,66))=0,"",INDEX('Providers'!$AJ$4:$AJ$503,66))</f>
        <v/>
      </c>
      <c r="K2069">
        <f>IF(LEN(INDEX('Providers'!$AI$4:$AI$503,66))=0,"",INDEX('Providers'!$AI$4:$AI$503,66))</f>
        <v/>
      </c>
    </row>
    <row r="2070">
      <c r="A2070">
        <f>IF(AND(LEN('Providers'!A70)&gt;0,ISNUMBER('Providers'!Q70)),1,0)</f>
        <v/>
      </c>
      <c r="B2070">
        <f>B2069+A2070</f>
        <v/>
      </c>
      <c r="C2070">
        <f>IF(2067&gt;$B$4503,"",MATCH(2067-0.5,$B$3:$B$4503,1))</f>
        <v/>
      </c>
      <c r="D2070">
        <f>"Malpractice insurance – "&amp;IF(LEN(INDEX('Providers'!$A$4:$A$503,67))=0,"",INDEX('Providers'!$A$4:$A$503,67))</f>
        <v/>
      </c>
      <c r="E2070">
        <f>IF(ISNUMBER(INDEX('Providers'!$Q$4:$Q$503,67)),TEXT(INDEX('Providers'!$Q$4:$Q$503,67),"yyyy-mm-dd"),"")</f>
        <v/>
      </c>
      <c r="F2070">
        <f>"Insurance"</f>
        <v/>
      </c>
      <c r="G2070">
        <f>""</f>
        <v/>
      </c>
      <c r="H2070">
        <f>"High"</f>
        <v/>
      </c>
      <c r="I2070">
        <f>TRIM(IF(LEN(IF(LEN(INDEX('Providers'!$N$4:$N$503,67))=0,"",INDEX('Providers'!$N$4:$N$503,67)))=0,"","Carrier: "&amp;IF(LEN(INDEX('Providers'!$N$4:$N$503,67))=0,"",INDEX('Providers'!$N$4:$N$503,67))&amp;". ")&amp;IF(LEN(IF(LEN(INDEX('Providers'!$O$4:$O$503,67))=0,"",INDEX('Providers'!$O$4:$O$503,67)))=0,"","Policy no.: "&amp;IF(LEN(INDEX('Providers'!$O$4:$O$503,67))=0,"",INDEX('Providers'!$O$4:$O$503,67))&amp;". ")&amp;IF(LEN(IF(LEN(INDEX('Providers'!$P$4:$P$503,67))=0,"",INDEX('Providers'!$P$4:$P$503,67)))=0,"","Coverage form: "&amp;IF(LEN(INDEX('Providers'!$P$4:$P$503,67))=0,"",INDEX('Providers'!$P$4:$P$503,67))&amp;". "))</f>
        <v/>
      </c>
      <c r="J2070">
        <f>IF(LEN(INDEX('Providers'!$AJ$4:$AJ$503,67))=0,"",INDEX('Providers'!$AJ$4:$AJ$503,67))</f>
        <v/>
      </c>
      <c r="K2070">
        <f>IF(LEN(INDEX('Providers'!$AI$4:$AI$503,67))=0,"",INDEX('Providers'!$AI$4:$AI$503,67))</f>
        <v/>
      </c>
    </row>
    <row r="2071">
      <c r="A2071">
        <f>IF(AND(LEN('Providers'!A71)&gt;0,ISNUMBER('Providers'!Q71)),1,0)</f>
        <v/>
      </c>
      <c r="B2071">
        <f>B2070+A2071</f>
        <v/>
      </c>
      <c r="C2071">
        <f>IF(2068&gt;$B$4503,"",MATCH(2068-0.5,$B$3:$B$4503,1))</f>
        <v/>
      </c>
      <c r="D2071">
        <f>"Malpractice insurance – "&amp;IF(LEN(INDEX('Providers'!$A$4:$A$503,68))=0,"",INDEX('Providers'!$A$4:$A$503,68))</f>
        <v/>
      </c>
      <c r="E2071">
        <f>IF(ISNUMBER(INDEX('Providers'!$Q$4:$Q$503,68)),TEXT(INDEX('Providers'!$Q$4:$Q$503,68),"yyyy-mm-dd"),"")</f>
        <v/>
      </c>
      <c r="F2071">
        <f>"Insurance"</f>
        <v/>
      </c>
      <c r="G2071">
        <f>""</f>
        <v/>
      </c>
      <c r="H2071">
        <f>"High"</f>
        <v/>
      </c>
      <c r="I2071">
        <f>TRIM(IF(LEN(IF(LEN(INDEX('Providers'!$N$4:$N$503,68))=0,"",INDEX('Providers'!$N$4:$N$503,68)))=0,"","Carrier: "&amp;IF(LEN(INDEX('Providers'!$N$4:$N$503,68))=0,"",INDEX('Providers'!$N$4:$N$503,68))&amp;". ")&amp;IF(LEN(IF(LEN(INDEX('Providers'!$O$4:$O$503,68))=0,"",INDEX('Providers'!$O$4:$O$503,68)))=0,"","Policy no.: "&amp;IF(LEN(INDEX('Providers'!$O$4:$O$503,68))=0,"",INDEX('Providers'!$O$4:$O$503,68))&amp;". ")&amp;IF(LEN(IF(LEN(INDEX('Providers'!$P$4:$P$503,68))=0,"",INDEX('Providers'!$P$4:$P$503,68)))=0,"","Coverage form: "&amp;IF(LEN(INDEX('Providers'!$P$4:$P$503,68))=0,"",INDEX('Providers'!$P$4:$P$503,68))&amp;". "))</f>
        <v/>
      </c>
      <c r="J2071">
        <f>IF(LEN(INDEX('Providers'!$AJ$4:$AJ$503,68))=0,"",INDEX('Providers'!$AJ$4:$AJ$503,68))</f>
        <v/>
      </c>
      <c r="K2071">
        <f>IF(LEN(INDEX('Providers'!$AI$4:$AI$503,68))=0,"",INDEX('Providers'!$AI$4:$AI$503,68))</f>
        <v/>
      </c>
    </row>
    <row r="2072">
      <c r="A2072">
        <f>IF(AND(LEN('Providers'!A72)&gt;0,ISNUMBER('Providers'!Q72)),1,0)</f>
        <v/>
      </c>
      <c r="B2072">
        <f>B2071+A2072</f>
        <v/>
      </c>
      <c r="C2072">
        <f>IF(2069&gt;$B$4503,"",MATCH(2069-0.5,$B$3:$B$4503,1))</f>
        <v/>
      </c>
      <c r="D2072">
        <f>"Malpractice insurance – "&amp;IF(LEN(INDEX('Providers'!$A$4:$A$503,69))=0,"",INDEX('Providers'!$A$4:$A$503,69))</f>
        <v/>
      </c>
      <c r="E2072">
        <f>IF(ISNUMBER(INDEX('Providers'!$Q$4:$Q$503,69)),TEXT(INDEX('Providers'!$Q$4:$Q$503,69),"yyyy-mm-dd"),"")</f>
        <v/>
      </c>
      <c r="F2072">
        <f>"Insurance"</f>
        <v/>
      </c>
      <c r="G2072">
        <f>""</f>
        <v/>
      </c>
      <c r="H2072">
        <f>"High"</f>
        <v/>
      </c>
      <c r="I2072">
        <f>TRIM(IF(LEN(IF(LEN(INDEX('Providers'!$N$4:$N$503,69))=0,"",INDEX('Providers'!$N$4:$N$503,69)))=0,"","Carrier: "&amp;IF(LEN(INDEX('Providers'!$N$4:$N$503,69))=0,"",INDEX('Providers'!$N$4:$N$503,69))&amp;". ")&amp;IF(LEN(IF(LEN(INDEX('Providers'!$O$4:$O$503,69))=0,"",INDEX('Providers'!$O$4:$O$503,69)))=0,"","Policy no.: "&amp;IF(LEN(INDEX('Providers'!$O$4:$O$503,69))=0,"",INDEX('Providers'!$O$4:$O$503,69))&amp;". ")&amp;IF(LEN(IF(LEN(INDEX('Providers'!$P$4:$P$503,69))=0,"",INDEX('Providers'!$P$4:$P$503,69)))=0,"","Coverage form: "&amp;IF(LEN(INDEX('Providers'!$P$4:$P$503,69))=0,"",INDEX('Providers'!$P$4:$P$503,69))&amp;". "))</f>
        <v/>
      </c>
      <c r="J2072">
        <f>IF(LEN(INDEX('Providers'!$AJ$4:$AJ$503,69))=0,"",INDEX('Providers'!$AJ$4:$AJ$503,69))</f>
        <v/>
      </c>
      <c r="K2072">
        <f>IF(LEN(INDEX('Providers'!$AI$4:$AI$503,69))=0,"",INDEX('Providers'!$AI$4:$AI$503,69))</f>
        <v/>
      </c>
    </row>
    <row r="2073">
      <c r="A2073">
        <f>IF(AND(LEN('Providers'!A73)&gt;0,ISNUMBER('Providers'!Q73)),1,0)</f>
        <v/>
      </c>
      <c r="B2073">
        <f>B2072+A2073</f>
        <v/>
      </c>
      <c r="C2073">
        <f>IF(2070&gt;$B$4503,"",MATCH(2070-0.5,$B$3:$B$4503,1))</f>
        <v/>
      </c>
      <c r="D2073">
        <f>"Malpractice insurance – "&amp;IF(LEN(INDEX('Providers'!$A$4:$A$503,70))=0,"",INDEX('Providers'!$A$4:$A$503,70))</f>
        <v/>
      </c>
      <c r="E2073">
        <f>IF(ISNUMBER(INDEX('Providers'!$Q$4:$Q$503,70)),TEXT(INDEX('Providers'!$Q$4:$Q$503,70),"yyyy-mm-dd"),"")</f>
        <v/>
      </c>
      <c r="F2073">
        <f>"Insurance"</f>
        <v/>
      </c>
      <c r="G2073">
        <f>""</f>
        <v/>
      </c>
      <c r="H2073">
        <f>"High"</f>
        <v/>
      </c>
      <c r="I2073">
        <f>TRIM(IF(LEN(IF(LEN(INDEX('Providers'!$N$4:$N$503,70))=0,"",INDEX('Providers'!$N$4:$N$503,70)))=0,"","Carrier: "&amp;IF(LEN(INDEX('Providers'!$N$4:$N$503,70))=0,"",INDEX('Providers'!$N$4:$N$503,70))&amp;". ")&amp;IF(LEN(IF(LEN(INDEX('Providers'!$O$4:$O$503,70))=0,"",INDEX('Providers'!$O$4:$O$503,70)))=0,"","Policy no.: "&amp;IF(LEN(INDEX('Providers'!$O$4:$O$503,70))=0,"",INDEX('Providers'!$O$4:$O$503,70))&amp;". ")&amp;IF(LEN(IF(LEN(INDEX('Providers'!$P$4:$P$503,70))=0,"",INDEX('Providers'!$P$4:$P$503,70)))=0,"","Coverage form: "&amp;IF(LEN(INDEX('Providers'!$P$4:$P$503,70))=0,"",INDEX('Providers'!$P$4:$P$503,70))&amp;". "))</f>
        <v/>
      </c>
      <c r="J2073">
        <f>IF(LEN(INDEX('Providers'!$AJ$4:$AJ$503,70))=0,"",INDEX('Providers'!$AJ$4:$AJ$503,70))</f>
        <v/>
      </c>
      <c r="K2073">
        <f>IF(LEN(INDEX('Providers'!$AI$4:$AI$503,70))=0,"",INDEX('Providers'!$AI$4:$AI$503,70))</f>
        <v/>
      </c>
    </row>
    <row r="2074">
      <c r="A2074">
        <f>IF(AND(LEN('Providers'!A74)&gt;0,ISNUMBER('Providers'!Q74)),1,0)</f>
        <v/>
      </c>
      <c r="B2074">
        <f>B2073+A2074</f>
        <v/>
      </c>
      <c r="C2074">
        <f>IF(2071&gt;$B$4503,"",MATCH(2071-0.5,$B$3:$B$4503,1))</f>
        <v/>
      </c>
      <c r="D2074">
        <f>"Malpractice insurance – "&amp;IF(LEN(INDEX('Providers'!$A$4:$A$503,71))=0,"",INDEX('Providers'!$A$4:$A$503,71))</f>
        <v/>
      </c>
      <c r="E2074">
        <f>IF(ISNUMBER(INDEX('Providers'!$Q$4:$Q$503,71)),TEXT(INDEX('Providers'!$Q$4:$Q$503,71),"yyyy-mm-dd"),"")</f>
        <v/>
      </c>
      <c r="F2074">
        <f>"Insurance"</f>
        <v/>
      </c>
      <c r="G2074">
        <f>""</f>
        <v/>
      </c>
      <c r="H2074">
        <f>"High"</f>
        <v/>
      </c>
      <c r="I2074">
        <f>TRIM(IF(LEN(IF(LEN(INDEX('Providers'!$N$4:$N$503,71))=0,"",INDEX('Providers'!$N$4:$N$503,71)))=0,"","Carrier: "&amp;IF(LEN(INDEX('Providers'!$N$4:$N$503,71))=0,"",INDEX('Providers'!$N$4:$N$503,71))&amp;". ")&amp;IF(LEN(IF(LEN(INDEX('Providers'!$O$4:$O$503,71))=0,"",INDEX('Providers'!$O$4:$O$503,71)))=0,"","Policy no.: "&amp;IF(LEN(INDEX('Providers'!$O$4:$O$503,71))=0,"",INDEX('Providers'!$O$4:$O$503,71))&amp;". ")&amp;IF(LEN(IF(LEN(INDEX('Providers'!$P$4:$P$503,71))=0,"",INDEX('Providers'!$P$4:$P$503,71)))=0,"","Coverage form: "&amp;IF(LEN(INDEX('Providers'!$P$4:$P$503,71))=0,"",INDEX('Providers'!$P$4:$P$503,71))&amp;". "))</f>
        <v/>
      </c>
      <c r="J2074">
        <f>IF(LEN(INDEX('Providers'!$AJ$4:$AJ$503,71))=0,"",INDEX('Providers'!$AJ$4:$AJ$503,71))</f>
        <v/>
      </c>
      <c r="K2074">
        <f>IF(LEN(INDEX('Providers'!$AI$4:$AI$503,71))=0,"",INDEX('Providers'!$AI$4:$AI$503,71))</f>
        <v/>
      </c>
    </row>
    <row r="2075">
      <c r="A2075">
        <f>IF(AND(LEN('Providers'!A75)&gt;0,ISNUMBER('Providers'!Q75)),1,0)</f>
        <v/>
      </c>
      <c r="B2075">
        <f>B2074+A2075</f>
        <v/>
      </c>
      <c r="C2075">
        <f>IF(2072&gt;$B$4503,"",MATCH(2072-0.5,$B$3:$B$4503,1))</f>
        <v/>
      </c>
      <c r="D2075">
        <f>"Malpractice insurance – "&amp;IF(LEN(INDEX('Providers'!$A$4:$A$503,72))=0,"",INDEX('Providers'!$A$4:$A$503,72))</f>
        <v/>
      </c>
      <c r="E2075">
        <f>IF(ISNUMBER(INDEX('Providers'!$Q$4:$Q$503,72)),TEXT(INDEX('Providers'!$Q$4:$Q$503,72),"yyyy-mm-dd"),"")</f>
        <v/>
      </c>
      <c r="F2075">
        <f>"Insurance"</f>
        <v/>
      </c>
      <c r="G2075">
        <f>""</f>
        <v/>
      </c>
      <c r="H2075">
        <f>"High"</f>
        <v/>
      </c>
      <c r="I2075">
        <f>TRIM(IF(LEN(IF(LEN(INDEX('Providers'!$N$4:$N$503,72))=0,"",INDEX('Providers'!$N$4:$N$503,72)))=0,"","Carrier: "&amp;IF(LEN(INDEX('Providers'!$N$4:$N$503,72))=0,"",INDEX('Providers'!$N$4:$N$503,72))&amp;". ")&amp;IF(LEN(IF(LEN(INDEX('Providers'!$O$4:$O$503,72))=0,"",INDEX('Providers'!$O$4:$O$503,72)))=0,"","Policy no.: "&amp;IF(LEN(INDEX('Providers'!$O$4:$O$503,72))=0,"",INDEX('Providers'!$O$4:$O$503,72))&amp;". ")&amp;IF(LEN(IF(LEN(INDEX('Providers'!$P$4:$P$503,72))=0,"",INDEX('Providers'!$P$4:$P$503,72)))=0,"","Coverage form: "&amp;IF(LEN(INDEX('Providers'!$P$4:$P$503,72))=0,"",INDEX('Providers'!$P$4:$P$503,72))&amp;". "))</f>
        <v/>
      </c>
      <c r="J2075">
        <f>IF(LEN(INDEX('Providers'!$AJ$4:$AJ$503,72))=0,"",INDEX('Providers'!$AJ$4:$AJ$503,72))</f>
        <v/>
      </c>
      <c r="K2075">
        <f>IF(LEN(INDEX('Providers'!$AI$4:$AI$503,72))=0,"",INDEX('Providers'!$AI$4:$AI$503,72))</f>
        <v/>
      </c>
    </row>
    <row r="2076">
      <c r="A2076">
        <f>IF(AND(LEN('Providers'!A76)&gt;0,ISNUMBER('Providers'!Q76)),1,0)</f>
        <v/>
      </c>
      <c r="B2076">
        <f>B2075+A2076</f>
        <v/>
      </c>
      <c r="C2076">
        <f>IF(2073&gt;$B$4503,"",MATCH(2073-0.5,$B$3:$B$4503,1))</f>
        <v/>
      </c>
      <c r="D2076">
        <f>"Malpractice insurance – "&amp;IF(LEN(INDEX('Providers'!$A$4:$A$503,73))=0,"",INDEX('Providers'!$A$4:$A$503,73))</f>
        <v/>
      </c>
      <c r="E2076">
        <f>IF(ISNUMBER(INDEX('Providers'!$Q$4:$Q$503,73)),TEXT(INDEX('Providers'!$Q$4:$Q$503,73),"yyyy-mm-dd"),"")</f>
        <v/>
      </c>
      <c r="F2076">
        <f>"Insurance"</f>
        <v/>
      </c>
      <c r="G2076">
        <f>""</f>
        <v/>
      </c>
      <c r="H2076">
        <f>"High"</f>
        <v/>
      </c>
      <c r="I2076">
        <f>TRIM(IF(LEN(IF(LEN(INDEX('Providers'!$N$4:$N$503,73))=0,"",INDEX('Providers'!$N$4:$N$503,73)))=0,"","Carrier: "&amp;IF(LEN(INDEX('Providers'!$N$4:$N$503,73))=0,"",INDEX('Providers'!$N$4:$N$503,73))&amp;". ")&amp;IF(LEN(IF(LEN(INDEX('Providers'!$O$4:$O$503,73))=0,"",INDEX('Providers'!$O$4:$O$503,73)))=0,"","Policy no.: "&amp;IF(LEN(INDEX('Providers'!$O$4:$O$503,73))=0,"",INDEX('Providers'!$O$4:$O$503,73))&amp;". ")&amp;IF(LEN(IF(LEN(INDEX('Providers'!$P$4:$P$503,73))=0,"",INDEX('Providers'!$P$4:$P$503,73)))=0,"","Coverage form: "&amp;IF(LEN(INDEX('Providers'!$P$4:$P$503,73))=0,"",INDEX('Providers'!$P$4:$P$503,73))&amp;". "))</f>
        <v/>
      </c>
      <c r="J2076">
        <f>IF(LEN(INDEX('Providers'!$AJ$4:$AJ$503,73))=0,"",INDEX('Providers'!$AJ$4:$AJ$503,73))</f>
        <v/>
      </c>
      <c r="K2076">
        <f>IF(LEN(INDEX('Providers'!$AI$4:$AI$503,73))=0,"",INDEX('Providers'!$AI$4:$AI$503,73))</f>
        <v/>
      </c>
    </row>
    <row r="2077">
      <c r="A2077">
        <f>IF(AND(LEN('Providers'!A77)&gt;0,ISNUMBER('Providers'!Q77)),1,0)</f>
        <v/>
      </c>
      <c r="B2077">
        <f>B2076+A2077</f>
        <v/>
      </c>
      <c r="C2077">
        <f>IF(2074&gt;$B$4503,"",MATCH(2074-0.5,$B$3:$B$4503,1))</f>
        <v/>
      </c>
      <c r="D2077">
        <f>"Malpractice insurance – "&amp;IF(LEN(INDEX('Providers'!$A$4:$A$503,74))=0,"",INDEX('Providers'!$A$4:$A$503,74))</f>
        <v/>
      </c>
      <c r="E2077">
        <f>IF(ISNUMBER(INDEX('Providers'!$Q$4:$Q$503,74)),TEXT(INDEX('Providers'!$Q$4:$Q$503,74),"yyyy-mm-dd"),"")</f>
        <v/>
      </c>
      <c r="F2077">
        <f>"Insurance"</f>
        <v/>
      </c>
      <c r="G2077">
        <f>""</f>
        <v/>
      </c>
      <c r="H2077">
        <f>"High"</f>
        <v/>
      </c>
      <c r="I2077">
        <f>TRIM(IF(LEN(IF(LEN(INDEX('Providers'!$N$4:$N$503,74))=0,"",INDEX('Providers'!$N$4:$N$503,74)))=0,"","Carrier: "&amp;IF(LEN(INDEX('Providers'!$N$4:$N$503,74))=0,"",INDEX('Providers'!$N$4:$N$503,74))&amp;". ")&amp;IF(LEN(IF(LEN(INDEX('Providers'!$O$4:$O$503,74))=0,"",INDEX('Providers'!$O$4:$O$503,74)))=0,"","Policy no.: "&amp;IF(LEN(INDEX('Providers'!$O$4:$O$503,74))=0,"",INDEX('Providers'!$O$4:$O$503,74))&amp;". ")&amp;IF(LEN(IF(LEN(INDEX('Providers'!$P$4:$P$503,74))=0,"",INDEX('Providers'!$P$4:$P$503,74)))=0,"","Coverage form: "&amp;IF(LEN(INDEX('Providers'!$P$4:$P$503,74))=0,"",INDEX('Providers'!$P$4:$P$503,74))&amp;". "))</f>
        <v/>
      </c>
      <c r="J2077">
        <f>IF(LEN(INDEX('Providers'!$AJ$4:$AJ$503,74))=0,"",INDEX('Providers'!$AJ$4:$AJ$503,74))</f>
        <v/>
      </c>
      <c r="K2077">
        <f>IF(LEN(INDEX('Providers'!$AI$4:$AI$503,74))=0,"",INDEX('Providers'!$AI$4:$AI$503,74))</f>
        <v/>
      </c>
    </row>
    <row r="2078">
      <c r="A2078">
        <f>IF(AND(LEN('Providers'!A78)&gt;0,ISNUMBER('Providers'!Q78)),1,0)</f>
        <v/>
      </c>
      <c r="B2078">
        <f>B2077+A2078</f>
        <v/>
      </c>
      <c r="C2078">
        <f>IF(2075&gt;$B$4503,"",MATCH(2075-0.5,$B$3:$B$4503,1))</f>
        <v/>
      </c>
      <c r="D2078">
        <f>"Malpractice insurance – "&amp;IF(LEN(INDEX('Providers'!$A$4:$A$503,75))=0,"",INDEX('Providers'!$A$4:$A$503,75))</f>
        <v/>
      </c>
      <c r="E2078">
        <f>IF(ISNUMBER(INDEX('Providers'!$Q$4:$Q$503,75)),TEXT(INDEX('Providers'!$Q$4:$Q$503,75),"yyyy-mm-dd"),"")</f>
        <v/>
      </c>
      <c r="F2078">
        <f>"Insurance"</f>
        <v/>
      </c>
      <c r="G2078">
        <f>""</f>
        <v/>
      </c>
      <c r="H2078">
        <f>"High"</f>
        <v/>
      </c>
      <c r="I2078">
        <f>TRIM(IF(LEN(IF(LEN(INDEX('Providers'!$N$4:$N$503,75))=0,"",INDEX('Providers'!$N$4:$N$503,75)))=0,"","Carrier: "&amp;IF(LEN(INDEX('Providers'!$N$4:$N$503,75))=0,"",INDEX('Providers'!$N$4:$N$503,75))&amp;". ")&amp;IF(LEN(IF(LEN(INDEX('Providers'!$O$4:$O$503,75))=0,"",INDEX('Providers'!$O$4:$O$503,75)))=0,"","Policy no.: "&amp;IF(LEN(INDEX('Providers'!$O$4:$O$503,75))=0,"",INDEX('Providers'!$O$4:$O$503,75))&amp;". ")&amp;IF(LEN(IF(LEN(INDEX('Providers'!$P$4:$P$503,75))=0,"",INDEX('Providers'!$P$4:$P$503,75)))=0,"","Coverage form: "&amp;IF(LEN(INDEX('Providers'!$P$4:$P$503,75))=0,"",INDEX('Providers'!$P$4:$P$503,75))&amp;". "))</f>
        <v/>
      </c>
      <c r="J2078">
        <f>IF(LEN(INDEX('Providers'!$AJ$4:$AJ$503,75))=0,"",INDEX('Providers'!$AJ$4:$AJ$503,75))</f>
        <v/>
      </c>
      <c r="K2078">
        <f>IF(LEN(INDEX('Providers'!$AI$4:$AI$503,75))=0,"",INDEX('Providers'!$AI$4:$AI$503,75))</f>
        <v/>
      </c>
    </row>
    <row r="2079">
      <c r="A2079">
        <f>IF(AND(LEN('Providers'!A79)&gt;0,ISNUMBER('Providers'!Q79)),1,0)</f>
        <v/>
      </c>
      <c r="B2079">
        <f>B2078+A2079</f>
        <v/>
      </c>
      <c r="C2079">
        <f>IF(2076&gt;$B$4503,"",MATCH(2076-0.5,$B$3:$B$4503,1))</f>
        <v/>
      </c>
      <c r="D2079">
        <f>"Malpractice insurance – "&amp;IF(LEN(INDEX('Providers'!$A$4:$A$503,76))=0,"",INDEX('Providers'!$A$4:$A$503,76))</f>
        <v/>
      </c>
      <c r="E2079">
        <f>IF(ISNUMBER(INDEX('Providers'!$Q$4:$Q$503,76)),TEXT(INDEX('Providers'!$Q$4:$Q$503,76),"yyyy-mm-dd"),"")</f>
        <v/>
      </c>
      <c r="F2079">
        <f>"Insurance"</f>
        <v/>
      </c>
      <c r="G2079">
        <f>""</f>
        <v/>
      </c>
      <c r="H2079">
        <f>"High"</f>
        <v/>
      </c>
      <c r="I2079">
        <f>TRIM(IF(LEN(IF(LEN(INDEX('Providers'!$N$4:$N$503,76))=0,"",INDEX('Providers'!$N$4:$N$503,76)))=0,"","Carrier: "&amp;IF(LEN(INDEX('Providers'!$N$4:$N$503,76))=0,"",INDEX('Providers'!$N$4:$N$503,76))&amp;". ")&amp;IF(LEN(IF(LEN(INDEX('Providers'!$O$4:$O$503,76))=0,"",INDEX('Providers'!$O$4:$O$503,76)))=0,"","Policy no.: "&amp;IF(LEN(INDEX('Providers'!$O$4:$O$503,76))=0,"",INDEX('Providers'!$O$4:$O$503,76))&amp;". ")&amp;IF(LEN(IF(LEN(INDEX('Providers'!$P$4:$P$503,76))=0,"",INDEX('Providers'!$P$4:$P$503,76)))=0,"","Coverage form: "&amp;IF(LEN(INDEX('Providers'!$P$4:$P$503,76))=0,"",INDEX('Providers'!$P$4:$P$503,76))&amp;". "))</f>
        <v/>
      </c>
      <c r="J2079">
        <f>IF(LEN(INDEX('Providers'!$AJ$4:$AJ$503,76))=0,"",INDEX('Providers'!$AJ$4:$AJ$503,76))</f>
        <v/>
      </c>
      <c r="K2079">
        <f>IF(LEN(INDEX('Providers'!$AI$4:$AI$503,76))=0,"",INDEX('Providers'!$AI$4:$AI$503,76))</f>
        <v/>
      </c>
    </row>
    <row r="2080">
      <c r="A2080">
        <f>IF(AND(LEN('Providers'!A80)&gt;0,ISNUMBER('Providers'!Q80)),1,0)</f>
        <v/>
      </c>
      <c r="B2080">
        <f>B2079+A2080</f>
        <v/>
      </c>
      <c r="C2080">
        <f>IF(2077&gt;$B$4503,"",MATCH(2077-0.5,$B$3:$B$4503,1))</f>
        <v/>
      </c>
      <c r="D2080">
        <f>"Malpractice insurance – "&amp;IF(LEN(INDEX('Providers'!$A$4:$A$503,77))=0,"",INDEX('Providers'!$A$4:$A$503,77))</f>
        <v/>
      </c>
      <c r="E2080">
        <f>IF(ISNUMBER(INDEX('Providers'!$Q$4:$Q$503,77)),TEXT(INDEX('Providers'!$Q$4:$Q$503,77),"yyyy-mm-dd"),"")</f>
        <v/>
      </c>
      <c r="F2080">
        <f>"Insurance"</f>
        <v/>
      </c>
      <c r="G2080">
        <f>""</f>
        <v/>
      </c>
      <c r="H2080">
        <f>"High"</f>
        <v/>
      </c>
      <c r="I2080">
        <f>TRIM(IF(LEN(IF(LEN(INDEX('Providers'!$N$4:$N$503,77))=0,"",INDEX('Providers'!$N$4:$N$503,77)))=0,"","Carrier: "&amp;IF(LEN(INDEX('Providers'!$N$4:$N$503,77))=0,"",INDEX('Providers'!$N$4:$N$503,77))&amp;". ")&amp;IF(LEN(IF(LEN(INDEX('Providers'!$O$4:$O$503,77))=0,"",INDEX('Providers'!$O$4:$O$503,77)))=0,"","Policy no.: "&amp;IF(LEN(INDEX('Providers'!$O$4:$O$503,77))=0,"",INDEX('Providers'!$O$4:$O$503,77))&amp;". ")&amp;IF(LEN(IF(LEN(INDEX('Providers'!$P$4:$P$503,77))=0,"",INDEX('Providers'!$P$4:$P$503,77)))=0,"","Coverage form: "&amp;IF(LEN(INDEX('Providers'!$P$4:$P$503,77))=0,"",INDEX('Providers'!$P$4:$P$503,77))&amp;". "))</f>
        <v/>
      </c>
      <c r="J2080">
        <f>IF(LEN(INDEX('Providers'!$AJ$4:$AJ$503,77))=0,"",INDEX('Providers'!$AJ$4:$AJ$503,77))</f>
        <v/>
      </c>
      <c r="K2080">
        <f>IF(LEN(INDEX('Providers'!$AI$4:$AI$503,77))=0,"",INDEX('Providers'!$AI$4:$AI$503,77))</f>
        <v/>
      </c>
    </row>
    <row r="2081">
      <c r="A2081">
        <f>IF(AND(LEN('Providers'!A81)&gt;0,ISNUMBER('Providers'!Q81)),1,0)</f>
        <v/>
      </c>
      <c r="B2081">
        <f>B2080+A2081</f>
        <v/>
      </c>
      <c r="C2081">
        <f>IF(2078&gt;$B$4503,"",MATCH(2078-0.5,$B$3:$B$4503,1))</f>
        <v/>
      </c>
      <c r="D2081">
        <f>"Malpractice insurance – "&amp;IF(LEN(INDEX('Providers'!$A$4:$A$503,78))=0,"",INDEX('Providers'!$A$4:$A$503,78))</f>
        <v/>
      </c>
      <c r="E2081">
        <f>IF(ISNUMBER(INDEX('Providers'!$Q$4:$Q$503,78)),TEXT(INDEX('Providers'!$Q$4:$Q$503,78),"yyyy-mm-dd"),"")</f>
        <v/>
      </c>
      <c r="F2081">
        <f>"Insurance"</f>
        <v/>
      </c>
      <c r="G2081">
        <f>""</f>
        <v/>
      </c>
      <c r="H2081">
        <f>"High"</f>
        <v/>
      </c>
      <c r="I2081">
        <f>TRIM(IF(LEN(IF(LEN(INDEX('Providers'!$N$4:$N$503,78))=0,"",INDEX('Providers'!$N$4:$N$503,78)))=0,"","Carrier: "&amp;IF(LEN(INDEX('Providers'!$N$4:$N$503,78))=0,"",INDEX('Providers'!$N$4:$N$503,78))&amp;". ")&amp;IF(LEN(IF(LEN(INDEX('Providers'!$O$4:$O$503,78))=0,"",INDEX('Providers'!$O$4:$O$503,78)))=0,"","Policy no.: "&amp;IF(LEN(INDEX('Providers'!$O$4:$O$503,78))=0,"",INDEX('Providers'!$O$4:$O$503,78))&amp;". ")&amp;IF(LEN(IF(LEN(INDEX('Providers'!$P$4:$P$503,78))=0,"",INDEX('Providers'!$P$4:$P$503,78)))=0,"","Coverage form: "&amp;IF(LEN(INDEX('Providers'!$P$4:$P$503,78))=0,"",INDEX('Providers'!$P$4:$P$503,78))&amp;". "))</f>
        <v/>
      </c>
      <c r="J2081">
        <f>IF(LEN(INDEX('Providers'!$AJ$4:$AJ$503,78))=0,"",INDEX('Providers'!$AJ$4:$AJ$503,78))</f>
        <v/>
      </c>
      <c r="K2081">
        <f>IF(LEN(INDEX('Providers'!$AI$4:$AI$503,78))=0,"",INDEX('Providers'!$AI$4:$AI$503,78))</f>
        <v/>
      </c>
    </row>
    <row r="2082">
      <c r="A2082">
        <f>IF(AND(LEN('Providers'!A82)&gt;0,ISNUMBER('Providers'!Q82)),1,0)</f>
        <v/>
      </c>
      <c r="B2082">
        <f>B2081+A2082</f>
        <v/>
      </c>
      <c r="C2082">
        <f>IF(2079&gt;$B$4503,"",MATCH(2079-0.5,$B$3:$B$4503,1))</f>
        <v/>
      </c>
      <c r="D2082">
        <f>"Malpractice insurance – "&amp;IF(LEN(INDEX('Providers'!$A$4:$A$503,79))=0,"",INDEX('Providers'!$A$4:$A$503,79))</f>
        <v/>
      </c>
      <c r="E2082">
        <f>IF(ISNUMBER(INDEX('Providers'!$Q$4:$Q$503,79)),TEXT(INDEX('Providers'!$Q$4:$Q$503,79),"yyyy-mm-dd"),"")</f>
        <v/>
      </c>
      <c r="F2082">
        <f>"Insurance"</f>
        <v/>
      </c>
      <c r="G2082">
        <f>""</f>
        <v/>
      </c>
      <c r="H2082">
        <f>"High"</f>
        <v/>
      </c>
      <c r="I2082">
        <f>TRIM(IF(LEN(IF(LEN(INDEX('Providers'!$N$4:$N$503,79))=0,"",INDEX('Providers'!$N$4:$N$503,79)))=0,"","Carrier: "&amp;IF(LEN(INDEX('Providers'!$N$4:$N$503,79))=0,"",INDEX('Providers'!$N$4:$N$503,79))&amp;". ")&amp;IF(LEN(IF(LEN(INDEX('Providers'!$O$4:$O$503,79))=0,"",INDEX('Providers'!$O$4:$O$503,79)))=0,"","Policy no.: "&amp;IF(LEN(INDEX('Providers'!$O$4:$O$503,79))=0,"",INDEX('Providers'!$O$4:$O$503,79))&amp;". ")&amp;IF(LEN(IF(LEN(INDEX('Providers'!$P$4:$P$503,79))=0,"",INDEX('Providers'!$P$4:$P$503,79)))=0,"","Coverage form: "&amp;IF(LEN(INDEX('Providers'!$P$4:$P$503,79))=0,"",INDEX('Providers'!$P$4:$P$503,79))&amp;". "))</f>
        <v/>
      </c>
      <c r="J2082">
        <f>IF(LEN(INDEX('Providers'!$AJ$4:$AJ$503,79))=0,"",INDEX('Providers'!$AJ$4:$AJ$503,79))</f>
        <v/>
      </c>
      <c r="K2082">
        <f>IF(LEN(INDEX('Providers'!$AI$4:$AI$503,79))=0,"",INDEX('Providers'!$AI$4:$AI$503,79))</f>
        <v/>
      </c>
    </row>
    <row r="2083">
      <c r="A2083">
        <f>IF(AND(LEN('Providers'!A83)&gt;0,ISNUMBER('Providers'!Q83)),1,0)</f>
        <v/>
      </c>
      <c r="B2083">
        <f>B2082+A2083</f>
        <v/>
      </c>
      <c r="C2083">
        <f>IF(2080&gt;$B$4503,"",MATCH(2080-0.5,$B$3:$B$4503,1))</f>
        <v/>
      </c>
      <c r="D2083">
        <f>"Malpractice insurance – "&amp;IF(LEN(INDEX('Providers'!$A$4:$A$503,80))=0,"",INDEX('Providers'!$A$4:$A$503,80))</f>
        <v/>
      </c>
      <c r="E2083">
        <f>IF(ISNUMBER(INDEX('Providers'!$Q$4:$Q$503,80)),TEXT(INDEX('Providers'!$Q$4:$Q$503,80),"yyyy-mm-dd"),"")</f>
        <v/>
      </c>
      <c r="F2083">
        <f>"Insurance"</f>
        <v/>
      </c>
      <c r="G2083">
        <f>""</f>
        <v/>
      </c>
      <c r="H2083">
        <f>"High"</f>
        <v/>
      </c>
      <c r="I2083">
        <f>TRIM(IF(LEN(IF(LEN(INDEX('Providers'!$N$4:$N$503,80))=0,"",INDEX('Providers'!$N$4:$N$503,80)))=0,"","Carrier: "&amp;IF(LEN(INDEX('Providers'!$N$4:$N$503,80))=0,"",INDEX('Providers'!$N$4:$N$503,80))&amp;". ")&amp;IF(LEN(IF(LEN(INDEX('Providers'!$O$4:$O$503,80))=0,"",INDEX('Providers'!$O$4:$O$503,80)))=0,"","Policy no.: "&amp;IF(LEN(INDEX('Providers'!$O$4:$O$503,80))=0,"",INDEX('Providers'!$O$4:$O$503,80))&amp;". ")&amp;IF(LEN(IF(LEN(INDEX('Providers'!$P$4:$P$503,80))=0,"",INDEX('Providers'!$P$4:$P$503,80)))=0,"","Coverage form: "&amp;IF(LEN(INDEX('Providers'!$P$4:$P$503,80))=0,"",INDEX('Providers'!$P$4:$P$503,80))&amp;". "))</f>
        <v/>
      </c>
      <c r="J2083">
        <f>IF(LEN(INDEX('Providers'!$AJ$4:$AJ$503,80))=0,"",INDEX('Providers'!$AJ$4:$AJ$503,80))</f>
        <v/>
      </c>
      <c r="K2083">
        <f>IF(LEN(INDEX('Providers'!$AI$4:$AI$503,80))=0,"",INDEX('Providers'!$AI$4:$AI$503,80))</f>
        <v/>
      </c>
    </row>
    <row r="2084">
      <c r="A2084">
        <f>IF(AND(LEN('Providers'!A84)&gt;0,ISNUMBER('Providers'!Q84)),1,0)</f>
        <v/>
      </c>
      <c r="B2084">
        <f>B2083+A2084</f>
        <v/>
      </c>
      <c r="C2084">
        <f>IF(2081&gt;$B$4503,"",MATCH(2081-0.5,$B$3:$B$4503,1))</f>
        <v/>
      </c>
      <c r="D2084">
        <f>"Malpractice insurance – "&amp;IF(LEN(INDEX('Providers'!$A$4:$A$503,81))=0,"",INDEX('Providers'!$A$4:$A$503,81))</f>
        <v/>
      </c>
      <c r="E2084">
        <f>IF(ISNUMBER(INDEX('Providers'!$Q$4:$Q$503,81)),TEXT(INDEX('Providers'!$Q$4:$Q$503,81),"yyyy-mm-dd"),"")</f>
        <v/>
      </c>
      <c r="F2084">
        <f>"Insurance"</f>
        <v/>
      </c>
      <c r="G2084">
        <f>""</f>
        <v/>
      </c>
      <c r="H2084">
        <f>"High"</f>
        <v/>
      </c>
      <c r="I2084">
        <f>TRIM(IF(LEN(IF(LEN(INDEX('Providers'!$N$4:$N$503,81))=0,"",INDEX('Providers'!$N$4:$N$503,81)))=0,"","Carrier: "&amp;IF(LEN(INDEX('Providers'!$N$4:$N$503,81))=0,"",INDEX('Providers'!$N$4:$N$503,81))&amp;". ")&amp;IF(LEN(IF(LEN(INDEX('Providers'!$O$4:$O$503,81))=0,"",INDEX('Providers'!$O$4:$O$503,81)))=0,"","Policy no.: "&amp;IF(LEN(INDEX('Providers'!$O$4:$O$503,81))=0,"",INDEX('Providers'!$O$4:$O$503,81))&amp;". ")&amp;IF(LEN(IF(LEN(INDEX('Providers'!$P$4:$P$503,81))=0,"",INDEX('Providers'!$P$4:$P$503,81)))=0,"","Coverage form: "&amp;IF(LEN(INDEX('Providers'!$P$4:$P$503,81))=0,"",INDEX('Providers'!$P$4:$P$503,81))&amp;". "))</f>
        <v/>
      </c>
      <c r="J2084">
        <f>IF(LEN(INDEX('Providers'!$AJ$4:$AJ$503,81))=0,"",INDEX('Providers'!$AJ$4:$AJ$503,81))</f>
        <v/>
      </c>
      <c r="K2084">
        <f>IF(LEN(INDEX('Providers'!$AI$4:$AI$503,81))=0,"",INDEX('Providers'!$AI$4:$AI$503,81))</f>
        <v/>
      </c>
    </row>
    <row r="2085">
      <c r="A2085">
        <f>IF(AND(LEN('Providers'!A85)&gt;0,ISNUMBER('Providers'!Q85)),1,0)</f>
        <v/>
      </c>
      <c r="B2085">
        <f>B2084+A2085</f>
        <v/>
      </c>
      <c r="C2085">
        <f>IF(2082&gt;$B$4503,"",MATCH(2082-0.5,$B$3:$B$4503,1))</f>
        <v/>
      </c>
      <c r="D2085">
        <f>"Malpractice insurance – "&amp;IF(LEN(INDEX('Providers'!$A$4:$A$503,82))=0,"",INDEX('Providers'!$A$4:$A$503,82))</f>
        <v/>
      </c>
      <c r="E2085">
        <f>IF(ISNUMBER(INDEX('Providers'!$Q$4:$Q$503,82)),TEXT(INDEX('Providers'!$Q$4:$Q$503,82),"yyyy-mm-dd"),"")</f>
        <v/>
      </c>
      <c r="F2085">
        <f>"Insurance"</f>
        <v/>
      </c>
      <c r="G2085">
        <f>""</f>
        <v/>
      </c>
      <c r="H2085">
        <f>"High"</f>
        <v/>
      </c>
      <c r="I2085">
        <f>TRIM(IF(LEN(IF(LEN(INDEX('Providers'!$N$4:$N$503,82))=0,"",INDEX('Providers'!$N$4:$N$503,82)))=0,"","Carrier: "&amp;IF(LEN(INDEX('Providers'!$N$4:$N$503,82))=0,"",INDEX('Providers'!$N$4:$N$503,82))&amp;". ")&amp;IF(LEN(IF(LEN(INDEX('Providers'!$O$4:$O$503,82))=0,"",INDEX('Providers'!$O$4:$O$503,82)))=0,"","Policy no.: "&amp;IF(LEN(INDEX('Providers'!$O$4:$O$503,82))=0,"",INDEX('Providers'!$O$4:$O$503,82))&amp;". ")&amp;IF(LEN(IF(LEN(INDEX('Providers'!$P$4:$P$503,82))=0,"",INDEX('Providers'!$P$4:$P$503,82)))=0,"","Coverage form: "&amp;IF(LEN(INDEX('Providers'!$P$4:$P$503,82))=0,"",INDEX('Providers'!$P$4:$P$503,82))&amp;". "))</f>
        <v/>
      </c>
      <c r="J2085">
        <f>IF(LEN(INDEX('Providers'!$AJ$4:$AJ$503,82))=0,"",INDEX('Providers'!$AJ$4:$AJ$503,82))</f>
        <v/>
      </c>
      <c r="K2085">
        <f>IF(LEN(INDEX('Providers'!$AI$4:$AI$503,82))=0,"",INDEX('Providers'!$AI$4:$AI$503,82))</f>
        <v/>
      </c>
    </row>
    <row r="2086">
      <c r="A2086">
        <f>IF(AND(LEN('Providers'!A86)&gt;0,ISNUMBER('Providers'!Q86)),1,0)</f>
        <v/>
      </c>
      <c r="B2086">
        <f>B2085+A2086</f>
        <v/>
      </c>
      <c r="C2086">
        <f>IF(2083&gt;$B$4503,"",MATCH(2083-0.5,$B$3:$B$4503,1))</f>
        <v/>
      </c>
      <c r="D2086">
        <f>"Malpractice insurance – "&amp;IF(LEN(INDEX('Providers'!$A$4:$A$503,83))=0,"",INDEX('Providers'!$A$4:$A$503,83))</f>
        <v/>
      </c>
      <c r="E2086">
        <f>IF(ISNUMBER(INDEX('Providers'!$Q$4:$Q$503,83)),TEXT(INDEX('Providers'!$Q$4:$Q$503,83),"yyyy-mm-dd"),"")</f>
        <v/>
      </c>
      <c r="F2086">
        <f>"Insurance"</f>
        <v/>
      </c>
      <c r="G2086">
        <f>""</f>
        <v/>
      </c>
      <c r="H2086">
        <f>"High"</f>
        <v/>
      </c>
      <c r="I2086">
        <f>TRIM(IF(LEN(IF(LEN(INDEX('Providers'!$N$4:$N$503,83))=0,"",INDEX('Providers'!$N$4:$N$503,83)))=0,"","Carrier: "&amp;IF(LEN(INDEX('Providers'!$N$4:$N$503,83))=0,"",INDEX('Providers'!$N$4:$N$503,83))&amp;". ")&amp;IF(LEN(IF(LEN(INDEX('Providers'!$O$4:$O$503,83))=0,"",INDEX('Providers'!$O$4:$O$503,83)))=0,"","Policy no.: "&amp;IF(LEN(INDEX('Providers'!$O$4:$O$503,83))=0,"",INDEX('Providers'!$O$4:$O$503,83))&amp;". ")&amp;IF(LEN(IF(LEN(INDEX('Providers'!$P$4:$P$503,83))=0,"",INDEX('Providers'!$P$4:$P$503,83)))=0,"","Coverage form: "&amp;IF(LEN(INDEX('Providers'!$P$4:$P$503,83))=0,"",INDEX('Providers'!$P$4:$P$503,83))&amp;". "))</f>
        <v/>
      </c>
      <c r="J2086">
        <f>IF(LEN(INDEX('Providers'!$AJ$4:$AJ$503,83))=0,"",INDEX('Providers'!$AJ$4:$AJ$503,83))</f>
        <v/>
      </c>
      <c r="K2086">
        <f>IF(LEN(INDEX('Providers'!$AI$4:$AI$503,83))=0,"",INDEX('Providers'!$AI$4:$AI$503,83))</f>
        <v/>
      </c>
    </row>
    <row r="2087">
      <c r="A2087">
        <f>IF(AND(LEN('Providers'!A87)&gt;0,ISNUMBER('Providers'!Q87)),1,0)</f>
        <v/>
      </c>
      <c r="B2087">
        <f>B2086+A2087</f>
        <v/>
      </c>
      <c r="C2087">
        <f>IF(2084&gt;$B$4503,"",MATCH(2084-0.5,$B$3:$B$4503,1))</f>
        <v/>
      </c>
      <c r="D2087">
        <f>"Malpractice insurance – "&amp;IF(LEN(INDEX('Providers'!$A$4:$A$503,84))=0,"",INDEX('Providers'!$A$4:$A$503,84))</f>
        <v/>
      </c>
      <c r="E2087">
        <f>IF(ISNUMBER(INDEX('Providers'!$Q$4:$Q$503,84)),TEXT(INDEX('Providers'!$Q$4:$Q$503,84),"yyyy-mm-dd"),"")</f>
        <v/>
      </c>
      <c r="F2087">
        <f>"Insurance"</f>
        <v/>
      </c>
      <c r="G2087">
        <f>""</f>
        <v/>
      </c>
      <c r="H2087">
        <f>"High"</f>
        <v/>
      </c>
      <c r="I2087">
        <f>TRIM(IF(LEN(IF(LEN(INDEX('Providers'!$N$4:$N$503,84))=0,"",INDEX('Providers'!$N$4:$N$503,84)))=0,"","Carrier: "&amp;IF(LEN(INDEX('Providers'!$N$4:$N$503,84))=0,"",INDEX('Providers'!$N$4:$N$503,84))&amp;". ")&amp;IF(LEN(IF(LEN(INDEX('Providers'!$O$4:$O$503,84))=0,"",INDEX('Providers'!$O$4:$O$503,84)))=0,"","Policy no.: "&amp;IF(LEN(INDEX('Providers'!$O$4:$O$503,84))=0,"",INDEX('Providers'!$O$4:$O$503,84))&amp;". ")&amp;IF(LEN(IF(LEN(INDEX('Providers'!$P$4:$P$503,84))=0,"",INDEX('Providers'!$P$4:$P$503,84)))=0,"","Coverage form: "&amp;IF(LEN(INDEX('Providers'!$P$4:$P$503,84))=0,"",INDEX('Providers'!$P$4:$P$503,84))&amp;". "))</f>
        <v/>
      </c>
      <c r="J2087">
        <f>IF(LEN(INDEX('Providers'!$AJ$4:$AJ$503,84))=0,"",INDEX('Providers'!$AJ$4:$AJ$503,84))</f>
        <v/>
      </c>
      <c r="K2087">
        <f>IF(LEN(INDEX('Providers'!$AI$4:$AI$503,84))=0,"",INDEX('Providers'!$AI$4:$AI$503,84))</f>
        <v/>
      </c>
    </row>
    <row r="2088">
      <c r="A2088">
        <f>IF(AND(LEN('Providers'!A88)&gt;0,ISNUMBER('Providers'!Q88)),1,0)</f>
        <v/>
      </c>
      <c r="B2088">
        <f>B2087+A2088</f>
        <v/>
      </c>
      <c r="C2088">
        <f>IF(2085&gt;$B$4503,"",MATCH(2085-0.5,$B$3:$B$4503,1))</f>
        <v/>
      </c>
      <c r="D2088">
        <f>"Malpractice insurance – "&amp;IF(LEN(INDEX('Providers'!$A$4:$A$503,85))=0,"",INDEX('Providers'!$A$4:$A$503,85))</f>
        <v/>
      </c>
      <c r="E2088">
        <f>IF(ISNUMBER(INDEX('Providers'!$Q$4:$Q$503,85)),TEXT(INDEX('Providers'!$Q$4:$Q$503,85),"yyyy-mm-dd"),"")</f>
        <v/>
      </c>
      <c r="F2088">
        <f>"Insurance"</f>
        <v/>
      </c>
      <c r="G2088">
        <f>""</f>
        <v/>
      </c>
      <c r="H2088">
        <f>"High"</f>
        <v/>
      </c>
      <c r="I2088">
        <f>TRIM(IF(LEN(IF(LEN(INDEX('Providers'!$N$4:$N$503,85))=0,"",INDEX('Providers'!$N$4:$N$503,85)))=0,"","Carrier: "&amp;IF(LEN(INDEX('Providers'!$N$4:$N$503,85))=0,"",INDEX('Providers'!$N$4:$N$503,85))&amp;". ")&amp;IF(LEN(IF(LEN(INDEX('Providers'!$O$4:$O$503,85))=0,"",INDEX('Providers'!$O$4:$O$503,85)))=0,"","Policy no.: "&amp;IF(LEN(INDEX('Providers'!$O$4:$O$503,85))=0,"",INDEX('Providers'!$O$4:$O$503,85))&amp;". ")&amp;IF(LEN(IF(LEN(INDEX('Providers'!$P$4:$P$503,85))=0,"",INDEX('Providers'!$P$4:$P$503,85)))=0,"","Coverage form: "&amp;IF(LEN(INDEX('Providers'!$P$4:$P$503,85))=0,"",INDEX('Providers'!$P$4:$P$503,85))&amp;". "))</f>
        <v/>
      </c>
      <c r="J2088">
        <f>IF(LEN(INDEX('Providers'!$AJ$4:$AJ$503,85))=0,"",INDEX('Providers'!$AJ$4:$AJ$503,85))</f>
        <v/>
      </c>
      <c r="K2088">
        <f>IF(LEN(INDEX('Providers'!$AI$4:$AI$503,85))=0,"",INDEX('Providers'!$AI$4:$AI$503,85))</f>
        <v/>
      </c>
    </row>
    <row r="2089">
      <c r="A2089">
        <f>IF(AND(LEN('Providers'!A89)&gt;0,ISNUMBER('Providers'!Q89)),1,0)</f>
        <v/>
      </c>
      <c r="B2089">
        <f>B2088+A2089</f>
        <v/>
      </c>
      <c r="C2089">
        <f>IF(2086&gt;$B$4503,"",MATCH(2086-0.5,$B$3:$B$4503,1))</f>
        <v/>
      </c>
      <c r="D2089">
        <f>"Malpractice insurance – "&amp;IF(LEN(INDEX('Providers'!$A$4:$A$503,86))=0,"",INDEX('Providers'!$A$4:$A$503,86))</f>
        <v/>
      </c>
      <c r="E2089">
        <f>IF(ISNUMBER(INDEX('Providers'!$Q$4:$Q$503,86)),TEXT(INDEX('Providers'!$Q$4:$Q$503,86),"yyyy-mm-dd"),"")</f>
        <v/>
      </c>
      <c r="F2089">
        <f>"Insurance"</f>
        <v/>
      </c>
      <c r="G2089">
        <f>""</f>
        <v/>
      </c>
      <c r="H2089">
        <f>"High"</f>
        <v/>
      </c>
      <c r="I2089">
        <f>TRIM(IF(LEN(IF(LEN(INDEX('Providers'!$N$4:$N$503,86))=0,"",INDEX('Providers'!$N$4:$N$503,86)))=0,"","Carrier: "&amp;IF(LEN(INDEX('Providers'!$N$4:$N$503,86))=0,"",INDEX('Providers'!$N$4:$N$503,86))&amp;". ")&amp;IF(LEN(IF(LEN(INDEX('Providers'!$O$4:$O$503,86))=0,"",INDEX('Providers'!$O$4:$O$503,86)))=0,"","Policy no.: "&amp;IF(LEN(INDEX('Providers'!$O$4:$O$503,86))=0,"",INDEX('Providers'!$O$4:$O$503,86))&amp;". ")&amp;IF(LEN(IF(LEN(INDEX('Providers'!$P$4:$P$503,86))=0,"",INDEX('Providers'!$P$4:$P$503,86)))=0,"","Coverage form: "&amp;IF(LEN(INDEX('Providers'!$P$4:$P$503,86))=0,"",INDEX('Providers'!$P$4:$P$503,86))&amp;". "))</f>
        <v/>
      </c>
      <c r="J2089">
        <f>IF(LEN(INDEX('Providers'!$AJ$4:$AJ$503,86))=0,"",INDEX('Providers'!$AJ$4:$AJ$503,86))</f>
        <v/>
      </c>
      <c r="K2089">
        <f>IF(LEN(INDEX('Providers'!$AI$4:$AI$503,86))=0,"",INDEX('Providers'!$AI$4:$AI$503,86))</f>
        <v/>
      </c>
    </row>
    <row r="2090">
      <c r="A2090">
        <f>IF(AND(LEN('Providers'!A90)&gt;0,ISNUMBER('Providers'!Q90)),1,0)</f>
        <v/>
      </c>
      <c r="B2090">
        <f>B2089+A2090</f>
        <v/>
      </c>
      <c r="C2090">
        <f>IF(2087&gt;$B$4503,"",MATCH(2087-0.5,$B$3:$B$4503,1))</f>
        <v/>
      </c>
      <c r="D2090">
        <f>"Malpractice insurance – "&amp;IF(LEN(INDEX('Providers'!$A$4:$A$503,87))=0,"",INDEX('Providers'!$A$4:$A$503,87))</f>
        <v/>
      </c>
      <c r="E2090">
        <f>IF(ISNUMBER(INDEX('Providers'!$Q$4:$Q$503,87)),TEXT(INDEX('Providers'!$Q$4:$Q$503,87),"yyyy-mm-dd"),"")</f>
        <v/>
      </c>
      <c r="F2090">
        <f>"Insurance"</f>
        <v/>
      </c>
      <c r="G2090">
        <f>""</f>
        <v/>
      </c>
      <c r="H2090">
        <f>"High"</f>
        <v/>
      </c>
      <c r="I2090">
        <f>TRIM(IF(LEN(IF(LEN(INDEX('Providers'!$N$4:$N$503,87))=0,"",INDEX('Providers'!$N$4:$N$503,87)))=0,"","Carrier: "&amp;IF(LEN(INDEX('Providers'!$N$4:$N$503,87))=0,"",INDEX('Providers'!$N$4:$N$503,87))&amp;". ")&amp;IF(LEN(IF(LEN(INDEX('Providers'!$O$4:$O$503,87))=0,"",INDEX('Providers'!$O$4:$O$503,87)))=0,"","Policy no.: "&amp;IF(LEN(INDEX('Providers'!$O$4:$O$503,87))=0,"",INDEX('Providers'!$O$4:$O$503,87))&amp;". ")&amp;IF(LEN(IF(LEN(INDEX('Providers'!$P$4:$P$503,87))=0,"",INDEX('Providers'!$P$4:$P$503,87)))=0,"","Coverage form: "&amp;IF(LEN(INDEX('Providers'!$P$4:$P$503,87))=0,"",INDEX('Providers'!$P$4:$P$503,87))&amp;". "))</f>
        <v/>
      </c>
      <c r="J2090">
        <f>IF(LEN(INDEX('Providers'!$AJ$4:$AJ$503,87))=0,"",INDEX('Providers'!$AJ$4:$AJ$503,87))</f>
        <v/>
      </c>
      <c r="K2090">
        <f>IF(LEN(INDEX('Providers'!$AI$4:$AI$503,87))=0,"",INDEX('Providers'!$AI$4:$AI$503,87))</f>
        <v/>
      </c>
    </row>
    <row r="2091">
      <c r="A2091">
        <f>IF(AND(LEN('Providers'!A91)&gt;0,ISNUMBER('Providers'!Q91)),1,0)</f>
        <v/>
      </c>
      <c r="B2091">
        <f>B2090+A2091</f>
        <v/>
      </c>
      <c r="C2091">
        <f>IF(2088&gt;$B$4503,"",MATCH(2088-0.5,$B$3:$B$4503,1))</f>
        <v/>
      </c>
      <c r="D2091">
        <f>"Malpractice insurance – "&amp;IF(LEN(INDEX('Providers'!$A$4:$A$503,88))=0,"",INDEX('Providers'!$A$4:$A$503,88))</f>
        <v/>
      </c>
      <c r="E2091">
        <f>IF(ISNUMBER(INDEX('Providers'!$Q$4:$Q$503,88)),TEXT(INDEX('Providers'!$Q$4:$Q$503,88),"yyyy-mm-dd"),"")</f>
        <v/>
      </c>
      <c r="F2091">
        <f>"Insurance"</f>
        <v/>
      </c>
      <c r="G2091">
        <f>""</f>
        <v/>
      </c>
      <c r="H2091">
        <f>"High"</f>
        <v/>
      </c>
      <c r="I2091">
        <f>TRIM(IF(LEN(IF(LEN(INDEX('Providers'!$N$4:$N$503,88))=0,"",INDEX('Providers'!$N$4:$N$503,88)))=0,"","Carrier: "&amp;IF(LEN(INDEX('Providers'!$N$4:$N$503,88))=0,"",INDEX('Providers'!$N$4:$N$503,88))&amp;". ")&amp;IF(LEN(IF(LEN(INDEX('Providers'!$O$4:$O$503,88))=0,"",INDEX('Providers'!$O$4:$O$503,88)))=0,"","Policy no.: "&amp;IF(LEN(INDEX('Providers'!$O$4:$O$503,88))=0,"",INDEX('Providers'!$O$4:$O$503,88))&amp;". ")&amp;IF(LEN(IF(LEN(INDEX('Providers'!$P$4:$P$503,88))=0,"",INDEX('Providers'!$P$4:$P$503,88)))=0,"","Coverage form: "&amp;IF(LEN(INDEX('Providers'!$P$4:$P$503,88))=0,"",INDEX('Providers'!$P$4:$P$503,88))&amp;". "))</f>
        <v/>
      </c>
      <c r="J2091">
        <f>IF(LEN(INDEX('Providers'!$AJ$4:$AJ$503,88))=0,"",INDEX('Providers'!$AJ$4:$AJ$503,88))</f>
        <v/>
      </c>
      <c r="K2091">
        <f>IF(LEN(INDEX('Providers'!$AI$4:$AI$503,88))=0,"",INDEX('Providers'!$AI$4:$AI$503,88))</f>
        <v/>
      </c>
    </row>
    <row r="2092">
      <c r="A2092">
        <f>IF(AND(LEN('Providers'!A92)&gt;0,ISNUMBER('Providers'!Q92)),1,0)</f>
        <v/>
      </c>
      <c r="B2092">
        <f>B2091+A2092</f>
        <v/>
      </c>
      <c r="C2092">
        <f>IF(2089&gt;$B$4503,"",MATCH(2089-0.5,$B$3:$B$4503,1))</f>
        <v/>
      </c>
      <c r="D2092">
        <f>"Malpractice insurance – "&amp;IF(LEN(INDEX('Providers'!$A$4:$A$503,89))=0,"",INDEX('Providers'!$A$4:$A$503,89))</f>
        <v/>
      </c>
      <c r="E2092">
        <f>IF(ISNUMBER(INDEX('Providers'!$Q$4:$Q$503,89)),TEXT(INDEX('Providers'!$Q$4:$Q$503,89),"yyyy-mm-dd"),"")</f>
        <v/>
      </c>
      <c r="F2092">
        <f>"Insurance"</f>
        <v/>
      </c>
      <c r="G2092">
        <f>""</f>
        <v/>
      </c>
      <c r="H2092">
        <f>"High"</f>
        <v/>
      </c>
      <c r="I2092">
        <f>TRIM(IF(LEN(IF(LEN(INDEX('Providers'!$N$4:$N$503,89))=0,"",INDEX('Providers'!$N$4:$N$503,89)))=0,"","Carrier: "&amp;IF(LEN(INDEX('Providers'!$N$4:$N$503,89))=0,"",INDEX('Providers'!$N$4:$N$503,89))&amp;". ")&amp;IF(LEN(IF(LEN(INDEX('Providers'!$O$4:$O$503,89))=0,"",INDEX('Providers'!$O$4:$O$503,89)))=0,"","Policy no.: "&amp;IF(LEN(INDEX('Providers'!$O$4:$O$503,89))=0,"",INDEX('Providers'!$O$4:$O$503,89))&amp;". ")&amp;IF(LEN(IF(LEN(INDEX('Providers'!$P$4:$P$503,89))=0,"",INDEX('Providers'!$P$4:$P$503,89)))=0,"","Coverage form: "&amp;IF(LEN(INDEX('Providers'!$P$4:$P$503,89))=0,"",INDEX('Providers'!$P$4:$P$503,89))&amp;". "))</f>
        <v/>
      </c>
      <c r="J2092">
        <f>IF(LEN(INDEX('Providers'!$AJ$4:$AJ$503,89))=0,"",INDEX('Providers'!$AJ$4:$AJ$503,89))</f>
        <v/>
      </c>
      <c r="K2092">
        <f>IF(LEN(INDEX('Providers'!$AI$4:$AI$503,89))=0,"",INDEX('Providers'!$AI$4:$AI$503,89))</f>
        <v/>
      </c>
    </row>
    <row r="2093">
      <c r="A2093">
        <f>IF(AND(LEN('Providers'!A93)&gt;0,ISNUMBER('Providers'!Q93)),1,0)</f>
        <v/>
      </c>
      <c r="B2093">
        <f>B2092+A2093</f>
        <v/>
      </c>
      <c r="C2093">
        <f>IF(2090&gt;$B$4503,"",MATCH(2090-0.5,$B$3:$B$4503,1))</f>
        <v/>
      </c>
      <c r="D2093">
        <f>"Malpractice insurance – "&amp;IF(LEN(INDEX('Providers'!$A$4:$A$503,90))=0,"",INDEX('Providers'!$A$4:$A$503,90))</f>
        <v/>
      </c>
      <c r="E2093">
        <f>IF(ISNUMBER(INDEX('Providers'!$Q$4:$Q$503,90)),TEXT(INDEX('Providers'!$Q$4:$Q$503,90),"yyyy-mm-dd"),"")</f>
        <v/>
      </c>
      <c r="F2093">
        <f>"Insurance"</f>
        <v/>
      </c>
      <c r="G2093">
        <f>""</f>
        <v/>
      </c>
      <c r="H2093">
        <f>"High"</f>
        <v/>
      </c>
      <c r="I2093">
        <f>TRIM(IF(LEN(IF(LEN(INDEX('Providers'!$N$4:$N$503,90))=0,"",INDEX('Providers'!$N$4:$N$503,90)))=0,"","Carrier: "&amp;IF(LEN(INDEX('Providers'!$N$4:$N$503,90))=0,"",INDEX('Providers'!$N$4:$N$503,90))&amp;". ")&amp;IF(LEN(IF(LEN(INDEX('Providers'!$O$4:$O$503,90))=0,"",INDEX('Providers'!$O$4:$O$503,90)))=0,"","Policy no.: "&amp;IF(LEN(INDEX('Providers'!$O$4:$O$503,90))=0,"",INDEX('Providers'!$O$4:$O$503,90))&amp;". ")&amp;IF(LEN(IF(LEN(INDEX('Providers'!$P$4:$P$503,90))=0,"",INDEX('Providers'!$P$4:$P$503,90)))=0,"","Coverage form: "&amp;IF(LEN(INDEX('Providers'!$P$4:$P$503,90))=0,"",INDEX('Providers'!$P$4:$P$503,90))&amp;". "))</f>
        <v/>
      </c>
      <c r="J2093">
        <f>IF(LEN(INDEX('Providers'!$AJ$4:$AJ$503,90))=0,"",INDEX('Providers'!$AJ$4:$AJ$503,90))</f>
        <v/>
      </c>
      <c r="K2093">
        <f>IF(LEN(INDEX('Providers'!$AI$4:$AI$503,90))=0,"",INDEX('Providers'!$AI$4:$AI$503,90))</f>
        <v/>
      </c>
    </row>
    <row r="2094">
      <c r="A2094">
        <f>IF(AND(LEN('Providers'!A94)&gt;0,ISNUMBER('Providers'!Q94)),1,0)</f>
        <v/>
      </c>
      <c r="B2094">
        <f>B2093+A2094</f>
        <v/>
      </c>
      <c r="C2094">
        <f>IF(2091&gt;$B$4503,"",MATCH(2091-0.5,$B$3:$B$4503,1))</f>
        <v/>
      </c>
      <c r="D2094">
        <f>"Malpractice insurance – "&amp;IF(LEN(INDEX('Providers'!$A$4:$A$503,91))=0,"",INDEX('Providers'!$A$4:$A$503,91))</f>
        <v/>
      </c>
      <c r="E2094">
        <f>IF(ISNUMBER(INDEX('Providers'!$Q$4:$Q$503,91)),TEXT(INDEX('Providers'!$Q$4:$Q$503,91),"yyyy-mm-dd"),"")</f>
        <v/>
      </c>
      <c r="F2094">
        <f>"Insurance"</f>
        <v/>
      </c>
      <c r="G2094">
        <f>""</f>
        <v/>
      </c>
      <c r="H2094">
        <f>"High"</f>
        <v/>
      </c>
      <c r="I2094">
        <f>TRIM(IF(LEN(IF(LEN(INDEX('Providers'!$N$4:$N$503,91))=0,"",INDEX('Providers'!$N$4:$N$503,91)))=0,"","Carrier: "&amp;IF(LEN(INDEX('Providers'!$N$4:$N$503,91))=0,"",INDEX('Providers'!$N$4:$N$503,91))&amp;". ")&amp;IF(LEN(IF(LEN(INDEX('Providers'!$O$4:$O$503,91))=0,"",INDEX('Providers'!$O$4:$O$503,91)))=0,"","Policy no.: "&amp;IF(LEN(INDEX('Providers'!$O$4:$O$503,91))=0,"",INDEX('Providers'!$O$4:$O$503,91))&amp;". ")&amp;IF(LEN(IF(LEN(INDEX('Providers'!$P$4:$P$503,91))=0,"",INDEX('Providers'!$P$4:$P$503,91)))=0,"","Coverage form: "&amp;IF(LEN(INDEX('Providers'!$P$4:$P$503,91))=0,"",INDEX('Providers'!$P$4:$P$503,91))&amp;". "))</f>
        <v/>
      </c>
      <c r="J2094">
        <f>IF(LEN(INDEX('Providers'!$AJ$4:$AJ$503,91))=0,"",INDEX('Providers'!$AJ$4:$AJ$503,91))</f>
        <v/>
      </c>
      <c r="K2094">
        <f>IF(LEN(INDEX('Providers'!$AI$4:$AI$503,91))=0,"",INDEX('Providers'!$AI$4:$AI$503,91))</f>
        <v/>
      </c>
    </row>
    <row r="2095">
      <c r="A2095">
        <f>IF(AND(LEN('Providers'!A95)&gt;0,ISNUMBER('Providers'!Q95)),1,0)</f>
        <v/>
      </c>
      <c r="B2095">
        <f>B2094+A2095</f>
        <v/>
      </c>
      <c r="C2095">
        <f>IF(2092&gt;$B$4503,"",MATCH(2092-0.5,$B$3:$B$4503,1))</f>
        <v/>
      </c>
      <c r="D2095">
        <f>"Malpractice insurance – "&amp;IF(LEN(INDEX('Providers'!$A$4:$A$503,92))=0,"",INDEX('Providers'!$A$4:$A$503,92))</f>
        <v/>
      </c>
      <c r="E2095">
        <f>IF(ISNUMBER(INDEX('Providers'!$Q$4:$Q$503,92)),TEXT(INDEX('Providers'!$Q$4:$Q$503,92),"yyyy-mm-dd"),"")</f>
        <v/>
      </c>
      <c r="F2095">
        <f>"Insurance"</f>
        <v/>
      </c>
      <c r="G2095">
        <f>""</f>
        <v/>
      </c>
      <c r="H2095">
        <f>"High"</f>
        <v/>
      </c>
      <c r="I2095">
        <f>TRIM(IF(LEN(IF(LEN(INDEX('Providers'!$N$4:$N$503,92))=0,"",INDEX('Providers'!$N$4:$N$503,92)))=0,"","Carrier: "&amp;IF(LEN(INDEX('Providers'!$N$4:$N$503,92))=0,"",INDEX('Providers'!$N$4:$N$503,92))&amp;". ")&amp;IF(LEN(IF(LEN(INDEX('Providers'!$O$4:$O$503,92))=0,"",INDEX('Providers'!$O$4:$O$503,92)))=0,"","Policy no.: "&amp;IF(LEN(INDEX('Providers'!$O$4:$O$503,92))=0,"",INDEX('Providers'!$O$4:$O$503,92))&amp;". ")&amp;IF(LEN(IF(LEN(INDEX('Providers'!$P$4:$P$503,92))=0,"",INDEX('Providers'!$P$4:$P$503,92)))=0,"","Coverage form: "&amp;IF(LEN(INDEX('Providers'!$P$4:$P$503,92))=0,"",INDEX('Providers'!$P$4:$P$503,92))&amp;". "))</f>
        <v/>
      </c>
      <c r="J2095">
        <f>IF(LEN(INDEX('Providers'!$AJ$4:$AJ$503,92))=0,"",INDEX('Providers'!$AJ$4:$AJ$503,92))</f>
        <v/>
      </c>
      <c r="K2095">
        <f>IF(LEN(INDEX('Providers'!$AI$4:$AI$503,92))=0,"",INDEX('Providers'!$AI$4:$AI$503,92))</f>
        <v/>
      </c>
    </row>
    <row r="2096">
      <c r="A2096">
        <f>IF(AND(LEN('Providers'!A96)&gt;0,ISNUMBER('Providers'!Q96)),1,0)</f>
        <v/>
      </c>
      <c r="B2096">
        <f>B2095+A2096</f>
        <v/>
      </c>
      <c r="C2096">
        <f>IF(2093&gt;$B$4503,"",MATCH(2093-0.5,$B$3:$B$4503,1))</f>
        <v/>
      </c>
      <c r="D2096">
        <f>"Malpractice insurance – "&amp;IF(LEN(INDEX('Providers'!$A$4:$A$503,93))=0,"",INDEX('Providers'!$A$4:$A$503,93))</f>
        <v/>
      </c>
      <c r="E2096">
        <f>IF(ISNUMBER(INDEX('Providers'!$Q$4:$Q$503,93)),TEXT(INDEX('Providers'!$Q$4:$Q$503,93),"yyyy-mm-dd"),"")</f>
        <v/>
      </c>
      <c r="F2096">
        <f>"Insurance"</f>
        <v/>
      </c>
      <c r="G2096">
        <f>""</f>
        <v/>
      </c>
      <c r="H2096">
        <f>"High"</f>
        <v/>
      </c>
      <c r="I2096">
        <f>TRIM(IF(LEN(IF(LEN(INDEX('Providers'!$N$4:$N$503,93))=0,"",INDEX('Providers'!$N$4:$N$503,93)))=0,"","Carrier: "&amp;IF(LEN(INDEX('Providers'!$N$4:$N$503,93))=0,"",INDEX('Providers'!$N$4:$N$503,93))&amp;". ")&amp;IF(LEN(IF(LEN(INDEX('Providers'!$O$4:$O$503,93))=0,"",INDEX('Providers'!$O$4:$O$503,93)))=0,"","Policy no.: "&amp;IF(LEN(INDEX('Providers'!$O$4:$O$503,93))=0,"",INDEX('Providers'!$O$4:$O$503,93))&amp;". ")&amp;IF(LEN(IF(LEN(INDEX('Providers'!$P$4:$P$503,93))=0,"",INDEX('Providers'!$P$4:$P$503,93)))=0,"","Coverage form: "&amp;IF(LEN(INDEX('Providers'!$P$4:$P$503,93))=0,"",INDEX('Providers'!$P$4:$P$503,93))&amp;". "))</f>
        <v/>
      </c>
      <c r="J2096">
        <f>IF(LEN(INDEX('Providers'!$AJ$4:$AJ$503,93))=0,"",INDEX('Providers'!$AJ$4:$AJ$503,93))</f>
        <v/>
      </c>
      <c r="K2096">
        <f>IF(LEN(INDEX('Providers'!$AI$4:$AI$503,93))=0,"",INDEX('Providers'!$AI$4:$AI$503,93))</f>
        <v/>
      </c>
    </row>
    <row r="2097">
      <c r="A2097">
        <f>IF(AND(LEN('Providers'!A97)&gt;0,ISNUMBER('Providers'!Q97)),1,0)</f>
        <v/>
      </c>
      <c r="B2097">
        <f>B2096+A2097</f>
        <v/>
      </c>
      <c r="C2097">
        <f>IF(2094&gt;$B$4503,"",MATCH(2094-0.5,$B$3:$B$4503,1))</f>
        <v/>
      </c>
      <c r="D2097">
        <f>"Malpractice insurance – "&amp;IF(LEN(INDEX('Providers'!$A$4:$A$503,94))=0,"",INDEX('Providers'!$A$4:$A$503,94))</f>
        <v/>
      </c>
      <c r="E2097">
        <f>IF(ISNUMBER(INDEX('Providers'!$Q$4:$Q$503,94)),TEXT(INDEX('Providers'!$Q$4:$Q$503,94),"yyyy-mm-dd"),"")</f>
        <v/>
      </c>
      <c r="F2097">
        <f>"Insurance"</f>
        <v/>
      </c>
      <c r="G2097">
        <f>""</f>
        <v/>
      </c>
      <c r="H2097">
        <f>"High"</f>
        <v/>
      </c>
      <c r="I2097">
        <f>TRIM(IF(LEN(IF(LEN(INDEX('Providers'!$N$4:$N$503,94))=0,"",INDEX('Providers'!$N$4:$N$503,94)))=0,"","Carrier: "&amp;IF(LEN(INDEX('Providers'!$N$4:$N$503,94))=0,"",INDEX('Providers'!$N$4:$N$503,94))&amp;". ")&amp;IF(LEN(IF(LEN(INDEX('Providers'!$O$4:$O$503,94))=0,"",INDEX('Providers'!$O$4:$O$503,94)))=0,"","Policy no.: "&amp;IF(LEN(INDEX('Providers'!$O$4:$O$503,94))=0,"",INDEX('Providers'!$O$4:$O$503,94))&amp;". ")&amp;IF(LEN(IF(LEN(INDEX('Providers'!$P$4:$P$503,94))=0,"",INDEX('Providers'!$P$4:$P$503,94)))=0,"","Coverage form: "&amp;IF(LEN(INDEX('Providers'!$P$4:$P$503,94))=0,"",INDEX('Providers'!$P$4:$P$503,94))&amp;". "))</f>
        <v/>
      </c>
      <c r="J2097">
        <f>IF(LEN(INDEX('Providers'!$AJ$4:$AJ$503,94))=0,"",INDEX('Providers'!$AJ$4:$AJ$503,94))</f>
        <v/>
      </c>
      <c r="K2097">
        <f>IF(LEN(INDEX('Providers'!$AI$4:$AI$503,94))=0,"",INDEX('Providers'!$AI$4:$AI$503,94))</f>
        <v/>
      </c>
    </row>
    <row r="2098">
      <c r="A2098">
        <f>IF(AND(LEN('Providers'!A98)&gt;0,ISNUMBER('Providers'!Q98)),1,0)</f>
        <v/>
      </c>
      <c r="B2098">
        <f>B2097+A2098</f>
        <v/>
      </c>
      <c r="C2098">
        <f>IF(2095&gt;$B$4503,"",MATCH(2095-0.5,$B$3:$B$4503,1))</f>
        <v/>
      </c>
      <c r="D2098">
        <f>"Malpractice insurance – "&amp;IF(LEN(INDEX('Providers'!$A$4:$A$503,95))=0,"",INDEX('Providers'!$A$4:$A$503,95))</f>
        <v/>
      </c>
      <c r="E2098">
        <f>IF(ISNUMBER(INDEX('Providers'!$Q$4:$Q$503,95)),TEXT(INDEX('Providers'!$Q$4:$Q$503,95),"yyyy-mm-dd"),"")</f>
        <v/>
      </c>
      <c r="F2098">
        <f>"Insurance"</f>
        <v/>
      </c>
      <c r="G2098">
        <f>""</f>
        <v/>
      </c>
      <c r="H2098">
        <f>"High"</f>
        <v/>
      </c>
      <c r="I2098">
        <f>TRIM(IF(LEN(IF(LEN(INDEX('Providers'!$N$4:$N$503,95))=0,"",INDEX('Providers'!$N$4:$N$503,95)))=0,"","Carrier: "&amp;IF(LEN(INDEX('Providers'!$N$4:$N$503,95))=0,"",INDEX('Providers'!$N$4:$N$503,95))&amp;". ")&amp;IF(LEN(IF(LEN(INDEX('Providers'!$O$4:$O$503,95))=0,"",INDEX('Providers'!$O$4:$O$503,95)))=0,"","Policy no.: "&amp;IF(LEN(INDEX('Providers'!$O$4:$O$503,95))=0,"",INDEX('Providers'!$O$4:$O$503,95))&amp;". ")&amp;IF(LEN(IF(LEN(INDEX('Providers'!$P$4:$P$503,95))=0,"",INDEX('Providers'!$P$4:$P$503,95)))=0,"","Coverage form: "&amp;IF(LEN(INDEX('Providers'!$P$4:$P$503,95))=0,"",INDEX('Providers'!$P$4:$P$503,95))&amp;". "))</f>
        <v/>
      </c>
      <c r="J2098">
        <f>IF(LEN(INDEX('Providers'!$AJ$4:$AJ$503,95))=0,"",INDEX('Providers'!$AJ$4:$AJ$503,95))</f>
        <v/>
      </c>
      <c r="K2098">
        <f>IF(LEN(INDEX('Providers'!$AI$4:$AI$503,95))=0,"",INDEX('Providers'!$AI$4:$AI$503,95))</f>
        <v/>
      </c>
    </row>
    <row r="2099">
      <c r="A2099">
        <f>IF(AND(LEN('Providers'!A99)&gt;0,ISNUMBER('Providers'!Q99)),1,0)</f>
        <v/>
      </c>
      <c r="B2099">
        <f>B2098+A2099</f>
        <v/>
      </c>
      <c r="C2099">
        <f>IF(2096&gt;$B$4503,"",MATCH(2096-0.5,$B$3:$B$4503,1))</f>
        <v/>
      </c>
      <c r="D2099">
        <f>"Malpractice insurance – "&amp;IF(LEN(INDEX('Providers'!$A$4:$A$503,96))=0,"",INDEX('Providers'!$A$4:$A$503,96))</f>
        <v/>
      </c>
      <c r="E2099">
        <f>IF(ISNUMBER(INDEX('Providers'!$Q$4:$Q$503,96)),TEXT(INDEX('Providers'!$Q$4:$Q$503,96),"yyyy-mm-dd"),"")</f>
        <v/>
      </c>
      <c r="F2099">
        <f>"Insurance"</f>
        <v/>
      </c>
      <c r="G2099">
        <f>""</f>
        <v/>
      </c>
      <c r="H2099">
        <f>"High"</f>
        <v/>
      </c>
      <c r="I2099">
        <f>TRIM(IF(LEN(IF(LEN(INDEX('Providers'!$N$4:$N$503,96))=0,"",INDEX('Providers'!$N$4:$N$503,96)))=0,"","Carrier: "&amp;IF(LEN(INDEX('Providers'!$N$4:$N$503,96))=0,"",INDEX('Providers'!$N$4:$N$503,96))&amp;". ")&amp;IF(LEN(IF(LEN(INDEX('Providers'!$O$4:$O$503,96))=0,"",INDEX('Providers'!$O$4:$O$503,96)))=0,"","Policy no.: "&amp;IF(LEN(INDEX('Providers'!$O$4:$O$503,96))=0,"",INDEX('Providers'!$O$4:$O$503,96))&amp;". ")&amp;IF(LEN(IF(LEN(INDEX('Providers'!$P$4:$P$503,96))=0,"",INDEX('Providers'!$P$4:$P$503,96)))=0,"","Coverage form: "&amp;IF(LEN(INDEX('Providers'!$P$4:$P$503,96))=0,"",INDEX('Providers'!$P$4:$P$503,96))&amp;". "))</f>
        <v/>
      </c>
      <c r="J2099">
        <f>IF(LEN(INDEX('Providers'!$AJ$4:$AJ$503,96))=0,"",INDEX('Providers'!$AJ$4:$AJ$503,96))</f>
        <v/>
      </c>
      <c r="K2099">
        <f>IF(LEN(INDEX('Providers'!$AI$4:$AI$503,96))=0,"",INDEX('Providers'!$AI$4:$AI$503,96))</f>
        <v/>
      </c>
    </row>
    <row r="2100">
      <c r="A2100">
        <f>IF(AND(LEN('Providers'!A100)&gt;0,ISNUMBER('Providers'!Q100)),1,0)</f>
        <v/>
      </c>
      <c r="B2100">
        <f>B2099+A2100</f>
        <v/>
      </c>
      <c r="C2100">
        <f>IF(2097&gt;$B$4503,"",MATCH(2097-0.5,$B$3:$B$4503,1))</f>
        <v/>
      </c>
      <c r="D2100">
        <f>"Malpractice insurance – "&amp;IF(LEN(INDEX('Providers'!$A$4:$A$503,97))=0,"",INDEX('Providers'!$A$4:$A$503,97))</f>
        <v/>
      </c>
      <c r="E2100">
        <f>IF(ISNUMBER(INDEX('Providers'!$Q$4:$Q$503,97)),TEXT(INDEX('Providers'!$Q$4:$Q$503,97),"yyyy-mm-dd"),"")</f>
        <v/>
      </c>
      <c r="F2100">
        <f>"Insurance"</f>
        <v/>
      </c>
      <c r="G2100">
        <f>""</f>
        <v/>
      </c>
      <c r="H2100">
        <f>"High"</f>
        <v/>
      </c>
      <c r="I2100">
        <f>TRIM(IF(LEN(IF(LEN(INDEX('Providers'!$N$4:$N$503,97))=0,"",INDEX('Providers'!$N$4:$N$503,97)))=0,"","Carrier: "&amp;IF(LEN(INDEX('Providers'!$N$4:$N$503,97))=0,"",INDEX('Providers'!$N$4:$N$503,97))&amp;". ")&amp;IF(LEN(IF(LEN(INDEX('Providers'!$O$4:$O$503,97))=0,"",INDEX('Providers'!$O$4:$O$503,97)))=0,"","Policy no.: "&amp;IF(LEN(INDEX('Providers'!$O$4:$O$503,97))=0,"",INDEX('Providers'!$O$4:$O$503,97))&amp;". ")&amp;IF(LEN(IF(LEN(INDEX('Providers'!$P$4:$P$503,97))=0,"",INDEX('Providers'!$P$4:$P$503,97)))=0,"","Coverage form: "&amp;IF(LEN(INDEX('Providers'!$P$4:$P$503,97))=0,"",INDEX('Providers'!$P$4:$P$503,97))&amp;". "))</f>
        <v/>
      </c>
      <c r="J2100">
        <f>IF(LEN(INDEX('Providers'!$AJ$4:$AJ$503,97))=0,"",INDEX('Providers'!$AJ$4:$AJ$503,97))</f>
        <v/>
      </c>
      <c r="K2100">
        <f>IF(LEN(INDEX('Providers'!$AI$4:$AI$503,97))=0,"",INDEX('Providers'!$AI$4:$AI$503,97))</f>
        <v/>
      </c>
    </row>
    <row r="2101">
      <c r="A2101">
        <f>IF(AND(LEN('Providers'!A101)&gt;0,ISNUMBER('Providers'!Q101)),1,0)</f>
        <v/>
      </c>
      <c r="B2101">
        <f>B2100+A2101</f>
        <v/>
      </c>
      <c r="C2101">
        <f>IF(2098&gt;$B$4503,"",MATCH(2098-0.5,$B$3:$B$4503,1))</f>
        <v/>
      </c>
      <c r="D2101">
        <f>"Malpractice insurance – "&amp;IF(LEN(INDEX('Providers'!$A$4:$A$503,98))=0,"",INDEX('Providers'!$A$4:$A$503,98))</f>
        <v/>
      </c>
      <c r="E2101">
        <f>IF(ISNUMBER(INDEX('Providers'!$Q$4:$Q$503,98)),TEXT(INDEX('Providers'!$Q$4:$Q$503,98),"yyyy-mm-dd"),"")</f>
        <v/>
      </c>
      <c r="F2101">
        <f>"Insurance"</f>
        <v/>
      </c>
      <c r="G2101">
        <f>""</f>
        <v/>
      </c>
      <c r="H2101">
        <f>"High"</f>
        <v/>
      </c>
      <c r="I2101">
        <f>TRIM(IF(LEN(IF(LEN(INDEX('Providers'!$N$4:$N$503,98))=0,"",INDEX('Providers'!$N$4:$N$503,98)))=0,"","Carrier: "&amp;IF(LEN(INDEX('Providers'!$N$4:$N$503,98))=0,"",INDEX('Providers'!$N$4:$N$503,98))&amp;". ")&amp;IF(LEN(IF(LEN(INDEX('Providers'!$O$4:$O$503,98))=0,"",INDEX('Providers'!$O$4:$O$503,98)))=0,"","Policy no.: "&amp;IF(LEN(INDEX('Providers'!$O$4:$O$503,98))=0,"",INDEX('Providers'!$O$4:$O$503,98))&amp;". ")&amp;IF(LEN(IF(LEN(INDEX('Providers'!$P$4:$P$503,98))=0,"",INDEX('Providers'!$P$4:$P$503,98)))=0,"","Coverage form: "&amp;IF(LEN(INDEX('Providers'!$P$4:$P$503,98))=0,"",INDEX('Providers'!$P$4:$P$503,98))&amp;". "))</f>
        <v/>
      </c>
      <c r="J2101">
        <f>IF(LEN(INDEX('Providers'!$AJ$4:$AJ$503,98))=0,"",INDEX('Providers'!$AJ$4:$AJ$503,98))</f>
        <v/>
      </c>
      <c r="K2101">
        <f>IF(LEN(INDEX('Providers'!$AI$4:$AI$503,98))=0,"",INDEX('Providers'!$AI$4:$AI$503,98))</f>
        <v/>
      </c>
    </row>
    <row r="2102">
      <c r="A2102">
        <f>IF(AND(LEN('Providers'!A102)&gt;0,ISNUMBER('Providers'!Q102)),1,0)</f>
        <v/>
      </c>
      <c r="B2102">
        <f>B2101+A2102</f>
        <v/>
      </c>
      <c r="C2102">
        <f>IF(2099&gt;$B$4503,"",MATCH(2099-0.5,$B$3:$B$4503,1))</f>
        <v/>
      </c>
      <c r="D2102">
        <f>"Malpractice insurance – "&amp;IF(LEN(INDEX('Providers'!$A$4:$A$503,99))=0,"",INDEX('Providers'!$A$4:$A$503,99))</f>
        <v/>
      </c>
      <c r="E2102">
        <f>IF(ISNUMBER(INDEX('Providers'!$Q$4:$Q$503,99)),TEXT(INDEX('Providers'!$Q$4:$Q$503,99),"yyyy-mm-dd"),"")</f>
        <v/>
      </c>
      <c r="F2102">
        <f>"Insurance"</f>
        <v/>
      </c>
      <c r="G2102">
        <f>""</f>
        <v/>
      </c>
      <c r="H2102">
        <f>"High"</f>
        <v/>
      </c>
      <c r="I2102">
        <f>TRIM(IF(LEN(IF(LEN(INDEX('Providers'!$N$4:$N$503,99))=0,"",INDEX('Providers'!$N$4:$N$503,99)))=0,"","Carrier: "&amp;IF(LEN(INDEX('Providers'!$N$4:$N$503,99))=0,"",INDEX('Providers'!$N$4:$N$503,99))&amp;". ")&amp;IF(LEN(IF(LEN(INDEX('Providers'!$O$4:$O$503,99))=0,"",INDEX('Providers'!$O$4:$O$503,99)))=0,"","Policy no.: "&amp;IF(LEN(INDEX('Providers'!$O$4:$O$503,99))=0,"",INDEX('Providers'!$O$4:$O$503,99))&amp;". ")&amp;IF(LEN(IF(LEN(INDEX('Providers'!$P$4:$P$503,99))=0,"",INDEX('Providers'!$P$4:$P$503,99)))=0,"","Coverage form: "&amp;IF(LEN(INDEX('Providers'!$P$4:$P$503,99))=0,"",INDEX('Providers'!$P$4:$P$503,99))&amp;". "))</f>
        <v/>
      </c>
      <c r="J2102">
        <f>IF(LEN(INDEX('Providers'!$AJ$4:$AJ$503,99))=0,"",INDEX('Providers'!$AJ$4:$AJ$503,99))</f>
        <v/>
      </c>
      <c r="K2102">
        <f>IF(LEN(INDEX('Providers'!$AI$4:$AI$503,99))=0,"",INDEX('Providers'!$AI$4:$AI$503,99))</f>
        <v/>
      </c>
    </row>
    <row r="2103">
      <c r="A2103">
        <f>IF(AND(LEN('Providers'!A103)&gt;0,ISNUMBER('Providers'!Q103)),1,0)</f>
        <v/>
      </c>
      <c r="B2103">
        <f>B2102+A2103</f>
        <v/>
      </c>
      <c r="C2103">
        <f>IF(2100&gt;$B$4503,"",MATCH(2100-0.5,$B$3:$B$4503,1))</f>
        <v/>
      </c>
      <c r="D2103">
        <f>"Malpractice insurance – "&amp;IF(LEN(INDEX('Providers'!$A$4:$A$503,100))=0,"",INDEX('Providers'!$A$4:$A$503,100))</f>
        <v/>
      </c>
      <c r="E2103">
        <f>IF(ISNUMBER(INDEX('Providers'!$Q$4:$Q$503,100)),TEXT(INDEX('Providers'!$Q$4:$Q$503,100),"yyyy-mm-dd"),"")</f>
        <v/>
      </c>
      <c r="F2103">
        <f>"Insurance"</f>
        <v/>
      </c>
      <c r="G2103">
        <f>""</f>
        <v/>
      </c>
      <c r="H2103">
        <f>"High"</f>
        <v/>
      </c>
      <c r="I2103">
        <f>TRIM(IF(LEN(IF(LEN(INDEX('Providers'!$N$4:$N$503,100))=0,"",INDEX('Providers'!$N$4:$N$503,100)))=0,"","Carrier: "&amp;IF(LEN(INDEX('Providers'!$N$4:$N$503,100))=0,"",INDEX('Providers'!$N$4:$N$503,100))&amp;". ")&amp;IF(LEN(IF(LEN(INDEX('Providers'!$O$4:$O$503,100))=0,"",INDEX('Providers'!$O$4:$O$503,100)))=0,"","Policy no.: "&amp;IF(LEN(INDEX('Providers'!$O$4:$O$503,100))=0,"",INDEX('Providers'!$O$4:$O$503,100))&amp;". ")&amp;IF(LEN(IF(LEN(INDEX('Providers'!$P$4:$P$503,100))=0,"",INDEX('Providers'!$P$4:$P$503,100)))=0,"","Coverage form: "&amp;IF(LEN(INDEX('Providers'!$P$4:$P$503,100))=0,"",INDEX('Providers'!$P$4:$P$503,100))&amp;". "))</f>
        <v/>
      </c>
      <c r="J2103">
        <f>IF(LEN(INDEX('Providers'!$AJ$4:$AJ$503,100))=0,"",INDEX('Providers'!$AJ$4:$AJ$503,100))</f>
        <v/>
      </c>
      <c r="K2103">
        <f>IF(LEN(INDEX('Providers'!$AI$4:$AI$503,100))=0,"",INDEX('Providers'!$AI$4:$AI$503,100))</f>
        <v/>
      </c>
    </row>
    <row r="2104">
      <c r="A2104">
        <f>IF(AND(LEN('Providers'!A104)&gt;0,ISNUMBER('Providers'!Q104)),1,0)</f>
        <v/>
      </c>
      <c r="B2104">
        <f>B2103+A2104</f>
        <v/>
      </c>
      <c r="C2104">
        <f>IF(2101&gt;$B$4503,"",MATCH(2101-0.5,$B$3:$B$4503,1))</f>
        <v/>
      </c>
      <c r="D2104">
        <f>"Malpractice insurance – "&amp;IF(LEN(INDEX('Providers'!$A$4:$A$503,101))=0,"",INDEX('Providers'!$A$4:$A$503,101))</f>
        <v/>
      </c>
      <c r="E2104">
        <f>IF(ISNUMBER(INDEX('Providers'!$Q$4:$Q$503,101)),TEXT(INDEX('Providers'!$Q$4:$Q$503,101),"yyyy-mm-dd"),"")</f>
        <v/>
      </c>
      <c r="F2104">
        <f>"Insurance"</f>
        <v/>
      </c>
      <c r="G2104">
        <f>""</f>
        <v/>
      </c>
      <c r="H2104">
        <f>"High"</f>
        <v/>
      </c>
      <c r="I2104">
        <f>TRIM(IF(LEN(IF(LEN(INDEX('Providers'!$N$4:$N$503,101))=0,"",INDEX('Providers'!$N$4:$N$503,101)))=0,"","Carrier: "&amp;IF(LEN(INDEX('Providers'!$N$4:$N$503,101))=0,"",INDEX('Providers'!$N$4:$N$503,101))&amp;". ")&amp;IF(LEN(IF(LEN(INDEX('Providers'!$O$4:$O$503,101))=0,"",INDEX('Providers'!$O$4:$O$503,101)))=0,"","Policy no.: "&amp;IF(LEN(INDEX('Providers'!$O$4:$O$503,101))=0,"",INDEX('Providers'!$O$4:$O$503,101))&amp;". ")&amp;IF(LEN(IF(LEN(INDEX('Providers'!$P$4:$P$503,101))=0,"",INDEX('Providers'!$P$4:$P$503,101)))=0,"","Coverage form: "&amp;IF(LEN(INDEX('Providers'!$P$4:$P$503,101))=0,"",INDEX('Providers'!$P$4:$P$503,101))&amp;". "))</f>
        <v/>
      </c>
      <c r="J2104">
        <f>IF(LEN(INDEX('Providers'!$AJ$4:$AJ$503,101))=0,"",INDEX('Providers'!$AJ$4:$AJ$503,101))</f>
        <v/>
      </c>
      <c r="K2104">
        <f>IF(LEN(INDEX('Providers'!$AI$4:$AI$503,101))=0,"",INDEX('Providers'!$AI$4:$AI$503,101))</f>
        <v/>
      </c>
    </row>
    <row r="2105">
      <c r="A2105">
        <f>IF(AND(LEN('Providers'!A105)&gt;0,ISNUMBER('Providers'!Q105)),1,0)</f>
        <v/>
      </c>
      <c r="B2105">
        <f>B2104+A2105</f>
        <v/>
      </c>
      <c r="C2105">
        <f>IF(2102&gt;$B$4503,"",MATCH(2102-0.5,$B$3:$B$4503,1))</f>
        <v/>
      </c>
      <c r="D2105">
        <f>"Malpractice insurance – "&amp;IF(LEN(INDEX('Providers'!$A$4:$A$503,102))=0,"",INDEX('Providers'!$A$4:$A$503,102))</f>
        <v/>
      </c>
      <c r="E2105">
        <f>IF(ISNUMBER(INDEX('Providers'!$Q$4:$Q$503,102)),TEXT(INDEX('Providers'!$Q$4:$Q$503,102),"yyyy-mm-dd"),"")</f>
        <v/>
      </c>
      <c r="F2105">
        <f>"Insurance"</f>
        <v/>
      </c>
      <c r="G2105">
        <f>""</f>
        <v/>
      </c>
      <c r="H2105">
        <f>"High"</f>
        <v/>
      </c>
      <c r="I2105">
        <f>TRIM(IF(LEN(IF(LEN(INDEX('Providers'!$N$4:$N$503,102))=0,"",INDEX('Providers'!$N$4:$N$503,102)))=0,"","Carrier: "&amp;IF(LEN(INDEX('Providers'!$N$4:$N$503,102))=0,"",INDEX('Providers'!$N$4:$N$503,102))&amp;". ")&amp;IF(LEN(IF(LEN(INDEX('Providers'!$O$4:$O$503,102))=0,"",INDEX('Providers'!$O$4:$O$503,102)))=0,"","Policy no.: "&amp;IF(LEN(INDEX('Providers'!$O$4:$O$503,102))=0,"",INDEX('Providers'!$O$4:$O$503,102))&amp;". ")&amp;IF(LEN(IF(LEN(INDEX('Providers'!$P$4:$P$503,102))=0,"",INDEX('Providers'!$P$4:$P$503,102)))=0,"","Coverage form: "&amp;IF(LEN(INDEX('Providers'!$P$4:$P$503,102))=0,"",INDEX('Providers'!$P$4:$P$503,102))&amp;". "))</f>
        <v/>
      </c>
      <c r="J2105">
        <f>IF(LEN(INDEX('Providers'!$AJ$4:$AJ$503,102))=0,"",INDEX('Providers'!$AJ$4:$AJ$503,102))</f>
        <v/>
      </c>
      <c r="K2105">
        <f>IF(LEN(INDEX('Providers'!$AI$4:$AI$503,102))=0,"",INDEX('Providers'!$AI$4:$AI$503,102))</f>
        <v/>
      </c>
    </row>
    <row r="2106">
      <c r="A2106">
        <f>IF(AND(LEN('Providers'!A106)&gt;0,ISNUMBER('Providers'!Q106)),1,0)</f>
        <v/>
      </c>
      <c r="B2106">
        <f>B2105+A2106</f>
        <v/>
      </c>
      <c r="C2106">
        <f>IF(2103&gt;$B$4503,"",MATCH(2103-0.5,$B$3:$B$4503,1))</f>
        <v/>
      </c>
      <c r="D2106">
        <f>"Malpractice insurance – "&amp;IF(LEN(INDEX('Providers'!$A$4:$A$503,103))=0,"",INDEX('Providers'!$A$4:$A$503,103))</f>
        <v/>
      </c>
      <c r="E2106">
        <f>IF(ISNUMBER(INDEX('Providers'!$Q$4:$Q$503,103)),TEXT(INDEX('Providers'!$Q$4:$Q$503,103),"yyyy-mm-dd"),"")</f>
        <v/>
      </c>
      <c r="F2106">
        <f>"Insurance"</f>
        <v/>
      </c>
      <c r="G2106">
        <f>""</f>
        <v/>
      </c>
      <c r="H2106">
        <f>"High"</f>
        <v/>
      </c>
      <c r="I2106">
        <f>TRIM(IF(LEN(IF(LEN(INDEX('Providers'!$N$4:$N$503,103))=0,"",INDEX('Providers'!$N$4:$N$503,103)))=0,"","Carrier: "&amp;IF(LEN(INDEX('Providers'!$N$4:$N$503,103))=0,"",INDEX('Providers'!$N$4:$N$503,103))&amp;". ")&amp;IF(LEN(IF(LEN(INDEX('Providers'!$O$4:$O$503,103))=0,"",INDEX('Providers'!$O$4:$O$503,103)))=0,"","Policy no.: "&amp;IF(LEN(INDEX('Providers'!$O$4:$O$503,103))=0,"",INDEX('Providers'!$O$4:$O$503,103))&amp;". ")&amp;IF(LEN(IF(LEN(INDEX('Providers'!$P$4:$P$503,103))=0,"",INDEX('Providers'!$P$4:$P$503,103)))=0,"","Coverage form: "&amp;IF(LEN(INDEX('Providers'!$P$4:$P$503,103))=0,"",INDEX('Providers'!$P$4:$P$503,103))&amp;". "))</f>
        <v/>
      </c>
      <c r="J2106">
        <f>IF(LEN(INDEX('Providers'!$AJ$4:$AJ$503,103))=0,"",INDEX('Providers'!$AJ$4:$AJ$503,103))</f>
        <v/>
      </c>
      <c r="K2106">
        <f>IF(LEN(INDEX('Providers'!$AI$4:$AI$503,103))=0,"",INDEX('Providers'!$AI$4:$AI$503,103))</f>
        <v/>
      </c>
    </row>
    <row r="2107">
      <c r="A2107">
        <f>IF(AND(LEN('Providers'!A107)&gt;0,ISNUMBER('Providers'!Q107)),1,0)</f>
        <v/>
      </c>
      <c r="B2107">
        <f>B2106+A2107</f>
        <v/>
      </c>
      <c r="C2107">
        <f>IF(2104&gt;$B$4503,"",MATCH(2104-0.5,$B$3:$B$4503,1))</f>
        <v/>
      </c>
      <c r="D2107">
        <f>"Malpractice insurance – "&amp;IF(LEN(INDEX('Providers'!$A$4:$A$503,104))=0,"",INDEX('Providers'!$A$4:$A$503,104))</f>
        <v/>
      </c>
      <c r="E2107">
        <f>IF(ISNUMBER(INDEX('Providers'!$Q$4:$Q$503,104)),TEXT(INDEX('Providers'!$Q$4:$Q$503,104),"yyyy-mm-dd"),"")</f>
        <v/>
      </c>
      <c r="F2107">
        <f>"Insurance"</f>
        <v/>
      </c>
      <c r="G2107">
        <f>""</f>
        <v/>
      </c>
      <c r="H2107">
        <f>"High"</f>
        <v/>
      </c>
      <c r="I2107">
        <f>TRIM(IF(LEN(IF(LEN(INDEX('Providers'!$N$4:$N$503,104))=0,"",INDEX('Providers'!$N$4:$N$503,104)))=0,"","Carrier: "&amp;IF(LEN(INDEX('Providers'!$N$4:$N$503,104))=0,"",INDEX('Providers'!$N$4:$N$503,104))&amp;". ")&amp;IF(LEN(IF(LEN(INDEX('Providers'!$O$4:$O$503,104))=0,"",INDEX('Providers'!$O$4:$O$503,104)))=0,"","Policy no.: "&amp;IF(LEN(INDEX('Providers'!$O$4:$O$503,104))=0,"",INDEX('Providers'!$O$4:$O$503,104))&amp;". ")&amp;IF(LEN(IF(LEN(INDEX('Providers'!$P$4:$P$503,104))=0,"",INDEX('Providers'!$P$4:$P$503,104)))=0,"","Coverage form: "&amp;IF(LEN(INDEX('Providers'!$P$4:$P$503,104))=0,"",INDEX('Providers'!$P$4:$P$503,104))&amp;". "))</f>
        <v/>
      </c>
      <c r="J2107">
        <f>IF(LEN(INDEX('Providers'!$AJ$4:$AJ$503,104))=0,"",INDEX('Providers'!$AJ$4:$AJ$503,104))</f>
        <v/>
      </c>
      <c r="K2107">
        <f>IF(LEN(INDEX('Providers'!$AI$4:$AI$503,104))=0,"",INDEX('Providers'!$AI$4:$AI$503,104))</f>
        <v/>
      </c>
    </row>
    <row r="2108">
      <c r="A2108">
        <f>IF(AND(LEN('Providers'!A108)&gt;0,ISNUMBER('Providers'!Q108)),1,0)</f>
        <v/>
      </c>
      <c r="B2108">
        <f>B2107+A2108</f>
        <v/>
      </c>
      <c r="C2108">
        <f>IF(2105&gt;$B$4503,"",MATCH(2105-0.5,$B$3:$B$4503,1))</f>
        <v/>
      </c>
      <c r="D2108">
        <f>"Malpractice insurance – "&amp;IF(LEN(INDEX('Providers'!$A$4:$A$503,105))=0,"",INDEX('Providers'!$A$4:$A$503,105))</f>
        <v/>
      </c>
      <c r="E2108">
        <f>IF(ISNUMBER(INDEX('Providers'!$Q$4:$Q$503,105)),TEXT(INDEX('Providers'!$Q$4:$Q$503,105),"yyyy-mm-dd"),"")</f>
        <v/>
      </c>
      <c r="F2108">
        <f>"Insurance"</f>
        <v/>
      </c>
      <c r="G2108">
        <f>""</f>
        <v/>
      </c>
      <c r="H2108">
        <f>"High"</f>
        <v/>
      </c>
      <c r="I2108">
        <f>TRIM(IF(LEN(IF(LEN(INDEX('Providers'!$N$4:$N$503,105))=0,"",INDEX('Providers'!$N$4:$N$503,105)))=0,"","Carrier: "&amp;IF(LEN(INDEX('Providers'!$N$4:$N$503,105))=0,"",INDEX('Providers'!$N$4:$N$503,105))&amp;". ")&amp;IF(LEN(IF(LEN(INDEX('Providers'!$O$4:$O$503,105))=0,"",INDEX('Providers'!$O$4:$O$503,105)))=0,"","Policy no.: "&amp;IF(LEN(INDEX('Providers'!$O$4:$O$503,105))=0,"",INDEX('Providers'!$O$4:$O$503,105))&amp;". ")&amp;IF(LEN(IF(LEN(INDEX('Providers'!$P$4:$P$503,105))=0,"",INDEX('Providers'!$P$4:$P$503,105)))=0,"","Coverage form: "&amp;IF(LEN(INDEX('Providers'!$P$4:$P$503,105))=0,"",INDEX('Providers'!$P$4:$P$503,105))&amp;". "))</f>
        <v/>
      </c>
      <c r="J2108">
        <f>IF(LEN(INDEX('Providers'!$AJ$4:$AJ$503,105))=0,"",INDEX('Providers'!$AJ$4:$AJ$503,105))</f>
        <v/>
      </c>
      <c r="K2108">
        <f>IF(LEN(INDEX('Providers'!$AI$4:$AI$503,105))=0,"",INDEX('Providers'!$AI$4:$AI$503,105))</f>
        <v/>
      </c>
    </row>
    <row r="2109">
      <c r="A2109">
        <f>IF(AND(LEN('Providers'!A109)&gt;0,ISNUMBER('Providers'!Q109)),1,0)</f>
        <v/>
      </c>
      <c r="B2109">
        <f>B2108+A2109</f>
        <v/>
      </c>
      <c r="C2109">
        <f>IF(2106&gt;$B$4503,"",MATCH(2106-0.5,$B$3:$B$4503,1))</f>
        <v/>
      </c>
      <c r="D2109">
        <f>"Malpractice insurance – "&amp;IF(LEN(INDEX('Providers'!$A$4:$A$503,106))=0,"",INDEX('Providers'!$A$4:$A$503,106))</f>
        <v/>
      </c>
      <c r="E2109">
        <f>IF(ISNUMBER(INDEX('Providers'!$Q$4:$Q$503,106)),TEXT(INDEX('Providers'!$Q$4:$Q$503,106),"yyyy-mm-dd"),"")</f>
        <v/>
      </c>
      <c r="F2109">
        <f>"Insurance"</f>
        <v/>
      </c>
      <c r="G2109">
        <f>""</f>
        <v/>
      </c>
      <c r="H2109">
        <f>"High"</f>
        <v/>
      </c>
      <c r="I2109">
        <f>TRIM(IF(LEN(IF(LEN(INDEX('Providers'!$N$4:$N$503,106))=0,"",INDEX('Providers'!$N$4:$N$503,106)))=0,"","Carrier: "&amp;IF(LEN(INDEX('Providers'!$N$4:$N$503,106))=0,"",INDEX('Providers'!$N$4:$N$503,106))&amp;". ")&amp;IF(LEN(IF(LEN(INDEX('Providers'!$O$4:$O$503,106))=0,"",INDEX('Providers'!$O$4:$O$503,106)))=0,"","Policy no.: "&amp;IF(LEN(INDEX('Providers'!$O$4:$O$503,106))=0,"",INDEX('Providers'!$O$4:$O$503,106))&amp;". ")&amp;IF(LEN(IF(LEN(INDEX('Providers'!$P$4:$P$503,106))=0,"",INDEX('Providers'!$P$4:$P$503,106)))=0,"","Coverage form: "&amp;IF(LEN(INDEX('Providers'!$P$4:$P$503,106))=0,"",INDEX('Providers'!$P$4:$P$503,106))&amp;". "))</f>
        <v/>
      </c>
      <c r="J2109">
        <f>IF(LEN(INDEX('Providers'!$AJ$4:$AJ$503,106))=0,"",INDEX('Providers'!$AJ$4:$AJ$503,106))</f>
        <v/>
      </c>
      <c r="K2109">
        <f>IF(LEN(INDEX('Providers'!$AI$4:$AI$503,106))=0,"",INDEX('Providers'!$AI$4:$AI$503,106))</f>
        <v/>
      </c>
    </row>
    <row r="2110">
      <c r="A2110">
        <f>IF(AND(LEN('Providers'!A110)&gt;0,ISNUMBER('Providers'!Q110)),1,0)</f>
        <v/>
      </c>
      <c r="B2110">
        <f>B2109+A2110</f>
        <v/>
      </c>
      <c r="C2110">
        <f>IF(2107&gt;$B$4503,"",MATCH(2107-0.5,$B$3:$B$4503,1))</f>
        <v/>
      </c>
      <c r="D2110">
        <f>"Malpractice insurance – "&amp;IF(LEN(INDEX('Providers'!$A$4:$A$503,107))=0,"",INDEX('Providers'!$A$4:$A$503,107))</f>
        <v/>
      </c>
      <c r="E2110">
        <f>IF(ISNUMBER(INDEX('Providers'!$Q$4:$Q$503,107)),TEXT(INDEX('Providers'!$Q$4:$Q$503,107),"yyyy-mm-dd"),"")</f>
        <v/>
      </c>
      <c r="F2110">
        <f>"Insurance"</f>
        <v/>
      </c>
      <c r="G2110">
        <f>""</f>
        <v/>
      </c>
      <c r="H2110">
        <f>"High"</f>
        <v/>
      </c>
      <c r="I2110">
        <f>TRIM(IF(LEN(IF(LEN(INDEX('Providers'!$N$4:$N$503,107))=0,"",INDEX('Providers'!$N$4:$N$503,107)))=0,"","Carrier: "&amp;IF(LEN(INDEX('Providers'!$N$4:$N$503,107))=0,"",INDEX('Providers'!$N$4:$N$503,107))&amp;". ")&amp;IF(LEN(IF(LEN(INDEX('Providers'!$O$4:$O$503,107))=0,"",INDEX('Providers'!$O$4:$O$503,107)))=0,"","Policy no.: "&amp;IF(LEN(INDEX('Providers'!$O$4:$O$503,107))=0,"",INDEX('Providers'!$O$4:$O$503,107))&amp;". ")&amp;IF(LEN(IF(LEN(INDEX('Providers'!$P$4:$P$503,107))=0,"",INDEX('Providers'!$P$4:$P$503,107)))=0,"","Coverage form: "&amp;IF(LEN(INDEX('Providers'!$P$4:$P$503,107))=0,"",INDEX('Providers'!$P$4:$P$503,107))&amp;". "))</f>
        <v/>
      </c>
      <c r="J2110">
        <f>IF(LEN(INDEX('Providers'!$AJ$4:$AJ$503,107))=0,"",INDEX('Providers'!$AJ$4:$AJ$503,107))</f>
        <v/>
      </c>
      <c r="K2110">
        <f>IF(LEN(INDEX('Providers'!$AI$4:$AI$503,107))=0,"",INDEX('Providers'!$AI$4:$AI$503,107))</f>
        <v/>
      </c>
    </row>
    <row r="2111">
      <c r="A2111">
        <f>IF(AND(LEN('Providers'!A111)&gt;0,ISNUMBER('Providers'!Q111)),1,0)</f>
        <v/>
      </c>
      <c r="B2111">
        <f>B2110+A2111</f>
        <v/>
      </c>
      <c r="C2111">
        <f>IF(2108&gt;$B$4503,"",MATCH(2108-0.5,$B$3:$B$4503,1))</f>
        <v/>
      </c>
      <c r="D2111">
        <f>"Malpractice insurance – "&amp;IF(LEN(INDEX('Providers'!$A$4:$A$503,108))=0,"",INDEX('Providers'!$A$4:$A$503,108))</f>
        <v/>
      </c>
      <c r="E2111">
        <f>IF(ISNUMBER(INDEX('Providers'!$Q$4:$Q$503,108)),TEXT(INDEX('Providers'!$Q$4:$Q$503,108),"yyyy-mm-dd"),"")</f>
        <v/>
      </c>
      <c r="F2111">
        <f>"Insurance"</f>
        <v/>
      </c>
      <c r="G2111">
        <f>""</f>
        <v/>
      </c>
      <c r="H2111">
        <f>"High"</f>
        <v/>
      </c>
      <c r="I2111">
        <f>TRIM(IF(LEN(IF(LEN(INDEX('Providers'!$N$4:$N$503,108))=0,"",INDEX('Providers'!$N$4:$N$503,108)))=0,"","Carrier: "&amp;IF(LEN(INDEX('Providers'!$N$4:$N$503,108))=0,"",INDEX('Providers'!$N$4:$N$503,108))&amp;". ")&amp;IF(LEN(IF(LEN(INDEX('Providers'!$O$4:$O$503,108))=0,"",INDEX('Providers'!$O$4:$O$503,108)))=0,"","Policy no.: "&amp;IF(LEN(INDEX('Providers'!$O$4:$O$503,108))=0,"",INDEX('Providers'!$O$4:$O$503,108))&amp;". ")&amp;IF(LEN(IF(LEN(INDEX('Providers'!$P$4:$P$503,108))=0,"",INDEX('Providers'!$P$4:$P$503,108)))=0,"","Coverage form: "&amp;IF(LEN(INDEX('Providers'!$P$4:$P$503,108))=0,"",INDEX('Providers'!$P$4:$P$503,108))&amp;". "))</f>
        <v/>
      </c>
      <c r="J2111">
        <f>IF(LEN(INDEX('Providers'!$AJ$4:$AJ$503,108))=0,"",INDEX('Providers'!$AJ$4:$AJ$503,108))</f>
        <v/>
      </c>
      <c r="K2111">
        <f>IF(LEN(INDEX('Providers'!$AI$4:$AI$503,108))=0,"",INDEX('Providers'!$AI$4:$AI$503,108))</f>
        <v/>
      </c>
    </row>
    <row r="2112">
      <c r="A2112">
        <f>IF(AND(LEN('Providers'!A112)&gt;0,ISNUMBER('Providers'!Q112)),1,0)</f>
        <v/>
      </c>
      <c r="B2112">
        <f>B2111+A2112</f>
        <v/>
      </c>
      <c r="C2112">
        <f>IF(2109&gt;$B$4503,"",MATCH(2109-0.5,$B$3:$B$4503,1))</f>
        <v/>
      </c>
      <c r="D2112">
        <f>"Malpractice insurance – "&amp;IF(LEN(INDEX('Providers'!$A$4:$A$503,109))=0,"",INDEX('Providers'!$A$4:$A$503,109))</f>
        <v/>
      </c>
      <c r="E2112">
        <f>IF(ISNUMBER(INDEX('Providers'!$Q$4:$Q$503,109)),TEXT(INDEX('Providers'!$Q$4:$Q$503,109),"yyyy-mm-dd"),"")</f>
        <v/>
      </c>
      <c r="F2112">
        <f>"Insurance"</f>
        <v/>
      </c>
      <c r="G2112">
        <f>""</f>
        <v/>
      </c>
      <c r="H2112">
        <f>"High"</f>
        <v/>
      </c>
      <c r="I2112">
        <f>TRIM(IF(LEN(IF(LEN(INDEX('Providers'!$N$4:$N$503,109))=0,"",INDEX('Providers'!$N$4:$N$503,109)))=0,"","Carrier: "&amp;IF(LEN(INDEX('Providers'!$N$4:$N$503,109))=0,"",INDEX('Providers'!$N$4:$N$503,109))&amp;". ")&amp;IF(LEN(IF(LEN(INDEX('Providers'!$O$4:$O$503,109))=0,"",INDEX('Providers'!$O$4:$O$503,109)))=0,"","Policy no.: "&amp;IF(LEN(INDEX('Providers'!$O$4:$O$503,109))=0,"",INDEX('Providers'!$O$4:$O$503,109))&amp;". ")&amp;IF(LEN(IF(LEN(INDEX('Providers'!$P$4:$P$503,109))=0,"",INDEX('Providers'!$P$4:$P$503,109)))=0,"","Coverage form: "&amp;IF(LEN(INDEX('Providers'!$P$4:$P$503,109))=0,"",INDEX('Providers'!$P$4:$P$503,109))&amp;". "))</f>
        <v/>
      </c>
      <c r="J2112">
        <f>IF(LEN(INDEX('Providers'!$AJ$4:$AJ$503,109))=0,"",INDEX('Providers'!$AJ$4:$AJ$503,109))</f>
        <v/>
      </c>
      <c r="K2112">
        <f>IF(LEN(INDEX('Providers'!$AI$4:$AI$503,109))=0,"",INDEX('Providers'!$AI$4:$AI$503,109))</f>
        <v/>
      </c>
    </row>
    <row r="2113">
      <c r="A2113">
        <f>IF(AND(LEN('Providers'!A113)&gt;0,ISNUMBER('Providers'!Q113)),1,0)</f>
        <v/>
      </c>
      <c r="B2113">
        <f>B2112+A2113</f>
        <v/>
      </c>
      <c r="C2113">
        <f>IF(2110&gt;$B$4503,"",MATCH(2110-0.5,$B$3:$B$4503,1))</f>
        <v/>
      </c>
      <c r="D2113">
        <f>"Malpractice insurance – "&amp;IF(LEN(INDEX('Providers'!$A$4:$A$503,110))=0,"",INDEX('Providers'!$A$4:$A$503,110))</f>
        <v/>
      </c>
      <c r="E2113">
        <f>IF(ISNUMBER(INDEX('Providers'!$Q$4:$Q$503,110)),TEXT(INDEX('Providers'!$Q$4:$Q$503,110),"yyyy-mm-dd"),"")</f>
        <v/>
      </c>
      <c r="F2113">
        <f>"Insurance"</f>
        <v/>
      </c>
      <c r="G2113">
        <f>""</f>
        <v/>
      </c>
      <c r="H2113">
        <f>"High"</f>
        <v/>
      </c>
      <c r="I2113">
        <f>TRIM(IF(LEN(IF(LEN(INDEX('Providers'!$N$4:$N$503,110))=0,"",INDEX('Providers'!$N$4:$N$503,110)))=0,"","Carrier: "&amp;IF(LEN(INDEX('Providers'!$N$4:$N$503,110))=0,"",INDEX('Providers'!$N$4:$N$503,110))&amp;". ")&amp;IF(LEN(IF(LEN(INDEX('Providers'!$O$4:$O$503,110))=0,"",INDEX('Providers'!$O$4:$O$503,110)))=0,"","Policy no.: "&amp;IF(LEN(INDEX('Providers'!$O$4:$O$503,110))=0,"",INDEX('Providers'!$O$4:$O$503,110))&amp;". ")&amp;IF(LEN(IF(LEN(INDEX('Providers'!$P$4:$P$503,110))=0,"",INDEX('Providers'!$P$4:$P$503,110)))=0,"","Coverage form: "&amp;IF(LEN(INDEX('Providers'!$P$4:$P$503,110))=0,"",INDEX('Providers'!$P$4:$P$503,110))&amp;". "))</f>
        <v/>
      </c>
      <c r="J2113">
        <f>IF(LEN(INDEX('Providers'!$AJ$4:$AJ$503,110))=0,"",INDEX('Providers'!$AJ$4:$AJ$503,110))</f>
        <v/>
      </c>
      <c r="K2113">
        <f>IF(LEN(INDEX('Providers'!$AI$4:$AI$503,110))=0,"",INDEX('Providers'!$AI$4:$AI$503,110))</f>
        <v/>
      </c>
    </row>
    <row r="2114">
      <c r="A2114">
        <f>IF(AND(LEN('Providers'!A114)&gt;0,ISNUMBER('Providers'!Q114)),1,0)</f>
        <v/>
      </c>
      <c r="B2114">
        <f>B2113+A2114</f>
        <v/>
      </c>
      <c r="C2114">
        <f>IF(2111&gt;$B$4503,"",MATCH(2111-0.5,$B$3:$B$4503,1))</f>
        <v/>
      </c>
      <c r="D2114">
        <f>"Malpractice insurance – "&amp;IF(LEN(INDEX('Providers'!$A$4:$A$503,111))=0,"",INDEX('Providers'!$A$4:$A$503,111))</f>
        <v/>
      </c>
      <c r="E2114">
        <f>IF(ISNUMBER(INDEX('Providers'!$Q$4:$Q$503,111)),TEXT(INDEX('Providers'!$Q$4:$Q$503,111),"yyyy-mm-dd"),"")</f>
        <v/>
      </c>
      <c r="F2114">
        <f>"Insurance"</f>
        <v/>
      </c>
      <c r="G2114">
        <f>""</f>
        <v/>
      </c>
      <c r="H2114">
        <f>"High"</f>
        <v/>
      </c>
      <c r="I2114">
        <f>TRIM(IF(LEN(IF(LEN(INDEX('Providers'!$N$4:$N$503,111))=0,"",INDEX('Providers'!$N$4:$N$503,111)))=0,"","Carrier: "&amp;IF(LEN(INDEX('Providers'!$N$4:$N$503,111))=0,"",INDEX('Providers'!$N$4:$N$503,111))&amp;". ")&amp;IF(LEN(IF(LEN(INDEX('Providers'!$O$4:$O$503,111))=0,"",INDEX('Providers'!$O$4:$O$503,111)))=0,"","Policy no.: "&amp;IF(LEN(INDEX('Providers'!$O$4:$O$503,111))=0,"",INDEX('Providers'!$O$4:$O$503,111))&amp;". ")&amp;IF(LEN(IF(LEN(INDEX('Providers'!$P$4:$P$503,111))=0,"",INDEX('Providers'!$P$4:$P$503,111)))=0,"","Coverage form: "&amp;IF(LEN(INDEX('Providers'!$P$4:$P$503,111))=0,"",INDEX('Providers'!$P$4:$P$503,111))&amp;". "))</f>
        <v/>
      </c>
      <c r="J2114">
        <f>IF(LEN(INDEX('Providers'!$AJ$4:$AJ$503,111))=0,"",INDEX('Providers'!$AJ$4:$AJ$503,111))</f>
        <v/>
      </c>
      <c r="K2114">
        <f>IF(LEN(INDEX('Providers'!$AI$4:$AI$503,111))=0,"",INDEX('Providers'!$AI$4:$AI$503,111))</f>
        <v/>
      </c>
    </row>
    <row r="2115">
      <c r="A2115">
        <f>IF(AND(LEN('Providers'!A115)&gt;0,ISNUMBER('Providers'!Q115)),1,0)</f>
        <v/>
      </c>
      <c r="B2115">
        <f>B2114+A2115</f>
        <v/>
      </c>
      <c r="C2115">
        <f>IF(2112&gt;$B$4503,"",MATCH(2112-0.5,$B$3:$B$4503,1))</f>
        <v/>
      </c>
      <c r="D2115">
        <f>"Malpractice insurance – "&amp;IF(LEN(INDEX('Providers'!$A$4:$A$503,112))=0,"",INDEX('Providers'!$A$4:$A$503,112))</f>
        <v/>
      </c>
      <c r="E2115">
        <f>IF(ISNUMBER(INDEX('Providers'!$Q$4:$Q$503,112)),TEXT(INDEX('Providers'!$Q$4:$Q$503,112),"yyyy-mm-dd"),"")</f>
        <v/>
      </c>
      <c r="F2115">
        <f>"Insurance"</f>
        <v/>
      </c>
      <c r="G2115">
        <f>""</f>
        <v/>
      </c>
      <c r="H2115">
        <f>"High"</f>
        <v/>
      </c>
      <c r="I2115">
        <f>TRIM(IF(LEN(IF(LEN(INDEX('Providers'!$N$4:$N$503,112))=0,"",INDEX('Providers'!$N$4:$N$503,112)))=0,"","Carrier: "&amp;IF(LEN(INDEX('Providers'!$N$4:$N$503,112))=0,"",INDEX('Providers'!$N$4:$N$503,112))&amp;". ")&amp;IF(LEN(IF(LEN(INDEX('Providers'!$O$4:$O$503,112))=0,"",INDEX('Providers'!$O$4:$O$503,112)))=0,"","Policy no.: "&amp;IF(LEN(INDEX('Providers'!$O$4:$O$503,112))=0,"",INDEX('Providers'!$O$4:$O$503,112))&amp;". ")&amp;IF(LEN(IF(LEN(INDEX('Providers'!$P$4:$P$503,112))=0,"",INDEX('Providers'!$P$4:$P$503,112)))=0,"","Coverage form: "&amp;IF(LEN(INDEX('Providers'!$P$4:$P$503,112))=0,"",INDEX('Providers'!$P$4:$P$503,112))&amp;". "))</f>
        <v/>
      </c>
      <c r="J2115">
        <f>IF(LEN(INDEX('Providers'!$AJ$4:$AJ$503,112))=0,"",INDEX('Providers'!$AJ$4:$AJ$503,112))</f>
        <v/>
      </c>
      <c r="K2115">
        <f>IF(LEN(INDEX('Providers'!$AI$4:$AI$503,112))=0,"",INDEX('Providers'!$AI$4:$AI$503,112))</f>
        <v/>
      </c>
    </row>
    <row r="2116">
      <c r="A2116">
        <f>IF(AND(LEN('Providers'!A116)&gt;0,ISNUMBER('Providers'!Q116)),1,0)</f>
        <v/>
      </c>
      <c r="B2116">
        <f>B2115+A2116</f>
        <v/>
      </c>
      <c r="C2116">
        <f>IF(2113&gt;$B$4503,"",MATCH(2113-0.5,$B$3:$B$4503,1))</f>
        <v/>
      </c>
      <c r="D2116">
        <f>"Malpractice insurance – "&amp;IF(LEN(INDEX('Providers'!$A$4:$A$503,113))=0,"",INDEX('Providers'!$A$4:$A$503,113))</f>
        <v/>
      </c>
      <c r="E2116">
        <f>IF(ISNUMBER(INDEX('Providers'!$Q$4:$Q$503,113)),TEXT(INDEX('Providers'!$Q$4:$Q$503,113),"yyyy-mm-dd"),"")</f>
        <v/>
      </c>
      <c r="F2116">
        <f>"Insurance"</f>
        <v/>
      </c>
      <c r="G2116">
        <f>""</f>
        <v/>
      </c>
      <c r="H2116">
        <f>"High"</f>
        <v/>
      </c>
      <c r="I2116">
        <f>TRIM(IF(LEN(IF(LEN(INDEX('Providers'!$N$4:$N$503,113))=0,"",INDEX('Providers'!$N$4:$N$503,113)))=0,"","Carrier: "&amp;IF(LEN(INDEX('Providers'!$N$4:$N$503,113))=0,"",INDEX('Providers'!$N$4:$N$503,113))&amp;". ")&amp;IF(LEN(IF(LEN(INDEX('Providers'!$O$4:$O$503,113))=0,"",INDEX('Providers'!$O$4:$O$503,113)))=0,"","Policy no.: "&amp;IF(LEN(INDEX('Providers'!$O$4:$O$503,113))=0,"",INDEX('Providers'!$O$4:$O$503,113))&amp;". ")&amp;IF(LEN(IF(LEN(INDEX('Providers'!$P$4:$P$503,113))=0,"",INDEX('Providers'!$P$4:$P$503,113)))=0,"","Coverage form: "&amp;IF(LEN(INDEX('Providers'!$P$4:$P$503,113))=0,"",INDEX('Providers'!$P$4:$P$503,113))&amp;". "))</f>
        <v/>
      </c>
      <c r="J2116">
        <f>IF(LEN(INDEX('Providers'!$AJ$4:$AJ$503,113))=0,"",INDEX('Providers'!$AJ$4:$AJ$503,113))</f>
        <v/>
      </c>
      <c r="K2116">
        <f>IF(LEN(INDEX('Providers'!$AI$4:$AI$503,113))=0,"",INDEX('Providers'!$AI$4:$AI$503,113))</f>
        <v/>
      </c>
    </row>
    <row r="2117">
      <c r="A2117">
        <f>IF(AND(LEN('Providers'!A117)&gt;0,ISNUMBER('Providers'!Q117)),1,0)</f>
        <v/>
      </c>
      <c r="B2117">
        <f>B2116+A2117</f>
        <v/>
      </c>
      <c r="C2117">
        <f>IF(2114&gt;$B$4503,"",MATCH(2114-0.5,$B$3:$B$4503,1))</f>
        <v/>
      </c>
      <c r="D2117">
        <f>"Malpractice insurance – "&amp;IF(LEN(INDEX('Providers'!$A$4:$A$503,114))=0,"",INDEX('Providers'!$A$4:$A$503,114))</f>
        <v/>
      </c>
      <c r="E2117">
        <f>IF(ISNUMBER(INDEX('Providers'!$Q$4:$Q$503,114)),TEXT(INDEX('Providers'!$Q$4:$Q$503,114),"yyyy-mm-dd"),"")</f>
        <v/>
      </c>
      <c r="F2117">
        <f>"Insurance"</f>
        <v/>
      </c>
      <c r="G2117">
        <f>""</f>
        <v/>
      </c>
      <c r="H2117">
        <f>"High"</f>
        <v/>
      </c>
      <c r="I2117">
        <f>TRIM(IF(LEN(IF(LEN(INDEX('Providers'!$N$4:$N$503,114))=0,"",INDEX('Providers'!$N$4:$N$503,114)))=0,"","Carrier: "&amp;IF(LEN(INDEX('Providers'!$N$4:$N$503,114))=0,"",INDEX('Providers'!$N$4:$N$503,114))&amp;". ")&amp;IF(LEN(IF(LEN(INDEX('Providers'!$O$4:$O$503,114))=0,"",INDEX('Providers'!$O$4:$O$503,114)))=0,"","Policy no.: "&amp;IF(LEN(INDEX('Providers'!$O$4:$O$503,114))=0,"",INDEX('Providers'!$O$4:$O$503,114))&amp;". ")&amp;IF(LEN(IF(LEN(INDEX('Providers'!$P$4:$P$503,114))=0,"",INDEX('Providers'!$P$4:$P$503,114)))=0,"","Coverage form: "&amp;IF(LEN(INDEX('Providers'!$P$4:$P$503,114))=0,"",INDEX('Providers'!$P$4:$P$503,114))&amp;". "))</f>
        <v/>
      </c>
      <c r="J2117">
        <f>IF(LEN(INDEX('Providers'!$AJ$4:$AJ$503,114))=0,"",INDEX('Providers'!$AJ$4:$AJ$503,114))</f>
        <v/>
      </c>
      <c r="K2117">
        <f>IF(LEN(INDEX('Providers'!$AI$4:$AI$503,114))=0,"",INDEX('Providers'!$AI$4:$AI$503,114))</f>
        <v/>
      </c>
    </row>
    <row r="2118">
      <c r="A2118">
        <f>IF(AND(LEN('Providers'!A118)&gt;0,ISNUMBER('Providers'!Q118)),1,0)</f>
        <v/>
      </c>
      <c r="B2118">
        <f>B2117+A2118</f>
        <v/>
      </c>
      <c r="C2118">
        <f>IF(2115&gt;$B$4503,"",MATCH(2115-0.5,$B$3:$B$4503,1))</f>
        <v/>
      </c>
      <c r="D2118">
        <f>"Malpractice insurance – "&amp;IF(LEN(INDEX('Providers'!$A$4:$A$503,115))=0,"",INDEX('Providers'!$A$4:$A$503,115))</f>
        <v/>
      </c>
      <c r="E2118">
        <f>IF(ISNUMBER(INDEX('Providers'!$Q$4:$Q$503,115)),TEXT(INDEX('Providers'!$Q$4:$Q$503,115),"yyyy-mm-dd"),"")</f>
        <v/>
      </c>
      <c r="F2118">
        <f>"Insurance"</f>
        <v/>
      </c>
      <c r="G2118">
        <f>""</f>
        <v/>
      </c>
      <c r="H2118">
        <f>"High"</f>
        <v/>
      </c>
      <c r="I2118">
        <f>TRIM(IF(LEN(IF(LEN(INDEX('Providers'!$N$4:$N$503,115))=0,"",INDEX('Providers'!$N$4:$N$503,115)))=0,"","Carrier: "&amp;IF(LEN(INDEX('Providers'!$N$4:$N$503,115))=0,"",INDEX('Providers'!$N$4:$N$503,115))&amp;". ")&amp;IF(LEN(IF(LEN(INDEX('Providers'!$O$4:$O$503,115))=0,"",INDEX('Providers'!$O$4:$O$503,115)))=0,"","Policy no.: "&amp;IF(LEN(INDEX('Providers'!$O$4:$O$503,115))=0,"",INDEX('Providers'!$O$4:$O$503,115))&amp;". ")&amp;IF(LEN(IF(LEN(INDEX('Providers'!$P$4:$P$503,115))=0,"",INDEX('Providers'!$P$4:$P$503,115)))=0,"","Coverage form: "&amp;IF(LEN(INDEX('Providers'!$P$4:$P$503,115))=0,"",INDEX('Providers'!$P$4:$P$503,115))&amp;". "))</f>
        <v/>
      </c>
      <c r="J2118">
        <f>IF(LEN(INDEX('Providers'!$AJ$4:$AJ$503,115))=0,"",INDEX('Providers'!$AJ$4:$AJ$503,115))</f>
        <v/>
      </c>
      <c r="K2118">
        <f>IF(LEN(INDEX('Providers'!$AI$4:$AI$503,115))=0,"",INDEX('Providers'!$AI$4:$AI$503,115))</f>
        <v/>
      </c>
    </row>
    <row r="2119">
      <c r="A2119">
        <f>IF(AND(LEN('Providers'!A119)&gt;0,ISNUMBER('Providers'!Q119)),1,0)</f>
        <v/>
      </c>
      <c r="B2119">
        <f>B2118+A2119</f>
        <v/>
      </c>
      <c r="C2119">
        <f>IF(2116&gt;$B$4503,"",MATCH(2116-0.5,$B$3:$B$4503,1))</f>
        <v/>
      </c>
      <c r="D2119">
        <f>"Malpractice insurance – "&amp;IF(LEN(INDEX('Providers'!$A$4:$A$503,116))=0,"",INDEX('Providers'!$A$4:$A$503,116))</f>
        <v/>
      </c>
      <c r="E2119">
        <f>IF(ISNUMBER(INDEX('Providers'!$Q$4:$Q$503,116)),TEXT(INDEX('Providers'!$Q$4:$Q$503,116),"yyyy-mm-dd"),"")</f>
        <v/>
      </c>
      <c r="F2119">
        <f>"Insurance"</f>
        <v/>
      </c>
      <c r="G2119">
        <f>""</f>
        <v/>
      </c>
      <c r="H2119">
        <f>"High"</f>
        <v/>
      </c>
      <c r="I2119">
        <f>TRIM(IF(LEN(IF(LEN(INDEX('Providers'!$N$4:$N$503,116))=0,"",INDEX('Providers'!$N$4:$N$503,116)))=0,"","Carrier: "&amp;IF(LEN(INDEX('Providers'!$N$4:$N$503,116))=0,"",INDEX('Providers'!$N$4:$N$503,116))&amp;". ")&amp;IF(LEN(IF(LEN(INDEX('Providers'!$O$4:$O$503,116))=0,"",INDEX('Providers'!$O$4:$O$503,116)))=0,"","Policy no.: "&amp;IF(LEN(INDEX('Providers'!$O$4:$O$503,116))=0,"",INDEX('Providers'!$O$4:$O$503,116))&amp;". ")&amp;IF(LEN(IF(LEN(INDEX('Providers'!$P$4:$P$503,116))=0,"",INDEX('Providers'!$P$4:$P$503,116)))=0,"","Coverage form: "&amp;IF(LEN(INDEX('Providers'!$P$4:$P$503,116))=0,"",INDEX('Providers'!$P$4:$P$503,116))&amp;". "))</f>
        <v/>
      </c>
      <c r="J2119">
        <f>IF(LEN(INDEX('Providers'!$AJ$4:$AJ$503,116))=0,"",INDEX('Providers'!$AJ$4:$AJ$503,116))</f>
        <v/>
      </c>
      <c r="K2119">
        <f>IF(LEN(INDEX('Providers'!$AI$4:$AI$503,116))=0,"",INDEX('Providers'!$AI$4:$AI$503,116))</f>
        <v/>
      </c>
    </row>
    <row r="2120">
      <c r="A2120">
        <f>IF(AND(LEN('Providers'!A120)&gt;0,ISNUMBER('Providers'!Q120)),1,0)</f>
        <v/>
      </c>
      <c r="B2120">
        <f>B2119+A2120</f>
        <v/>
      </c>
      <c r="C2120">
        <f>IF(2117&gt;$B$4503,"",MATCH(2117-0.5,$B$3:$B$4503,1))</f>
        <v/>
      </c>
      <c r="D2120">
        <f>"Malpractice insurance – "&amp;IF(LEN(INDEX('Providers'!$A$4:$A$503,117))=0,"",INDEX('Providers'!$A$4:$A$503,117))</f>
        <v/>
      </c>
      <c r="E2120">
        <f>IF(ISNUMBER(INDEX('Providers'!$Q$4:$Q$503,117)),TEXT(INDEX('Providers'!$Q$4:$Q$503,117),"yyyy-mm-dd"),"")</f>
        <v/>
      </c>
      <c r="F2120">
        <f>"Insurance"</f>
        <v/>
      </c>
      <c r="G2120">
        <f>""</f>
        <v/>
      </c>
      <c r="H2120">
        <f>"High"</f>
        <v/>
      </c>
      <c r="I2120">
        <f>TRIM(IF(LEN(IF(LEN(INDEX('Providers'!$N$4:$N$503,117))=0,"",INDEX('Providers'!$N$4:$N$503,117)))=0,"","Carrier: "&amp;IF(LEN(INDEX('Providers'!$N$4:$N$503,117))=0,"",INDEX('Providers'!$N$4:$N$503,117))&amp;". ")&amp;IF(LEN(IF(LEN(INDEX('Providers'!$O$4:$O$503,117))=0,"",INDEX('Providers'!$O$4:$O$503,117)))=0,"","Policy no.: "&amp;IF(LEN(INDEX('Providers'!$O$4:$O$503,117))=0,"",INDEX('Providers'!$O$4:$O$503,117))&amp;". ")&amp;IF(LEN(IF(LEN(INDEX('Providers'!$P$4:$P$503,117))=0,"",INDEX('Providers'!$P$4:$P$503,117)))=0,"","Coverage form: "&amp;IF(LEN(INDEX('Providers'!$P$4:$P$503,117))=0,"",INDEX('Providers'!$P$4:$P$503,117))&amp;". "))</f>
        <v/>
      </c>
      <c r="J2120">
        <f>IF(LEN(INDEX('Providers'!$AJ$4:$AJ$503,117))=0,"",INDEX('Providers'!$AJ$4:$AJ$503,117))</f>
        <v/>
      </c>
      <c r="K2120">
        <f>IF(LEN(INDEX('Providers'!$AI$4:$AI$503,117))=0,"",INDEX('Providers'!$AI$4:$AI$503,117))</f>
        <v/>
      </c>
    </row>
    <row r="2121">
      <c r="A2121">
        <f>IF(AND(LEN('Providers'!A121)&gt;0,ISNUMBER('Providers'!Q121)),1,0)</f>
        <v/>
      </c>
      <c r="B2121">
        <f>B2120+A2121</f>
        <v/>
      </c>
      <c r="C2121">
        <f>IF(2118&gt;$B$4503,"",MATCH(2118-0.5,$B$3:$B$4503,1))</f>
        <v/>
      </c>
      <c r="D2121">
        <f>"Malpractice insurance – "&amp;IF(LEN(INDEX('Providers'!$A$4:$A$503,118))=0,"",INDEX('Providers'!$A$4:$A$503,118))</f>
        <v/>
      </c>
      <c r="E2121">
        <f>IF(ISNUMBER(INDEX('Providers'!$Q$4:$Q$503,118)),TEXT(INDEX('Providers'!$Q$4:$Q$503,118),"yyyy-mm-dd"),"")</f>
        <v/>
      </c>
      <c r="F2121">
        <f>"Insurance"</f>
        <v/>
      </c>
      <c r="G2121">
        <f>""</f>
        <v/>
      </c>
      <c r="H2121">
        <f>"High"</f>
        <v/>
      </c>
      <c r="I2121">
        <f>TRIM(IF(LEN(IF(LEN(INDEX('Providers'!$N$4:$N$503,118))=0,"",INDEX('Providers'!$N$4:$N$503,118)))=0,"","Carrier: "&amp;IF(LEN(INDEX('Providers'!$N$4:$N$503,118))=0,"",INDEX('Providers'!$N$4:$N$503,118))&amp;". ")&amp;IF(LEN(IF(LEN(INDEX('Providers'!$O$4:$O$503,118))=0,"",INDEX('Providers'!$O$4:$O$503,118)))=0,"","Policy no.: "&amp;IF(LEN(INDEX('Providers'!$O$4:$O$503,118))=0,"",INDEX('Providers'!$O$4:$O$503,118))&amp;". ")&amp;IF(LEN(IF(LEN(INDEX('Providers'!$P$4:$P$503,118))=0,"",INDEX('Providers'!$P$4:$P$503,118)))=0,"","Coverage form: "&amp;IF(LEN(INDEX('Providers'!$P$4:$P$503,118))=0,"",INDEX('Providers'!$P$4:$P$503,118))&amp;". "))</f>
        <v/>
      </c>
      <c r="J2121">
        <f>IF(LEN(INDEX('Providers'!$AJ$4:$AJ$503,118))=0,"",INDEX('Providers'!$AJ$4:$AJ$503,118))</f>
        <v/>
      </c>
      <c r="K2121">
        <f>IF(LEN(INDEX('Providers'!$AI$4:$AI$503,118))=0,"",INDEX('Providers'!$AI$4:$AI$503,118))</f>
        <v/>
      </c>
    </row>
    <row r="2122">
      <c r="A2122">
        <f>IF(AND(LEN('Providers'!A122)&gt;0,ISNUMBER('Providers'!Q122)),1,0)</f>
        <v/>
      </c>
      <c r="B2122">
        <f>B2121+A2122</f>
        <v/>
      </c>
      <c r="C2122">
        <f>IF(2119&gt;$B$4503,"",MATCH(2119-0.5,$B$3:$B$4503,1))</f>
        <v/>
      </c>
      <c r="D2122">
        <f>"Malpractice insurance – "&amp;IF(LEN(INDEX('Providers'!$A$4:$A$503,119))=0,"",INDEX('Providers'!$A$4:$A$503,119))</f>
        <v/>
      </c>
      <c r="E2122">
        <f>IF(ISNUMBER(INDEX('Providers'!$Q$4:$Q$503,119)),TEXT(INDEX('Providers'!$Q$4:$Q$503,119),"yyyy-mm-dd"),"")</f>
        <v/>
      </c>
      <c r="F2122">
        <f>"Insurance"</f>
        <v/>
      </c>
      <c r="G2122">
        <f>""</f>
        <v/>
      </c>
      <c r="H2122">
        <f>"High"</f>
        <v/>
      </c>
      <c r="I2122">
        <f>TRIM(IF(LEN(IF(LEN(INDEX('Providers'!$N$4:$N$503,119))=0,"",INDEX('Providers'!$N$4:$N$503,119)))=0,"","Carrier: "&amp;IF(LEN(INDEX('Providers'!$N$4:$N$503,119))=0,"",INDEX('Providers'!$N$4:$N$503,119))&amp;". ")&amp;IF(LEN(IF(LEN(INDEX('Providers'!$O$4:$O$503,119))=0,"",INDEX('Providers'!$O$4:$O$503,119)))=0,"","Policy no.: "&amp;IF(LEN(INDEX('Providers'!$O$4:$O$503,119))=0,"",INDEX('Providers'!$O$4:$O$503,119))&amp;". ")&amp;IF(LEN(IF(LEN(INDEX('Providers'!$P$4:$P$503,119))=0,"",INDEX('Providers'!$P$4:$P$503,119)))=0,"","Coverage form: "&amp;IF(LEN(INDEX('Providers'!$P$4:$P$503,119))=0,"",INDEX('Providers'!$P$4:$P$503,119))&amp;". "))</f>
        <v/>
      </c>
      <c r="J2122">
        <f>IF(LEN(INDEX('Providers'!$AJ$4:$AJ$503,119))=0,"",INDEX('Providers'!$AJ$4:$AJ$503,119))</f>
        <v/>
      </c>
      <c r="K2122">
        <f>IF(LEN(INDEX('Providers'!$AI$4:$AI$503,119))=0,"",INDEX('Providers'!$AI$4:$AI$503,119))</f>
        <v/>
      </c>
    </row>
    <row r="2123">
      <c r="A2123">
        <f>IF(AND(LEN('Providers'!A123)&gt;0,ISNUMBER('Providers'!Q123)),1,0)</f>
        <v/>
      </c>
      <c r="B2123">
        <f>B2122+A2123</f>
        <v/>
      </c>
      <c r="C2123">
        <f>IF(2120&gt;$B$4503,"",MATCH(2120-0.5,$B$3:$B$4503,1))</f>
        <v/>
      </c>
      <c r="D2123">
        <f>"Malpractice insurance – "&amp;IF(LEN(INDEX('Providers'!$A$4:$A$503,120))=0,"",INDEX('Providers'!$A$4:$A$503,120))</f>
        <v/>
      </c>
      <c r="E2123">
        <f>IF(ISNUMBER(INDEX('Providers'!$Q$4:$Q$503,120)),TEXT(INDEX('Providers'!$Q$4:$Q$503,120),"yyyy-mm-dd"),"")</f>
        <v/>
      </c>
      <c r="F2123">
        <f>"Insurance"</f>
        <v/>
      </c>
      <c r="G2123">
        <f>""</f>
        <v/>
      </c>
      <c r="H2123">
        <f>"High"</f>
        <v/>
      </c>
      <c r="I2123">
        <f>TRIM(IF(LEN(IF(LEN(INDEX('Providers'!$N$4:$N$503,120))=0,"",INDEX('Providers'!$N$4:$N$503,120)))=0,"","Carrier: "&amp;IF(LEN(INDEX('Providers'!$N$4:$N$503,120))=0,"",INDEX('Providers'!$N$4:$N$503,120))&amp;". ")&amp;IF(LEN(IF(LEN(INDEX('Providers'!$O$4:$O$503,120))=0,"",INDEX('Providers'!$O$4:$O$503,120)))=0,"","Policy no.: "&amp;IF(LEN(INDEX('Providers'!$O$4:$O$503,120))=0,"",INDEX('Providers'!$O$4:$O$503,120))&amp;". ")&amp;IF(LEN(IF(LEN(INDEX('Providers'!$P$4:$P$503,120))=0,"",INDEX('Providers'!$P$4:$P$503,120)))=0,"","Coverage form: "&amp;IF(LEN(INDEX('Providers'!$P$4:$P$503,120))=0,"",INDEX('Providers'!$P$4:$P$503,120))&amp;". "))</f>
        <v/>
      </c>
      <c r="J2123">
        <f>IF(LEN(INDEX('Providers'!$AJ$4:$AJ$503,120))=0,"",INDEX('Providers'!$AJ$4:$AJ$503,120))</f>
        <v/>
      </c>
      <c r="K2123">
        <f>IF(LEN(INDEX('Providers'!$AI$4:$AI$503,120))=0,"",INDEX('Providers'!$AI$4:$AI$503,120))</f>
        <v/>
      </c>
    </row>
    <row r="2124">
      <c r="A2124">
        <f>IF(AND(LEN('Providers'!A124)&gt;0,ISNUMBER('Providers'!Q124)),1,0)</f>
        <v/>
      </c>
      <c r="B2124">
        <f>B2123+A2124</f>
        <v/>
      </c>
      <c r="C2124">
        <f>IF(2121&gt;$B$4503,"",MATCH(2121-0.5,$B$3:$B$4503,1))</f>
        <v/>
      </c>
      <c r="D2124">
        <f>"Malpractice insurance – "&amp;IF(LEN(INDEX('Providers'!$A$4:$A$503,121))=0,"",INDEX('Providers'!$A$4:$A$503,121))</f>
        <v/>
      </c>
      <c r="E2124">
        <f>IF(ISNUMBER(INDEX('Providers'!$Q$4:$Q$503,121)),TEXT(INDEX('Providers'!$Q$4:$Q$503,121),"yyyy-mm-dd"),"")</f>
        <v/>
      </c>
      <c r="F2124">
        <f>"Insurance"</f>
        <v/>
      </c>
      <c r="G2124">
        <f>""</f>
        <v/>
      </c>
      <c r="H2124">
        <f>"High"</f>
        <v/>
      </c>
      <c r="I2124">
        <f>TRIM(IF(LEN(IF(LEN(INDEX('Providers'!$N$4:$N$503,121))=0,"",INDEX('Providers'!$N$4:$N$503,121)))=0,"","Carrier: "&amp;IF(LEN(INDEX('Providers'!$N$4:$N$503,121))=0,"",INDEX('Providers'!$N$4:$N$503,121))&amp;". ")&amp;IF(LEN(IF(LEN(INDEX('Providers'!$O$4:$O$503,121))=0,"",INDEX('Providers'!$O$4:$O$503,121)))=0,"","Policy no.: "&amp;IF(LEN(INDEX('Providers'!$O$4:$O$503,121))=0,"",INDEX('Providers'!$O$4:$O$503,121))&amp;". ")&amp;IF(LEN(IF(LEN(INDEX('Providers'!$P$4:$P$503,121))=0,"",INDEX('Providers'!$P$4:$P$503,121)))=0,"","Coverage form: "&amp;IF(LEN(INDEX('Providers'!$P$4:$P$503,121))=0,"",INDEX('Providers'!$P$4:$P$503,121))&amp;". "))</f>
        <v/>
      </c>
      <c r="J2124">
        <f>IF(LEN(INDEX('Providers'!$AJ$4:$AJ$503,121))=0,"",INDEX('Providers'!$AJ$4:$AJ$503,121))</f>
        <v/>
      </c>
      <c r="K2124">
        <f>IF(LEN(INDEX('Providers'!$AI$4:$AI$503,121))=0,"",INDEX('Providers'!$AI$4:$AI$503,121))</f>
        <v/>
      </c>
    </row>
    <row r="2125">
      <c r="A2125">
        <f>IF(AND(LEN('Providers'!A125)&gt;0,ISNUMBER('Providers'!Q125)),1,0)</f>
        <v/>
      </c>
      <c r="B2125">
        <f>B2124+A2125</f>
        <v/>
      </c>
      <c r="C2125">
        <f>IF(2122&gt;$B$4503,"",MATCH(2122-0.5,$B$3:$B$4503,1))</f>
        <v/>
      </c>
      <c r="D2125">
        <f>"Malpractice insurance – "&amp;IF(LEN(INDEX('Providers'!$A$4:$A$503,122))=0,"",INDEX('Providers'!$A$4:$A$503,122))</f>
        <v/>
      </c>
      <c r="E2125">
        <f>IF(ISNUMBER(INDEX('Providers'!$Q$4:$Q$503,122)),TEXT(INDEX('Providers'!$Q$4:$Q$503,122),"yyyy-mm-dd"),"")</f>
        <v/>
      </c>
      <c r="F2125">
        <f>"Insurance"</f>
        <v/>
      </c>
      <c r="G2125">
        <f>""</f>
        <v/>
      </c>
      <c r="H2125">
        <f>"High"</f>
        <v/>
      </c>
      <c r="I2125">
        <f>TRIM(IF(LEN(IF(LEN(INDEX('Providers'!$N$4:$N$503,122))=0,"",INDEX('Providers'!$N$4:$N$503,122)))=0,"","Carrier: "&amp;IF(LEN(INDEX('Providers'!$N$4:$N$503,122))=0,"",INDEX('Providers'!$N$4:$N$503,122))&amp;". ")&amp;IF(LEN(IF(LEN(INDEX('Providers'!$O$4:$O$503,122))=0,"",INDEX('Providers'!$O$4:$O$503,122)))=0,"","Policy no.: "&amp;IF(LEN(INDEX('Providers'!$O$4:$O$503,122))=0,"",INDEX('Providers'!$O$4:$O$503,122))&amp;". ")&amp;IF(LEN(IF(LEN(INDEX('Providers'!$P$4:$P$503,122))=0,"",INDEX('Providers'!$P$4:$P$503,122)))=0,"","Coverage form: "&amp;IF(LEN(INDEX('Providers'!$P$4:$P$503,122))=0,"",INDEX('Providers'!$P$4:$P$503,122))&amp;". "))</f>
        <v/>
      </c>
      <c r="J2125">
        <f>IF(LEN(INDEX('Providers'!$AJ$4:$AJ$503,122))=0,"",INDEX('Providers'!$AJ$4:$AJ$503,122))</f>
        <v/>
      </c>
      <c r="K2125">
        <f>IF(LEN(INDEX('Providers'!$AI$4:$AI$503,122))=0,"",INDEX('Providers'!$AI$4:$AI$503,122))</f>
        <v/>
      </c>
    </row>
    <row r="2126">
      <c r="A2126">
        <f>IF(AND(LEN('Providers'!A126)&gt;0,ISNUMBER('Providers'!Q126)),1,0)</f>
        <v/>
      </c>
      <c r="B2126">
        <f>B2125+A2126</f>
        <v/>
      </c>
      <c r="C2126">
        <f>IF(2123&gt;$B$4503,"",MATCH(2123-0.5,$B$3:$B$4503,1))</f>
        <v/>
      </c>
      <c r="D2126">
        <f>"Malpractice insurance – "&amp;IF(LEN(INDEX('Providers'!$A$4:$A$503,123))=0,"",INDEX('Providers'!$A$4:$A$503,123))</f>
        <v/>
      </c>
      <c r="E2126">
        <f>IF(ISNUMBER(INDEX('Providers'!$Q$4:$Q$503,123)),TEXT(INDEX('Providers'!$Q$4:$Q$503,123),"yyyy-mm-dd"),"")</f>
        <v/>
      </c>
      <c r="F2126">
        <f>"Insurance"</f>
        <v/>
      </c>
      <c r="G2126">
        <f>""</f>
        <v/>
      </c>
      <c r="H2126">
        <f>"High"</f>
        <v/>
      </c>
      <c r="I2126">
        <f>TRIM(IF(LEN(IF(LEN(INDEX('Providers'!$N$4:$N$503,123))=0,"",INDEX('Providers'!$N$4:$N$503,123)))=0,"","Carrier: "&amp;IF(LEN(INDEX('Providers'!$N$4:$N$503,123))=0,"",INDEX('Providers'!$N$4:$N$503,123))&amp;". ")&amp;IF(LEN(IF(LEN(INDEX('Providers'!$O$4:$O$503,123))=0,"",INDEX('Providers'!$O$4:$O$503,123)))=0,"","Policy no.: "&amp;IF(LEN(INDEX('Providers'!$O$4:$O$503,123))=0,"",INDEX('Providers'!$O$4:$O$503,123))&amp;". ")&amp;IF(LEN(IF(LEN(INDEX('Providers'!$P$4:$P$503,123))=0,"",INDEX('Providers'!$P$4:$P$503,123)))=0,"","Coverage form: "&amp;IF(LEN(INDEX('Providers'!$P$4:$P$503,123))=0,"",INDEX('Providers'!$P$4:$P$503,123))&amp;". "))</f>
        <v/>
      </c>
      <c r="J2126">
        <f>IF(LEN(INDEX('Providers'!$AJ$4:$AJ$503,123))=0,"",INDEX('Providers'!$AJ$4:$AJ$503,123))</f>
        <v/>
      </c>
      <c r="K2126">
        <f>IF(LEN(INDEX('Providers'!$AI$4:$AI$503,123))=0,"",INDEX('Providers'!$AI$4:$AI$503,123))</f>
        <v/>
      </c>
    </row>
    <row r="2127">
      <c r="A2127">
        <f>IF(AND(LEN('Providers'!A127)&gt;0,ISNUMBER('Providers'!Q127)),1,0)</f>
        <v/>
      </c>
      <c r="B2127">
        <f>B2126+A2127</f>
        <v/>
      </c>
      <c r="C2127">
        <f>IF(2124&gt;$B$4503,"",MATCH(2124-0.5,$B$3:$B$4503,1))</f>
        <v/>
      </c>
      <c r="D2127">
        <f>"Malpractice insurance – "&amp;IF(LEN(INDEX('Providers'!$A$4:$A$503,124))=0,"",INDEX('Providers'!$A$4:$A$503,124))</f>
        <v/>
      </c>
      <c r="E2127">
        <f>IF(ISNUMBER(INDEX('Providers'!$Q$4:$Q$503,124)),TEXT(INDEX('Providers'!$Q$4:$Q$503,124),"yyyy-mm-dd"),"")</f>
        <v/>
      </c>
      <c r="F2127">
        <f>"Insurance"</f>
        <v/>
      </c>
      <c r="G2127">
        <f>""</f>
        <v/>
      </c>
      <c r="H2127">
        <f>"High"</f>
        <v/>
      </c>
      <c r="I2127">
        <f>TRIM(IF(LEN(IF(LEN(INDEX('Providers'!$N$4:$N$503,124))=0,"",INDEX('Providers'!$N$4:$N$503,124)))=0,"","Carrier: "&amp;IF(LEN(INDEX('Providers'!$N$4:$N$503,124))=0,"",INDEX('Providers'!$N$4:$N$503,124))&amp;". ")&amp;IF(LEN(IF(LEN(INDEX('Providers'!$O$4:$O$503,124))=0,"",INDEX('Providers'!$O$4:$O$503,124)))=0,"","Policy no.: "&amp;IF(LEN(INDEX('Providers'!$O$4:$O$503,124))=0,"",INDEX('Providers'!$O$4:$O$503,124))&amp;". ")&amp;IF(LEN(IF(LEN(INDEX('Providers'!$P$4:$P$503,124))=0,"",INDEX('Providers'!$P$4:$P$503,124)))=0,"","Coverage form: "&amp;IF(LEN(INDEX('Providers'!$P$4:$P$503,124))=0,"",INDEX('Providers'!$P$4:$P$503,124))&amp;". "))</f>
        <v/>
      </c>
      <c r="J2127">
        <f>IF(LEN(INDEX('Providers'!$AJ$4:$AJ$503,124))=0,"",INDEX('Providers'!$AJ$4:$AJ$503,124))</f>
        <v/>
      </c>
      <c r="K2127">
        <f>IF(LEN(INDEX('Providers'!$AI$4:$AI$503,124))=0,"",INDEX('Providers'!$AI$4:$AI$503,124))</f>
        <v/>
      </c>
    </row>
    <row r="2128">
      <c r="A2128">
        <f>IF(AND(LEN('Providers'!A128)&gt;0,ISNUMBER('Providers'!Q128)),1,0)</f>
        <v/>
      </c>
      <c r="B2128">
        <f>B2127+A2128</f>
        <v/>
      </c>
      <c r="C2128">
        <f>IF(2125&gt;$B$4503,"",MATCH(2125-0.5,$B$3:$B$4503,1))</f>
        <v/>
      </c>
      <c r="D2128">
        <f>"Malpractice insurance – "&amp;IF(LEN(INDEX('Providers'!$A$4:$A$503,125))=0,"",INDEX('Providers'!$A$4:$A$503,125))</f>
        <v/>
      </c>
      <c r="E2128">
        <f>IF(ISNUMBER(INDEX('Providers'!$Q$4:$Q$503,125)),TEXT(INDEX('Providers'!$Q$4:$Q$503,125),"yyyy-mm-dd"),"")</f>
        <v/>
      </c>
      <c r="F2128">
        <f>"Insurance"</f>
        <v/>
      </c>
      <c r="G2128">
        <f>""</f>
        <v/>
      </c>
      <c r="H2128">
        <f>"High"</f>
        <v/>
      </c>
      <c r="I2128">
        <f>TRIM(IF(LEN(IF(LEN(INDEX('Providers'!$N$4:$N$503,125))=0,"",INDEX('Providers'!$N$4:$N$503,125)))=0,"","Carrier: "&amp;IF(LEN(INDEX('Providers'!$N$4:$N$503,125))=0,"",INDEX('Providers'!$N$4:$N$503,125))&amp;". ")&amp;IF(LEN(IF(LEN(INDEX('Providers'!$O$4:$O$503,125))=0,"",INDEX('Providers'!$O$4:$O$503,125)))=0,"","Policy no.: "&amp;IF(LEN(INDEX('Providers'!$O$4:$O$503,125))=0,"",INDEX('Providers'!$O$4:$O$503,125))&amp;". ")&amp;IF(LEN(IF(LEN(INDEX('Providers'!$P$4:$P$503,125))=0,"",INDEX('Providers'!$P$4:$P$503,125)))=0,"","Coverage form: "&amp;IF(LEN(INDEX('Providers'!$P$4:$P$503,125))=0,"",INDEX('Providers'!$P$4:$P$503,125))&amp;". "))</f>
        <v/>
      </c>
      <c r="J2128">
        <f>IF(LEN(INDEX('Providers'!$AJ$4:$AJ$503,125))=0,"",INDEX('Providers'!$AJ$4:$AJ$503,125))</f>
        <v/>
      </c>
      <c r="K2128">
        <f>IF(LEN(INDEX('Providers'!$AI$4:$AI$503,125))=0,"",INDEX('Providers'!$AI$4:$AI$503,125))</f>
        <v/>
      </c>
    </row>
    <row r="2129">
      <c r="A2129">
        <f>IF(AND(LEN('Providers'!A129)&gt;0,ISNUMBER('Providers'!Q129)),1,0)</f>
        <v/>
      </c>
      <c r="B2129">
        <f>B2128+A2129</f>
        <v/>
      </c>
      <c r="C2129">
        <f>IF(2126&gt;$B$4503,"",MATCH(2126-0.5,$B$3:$B$4503,1))</f>
        <v/>
      </c>
      <c r="D2129">
        <f>"Malpractice insurance – "&amp;IF(LEN(INDEX('Providers'!$A$4:$A$503,126))=0,"",INDEX('Providers'!$A$4:$A$503,126))</f>
        <v/>
      </c>
      <c r="E2129">
        <f>IF(ISNUMBER(INDEX('Providers'!$Q$4:$Q$503,126)),TEXT(INDEX('Providers'!$Q$4:$Q$503,126),"yyyy-mm-dd"),"")</f>
        <v/>
      </c>
      <c r="F2129">
        <f>"Insurance"</f>
        <v/>
      </c>
      <c r="G2129">
        <f>""</f>
        <v/>
      </c>
      <c r="H2129">
        <f>"High"</f>
        <v/>
      </c>
      <c r="I2129">
        <f>TRIM(IF(LEN(IF(LEN(INDEX('Providers'!$N$4:$N$503,126))=0,"",INDEX('Providers'!$N$4:$N$503,126)))=0,"","Carrier: "&amp;IF(LEN(INDEX('Providers'!$N$4:$N$503,126))=0,"",INDEX('Providers'!$N$4:$N$503,126))&amp;". ")&amp;IF(LEN(IF(LEN(INDEX('Providers'!$O$4:$O$503,126))=0,"",INDEX('Providers'!$O$4:$O$503,126)))=0,"","Policy no.: "&amp;IF(LEN(INDEX('Providers'!$O$4:$O$503,126))=0,"",INDEX('Providers'!$O$4:$O$503,126))&amp;". ")&amp;IF(LEN(IF(LEN(INDEX('Providers'!$P$4:$P$503,126))=0,"",INDEX('Providers'!$P$4:$P$503,126)))=0,"","Coverage form: "&amp;IF(LEN(INDEX('Providers'!$P$4:$P$503,126))=0,"",INDEX('Providers'!$P$4:$P$503,126))&amp;". "))</f>
        <v/>
      </c>
      <c r="J2129">
        <f>IF(LEN(INDEX('Providers'!$AJ$4:$AJ$503,126))=0,"",INDEX('Providers'!$AJ$4:$AJ$503,126))</f>
        <v/>
      </c>
      <c r="K2129">
        <f>IF(LEN(INDEX('Providers'!$AI$4:$AI$503,126))=0,"",INDEX('Providers'!$AI$4:$AI$503,126))</f>
        <v/>
      </c>
    </row>
    <row r="2130">
      <c r="A2130">
        <f>IF(AND(LEN('Providers'!A130)&gt;0,ISNUMBER('Providers'!Q130)),1,0)</f>
        <v/>
      </c>
      <c r="B2130">
        <f>B2129+A2130</f>
        <v/>
      </c>
      <c r="C2130">
        <f>IF(2127&gt;$B$4503,"",MATCH(2127-0.5,$B$3:$B$4503,1))</f>
        <v/>
      </c>
      <c r="D2130">
        <f>"Malpractice insurance – "&amp;IF(LEN(INDEX('Providers'!$A$4:$A$503,127))=0,"",INDEX('Providers'!$A$4:$A$503,127))</f>
        <v/>
      </c>
      <c r="E2130">
        <f>IF(ISNUMBER(INDEX('Providers'!$Q$4:$Q$503,127)),TEXT(INDEX('Providers'!$Q$4:$Q$503,127),"yyyy-mm-dd"),"")</f>
        <v/>
      </c>
      <c r="F2130">
        <f>"Insurance"</f>
        <v/>
      </c>
      <c r="G2130">
        <f>""</f>
        <v/>
      </c>
      <c r="H2130">
        <f>"High"</f>
        <v/>
      </c>
      <c r="I2130">
        <f>TRIM(IF(LEN(IF(LEN(INDEX('Providers'!$N$4:$N$503,127))=0,"",INDEX('Providers'!$N$4:$N$503,127)))=0,"","Carrier: "&amp;IF(LEN(INDEX('Providers'!$N$4:$N$503,127))=0,"",INDEX('Providers'!$N$4:$N$503,127))&amp;". ")&amp;IF(LEN(IF(LEN(INDEX('Providers'!$O$4:$O$503,127))=0,"",INDEX('Providers'!$O$4:$O$503,127)))=0,"","Policy no.: "&amp;IF(LEN(INDEX('Providers'!$O$4:$O$503,127))=0,"",INDEX('Providers'!$O$4:$O$503,127))&amp;". ")&amp;IF(LEN(IF(LEN(INDEX('Providers'!$P$4:$P$503,127))=0,"",INDEX('Providers'!$P$4:$P$503,127)))=0,"","Coverage form: "&amp;IF(LEN(INDEX('Providers'!$P$4:$P$503,127))=0,"",INDEX('Providers'!$P$4:$P$503,127))&amp;". "))</f>
        <v/>
      </c>
      <c r="J2130">
        <f>IF(LEN(INDEX('Providers'!$AJ$4:$AJ$503,127))=0,"",INDEX('Providers'!$AJ$4:$AJ$503,127))</f>
        <v/>
      </c>
      <c r="K2130">
        <f>IF(LEN(INDEX('Providers'!$AI$4:$AI$503,127))=0,"",INDEX('Providers'!$AI$4:$AI$503,127))</f>
        <v/>
      </c>
    </row>
    <row r="2131">
      <c r="A2131">
        <f>IF(AND(LEN('Providers'!A131)&gt;0,ISNUMBER('Providers'!Q131)),1,0)</f>
        <v/>
      </c>
      <c r="B2131">
        <f>B2130+A2131</f>
        <v/>
      </c>
      <c r="C2131">
        <f>IF(2128&gt;$B$4503,"",MATCH(2128-0.5,$B$3:$B$4503,1))</f>
        <v/>
      </c>
      <c r="D2131">
        <f>"Malpractice insurance – "&amp;IF(LEN(INDEX('Providers'!$A$4:$A$503,128))=0,"",INDEX('Providers'!$A$4:$A$503,128))</f>
        <v/>
      </c>
      <c r="E2131">
        <f>IF(ISNUMBER(INDEX('Providers'!$Q$4:$Q$503,128)),TEXT(INDEX('Providers'!$Q$4:$Q$503,128),"yyyy-mm-dd"),"")</f>
        <v/>
      </c>
      <c r="F2131">
        <f>"Insurance"</f>
        <v/>
      </c>
      <c r="G2131">
        <f>""</f>
        <v/>
      </c>
      <c r="H2131">
        <f>"High"</f>
        <v/>
      </c>
      <c r="I2131">
        <f>TRIM(IF(LEN(IF(LEN(INDEX('Providers'!$N$4:$N$503,128))=0,"",INDEX('Providers'!$N$4:$N$503,128)))=0,"","Carrier: "&amp;IF(LEN(INDEX('Providers'!$N$4:$N$503,128))=0,"",INDEX('Providers'!$N$4:$N$503,128))&amp;". ")&amp;IF(LEN(IF(LEN(INDEX('Providers'!$O$4:$O$503,128))=0,"",INDEX('Providers'!$O$4:$O$503,128)))=0,"","Policy no.: "&amp;IF(LEN(INDEX('Providers'!$O$4:$O$503,128))=0,"",INDEX('Providers'!$O$4:$O$503,128))&amp;". ")&amp;IF(LEN(IF(LEN(INDEX('Providers'!$P$4:$P$503,128))=0,"",INDEX('Providers'!$P$4:$P$503,128)))=0,"","Coverage form: "&amp;IF(LEN(INDEX('Providers'!$P$4:$P$503,128))=0,"",INDEX('Providers'!$P$4:$P$503,128))&amp;". "))</f>
        <v/>
      </c>
      <c r="J2131">
        <f>IF(LEN(INDEX('Providers'!$AJ$4:$AJ$503,128))=0,"",INDEX('Providers'!$AJ$4:$AJ$503,128))</f>
        <v/>
      </c>
      <c r="K2131">
        <f>IF(LEN(INDEX('Providers'!$AI$4:$AI$503,128))=0,"",INDEX('Providers'!$AI$4:$AI$503,128))</f>
        <v/>
      </c>
    </row>
    <row r="2132">
      <c r="A2132">
        <f>IF(AND(LEN('Providers'!A132)&gt;0,ISNUMBER('Providers'!Q132)),1,0)</f>
        <v/>
      </c>
      <c r="B2132">
        <f>B2131+A2132</f>
        <v/>
      </c>
      <c r="C2132">
        <f>IF(2129&gt;$B$4503,"",MATCH(2129-0.5,$B$3:$B$4503,1))</f>
        <v/>
      </c>
      <c r="D2132">
        <f>"Malpractice insurance – "&amp;IF(LEN(INDEX('Providers'!$A$4:$A$503,129))=0,"",INDEX('Providers'!$A$4:$A$503,129))</f>
        <v/>
      </c>
      <c r="E2132">
        <f>IF(ISNUMBER(INDEX('Providers'!$Q$4:$Q$503,129)),TEXT(INDEX('Providers'!$Q$4:$Q$503,129),"yyyy-mm-dd"),"")</f>
        <v/>
      </c>
      <c r="F2132">
        <f>"Insurance"</f>
        <v/>
      </c>
      <c r="G2132">
        <f>""</f>
        <v/>
      </c>
      <c r="H2132">
        <f>"High"</f>
        <v/>
      </c>
      <c r="I2132">
        <f>TRIM(IF(LEN(IF(LEN(INDEX('Providers'!$N$4:$N$503,129))=0,"",INDEX('Providers'!$N$4:$N$503,129)))=0,"","Carrier: "&amp;IF(LEN(INDEX('Providers'!$N$4:$N$503,129))=0,"",INDEX('Providers'!$N$4:$N$503,129))&amp;". ")&amp;IF(LEN(IF(LEN(INDEX('Providers'!$O$4:$O$503,129))=0,"",INDEX('Providers'!$O$4:$O$503,129)))=0,"","Policy no.: "&amp;IF(LEN(INDEX('Providers'!$O$4:$O$503,129))=0,"",INDEX('Providers'!$O$4:$O$503,129))&amp;". ")&amp;IF(LEN(IF(LEN(INDEX('Providers'!$P$4:$P$503,129))=0,"",INDEX('Providers'!$P$4:$P$503,129)))=0,"","Coverage form: "&amp;IF(LEN(INDEX('Providers'!$P$4:$P$503,129))=0,"",INDEX('Providers'!$P$4:$P$503,129))&amp;". "))</f>
        <v/>
      </c>
      <c r="J2132">
        <f>IF(LEN(INDEX('Providers'!$AJ$4:$AJ$503,129))=0,"",INDEX('Providers'!$AJ$4:$AJ$503,129))</f>
        <v/>
      </c>
      <c r="K2132">
        <f>IF(LEN(INDEX('Providers'!$AI$4:$AI$503,129))=0,"",INDEX('Providers'!$AI$4:$AI$503,129))</f>
        <v/>
      </c>
    </row>
    <row r="2133">
      <c r="A2133">
        <f>IF(AND(LEN('Providers'!A133)&gt;0,ISNUMBER('Providers'!Q133)),1,0)</f>
        <v/>
      </c>
      <c r="B2133">
        <f>B2132+A2133</f>
        <v/>
      </c>
      <c r="C2133">
        <f>IF(2130&gt;$B$4503,"",MATCH(2130-0.5,$B$3:$B$4503,1))</f>
        <v/>
      </c>
      <c r="D2133">
        <f>"Malpractice insurance – "&amp;IF(LEN(INDEX('Providers'!$A$4:$A$503,130))=0,"",INDEX('Providers'!$A$4:$A$503,130))</f>
        <v/>
      </c>
      <c r="E2133">
        <f>IF(ISNUMBER(INDEX('Providers'!$Q$4:$Q$503,130)),TEXT(INDEX('Providers'!$Q$4:$Q$503,130),"yyyy-mm-dd"),"")</f>
        <v/>
      </c>
      <c r="F2133">
        <f>"Insurance"</f>
        <v/>
      </c>
      <c r="G2133">
        <f>""</f>
        <v/>
      </c>
      <c r="H2133">
        <f>"High"</f>
        <v/>
      </c>
      <c r="I2133">
        <f>TRIM(IF(LEN(IF(LEN(INDEX('Providers'!$N$4:$N$503,130))=0,"",INDEX('Providers'!$N$4:$N$503,130)))=0,"","Carrier: "&amp;IF(LEN(INDEX('Providers'!$N$4:$N$503,130))=0,"",INDEX('Providers'!$N$4:$N$503,130))&amp;". ")&amp;IF(LEN(IF(LEN(INDEX('Providers'!$O$4:$O$503,130))=0,"",INDEX('Providers'!$O$4:$O$503,130)))=0,"","Policy no.: "&amp;IF(LEN(INDEX('Providers'!$O$4:$O$503,130))=0,"",INDEX('Providers'!$O$4:$O$503,130))&amp;". ")&amp;IF(LEN(IF(LEN(INDEX('Providers'!$P$4:$P$503,130))=0,"",INDEX('Providers'!$P$4:$P$503,130)))=0,"","Coverage form: "&amp;IF(LEN(INDEX('Providers'!$P$4:$P$503,130))=0,"",INDEX('Providers'!$P$4:$P$503,130))&amp;". "))</f>
        <v/>
      </c>
      <c r="J2133">
        <f>IF(LEN(INDEX('Providers'!$AJ$4:$AJ$503,130))=0,"",INDEX('Providers'!$AJ$4:$AJ$503,130))</f>
        <v/>
      </c>
      <c r="K2133">
        <f>IF(LEN(INDEX('Providers'!$AI$4:$AI$503,130))=0,"",INDEX('Providers'!$AI$4:$AI$503,130))</f>
        <v/>
      </c>
    </row>
    <row r="2134">
      <c r="A2134">
        <f>IF(AND(LEN('Providers'!A134)&gt;0,ISNUMBER('Providers'!Q134)),1,0)</f>
        <v/>
      </c>
      <c r="B2134">
        <f>B2133+A2134</f>
        <v/>
      </c>
      <c r="C2134">
        <f>IF(2131&gt;$B$4503,"",MATCH(2131-0.5,$B$3:$B$4503,1))</f>
        <v/>
      </c>
      <c r="D2134">
        <f>"Malpractice insurance – "&amp;IF(LEN(INDEX('Providers'!$A$4:$A$503,131))=0,"",INDEX('Providers'!$A$4:$A$503,131))</f>
        <v/>
      </c>
      <c r="E2134">
        <f>IF(ISNUMBER(INDEX('Providers'!$Q$4:$Q$503,131)),TEXT(INDEX('Providers'!$Q$4:$Q$503,131),"yyyy-mm-dd"),"")</f>
        <v/>
      </c>
      <c r="F2134">
        <f>"Insurance"</f>
        <v/>
      </c>
      <c r="G2134">
        <f>""</f>
        <v/>
      </c>
      <c r="H2134">
        <f>"High"</f>
        <v/>
      </c>
      <c r="I2134">
        <f>TRIM(IF(LEN(IF(LEN(INDEX('Providers'!$N$4:$N$503,131))=0,"",INDEX('Providers'!$N$4:$N$503,131)))=0,"","Carrier: "&amp;IF(LEN(INDEX('Providers'!$N$4:$N$503,131))=0,"",INDEX('Providers'!$N$4:$N$503,131))&amp;". ")&amp;IF(LEN(IF(LEN(INDEX('Providers'!$O$4:$O$503,131))=0,"",INDEX('Providers'!$O$4:$O$503,131)))=0,"","Policy no.: "&amp;IF(LEN(INDEX('Providers'!$O$4:$O$503,131))=0,"",INDEX('Providers'!$O$4:$O$503,131))&amp;". ")&amp;IF(LEN(IF(LEN(INDEX('Providers'!$P$4:$P$503,131))=0,"",INDEX('Providers'!$P$4:$P$503,131)))=0,"","Coverage form: "&amp;IF(LEN(INDEX('Providers'!$P$4:$P$503,131))=0,"",INDEX('Providers'!$P$4:$P$503,131))&amp;". "))</f>
        <v/>
      </c>
      <c r="J2134">
        <f>IF(LEN(INDEX('Providers'!$AJ$4:$AJ$503,131))=0,"",INDEX('Providers'!$AJ$4:$AJ$503,131))</f>
        <v/>
      </c>
      <c r="K2134">
        <f>IF(LEN(INDEX('Providers'!$AI$4:$AI$503,131))=0,"",INDEX('Providers'!$AI$4:$AI$503,131))</f>
        <v/>
      </c>
    </row>
    <row r="2135">
      <c r="A2135">
        <f>IF(AND(LEN('Providers'!A135)&gt;0,ISNUMBER('Providers'!Q135)),1,0)</f>
        <v/>
      </c>
      <c r="B2135">
        <f>B2134+A2135</f>
        <v/>
      </c>
      <c r="C2135">
        <f>IF(2132&gt;$B$4503,"",MATCH(2132-0.5,$B$3:$B$4503,1))</f>
        <v/>
      </c>
      <c r="D2135">
        <f>"Malpractice insurance – "&amp;IF(LEN(INDEX('Providers'!$A$4:$A$503,132))=0,"",INDEX('Providers'!$A$4:$A$503,132))</f>
        <v/>
      </c>
      <c r="E2135">
        <f>IF(ISNUMBER(INDEX('Providers'!$Q$4:$Q$503,132)),TEXT(INDEX('Providers'!$Q$4:$Q$503,132),"yyyy-mm-dd"),"")</f>
        <v/>
      </c>
      <c r="F2135">
        <f>"Insurance"</f>
        <v/>
      </c>
      <c r="G2135">
        <f>""</f>
        <v/>
      </c>
      <c r="H2135">
        <f>"High"</f>
        <v/>
      </c>
      <c r="I2135">
        <f>TRIM(IF(LEN(IF(LEN(INDEX('Providers'!$N$4:$N$503,132))=0,"",INDEX('Providers'!$N$4:$N$503,132)))=0,"","Carrier: "&amp;IF(LEN(INDEX('Providers'!$N$4:$N$503,132))=0,"",INDEX('Providers'!$N$4:$N$503,132))&amp;". ")&amp;IF(LEN(IF(LEN(INDEX('Providers'!$O$4:$O$503,132))=0,"",INDEX('Providers'!$O$4:$O$503,132)))=0,"","Policy no.: "&amp;IF(LEN(INDEX('Providers'!$O$4:$O$503,132))=0,"",INDEX('Providers'!$O$4:$O$503,132))&amp;". ")&amp;IF(LEN(IF(LEN(INDEX('Providers'!$P$4:$P$503,132))=0,"",INDEX('Providers'!$P$4:$P$503,132)))=0,"","Coverage form: "&amp;IF(LEN(INDEX('Providers'!$P$4:$P$503,132))=0,"",INDEX('Providers'!$P$4:$P$503,132))&amp;". "))</f>
        <v/>
      </c>
      <c r="J2135">
        <f>IF(LEN(INDEX('Providers'!$AJ$4:$AJ$503,132))=0,"",INDEX('Providers'!$AJ$4:$AJ$503,132))</f>
        <v/>
      </c>
      <c r="K2135">
        <f>IF(LEN(INDEX('Providers'!$AI$4:$AI$503,132))=0,"",INDEX('Providers'!$AI$4:$AI$503,132))</f>
        <v/>
      </c>
    </row>
    <row r="2136">
      <c r="A2136">
        <f>IF(AND(LEN('Providers'!A136)&gt;0,ISNUMBER('Providers'!Q136)),1,0)</f>
        <v/>
      </c>
      <c r="B2136">
        <f>B2135+A2136</f>
        <v/>
      </c>
      <c r="C2136">
        <f>IF(2133&gt;$B$4503,"",MATCH(2133-0.5,$B$3:$B$4503,1))</f>
        <v/>
      </c>
      <c r="D2136">
        <f>"Malpractice insurance – "&amp;IF(LEN(INDEX('Providers'!$A$4:$A$503,133))=0,"",INDEX('Providers'!$A$4:$A$503,133))</f>
        <v/>
      </c>
      <c r="E2136">
        <f>IF(ISNUMBER(INDEX('Providers'!$Q$4:$Q$503,133)),TEXT(INDEX('Providers'!$Q$4:$Q$503,133),"yyyy-mm-dd"),"")</f>
        <v/>
      </c>
      <c r="F2136">
        <f>"Insurance"</f>
        <v/>
      </c>
      <c r="G2136">
        <f>""</f>
        <v/>
      </c>
      <c r="H2136">
        <f>"High"</f>
        <v/>
      </c>
      <c r="I2136">
        <f>TRIM(IF(LEN(IF(LEN(INDEX('Providers'!$N$4:$N$503,133))=0,"",INDEX('Providers'!$N$4:$N$503,133)))=0,"","Carrier: "&amp;IF(LEN(INDEX('Providers'!$N$4:$N$503,133))=0,"",INDEX('Providers'!$N$4:$N$503,133))&amp;". ")&amp;IF(LEN(IF(LEN(INDEX('Providers'!$O$4:$O$503,133))=0,"",INDEX('Providers'!$O$4:$O$503,133)))=0,"","Policy no.: "&amp;IF(LEN(INDEX('Providers'!$O$4:$O$503,133))=0,"",INDEX('Providers'!$O$4:$O$503,133))&amp;". ")&amp;IF(LEN(IF(LEN(INDEX('Providers'!$P$4:$P$503,133))=0,"",INDEX('Providers'!$P$4:$P$503,133)))=0,"","Coverage form: "&amp;IF(LEN(INDEX('Providers'!$P$4:$P$503,133))=0,"",INDEX('Providers'!$P$4:$P$503,133))&amp;". "))</f>
        <v/>
      </c>
      <c r="J2136">
        <f>IF(LEN(INDEX('Providers'!$AJ$4:$AJ$503,133))=0,"",INDEX('Providers'!$AJ$4:$AJ$503,133))</f>
        <v/>
      </c>
      <c r="K2136">
        <f>IF(LEN(INDEX('Providers'!$AI$4:$AI$503,133))=0,"",INDEX('Providers'!$AI$4:$AI$503,133))</f>
        <v/>
      </c>
    </row>
    <row r="2137">
      <c r="A2137">
        <f>IF(AND(LEN('Providers'!A137)&gt;0,ISNUMBER('Providers'!Q137)),1,0)</f>
        <v/>
      </c>
      <c r="B2137">
        <f>B2136+A2137</f>
        <v/>
      </c>
      <c r="C2137">
        <f>IF(2134&gt;$B$4503,"",MATCH(2134-0.5,$B$3:$B$4503,1))</f>
        <v/>
      </c>
      <c r="D2137">
        <f>"Malpractice insurance – "&amp;IF(LEN(INDEX('Providers'!$A$4:$A$503,134))=0,"",INDEX('Providers'!$A$4:$A$503,134))</f>
        <v/>
      </c>
      <c r="E2137">
        <f>IF(ISNUMBER(INDEX('Providers'!$Q$4:$Q$503,134)),TEXT(INDEX('Providers'!$Q$4:$Q$503,134),"yyyy-mm-dd"),"")</f>
        <v/>
      </c>
      <c r="F2137">
        <f>"Insurance"</f>
        <v/>
      </c>
      <c r="G2137">
        <f>""</f>
        <v/>
      </c>
      <c r="H2137">
        <f>"High"</f>
        <v/>
      </c>
      <c r="I2137">
        <f>TRIM(IF(LEN(IF(LEN(INDEX('Providers'!$N$4:$N$503,134))=0,"",INDEX('Providers'!$N$4:$N$503,134)))=0,"","Carrier: "&amp;IF(LEN(INDEX('Providers'!$N$4:$N$503,134))=0,"",INDEX('Providers'!$N$4:$N$503,134))&amp;". ")&amp;IF(LEN(IF(LEN(INDEX('Providers'!$O$4:$O$503,134))=0,"",INDEX('Providers'!$O$4:$O$503,134)))=0,"","Policy no.: "&amp;IF(LEN(INDEX('Providers'!$O$4:$O$503,134))=0,"",INDEX('Providers'!$O$4:$O$503,134))&amp;". ")&amp;IF(LEN(IF(LEN(INDEX('Providers'!$P$4:$P$503,134))=0,"",INDEX('Providers'!$P$4:$P$503,134)))=0,"","Coverage form: "&amp;IF(LEN(INDEX('Providers'!$P$4:$P$503,134))=0,"",INDEX('Providers'!$P$4:$P$503,134))&amp;". "))</f>
        <v/>
      </c>
      <c r="J2137">
        <f>IF(LEN(INDEX('Providers'!$AJ$4:$AJ$503,134))=0,"",INDEX('Providers'!$AJ$4:$AJ$503,134))</f>
        <v/>
      </c>
      <c r="K2137">
        <f>IF(LEN(INDEX('Providers'!$AI$4:$AI$503,134))=0,"",INDEX('Providers'!$AI$4:$AI$503,134))</f>
        <v/>
      </c>
    </row>
    <row r="2138">
      <c r="A2138">
        <f>IF(AND(LEN('Providers'!A138)&gt;0,ISNUMBER('Providers'!Q138)),1,0)</f>
        <v/>
      </c>
      <c r="B2138">
        <f>B2137+A2138</f>
        <v/>
      </c>
      <c r="C2138">
        <f>IF(2135&gt;$B$4503,"",MATCH(2135-0.5,$B$3:$B$4503,1))</f>
        <v/>
      </c>
      <c r="D2138">
        <f>"Malpractice insurance – "&amp;IF(LEN(INDEX('Providers'!$A$4:$A$503,135))=0,"",INDEX('Providers'!$A$4:$A$503,135))</f>
        <v/>
      </c>
      <c r="E2138">
        <f>IF(ISNUMBER(INDEX('Providers'!$Q$4:$Q$503,135)),TEXT(INDEX('Providers'!$Q$4:$Q$503,135),"yyyy-mm-dd"),"")</f>
        <v/>
      </c>
      <c r="F2138">
        <f>"Insurance"</f>
        <v/>
      </c>
      <c r="G2138">
        <f>""</f>
        <v/>
      </c>
      <c r="H2138">
        <f>"High"</f>
        <v/>
      </c>
      <c r="I2138">
        <f>TRIM(IF(LEN(IF(LEN(INDEX('Providers'!$N$4:$N$503,135))=0,"",INDEX('Providers'!$N$4:$N$503,135)))=0,"","Carrier: "&amp;IF(LEN(INDEX('Providers'!$N$4:$N$503,135))=0,"",INDEX('Providers'!$N$4:$N$503,135))&amp;". ")&amp;IF(LEN(IF(LEN(INDEX('Providers'!$O$4:$O$503,135))=0,"",INDEX('Providers'!$O$4:$O$503,135)))=0,"","Policy no.: "&amp;IF(LEN(INDEX('Providers'!$O$4:$O$503,135))=0,"",INDEX('Providers'!$O$4:$O$503,135))&amp;". ")&amp;IF(LEN(IF(LEN(INDEX('Providers'!$P$4:$P$503,135))=0,"",INDEX('Providers'!$P$4:$P$503,135)))=0,"","Coverage form: "&amp;IF(LEN(INDEX('Providers'!$P$4:$P$503,135))=0,"",INDEX('Providers'!$P$4:$P$503,135))&amp;". "))</f>
        <v/>
      </c>
      <c r="J2138">
        <f>IF(LEN(INDEX('Providers'!$AJ$4:$AJ$503,135))=0,"",INDEX('Providers'!$AJ$4:$AJ$503,135))</f>
        <v/>
      </c>
      <c r="K2138">
        <f>IF(LEN(INDEX('Providers'!$AI$4:$AI$503,135))=0,"",INDEX('Providers'!$AI$4:$AI$503,135))</f>
        <v/>
      </c>
    </row>
    <row r="2139">
      <c r="A2139">
        <f>IF(AND(LEN('Providers'!A139)&gt;0,ISNUMBER('Providers'!Q139)),1,0)</f>
        <v/>
      </c>
      <c r="B2139">
        <f>B2138+A2139</f>
        <v/>
      </c>
      <c r="C2139">
        <f>IF(2136&gt;$B$4503,"",MATCH(2136-0.5,$B$3:$B$4503,1))</f>
        <v/>
      </c>
      <c r="D2139">
        <f>"Malpractice insurance – "&amp;IF(LEN(INDEX('Providers'!$A$4:$A$503,136))=0,"",INDEX('Providers'!$A$4:$A$503,136))</f>
        <v/>
      </c>
      <c r="E2139">
        <f>IF(ISNUMBER(INDEX('Providers'!$Q$4:$Q$503,136)),TEXT(INDEX('Providers'!$Q$4:$Q$503,136),"yyyy-mm-dd"),"")</f>
        <v/>
      </c>
      <c r="F2139">
        <f>"Insurance"</f>
        <v/>
      </c>
      <c r="G2139">
        <f>""</f>
        <v/>
      </c>
      <c r="H2139">
        <f>"High"</f>
        <v/>
      </c>
      <c r="I2139">
        <f>TRIM(IF(LEN(IF(LEN(INDEX('Providers'!$N$4:$N$503,136))=0,"",INDEX('Providers'!$N$4:$N$503,136)))=0,"","Carrier: "&amp;IF(LEN(INDEX('Providers'!$N$4:$N$503,136))=0,"",INDEX('Providers'!$N$4:$N$503,136))&amp;". ")&amp;IF(LEN(IF(LEN(INDEX('Providers'!$O$4:$O$503,136))=0,"",INDEX('Providers'!$O$4:$O$503,136)))=0,"","Policy no.: "&amp;IF(LEN(INDEX('Providers'!$O$4:$O$503,136))=0,"",INDEX('Providers'!$O$4:$O$503,136))&amp;". ")&amp;IF(LEN(IF(LEN(INDEX('Providers'!$P$4:$P$503,136))=0,"",INDEX('Providers'!$P$4:$P$503,136)))=0,"","Coverage form: "&amp;IF(LEN(INDEX('Providers'!$P$4:$P$503,136))=0,"",INDEX('Providers'!$P$4:$P$503,136))&amp;". "))</f>
        <v/>
      </c>
      <c r="J2139">
        <f>IF(LEN(INDEX('Providers'!$AJ$4:$AJ$503,136))=0,"",INDEX('Providers'!$AJ$4:$AJ$503,136))</f>
        <v/>
      </c>
      <c r="K2139">
        <f>IF(LEN(INDEX('Providers'!$AI$4:$AI$503,136))=0,"",INDEX('Providers'!$AI$4:$AI$503,136))</f>
        <v/>
      </c>
    </row>
    <row r="2140">
      <c r="A2140">
        <f>IF(AND(LEN('Providers'!A140)&gt;0,ISNUMBER('Providers'!Q140)),1,0)</f>
        <v/>
      </c>
      <c r="B2140">
        <f>B2139+A2140</f>
        <v/>
      </c>
      <c r="C2140">
        <f>IF(2137&gt;$B$4503,"",MATCH(2137-0.5,$B$3:$B$4503,1))</f>
        <v/>
      </c>
      <c r="D2140">
        <f>"Malpractice insurance – "&amp;IF(LEN(INDEX('Providers'!$A$4:$A$503,137))=0,"",INDEX('Providers'!$A$4:$A$503,137))</f>
        <v/>
      </c>
      <c r="E2140">
        <f>IF(ISNUMBER(INDEX('Providers'!$Q$4:$Q$503,137)),TEXT(INDEX('Providers'!$Q$4:$Q$503,137),"yyyy-mm-dd"),"")</f>
        <v/>
      </c>
      <c r="F2140">
        <f>"Insurance"</f>
        <v/>
      </c>
      <c r="G2140">
        <f>""</f>
        <v/>
      </c>
      <c r="H2140">
        <f>"High"</f>
        <v/>
      </c>
      <c r="I2140">
        <f>TRIM(IF(LEN(IF(LEN(INDEX('Providers'!$N$4:$N$503,137))=0,"",INDEX('Providers'!$N$4:$N$503,137)))=0,"","Carrier: "&amp;IF(LEN(INDEX('Providers'!$N$4:$N$503,137))=0,"",INDEX('Providers'!$N$4:$N$503,137))&amp;". ")&amp;IF(LEN(IF(LEN(INDEX('Providers'!$O$4:$O$503,137))=0,"",INDEX('Providers'!$O$4:$O$503,137)))=0,"","Policy no.: "&amp;IF(LEN(INDEX('Providers'!$O$4:$O$503,137))=0,"",INDEX('Providers'!$O$4:$O$503,137))&amp;". ")&amp;IF(LEN(IF(LEN(INDEX('Providers'!$P$4:$P$503,137))=0,"",INDEX('Providers'!$P$4:$P$503,137)))=0,"","Coverage form: "&amp;IF(LEN(INDEX('Providers'!$P$4:$P$503,137))=0,"",INDEX('Providers'!$P$4:$P$503,137))&amp;". "))</f>
        <v/>
      </c>
      <c r="J2140">
        <f>IF(LEN(INDEX('Providers'!$AJ$4:$AJ$503,137))=0,"",INDEX('Providers'!$AJ$4:$AJ$503,137))</f>
        <v/>
      </c>
      <c r="K2140">
        <f>IF(LEN(INDEX('Providers'!$AI$4:$AI$503,137))=0,"",INDEX('Providers'!$AI$4:$AI$503,137))</f>
        <v/>
      </c>
    </row>
    <row r="2141">
      <c r="A2141">
        <f>IF(AND(LEN('Providers'!A141)&gt;0,ISNUMBER('Providers'!Q141)),1,0)</f>
        <v/>
      </c>
      <c r="B2141">
        <f>B2140+A2141</f>
        <v/>
      </c>
      <c r="C2141">
        <f>IF(2138&gt;$B$4503,"",MATCH(2138-0.5,$B$3:$B$4503,1))</f>
        <v/>
      </c>
      <c r="D2141">
        <f>"Malpractice insurance – "&amp;IF(LEN(INDEX('Providers'!$A$4:$A$503,138))=0,"",INDEX('Providers'!$A$4:$A$503,138))</f>
        <v/>
      </c>
      <c r="E2141">
        <f>IF(ISNUMBER(INDEX('Providers'!$Q$4:$Q$503,138)),TEXT(INDEX('Providers'!$Q$4:$Q$503,138),"yyyy-mm-dd"),"")</f>
        <v/>
      </c>
      <c r="F2141">
        <f>"Insurance"</f>
        <v/>
      </c>
      <c r="G2141">
        <f>""</f>
        <v/>
      </c>
      <c r="H2141">
        <f>"High"</f>
        <v/>
      </c>
      <c r="I2141">
        <f>TRIM(IF(LEN(IF(LEN(INDEX('Providers'!$N$4:$N$503,138))=0,"",INDEX('Providers'!$N$4:$N$503,138)))=0,"","Carrier: "&amp;IF(LEN(INDEX('Providers'!$N$4:$N$503,138))=0,"",INDEX('Providers'!$N$4:$N$503,138))&amp;". ")&amp;IF(LEN(IF(LEN(INDEX('Providers'!$O$4:$O$503,138))=0,"",INDEX('Providers'!$O$4:$O$503,138)))=0,"","Policy no.: "&amp;IF(LEN(INDEX('Providers'!$O$4:$O$503,138))=0,"",INDEX('Providers'!$O$4:$O$503,138))&amp;". ")&amp;IF(LEN(IF(LEN(INDEX('Providers'!$P$4:$P$503,138))=0,"",INDEX('Providers'!$P$4:$P$503,138)))=0,"","Coverage form: "&amp;IF(LEN(INDEX('Providers'!$P$4:$P$503,138))=0,"",INDEX('Providers'!$P$4:$P$503,138))&amp;". "))</f>
        <v/>
      </c>
      <c r="J2141">
        <f>IF(LEN(INDEX('Providers'!$AJ$4:$AJ$503,138))=0,"",INDEX('Providers'!$AJ$4:$AJ$503,138))</f>
        <v/>
      </c>
      <c r="K2141">
        <f>IF(LEN(INDEX('Providers'!$AI$4:$AI$503,138))=0,"",INDEX('Providers'!$AI$4:$AI$503,138))</f>
        <v/>
      </c>
    </row>
    <row r="2142">
      <c r="A2142">
        <f>IF(AND(LEN('Providers'!A142)&gt;0,ISNUMBER('Providers'!Q142)),1,0)</f>
        <v/>
      </c>
      <c r="B2142">
        <f>B2141+A2142</f>
        <v/>
      </c>
      <c r="C2142">
        <f>IF(2139&gt;$B$4503,"",MATCH(2139-0.5,$B$3:$B$4503,1))</f>
        <v/>
      </c>
      <c r="D2142">
        <f>"Malpractice insurance – "&amp;IF(LEN(INDEX('Providers'!$A$4:$A$503,139))=0,"",INDEX('Providers'!$A$4:$A$503,139))</f>
        <v/>
      </c>
      <c r="E2142">
        <f>IF(ISNUMBER(INDEX('Providers'!$Q$4:$Q$503,139)),TEXT(INDEX('Providers'!$Q$4:$Q$503,139),"yyyy-mm-dd"),"")</f>
        <v/>
      </c>
      <c r="F2142">
        <f>"Insurance"</f>
        <v/>
      </c>
      <c r="G2142">
        <f>""</f>
        <v/>
      </c>
      <c r="H2142">
        <f>"High"</f>
        <v/>
      </c>
      <c r="I2142">
        <f>TRIM(IF(LEN(IF(LEN(INDEX('Providers'!$N$4:$N$503,139))=0,"",INDEX('Providers'!$N$4:$N$503,139)))=0,"","Carrier: "&amp;IF(LEN(INDEX('Providers'!$N$4:$N$503,139))=0,"",INDEX('Providers'!$N$4:$N$503,139))&amp;". ")&amp;IF(LEN(IF(LEN(INDEX('Providers'!$O$4:$O$503,139))=0,"",INDEX('Providers'!$O$4:$O$503,139)))=0,"","Policy no.: "&amp;IF(LEN(INDEX('Providers'!$O$4:$O$503,139))=0,"",INDEX('Providers'!$O$4:$O$503,139))&amp;". ")&amp;IF(LEN(IF(LEN(INDEX('Providers'!$P$4:$P$503,139))=0,"",INDEX('Providers'!$P$4:$P$503,139)))=0,"","Coverage form: "&amp;IF(LEN(INDEX('Providers'!$P$4:$P$503,139))=0,"",INDEX('Providers'!$P$4:$P$503,139))&amp;". "))</f>
        <v/>
      </c>
      <c r="J2142">
        <f>IF(LEN(INDEX('Providers'!$AJ$4:$AJ$503,139))=0,"",INDEX('Providers'!$AJ$4:$AJ$503,139))</f>
        <v/>
      </c>
      <c r="K2142">
        <f>IF(LEN(INDEX('Providers'!$AI$4:$AI$503,139))=0,"",INDEX('Providers'!$AI$4:$AI$503,139))</f>
        <v/>
      </c>
    </row>
    <row r="2143">
      <c r="A2143">
        <f>IF(AND(LEN('Providers'!A143)&gt;0,ISNUMBER('Providers'!Q143)),1,0)</f>
        <v/>
      </c>
      <c r="B2143">
        <f>B2142+A2143</f>
        <v/>
      </c>
      <c r="C2143">
        <f>IF(2140&gt;$B$4503,"",MATCH(2140-0.5,$B$3:$B$4503,1))</f>
        <v/>
      </c>
      <c r="D2143">
        <f>"Malpractice insurance – "&amp;IF(LEN(INDEX('Providers'!$A$4:$A$503,140))=0,"",INDEX('Providers'!$A$4:$A$503,140))</f>
        <v/>
      </c>
      <c r="E2143">
        <f>IF(ISNUMBER(INDEX('Providers'!$Q$4:$Q$503,140)),TEXT(INDEX('Providers'!$Q$4:$Q$503,140),"yyyy-mm-dd"),"")</f>
        <v/>
      </c>
      <c r="F2143">
        <f>"Insurance"</f>
        <v/>
      </c>
      <c r="G2143">
        <f>""</f>
        <v/>
      </c>
      <c r="H2143">
        <f>"High"</f>
        <v/>
      </c>
      <c r="I2143">
        <f>TRIM(IF(LEN(IF(LEN(INDEX('Providers'!$N$4:$N$503,140))=0,"",INDEX('Providers'!$N$4:$N$503,140)))=0,"","Carrier: "&amp;IF(LEN(INDEX('Providers'!$N$4:$N$503,140))=0,"",INDEX('Providers'!$N$4:$N$503,140))&amp;". ")&amp;IF(LEN(IF(LEN(INDEX('Providers'!$O$4:$O$503,140))=0,"",INDEX('Providers'!$O$4:$O$503,140)))=0,"","Policy no.: "&amp;IF(LEN(INDEX('Providers'!$O$4:$O$503,140))=0,"",INDEX('Providers'!$O$4:$O$503,140))&amp;". ")&amp;IF(LEN(IF(LEN(INDEX('Providers'!$P$4:$P$503,140))=0,"",INDEX('Providers'!$P$4:$P$503,140)))=0,"","Coverage form: "&amp;IF(LEN(INDEX('Providers'!$P$4:$P$503,140))=0,"",INDEX('Providers'!$P$4:$P$503,140))&amp;". "))</f>
        <v/>
      </c>
      <c r="J2143">
        <f>IF(LEN(INDEX('Providers'!$AJ$4:$AJ$503,140))=0,"",INDEX('Providers'!$AJ$4:$AJ$503,140))</f>
        <v/>
      </c>
      <c r="K2143">
        <f>IF(LEN(INDEX('Providers'!$AI$4:$AI$503,140))=0,"",INDEX('Providers'!$AI$4:$AI$503,140))</f>
        <v/>
      </c>
    </row>
    <row r="2144">
      <c r="A2144">
        <f>IF(AND(LEN('Providers'!A144)&gt;0,ISNUMBER('Providers'!Q144)),1,0)</f>
        <v/>
      </c>
      <c r="B2144">
        <f>B2143+A2144</f>
        <v/>
      </c>
      <c r="C2144">
        <f>IF(2141&gt;$B$4503,"",MATCH(2141-0.5,$B$3:$B$4503,1))</f>
        <v/>
      </c>
      <c r="D2144">
        <f>"Malpractice insurance – "&amp;IF(LEN(INDEX('Providers'!$A$4:$A$503,141))=0,"",INDEX('Providers'!$A$4:$A$503,141))</f>
        <v/>
      </c>
      <c r="E2144">
        <f>IF(ISNUMBER(INDEX('Providers'!$Q$4:$Q$503,141)),TEXT(INDEX('Providers'!$Q$4:$Q$503,141),"yyyy-mm-dd"),"")</f>
        <v/>
      </c>
      <c r="F2144">
        <f>"Insurance"</f>
        <v/>
      </c>
      <c r="G2144">
        <f>""</f>
        <v/>
      </c>
      <c r="H2144">
        <f>"High"</f>
        <v/>
      </c>
      <c r="I2144">
        <f>TRIM(IF(LEN(IF(LEN(INDEX('Providers'!$N$4:$N$503,141))=0,"",INDEX('Providers'!$N$4:$N$503,141)))=0,"","Carrier: "&amp;IF(LEN(INDEX('Providers'!$N$4:$N$503,141))=0,"",INDEX('Providers'!$N$4:$N$503,141))&amp;". ")&amp;IF(LEN(IF(LEN(INDEX('Providers'!$O$4:$O$503,141))=0,"",INDEX('Providers'!$O$4:$O$503,141)))=0,"","Policy no.: "&amp;IF(LEN(INDEX('Providers'!$O$4:$O$503,141))=0,"",INDEX('Providers'!$O$4:$O$503,141))&amp;". ")&amp;IF(LEN(IF(LEN(INDEX('Providers'!$P$4:$P$503,141))=0,"",INDEX('Providers'!$P$4:$P$503,141)))=0,"","Coverage form: "&amp;IF(LEN(INDEX('Providers'!$P$4:$P$503,141))=0,"",INDEX('Providers'!$P$4:$P$503,141))&amp;". "))</f>
        <v/>
      </c>
      <c r="J2144">
        <f>IF(LEN(INDEX('Providers'!$AJ$4:$AJ$503,141))=0,"",INDEX('Providers'!$AJ$4:$AJ$503,141))</f>
        <v/>
      </c>
      <c r="K2144">
        <f>IF(LEN(INDEX('Providers'!$AI$4:$AI$503,141))=0,"",INDEX('Providers'!$AI$4:$AI$503,141))</f>
        <v/>
      </c>
    </row>
    <row r="2145">
      <c r="A2145">
        <f>IF(AND(LEN('Providers'!A145)&gt;0,ISNUMBER('Providers'!Q145)),1,0)</f>
        <v/>
      </c>
      <c r="B2145">
        <f>B2144+A2145</f>
        <v/>
      </c>
      <c r="C2145">
        <f>IF(2142&gt;$B$4503,"",MATCH(2142-0.5,$B$3:$B$4503,1))</f>
        <v/>
      </c>
      <c r="D2145">
        <f>"Malpractice insurance – "&amp;IF(LEN(INDEX('Providers'!$A$4:$A$503,142))=0,"",INDEX('Providers'!$A$4:$A$503,142))</f>
        <v/>
      </c>
      <c r="E2145">
        <f>IF(ISNUMBER(INDEX('Providers'!$Q$4:$Q$503,142)),TEXT(INDEX('Providers'!$Q$4:$Q$503,142),"yyyy-mm-dd"),"")</f>
        <v/>
      </c>
      <c r="F2145">
        <f>"Insurance"</f>
        <v/>
      </c>
      <c r="G2145">
        <f>""</f>
        <v/>
      </c>
      <c r="H2145">
        <f>"High"</f>
        <v/>
      </c>
      <c r="I2145">
        <f>TRIM(IF(LEN(IF(LEN(INDEX('Providers'!$N$4:$N$503,142))=0,"",INDEX('Providers'!$N$4:$N$503,142)))=0,"","Carrier: "&amp;IF(LEN(INDEX('Providers'!$N$4:$N$503,142))=0,"",INDEX('Providers'!$N$4:$N$503,142))&amp;". ")&amp;IF(LEN(IF(LEN(INDEX('Providers'!$O$4:$O$503,142))=0,"",INDEX('Providers'!$O$4:$O$503,142)))=0,"","Policy no.: "&amp;IF(LEN(INDEX('Providers'!$O$4:$O$503,142))=0,"",INDEX('Providers'!$O$4:$O$503,142))&amp;". ")&amp;IF(LEN(IF(LEN(INDEX('Providers'!$P$4:$P$503,142))=0,"",INDEX('Providers'!$P$4:$P$503,142)))=0,"","Coverage form: "&amp;IF(LEN(INDEX('Providers'!$P$4:$P$503,142))=0,"",INDEX('Providers'!$P$4:$P$503,142))&amp;". "))</f>
        <v/>
      </c>
      <c r="J2145">
        <f>IF(LEN(INDEX('Providers'!$AJ$4:$AJ$503,142))=0,"",INDEX('Providers'!$AJ$4:$AJ$503,142))</f>
        <v/>
      </c>
      <c r="K2145">
        <f>IF(LEN(INDEX('Providers'!$AI$4:$AI$503,142))=0,"",INDEX('Providers'!$AI$4:$AI$503,142))</f>
        <v/>
      </c>
    </row>
    <row r="2146">
      <c r="A2146">
        <f>IF(AND(LEN('Providers'!A146)&gt;0,ISNUMBER('Providers'!Q146)),1,0)</f>
        <v/>
      </c>
      <c r="B2146">
        <f>B2145+A2146</f>
        <v/>
      </c>
      <c r="C2146">
        <f>IF(2143&gt;$B$4503,"",MATCH(2143-0.5,$B$3:$B$4503,1))</f>
        <v/>
      </c>
      <c r="D2146">
        <f>"Malpractice insurance – "&amp;IF(LEN(INDEX('Providers'!$A$4:$A$503,143))=0,"",INDEX('Providers'!$A$4:$A$503,143))</f>
        <v/>
      </c>
      <c r="E2146">
        <f>IF(ISNUMBER(INDEX('Providers'!$Q$4:$Q$503,143)),TEXT(INDEX('Providers'!$Q$4:$Q$503,143),"yyyy-mm-dd"),"")</f>
        <v/>
      </c>
      <c r="F2146">
        <f>"Insurance"</f>
        <v/>
      </c>
      <c r="G2146">
        <f>""</f>
        <v/>
      </c>
      <c r="H2146">
        <f>"High"</f>
        <v/>
      </c>
      <c r="I2146">
        <f>TRIM(IF(LEN(IF(LEN(INDEX('Providers'!$N$4:$N$503,143))=0,"",INDEX('Providers'!$N$4:$N$503,143)))=0,"","Carrier: "&amp;IF(LEN(INDEX('Providers'!$N$4:$N$503,143))=0,"",INDEX('Providers'!$N$4:$N$503,143))&amp;". ")&amp;IF(LEN(IF(LEN(INDEX('Providers'!$O$4:$O$503,143))=0,"",INDEX('Providers'!$O$4:$O$503,143)))=0,"","Policy no.: "&amp;IF(LEN(INDEX('Providers'!$O$4:$O$503,143))=0,"",INDEX('Providers'!$O$4:$O$503,143))&amp;". ")&amp;IF(LEN(IF(LEN(INDEX('Providers'!$P$4:$P$503,143))=0,"",INDEX('Providers'!$P$4:$P$503,143)))=0,"","Coverage form: "&amp;IF(LEN(INDEX('Providers'!$P$4:$P$503,143))=0,"",INDEX('Providers'!$P$4:$P$503,143))&amp;". "))</f>
        <v/>
      </c>
      <c r="J2146">
        <f>IF(LEN(INDEX('Providers'!$AJ$4:$AJ$503,143))=0,"",INDEX('Providers'!$AJ$4:$AJ$503,143))</f>
        <v/>
      </c>
      <c r="K2146">
        <f>IF(LEN(INDEX('Providers'!$AI$4:$AI$503,143))=0,"",INDEX('Providers'!$AI$4:$AI$503,143))</f>
        <v/>
      </c>
    </row>
    <row r="2147">
      <c r="A2147">
        <f>IF(AND(LEN('Providers'!A147)&gt;0,ISNUMBER('Providers'!Q147)),1,0)</f>
        <v/>
      </c>
      <c r="B2147">
        <f>B2146+A2147</f>
        <v/>
      </c>
      <c r="C2147">
        <f>IF(2144&gt;$B$4503,"",MATCH(2144-0.5,$B$3:$B$4503,1))</f>
        <v/>
      </c>
      <c r="D2147">
        <f>"Malpractice insurance – "&amp;IF(LEN(INDEX('Providers'!$A$4:$A$503,144))=0,"",INDEX('Providers'!$A$4:$A$503,144))</f>
        <v/>
      </c>
      <c r="E2147">
        <f>IF(ISNUMBER(INDEX('Providers'!$Q$4:$Q$503,144)),TEXT(INDEX('Providers'!$Q$4:$Q$503,144),"yyyy-mm-dd"),"")</f>
        <v/>
      </c>
      <c r="F2147">
        <f>"Insurance"</f>
        <v/>
      </c>
      <c r="G2147">
        <f>""</f>
        <v/>
      </c>
      <c r="H2147">
        <f>"High"</f>
        <v/>
      </c>
      <c r="I2147">
        <f>TRIM(IF(LEN(IF(LEN(INDEX('Providers'!$N$4:$N$503,144))=0,"",INDEX('Providers'!$N$4:$N$503,144)))=0,"","Carrier: "&amp;IF(LEN(INDEX('Providers'!$N$4:$N$503,144))=0,"",INDEX('Providers'!$N$4:$N$503,144))&amp;". ")&amp;IF(LEN(IF(LEN(INDEX('Providers'!$O$4:$O$503,144))=0,"",INDEX('Providers'!$O$4:$O$503,144)))=0,"","Policy no.: "&amp;IF(LEN(INDEX('Providers'!$O$4:$O$503,144))=0,"",INDEX('Providers'!$O$4:$O$503,144))&amp;". ")&amp;IF(LEN(IF(LEN(INDEX('Providers'!$P$4:$P$503,144))=0,"",INDEX('Providers'!$P$4:$P$503,144)))=0,"","Coverage form: "&amp;IF(LEN(INDEX('Providers'!$P$4:$P$503,144))=0,"",INDEX('Providers'!$P$4:$P$503,144))&amp;". "))</f>
        <v/>
      </c>
      <c r="J2147">
        <f>IF(LEN(INDEX('Providers'!$AJ$4:$AJ$503,144))=0,"",INDEX('Providers'!$AJ$4:$AJ$503,144))</f>
        <v/>
      </c>
      <c r="K2147">
        <f>IF(LEN(INDEX('Providers'!$AI$4:$AI$503,144))=0,"",INDEX('Providers'!$AI$4:$AI$503,144))</f>
        <v/>
      </c>
    </row>
    <row r="2148">
      <c r="A2148">
        <f>IF(AND(LEN('Providers'!A148)&gt;0,ISNUMBER('Providers'!Q148)),1,0)</f>
        <v/>
      </c>
      <c r="B2148">
        <f>B2147+A2148</f>
        <v/>
      </c>
      <c r="C2148">
        <f>IF(2145&gt;$B$4503,"",MATCH(2145-0.5,$B$3:$B$4503,1))</f>
        <v/>
      </c>
      <c r="D2148">
        <f>"Malpractice insurance – "&amp;IF(LEN(INDEX('Providers'!$A$4:$A$503,145))=0,"",INDEX('Providers'!$A$4:$A$503,145))</f>
        <v/>
      </c>
      <c r="E2148">
        <f>IF(ISNUMBER(INDEX('Providers'!$Q$4:$Q$503,145)),TEXT(INDEX('Providers'!$Q$4:$Q$503,145),"yyyy-mm-dd"),"")</f>
        <v/>
      </c>
      <c r="F2148">
        <f>"Insurance"</f>
        <v/>
      </c>
      <c r="G2148">
        <f>""</f>
        <v/>
      </c>
      <c r="H2148">
        <f>"High"</f>
        <v/>
      </c>
      <c r="I2148">
        <f>TRIM(IF(LEN(IF(LEN(INDEX('Providers'!$N$4:$N$503,145))=0,"",INDEX('Providers'!$N$4:$N$503,145)))=0,"","Carrier: "&amp;IF(LEN(INDEX('Providers'!$N$4:$N$503,145))=0,"",INDEX('Providers'!$N$4:$N$503,145))&amp;". ")&amp;IF(LEN(IF(LEN(INDEX('Providers'!$O$4:$O$503,145))=0,"",INDEX('Providers'!$O$4:$O$503,145)))=0,"","Policy no.: "&amp;IF(LEN(INDEX('Providers'!$O$4:$O$503,145))=0,"",INDEX('Providers'!$O$4:$O$503,145))&amp;". ")&amp;IF(LEN(IF(LEN(INDEX('Providers'!$P$4:$P$503,145))=0,"",INDEX('Providers'!$P$4:$P$503,145)))=0,"","Coverage form: "&amp;IF(LEN(INDEX('Providers'!$P$4:$P$503,145))=0,"",INDEX('Providers'!$P$4:$P$503,145))&amp;". "))</f>
        <v/>
      </c>
      <c r="J2148">
        <f>IF(LEN(INDEX('Providers'!$AJ$4:$AJ$503,145))=0,"",INDEX('Providers'!$AJ$4:$AJ$503,145))</f>
        <v/>
      </c>
      <c r="K2148">
        <f>IF(LEN(INDEX('Providers'!$AI$4:$AI$503,145))=0,"",INDEX('Providers'!$AI$4:$AI$503,145))</f>
        <v/>
      </c>
    </row>
    <row r="2149">
      <c r="A2149">
        <f>IF(AND(LEN('Providers'!A149)&gt;0,ISNUMBER('Providers'!Q149)),1,0)</f>
        <v/>
      </c>
      <c r="B2149">
        <f>B2148+A2149</f>
        <v/>
      </c>
      <c r="C2149">
        <f>IF(2146&gt;$B$4503,"",MATCH(2146-0.5,$B$3:$B$4503,1))</f>
        <v/>
      </c>
      <c r="D2149">
        <f>"Malpractice insurance – "&amp;IF(LEN(INDEX('Providers'!$A$4:$A$503,146))=0,"",INDEX('Providers'!$A$4:$A$503,146))</f>
        <v/>
      </c>
      <c r="E2149">
        <f>IF(ISNUMBER(INDEX('Providers'!$Q$4:$Q$503,146)),TEXT(INDEX('Providers'!$Q$4:$Q$503,146),"yyyy-mm-dd"),"")</f>
        <v/>
      </c>
      <c r="F2149">
        <f>"Insurance"</f>
        <v/>
      </c>
      <c r="G2149">
        <f>""</f>
        <v/>
      </c>
      <c r="H2149">
        <f>"High"</f>
        <v/>
      </c>
      <c r="I2149">
        <f>TRIM(IF(LEN(IF(LEN(INDEX('Providers'!$N$4:$N$503,146))=0,"",INDEX('Providers'!$N$4:$N$503,146)))=0,"","Carrier: "&amp;IF(LEN(INDEX('Providers'!$N$4:$N$503,146))=0,"",INDEX('Providers'!$N$4:$N$503,146))&amp;". ")&amp;IF(LEN(IF(LEN(INDEX('Providers'!$O$4:$O$503,146))=0,"",INDEX('Providers'!$O$4:$O$503,146)))=0,"","Policy no.: "&amp;IF(LEN(INDEX('Providers'!$O$4:$O$503,146))=0,"",INDEX('Providers'!$O$4:$O$503,146))&amp;". ")&amp;IF(LEN(IF(LEN(INDEX('Providers'!$P$4:$P$503,146))=0,"",INDEX('Providers'!$P$4:$P$503,146)))=0,"","Coverage form: "&amp;IF(LEN(INDEX('Providers'!$P$4:$P$503,146))=0,"",INDEX('Providers'!$P$4:$P$503,146))&amp;". "))</f>
        <v/>
      </c>
      <c r="J2149">
        <f>IF(LEN(INDEX('Providers'!$AJ$4:$AJ$503,146))=0,"",INDEX('Providers'!$AJ$4:$AJ$503,146))</f>
        <v/>
      </c>
      <c r="K2149">
        <f>IF(LEN(INDEX('Providers'!$AI$4:$AI$503,146))=0,"",INDEX('Providers'!$AI$4:$AI$503,146))</f>
        <v/>
      </c>
    </row>
    <row r="2150">
      <c r="A2150">
        <f>IF(AND(LEN('Providers'!A150)&gt;0,ISNUMBER('Providers'!Q150)),1,0)</f>
        <v/>
      </c>
      <c r="B2150">
        <f>B2149+A2150</f>
        <v/>
      </c>
      <c r="C2150">
        <f>IF(2147&gt;$B$4503,"",MATCH(2147-0.5,$B$3:$B$4503,1))</f>
        <v/>
      </c>
      <c r="D2150">
        <f>"Malpractice insurance – "&amp;IF(LEN(INDEX('Providers'!$A$4:$A$503,147))=0,"",INDEX('Providers'!$A$4:$A$503,147))</f>
        <v/>
      </c>
      <c r="E2150">
        <f>IF(ISNUMBER(INDEX('Providers'!$Q$4:$Q$503,147)),TEXT(INDEX('Providers'!$Q$4:$Q$503,147),"yyyy-mm-dd"),"")</f>
        <v/>
      </c>
      <c r="F2150">
        <f>"Insurance"</f>
        <v/>
      </c>
      <c r="G2150">
        <f>""</f>
        <v/>
      </c>
      <c r="H2150">
        <f>"High"</f>
        <v/>
      </c>
      <c r="I2150">
        <f>TRIM(IF(LEN(IF(LEN(INDEX('Providers'!$N$4:$N$503,147))=0,"",INDEX('Providers'!$N$4:$N$503,147)))=0,"","Carrier: "&amp;IF(LEN(INDEX('Providers'!$N$4:$N$503,147))=0,"",INDEX('Providers'!$N$4:$N$503,147))&amp;". ")&amp;IF(LEN(IF(LEN(INDEX('Providers'!$O$4:$O$503,147))=0,"",INDEX('Providers'!$O$4:$O$503,147)))=0,"","Policy no.: "&amp;IF(LEN(INDEX('Providers'!$O$4:$O$503,147))=0,"",INDEX('Providers'!$O$4:$O$503,147))&amp;". ")&amp;IF(LEN(IF(LEN(INDEX('Providers'!$P$4:$P$503,147))=0,"",INDEX('Providers'!$P$4:$P$503,147)))=0,"","Coverage form: "&amp;IF(LEN(INDEX('Providers'!$P$4:$P$503,147))=0,"",INDEX('Providers'!$P$4:$P$503,147))&amp;". "))</f>
        <v/>
      </c>
      <c r="J2150">
        <f>IF(LEN(INDEX('Providers'!$AJ$4:$AJ$503,147))=0,"",INDEX('Providers'!$AJ$4:$AJ$503,147))</f>
        <v/>
      </c>
      <c r="K2150">
        <f>IF(LEN(INDEX('Providers'!$AI$4:$AI$503,147))=0,"",INDEX('Providers'!$AI$4:$AI$503,147))</f>
        <v/>
      </c>
    </row>
    <row r="2151">
      <c r="A2151">
        <f>IF(AND(LEN('Providers'!A151)&gt;0,ISNUMBER('Providers'!Q151)),1,0)</f>
        <v/>
      </c>
      <c r="B2151">
        <f>B2150+A2151</f>
        <v/>
      </c>
      <c r="C2151">
        <f>IF(2148&gt;$B$4503,"",MATCH(2148-0.5,$B$3:$B$4503,1))</f>
        <v/>
      </c>
      <c r="D2151">
        <f>"Malpractice insurance – "&amp;IF(LEN(INDEX('Providers'!$A$4:$A$503,148))=0,"",INDEX('Providers'!$A$4:$A$503,148))</f>
        <v/>
      </c>
      <c r="E2151">
        <f>IF(ISNUMBER(INDEX('Providers'!$Q$4:$Q$503,148)),TEXT(INDEX('Providers'!$Q$4:$Q$503,148),"yyyy-mm-dd"),"")</f>
        <v/>
      </c>
      <c r="F2151">
        <f>"Insurance"</f>
        <v/>
      </c>
      <c r="G2151">
        <f>""</f>
        <v/>
      </c>
      <c r="H2151">
        <f>"High"</f>
        <v/>
      </c>
      <c r="I2151">
        <f>TRIM(IF(LEN(IF(LEN(INDEX('Providers'!$N$4:$N$503,148))=0,"",INDEX('Providers'!$N$4:$N$503,148)))=0,"","Carrier: "&amp;IF(LEN(INDEX('Providers'!$N$4:$N$503,148))=0,"",INDEX('Providers'!$N$4:$N$503,148))&amp;". ")&amp;IF(LEN(IF(LEN(INDEX('Providers'!$O$4:$O$503,148))=0,"",INDEX('Providers'!$O$4:$O$503,148)))=0,"","Policy no.: "&amp;IF(LEN(INDEX('Providers'!$O$4:$O$503,148))=0,"",INDEX('Providers'!$O$4:$O$503,148))&amp;". ")&amp;IF(LEN(IF(LEN(INDEX('Providers'!$P$4:$P$503,148))=0,"",INDEX('Providers'!$P$4:$P$503,148)))=0,"","Coverage form: "&amp;IF(LEN(INDEX('Providers'!$P$4:$P$503,148))=0,"",INDEX('Providers'!$P$4:$P$503,148))&amp;". "))</f>
        <v/>
      </c>
      <c r="J2151">
        <f>IF(LEN(INDEX('Providers'!$AJ$4:$AJ$503,148))=0,"",INDEX('Providers'!$AJ$4:$AJ$503,148))</f>
        <v/>
      </c>
      <c r="K2151">
        <f>IF(LEN(INDEX('Providers'!$AI$4:$AI$503,148))=0,"",INDEX('Providers'!$AI$4:$AI$503,148))</f>
        <v/>
      </c>
    </row>
    <row r="2152">
      <c r="A2152">
        <f>IF(AND(LEN('Providers'!A152)&gt;0,ISNUMBER('Providers'!Q152)),1,0)</f>
        <v/>
      </c>
      <c r="B2152">
        <f>B2151+A2152</f>
        <v/>
      </c>
      <c r="C2152">
        <f>IF(2149&gt;$B$4503,"",MATCH(2149-0.5,$B$3:$B$4503,1))</f>
        <v/>
      </c>
      <c r="D2152">
        <f>"Malpractice insurance – "&amp;IF(LEN(INDEX('Providers'!$A$4:$A$503,149))=0,"",INDEX('Providers'!$A$4:$A$503,149))</f>
        <v/>
      </c>
      <c r="E2152">
        <f>IF(ISNUMBER(INDEX('Providers'!$Q$4:$Q$503,149)),TEXT(INDEX('Providers'!$Q$4:$Q$503,149),"yyyy-mm-dd"),"")</f>
        <v/>
      </c>
      <c r="F2152">
        <f>"Insurance"</f>
        <v/>
      </c>
      <c r="G2152">
        <f>""</f>
        <v/>
      </c>
      <c r="H2152">
        <f>"High"</f>
        <v/>
      </c>
      <c r="I2152">
        <f>TRIM(IF(LEN(IF(LEN(INDEX('Providers'!$N$4:$N$503,149))=0,"",INDEX('Providers'!$N$4:$N$503,149)))=0,"","Carrier: "&amp;IF(LEN(INDEX('Providers'!$N$4:$N$503,149))=0,"",INDEX('Providers'!$N$4:$N$503,149))&amp;". ")&amp;IF(LEN(IF(LEN(INDEX('Providers'!$O$4:$O$503,149))=0,"",INDEX('Providers'!$O$4:$O$503,149)))=0,"","Policy no.: "&amp;IF(LEN(INDEX('Providers'!$O$4:$O$503,149))=0,"",INDEX('Providers'!$O$4:$O$503,149))&amp;". ")&amp;IF(LEN(IF(LEN(INDEX('Providers'!$P$4:$P$503,149))=0,"",INDEX('Providers'!$P$4:$P$503,149)))=0,"","Coverage form: "&amp;IF(LEN(INDEX('Providers'!$P$4:$P$503,149))=0,"",INDEX('Providers'!$P$4:$P$503,149))&amp;". "))</f>
        <v/>
      </c>
      <c r="J2152">
        <f>IF(LEN(INDEX('Providers'!$AJ$4:$AJ$503,149))=0,"",INDEX('Providers'!$AJ$4:$AJ$503,149))</f>
        <v/>
      </c>
      <c r="K2152">
        <f>IF(LEN(INDEX('Providers'!$AI$4:$AI$503,149))=0,"",INDEX('Providers'!$AI$4:$AI$503,149))</f>
        <v/>
      </c>
    </row>
    <row r="2153">
      <c r="A2153">
        <f>IF(AND(LEN('Providers'!A153)&gt;0,ISNUMBER('Providers'!Q153)),1,0)</f>
        <v/>
      </c>
      <c r="B2153">
        <f>B2152+A2153</f>
        <v/>
      </c>
      <c r="C2153">
        <f>IF(2150&gt;$B$4503,"",MATCH(2150-0.5,$B$3:$B$4503,1))</f>
        <v/>
      </c>
      <c r="D2153">
        <f>"Malpractice insurance – "&amp;IF(LEN(INDEX('Providers'!$A$4:$A$503,150))=0,"",INDEX('Providers'!$A$4:$A$503,150))</f>
        <v/>
      </c>
      <c r="E2153">
        <f>IF(ISNUMBER(INDEX('Providers'!$Q$4:$Q$503,150)),TEXT(INDEX('Providers'!$Q$4:$Q$503,150),"yyyy-mm-dd"),"")</f>
        <v/>
      </c>
      <c r="F2153">
        <f>"Insurance"</f>
        <v/>
      </c>
      <c r="G2153">
        <f>""</f>
        <v/>
      </c>
      <c r="H2153">
        <f>"High"</f>
        <v/>
      </c>
      <c r="I2153">
        <f>TRIM(IF(LEN(IF(LEN(INDEX('Providers'!$N$4:$N$503,150))=0,"",INDEX('Providers'!$N$4:$N$503,150)))=0,"","Carrier: "&amp;IF(LEN(INDEX('Providers'!$N$4:$N$503,150))=0,"",INDEX('Providers'!$N$4:$N$503,150))&amp;". ")&amp;IF(LEN(IF(LEN(INDEX('Providers'!$O$4:$O$503,150))=0,"",INDEX('Providers'!$O$4:$O$503,150)))=0,"","Policy no.: "&amp;IF(LEN(INDEX('Providers'!$O$4:$O$503,150))=0,"",INDEX('Providers'!$O$4:$O$503,150))&amp;". ")&amp;IF(LEN(IF(LEN(INDEX('Providers'!$P$4:$P$503,150))=0,"",INDEX('Providers'!$P$4:$P$503,150)))=0,"","Coverage form: "&amp;IF(LEN(INDEX('Providers'!$P$4:$P$503,150))=0,"",INDEX('Providers'!$P$4:$P$503,150))&amp;". "))</f>
        <v/>
      </c>
      <c r="J2153">
        <f>IF(LEN(INDEX('Providers'!$AJ$4:$AJ$503,150))=0,"",INDEX('Providers'!$AJ$4:$AJ$503,150))</f>
        <v/>
      </c>
      <c r="K2153">
        <f>IF(LEN(INDEX('Providers'!$AI$4:$AI$503,150))=0,"",INDEX('Providers'!$AI$4:$AI$503,150))</f>
        <v/>
      </c>
    </row>
    <row r="2154">
      <c r="A2154">
        <f>IF(AND(LEN('Providers'!A154)&gt;0,ISNUMBER('Providers'!Q154)),1,0)</f>
        <v/>
      </c>
      <c r="B2154">
        <f>B2153+A2154</f>
        <v/>
      </c>
      <c r="C2154">
        <f>IF(2151&gt;$B$4503,"",MATCH(2151-0.5,$B$3:$B$4503,1))</f>
        <v/>
      </c>
      <c r="D2154">
        <f>"Malpractice insurance – "&amp;IF(LEN(INDEX('Providers'!$A$4:$A$503,151))=0,"",INDEX('Providers'!$A$4:$A$503,151))</f>
        <v/>
      </c>
      <c r="E2154">
        <f>IF(ISNUMBER(INDEX('Providers'!$Q$4:$Q$503,151)),TEXT(INDEX('Providers'!$Q$4:$Q$503,151),"yyyy-mm-dd"),"")</f>
        <v/>
      </c>
      <c r="F2154">
        <f>"Insurance"</f>
        <v/>
      </c>
      <c r="G2154">
        <f>""</f>
        <v/>
      </c>
      <c r="H2154">
        <f>"High"</f>
        <v/>
      </c>
      <c r="I2154">
        <f>TRIM(IF(LEN(IF(LEN(INDEX('Providers'!$N$4:$N$503,151))=0,"",INDEX('Providers'!$N$4:$N$503,151)))=0,"","Carrier: "&amp;IF(LEN(INDEX('Providers'!$N$4:$N$503,151))=0,"",INDEX('Providers'!$N$4:$N$503,151))&amp;". ")&amp;IF(LEN(IF(LEN(INDEX('Providers'!$O$4:$O$503,151))=0,"",INDEX('Providers'!$O$4:$O$503,151)))=0,"","Policy no.: "&amp;IF(LEN(INDEX('Providers'!$O$4:$O$503,151))=0,"",INDEX('Providers'!$O$4:$O$503,151))&amp;". ")&amp;IF(LEN(IF(LEN(INDEX('Providers'!$P$4:$P$503,151))=0,"",INDEX('Providers'!$P$4:$P$503,151)))=0,"","Coverage form: "&amp;IF(LEN(INDEX('Providers'!$P$4:$P$503,151))=0,"",INDEX('Providers'!$P$4:$P$503,151))&amp;". "))</f>
        <v/>
      </c>
      <c r="J2154">
        <f>IF(LEN(INDEX('Providers'!$AJ$4:$AJ$503,151))=0,"",INDEX('Providers'!$AJ$4:$AJ$503,151))</f>
        <v/>
      </c>
      <c r="K2154">
        <f>IF(LEN(INDEX('Providers'!$AI$4:$AI$503,151))=0,"",INDEX('Providers'!$AI$4:$AI$503,151))</f>
        <v/>
      </c>
    </row>
    <row r="2155">
      <c r="A2155">
        <f>IF(AND(LEN('Providers'!A155)&gt;0,ISNUMBER('Providers'!Q155)),1,0)</f>
        <v/>
      </c>
      <c r="B2155">
        <f>B2154+A2155</f>
        <v/>
      </c>
      <c r="C2155">
        <f>IF(2152&gt;$B$4503,"",MATCH(2152-0.5,$B$3:$B$4503,1))</f>
        <v/>
      </c>
      <c r="D2155">
        <f>"Malpractice insurance – "&amp;IF(LEN(INDEX('Providers'!$A$4:$A$503,152))=0,"",INDEX('Providers'!$A$4:$A$503,152))</f>
        <v/>
      </c>
      <c r="E2155">
        <f>IF(ISNUMBER(INDEX('Providers'!$Q$4:$Q$503,152)),TEXT(INDEX('Providers'!$Q$4:$Q$503,152),"yyyy-mm-dd"),"")</f>
        <v/>
      </c>
      <c r="F2155">
        <f>"Insurance"</f>
        <v/>
      </c>
      <c r="G2155">
        <f>""</f>
        <v/>
      </c>
      <c r="H2155">
        <f>"High"</f>
        <v/>
      </c>
      <c r="I2155">
        <f>TRIM(IF(LEN(IF(LEN(INDEX('Providers'!$N$4:$N$503,152))=0,"",INDEX('Providers'!$N$4:$N$503,152)))=0,"","Carrier: "&amp;IF(LEN(INDEX('Providers'!$N$4:$N$503,152))=0,"",INDEX('Providers'!$N$4:$N$503,152))&amp;". ")&amp;IF(LEN(IF(LEN(INDEX('Providers'!$O$4:$O$503,152))=0,"",INDEX('Providers'!$O$4:$O$503,152)))=0,"","Policy no.: "&amp;IF(LEN(INDEX('Providers'!$O$4:$O$503,152))=0,"",INDEX('Providers'!$O$4:$O$503,152))&amp;". ")&amp;IF(LEN(IF(LEN(INDEX('Providers'!$P$4:$P$503,152))=0,"",INDEX('Providers'!$P$4:$P$503,152)))=0,"","Coverage form: "&amp;IF(LEN(INDEX('Providers'!$P$4:$P$503,152))=0,"",INDEX('Providers'!$P$4:$P$503,152))&amp;". "))</f>
        <v/>
      </c>
      <c r="J2155">
        <f>IF(LEN(INDEX('Providers'!$AJ$4:$AJ$503,152))=0,"",INDEX('Providers'!$AJ$4:$AJ$503,152))</f>
        <v/>
      </c>
      <c r="K2155">
        <f>IF(LEN(INDEX('Providers'!$AI$4:$AI$503,152))=0,"",INDEX('Providers'!$AI$4:$AI$503,152))</f>
        <v/>
      </c>
    </row>
    <row r="2156">
      <c r="A2156">
        <f>IF(AND(LEN('Providers'!A156)&gt;0,ISNUMBER('Providers'!Q156)),1,0)</f>
        <v/>
      </c>
      <c r="B2156">
        <f>B2155+A2156</f>
        <v/>
      </c>
      <c r="C2156">
        <f>IF(2153&gt;$B$4503,"",MATCH(2153-0.5,$B$3:$B$4503,1))</f>
        <v/>
      </c>
      <c r="D2156">
        <f>"Malpractice insurance – "&amp;IF(LEN(INDEX('Providers'!$A$4:$A$503,153))=0,"",INDEX('Providers'!$A$4:$A$503,153))</f>
        <v/>
      </c>
      <c r="E2156">
        <f>IF(ISNUMBER(INDEX('Providers'!$Q$4:$Q$503,153)),TEXT(INDEX('Providers'!$Q$4:$Q$503,153),"yyyy-mm-dd"),"")</f>
        <v/>
      </c>
      <c r="F2156">
        <f>"Insurance"</f>
        <v/>
      </c>
      <c r="G2156">
        <f>""</f>
        <v/>
      </c>
      <c r="H2156">
        <f>"High"</f>
        <v/>
      </c>
      <c r="I2156">
        <f>TRIM(IF(LEN(IF(LEN(INDEX('Providers'!$N$4:$N$503,153))=0,"",INDEX('Providers'!$N$4:$N$503,153)))=0,"","Carrier: "&amp;IF(LEN(INDEX('Providers'!$N$4:$N$503,153))=0,"",INDEX('Providers'!$N$4:$N$503,153))&amp;". ")&amp;IF(LEN(IF(LEN(INDEX('Providers'!$O$4:$O$503,153))=0,"",INDEX('Providers'!$O$4:$O$503,153)))=0,"","Policy no.: "&amp;IF(LEN(INDEX('Providers'!$O$4:$O$503,153))=0,"",INDEX('Providers'!$O$4:$O$503,153))&amp;". ")&amp;IF(LEN(IF(LEN(INDEX('Providers'!$P$4:$P$503,153))=0,"",INDEX('Providers'!$P$4:$P$503,153)))=0,"","Coverage form: "&amp;IF(LEN(INDEX('Providers'!$P$4:$P$503,153))=0,"",INDEX('Providers'!$P$4:$P$503,153))&amp;". "))</f>
        <v/>
      </c>
      <c r="J2156">
        <f>IF(LEN(INDEX('Providers'!$AJ$4:$AJ$503,153))=0,"",INDEX('Providers'!$AJ$4:$AJ$503,153))</f>
        <v/>
      </c>
      <c r="K2156">
        <f>IF(LEN(INDEX('Providers'!$AI$4:$AI$503,153))=0,"",INDEX('Providers'!$AI$4:$AI$503,153))</f>
        <v/>
      </c>
    </row>
    <row r="2157">
      <c r="A2157">
        <f>IF(AND(LEN('Providers'!A157)&gt;0,ISNUMBER('Providers'!Q157)),1,0)</f>
        <v/>
      </c>
      <c r="B2157">
        <f>B2156+A2157</f>
        <v/>
      </c>
      <c r="C2157">
        <f>IF(2154&gt;$B$4503,"",MATCH(2154-0.5,$B$3:$B$4503,1))</f>
        <v/>
      </c>
      <c r="D2157">
        <f>"Malpractice insurance – "&amp;IF(LEN(INDEX('Providers'!$A$4:$A$503,154))=0,"",INDEX('Providers'!$A$4:$A$503,154))</f>
        <v/>
      </c>
      <c r="E2157">
        <f>IF(ISNUMBER(INDEX('Providers'!$Q$4:$Q$503,154)),TEXT(INDEX('Providers'!$Q$4:$Q$503,154),"yyyy-mm-dd"),"")</f>
        <v/>
      </c>
      <c r="F2157">
        <f>"Insurance"</f>
        <v/>
      </c>
      <c r="G2157">
        <f>""</f>
        <v/>
      </c>
      <c r="H2157">
        <f>"High"</f>
        <v/>
      </c>
      <c r="I2157">
        <f>TRIM(IF(LEN(IF(LEN(INDEX('Providers'!$N$4:$N$503,154))=0,"",INDEX('Providers'!$N$4:$N$503,154)))=0,"","Carrier: "&amp;IF(LEN(INDEX('Providers'!$N$4:$N$503,154))=0,"",INDEX('Providers'!$N$4:$N$503,154))&amp;". ")&amp;IF(LEN(IF(LEN(INDEX('Providers'!$O$4:$O$503,154))=0,"",INDEX('Providers'!$O$4:$O$503,154)))=0,"","Policy no.: "&amp;IF(LEN(INDEX('Providers'!$O$4:$O$503,154))=0,"",INDEX('Providers'!$O$4:$O$503,154))&amp;". ")&amp;IF(LEN(IF(LEN(INDEX('Providers'!$P$4:$P$503,154))=0,"",INDEX('Providers'!$P$4:$P$503,154)))=0,"","Coverage form: "&amp;IF(LEN(INDEX('Providers'!$P$4:$P$503,154))=0,"",INDEX('Providers'!$P$4:$P$503,154))&amp;". "))</f>
        <v/>
      </c>
      <c r="J2157">
        <f>IF(LEN(INDEX('Providers'!$AJ$4:$AJ$503,154))=0,"",INDEX('Providers'!$AJ$4:$AJ$503,154))</f>
        <v/>
      </c>
      <c r="K2157">
        <f>IF(LEN(INDEX('Providers'!$AI$4:$AI$503,154))=0,"",INDEX('Providers'!$AI$4:$AI$503,154))</f>
        <v/>
      </c>
    </row>
    <row r="2158">
      <c r="A2158">
        <f>IF(AND(LEN('Providers'!A158)&gt;0,ISNUMBER('Providers'!Q158)),1,0)</f>
        <v/>
      </c>
      <c r="B2158">
        <f>B2157+A2158</f>
        <v/>
      </c>
      <c r="C2158">
        <f>IF(2155&gt;$B$4503,"",MATCH(2155-0.5,$B$3:$B$4503,1))</f>
        <v/>
      </c>
      <c r="D2158">
        <f>"Malpractice insurance – "&amp;IF(LEN(INDEX('Providers'!$A$4:$A$503,155))=0,"",INDEX('Providers'!$A$4:$A$503,155))</f>
        <v/>
      </c>
      <c r="E2158">
        <f>IF(ISNUMBER(INDEX('Providers'!$Q$4:$Q$503,155)),TEXT(INDEX('Providers'!$Q$4:$Q$503,155),"yyyy-mm-dd"),"")</f>
        <v/>
      </c>
      <c r="F2158">
        <f>"Insurance"</f>
        <v/>
      </c>
      <c r="G2158">
        <f>""</f>
        <v/>
      </c>
      <c r="H2158">
        <f>"High"</f>
        <v/>
      </c>
      <c r="I2158">
        <f>TRIM(IF(LEN(IF(LEN(INDEX('Providers'!$N$4:$N$503,155))=0,"",INDEX('Providers'!$N$4:$N$503,155)))=0,"","Carrier: "&amp;IF(LEN(INDEX('Providers'!$N$4:$N$503,155))=0,"",INDEX('Providers'!$N$4:$N$503,155))&amp;". ")&amp;IF(LEN(IF(LEN(INDEX('Providers'!$O$4:$O$503,155))=0,"",INDEX('Providers'!$O$4:$O$503,155)))=0,"","Policy no.: "&amp;IF(LEN(INDEX('Providers'!$O$4:$O$503,155))=0,"",INDEX('Providers'!$O$4:$O$503,155))&amp;". ")&amp;IF(LEN(IF(LEN(INDEX('Providers'!$P$4:$P$503,155))=0,"",INDEX('Providers'!$P$4:$P$503,155)))=0,"","Coverage form: "&amp;IF(LEN(INDEX('Providers'!$P$4:$P$503,155))=0,"",INDEX('Providers'!$P$4:$P$503,155))&amp;". "))</f>
        <v/>
      </c>
      <c r="J2158">
        <f>IF(LEN(INDEX('Providers'!$AJ$4:$AJ$503,155))=0,"",INDEX('Providers'!$AJ$4:$AJ$503,155))</f>
        <v/>
      </c>
      <c r="K2158">
        <f>IF(LEN(INDEX('Providers'!$AI$4:$AI$503,155))=0,"",INDEX('Providers'!$AI$4:$AI$503,155))</f>
        <v/>
      </c>
    </row>
    <row r="2159">
      <c r="A2159">
        <f>IF(AND(LEN('Providers'!A159)&gt;0,ISNUMBER('Providers'!Q159)),1,0)</f>
        <v/>
      </c>
      <c r="B2159">
        <f>B2158+A2159</f>
        <v/>
      </c>
      <c r="C2159">
        <f>IF(2156&gt;$B$4503,"",MATCH(2156-0.5,$B$3:$B$4503,1))</f>
        <v/>
      </c>
      <c r="D2159">
        <f>"Malpractice insurance – "&amp;IF(LEN(INDEX('Providers'!$A$4:$A$503,156))=0,"",INDEX('Providers'!$A$4:$A$503,156))</f>
        <v/>
      </c>
      <c r="E2159">
        <f>IF(ISNUMBER(INDEX('Providers'!$Q$4:$Q$503,156)),TEXT(INDEX('Providers'!$Q$4:$Q$503,156),"yyyy-mm-dd"),"")</f>
        <v/>
      </c>
      <c r="F2159">
        <f>"Insurance"</f>
        <v/>
      </c>
      <c r="G2159">
        <f>""</f>
        <v/>
      </c>
      <c r="H2159">
        <f>"High"</f>
        <v/>
      </c>
      <c r="I2159">
        <f>TRIM(IF(LEN(IF(LEN(INDEX('Providers'!$N$4:$N$503,156))=0,"",INDEX('Providers'!$N$4:$N$503,156)))=0,"","Carrier: "&amp;IF(LEN(INDEX('Providers'!$N$4:$N$503,156))=0,"",INDEX('Providers'!$N$4:$N$503,156))&amp;". ")&amp;IF(LEN(IF(LEN(INDEX('Providers'!$O$4:$O$503,156))=0,"",INDEX('Providers'!$O$4:$O$503,156)))=0,"","Policy no.: "&amp;IF(LEN(INDEX('Providers'!$O$4:$O$503,156))=0,"",INDEX('Providers'!$O$4:$O$503,156))&amp;". ")&amp;IF(LEN(IF(LEN(INDEX('Providers'!$P$4:$P$503,156))=0,"",INDEX('Providers'!$P$4:$P$503,156)))=0,"","Coverage form: "&amp;IF(LEN(INDEX('Providers'!$P$4:$P$503,156))=0,"",INDEX('Providers'!$P$4:$P$503,156))&amp;". "))</f>
        <v/>
      </c>
      <c r="J2159">
        <f>IF(LEN(INDEX('Providers'!$AJ$4:$AJ$503,156))=0,"",INDEX('Providers'!$AJ$4:$AJ$503,156))</f>
        <v/>
      </c>
      <c r="K2159">
        <f>IF(LEN(INDEX('Providers'!$AI$4:$AI$503,156))=0,"",INDEX('Providers'!$AI$4:$AI$503,156))</f>
        <v/>
      </c>
    </row>
    <row r="2160">
      <c r="A2160">
        <f>IF(AND(LEN('Providers'!A160)&gt;0,ISNUMBER('Providers'!Q160)),1,0)</f>
        <v/>
      </c>
      <c r="B2160">
        <f>B2159+A2160</f>
        <v/>
      </c>
      <c r="C2160">
        <f>IF(2157&gt;$B$4503,"",MATCH(2157-0.5,$B$3:$B$4503,1))</f>
        <v/>
      </c>
      <c r="D2160">
        <f>"Malpractice insurance – "&amp;IF(LEN(INDEX('Providers'!$A$4:$A$503,157))=0,"",INDEX('Providers'!$A$4:$A$503,157))</f>
        <v/>
      </c>
      <c r="E2160">
        <f>IF(ISNUMBER(INDEX('Providers'!$Q$4:$Q$503,157)),TEXT(INDEX('Providers'!$Q$4:$Q$503,157),"yyyy-mm-dd"),"")</f>
        <v/>
      </c>
      <c r="F2160">
        <f>"Insurance"</f>
        <v/>
      </c>
      <c r="G2160">
        <f>""</f>
        <v/>
      </c>
      <c r="H2160">
        <f>"High"</f>
        <v/>
      </c>
      <c r="I2160">
        <f>TRIM(IF(LEN(IF(LEN(INDEX('Providers'!$N$4:$N$503,157))=0,"",INDEX('Providers'!$N$4:$N$503,157)))=0,"","Carrier: "&amp;IF(LEN(INDEX('Providers'!$N$4:$N$503,157))=0,"",INDEX('Providers'!$N$4:$N$503,157))&amp;". ")&amp;IF(LEN(IF(LEN(INDEX('Providers'!$O$4:$O$503,157))=0,"",INDEX('Providers'!$O$4:$O$503,157)))=0,"","Policy no.: "&amp;IF(LEN(INDEX('Providers'!$O$4:$O$503,157))=0,"",INDEX('Providers'!$O$4:$O$503,157))&amp;". ")&amp;IF(LEN(IF(LEN(INDEX('Providers'!$P$4:$P$503,157))=0,"",INDEX('Providers'!$P$4:$P$503,157)))=0,"","Coverage form: "&amp;IF(LEN(INDEX('Providers'!$P$4:$P$503,157))=0,"",INDEX('Providers'!$P$4:$P$503,157))&amp;". "))</f>
        <v/>
      </c>
      <c r="J2160">
        <f>IF(LEN(INDEX('Providers'!$AJ$4:$AJ$503,157))=0,"",INDEX('Providers'!$AJ$4:$AJ$503,157))</f>
        <v/>
      </c>
      <c r="K2160">
        <f>IF(LEN(INDEX('Providers'!$AI$4:$AI$503,157))=0,"",INDEX('Providers'!$AI$4:$AI$503,157))</f>
        <v/>
      </c>
    </row>
    <row r="2161">
      <c r="A2161">
        <f>IF(AND(LEN('Providers'!A161)&gt;0,ISNUMBER('Providers'!Q161)),1,0)</f>
        <v/>
      </c>
      <c r="B2161">
        <f>B2160+A2161</f>
        <v/>
      </c>
      <c r="C2161">
        <f>IF(2158&gt;$B$4503,"",MATCH(2158-0.5,$B$3:$B$4503,1))</f>
        <v/>
      </c>
      <c r="D2161">
        <f>"Malpractice insurance – "&amp;IF(LEN(INDEX('Providers'!$A$4:$A$503,158))=0,"",INDEX('Providers'!$A$4:$A$503,158))</f>
        <v/>
      </c>
      <c r="E2161">
        <f>IF(ISNUMBER(INDEX('Providers'!$Q$4:$Q$503,158)),TEXT(INDEX('Providers'!$Q$4:$Q$503,158),"yyyy-mm-dd"),"")</f>
        <v/>
      </c>
      <c r="F2161">
        <f>"Insurance"</f>
        <v/>
      </c>
      <c r="G2161">
        <f>""</f>
        <v/>
      </c>
      <c r="H2161">
        <f>"High"</f>
        <v/>
      </c>
      <c r="I2161">
        <f>TRIM(IF(LEN(IF(LEN(INDEX('Providers'!$N$4:$N$503,158))=0,"",INDEX('Providers'!$N$4:$N$503,158)))=0,"","Carrier: "&amp;IF(LEN(INDEX('Providers'!$N$4:$N$503,158))=0,"",INDEX('Providers'!$N$4:$N$503,158))&amp;". ")&amp;IF(LEN(IF(LEN(INDEX('Providers'!$O$4:$O$503,158))=0,"",INDEX('Providers'!$O$4:$O$503,158)))=0,"","Policy no.: "&amp;IF(LEN(INDEX('Providers'!$O$4:$O$503,158))=0,"",INDEX('Providers'!$O$4:$O$503,158))&amp;". ")&amp;IF(LEN(IF(LEN(INDEX('Providers'!$P$4:$P$503,158))=0,"",INDEX('Providers'!$P$4:$P$503,158)))=0,"","Coverage form: "&amp;IF(LEN(INDEX('Providers'!$P$4:$P$503,158))=0,"",INDEX('Providers'!$P$4:$P$503,158))&amp;". "))</f>
        <v/>
      </c>
      <c r="J2161">
        <f>IF(LEN(INDEX('Providers'!$AJ$4:$AJ$503,158))=0,"",INDEX('Providers'!$AJ$4:$AJ$503,158))</f>
        <v/>
      </c>
      <c r="K2161">
        <f>IF(LEN(INDEX('Providers'!$AI$4:$AI$503,158))=0,"",INDEX('Providers'!$AI$4:$AI$503,158))</f>
        <v/>
      </c>
    </row>
    <row r="2162">
      <c r="A2162">
        <f>IF(AND(LEN('Providers'!A162)&gt;0,ISNUMBER('Providers'!Q162)),1,0)</f>
        <v/>
      </c>
      <c r="B2162">
        <f>B2161+A2162</f>
        <v/>
      </c>
      <c r="C2162">
        <f>IF(2159&gt;$B$4503,"",MATCH(2159-0.5,$B$3:$B$4503,1))</f>
        <v/>
      </c>
      <c r="D2162">
        <f>"Malpractice insurance – "&amp;IF(LEN(INDEX('Providers'!$A$4:$A$503,159))=0,"",INDEX('Providers'!$A$4:$A$503,159))</f>
        <v/>
      </c>
      <c r="E2162">
        <f>IF(ISNUMBER(INDEX('Providers'!$Q$4:$Q$503,159)),TEXT(INDEX('Providers'!$Q$4:$Q$503,159),"yyyy-mm-dd"),"")</f>
        <v/>
      </c>
      <c r="F2162">
        <f>"Insurance"</f>
        <v/>
      </c>
      <c r="G2162">
        <f>""</f>
        <v/>
      </c>
      <c r="H2162">
        <f>"High"</f>
        <v/>
      </c>
      <c r="I2162">
        <f>TRIM(IF(LEN(IF(LEN(INDEX('Providers'!$N$4:$N$503,159))=0,"",INDEX('Providers'!$N$4:$N$503,159)))=0,"","Carrier: "&amp;IF(LEN(INDEX('Providers'!$N$4:$N$503,159))=0,"",INDEX('Providers'!$N$4:$N$503,159))&amp;". ")&amp;IF(LEN(IF(LEN(INDEX('Providers'!$O$4:$O$503,159))=0,"",INDEX('Providers'!$O$4:$O$503,159)))=0,"","Policy no.: "&amp;IF(LEN(INDEX('Providers'!$O$4:$O$503,159))=0,"",INDEX('Providers'!$O$4:$O$503,159))&amp;". ")&amp;IF(LEN(IF(LEN(INDEX('Providers'!$P$4:$P$503,159))=0,"",INDEX('Providers'!$P$4:$P$503,159)))=0,"","Coverage form: "&amp;IF(LEN(INDEX('Providers'!$P$4:$P$503,159))=0,"",INDEX('Providers'!$P$4:$P$503,159))&amp;". "))</f>
        <v/>
      </c>
      <c r="J2162">
        <f>IF(LEN(INDEX('Providers'!$AJ$4:$AJ$503,159))=0,"",INDEX('Providers'!$AJ$4:$AJ$503,159))</f>
        <v/>
      </c>
      <c r="K2162">
        <f>IF(LEN(INDEX('Providers'!$AI$4:$AI$503,159))=0,"",INDEX('Providers'!$AI$4:$AI$503,159))</f>
        <v/>
      </c>
    </row>
    <row r="2163">
      <c r="A2163">
        <f>IF(AND(LEN('Providers'!A163)&gt;0,ISNUMBER('Providers'!Q163)),1,0)</f>
        <v/>
      </c>
      <c r="B2163">
        <f>B2162+A2163</f>
        <v/>
      </c>
      <c r="C2163">
        <f>IF(2160&gt;$B$4503,"",MATCH(2160-0.5,$B$3:$B$4503,1))</f>
        <v/>
      </c>
      <c r="D2163">
        <f>"Malpractice insurance – "&amp;IF(LEN(INDEX('Providers'!$A$4:$A$503,160))=0,"",INDEX('Providers'!$A$4:$A$503,160))</f>
        <v/>
      </c>
      <c r="E2163">
        <f>IF(ISNUMBER(INDEX('Providers'!$Q$4:$Q$503,160)),TEXT(INDEX('Providers'!$Q$4:$Q$503,160),"yyyy-mm-dd"),"")</f>
        <v/>
      </c>
      <c r="F2163">
        <f>"Insurance"</f>
        <v/>
      </c>
      <c r="G2163">
        <f>""</f>
        <v/>
      </c>
      <c r="H2163">
        <f>"High"</f>
        <v/>
      </c>
      <c r="I2163">
        <f>TRIM(IF(LEN(IF(LEN(INDEX('Providers'!$N$4:$N$503,160))=0,"",INDEX('Providers'!$N$4:$N$503,160)))=0,"","Carrier: "&amp;IF(LEN(INDEX('Providers'!$N$4:$N$503,160))=0,"",INDEX('Providers'!$N$4:$N$503,160))&amp;". ")&amp;IF(LEN(IF(LEN(INDEX('Providers'!$O$4:$O$503,160))=0,"",INDEX('Providers'!$O$4:$O$503,160)))=0,"","Policy no.: "&amp;IF(LEN(INDEX('Providers'!$O$4:$O$503,160))=0,"",INDEX('Providers'!$O$4:$O$503,160))&amp;". ")&amp;IF(LEN(IF(LEN(INDEX('Providers'!$P$4:$P$503,160))=0,"",INDEX('Providers'!$P$4:$P$503,160)))=0,"","Coverage form: "&amp;IF(LEN(INDEX('Providers'!$P$4:$P$503,160))=0,"",INDEX('Providers'!$P$4:$P$503,160))&amp;". "))</f>
        <v/>
      </c>
      <c r="J2163">
        <f>IF(LEN(INDEX('Providers'!$AJ$4:$AJ$503,160))=0,"",INDEX('Providers'!$AJ$4:$AJ$503,160))</f>
        <v/>
      </c>
      <c r="K2163">
        <f>IF(LEN(INDEX('Providers'!$AI$4:$AI$503,160))=0,"",INDEX('Providers'!$AI$4:$AI$503,160))</f>
        <v/>
      </c>
    </row>
    <row r="2164">
      <c r="A2164">
        <f>IF(AND(LEN('Providers'!A164)&gt;0,ISNUMBER('Providers'!Q164)),1,0)</f>
        <v/>
      </c>
      <c r="B2164">
        <f>B2163+A2164</f>
        <v/>
      </c>
      <c r="C2164">
        <f>IF(2161&gt;$B$4503,"",MATCH(2161-0.5,$B$3:$B$4503,1))</f>
        <v/>
      </c>
      <c r="D2164">
        <f>"Malpractice insurance – "&amp;IF(LEN(INDEX('Providers'!$A$4:$A$503,161))=0,"",INDEX('Providers'!$A$4:$A$503,161))</f>
        <v/>
      </c>
      <c r="E2164">
        <f>IF(ISNUMBER(INDEX('Providers'!$Q$4:$Q$503,161)),TEXT(INDEX('Providers'!$Q$4:$Q$503,161),"yyyy-mm-dd"),"")</f>
        <v/>
      </c>
      <c r="F2164">
        <f>"Insurance"</f>
        <v/>
      </c>
      <c r="G2164">
        <f>""</f>
        <v/>
      </c>
      <c r="H2164">
        <f>"High"</f>
        <v/>
      </c>
      <c r="I2164">
        <f>TRIM(IF(LEN(IF(LEN(INDEX('Providers'!$N$4:$N$503,161))=0,"",INDEX('Providers'!$N$4:$N$503,161)))=0,"","Carrier: "&amp;IF(LEN(INDEX('Providers'!$N$4:$N$503,161))=0,"",INDEX('Providers'!$N$4:$N$503,161))&amp;". ")&amp;IF(LEN(IF(LEN(INDEX('Providers'!$O$4:$O$503,161))=0,"",INDEX('Providers'!$O$4:$O$503,161)))=0,"","Policy no.: "&amp;IF(LEN(INDEX('Providers'!$O$4:$O$503,161))=0,"",INDEX('Providers'!$O$4:$O$503,161))&amp;". ")&amp;IF(LEN(IF(LEN(INDEX('Providers'!$P$4:$P$503,161))=0,"",INDEX('Providers'!$P$4:$P$503,161)))=0,"","Coverage form: "&amp;IF(LEN(INDEX('Providers'!$P$4:$P$503,161))=0,"",INDEX('Providers'!$P$4:$P$503,161))&amp;". "))</f>
        <v/>
      </c>
      <c r="J2164">
        <f>IF(LEN(INDEX('Providers'!$AJ$4:$AJ$503,161))=0,"",INDEX('Providers'!$AJ$4:$AJ$503,161))</f>
        <v/>
      </c>
      <c r="K2164">
        <f>IF(LEN(INDEX('Providers'!$AI$4:$AI$503,161))=0,"",INDEX('Providers'!$AI$4:$AI$503,161))</f>
        <v/>
      </c>
    </row>
    <row r="2165">
      <c r="A2165">
        <f>IF(AND(LEN('Providers'!A165)&gt;0,ISNUMBER('Providers'!Q165)),1,0)</f>
        <v/>
      </c>
      <c r="B2165">
        <f>B2164+A2165</f>
        <v/>
      </c>
      <c r="C2165">
        <f>IF(2162&gt;$B$4503,"",MATCH(2162-0.5,$B$3:$B$4503,1))</f>
        <v/>
      </c>
      <c r="D2165">
        <f>"Malpractice insurance – "&amp;IF(LEN(INDEX('Providers'!$A$4:$A$503,162))=0,"",INDEX('Providers'!$A$4:$A$503,162))</f>
        <v/>
      </c>
      <c r="E2165">
        <f>IF(ISNUMBER(INDEX('Providers'!$Q$4:$Q$503,162)),TEXT(INDEX('Providers'!$Q$4:$Q$503,162),"yyyy-mm-dd"),"")</f>
        <v/>
      </c>
      <c r="F2165">
        <f>"Insurance"</f>
        <v/>
      </c>
      <c r="G2165">
        <f>""</f>
        <v/>
      </c>
      <c r="H2165">
        <f>"High"</f>
        <v/>
      </c>
      <c r="I2165">
        <f>TRIM(IF(LEN(IF(LEN(INDEX('Providers'!$N$4:$N$503,162))=0,"",INDEX('Providers'!$N$4:$N$503,162)))=0,"","Carrier: "&amp;IF(LEN(INDEX('Providers'!$N$4:$N$503,162))=0,"",INDEX('Providers'!$N$4:$N$503,162))&amp;". ")&amp;IF(LEN(IF(LEN(INDEX('Providers'!$O$4:$O$503,162))=0,"",INDEX('Providers'!$O$4:$O$503,162)))=0,"","Policy no.: "&amp;IF(LEN(INDEX('Providers'!$O$4:$O$503,162))=0,"",INDEX('Providers'!$O$4:$O$503,162))&amp;". ")&amp;IF(LEN(IF(LEN(INDEX('Providers'!$P$4:$P$503,162))=0,"",INDEX('Providers'!$P$4:$P$503,162)))=0,"","Coverage form: "&amp;IF(LEN(INDEX('Providers'!$P$4:$P$503,162))=0,"",INDEX('Providers'!$P$4:$P$503,162))&amp;". "))</f>
        <v/>
      </c>
      <c r="J2165">
        <f>IF(LEN(INDEX('Providers'!$AJ$4:$AJ$503,162))=0,"",INDEX('Providers'!$AJ$4:$AJ$503,162))</f>
        <v/>
      </c>
      <c r="K2165">
        <f>IF(LEN(INDEX('Providers'!$AI$4:$AI$503,162))=0,"",INDEX('Providers'!$AI$4:$AI$503,162))</f>
        <v/>
      </c>
    </row>
    <row r="2166">
      <c r="A2166">
        <f>IF(AND(LEN('Providers'!A166)&gt;0,ISNUMBER('Providers'!Q166)),1,0)</f>
        <v/>
      </c>
      <c r="B2166">
        <f>B2165+A2166</f>
        <v/>
      </c>
      <c r="C2166">
        <f>IF(2163&gt;$B$4503,"",MATCH(2163-0.5,$B$3:$B$4503,1))</f>
        <v/>
      </c>
      <c r="D2166">
        <f>"Malpractice insurance – "&amp;IF(LEN(INDEX('Providers'!$A$4:$A$503,163))=0,"",INDEX('Providers'!$A$4:$A$503,163))</f>
        <v/>
      </c>
      <c r="E2166">
        <f>IF(ISNUMBER(INDEX('Providers'!$Q$4:$Q$503,163)),TEXT(INDEX('Providers'!$Q$4:$Q$503,163),"yyyy-mm-dd"),"")</f>
        <v/>
      </c>
      <c r="F2166">
        <f>"Insurance"</f>
        <v/>
      </c>
      <c r="G2166">
        <f>""</f>
        <v/>
      </c>
      <c r="H2166">
        <f>"High"</f>
        <v/>
      </c>
      <c r="I2166">
        <f>TRIM(IF(LEN(IF(LEN(INDEX('Providers'!$N$4:$N$503,163))=0,"",INDEX('Providers'!$N$4:$N$503,163)))=0,"","Carrier: "&amp;IF(LEN(INDEX('Providers'!$N$4:$N$503,163))=0,"",INDEX('Providers'!$N$4:$N$503,163))&amp;". ")&amp;IF(LEN(IF(LEN(INDEX('Providers'!$O$4:$O$503,163))=0,"",INDEX('Providers'!$O$4:$O$503,163)))=0,"","Policy no.: "&amp;IF(LEN(INDEX('Providers'!$O$4:$O$503,163))=0,"",INDEX('Providers'!$O$4:$O$503,163))&amp;". ")&amp;IF(LEN(IF(LEN(INDEX('Providers'!$P$4:$P$503,163))=0,"",INDEX('Providers'!$P$4:$P$503,163)))=0,"","Coverage form: "&amp;IF(LEN(INDEX('Providers'!$P$4:$P$503,163))=0,"",INDEX('Providers'!$P$4:$P$503,163))&amp;". "))</f>
        <v/>
      </c>
      <c r="J2166">
        <f>IF(LEN(INDEX('Providers'!$AJ$4:$AJ$503,163))=0,"",INDEX('Providers'!$AJ$4:$AJ$503,163))</f>
        <v/>
      </c>
      <c r="K2166">
        <f>IF(LEN(INDEX('Providers'!$AI$4:$AI$503,163))=0,"",INDEX('Providers'!$AI$4:$AI$503,163))</f>
        <v/>
      </c>
    </row>
    <row r="2167">
      <c r="A2167">
        <f>IF(AND(LEN('Providers'!A167)&gt;0,ISNUMBER('Providers'!Q167)),1,0)</f>
        <v/>
      </c>
      <c r="B2167">
        <f>B2166+A2167</f>
        <v/>
      </c>
      <c r="C2167">
        <f>IF(2164&gt;$B$4503,"",MATCH(2164-0.5,$B$3:$B$4503,1))</f>
        <v/>
      </c>
      <c r="D2167">
        <f>"Malpractice insurance – "&amp;IF(LEN(INDEX('Providers'!$A$4:$A$503,164))=0,"",INDEX('Providers'!$A$4:$A$503,164))</f>
        <v/>
      </c>
      <c r="E2167">
        <f>IF(ISNUMBER(INDEX('Providers'!$Q$4:$Q$503,164)),TEXT(INDEX('Providers'!$Q$4:$Q$503,164),"yyyy-mm-dd"),"")</f>
        <v/>
      </c>
      <c r="F2167">
        <f>"Insurance"</f>
        <v/>
      </c>
      <c r="G2167">
        <f>""</f>
        <v/>
      </c>
      <c r="H2167">
        <f>"High"</f>
        <v/>
      </c>
      <c r="I2167">
        <f>TRIM(IF(LEN(IF(LEN(INDEX('Providers'!$N$4:$N$503,164))=0,"",INDEX('Providers'!$N$4:$N$503,164)))=0,"","Carrier: "&amp;IF(LEN(INDEX('Providers'!$N$4:$N$503,164))=0,"",INDEX('Providers'!$N$4:$N$503,164))&amp;". ")&amp;IF(LEN(IF(LEN(INDEX('Providers'!$O$4:$O$503,164))=0,"",INDEX('Providers'!$O$4:$O$503,164)))=0,"","Policy no.: "&amp;IF(LEN(INDEX('Providers'!$O$4:$O$503,164))=0,"",INDEX('Providers'!$O$4:$O$503,164))&amp;". ")&amp;IF(LEN(IF(LEN(INDEX('Providers'!$P$4:$P$503,164))=0,"",INDEX('Providers'!$P$4:$P$503,164)))=0,"","Coverage form: "&amp;IF(LEN(INDEX('Providers'!$P$4:$P$503,164))=0,"",INDEX('Providers'!$P$4:$P$503,164))&amp;". "))</f>
        <v/>
      </c>
      <c r="J2167">
        <f>IF(LEN(INDEX('Providers'!$AJ$4:$AJ$503,164))=0,"",INDEX('Providers'!$AJ$4:$AJ$503,164))</f>
        <v/>
      </c>
      <c r="K2167">
        <f>IF(LEN(INDEX('Providers'!$AI$4:$AI$503,164))=0,"",INDEX('Providers'!$AI$4:$AI$503,164))</f>
        <v/>
      </c>
    </row>
    <row r="2168">
      <c r="A2168">
        <f>IF(AND(LEN('Providers'!A168)&gt;0,ISNUMBER('Providers'!Q168)),1,0)</f>
        <v/>
      </c>
      <c r="B2168">
        <f>B2167+A2168</f>
        <v/>
      </c>
      <c r="C2168">
        <f>IF(2165&gt;$B$4503,"",MATCH(2165-0.5,$B$3:$B$4503,1))</f>
        <v/>
      </c>
      <c r="D2168">
        <f>"Malpractice insurance – "&amp;IF(LEN(INDEX('Providers'!$A$4:$A$503,165))=0,"",INDEX('Providers'!$A$4:$A$503,165))</f>
        <v/>
      </c>
      <c r="E2168">
        <f>IF(ISNUMBER(INDEX('Providers'!$Q$4:$Q$503,165)),TEXT(INDEX('Providers'!$Q$4:$Q$503,165),"yyyy-mm-dd"),"")</f>
        <v/>
      </c>
      <c r="F2168">
        <f>"Insurance"</f>
        <v/>
      </c>
      <c r="G2168">
        <f>""</f>
        <v/>
      </c>
      <c r="H2168">
        <f>"High"</f>
        <v/>
      </c>
      <c r="I2168">
        <f>TRIM(IF(LEN(IF(LEN(INDEX('Providers'!$N$4:$N$503,165))=0,"",INDEX('Providers'!$N$4:$N$503,165)))=0,"","Carrier: "&amp;IF(LEN(INDEX('Providers'!$N$4:$N$503,165))=0,"",INDEX('Providers'!$N$4:$N$503,165))&amp;". ")&amp;IF(LEN(IF(LEN(INDEX('Providers'!$O$4:$O$503,165))=0,"",INDEX('Providers'!$O$4:$O$503,165)))=0,"","Policy no.: "&amp;IF(LEN(INDEX('Providers'!$O$4:$O$503,165))=0,"",INDEX('Providers'!$O$4:$O$503,165))&amp;". ")&amp;IF(LEN(IF(LEN(INDEX('Providers'!$P$4:$P$503,165))=0,"",INDEX('Providers'!$P$4:$P$503,165)))=0,"","Coverage form: "&amp;IF(LEN(INDEX('Providers'!$P$4:$P$503,165))=0,"",INDEX('Providers'!$P$4:$P$503,165))&amp;". "))</f>
        <v/>
      </c>
      <c r="J2168">
        <f>IF(LEN(INDEX('Providers'!$AJ$4:$AJ$503,165))=0,"",INDEX('Providers'!$AJ$4:$AJ$503,165))</f>
        <v/>
      </c>
      <c r="K2168">
        <f>IF(LEN(INDEX('Providers'!$AI$4:$AI$503,165))=0,"",INDEX('Providers'!$AI$4:$AI$503,165))</f>
        <v/>
      </c>
    </row>
    <row r="2169">
      <c r="A2169">
        <f>IF(AND(LEN('Providers'!A169)&gt;0,ISNUMBER('Providers'!Q169)),1,0)</f>
        <v/>
      </c>
      <c r="B2169">
        <f>B2168+A2169</f>
        <v/>
      </c>
      <c r="C2169">
        <f>IF(2166&gt;$B$4503,"",MATCH(2166-0.5,$B$3:$B$4503,1))</f>
        <v/>
      </c>
      <c r="D2169">
        <f>"Malpractice insurance – "&amp;IF(LEN(INDEX('Providers'!$A$4:$A$503,166))=0,"",INDEX('Providers'!$A$4:$A$503,166))</f>
        <v/>
      </c>
      <c r="E2169">
        <f>IF(ISNUMBER(INDEX('Providers'!$Q$4:$Q$503,166)),TEXT(INDEX('Providers'!$Q$4:$Q$503,166),"yyyy-mm-dd"),"")</f>
        <v/>
      </c>
      <c r="F2169">
        <f>"Insurance"</f>
        <v/>
      </c>
      <c r="G2169">
        <f>""</f>
        <v/>
      </c>
      <c r="H2169">
        <f>"High"</f>
        <v/>
      </c>
      <c r="I2169">
        <f>TRIM(IF(LEN(IF(LEN(INDEX('Providers'!$N$4:$N$503,166))=0,"",INDEX('Providers'!$N$4:$N$503,166)))=0,"","Carrier: "&amp;IF(LEN(INDEX('Providers'!$N$4:$N$503,166))=0,"",INDEX('Providers'!$N$4:$N$503,166))&amp;". ")&amp;IF(LEN(IF(LEN(INDEX('Providers'!$O$4:$O$503,166))=0,"",INDEX('Providers'!$O$4:$O$503,166)))=0,"","Policy no.: "&amp;IF(LEN(INDEX('Providers'!$O$4:$O$503,166))=0,"",INDEX('Providers'!$O$4:$O$503,166))&amp;". ")&amp;IF(LEN(IF(LEN(INDEX('Providers'!$P$4:$P$503,166))=0,"",INDEX('Providers'!$P$4:$P$503,166)))=0,"","Coverage form: "&amp;IF(LEN(INDEX('Providers'!$P$4:$P$503,166))=0,"",INDEX('Providers'!$P$4:$P$503,166))&amp;". "))</f>
        <v/>
      </c>
      <c r="J2169">
        <f>IF(LEN(INDEX('Providers'!$AJ$4:$AJ$503,166))=0,"",INDEX('Providers'!$AJ$4:$AJ$503,166))</f>
        <v/>
      </c>
      <c r="K2169">
        <f>IF(LEN(INDEX('Providers'!$AI$4:$AI$503,166))=0,"",INDEX('Providers'!$AI$4:$AI$503,166))</f>
        <v/>
      </c>
    </row>
    <row r="2170">
      <c r="A2170">
        <f>IF(AND(LEN('Providers'!A170)&gt;0,ISNUMBER('Providers'!Q170)),1,0)</f>
        <v/>
      </c>
      <c r="B2170">
        <f>B2169+A2170</f>
        <v/>
      </c>
      <c r="C2170">
        <f>IF(2167&gt;$B$4503,"",MATCH(2167-0.5,$B$3:$B$4503,1))</f>
        <v/>
      </c>
      <c r="D2170">
        <f>"Malpractice insurance – "&amp;IF(LEN(INDEX('Providers'!$A$4:$A$503,167))=0,"",INDEX('Providers'!$A$4:$A$503,167))</f>
        <v/>
      </c>
      <c r="E2170">
        <f>IF(ISNUMBER(INDEX('Providers'!$Q$4:$Q$503,167)),TEXT(INDEX('Providers'!$Q$4:$Q$503,167),"yyyy-mm-dd"),"")</f>
        <v/>
      </c>
      <c r="F2170">
        <f>"Insurance"</f>
        <v/>
      </c>
      <c r="G2170">
        <f>""</f>
        <v/>
      </c>
      <c r="H2170">
        <f>"High"</f>
        <v/>
      </c>
      <c r="I2170">
        <f>TRIM(IF(LEN(IF(LEN(INDEX('Providers'!$N$4:$N$503,167))=0,"",INDEX('Providers'!$N$4:$N$503,167)))=0,"","Carrier: "&amp;IF(LEN(INDEX('Providers'!$N$4:$N$503,167))=0,"",INDEX('Providers'!$N$4:$N$503,167))&amp;". ")&amp;IF(LEN(IF(LEN(INDEX('Providers'!$O$4:$O$503,167))=0,"",INDEX('Providers'!$O$4:$O$503,167)))=0,"","Policy no.: "&amp;IF(LEN(INDEX('Providers'!$O$4:$O$503,167))=0,"",INDEX('Providers'!$O$4:$O$503,167))&amp;". ")&amp;IF(LEN(IF(LEN(INDEX('Providers'!$P$4:$P$503,167))=0,"",INDEX('Providers'!$P$4:$P$503,167)))=0,"","Coverage form: "&amp;IF(LEN(INDEX('Providers'!$P$4:$P$503,167))=0,"",INDEX('Providers'!$P$4:$P$503,167))&amp;". "))</f>
        <v/>
      </c>
      <c r="J2170">
        <f>IF(LEN(INDEX('Providers'!$AJ$4:$AJ$503,167))=0,"",INDEX('Providers'!$AJ$4:$AJ$503,167))</f>
        <v/>
      </c>
      <c r="K2170">
        <f>IF(LEN(INDEX('Providers'!$AI$4:$AI$503,167))=0,"",INDEX('Providers'!$AI$4:$AI$503,167))</f>
        <v/>
      </c>
    </row>
    <row r="2171">
      <c r="A2171">
        <f>IF(AND(LEN('Providers'!A171)&gt;0,ISNUMBER('Providers'!Q171)),1,0)</f>
        <v/>
      </c>
      <c r="B2171">
        <f>B2170+A2171</f>
        <v/>
      </c>
      <c r="C2171">
        <f>IF(2168&gt;$B$4503,"",MATCH(2168-0.5,$B$3:$B$4503,1))</f>
        <v/>
      </c>
      <c r="D2171">
        <f>"Malpractice insurance – "&amp;IF(LEN(INDEX('Providers'!$A$4:$A$503,168))=0,"",INDEX('Providers'!$A$4:$A$503,168))</f>
        <v/>
      </c>
      <c r="E2171">
        <f>IF(ISNUMBER(INDEX('Providers'!$Q$4:$Q$503,168)),TEXT(INDEX('Providers'!$Q$4:$Q$503,168),"yyyy-mm-dd"),"")</f>
        <v/>
      </c>
      <c r="F2171">
        <f>"Insurance"</f>
        <v/>
      </c>
      <c r="G2171">
        <f>""</f>
        <v/>
      </c>
      <c r="H2171">
        <f>"High"</f>
        <v/>
      </c>
      <c r="I2171">
        <f>TRIM(IF(LEN(IF(LEN(INDEX('Providers'!$N$4:$N$503,168))=0,"",INDEX('Providers'!$N$4:$N$503,168)))=0,"","Carrier: "&amp;IF(LEN(INDEX('Providers'!$N$4:$N$503,168))=0,"",INDEX('Providers'!$N$4:$N$503,168))&amp;". ")&amp;IF(LEN(IF(LEN(INDEX('Providers'!$O$4:$O$503,168))=0,"",INDEX('Providers'!$O$4:$O$503,168)))=0,"","Policy no.: "&amp;IF(LEN(INDEX('Providers'!$O$4:$O$503,168))=0,"",INDEX('Providers'!$O$4:$O$503,168))&amp;". ")&amp;IF(LEN(IF(LEN(INDEX('Providers'!$P$4:$P$503,168))=0,"",INDEX('Providers'!$P$4:$P$503,168)))=0,"","Coverage form: "&amp;IF(LEN(INDEX('Providers'!$P$4:$P$503,168))=0,"",INDEX('Providers'!$P$4:$P$503,168))&amp;". "))</f>
        <v/>
      </c>
      <c r="J2171">
        <f>IF(LEN(INDEX('Providers'!$AJ$4:$AJ$503,168))=0,"",INDEX('Providers'!$AJ$4:$AJ$503,168))</f>
        <v/>
      </c>
      <c r="K2171">
        <f>IF(LEN(INDEX('Providers'!$AI$4:$AI$503,168))=0,"",INDEX('Providers'!$AI$4:$AI$503,168))</f>
        <v/>
      </c>
    </row>
    <row r="2172">
      <c r="A2172">
        <f>IF(AND(LEN('Providers'!A172)&gt;0,ISNUMBER('Providers'!Q172)),1,0)</f>
        <v/>
      </c>
      <c r="B2172">
        <f>B2171+A2172</f>
        <v/>
      </c>
      <c r="C2172">
        <f>IF(2169&gt;$B$4503,"",MATCH(2169-0.5,$B$3:$B$4503,1))</f>
        <v/>
      </c>
      <c r="D2172">
        <f>"Malpractice insurance – "&amp;IF(LEN(INDEX('Providers'!$A$4:$A$503,169))=0,"",INDEX('Providers'!$A$4:$A$503,169))</f>
        <v/>
      </c>
      <c r="E2172">
        <f>IF(ISNUMBER(INDEX('Providers'!$Q$4:$Q$503,169)),TEXT(INDEX('Providers'!$Q$4:$Q$503,169),"yyyy-mm-dd"),"")</f>
        <v/>
      </c>
      <c r="F2172">
        <f>"Insurance"</f>
        <v/>
      </c>
      <c r="G2172">
        <f>""</f>
        <v/>
      </c>
      <c r="H2172">
        <f>"High"</f>
        <v/>
      </c>
      <c r="I2172">
        <f>TRIM(IF(LEN(IF(LEN(INDEX('Providers'!$N$4:$N$503,169))=0,"",INDEX('Providers'!$N$4:$N$503,169)))=0,"","Carrier: "&amp;IF(LEN(INDEX('Providers'!$N$4:$N$503,169))=0,"",INDEX('Providers'!$N$4:$N$503,169))&amp;". ")&amp;IF(LEN(IF(LEN(INDEX('Providers'!$O$4:$O$503,169))=0,"",INDEX('Providers'!$O$4:$O$503,169)))=0,"","Policy no.: "&amp;IF(LEN(INDEX('Providers'!$O$4:$O$503,169))=0,"",INDEX('Providers'!$O$4:$O$503,169))&amp;". ")&amp;IF(LEN(IF(LEN(INDEX('Providers'!$P$4:$P$503,169))=0,"",INDEX('Providers'!$P$4:$P$503,169)))=0,"","Coverage form: "&amp;IF(LEN(INDEX('Providers'!$P$4:$P$503,169))=0,"",INDEX('Providers'!$P$4:$P$503,169))&amp;". "))</f>
        <v/>
      </c>
      <c r="J2172">
        <f>IF(LEN(INDEX('Providers'!$AJ$4:$AJ$503,169))=0,"",INDEX('Providers'!$AJ$4:$AJ$503,169))</f>
        <v/>
      </c>
      <c r="K2172">
        <f>IF(LEN(INDEX('Providers'!$AI$4:$AI$503,169))=0,"",INDEX('Providers'!$AI$4:$AI$503,169))</f>
        <v/>
      </c>
    </row>
    <row r="2173">
      <c r="A2173">
        <f>IF(AND(LEN('Providers'!A173)&gt;0,ISNUMBER('Providers'!Q173)),1,0)</f>
        <v/>
      </c>
      <c r="B2173">
        <f>B2172+A2173</f>
        <v/>
      </c>
      <c r="C2173">
        <f>IF(2170&gt;$B$4503,"",MATCH(2170-0.5,$B$3:$B$4503,1))</f>
        <v/>
      </c>
      <c r="D2173">
        <f>"Malpractice insurance – "&amp;IF(LEN(INDEX('Providers'!$A$4:$A$503,170))=0,"",INDEX('Providers'!$A$4:$A$503,170))</f>
        <v/>
      </c>
      <c r="E2173">
        <f>IF(ISNUMBER(INDEX('Providers'!$Q$4:$Q$503,170)),TEXT(INDEX('Providers'!$Q$4:$Q$503,170),"yyyy-mm-dd"),"")</f>
        <v/>
      </c>
      <c r="F2173">
        <f>"Insurance"</f>
        <v/>
      </c>
      <c r="G2173">
        <f>""</f>
        <v/>
      </c>
      <c r="H2173">
        <f>"High"</f>
        <v/>
      </c>
      <c r="I2173">
        <f>TRIM(IF(LEN(IF(LEN(INDEX('Providers'!$N$4:$N$503,170))=0,"",INDEX('Providers'!$N$4:$N$503,170)))=0,"","Carrier: "&amp;IF(LEN(INDEX('Providers'!$N$4:$N$503,170))=0,"",INDEX('Providers'!$N$4:$N$503,170))&amp;". ")&amp;IF(LEN(IF(LEN(INDEX('Providers'!$O$4:$O$503,170))=0,"",INDEX('Providers'!$O$4:$O$503,170)))=0,"","Policy no.: "&amp;IF(LEN(INDEX('Providers'!$O$4:$O$503,170))=0,"",INDEX('Providers'!$O$4:$O$503,170))&amp;". ")&amp;IF(LEN(IF(LEN(INDEX('Providers'!$P$4:$P$503,170))=0,"",INDEX('Providers'!$P$4:$P$503,170)))=0,"","Coverage form: "&amp;IF(LEN(INDEX('Providers'!$P$4:$P$503,170))=0,"",INDEX('Providers'!$P$4:$P$503,170))&amp;". "))</f>
        <v/>
      </c>
      <c r="J2173">
        <f>IF(LEN(INDEX('Providers'!$AJ$4:$AJ$503,170))=0,"",INDEX('Providers'!$AJ$4:$AJ$503,170))</f>
        <v/>
      </c>
      <c r="K2173">
        <f>IF(LEN(INDEX('Providers'!$AI$4:$AI$503,170))=0,"",INDEX('Providers'!$AI$4:$AI$503,170))</f>
        <v/>
      </c>
    </row>
    <row r="2174">
      <c r="A2174">
        <f>IF(AND(LEN('Providers'!A174)&gt;0,ISNUMBER('Providers'!Q174)),1,0)</f>
        <v/>
      </c>
      <c r="B2174">
        <f>B2173+A2174</f>
        <v/>
      </c>
      <c r="C2174">
        <f>IF(2171&gt;$B$4503,"",MATCH(2171-0.5,$B$3:$B$4503,1))</f>
        <v/>
      </c>
      <c r="D2174">
        <f>"Malpractice insurance – "&amp;IF(LEN(INDEX('Providers'!$A$4:$A$503,171))=0,"",INDEX('Providers'!$A$4:$A$503,171))</f>
        <v/>
      </c>
      <c r="E2174">
        <f>IF(ISNUMBER(INDEX('Providers'!$Q$4:$Q$503,171)),TEXT(INDEX('Providers'!$Q$4:$Q$503,171),"yyyy-mm-dd"),"")</f>
        <v/>
      </c>
      <c r="F2174">
        <f>"Insurance"</f>
        <v/>
      </c>
      <c r="G2174">
        <f>""</f>
        <v/>
      </c>
      <c r="H2174">
        <f>"High"</f>
        <v/>
      </c>
      <c r="I2174">
        <f>TRIM(IF(LEN(IF(LEN(INDEX('Providers'!$N$4:$N$503,171))=0,"",INDEX('Providers'!$N$4:$N$503,171)))=0,"","Carrier: "&amp;IF(LEN(INDEX('Providers'!$N$4:$N$503,171))=0,"",INDEX('Providers'!$N$4:$N$503,171))&amp;". ")&amp;IF(LEN(IF(LEN(INDEX('Providers'!$O$4:$O$503,171))=0,"",INDEX('Providers'!$O$4:$O$503,171)))=0,"","Policy no.: "&amp;IF(LEN(INDEX('Providers'!$O$4:$O$503,171))=0,"",INDEX('Providers'!$O$4:$O$503,171))&amp;". ")&amp;IF(LEN(IF(LEN(INDEX('Providers'!$P$4:$P$503,171))=0,"",INDEX('Providers'!$P$4:$P$503,171)))=0,"","Coverage form: "&amp;IF(LEN(INDEX('Providers'!$P$4:$P$503,171))=0,"",INDEX('Providers'!$P$4:$P$503,171))&amp;". "))</f>
        <v/>
      </c>
      <c r="J2174">
        <f>IF(LEN(INDEX('Providers'!$AJ$4:$AJ$503,171))=0,"",INDEX('Providers'!$AJ$4:$AJ$503,171))</f>
        <v/>
      </c>
      <c r="K2174">
        <f>IF(LEN(INDEX('Providers'!$AI$4:$AI$503,171))=0,"",INDEX('Providers'!$AI$4:$AI$503,171))</f>
        <v/>
      </c>
    </row>
    <row r="2175">
      <c r="A2175">
        <f>IF(AND(LEN('Providers'!A175)&gt;0,ISNUMBER('Providers'!Q175)),1,0)</f>
        <v/>
      </c>
      <c r="B2175">
        <f>B2174+A2175</f>
        <v/>
      </c>
      <c r="C2175">
        <f>IF(2172&gt;$B$4503,"",MATCH(2172-0.5,$B$3:$B$4503,1))</f>
        <v/>
      </c>
      <c r="D2175">
        <f>"Malpractice insurance – "&amp;IF(LEN(INDEX('Providers'!$A$4:$A$503,172))=0,"",INDEX('Providers'!$A$4:$A$503,172))</f>
        <v/>
      </c>
      <c r="E2175">
        <f>IF(ISNUMBER(INDEX('Providers'!$Q$4:$Q$503,172)),TEXT(INDEX('Providers'!$Q$4:$Q$503,172),"yyyy-mm-dd"),"")</f>
        <v/>
      </c>
      <c r="F2175">
        <f>"Insurance"</f>
        <v/>
      </c>
      <c r="G2175">
        <f>""</f>
        <v/>
      </c>
      <c r="H2175">
        <f>"High"</f>
        <v/>
      </c>
      <c r="I2175">
        <f>TRIM(IF(LEN(IF(LEN(INDEX('Providers'!$N$4:$N$503,172))=0,"",INDEX('Providers'!$N$4:$N$503,172)))=0,"","Carrier: "&amp;IF(LEN(INDEX('Providers'!$N$4:$N$503,172))=0,"",INDEX('Providers'!$N$4:$N$503,172))&amp;". ")&amp;IF(LEN(IF(LEN(INDEX('Providers'!$O$4:$O$503,172))=0,"",INDEX('Providers'!$O$4:$O$503,172)))=0,"","Policy no.: "&amp;IF(LEN(INDEX('Providers'!$O$4:$O$503,172))=0,"",INDEX('Providers'!$O$4:$O$503,172))&amp;". ")&amp;IF(LEN(IF(LEN(INDEX('Providers'!$P$4:$P$503,172))=0,"",INDEX('Providers'!$P$4:$P$503,172)))=0,"","Coverage form: "&amp;IF(LEN(INDEX('Providers'!$P$4:$P$503,172))=0,"",INDEX('Providers'!$P$4:$P$503,172))&amp;". "))</f>
        <v/>
      </c>
      <c r="J2175">
        <f>IF(LEN(INDEX('Providers'!$AJ$4:$AJ$503,172))=0,"",INDEX('Providers'!$AJ$4:$AJ$503,172))</f>
        <v/>
      </c>
      <c r="K2175">
        <f>IF(LEN(INDEX('Providers'!$AI$4:$AI$503,172))=0,"",INDEX('Providers'!$AI$4:$AI$503,172))</f>
        <v/>
      </c>
    </row>
    <row r="2176">
      <c r="A2176">
        <f>IF(AND(LEN('Providers'!A176)&gt;0,ISNUMBER('Providers'!Q176)),1,0)</f>
        <v/>
      </c>
      <c r="B2176">
        <f>B2175+A2176</f>
        <v/>
      </c>
      <c r="C2176">
        <f>IF(2173&gt;$B$4503,"",MATCH(2173-0.5,$B$3:$B$4503,1))</f>
        <v/>
      </c>
      <c r="D2176">
        <f>"Malpractice insurance – "&amp;IF(LEN(INDEX('Providers'!$A$4:$A$503,173))=0,"",INDEX('Providers'!$A$4:$A$503,173))</f>
        <v/>
      </c>
      <c r="E2176">
        <f>IF(ISNUMBER(INDEX('Providers'!$Q$4:$Q$503,173)),TEXT(INDEX('Providers'!$Q$4:$Q$503,173),"yyyy-mm-dd"),"")</f>
        <v/>
      </c>
      <c r="F2176">
        <f>"Insurance"</f>
        <v/>
      </c>
      <c r="G2176">
        <f>""</f>
        <v/>
      </c>
      <c r="H2176">
        <f>"High"</f>
        <v/>
      </c>
      <c r="I2176">
        <f>TRIM(IF(LEN(IF(LEN(INDEX('Providers'!$N$4:$N$503,173))=0,"",INDEX('Providers'!$N$4:$N$503,173)))=0,"","Carrier: "&amp;IF(LEN(INDEX('Providers'!$N$4:$N$503,173))=0,"",INDEX('Providers'!$N$4:$N$503,173))&amp;". ")&amp;IF(LEN(IF(LEN(INDEX('Providers'!$O$4:$O$503,173))=0,"",INDEX('Providers'!$O$4:$O$503,173)))=0,"","Policy no.: "&amp;IF(LEN(INDEX('Providers'!$O$4:$O$503,173))=0,"",INDEX('Providers'!$O$4:$O$503,173))&amp;". ")&amp;IF(LEN(IF(LEN(INDEX('Providers'!$P$4:$P$503,173))=0,"",INDEX('Providers'!$P$4:$P$503,173)))=0,"","Coverage form: "&amp;IF(LEN(INDEX('Providers'!$P$4:$P$503,173))=0,"",INDEX('Providers'!$P$4:$P$503,173))&amp;". "))</f>
        <v/>
      </c>
      <c r="J2176">
        <f>IF(LEN(INDEX('Providers'!$AJ$4:$AJ$503,173))=0,"",INDEX('Providers'!$AJ$4:$AJ$503,173))</f>
        <v/>
      </c>
      <c r="K2176">
        <f>IF(LEN(INDEX('Providers'!$AI$4:$AI$503,173))=0,"",INDEX('Providers'!$AI$4:$AI$503,173))</f>
        <v/>
      </c>
    </row>
    <row r="2177">
      <c r="A2177">
        <f>IF(AND(LEN('Providers'!A177)&gt;0,ISNUMBER('Providers'!Q177)),1,0)</f>
        <v/>
      </c>
      <c r="B2177">
        <f>B2176+A2177</f>
        <v/>
      </c>
      <c r="C2177">
        <f>IF(2174&gt;$B$4503,"",MATCH(2174-0.5,$B$3:$B$4503,1))</f>
        <v/>
      </c>
      <c r="D2177">
        <f>"Malpractice insurance – "&amp;IF(LEN(INDEX('Providers'!$A$4:$A$503,174))=0,"",INDEX('Providers'!$A$4:$A$503,174))</f>
        <v/>
      </c>
      <c r="E2177">
        <f>IF(ISNUMBER(INDEX('Providers'!$Q$4:$Q$503,174)),TEXT(INDEX('Providers'!$Q$4:$Q$503,174),"yyyy-mm-dd"),"")</f>
        <v/>
      </c>
      <c r="F2177">
        <f>"Insurance"</f>
        <v/>
      </c>
      <c r="G2177">
        <f>""</f>
        <v/>
      </c>
      <c r="H2177">
        <f>"High"</f>
        <v/>
      </c>
      <c r="I2177">
        <f>TRIM(IF(LEN(IF(LEN(INDEX('Providers'!$N$4:$N$503,174))=0,"",INDEX('Providers'!$N$4:$N$503,174)))=0,"","Carrier: "&amp;IF(LEN(INDEX('Providers'!$N$4:$N$503,174))=0,"",INDEX('Providers'!$N$4:$N$503,174))&amp;". ")&amp;IF(LEN(IF(LEN(INDEX('Providers'!$O$4:$O$503,174))=0,"",INDEX('Providers'!$O$4:$O$503,174)))=0,"","Policy no.: "&amp;IF(LEN(INDEX('Providers'!$O$4:$O$503,174))=0,"",INDEX('Providers'!$O$4:$O$503,174))&amp;". ")&amp;IF(LEN(IF(LEN(INDEX('Providers'!$P$4:$P$503,174))=0,"",INDEX('Providers'!$P$4:$P$503,174)))=0,"","Coverage form: "&amp;IF(LEN(INDEX('Providers'!$P$4:$P$503,174))=0,"",INDEX('Providers'!$P$4:$P$503,174))&amp;". "))</f>
        <v/>
      </c>
      <c r="J2177">
        <f>IF(LEN(INDEX('Providers'!$AJ$4:$AJ$503,174))=0,"",INDEX('Providers'!$AJ$4:$AJ$503,174))</f>
        <v/>
      </c>
      <c r="K2177">
        <f>IF(LEN(INDEX('Providers'!$AI$4:$AI$503,174))=0,"",INDEX('Providers'!$AI$4:$AI$503,174))</f>
        <v/>
      </c>
    </row>
    <row r="2178">
      <c r="A2178">
        <f>IF(AND(LEN('Providers'!A178)&gt;0,ISNUMBER('Providers'!Q178)),1,0)</f>
        <v/>
      </c>
      <c r="B2178">
        <f>B2177+A2178</f>
        <v/>
      </c>
      <c r="C2178">
        <f>IF(2175&gt;$B$4503,"",MATCH(2175-0.5,$B$3:$B$4503,1))</f>
        <v/>
      </c>
      <c r="D2178">
        <f>"Malpractice insurance – "&amp;IF(LEN(INDEX('Providers'!$A$4:$A$503,175))=0,"",INDEX('Providers'!$A$4:$A$503,175))</f>
        <v/>
      </c>
      <c r="E2178">
        <f>IF(ISNUMBER(INDEX('Providers'!$Q$4:$Q$503,175)),TEXT(INDEX('Providers'!$Q$4:$Q$503,175),"yyyy-mm-dd"),"")</f>
        <v/>
      </c>
      <c r="F2178">
        <f>"Insurance"</f>
        <v/>
      </c>
      <c r="G2178">
        <f>""</f>
        <v/>
      </c>
      <c r="H2178">
        <f>"High"</f>
        <v/>
      </c>
      <c r="I2178">
        <f>TRIM(IF(LEN(IF(LEN(INDEX('Providers'!$N$4:$N$503,175))=0,"",INDEX('Providers'!$N$4:$N$503,175)))=0,"","Carrier: "&amp;IF(LEN(INDEX('Providers'!$N$4:$N$503,175))=0,"",INDEX('Providers'!$N$4:$N$503,175))&amp;". ")&amp;IF(LEN(IF(LEN(INDEX('Providers'!$O$4:$O$503,175))=0,"",INDEX('Providers'!$O$4:$O$503,175)))=0,"","Policy no.: "&amp;IF(LEN(INDEX('Providers'!$O$4:$O$503,175))=0,"",INDEX('Providers'!$O$4:$O$503,175))&amp;". ")&amp;IF(LEN(IF(LEN(INDEX('Providers'!$P$4:$P$503,175))=0,"",INDEX('Providers'!$P$4:$P$503,175)))=0,"","Coverage form: "&amp;IF(LEN(INDEX('Providers'!$P$4:$P$503,175))=0,"",INDEX('Providers'!$P$4:$P$503,175))&amp;". "))</f>
        <v/>
      </c>
      <c r="J2178">
        <f>IF(LEN(INDEX('Providers'!$AJ$4:$AJ$503,175))=0,"",INDEX('Providers'!$AJ$4:$AJ$503,175))</f>
        <v/>
      </c>
      <c r="K2178">
        <f>IF(LEN(INDEX('Providers'!$AI$4:$AI$503,175))=0,"",INDEX('Providers'!$AI$4:$AI$503,175))</f>
        <v/>
      </c>
    </row>
    <row r="2179">
      <c r="A2179">
        <f>IF(AND(LEN('Providers'!A179)&gt;0,ISNUMBER('Providers'!Q179)),1,0)</f>
        <v/>
      </c>
      <c r="B2179">
        <f>B2178+A2179</f>
        <v/>
      </c>
      <c r="C2179">
        <f>IF(2176&gt;$B$4503,"",MATCH(2176-0.5,$B$3:$B$4503,1))</f>
        <v/>
      </c>
      <c r="D2179">
        <f>"Malpractice insurance – "&amp;IF(LEN(INDEX('Providers'!$A$4:$A$503,176))=0,"",INDEX('Providers'!$A$4:$A$503,176))</f>
        <v/>
      </c>
      <c r="E2179">
        <f>IF(ISNUMBER(INDEX('Providers'!$Q$4:$Q$503,176)),TEXT(INDEX('Providers'!$Q$4:$Q$503,176),"yyyy-mm-dd"),"")</f>
        <v/>
      </c>
      <c r="F2179">
        <f>"Insurance"</f>
        <v/>
      </c>
      <c r="G2179">
        <f>""</f>
        <v/>
      </c>
      <c r="H2179">
        <f>"High"</f>
        <v/>
      </c>
      <c r="I2179">
        <f>TRIM(IF(LEN(IF(LEN(INDEX('Providers'!$N$4:$N$503,176))=0,"",INDEX('Providers'!$N$4:$N$503,176)))=0,"","Carrier: "&amp;IF(LEN(INDEX('Providers'!$N$4:$N$503,176))=0,"",INDEX('Providers'!$N$4:$N$503,176))&amp;". ")&amp;IF(LEN(IF(LEN(INDEX('Providers'!$O$4:$O$503,176))=0,"",INDEX('Providers'!$O$4:$O$503,176)))=0,"","Policy no.: "&amp;IF(LEN(INDEX('Providers'!$O$4:$O$503,176))=0,"",INDEX('Providers'!$O$4:$O$503,176))&amp;". ")&amp;IF(LEN(IF(LEN(INDEX('Providers'!$P$4:$P$503,176))=0,"",INDEX('Providers'!$P$4:$P$503,176)))=0,"","Coverage form: "&amp;IF(LEN(INDEX('Providers'!$P$4:$P$503,176))=0,"",INDEX('Providers'!$P$4:$P$503,176))&amp;". "))</f>
        <v/>
      </c>
      <c r="J2179">
        <f>IF(LEN(INDEX('Providers'!$AJ$4:$AJ$503,176))=0,"",INDEX('Providers'!$AJ$4:$AJ$503,176))</f>
        <v/>
      </c>
      <c r="K2179">
        <f>IF(LEN(INDEX('Providers'!$AI$4:$AI$503,176))=0,"",INDEX('Providers'!$AI$4:$AI$503,176))</f>
        <v/>
      </c>
    </row>
    <row r="2180">
      <c r="A2180">
        <f>IF(AND(LEN('Providers'!A180)&gt;0,ISNUMBER('Providers'!Q180)),1,0)</f>
        <v/>
      </c>
      <c r="B2180">
        <f>B2179+A2180</f>
        <v/>
      </c>
      <c r="C2180">
        <f>IF(2177&gt;$B$4503,"",MATCH(2177-0.5,$B$3:$B$4503,1))</f>
        <v/>
      </c>
      <c r="D2180">
        <f>"Malpractice insurance – "&amp;IF(LEN(INDEX('Providers'!$A$4:$A$503,177))=0,"",INDEX('Providers'!$A$4:$A$503,177))</f>
        <v/>
      </c>
      <c r="E2180">
        <f>IF(ISNUMBER(INDEX('Providers'!$Q$4:$Q$503,177)),TEXT(INDEX('Providers'!$Q$4:$Q$503,177),"yyyy-mm-dd"),"")</f>
        <v/>
      </c>
      <c r="F2180">
        <f>"Insurance"</f>
        <v/>
      </c>
      <c r="G2180">
        <f>""</f>
        <v/>
      </c>
      <c r="H2180">
        <f>"High"</f>
        <v/>
      </c>
      <c r="I2180">
        <f>TRIM(IF(LEN(IF(LEN(INDEX('Providers'!$N$4:$N$503,177))=0,"",INDEX('Providers'!$N$4:$N$503,177)))=0,"","Carrier: "&amp;IF(LEN(INDEX('Providers'!$N$4:$N$503,177))=0,"",INDEX('Providers'!$N$4:$N$503,177))&amp;". ")&amp;IF(LEN(IF(LEN(INDEX('Providers'!$O$4:$O$503,177))=0,"",INDEX('Providers'!$O$4:$O$503,177)))=0,"","Policy no.: "&amp;IF(LEN(INDEX('Providers'!$O$4:$O$503,177))=0,"",INDEX('Providers'!$O$4:$O$503,177))&amp;". ")&amp;IF(LEN(IF(LEN(INDEX('Providers'!$P$4:$P$503,177))=0,"",INDEX('Providers'!$P$4:$P$503,177)))=0,"","Coverage form: "&amp;IF(LEN(INDEX('Providers'!$P$4:$P$503,177))=0,"",INDEX('Providers'!$P$4:$P$503,177))&amp;". "))</f>
        <v/>
      </c>
      <c r="J2180">
        <f>IF(LEN(INDEX('Providers'!$AJ$4:$AJ$503,177))=0,"",INDEX('Providers'!$AJ$4:$AJ$503,177))</f>
        <v/>
      </c>
      <c r="K2180">
        <f>IF(LEN(INDEX('Providers'!$AI$4:$AI$503,177))=0,"",INDEX('Providers'!$AI$4:$AI$503,177))</f>
        <v/>
      </c>
    </row>
    <row r="2181">
      <c r="A2181">
        <f>IF(AND(LEN('Providers'!A181)&gt;0,ISNUMBER('Providers'!Q181)),1,0)</f>
        <v/>
      </c>
      <c r="B2181">
        <f>B2180+A2181</f>
        <v/>
      </c>
      <c r="C2181">
        <f>IF(2178&gt;$B$4503,"",MATCH(2178-0.5,$B$3:$B$4503,1))</f>
        <v/>
      </c>
      <c r="D2181">
        <f>"Malpractice insurance – "&amp;IF(LEN(INDEX('Providers'!$A$4:$A$503,178))=0,"",INDEX('Providers'!$A$4:$A$503,178))</f>
        <v/>
      </c>
      <c r="E2181">
        <f>IF(ISNUMBER(INDEX('Providers'!$Q$4:$Q$503,178)),TEXT(INDEX('Providers'!$Q$4:$Q$503,178),"yyyy-mm-dd"),"")</f>
        <v/>
      </c>
      <c r="F2181">
        <f>"Insurance"</f>
        <v/>
      </c>
      <c r="G2181">
        <f>""</f>
        <v/>
      </c>
      <c r="H2181">
        <f>"High"</f>
        <v/>
      </c>
      <c r="I2181">
        <f>TRIM(IF(LEN(IF(LEN(INDEX('Providers'!$N$4:$N$503,178))=0,"",INDEX('Providers'!$N$4:$N$503,178)))=0,"","Carrier: "&amp;IF(LEN(INDEX('Providers'!$N$4:$N$503,178))=0,"",INDEX('Providers'!$N$4:$N$503,178))&amp;". ")&amp;IF(LEN(IF(LEN(INDEX('Providers'!$O$4:$O$503,178))=0,"",INDEX('Providers'!$O$4:$O$503,178)))=0,"","Policy no.: "&amp;IF(LEN(INDEX('Providers'!$O$4:$O$503,178))=0,"",INDEX('Providers'!$O$4:$O$503,178))&amp;". ")&amp;IF(LEN(IF(LEN(INDEX('Providers'!$P$4:$P$503,178))=0,"",INDEX('Providers'!$P$4:$P$503,178)))=0,"","Coverage form: "&amp;IF(LEN(INDEX('Providers'!$P$4:$P$503,178))=0,"",INDEX('Providers'!$P$4:$P$503,178))&amp;". "))</f>
        <v/>
      </c>
      <c r="J2181">
        <f>IF(LEN(INDEX('Providers'!$AJ$4:$AJ$503,178))=0,"",INDEX('Providers'!$AJ$4:$AJ$503,178))</f>
        <v/>
      </c>
      <c r="K2181">
        <f>IF(LEN(INDEX('Providers'!$AI$4:$AI$503,178))=0,"",INDEX('Providers'!$AI$4:$AI$503,178))</f>
        <v/>
      </c>
    </row>
    <row r="2182">
      <c r="A2182">
        <f>IF(AND(LEN('Providers'!A182)&gt;0,ISNUMBER('Providers'!Q182)),1,0)</f>
        <v/>
      </c>
      <c r="B2182">
        <f>B2181+A2182</f>
        <v/>
      </c>
      <c r="C2182">
        <f>IF(2179&gt;$B$4503,"",MATCH(2179-0.5,$B$3:$B$4503,1))</f>
        <v/>
      </c>
      <c r="D2182">
        <f>"Malpractice insurance – "&amp;IF(LEN(INDEX('Providers'!$A$4:$A$503,179))=0,"",INDEX('Providers'!$A$4:$A$503,179))</f>
        <v/>
      </c>
      <c r="E2182">
        <f>IF(ISNUMBER(INDEX('Providers'!$Q$4:$Q$503,179)),TEXT(INDEX('Providers'!$Q$4:$Q$503,179),"yyyy-mm-dd"),"")</f>
        <v/>
      </c>
      <c r="F2182">
        <f>"Insurance"</f>
        <v/>
      </c>
      <c r="G2182">
        <f>""</f>
        <v/>
      </c>
      <c r="H2182">
        <f>"High"</f>
        <v/>
      </c>
      <c r="I2182">
        <f>TRIM(IF(LEN(IF(LEN(INDEX('Providers'!$N$4:$N$503,179))=0,"",INDEX('Providers'!$N$4:$N$503,179)))=0,"","Carrier: "&amp;IF(LEN(INDEX('Providers'!$N$4:$N$503,179))=0,"",INDEX('Providers'!$N$4:$N$503,179))&amp;". ")&amp;IF(LEN(IF(LEN(INDEX('Providers'!$O$4:$O$503,179))=0,"",INDEX('Providers'!$O$4:$O$503,179)))=0,"","Policy no.: "&amp;IF(LEN(INDEX('Providers'!$O$4:$O$503,179))=0,"",INDEX('Providers'!$O$4:$O$503,179))&amp;". ")&amp;IF(LEN(IF(LEN(INDEX('Providers'!$P$4:$P$503,179))=0,"",INDEX('Providers'!$P$4:$P$503,179)))=0,"","Coverage form: "&amp;IF(LEN(INDEX('Providers'!$P$4:$P$503,179))=0,"",INDEX('Providers'!$P$4:$P$503,179))&amp;". "))</f>
        <v/>
      </c>
      <c r="J2182">
        <f>IF(LEN(INDEX('Providers'!$AJ$4:$AJ$503,179))=0,"",INDEX('Providers'!$AJ$4:$AJ$503,179))</f>
        <v/>
      </c>
      <c r="K2182">
        <f>IF(LEN(INDEX('Providers'!$AI$4:$AI$503,179))=0,"",INDEX('Providers'!$AI$4:$AI$503,179))</f>
        <v/>
      </c>
    </row>
    <row r="2183">
      <c r="A2183">
        <f>IF(AND(LEN('Providers'!A183)&gt;0,ISNUMBER('Providers'!Q183)),1,0)</f>
        <v/>
      </c>
      <c r="B2183">
        <f>B2182+A2183</f>
        <v/>
      </c>
      <c r="C2183">
        <f>IF(2180&gt;$B$4503,"",MATCH(2180-0.5,$B$3:$B$4503,1))</f>
        <v/>
      </c>
      <c r="D2183">
        <f>"Malpractice insurance – "&amp;IF(LEN(INDEX('Providers'!$A$4:$A$503,180))=0,"",INDEX('Providers'!$A$4:$A$503,180))</f>
        <v/>
      </c>
      <c r="E2183">
        <f>IF(ISNUMBER(INDEX('Providers'!$Q$4:$Q$503,180)),TEXT(INDEX('Providers'!$Q$4:$Q$503,180),"yyyy-mm-dd"),"")</f>
        <v/>
      </c>
      <c r="F2183">
        <f>"Insurance"</f>
        <v/>
      </c>
      <c r="G2183">
        <f>""</f>
        <v/>
      </c>
      <c r="H2183">
        <f>"High"</f>
        <v/>
      </c>
      <c r="I2183">
        <f>TRIM(IF(LEN(IF(LEN(INDEX('Providers'!$N$4:$N$503,180))=0,"",INDEX('Providers'!$N$4:$N$503,180)))=0,"","Carrier: "&amp;IF(LEN(INDEX('Providers'!$N$4:$N$503,180))=0,"",INDEX('Providers'!$N$4:$N$503,180))&amp;". ")&amp;IF(LEN(IF(LEN(INDEX('Providers'!$O$4:$O$503,180))=0,"",INDEX('Providers'!$O$4:$O$503,180)))=0,"","Policy no.: "&amp;IF(LEN(INDEX('Providers'!$O$4:$O$503,180))=0,"",INDEX('Providers'!$O$4:$O$503,180))&amp;". ")&amp;IF(LEN(IF(LEN(INDEX('Providers'!$P$4:$P$503,180))=0,"",INDEX('Providers'!$P$4:$P$503,180)))=0,"","Coverage form: "&amp;IF(LEN(INDEX('Providers'!$P$4:$P$503,180))=0,"",INDEX('Providers'!$P$4:$P$503,180))&amp;". "))</f>
        <v/>
      </c>
      <c r="J2183">
        <f>IF(LEN(INDEX('Providers'!$AJ$4:$AJ$503,180))=0,"",INDEX('Providers'!$AJ$4:$AJ$503,180))</f>
        <v/>
      </c>
      <c r="K2183">
        <f>IF(LEN(INDEX('Providers'!$AI$4:$AI$503,180))=0,"",INDEX('Providers'!$AI$4:$AI$503,180))</f>
        <v/>
      </c>
    </row>
    <row r="2184">
      <c r="A2184">
        <f>IF(AND(LEN('Providers'!A184)&gt;0,ISNUMBER('Providers'!Q184)),1,0)</f>
        <v/>
      </c>
      <c r="B2184">
        <f>B2183+A2184</f>
        <v/>
      </c>
      <c r="C2184">
        <f>IF(2181&gt;$B$4503,"",MATCH(2181-0.5,$B$3:$B$4503,1))</f>
        <v/>
      </c>
      <c r="D2184">
        <f>"Malpractice insurance – "&amp;IF(LEN(INDEX('Providers'!$A$4:$A$503,181))=0,"",INDEX('Providers'!$A$4:$A$503,181))</f>
        <v/>
      </c>
      <c r="E2184">
        <f>IF(ISNUMBER(INDEX('Providers'!$Q$4:$Q$503,181)),TEXT(INDEX('Providers'!$Q$4:$Q$503,181),"yyyy-mm-dd"),"")</f>
        <v/>
      </c>
      <c r="F2184">
        <f>"Insurance"</f>
        <v/>
      </c>
      <c r="G2184">
        <f>""</f>
        <v/>
      </c>
      <c r="H2184">
        <f>"High"</f>
        <v/>
      </c>
      <c r="I2184">
        <f>TRIM(IF(LEN(IF(LEN(INDEX('Providers'!$N$4:$N$503,181))=0,"",INDEX('Providers'!$N$4:$N$503,181)))=0,"","Carrier: "&amp;IF(LEN(INDEX('Providers'!$N$4:$N$503,181))=0,"",INDEX('Providers'!$N$4:$N$503,181))&amp;". ")&amp;IF(LEN(IF(LEN(INDEX('Providers'!$O$4:$O$503,181))=0,"",INDEX('Providers'!$O$4:$O$503,181)))=0,"","Policy no.: "&amp;IF(LEN(INDEX('Providers'!$O$4:$O$503,181))=0,"",INDEX('Providers'!$O$4:$O$503,181))&amp;". ")&amp;IF(LEN(IF(LEN(INDEX('Providers'!$P$4:$P$503,181))=0,"",INDEX('Providers'!$P$4:$P$503,181)))=0,"","Coverage form: "&amp;IF(LEN(INDEX('Providers'!$P$4:$P$503,181))=0,"",INDEX('Providers'!$P$4:$P$503,181))&amp;". "))</f>
        <v/>
      </c>
      <c r="J2184">
        <f>IF(LEN(INDEX('Providers'!$AJ$4:$AJ$503,181))=0,"",INDEX('Providers'!$AJ$4:$AJ$503,181))</f>
        <v/>
      </c>
      <c r="K2184">
        <f>IF(LEN(INDEX('Providers'!$AI$4:$AI$503,181))=0,"",INDEX('Providers'!$AI$4:$AI$503,181))</f>
        <v/>
      </c>
    </row>
    <row r="2185">
      <c r="A2185">
        <f>IF(AND(LEN('Providers'!A185)&gt;0,ISNUMBER('Providers'!Q185)),1,0)</f>
        <v/>
      </c>
      <c r="B2185">
        <f>B2184+A2185</f>
        <v/>
      </c>
      <c r="C2185">
        <f>IF(2182&gt;$B$4503,"",MATCH(2182-0.5,$B$3:$B$4503,1))</f>
        <v/>
      </c>
      <c r="D2185">
        <f>"Malpractice insurance – "&amp;IF(LEN(INDEX('Providers'!$A$4:$A$503,182))=0,"",INDEX('Providers'!$A$4:$A$503,182))</f>
        <v/>
      </c>
      <c r="E2185">
        <f>IF(ISNUMBER(INDEX('Providers'!$Q$4:$Q$503,182)),TEXT(INDEX('Providers'!$Q$4:$Q$503,182),"yyyy-mm-dd"),"")</f>
        <v/>
      </c>
      <c r="F2185">
        <f>"Insurance"</f>
        <v/>
      </c>
      <c r="G2185">
        <f>""</f>
        <v/>
      </c>
      <c r="H2185">
        <f>"High"</f>
        <v/>
      </c>
      <c r="I2185">
        <f>TRIM(IF(LEN(IF(LEN(INDEX('Providers'!$N$4:$N$503,182))=0,"",INDEX('Providers'!$N$4:$N$503,182)))=0,"","Carrier: "&amp;IF(LEN(INDEX('Providers'!$N$4:$N$503,182))=0,"",INDEX('Providers'!$N$4:$N$503,182))&amp;". ")&amp;IF(LEN(IF(LEN(INDEX('Providers'!$O$4:$O$503,182))=0,"",INDEX('Providers'!$O$4:$O$503,182)))=0,"","Policy no.: "&amp;IF(LEN(INDEX('Providers'!$O$4:$O$503,182))=0,"",INDEX('Providers'!$O$4:$O$503,182))&amp;". ")&amp;IF(LEN(IF(LEN(INDEX('Providers'!$P$4:$P$503,182))=0,"",INDEX('Providers'!$P$4:$P$503,182)))=0,"","Coverage form: "&amp;IF(LEN(INDEX('Providers'!$P$4:$P$503,182))=0,"",INDEX('Providers'!$P$4:$P$503,182))&amp;". "))</f>
        <v/>
      </c>
      <c r="J2185">
        <f>IF(LEN(INDEX('Providers'!$AJ$4:$AJ$503,182))=0,"",INDEX('Providers'!$AJ$4:$AJ$503,182))</f>
        <v/>
      </c>
      <c r="K2185">
        <f>IF(LEN(INDEX('Providers'!$AI$4:$AI$503,182))=0,"",INDEX('Providers'!$AI$4:$AI$503,182))</f>
        <v/>
      </c>
    </row>
    <row r="2186">
      <c r="A2186">
        <f>IF(AND(LEN('Providers'!A186)&gt;0,ISNUMBER('Providers'!Q186)),1,0)</f>
        <v/>
      </c>
      <c r="B2186">
        <f>B2185+A2186</f>
        <v/>
      </c>
      <c r="C2186">
        <f>IF(2183&gt;$B$4503,"",MATCH(2183-0.5,$B$3:$B$4503,1))</f>
        <v/>
      </c>
      <c r="D2186">
        <f>"Malpractice insurance – "&amp;IF(LEN(INDEX('Providers'!$A$4:$A$503,183))=0,"",INDEX('Providers'!$A$4:$A$503,183))</f>
        <v/>
      </c>
      <c r="E2186">
        <f>IF(ISNUMBER(INDEX('Providers'!$Q$4:$Q$503,183)),TEXT(INDEX('Providers'!$Q$4:$Q$503,183),"yyyy-mm-dd"),"")</f>
        <v/>
      </c>
      <c r="F2186">
        <f>"Insurance"</f>
        <v/>
      </c>
      <c r="G2186">
        <f>""</f>
        <v/>
      </c>
      <c r="H2186">
        <f>"High"</f>
        <v/>
      </c>
      <c r="I2186">
        <f>TRIM(IF(LEN(IF(LEN(INDEX('Providers'!$N$4:$N$503,183))=0,"",INDEX('Providers'!$N$4:$N$503,183)))=0,"","Carrier: "&amp;IF(LEN(INDEX('Providers'!$N$4:$N$503,183))=0,"",INDEX('Providers'!$N$4:$N$503,183))&amp;". ")&amp;IF(LEN(IF(LEN(INDEX('Providers'!$O$4:$O$503,183))=0,"",INDEX('Providers'!$O$4:$O$503,183)))=0,"","Policy no.: "&amp;IF(LEN(INDEX('Providers'!$O$4:$O$503,183))=0,"",INDEX('Providers'!$O$4:$O$503,183))&amp;". ")&amp;IF(LEN(IF(LEN(INDEX('Providers'!$P$4:$P$503,183))=0,"",INDEX('Providers'!$P$4:$P$503,183)))=0,"","Coverage form: "&amp;IF(LEN(INDEX('Providers'!$P$4:$P$503,183))=0,"",INDEX('Providers'!$P$4:$P$503,183))&amp;". "))</f>
        <v/>
      </c>
      <c r="J2186">
        <f>IF(LEN(INDEX('Providers'!$AJ$4:$AJ$503,183))=0,"",INDEX('Providers'!$AJ$4:$AJ$503,183))</f>
        <v/>
      </c>
      <c r="K2186">
        <f>IF(LEN(INDEX('Providers'!$AI$4:$AI$503,183))=0,"",INDEX('Providers'!$AI$4:$AI$503,183))</f>
        <v/>
      </c>
    </row>
    <row r="2187">
      <c r="A2187">
        <f>IF(AND(LEN('Providers'!A187)&gt;0,ISNUMBER('Providers'!Q187)),1,0)</f>
        <v/>
      </c>
      <c r="B2187">
        <f>B2186+A2187</f>
        <v/>
      </c>
      <c r="C2187">
        <f>IF(2184&gt;$B$4503,"",MATCH(2184-0.5,$B$3:$B$4503,1))</f>
        <v/>
      </c>
      <c r="D2187">
        <f>"Malpractice insurance – "&amp;IF(LEN(INDEX('Providers'!$A$4:$A$503,184))=0,"",INDEX('Providers'!$A$4:$A$503,184))</f>
        <v/>
      </c>
      <c r="E2187">
        <f>IF(ISNUMBER(INDEX('Providers'!$Q$4:$Q$503,184)),TEXT(INDEX('Providers'!$Q$4:$Q$503,184),"yyyy-mm-dd"),"")</f>
        <v/>
      </c>
      <c r="F2187">
        <f>"Insurance"</f>
        <v/>
      </c>
      <c r="G2187">
        <f>""</f>
        <v/>
      </c>
      <c r="H2187">
        <f>"High"</f>
        <v/>
      </c>
      <c r="I2187">
        <f>TRIM(IF(LEN(IF(LEN(INDEX('Providers'!$N$4:$N$503,184))=0,"",INDEX('Providers'!$N$4:$N$503,184)))=0,"","Carrier: "&amp;IF(LEN(INDEX('Providers'!$N$4:$N$503,184))=0,"",INDEX('Providers'!$N$4:$N$503,184))&amp;". ")&amp;IF(LEN(IF(LEN(INDEX('Providers'!$O$4:$O$503,184))=0,"",INDEX('Providers'!$O$4:$O$503,184)))=0,"","Policy no.: "&amp;IF(LEN(INDEX('Providers'!$O$4:$O$503,184))=0,"",INDEX('Providers'!$O$4:$O$503,184))&amp;". ")&amp;IF(LEN(IF(LEN(INDEX('Providers'!$P$4:$P$503,184))=0,"",INDEX('Providers'!$P$4:$P$503,184)))=0,"","Coverage form: "&amp;IF(LEN(INDEX('Providers'!$P$4:$P$503,184))=0,"",INDEX('Providers'!$P$4:$P$503,184))&amp;". "))</f>
        <v/>
      </c>
      <c r="J2187">
        <f>IF(LEN(INDEX('Providers'!$AJ$4:$AJ$503,184))=0,"",INDEX('Providers'!$AJ$4:$AJ$503,184))</f>
        <v/>
      </c>
      <c r="K2187">
        <f>IF(LEN(INDEX('Providers'!$AI$4:$AI$503,184))=0,"",INDEX('Providers'!$AI$4:$AI$503,184))</f>
        <v/>
      </c>
    </row>
    <row r="2188">
      <c r="A2188">
        <f>IF(AND(LEN('Providers'!A188)&gt;0,ISNUMBER('Providers'!Q188)),1,0)</f>
        <v/>
      </c>
      <c r="B2188">
        <f>B2187+A2188</f>
        <v/>
      </c>
      <c r="C2188">
        <f>IF(2185&gt;$B$4503,"",MATCH(2185-0.5,$B$3:$B$4503,1))</f>
        <v/>
      </c>
      <c r="D2188">
        <f>"Malpractice insurance – "&amp;IF(LEN(INDEX('Providers'!$A$4:$A$503,185))=0,"",INDEX('Providers'!$A$4:$A$503,185))</f>
        <v/>
      </c>
      <c r="E2188">
        <f>IF(ISNUMBER(INDEX('Providers'!$Q$4:$Q$503,185)),TEXT(INDEX('Providers'!$Q$4:$Q$503,185),"yyyy-mm-dd"),"")</f>
        <v/>
      </c>
      <c r="F2188">
        <f>"Insurance"</f>
        <v/>
      </c>
      <c r="G2188">
        <f>""</f>
        <v/>
      </c>
      <c r="H2188">
        <f>"High"</f>
        <v/>
      </c>
      <c r="I2188">
        <f>TRIM(IF(LEN(IF(LEN(INDEX('Providers'!$N$4:$N$503,185))=0,"",INDEX('Providers'!$N$4:$N$503,185)))=0,"","Carrier: "&amp;IF(LEN(INDEX('Providers'!$N$4:$N$503,185))=0,"",INDEX('Providers'!$N$4:$N$503,185))&amp;". ")&amp;IF(LEN(IF(LEN(INDEX('Providers'!$O$4:$O$503,185))=0,"",INDEX('Providers'!$O$4:$O$503,185)))=0,"","Policy no.: "&amp;IF(LEN(INDEX('Providers'!$O$4:$O$503,185))=0,"",INDEX('Providers'!$O$4:$O$503,185))&amp;". ")&amp;IF(LEN(IF(LEN(INDEX('Providers'!$P$4:$P$503,185))=0,"",INDEX('Providers'!$P$4:$P$503,185)))=0,"","Coverage form: "&amp;IF(LEN(INDEX('Providers'!$P$4:$P$503,185))=0,"",INDEX('Providers'!$P$4:$P$503,185))&amp;". "))</f>
        <v/>
      </c>
      <c r="J2188">
        <f>IF(LEN(INDEX('Providers'!$AJ$4:$AJ$503,185))=0,"",INDEX('Providers'!$AJ$4:$AJ$503,185))</f>
        <v/>
      </c>
      <c r="K2188">
        <f>IF(LEN(INDEX('Providers'!$AI$4:$AI$503,185))=0,"",INDEX('Providers'!$AI$4:$AI$503,185))</f>
        <v/>
      </c>
    </row>
    <row r="2189">
      <c r="A2189">
        <f>IF(AND(LEN('Providers'!A189)&gt;0,ISNUMBER('Providers'!Q189)),1,0)</f>
        <v/>
      </c>
      <c r="B2189">
        <f>B2188+A2189</f>
        <v/>
      </c>
      <c r="C2189">
        <f>IF(2186&gt;$B$4503,"",MATCH(2186-0.5,$B$3:$B$4503,1))</f>
        <v/>
      </c>
      <c r="D2189">
        <f>"Malpractice insurance – "&amp;IF(LEN(INDEX('Providers'!$A$4:$A$503,186))=0,"",INDEX('Providers'!$A$4:$A$503,186))</f>
        <v/>
      </c>
      <c r="E2189">
        <f>IF(ISNUMBER(INDEX('Providers'!$Q$4:$Q$503,186)),TEXT(INDEX('Providers'!$Q$4:$Q$503,186),"yyyy-mm-dd"),"")</f>
        <v/>
      </c>
      <c r="F2189">
        <f>"Insurance"</f>
        <v/>
      </c>
      <c r="G2189">
        <f>""</f>
        <v/>
      </c>
      <c r="H2189">
        <f>"High"</f>
        <v/>
      </c>
      <c r="I2189">
        <f>TRIM(IF(LEN(IF(LEN(INDEX('Providers'!$N$4:$N$503,186))=0,"",INDEX('Providers'!$N$4:$N$503,186)))=0,"","Carrier: "&amp;IF(LEN(INDEX('Providers'!$N$4:$N$503,186))=0,"",INDEX('Providers'!$N$4:$N$503,186))&amp;". ")&amp;IF(LEN(IF(LEN(INDEX('Providers'!$O$4:$O$503,186))=0,"",INDEX('Providers'!$O$4:$O$503,186)))=0,"","Policy no.: "&amp;IF(LEN(INDEX('Providers'!$O$4:$O$503,186))=0,"",INDEX('Providers'!$O$4:$O$503,186))&amp;". ")&amp;IF(LEN(IF(LEN(INDEX('Providers'!$P$4:$P$503,186))=0,"",INDEX('Providers'!$P$4:$P$503,186)))=0,"","Coverage form: "&amp;IF(LEN(INDEX('Providers'!$P$4:$P$503,186))=0,"",INDEX('Providers'!$P$4:$P$503,186))&amp;". "))</f>
        <v/>
      </c>
      <c r="J2189">
        <f>IF(LEN(INDEX('Providers'!$AJ$4:$AJ$503,186))=0,"",INDEX('Providers'!$AJ$4:$AJ$503,186))</f>
        <v/>
      </c>
      <c r="K2189">
        <f>IF(LEN(INDEX('Providers'!$AI$4:$AI$503,186))=0,"",INDEX('Providers'!$AI$4:$AI$503,186))</f>
        <v/>
      </c>
    </row>
    <row r="2190">
      <c r="A2190">
        <f>IF(AND(LEN('Providers'!A190)&gt;0,ISNUMBER('Providers'!Q190)),1,0)</f>
        <v/>
      </c>
      <c r="B2190">
        <f>B2189+A2190</f>
        <v/>
      </c>
      <c r="C2190">
        <f>IF(2187&gt;$B$4503,"",MATCH(2187-0.5,$B$3:$B$4503,1))</f>
        <v/>
      </c>
      <c r="D2190">
        <f>"Malpractice insurance – "&amp;IF(LEN(INDEX('Providers'!$A$4:$A$503,187))=0,"",INDEX('Providers'!$A$4:$A$503,187))</f>
        <v/>
      </c>
      <c r="E2190">
        <f>IF(ISNUMBER(INDEX('Providers'!$Q$4:$Q$503,187)),TEXT(INDEX('Providers'!$Q$4:$Q$503,187),"yyyy-mm-dd"),"")</f>
        <v/>
      </c>
      <c r="F2190">
        <f>"Insurance"</f>
        <v/>
      </c>
      <c r="G2190">
        <f>""</f>
        <v/>
      </c>
      <c r="H2190">
        <f>"High"</f>
        <v/>
      </c>
      <c r="I2190">
        <f>TRIM(IF(LEN(IF(LEN(INDEX('Providers'!$N$4:$N$503,187))=0,"",INDEX('Providers'!$N$4:$N$503,187)))=0,"","Carrier: "&amp;IF(LEN(INDEX('Providers'!$N$4:$N$503,187))=0,"",INDEX('Providers'!$N$4:$N$503,187))&amp;". ")&amp;IF(LEN(IF(LEN(INDEX('Providers'!$O$4:$O$503,187))=0,"",INDEX('Providers'!$O$4:$O$503,187)))=0,"","Policy no.: "&amp;IF(LEN(INDEX('Providers'!$O$4:$O$503,187))=0,"",INDEX('Providers'!$O$4:$O$503,187))&amp;". ")&amp;IF(LEN(IF(LEN(INDEX('Providers'!$P$4:$P$503,187))=0,"",INDEX('Providers'!$P$4:$P$503,187)))=0,"","Coverage form: "&amp;IF(LEN(INDEX('Providers'!$P$4:$P$503,187))=0,"",INDEX('Providers'!$P$4:$P$503,187))&amp;". "))</f>
        <v/>
      </c>
      <c r="J2190">
        <f>IF(LEN(INDEX('Providers'!$AJ$4:$AJ$503,187))=0,"",INDEX('Providers'!$AJ$4:$AJ$503,187))</f>
        <v/>
      </c>
      <c r="K2190">
        <f>IF(LEN(INDEX('Providers'!$AI$4:$AI$503,187))=0,"",INDEX('Providers'!$AI$4:$AI$503,187))</f>
        <v/>
      </c>
    </row>
    <row r="2191">
      <c r="A2191">
        <f>IF(AND(LEN('Providers'!A191)&gt;0,ISNUMBER('Providers'!Q191)),1,0)</f>
        <v/>
      </c>
      <c r="B2191">
        <f>B2190+A2191</f>
        <v/>
      </c>
      <c r="C2191">
        <f>IF(2188&gt;$B$4503,"",MATCH(2188-0.5,$B$3:$B$4503,1))</f>
        <v/>
      </c>
      <c r="D2191">
        <f>"Malpractice insurance – "&amp;IF(LEN(INDEX('Providers'!$A$4:$A$503,188))=0,"",INDEX('Providers'!$A$4:$A$503,188))</f>
        <v/>
      </c>
      <c r="E2191">
        <f>IF(ISNUMBER(INDEX('Providers'!$Q$4:$Q$503,188)),TEXT(INDEX('Providers'!$Q$4:$Q$503,188),"yyyy-mm-dd"),"")</f>
        <v/>
      </c>
      <c r="F2191">
        <f>"Insurance"</f>
        <v/>
      </c>
      <c r="G2191">
        <f>""</f>
        <v/>
      </c>
      <c r="H2191">
        <f>"High"</f>
        <v/>
      </c>
      <c r="I2191">
        <f>TRIM(IF(LEN(IF(LEN(INDEX('Providers'!$N$4:$N$503,188))=0,"",INDEX('Providers'!$N$4:$N$503,188)))=0,"","Carrier: "&amp;IF(LEN(INDEX('Providers'!$N$4:$N$503,188))=0,"",INDEX('Providers'!$N$4:$N$503,188))&amp;". ")&amp;IF(LEN(IF(LEN(INDEX('Providers'!$O$4:$O$503,188))=0,"",INDEX('Providers'!$O$4:$O$503,188)))=0,"","Policy no.: "&amp;IF(LEN(INDEX('Providers'!$O$4:$O$503,188))=0,"",INDEX('Providers'!$O$4:$O$503,188))&amp;". ")&amp;IF(LEN(IF(LEN(INDEX('Providers'!$P$4:$P$503,188))=0,"",INDEX('Providers'!$P$4:$P$503,188)))=0,"","Coverage form: "&amp;IF(LEN(INDEX('Providers'!$P$4:$P$503,188))=0,"",INDEX('Providers'!$P$4:$P$503,188))&amp;". "))</f>
        <v/>
      </c>
      <c r="J2191">
        <f>IF(LEN(INDEX('Providers'!$AJ$4:$AJ$503,188))=0,"",INDEX('Providers'!$AJ$4:$AJ$503,188))</f>
        <v/>
      </c>
      <c r="K2191">
        <f>IF(LEN(INDEX('Providers'!$AI$4:$AI$503,188))=0,"",INDEX('Providers'!$AI$4:$AI$503,188))</f>
        <v/>
      </c>
    </row>
    <row r="2192">
      <c r="A2192">
        <f>IF(AND(LEN('Providers'!A192)&gt;0,ISNUMBER('Providers'!Q192)),1,0)</f>
        <v/>
      </c>
      <c r="B2192">
        <f>B2191+A2192</f>
        <v/>
      </c>
      <c r="C2192">
        <f>IF(2189&gt;$B$4503,"",MATCH(2189-0.5,$B$3:$B$4503,1))</f>
        <v/>
      </c>
      <c r="D2192">
        <f>"Malpractice insurance – "&amp;IF(LEN(INDEX('Providers'!$A$4:$A$503,189))=0,"",INDEX('Providers'!$A$4:$A$503,189))</f>
        <v/>
      </c>
      <c r="E2192">
        <f>IF(ISNUMBER(INDEX('Providers'!$Q$4:$Q$503,189)),TEXT(INDEX('Providers'!$Q$4:$Q$503,189),"yyyy-mm-dd"),"")</f>
        <v/>
      </c>
      <c r="F2192">
        <f>"Insurance"</f>
        <v/>
      </c>
      <c r="G2192">
        <f>""</f>
        <v/>
      </c>
      <c r="H2192">
        <f>"High"</f>
        <v/>
      </c>
      <c r="I2192">
        <f>TRIM(IF(LEN(IF(LEN(INDEX('Providers'!$N$4:$N$503,189))=0,"",INDEX('Providers'!$N$4:$N$503,189)))=0,"","Carrier: "&amp;IF(LEN(INDEX('Providers'!$N$4:$N$503,189))=0,"",INDEX('Providers'!$N$4:$N$503,189))&amp;". ")&amp;IF(LEN(IF(LEN(INDEX('Providers'!$O$4:$O$503,189))=0,"",INDEX('Providers'!$O$4:$O$503,189)))=0,"","Policy no.: "&amp;IF(LEN(INDEX('Providers'!$O$4:$O$503,189))=0,"",INDEX('Providers'!$O$4:$O$503,189))&amp;". ")&amp;IF(LEN(IF(LEN(INDEX('Providers'!$P$4:$P$503,189))=0,"",INDEX('Providers'!$P$4:$P$503,189)))=0,"","Coverage form: "&amp;IF(LEN(INDEX('Providers'!$P$4:$P$503,189))=0,"",INDEX('Providers'!$P$4:$P$503,189))&amp;". "))</f>
        <v/>
      </c>
      <c r="J2192">
        <f>IF(LEN(INDEX('Providers'!$AJ$4:$AJ$503,189))=0,"",INDEX('Providers'!$AJ$4:$AJ$503,189))</f>
        <v/>
      </c>
      <c r="K2192">
        <f>IF(LEN(INDEX('Providers'!$AI$4:$AI$503,189))=0,"",INDEX('Providers'!$AI$4:$AI$503,189))</f>
        <v/>
      </c>
    </row>
    <row r="2193">
      <c r="A2193">
        <f>IF(AND(LEN('Providers'!A193)&gt;0,ISNUMBER('Providers'!Q193)),1,0)</f>
        <v/>
      </c>
      <c r="B2193">
        <f>B2192+A2193</f>
        <v/>
      </c>
      <c r="C2193">
        <f>IF(2190&gt;$B$4503,"",MATCH(2190-0.5,$B$3:$B$4503,1))</f>
        <v/>
      </c>
      <c r="D2193">
        <f>"Malpractice insurance – "&amp;IF(LEN(INDEX('Providers'!$A$4:$A$503,190))=0,"",INDEX('Providers'!$A$4:$A$503,190))</f>
        <v/>
      </c>
      <c r="E2193">
        <f>IF(ISNUMBER(INDEX('Providers'!$Q$4:$Q$503,190)),TEXT(INDEX('Providers'!$Q$4:$Q$503,190),"yyyy-mm-dd"),"")</f>
        <v/>
      </c>
      <c r="F2193">
        <f>"Insurance"</f>
        <v/>
      </c>
      <c r="G2193">
        <f>""</f>
        <v/>
      </c>
      <c r="H2193">
        <f>"High"</f>
        <v/>
      </c>
      <c r="I2193">
        <f>TRIM(IF(LEN(IF(LEN(INDEX('Providers'!$N$4:$N$503,190))=0,"",INDEX('Providers'!$N$4:$N$503,190)))=0,"","Carrier: "&amp;IF(LEN(INDEX('Providers'!$N$4:$N$503,190))=0,"",INDEX('Providers'!$N$4:$N$503,190))&amp;". ")&amp;IF(LEN(IF(LEN(INDEX('Providers'!$O$4:$O$503,190))=0,"",INDEX('Providers'!$O$4:$O$503,190)))=0,"","Policy no.: "&amp;IF(LEN(INDEX('Providers'!$O$4:$O$503,190))=0,"",INDEX('Providers'!$O$4:$O$503,190))&amp;". ")&amp;IF(LEN(IF(LEN(INDEX('Providers'!$P$4:$P$503,190))=0,"",INDEX('Providers'!$P$4:$P$503,190)))=0,"","Coverage form: "&amp;IF(LEN(INDEX('Providers'!$P$4:$P$503,190))=0,"",INDEX('Providers'!$P$4:$P$503,190))&amp;". "))</f>
        <v/>
      </c>
      <c r="J2193">
        <f>IF(LEN(INDEX('Providers'!$AJ$4:$AJ$503,190))=0,"",INDEX('Providers'!$AJ$4:$AJ$503,190))</f>
        <v/>
      </c>
      <c r="K2193">
        <f>IF(LEN(INDEX('Providers'!$AI$4:$AI$503,190))=0,"",INDEX('Providers'!$AI$4:$AI$503,190))</f>
        <v/>
      </c>
    </row>
    <row r="2194">
      <c r="A2194">
        <f>IF(AND(LEN('Providers'!A194)&gt;0,ISNUMBER('Providers'!Q194)),1,0)</f>
        <v/>
      </c>
      <c r="B2194">
        <f>B2193+A2194</f>
        <v/>
      </c>
      <c r="C2194">
        <f>IF(2191&gt;$B$4503,"",MATCH(2191-0.5,$B$3:$B$4503,1))</f>
        <v/>
      </c>
      <c r="D2194">
        <f>"Malpractice insurance – "&amp;IF(LEN(INDEX('Providers'!$A$4:$A$503,191))=0,"",INDEX('Providers'!$A$4:$A$503,191))</f>
        <v/>
      </c>
      <c r="E2194">
        <f>IF(ISNUMBER(INDEX('Providers'!$Q$4:$Q$503,191)),TEXT(INDEX('Providers'!$Q$4:$Q$503,191),"yyyy-mm-dd"),"")</f>
        <v/>
      </c>
      <c r="F2194">
        <f>"Insurance"</f>
        <v/>
      </c>
      <c r="G2194">
        <f>""</f>
        <v/>
      </c>
      <c r="H2194">
        <f>"High"</f>
        <v/>
      </c>
      <c r="I2194">
        <f>TRIM(IF(LEN(IF(LEN(INDEX('Providers'!$N$4:$N$503,191))=0,"",INDEX('Providers'!$N$4:$N$503,191)))=0,"","Carrier: "&amp;IF(LEN(INDEX('Providers'!$N$4:$N$503,191))=0,"",INDEX('Providers'!$N$4:$N$503,191))&amp;". ")&amp;IF(LEN(IF(LEN(INDEX('Providers'!$O$4:$O$503,191))=0,"",INDEX('Providers'!$O$4:$O$503,191)))=0,"","Policy no.: "&amp;IF(LEN(INDEX('Providers'!$O$4:$O$503,191))=0,"",INDEX('Providers'!$O$4:$O$503,191))&amp;". ")&amp;IF(LEN(IF(LEN(INDEX('Providers'!$P$4:$P$503,191))=0,"",INDEX('Providers'!$P$4:$P$503,191)))=0,"","Coverage form: "&amp;IF(LEN(INDEX('Providers'!$P$4:$P$503,191))=0,"",INDEX('Providers'!$P$4:$P$503,191))&amp;". "))</f>
        <v/>
      </c>
      <c r="J2194">
        <f>IF(LEN(INDEX('Providers'!$AJ$4:$AJ$503,191))=0,"",INDEX('Providers'!$AJ$4:$AJ$503,191))</f>
        <v/>
      </c>
      <c r="K2194">
        <f>IF(LEN(INDEX('Providers'!$AI$4:$AI$503,191))=0,"",INDEX('Providers'!$AI$4:$AI$503,191))</f>
        <v/>
      </c>
    </row>
    <row r="2195">
      <c r="A2195">
        <f>IF(AND(LEN('Providers'!A195)&gt;0,ISNUMBER('Providers'!Q195)),1,0)</f>
        <v/>
      </c>
      <c r="B2195">
        <f>B2194+A2195</f>
        <v/>
      </c>
      <c r="C2195">
        <f>IF(2192&gt;$B$4503,"",MATCH(2192-0.5,$B$3:$B$4503,1))</f>
        <v/>
      </c>
      <c r="D2195">
        <f>"Malpractice insurance – "&amp;IF(LEN(INDEX('Providers'!$A$4:$A$503,192))=0,"",INDEX('Providers'!$A$4:$A$503,192))</f>
        <v/>
      </c>
      <c r="E2195">
        <f>IF(ISNUMBER(INDEX('Providers'!$Q$4:$Q$503,192)),TEXT(INDEX('Providers'!$Q$4:$Q$503,192),"yyyy-mm-dd"),"")</f>
        <v/>
      </c>
      <c r="F2195">
        <f>"Insurance"</f>
        <v/>
      </c>
      <c r="G2195">
        <f>""</f>
        <v/>
      </c>
      <c r="H2195">
        <f>"High"</f>
        <v/>
      </c>
      <c r="I2195">
        <f>TRIM(IF(LEN(IF(LEN(INDEX('Providers'!$N$4:$N$503,192))=0,"",INDEX('Providers'!$N$4:$N$503,192)))=0,"","Carrier: "&amp;IF(LEN(INDEX('Providers'!$N$4:$N$503,192))=0,"",INDEX('Providers'!$N$4:$N$503,192))&amp;". ")&amp;IF(LEN(IF(LEN(INDEX('Providers'!$O$4:$O$503,192))=0,"",INDEX('Providers'!$O$4:$O$503,192)))=0,"","Policy no.: "&amp;IF(LEN(INDEX('Providers'!$O$4:$O$503,192))=0,"",INDEX('Providers'!$O$4:$O$503,192))&amp;". ")&amp;IF(LEN(IF(LEN(INDEX('Providers'!$P$4:$P$503,192))=0,"",INDEX('Providers'!$P$4:$P$503,192)))=0,"","Coverage form: "&amp;IF(LEN(INDEX('Providers'!$P$4:$P$503,192))=0,"",INDEX('Providers'!$P$4:$P$503,192))&amp;". "))</f>
        <v/>
      </c>
      <c r="J2195">
        <f>IF(LEN(INDEX('Providers'!$AJ$4:$AJ$503,192))=0,"",INDEX('Providers'!$AJ$4:$AJ$503,192))</f>
        <v/>
      </c>
      <c r="K2195">
        <f>IF(LEN(INDEX('Providers'!$AI$4:$AI$503,192))=0,"",INDEX('Providers'!$AI$4:$AI$503,192))</f>
        <v/>
      </c>
    </row>
    <row r="2196">
      <c r="A2196">
        <f>IF(AND(LEN('Providers'!A196)&gt;0,ISNUMBER('Providers'!Q196)),1,0)</f>
        <v/>
      </c>
      <c r="B2196">
        <f>B2195+A2196</f>
        <v/>
      </c>
      <c r="C2196">
        <f>IF(2193&gt;$B$4503,"",MATCH(2193-0.5,$B$3:$B$4503,1))</f>
        <v/>
      </c>
      <c r="D2196">
        <f>"Malpractice insurance – "&amp;IF(LEN(INDEX('Providers'!$A$4:$A$503,193))=0,"",INDEX('Providers'!$A$4:$A$503,193))</f>
        <v/>
      </c>
      <c r="E2196">
        <f>IF(ISNUMBER(INDEX('Providers'!$Q$4:$Q$503,193)),TEXT(INDEX('Providers'!$Q$4:$Q$503,193),"yyyy-mm-dd"),"")</f>
        <v/>
      </c>
      <c r="F2196">
        <f>"Insurance"</f>
        <v/>
      </c>
      <c r="G2196">
        <f>""</f>
        <v/>
      </c>
      <c r="H2196">
        <f>"High"</f>
        <v/>
      </c>
      <c r="I2196">
        <f>TRIM(IF(LEN(IF(LEN(INDEX('Providers'!$N$4:$N$503,193))=0,"",INDEX('Providers'!$N$4:$N$503,193)))=0,"","Carrier: "&amp;IF(LEN(INDEX('Providers'!$N$4:$N$503,193))=0,"",INDEX('Providers'!$N$4:$N$503,193))&amp;". ")&amp;IF(LEN(IF(LEN(INDEX('Providers'!$O$4:$O$503,193))=0,"",INDEX('Providers'!$O$4:$O$503,193)))=0,"","Policy no.: "&amp;IF(LEN(INDEX('Providers'!$O$4:$O$503,193))=0,"",INDEX('Providers'!$O$4:$O$503,193))&amp;". ")&amp;IF(LEN(IF(LEN(INDEX('Providers'!$P$4:$P$503,193))=0,"",INDEX('Providers'!$P$4:$P$503,193)))=0,"","Coverage form: "&amp;IF(LEN(INDEX('Providers'!$P$4:$P$503,193))=0,"",INDEX('Providers'!$P$4:$P$503,193))&amp;". "))</f>
        <v/>
      </c>
      <c r="J2196">
        <f>IF(LEN(INDEX('Providers'!$AJ$4:$AJ$503,193))=0,"",INDEX('Providers'!$AJ$4:$AJ$503,193))</f>
        <v/>
      </c>
      <c r="K2196">
        <f>IF(LEN(INDEX('Providers'!$AI$4:$AI$503,193))=0,"",INDEX('Providers'!$AI$4:$AI$503,193))</f>
        <v/>
      </c>
    </row>
    <row r="2197">
      <c r="A2197">
        <f>IF(AND(LEN('Providers'!A197)&gt;0,ISNUMBER('Providers'!Q197)),1,0)</f>
        <v/>
      </c>
      <c r="B2197">
        <f>B2196+A2197</f>
        <v/>
      </c>
      <c r="C2197">
        <f>IF(2194&gt;$B$4503,"",MATCH(2194-0.5,$B$3:$B$4503,1))</f>
        <v/>
      </c>
      <c r="D2197">
        <f>"Malpractice insurance – "&amp;IF(LEN(INDEX('Providers'!$A$4:$A$503,194))=0,"",INDEX('Providers'!$A$4:$A$503,194))</f>
        <v/>
      </c>
      <c r="E2197">
        <f>IF(ISNUMBER(INDEX('Providers'!$Q$4:$Q$503,194)),TEXT(INDEX('Providers'!$Q$4:$Q$503,194),"yyyy-mm-dd"),"")</f>
        <v/>
      </c>
      <c r="F2197">
        <f>"Insurance"</f>
        <v/>
      </c>
      <c r="G2197">
        <f>""</f>
        <v/>
      </c>
      <c r="H2197">
        <f>"High"</f>
        <v/>
      </c>
      <c r="I2197">
        <f>TRIM(IF(LEN(IF(LEN(INDEX('Providers'!$N$4:$N$503,194))=0,"",INDEX('Providers'!$N$4:$N$503,194)))=0,"","Carrier: "&amp;IF(LEN(INDEX('Providers'!$N$4:$N$503,194))=0,"",INDEX('Providers'!$N$4:$N$503,194))&amp;". ")&amp;IF(LEN(IF(LEN(INDEX('Providers'!$O$4:$O$503,194))=0,"",INDEX('Providers'!$O$4:$O$503,194)))=0,"","Policy no.: "&amp;IF(LEN(INDEX('Providers'!$O$4:$O$503,194))=0,"",INDEX('Providers'!$O$4:$O$503,194))&amp;". ")&amp;IF(LEN(IF(LEN(INDEX('Providers'!$P$4:$P$503,194))=0,"",INDEX('Providers'!$P$4:$P$503,194)))=0,"","Coverage form: "&amp;IF(LEN(INDEX('Providers'!$P$4:$P$503,194))=0,"",INDEX('Providers'!$P$4:$P$503,194))&amp;". "))</f>
        <v/>
      </c>
      <c r="J2197">
        <f>IF(LEN(INDEX('Providers'!$AJ$4:$AJ$503,194))=0,"",INDEX('Providers'!$AJ$4:$AJ$503,194))</f>
        <v/>
      </c>
      <c r="K2197">
        <f>IF(LEN(INDEX('Providers'!$AI$4:$AI$503,194))=0,"",INDEX('Providers'!$AI$4:$AI$503,194))</f>
        <v/>
      </c>
    </row>
    <row r="2198">
      <c r="A2198">
        <f>IF(AND(LEN('Providers'!A198)&gt;0,ISNUMBER('Providers'!Q198)),1,0)</f>
        <v/>
      </c>
      <c r="B2198">
        <f>B2197+A2198</f>
        <v/>
      </c>
      <c r="C2198">
        <f>IF(2195&gt;$B$4503,"",MATCH(2195-0.5,$B$3:$B$4503,1))</f>
        <v/>
      </c>
      <c r="D2198">
        <f>"Malpractice insurance – "&amp;IF(LEN(INDEX('Providers'!$A$4:$A$503,195))=0,"",INDEX('Providers'!$A$4:$A$503,195))</f>
        <v/>
      </c>
      <c r="E2198">
        <f>IF(ISNUMBER(INDEX('Providers'!$Q$4:$Q$503,195)),TEXT(INDEX('Providers'!$Q$4:$Q$503,195),"yyyy-mm-dd"),"")</f>
        <v/>
      </c>
      <c r="F2198">
        <f>"Insurance"</f>
        <v/>
      </c>
      <c r="G2198">
        <f>""</f>
        <v/>
      </c>
      <c r="H2198">
        <f>"High"</f>
        <v/>
      </c>
      <c r="I2198">
        <f>TRIM(IF(LEN(IF(LEN(INDEX('Providers'!$N$4:$N$503,195))=0,"",INDEX('Providers'!$N$4:$N$503,195)))=0,"","Carrier: "&amp;IF(LEN(INDEX('Providers'!$N$4:$N$503,195))=0,"",INDEX('Providers'!$N$4:$N$503,195))&amp;". ")&amp;IF(LEN(IF(LEN(INDEX('Providers'!$O$4:$O$503,195))=0,"",INDEX('Providers'!$O$4:$O$503,195)))=0,"","Policy no.: "&amp;IF(LEN(INDEX('Providers'!$O$4:$O$503,195))=0,"",INDEX('Providers'!$O$4:$O$503,195))&amp;". ")&amp;IF(LEN(IF(LEN(INDEX('Providers'!$P$4:$P$503,195))=0,"",INDEX('Providers'!$P$4:$P$503,195)))=0,"","Coverage form: "&amp;IF(LEN(INDEX('Providers'!$P$4:$P$503,195))=0,"",INDEX('Providers'!$P$4:$P$503,195))&amp;". "))</f>
        <v/>
      </c>
      <c r="J2198">
        <f>IF(LEN(INDEX('Providers'!$AJ$4:$AJ$503,195))=0,"",INDEX('Providers'!$AJ$4:$AJ$503,195))</f>
        <v/>
      </c>
      <c r="K2198">
        <f>IF(LEN(INDEX('Providers'!$AI$4:$AI$503,195))=0,"",INDEX('Providers'!$AI$4:$AI$503,195))</f>
        <v/>
      </c>
    </row>
    <row r="2199">
      <c r="A2199">
        <f>IF(AND(LEN('Providers'!A199)&gt;0,ISNUMBER('Providers'!Q199)),1,0)</f>
        <v/>
      </c>
      <c r="B2199">
        <f>B2198+A2199</f>
        <v/>
      </c>
      <c r="C2199">
        <f>IF(2196&gt;$B$4503,"",MATCH(2196-0.5,$B$3:$B$4503,1))</f>
        <v/>
      </c>
      <c r="D2199">
        <f>"Malpractice insurance – "&amp;IF(LEN(INDEX('Providers'!$A$4:$A$503,196))=0,"",INDEX('Providers'!$A$4:$A$503,196))</f>
        <v/>
      </c>
      <c r="E2199">
        <f>IF(ISNUMBER(INDEX('Providers'!$Q$4:$Q$503,196)),TEXT(INDEX('Providers'!$Q$4:$Q$503,196),"yyyy-mm-dd"),"")</f>
        <v/>
      </c>
      <c r="F2199">
        <f>"Insurance"</f>
        <v/>
      </c>
      <c r="G2199">
        <f>""</f>
        <v/>
      </c>
      <c r="H2199">
        <f>"High"</f>
        <v/>
      </c>
      <c r="I2199">
        <f>TRIM(IF(LEN(IF(LEN(INDEX('Providers'!$N$4:$N$503,196))=0,"",INDEX('Providers'!$N$4:$N$503,196)))=0,"","Carrier: "&amp;IF(LEN(INDEX('Providers'!$N$4:$N$503,196))=0,"",INDEX('Providers'!$N$4:$N$503,196))&amp;". ")&amp;IF(LEN(IF(LEN(INDEX('Providers'!$O$4:$O$503,196))=0,"",INDEX('Providers'!$O$4:$O$503,196)))=0,"","Policy no.: "&amp;IF(LEN(INDEX('Providers'!$O$4:$O$503,196))=0,"",INDEX('Providers'!$O$4:$O$503,196))&amp;". ")&amp;IF(LEN(IF(LEN(INDEX('Providers'!$P$4:$P$503,196))=0,"",INDEX('Providers'!$P$4:$P$503,196)))=0,"","Coverage form: "&amp;IF(LEN(INDEX('Providers'!$P$4:$P$503,196))=0,"",INDEX('Providers'!$P$4:$P$503,196))&amp;". "))</f>
        <v/>
      </c>
      <c r="J2199">
        <f>IF(LEN(INDEX('Providers'!$AJ$4:$AJ$503,196))=0,"",INDEX('Providers'!$AJ$4:$AJ$503,196))</f>
        <v/>
      </c>
      <c r="K2199">
        <f>IF(LEN(INDEX('Providers'!$AI$4:$AI$503,196))=0,"",INDEX('Providers'!$AI$4:$AI$503,196))</f>
        <v/>
      </c>
    </row>
    <row r="2200">
      <c r="A2200">
        <f>IF(AND(LEN('Providers'!A200)&gt;0,ISNUMBER('Providers'!Q200)),1,0)</f>
        <v/>
      </c>
      <c r="B2200">
        <f>B2199+A2200</f>
        <v/>
      </c>
      <c r="C2200">
        <f>IF(2197&gt;$B$4503,"",MATCH(2197-0.5,$B$3:$B$4503,1))</f>
        <v/>
      </c>
      <c r="D2200">
        <f>"Malpractice insurance – "&amp;IF(LEN(INDEX('Providers'!$A$4:$A$503,197))=0,"",INDEX('Providers'!$A$4:$A$503,197))</f>
        <v/>
      </c>
      <c r="E2200">
        <f>IF(ISNUMBER(INDEX('Providers'!$Q$4:$Q$503,197)),TEXT(INDEX('Providers'!$Q$4:$Q$503,197),"yyyy-mm-dd"),"")</f>
        <v/>
      </c>
      <c r="F2200">
        <f>"Insurance"</f>
        <v/>
      </c>
      <c r="G2200">
        <f>""</f>
        <v/>
      </c>
      <c r="H2200">
        <f>"High"</f>
        <v/>
      </c>
      <c r="I2200">
        <f>TRIM(IF(LEN(IF(LEN(INDEX('Providers'!$N$4:$N$503,197))=0,"",INDEX('Providers'!$N$4:$N$503,197)))=0,"","Carrier: "&amp;IF(LEN(INDEX('Providers'!$N$4:$N$503,197))=0,"",INDEX('Providers'!$N$4:$N$503,197))&amp;". ")&amp;IF(LEN(IF(LEN(INDEX('Providers'!$O$4:$O$503,197))=0,"",INDEX('Providers'!$O$4:$O$503,197)))=0,"","Policy no.: "&amp;IF(LEN(INDEX('Providers'!$O$4:$O$503,197))=0,"",INDEX('Providers'!$O$4:$O$503,197))&amp;". ")&amp;IF(LEN(IF(LEN(INDEX('Providers'!$P$4:$P$503,197))=0,"",INDEX('Providers'!$P$4:$P$503,197)))=0,"","Coverage form: "&amp;IF(LEN(INDEX('Providers'!$P$4:$P$503,197))=0,"",INDEX('Providers'!$P$4:$P$503,197))&amp;". "))</f>
        <v/>
      </c>
      <c r="J2200">
        <f>IF(LEN(INDEX('Providers'!$AJ$4:$AJ$503,197))=0,"",INDEX('Providers'!$AJ$4:$AJ$503,197))</f>
        <v/>
      </c>
      <c r="K2200">
        <f>IF(LEN(INDEX('Providers'!$AI$4:$AI$503,197))=0,"",INDEX('Providers'!$AI$4:$AI$503,197))</f>
        <v/>
      </c>
    </row>
    <row r="2201">
      <c r="A2201">
        <f>IF(AND(LEN('Providers'!A201)&gt;0,ISNUMBER('Providers'!Q201)),1,0)</f>
        <v/>
      </c>
      <c r="B2201">
        <f>B2200+A2201</f>
        <v/>
      </c>
      <c r="C2201">
        <f>IF(2198&gt;$B$4503,"",MATCH(2198-0.5,$B$3:$B$4503,1))</f>
        <v/>
      </c>
      <c r="D2201">
        <f>"Malpractice insurance – "&amp;IF(LEN(INDEX('Providers'!$A$4:$A$503,198))=0,"",INDEX('Providers'!$A$4:$A$503,198))</f>
        <v/>
      </c>
      <c r="E2201">
        <f>IF(ISNUMBER(INDEX('Providers'!$Q$4:$Q$503,198)),TEXT(INDEX('Providers'!$Q$4:$Q$503,198),"yyyy-mm-dd"),"")</f>
        <v/>
      </c>
      <c r="F2201">
        <f>"Insurance"</f>
        <v/>
      </c>
      <c r="G2201">
        <f>""</f>
        <v/>
      </c>
      <c r="H2201">
        <f>"High"</f>
        <v/>
      </c>
      <c r="I2201">
        <f>TRIM(IF(LEN(IF(LEN(INDEX('Providers'!$N$4:$N$503,198))=0,"",INDEX('Providers'!$N$4:$N$503,198)))=0,"","Carrier: "&amp;IF(LEN(INDEX('Providers'!$N$4:$N$503,198))=0,"",INDEX('Providers'!$N$4:$N$503,198))&amp;". ")&amp;IF(LEN(IF(LEN(INDEX('Providers'!$O$4:$O$503,198))=0,"",INDEX('Providers'!$O$4:$O$503,198)))=0,"","Policy no.: "&amp;IF(LEN(INDEX('Providers'!$O$4:$O$503,198))=0,"",INDEX('Providers'!$O$4:$O$503,198))&amp;". ")&amp;IF(LEN(IF(LEN(INDEX('Providers'!$P$4:$P$503,198))=0,"",INDEX('Providers'!$P$4:$P$503,198)))=0,"","Coverage form: "&amp;IF(LEN(INDEX('Providers'!$P$4:$P$503,198))=0,"",INDEX('Providers'!$P$4:$P$503,198))&amp;". "))</f>
        <v/>
      </c>
      <c r="J2201">
        <f>IF(LEN(INDEX('Providers'!$AJ$4:$AJ$503,198))=0,"",INDEX('Providers'!$AJ$4:$AJ$503,198))</f>
        <v/>
      </c>
      <c r="K2201">
        <f>IF(LEN(INDEX('Providers'!$AI$4:$AI$503,198))=0,"",INDEX('Providers'!$AI$4:$AI$503,198))</f>
        <v/>
      </c>
    </row>
    <row r="2202">
      <c r="A2202">
        <f>IF(AND(LEN('Providers'!A202)&gt;0,ISNUMBER('Providers'!Q202)),1,0)</f>
        <v/>
      </c>
      <c r="B2202">
        <f>B2201+A2202</f>
        <v/>
      </c>
      <c r="C2202">
        <f>IF(2199&gt;$B$4503,"",MATCH(2199-0.5,$B$3:$B$4503,1))</f>
        <v/>
      </c>
      <c r="D2202">
        <f>"Malpractice insurance – "&amp;IF(LEN(INDEX('Providers'!$A$4:$A$503,199))=0,"",INDEX('Providers'!$A$4:$A$503,199))</f>
        <v/>
      </c>
      <c r="E2202">
        <f>IF(ISNUMBER(INDEX('Providers'!$Q$4:$Q$503,199)),TEXT(INDEX('Providers'!$Q$4:$Q$503,199),"yyyy-mm-dd"),"")</f>
        <v/>
      </c>
      <c r="F2202">
        <f>"Insurance"</f>
        <v/>
      </c>
      <c r="G2202">
        <f>""</f>
        <v/>
      </c>
      <c r="H2202">
        <f>"High"</f>
        <v/>
      </c>
      <c r="I2202">
        <f>TRIM(IF(LEN(IF(LEN(INDEX('Providers'!$N$4:$N$503,199))=0,"",INDEX('Providers'!$N$4:$N$503,199)))=0,"","Carrier: "&amp;IF(LEN(INDEX('Providers'!$N$4:$N$503,199))=0,"",INDEX('Providers'!$N$4:$N$503,199))&amp;". ")&amp;IF(LEN(IF(LEN(INDEX('Providers'!$O$4:$O$503,199))=0,"",INDEX('Providers'!$O$4:$O$503,199)))=0,"","Policy no.: "&amp;IF(LEN(INDEX('Providers'!$O$4:$O$503,199))=0,"",INDEX('Providers'!$O$4:$O$503,199))&amp;". ")&amp;IF(LEN(IF(LEN(INDEX('Providers'!$P$4:$P$503,199))=0,"",INDEX('Providers'!$P$4:$P$503,199)))=0,"","Coverage form: "&amp;IF(LEN(INDEX('Providers'!$P$4:$P$503,199))=0,"",INDEX('Providers'!$P$4:$P$503,199))&amp;". "))</f>
        <v/>
      </c>
      <c r="J2202">
        <f>IF(LEN(INDEX('Providers'!$AJ$4:$AJ$503,199))=0,"",INDEX('Providers'!$AJ$4:$AJ$503,199))</f>
        <v/>
      </c>
      <c r="K2202">
        <f>IF(LEN(INDEX('Providers'!$AI$4:$AI$503,199))=0,"",INDEX('Providers'!$AI$4:$AI$503,199))</f>
        <v/>
      </c>
    </row>
    <row r="2203">
      <c r="A2203">
        <f>IF(AND(LEN('Providers'!A203)&gt;0,ISNUMBER('Providers'!Q203)),1,0)</f>
        <v/>
      </c>
      <c r="B2203">
        <f>B2202+A2203</f>
        <v/>
      </c>
      <c r="C2203">
        <f>IF(2200&gt;$B$4503,"",MATCH(2200-0.5,$B$3:$B$4503,1))</f>
        <v/>
      </c>
      <c r="D2203">
        <f>"Malpractice insurance – "&amp;IF(LEN(INDEX('Providers'!$A$4:$A$503,200))=0,"",INDEX('Providers'!$A$4:$A$503,200))</f>
        <v/>
      </c>
      <c r="E2203">
        <f>IF(ISNUMBER(INDEX('Providers'!$Q$4:$Q$503,200)),TEXT(INDEX('Providers'!$Q$4:$Q$503,200),"yyyy-mm-dd"),"")</f>
        <v/>
      </c>
      <c r="F2203">
        <f>"Insurance"</f>
        <v/>
      </c>
      <c r="G2203">
        <f>""</f>
        <v/>
      </c>
      <c r="H2203">
        <f>"High"</f>
        <v/>
      </c>
      <c r="I2203">
        <f>TRIM(IF(LEN(IF(LEN(INDEX('Providers'!$N$4:$N$503,200))=0,"",INDEX('Providers'!$N$4:$N$503,200)))=0,"","Carrier: "&amp;IF(LEN(INDEX('Providers'!$N$4:$N$503,200))=0,"",INDEX('Providers'!$N$4:$N$503,200))&amp;". ")&amp;IF(LEN(IF(LEN(INDEX('Providers'!$O$4:$O$503,200))=0,"",INDEX('Providers'!$O$4:$O$503,200)))=0,"","Policy no.: "&amp;IF(LEN(INDEX('Providers'!$O$4:$O$503,200))=0,"",INDEX('Providers'!$O$4:$O$503,200))&amp;". ")&amp;IF(LEN(IF(LEN(INDEX('Providers'!$P$4:$P$503,200))=0,"",INDEX('Providers'!$P$4:$P$503,200)))=0,"","Coverage form: "&amp;IF(LEN(INDEX('Providers'!$P$4:$P$503,200))=0,"",INDEX('Providers'!$P$4:$P$503,200))&amp;". "))</f>
        <v/>
      </c>
      <c r="J2203">
        <f>IF(LEN(INDEX('Providers'!$AJ$4:$AJ$503,200))=0,"",INDEX('Providers'!$AJ$4:$AJ$503,200))</f>
        <v/>
      </c>
      <c r="K2203">
        <f>IF(LEN(INDEX('Providers'!$AI$4:$AI$503,200))=0,"",INDEX('Providers'!$AI$4:$AI$503,200))</f>
        <v/>
      </c>
    </row>
    <row r="2204">
      <c r="A2204">
        <f>IF(AND(LEN('Providers'!A204)&gt;0,ISNUMBER('Providers'!Q204)),1,0)</f>
        <v/>
      </c>
      <c r="B2204">
        <f>B2203+A2204</f>
        <v/>
      </c>
      <c r="C2204">
        <f>IF(2201&gt;$B$4503,"",MATCH(2201-0.5,$B$3:$B$4503,1))</f>
        <v/>
      </c>
      <c r="D2204">
        <f>"Malpractice insurance – "&amp;IF(LEN(INDEX('Providers'!$A$4:$A$503,201))=0,"",INDEX('Providers'!$A$4:$A$503,201))</f>
        <v/>
      </c>
      <c r="E2204">
        <f>IF(ISNUMBER(INDEX('Providers'!$Q$4:$Q$503,201)),TEXT(INDEX('Providers'!$Q$4:$Q$503,201),"yyyy-mm-dd"),"")</f>
        <v/>
      </c>
      <c r="F2204">
        <f>"Insurance"</f>
        <v/>
      </c>
      <c r="G2204">
        <f>""</f>
        <v/>
      </c>
      <c r="H2204">
        <f>"High"</f>
        <v/>
      </c>
      <c r="I2204">
        <f>TRIM(IF(LEN(IF(LEN(INDEX('Providers'!$N$4:$N$503,201))=0,"",INDEX('Providers'!$N$4:$N$503,201)))=0,"","Carrier: "&amp;IF(LEN(INDEX('Providers'!$N$4:$N$503,201))=0,"",INDEX('Providers'!$N$4:$N$503,201))&amp;". ")&amp;IF(LEN(IF(LEN(INDEX('Providers'!$O$4:$O$503,201))=0,"",INDEX('Providers'!$O$4:$O$503,201)))=0,"","Policy no.: "&amp;IF(LEN(INDEX('Providers'!$O$4:$O$503,201))=0,"",INDEX('Providers'!$O$4:$O$503,201))&amp;". ")&amp;IF(LEN(IF(LEN(INDEX('Providers'!$P$4:$P$503,201))=0,"",INDEX('Providers'!$P$4:$P$503,201)))=0,"","Coverage form: "&amp;IF(LEN(INDEX('Providers'!$P$4:$P$503,201))=0,"",INDEX('Providers'!$P$4:$P$503,201))&amp;". "))</f>
        <v/>
      </c>
      <c r="J2204">
        <f>IF(LEN(INDEX('Providers'!$AJ$4:$AJ$503,201))=0,"",INDEX('Providers'!$AJ$4:$AJ$503,201))</f>
        <v/>
      </c>
      <c r="K2204">
        <f>IF(LEN(INDEX('Providers'!$AI$4:$AI$503,201))=0,"",INDEX('Providers'!$AI$4:$AI$503,201))</f>
        <v/>
      </c>
    </row>
    <row r="2205">
      <c r="A2205">
        <f>IF(AND(LEN('Providers'!A205)&gt;0,ISNUMBER('Providers'!Q205)),1,0)</f>
        <v/>
      </c>
      <c r="B2205">
        <f>B2204+A2205</f>
        <v/>
      </c>
      <c r="C2205">
        <f>IF(2202&gt;$B$4503,"",MATCH(2202-0.5,$B$3:$B$4503,1))</f>
        <v/>
      </c>
      <c r="D2205">
        <f>"Malpractice insurance – "&amp;IF(LEN(INDEX('Providers'!$A$4:$A$503,202))=0,"",INDEX('Providers'!$A$4:$A$503,202))</f>
        <v/>
      </c>
      <c r="E2205">
        <f>IF(ISNUMBER(INDEX('Providers'!$Q$4:$Q$503,202)),TEXT(INDEX('Providers'!$Q$4:$Q$503,202),"yyyy-mm-dd"),"")</f>
        <v/>
      </c>
      <c r="F2205">
        <f>"Insurance"</f>
        <v/>
      </c>
      <c r="G2205">
        <f>""</f>
        <v/>
      </c>
      <c r="H2205">
        <f>"High"</f>
        <v/>
      </c>
      <c r="I2205">
        <f>TRIM(IF(LEN(IF(LEN(INDEX('Providers'!$N$4:$N$503,202))=0,"",INDEX('Providers'!$N$4:$N$503,202)))=0,"","Carrier: "&amp;IF(LEN(INDEX('Providers'!$N$4:$N$503,202))=0,"",INDEX('Providers'!$N$4:$N$503,202))&amp;". ")&amp;IF(LEN(IF(LEN(INDEX('Providers'!$O$4:$O$503,202))=0,"",INDEX('Providers'!$O$4:$O$503,202)))=0,"","Policy no.: "&amp;IF(LEN(INDEX('Providers'!$O$4:$O$503,202))=0,"",INDEX('Providers'!$O$4:$O$503,202))&amp;". ")&amp;IF(LEN(IF(LEN(INDEX('Providers'!$P$4:$P$503,202))=0,"",INDEX('Providers'!$P$4:$P$503,202)))=0,"","Coverage form: "&amp;IF(LEN(INDEX('Providers'!$P$4:$P$503,202))=0,"",INDEX('Providers'!$P$4:$P$503,202))&amp;". "))</f>
        <v/>
      </c>
      <c r="J2205">
        <f>IF(LEN(INDEX('Providers'!$AJ$4:$AJ$503,202))=0,"",INDEX('Providers'!$AJ$4:$AJ$503,202))</f>
        <v/>
      </c>
      <c r="K2205">
        <f>IF(LEN(INDEX('Providers'!$AI$4:$AI$503,202))=0,"",INDEX('Providers'!$AI$4:$AI$503,202))</f>
        <v/>
      </c>
    </row>
    <row r="2206">
      <c r="A2206">
        <f>IF(AND(LEN('Providers'!A206)&gt;0,ISNUMBER('Providers'!Q206)),1,0)</f>
        <v/>
      </c>
      <c r="B2206">
        <f>B2205+A2206</f>
        <v/>
      </c>
      <c r="C2206">
        <f>IF(2203&gt;$B$4503,"",MATCH(2203-0.5,$B$3:$B$4503,1))</f>
        <v/>
      </c>
      <c r="D2206">
        <f>"Malpractice insurance – "&amp;IF(LEN(INDEX('Providers'!$A$4:$A$503,203))=0,"",INDEX('Providers'!$A$4:$A$503,203))</f>
        <v/>
      </c>
      <c r="E2206">
        <f>IF(ISNUMBER(INDEX('Providers'!$Q$4:$Q$503,203)),TEXT(INDEX('Providers'!$Q$4:$Q$503,203),"yyyy-mm-dd"),"")</f>
        <v/>
      </c>
      <c r="F2206">
        <f>"Insurance"</f>
        <v/>
      </c>
      <c r="G2206">
        <f>""</f>
        <v/>
      </c>
      <c r="H2206">
        <f>"High"</f>
        <v/>
      </c>
      <c r="I2206">
        <f>TRIM(IF(LEN(IF(LEN(INDEX('Providers'!$N$4:$N$503,203))=0,"",INDEX('Providers'!$N$4:$N$503,203)))=0,"","Carrier: "&amp;IF(LEN(INDEX('Providers'!$N$4:$N$503,203))=0,"",INDEX('Providers'!$N$4:$N$503,203))&amp;". ")&amp;IF(LEN(IF(LEN(INDEX('Providers'!$O$4:$O$503,203))=0,"",INDEX('Providers'!$O$4:$O$503,203)))=0,"","Policy no.: "&amp;IF(LEN(INDEX('Providers'!$O$4:$O$503,203))=0,"",INDEX('Providers'!$O$4:$O$503,203))&amp;". ")&amp;IF(LEN(IF(LEN(INDEX('Providers'!$P$4:$P$503,203))=0,"",INDEX('Providers'!$P$4:$P$503,203)))=0,"","Coverage form: "&amp;IF(LEN(INDEX('Providers'!$P$4:$P$503,203))=0,"",INDEX('Providers'!$P$4:$P$503,203))&amp;". "))</f>
        <v/>
      </c>
      <c r="J2206">
        <f>IF(LEN(INDEX('Providers'!$AJ$4:$AJ$503,203))=0,"",INDEX('Providers'!$AJ$4:$AJ$503,203))</f>
        <v/>
      </c>
      <c r="K2206">
        <f>IF(LEN(INDEX('Providers'!$AI$4:$AI$503,203))=0,"",INDEX('Providers'!$AI$4:$AI$503,203))</f>
        <v/>
      </c>
    </row>
    <row r="2207">
      <c r="A2207">
        <f>IF(AND(LEN('Providers'!A207)&gt;0,ISNUMBER('Providers'!Q207)),1,0)</f>
        <v/>
      </c>
      <c r="B2207">
        <f>B2206+A2207</f>
        <v/>
      </c>
      <c r="C2207">
        <f>IF(2204&gt;$B$4503,"",MATCH(2204-0.5,$B$3:$B$4503,1))</f>
        <v/>
      </c>
      <c r="D2207">
        <f>"Malpractice insurance – "&amp;IF(LEN(INDEX('Providers'!$A$4:$A$503,204))=0,"",INDEX('Providers'!$A$4:$A$503,204))</f>
        <v/>
      </c>
      <c r="E2207">
        <f>IF(ISNUMBER(INDEX('Providers'!$Q$4:$Q$503,204)),TEXT(INDEX('Providers'!$Q$4:$Q$503,204),"yyyy-mm-dd"),"")</f>
        <v/>
      </c>
      <c r="F2207">
        <f>"Insurance"</f>
        <v/>
      </c>
      <c r="G2207">
        <f>""</f>
        <v/>
      </c>
      <c r="H2207">
        <f>"High"</f>
        <v/>
      </c>
      <c r="I2207">
        <f>TRIM(IF(LEN(IF(LEN(INDEX('Providers'!$N$4:$N$503,204))=0,"",INDEX('Providers'!$N$4:$N$503,204)))=0,"","Carrier: "&amp;IF(LEN(INDEX('Providers'!$N$4:$N$503,204))=0,"",INDEX('Providers'!$N$4:$N$503,204))&amp;". ")&amp;IF(LEN(IF(LEN(INDEX('Providers'!$O$4:$O$503,204))=0,"",INDEX('Providers'!$O$4:$O$503,204)))=0,"","Policy no.: "&amp;IF(LEN(INDEX('Providers'!$O$4:$O$503,204))=0,"",INDEX('Providers'!$O$4:$O$503,204))&amp;". ")&amp;IF(LEN(IF(LEN(INDEX('Providers'!$P$4:$P$503,204))=0,"",INDEX('Providers'!$P$4:$P$503,204)))=0,"","Coverage form: "&amp;IF(LEN(INDEX('Providers'!$P$4:$P$503,204))=0,"",INDEX('Providers'!$P$4:$P$503,204))&amp;". "))</f>
        <v/>
      </c>
      <c r="J2207">
        <f>IF(LEN(INDEX('Providers'!$AJ$4:$AJ$503,204))=0,"",INDEX('Providers'!$AJ$4:$AJ$503,204))</f>
        <v/>
      </c>
      <c r="K2207">
        <f>IF(LEN(INDEX('Providers'!$AI$4:$AI$503,204))=0,"",INDEX('Providers'!$AI$4:$AI$503,204))</f>
        <v/>
      </c>
    </row>
    <row r="2208">
      <c r="A2208">
        <f>IF(AND(LEN('Providers'!A208)&gt;0,ISNUMBER('Providers'!Q208)),1,0)</f>
        <v/>
      </c>
      <c r="B2208">
        <f>B2207+A2208</f>
        <v/>
      </c>
      <c r="C2208">
        <f>IF(2205&gt;$B$4503,"",MATCH(2205-0.5,$B$3:$B$4503,1))</f>
        <v/>
      </c>
      <c r="D2208">
        <f>"Malpractice insurance – "&amp;IF(LEN(INDEX('Providers'!$A$4:$A$503,205))=0,"",INDEX('Providers'!$A$4:$A$503,205))</f>
        <v/>
      </c>
      <c r="E2208">
        <f>IF(ISNUMBER(INDEX('Providers'!$Q$4:$Q$503,205)),TEXT(INDEX('Providers'!$Q$4:$Q$503,205),"yyyy-mm-dd"),"")</f>
        <v/>
      </c>
      <c r="F2208">
        <f>"Insurance"</f>
        <v/>
      </c>
      <c r="G2208">
        <f>""</f>
        <v/>
      </c>
      <c r="H2208">
        <f>"High"</f>
        <v/>
      </c>
      <c r="I2208">
        <f>TRIM(IF(LEN(IF(LEN(INDEX('Providers'!$N$4:$N$503,205))=0,"",INDEX('Providers'!$N$4:$N$503,205)))=0,"","Carrier: "&amp;IF(LEN(INDEX('Providers'!$N$4:$N$503,205))=0,"",INDEX('Providers'!$N$4:$N$503,205))&amp;". ")&amp;IF(LEN(IF(LEN(INDEX('Providers'!$O$4:$O$503,205))=0,"",INDEX('Providers'!$O$4:$O$503,205)))=0,"","Policy no.: "&amp;IF(LEN(INDEX('Providers'!$O$4:$O$503,205))=0,"",INDEX('Providers'!$O$4:$O$503,205))&amp;". ")&amp;IF(LEN(IF(LEN(INDEX('Providers'!$P$4:$P$503,205))=0,"",INDEX('Providers'!$P$4:$P$503,205)))=0,"","Coverage form: "&amp;IF(LEN(INDEX('Providers'!$P$4:$P$503,205))=0,"",INDEX('Providers'!$P$4:$P$503,205))&amp;". "))</f>
        <v/>
      </c>
      <c r="J2208">
        <f>IF(LEN(INDEX('Providers'!$AJ$4:$AJ$503,205))=0,"",INDEX('Providers'!$AJ$4:$AJ$503,205))</f>
        <v/>
      </c>
      <c r="K2208">
        <f>IF(LEN(INDEX('Providers'!$AI$4:$AI$503,205))=0,"",INDEX('Providers'!$AI$4:$AI$503,205))</f>
        <v/>
      </c>
    </row>
    <row r="2209">
      <c r="A2209">
        <f>IF(AND(LEN('Providers'!A209)&gt;0,ISNUMBER('Providers'!Q209)),1,0)</f>
        <v/>
      </c>
      <c r="B2209">
        <f>B2208+A2209</f>
        <v/>
      </c>
      <c r="C2209">
        <f>IF(2206&gt;$B$4503,"",MATCH(2206-0.5,$B$3:$B$4503,1))</f>
        <v/>
      </c>
      <c r="D2209">
        <f>"Malpractice insurance – "&amp;IF(LEN(INDEX('Providers'!$A$4:$A$503,206))=0,"",INDEX('Providers'!$A$4:$A$503,206))</f>
        <v/>
      </c>
      <c r="E2209">
        <f>IF(ISNUMBER(INDEX('Providers'!$Q$4:$Q$503,206)),TEXT(INDEX('Providers'!$Q$4:$Q$503,206),"yyyy-mm-dd"),"")</f>
        <v/>
      </c>
      <c r="F2209">
        <f>"Insurance"</f>
        <v/>
      </c>
      <c r="G2209">
        <f>""</f>
        <v/>
      </c>
      <c r="H2209">
        <f>"High"</f>
        <v/>
      </c>
      <c r="I2209">
        <f>TRIM(IF(LEN(IF(LEN(INDEX('Providers'!$N$4:$N$503,206))=0,"",INDEX('Providers'!$N$4:$N$503,206)))=0,"","Carrier: "&amp;IF(LEN(INDEX('Providers'!$N$4:$N$503,206))=0,"",INDEX('Providers'!$N$4:$N$503,206))&amp;". ")&amp;IF(LEN(IF(LEN(INDEX('Providers'!$O$4:$O$503,206))=0,"",INDEX('Providers'!$O$4:$O$503,206)))=0,"","Policy no.: "&amp;IF(LEN(INDEX('Providers'!$O$4:$O$503,206))=0,"",INDEX('Providers'!$O$4:$O$503,206))&amp;". ")&amp;IF(LEN(IF(LEN(INDEX('Providers'!$P$4:$P$503,206))=0,"",INDEX('Providers'!$P$4:$P$503,206)))=0,"","Coverage form: "&amp;IF(LEN(INDEX('Providers'!$P$4:$P$503,206))=0,"",INDEX('Providers'!$P$4:$P$503,206))&amp;". "))</f>
        <v/>
      </c>
      <c r="J2209">
        <f>IF(LEN(INDEX('Providers'!$AJ$4:$AJ$503,206))=0,"",INDEX('Providers'!$AJ$4:$AJ$503,206))</f>
        <v/>
      </c>
      <c r="K2209">
        <f>IF(LEN(INDEX('Providers'!$AI$4:$AI$503,206))=0,"",INDEX('Providers'!$AI$4:$AI$503,206))</f>
        <v/>
      </c>
    </row>
    <row r="2210">
      <c r="A2210">
        <f>IF(AND(LEN('Providers'!A210)&gt;0,ISNUMBER('Providers'!Q210)),1,0)</f>
        <v/>
      </c>
      <c r="B2210">
        <f>B2209+A2210</f>
        <v/>
      </c>
      <c r="C2210">
        <f>IF(2207&gt;$B$4503,"",MATCH(2207-0.5,$B$3:$B$4503,1))</f>
        <v/>
      </c>
      <c r="D2210">
        <f>"Malpractice insurance – "&amp;IF(LEN(INDEX('Providers'!$A$4:$A$503,207))=0,"",INDEX('Providers'!$A$4:$A$503,207))</f>
        <v/>
      </c>
      <c r="E2210">
        <f>IF(ISNUMBER(INDEX('Providers'!$Q$4:$Q$503,207)),TEXT(INDEX('Providers'!$Q$4:$Q$503,207),"yyyy-mm-dd"),"")</f>
        <v/>
      </c>
      <c r="F2210">
        <f>"Insurance"</f>
        <v/>
      </c>
      <c r="G2210">
        <f>""</f>
        <v/>
      </c>
      <c r="H2210">
        <f>"High"</f>
        <v/>
      </c>
      <c r="I2210">
        <f>TRIM(IF(LEN(IF(LEN(INDEX('Providers'!$N$4:$N$503,207))=0,"",INDEX('Providers'!$N$4:$N$503,207)))=0,"","Carrier: "&amp;IF(LEN(INDEX('Providers'!$N$4:$N$503,207))=0,"",INDEX('Providers'!$N$4:$N$503,207))&amp;". ")&amp;IF(LEN(IF(LEN(INDEX('Providers'!$O$4:$O$503,207))=0,"",INDEX('Providers'!$O$4:$O$503,207)))=0,"","Policy no.: "&amp;IF(LEN(INDEX('Providers'!$O$4:$O$503,207))=0,"",INDEX('Providers'!$O$4:$O$503,207))&amp;". ")&amp;IF(LEN(IF(LEN(INDEX('Providers'!$P$4:$P$503,207))=0,"",INDEX('Providers'!$P$4:$P$503,207)))=0,"","Coverage form: "&amp;IF(LEN(INDEX('Providers'!$P$4:$P$503,207))=0,"",INDEX('Providers'!$P$4:$P$503,207))&amp;". "))</f>
        <v/>
      </c>
      <c r="J2210">
        <f>IF(LEN(INDEX('Providers'!$AJ$4:$AJ$503,207))=0,"",INDEX('Providers'!$AJ$4:$AJ$503,207))</f>
        <v/>
      </c>
      <c r="K2210">
        <f>IF(LEN(INDEX('Providers'!$AI$4:$AI$503,207))=0,"",INDEX('Providers'!$AI$4:$AI$503,207))</f>
        <v/>
      </c>
    </row>
    <row r="2211">
      <c r="A2211">
        <f>IF(AND(LEN('Providers'!A211)&gt;0,ISNUMBER('Providers'!Q211)),1,0)</f>
        <v/>
      </c>
      <c r="B2211">
        <f>B2210+A2211</f>
        <v/>
      </c>
      <c r="C2211">
        <f>IF(2208&gt;$B$4503,"",MATCH(2208-0.5,$B$3:$B$4503,1))</f>
        <v/>
      </c>
      <c r="D2211">
        <f>"Malpractice insurance – "&amp;IF(LEN(INDEX('Providers'!$A$4:$A$503,208))=0,"",INDEX('Providers'!$A$4:$A$503,208))</f>
        <v/>
      </c>
      <c r="E2211">
        <f>IF(ISNUMBER(INDEX('Providers'!$Q$4:$Q$503,208)),TEXT(INDEX('Providers'!$Q$4:$Q$503,208),"yyyy-mm-dd"),"")</f>
        <v/>
      </c>
      <c r="F2211">
        <f>"Insurance"</f>
        <v/>
      </c>
      <c r="G2211">
        <f>""</f>
        <v/>
      </c>
      <c r="H2211">
        <f>"High"</f>
        <v/>
      </c>
      <c r="I2211">
        <f>TRIM(IF(LEN(IF(LEN(INDEX('Providers'!$N$4:$N$503,208))=0,"",INDEX('Providers'!$N$4:$N$503,208)))=0,"","Carrier: "&amp;IF(LEN(INDEX('Providers'!$N$4:$N$503,208))=0,"",INDEX('Providers'!$N$4:$N$503,208))&amp;". ")&amp;IF(LEN(IF(LEN(INDEX('Providers'!$O$4:$O$503,208))=0,"",INDEX('Providers'!$O$4:$O$503,208)))=0,"","Policy no.: "&amp;IF(LEN(INDEX('Providers'!$O$4:$O$503,208))=0,"",INDEX('Providers'!$O$4:$O$503,208))&amp;". ")&amp;IF(LEN(IF(LEN(INDEX('Providers'!$P$4:$P$503,208))=0,"",INDEX('Providers'!$P$4:$P$503,208)))=0,"","Coverage form: "&amp;IF(LEN(INDEX('Providers'!$P$4:$P$503,208))=0,"",INDEX('Providers'!$P$4:$P$503,208))&amp;". "))</f>
        <v/>
      </c>
      <c r="J2211">
        <f>IF(LEN(INDEX('Providers'!$AJ$4:$AJ$503,208))=0,"",INDEX('Providers'!$AJ$4:$AJ$503,208))</f>
        <v/>
      </c>
      <c r="K2211">
        <f>IF(LEN(INDEX('Providers'!$AI$4:$AI$503,208))=0,"",INDEX('Providers'!$AI$4:$AI$503,208))</f>
        <v/>
      </c>
    </row>
    <row r="2212">
      <c r="A2212">
        <f>IF(AND(LEN('Providers'!A212)&gt;0,ISNUMBER('Providers'!Q212)),1,0)</f>
        <v/>
      </c>
      <c r="B2212">
        <f>B2211+A2212</f>
        <v/>
      </c>
      <c r="C2212">
        <f>IF(2209&gt;$B$4503,"",MATCH(2209-0.5,$B$3:$B$4503,1))</f>
        <v/>
      </c>
      <c r="D2212">
        <f>"Malpractice insurance – "&amp;IF(LEN(INDEX('Providers'!$A$4:$A$503,209))=0,"",INDEX('Providers'!$A$4:$A$503,209))</f>
        <v/>
      </c>
      <c r="E2212">
        <f>IF(ISNUMBER(INDEX('Providers'!$Q$4:$Q$503,209)),TEXT(INDEX('Providers'!$Q$4:$Q$503,209),"yyyy-mm-dd"),"")</f>
        <v/>
      </c>
      <c r="F2212">
        <f>"Insurance"</f>
        <v/>
      </c>
      <c r="G2212">
        <f>""</f>
        <v/>
      </c>
      <c r="H2212">
        <f>"High"</f>
        <v/>
      </c>
      <c r="I2212">
        <f>TRIM(IF(LEN(IF(LEN(INDEX('Providers'!$N$4:$N$503,209))=0,"",INDEX('Providers'!$N$4:$N$503,209)))=0,"","Carrier: "&amp;IF(LEN(INDEX('Providers'!$N$4:$N$503,209))=0,"",INDEX('Providers'!$N$4:$N$503,209))&amp;". ")&amp;IF(LEN(IF(LEN(INDEX('Providers'!$O$4:$O$503,209))=0,"",INDEX('Providers'!$O$4:$O$503,209)))=0,"","Policy no.: "&amp;IF(LEN(INDEX('Providers'!$O$4:$O$503,209))=0,"",INDEX('Providers'!$O$4:$O$503,209))&amp;". ")&amp;IF(LEN(IF(LEN(INDEX('Providers'!$P$4:$P$503,209))=0,"",INDEX('Providers'!$P$4:$P$503,209)))=0,"","Coverage form: "&amp;IF(LEN(INDEX('Providers'!$P$4:$P$503,209))=0,"",INDEX('Providers'!$P$4:$P$503,209))&amp;". "))</f>
        <v/>
      </c>
      <c r="J2212">
        <f>IF(LEN(INDEX('Providers'!$AJ$4:$AJ$503,209))=0,"",INDEX('Providers'!$AJ$4:$AJ$503,209))</f>
        <v/>
      </c>
      <c r="K2212">
        <f>IF(LEN(INDEX('Providers'!$AI$4:$AI$503,209))=0,"",INDEX('Providers'!$AI$4:$AI$503,209))</f>
        <v/>
      </c>
    </row>
    <row r="2213">
      <c r="A2213">
        <f>IF(AND(LEN('Providers'!A213)&gt;0,ISNUMBER('Providers'!Q213)),1,0)</f>
        <v/>
      </c>
      <c r="B2213">
        <f>B2212+A2213</f>
        <v/>
      </c>
      <c r="C2213">
        <f>IF(2210&gt;$B$4503,"",MATCH(2210-0.5,$B$3:$B$4503,1))</f>
        <v/>
      </c>
      <c r="D2213">
        <f>"Malpractice insurance – "&amp;IF(LEN(INDEX('Providers'!$A$4:$A$503,210))=0,"",INDEX('Providers'!$A$4:$A$503,210))</f>
        <v/>
      </c>
      <c r="E2213">
        <f>IF(ISNUMBER(INDEX('Providers'!$Q$4:$Q$503,210)),TEXT(INDEX('Providers'!$Q$4:$Q$503,210),"yyyy-mm-dd"),"")</f>
        <v/>
      </c>
      <c r="F2213">
        <f>"Insurance"</f>
        <v/>
      </c>
      <c r="G2213">
        <f>""</f>
        <v/>
      </c>
      <c r="H2213">
        <f>"High"</f>
        <v/>
      </c>
      <c r="I2213">
        <f>TRIM(IF(LEN(IF(LEN(INDEX('Providers'!$N$4:$N$503,210))=0,"",INDEX('Providers'!$N$4:$N$503,210)))=0,"","Carrier: "&amp;IF(LEN(INDEX('Providers'!$N$4:$N$503,210))=0,"",INDEX('Providers'!$N$4:$N$503,210))&amp;". ")&amp;IF(LEN(IF(LEN(INDEX('Providers'!$O$4:$O$503,210))=0,"",INDEX('Providers'!$O$4:$O$503,210)))=0,"","Policy no.: "&amp;IF(LEN(INDEX('Providers'!$O$4:$O$503,210))=0,"",INDEX('Providers'!$O$4:$O$503,210))&amp;". ")&amp;IF(LEN(IF(LEN(INDEX('Providers'!$P$4:$P$503,210))=0,"",INDEX('Providers'!$P$4:$P$503,210)))=0,"","Coverage form: "&amp;IF(LEN(INDEX('Providers'!$P$4:$P$503,210))=0,"",INDEX('Providers'!$P$4:$P$503,210))&amp;". "))</f>
        <v/>
      </c>
      <c r="J2213">
        <f>IF(LEN(INDEX('Providers'!$AJ$4:$AJ$503,210))=0,"",INDEX('Providers'!$AJ$4:$AJ$503,210))</f>
        <v/>
      </c>
      <c r="K2213">
        <f>IF(LEN(INDEX('Providers'!$AI$4:$AI$503,210))=0,"",INDEX('Providers'!$AI$4:$AI$503,210))</f>
        <v/>
      </c>
    </row>
    <row r="2214">
      <c r="A2214">
        <f>IF(AND(LEN('Providers'!A214)&gt;0,ISNUMBER('Providers'!Q214)),1,0)</f>
        <v/>
      </c>
      <c r="B2214">
        <f>B2213+A2214</f>
        <v/>
      </c>
      <c r="C2214">
        <f>IF(2211&gt;$B$4503,"",MATCH(2211-0.5,$B$3:$B$4503,1))</f>
        <v/>
      </c>
      <c r="D2214">
        <f>"Malpractice insurance – "&amp;IF(LEN(INDEX('Providers'!$A$4:$A$503,211))=0,"",INDEX('Providers'!$A$4:$A$503,211))</f>
        <v/>
      </c>
      <c r="E2214">
        <f>IF(ISNUMBER(INDEX('Providers'!$Q$4:$Q$503,211)),TEXT(INDEX('Providers'!$Q$4:$Q$503,211),"yyyy-mm-dd"),"")</f>
        <v/>
      </c>
      <c r="F2214">
        <f>"Insurance"</f>
        <v/>
      </c>
      <c r="G2214">
        <f>""</f>
        <v/>
      </c>
      <c r="H2214">
        <f>"High"</f>
        <v/>
      </c>
      <c r="I2214">
        <f>TRIM(IF(LEN(IF(LEN(INDEX('Providers'!$N$4:$N$503,211))=0,"",INDEX('Providers'!$N$4:$N$503,211)))=0,"","Carrier: "&amp;IF(LEN(INDEX('Providers'!$N$4:$N$503,211))=0,"",INDEX('Providers'!$N$4:$N$503,211))&amp;". ")&amp;IF(LEN(IF(LEN(INDEX('Providers'!$O$4:$O$503,211))=0,"",INDEX('Providers'!$O$4:$O$503,211)))=0,"","Policy no.: "&amp;IF(LEN(INDEX('Providers'!$O$4:$O$503,211))=0,"",INDEX('Providers'!$O$4:$O$503,211))&amp;". ")&amp;IF(LEN(IF(LEN(INDEX('Providers'!$P$4:$P$503,211))=0,"",INDEX('Providers'!$P$4:$P$503,211)))=0,"","Coverage form: "&amp;IF(LEN(INDEX('Providers'!$P$4:$P$503,211))=0,"",INDEX('Providers'!$P$4:$P$503,211))&amp;". "))</f>
        <v/>
      </c>
      <c r="J2214">
        <f>IF(LEN(INDEX('Providers'!$AJ$4:$AJ$503,211))=0,"",INDEX('Providers'!$AJ$4:$AJ$503,211))</f>
        <v/>
      </c>
      <c r="K2214">
        <f>IF(LEN(INDEX('Providers'!$AI$4:$AI$503,211))=0,"",INDEX('Providers'!$AI$4:$AI$503,211))</f>
        <v/>
      </c>
    </row>
    <row r="2215">
      <c r="A2215">
        <f>IF(AND(LEN('Providers'!A215)&gt;0,ISNUMBER('Providers'!Q215)),1,0)</f>
        <v/>
      </c>
      <c r="B2215">
        <f>B2214+A2215</f>
        <v/>
      </c>
      <c r="C2215">
        <f>IF(2212&gt;$B$4503,"",MATCH(2212-0.5,$B$3:$B$4503,1))</f>
        <v/>
      </c>
      <c r="D2215">
        <f>"Malpractice insurance – "&amp;IF(LEN(INDEX('Providers'!$A$4:$A$503,212))=0,"",INDEX('Providers'!$A$4:$A$503,212))</f>
        <v/>
      </c>
      <c r="E2215">
        <f>IF(ISNUMBER(INDEX('Providers'!$Q$4:$Q$503,212)),TEXT(INDEX('Providers'!$Q$4:$Q$503,212),"yyyy-mm-dd"),"")</f>
        <v/>
      </c>
      <c r="F2215">
        <f>"Insurance"</f>
        <v/>
      </c>
      <c r="G2215">
        <f>""</f>
        <v/>
      </c>
      <c r="H2215">
        <f>"High"</f>
        <v/>
      </c>
      <c r="I2215">
        <f>TRIM(IF(LEN(IF(LEN(INDEX('Providers'!$N$4:$N$503,212))=0,"",INDEX('Providers'!$N$4:$N$503,212)))=0,"","Carrier: "&amp;IF(LEN(INDEX('Providers'!$N$4:$N$503,212))=0,"",INDEX('Providers'!$N$4:$N$503,212))&amp;". ")&amp;IF(LEN(IF(LEN(INDEX('Providers'!$O$4:$O$503,212))=0,"",INDEX('Providers'!$O$4:$O$503,212)))=0,"","Policy no.: "&amp;IF(LEN(INDEX('Providers'!$O$4:$O$503,212))=0,"",INDEX('Providers'!$O$4:$O$503,212))&amp;". ")&amp;IF(LEN(IF(LEN(INDEX('Providers'!$P$4:$P$503,212))=0,"",INDEX('Providers'!$P$4:$P$503,212)))=0,"","Coverage form: "&amp;IF(LEN(INDEX('Providers'!$P$4:$P$503,212))=0,"",INDEX('Providers'!$P$4:$P$503,212))&amp;". "))</f>
        <v/>
      </c>
      <c r="J2215">
        <f>IF(LEN(INDEX('Providers'!$AJ$4:$AJ$503,212))=0,"",INDEX('Providers'!$AJ$4:$AJ$503,212))</f>
        <v/>
      </c>
      <c r="K2215">
        <f>IF(LEN(INDEX('Providers'!$AI$4:$AI$503,212))=0,"",INDEX('Providers'!$AI$4:$AI$503,212))</f>
        <v/>
      </c>
    </row>
    <row r="2216">
      <c r="A2216">
        <f>IF(AND(LEN('Providers'!A216)&gt;0,ISNUMBER('Providers'!Q216)),1,0)</f>
        <v/>
      </c>
      <c r="B2216">
        <f>B2215+A2216</f>
        <v/>
      </c>
      <c r="C2216">
        <f>IF(2213&gt;$B$4503,"",MATCH(2213-0.5,$B$3:$B$4503,1))</f>
        <v/>
      </c>
      <c r="D2216">
        <f>"Malpractice insurance – "&amp;IF(LEN(INDEX('Providers'!$A$4:$A$503,213))=0,"",INDEX('Providers'!$A$4:$A$503,213))</f>
        <v/>
      </c>
      <c r="E2216">
        <f>IF(ISNUMBER(INDEX('Providers'!$Q$4:$Q$503,213)),TEXT(INDEX('Providers'!$Q$4:$Q$503,213),"yyyy-mm-dd"),"")</f>
        <v/>
      </c>
      <c r="F2216">
        <f>"Insurance"</f>
        <v/>
      </c>
      <c r="G2216">
        <f>""</f>
        <v/>
      </c>
      <c r="H2216">
        <f>"High"</f>
        <v/>
      </c>
      <c r="I2216">
        <f>TRIM(IF(LEN(IF(LEN(INDEX('Providers'!$N$4:$N$503,213))=0,"",INDEX('Providers'!$N$4:$N$503,213)))=0,"","Carrier: "&amp;IF(LEN(INDEX('Providers'!$N$4:$N$503,213))=0,"",INDEX('Providers'!$N$4:$N$503,213))&amp;". ")&amp;IF(LEN(IF(LEN(INDEX('Providers'!$O$4:$O$503,213))=0,"",INDEX('Providers'!$O$4:$O$503,213)))=0,"","Policy no.: "&amp;IF(LEN(INDEX('Providers'!$O$4:$O$503,213))=0,"",INDEX('Providers'!$O$4:$O$503,213))&amp;". ")&amp;IF(LEN(IF(LEN(INDEX('Providers'!$P$4:$P$503,213))=0,"",INDEX('Providers'!$P$4:$P$503,213)))=0,"","Coverage form: "&amp;IF(LEN(INDEX('Providers'!$P$4:$P$503,213))=0,"",INDEX('Providers'!$P$4:$P$503,213))&amp;". "))</f>
        <v/>
      </c>
      <c r="J2216">
        <f>IF(LEN(INDEX('Providers'!$AJ$4:$AJ$503,213))=0,"",INDEX('Providers'!$AJ$4:$AJ$503,213))</f>
        <v/>
      </c>
      <c r="K2216">
        <f>IF(LEN(INDEX('Providers'!$AI$4:$AI$503,213))=0,"",INDEX('Providers'!$AI$4:$AI$503,213))</f>
        <v/>
      </c>
    </row>
    <row r="2217">
      <c r="A2217">
        <f>IF(AND(LEN('Providers'!A217)&gt;0,ISNUMBER('Providers'!Q217)),1,0)</f>
        <v/>
      </c>
      <c r="B2217">
        <f>B2216+A2217</f>
        <v/>
      </c>
      <c r="C2217">
        <f>IF(2214&gt;$B$4503,"",MATCH(2214-0.5,$B$3:$B$4503,1))</f>
        <v/>
      </c>
      <c r="D2217">
        <f>"Malpractice insurance – "&amp;IF(LEN(INDEX('Providers'!$A$4:$A$503,214))=0,"",INDEX('Providers'!$A$4:$A$503,214))</f>
        <v/>
      </c>
      <c r="E2217">
        <f>IF(ISNUMBER(INDEX('Providers'!$Q$4:$Q$503,214)),TEXT(INDEX('Providers'!$Q$4:$Q$503,214),"yyyy-mm-dd"),"")</f>
        <v/>
      </c>
      <c r="F2217">
        <f>"Insurance"</f>
        <v/>
      </c>
      <c r="G2217">
        <f>""</f>
        <v/>
      </c>
      <c r="H2217">
        <f>"High"</f>
        <v/>
      </c>
      <c r="I2217">
        <f>TRIM(IF(LEN(IF(LEN(INDEX('Providers'!$N$4:$N$503,214))=0,"",INDEX('Providers'!$N$4:$N$503,214)))=0,"","Carrier: "&amp;IF(LEN(INDEX('Providers'!$N$4:$N$503,214))=0,"",INDEX('Providers'!$N$4:$N$503,214))&amp;". ")&amp;IF(LEN(IF(LEN(INDEX('Providers'!$O$4:$O$503,214))=0,"",INDEX('Providers'!$O$4:$O$503,214)))=0,"","Policy no.: "&amp;IF(LEN(INDEX('Providers'!$O$4:$O$503,214))=0,"",INDEX('Providers'!$O$4:$O$503,214))&amp;". ")&amp;IF(LEN(IF(LEN(INDEX('Providers'!$P$4:$P$503,214))=0,"",INDEX('Providers'!$P$4:$P$503,214)))=0,"","Coverage form: "&amp;IF(LEN(INDEX('Providers'!$P$4:$P$503,214))=0,"",INDEX('Providers'!$P$4:$P$503,214))&amp;". "))</f>
        <v/>
      </c>
      <c r="J2217">
        <f>IF(LEN(INDEX('Providers'!$AJ$4:$AJ$503,214))=0,"",INDEX('Providers'!$AJ$4:$AJ$503,214))</f>
        <v/>
      </c>
      <c r="K2217">
        <f>IF(LEN(INDEX('Providers'!$AI$4:$AI$503,214))=0,"",INDEX('Providers'!$AI$4:$AI$503,214))</f>
        <v/>
      </c>
    </row>
    <row r="2218">
      <c r="A2218">
        <f>IF(AND(LEN('Providers'!A218)&gt;0,ISNUMBER('Providers'!Q218)),1,0)</f>
        <v/>
      </c>
      <c r="B2218">
        <f>B2217+A2218</f>
        <v/>
      </c>
      <c r="C2218">
        <f>IF(2215&gt;$B$4503,"",MATCH(2215-0.5,$B$3:$B$4503,1))</f>
        <v/>
      </c>
      <c r="D2218">
        <f>"Malpractice insurance – "&amp;IF(LEN(INDEX('Providers'!$A$4:$A$503,215))=0,"",INDEX('Providers'!$A$4:$A$503,215))</f>
        <v/>
      </c>
      <c r="E2218">
        <f>IF(ISNUMBER(INDEX('Providers'!$Q$4:$Q$503,215)),TEXT(INDEX('Providers'!$Q$4:$Q$503,215),"yyyy-mm-dd"),"")</f>
        <v/>
      </c>
      <c r="F2218">
        <f>"Insurance"</f>
        <v/>
      </c>
      <c r="G2218">
        <f>""</f>
        <v/>
      </c>
      <c r="H2218">
        <f>"High"</f>
        <v/>
      </c>
      <c r="I2218">
        <f>TRIM(IF(LEN(IF(LEN(INDEX('Providers'!$N$4:$N$503,215))=0,"",INDEX('Providers'!$N$4:$N$503,215)))=0,"","Carrier: "&amp;IF(LEN(INDEX('Providers'!$N$4:$N$503,215))=0,"",INDEX('Providers'!$N$4:$N$503,215))&amp;". ")&amp;IF(LEN(IF(LEN(INDEX('Providers'!$O$4:$O$503,215))=0,"",INDEX('Providers'!$O$4:$O$503,215)))=0,"","Policy no.: "&amp;IF(LEN(INDEX('Providers'!$O$4:$O$503,215))=0,"",INDEX('Providers'!$O$4:$O$503,215))&amp;". ")&amp;IF(LEN(IF(LEN(INDEX('Providers'!$P$4:$P$503,215))=0,"",INDEX('Providers'!$P$4:$P$503,215)))=0,"","Coverage form: "&amp;IF(LEN(INDEX('Providers'!$P$4:$P$503,215))=0,"",INDEX('Providers'!$P$4:$P$503,215))&amp;". "))</f>
        <v/>
      </c>
      <c r="J2218">
        <f>IF(LEN(INDEX('Providers'!$AJ$4:$AJ$503,215))=0,"",INDEX('Providers'!$AJ$4:$AJ$503,215))</f>
        <v/>
      </c>
      <c r="K2218">
        <f>IF(LEN(INDEX('Providers'!$AI$4:$AI$503,215))=0,"",INDEX('Providers'!$AI$4:$AI$503,215))</f>
        <v/>
      </c>
    </row>
    <row r="2219">
      <c r="A2219">
        <f>IF(AND(LEN('Providers'!A219)&gt;0,ISNUMBER('Providers'!Q219)),1,0)</f>
        <v/>
      </c>
      <c r="B2219">
        <f>B2218+A2219</f>
        <v/>
      </c>
      <c r="C2219">
        <f>IF(2216&gt;$B$4503,"",MATCH(2216-0.5,$B$3:$B$4503,1))</f>
        <v/>
      </c>
      <c r="D2219">
        <f>"Malpractice insurance – "&amp;IF(LEN(INDEX('Providers'!$A$4:$A$503,216))=0,"",INDEX('Providers'!$A$4:$A$503,216))</f>
        <v/>
      </c>
      <c r="E2219">
        <f>IF(ISNUMBER(INDEX('Providers'!$Q$4:$Q$503,216)),TEXT(INDEX('Providers'!$Q$4:$Q$503,216),"yyyy-mm-dd"),"")</f>
        <v/>
      </c>
      <c r="F2219">
        <f>"Insurance"</f>
        <v/>
      </c>
      <c r="G2219">
        <f>""</f>
        <v/>
      </c>
      <c r="H2219">
        <f>"High"</f>
        <v/>
      </c>
      <c r="I2219">
        <f>TRIM(IF(LEN(IF(LEN(INDEX('Providers'!$N$4:$N$503,216))=0,"",INDEX('Providers'!$N$4:$N$503,216)))=0,"","Carrier: "&amp;IF(LEN(INDEX('Providers'!$N$4:$N$503,216))=0,"",INDEX('Providers'!$N$4:$N$503,216))&amp;". ")&amp;IF(LEN(IF(LEN(INDEX('Providers'!$O$4:$O$503,216))=0,"",INDEX('Providers'!$O$4:$O$503,216)))=0,"","Policy no.: "&amp;IF(LEN(INDEX('Providers'!$O$4:$O$503,216))=0,"",INDEX('Providers'!$O$4:$O$503,216))&amp;". ")&amp;IF(LEN(IF(LEN(INDEX('Providers'!$P$4:$P$503,216))=0,"",INDEX('Providers'!$P$4:$P$503,216)))=0,"","Coverage form: "&amp;IF(LEN(INDEX('Providers'!$P$4:$P$503,216))=0,"",INDEX('Providers'!$P$4:$P$503,216))&amp;". "))</f>
        <v/>
      </c>
      <c r="J2219">
        <f>IF(LEN(INDEX('Providers'!$AJ$4:$AJ$503,216))=0,"",INDEX('Providers'!$AJ$4:$AJ$503,216))</f>
        <v/>
      </c>
      <c r="K2219">
        <f>IF(LEN(INDEX('Providers'!$AI$4:$AI$503,216))=0,"",INDEX('Providers'!$AI$4:$AI$503,216))</f>
        <v/>
      </c>
    </row>
    <row r="2220">
      <c r="A2220">
        <f>IF(AND(LEN('Providers'!A220)&gt;0,ISNUMBER('Providers'!Q220)),1,0)</f>
        <v/>
      </c>
      <c r="B2220">
        <f>B2219+A2220</f>
        <v/>
      </c>
      <c r="C2220">
        <f>IF(2217&gt;$B$4503,"",MATCH(2217-0.5,$B$3:$B$4503,1))</f>
        <v/>
      </c>
      <c r="D2220">
        <f>"Malpractice insurance – "&amp;IF(LEN(INDEX('Providers'!$A$4:$A$503,217))=0,"",INDEX('Providers'!$A$4:$A$503,217))</f>
        <v/>
      </c>
      <c r="E2220">
        <f>IF(ISNUMBER(INDEX('Providers'!$Q$4:$Q$503,217)),TEXT(INDEX('Providers'!$Q$4:$Q$503,217),"yyyy-mm-dd"),"")</f>
        <v/>
      </c>
      <c r="F2220">
        <f>"Insurance"</f>
        <v/>
      </c>
      <c r="G2220">
        <f>""</f>
        <v/>
      </c>
      <c r="H2220">
        <f>"High"</f>
        <v/>
      </c>
      <c r="I2220">
        <f>TRIM(IF(LEN(IF(LEN(INDEX('Providers'!$N$4:$N$503,217))=0,"",INDEX('Providers'!$N$4:$N$503,217)))=0,"","Carrier: "&amp;IF(LEN(INDEX('Providers'!$N$4:$N$503,217))=0,"",INDEX('Providers'!$N$4:$N$503,217))&amp;". ")&amp;IF(LEN(IF(LEN(INDEX('Providers'!$O$4:$O$503,217))=0,"",INDEX('Providers'!$O$4:$O$503,217)))=0,"","Policy no.: "&amp;IF(LEN(INDEX('Providers'!$O$4:$O$503,217))=0,"",INDEX('Providers'!$O$4:$O$503,217))&amp;". ")&amp;IF(LEN(IF(LEN(INDEX('Providers'!$P$4:$P$503,217))=0,"",INDEX('Providers'!$P$4:$P$503,217)))=0,"","Coverage form: "&amp;IF(LEN(INDEX('Providers'!$P$4:$P$503,217))=0,"",INDEX('Providers'!$P$4:$P$503,217))&amp;". "))</f>
        <v/>
      </c>
      <c r="J2220">
        <f>IF(LEN(INDEX('Providers'!$AJ$4:$AJ$503,217))=0,"",INDEX('Providers'!$AJ$4:$AJ$503,217))</f>
        <v/>
      </c>
      <c r="K2220">
        <f>IF(LEN(INDEX('Providers'!$AI$4:$AI$503,217))=0,"",INDEX('Providers'!$AI$4:$AI$503,217))</f>
        <v/>
      </c>
    </row>
    <row r="2221">
      <c r="A2221">
        <f>IF(AND(LEN('Providers'!A221)&gt;0,ISNUMBER('Providers'!Q221)),1,0)</f>
        <v/>
      </c>
      <c r="B2221">
        <f>B2220+A2221</f>
        <v/>
      </c>
      <c r="C2221">
        <f>IF(2218&gt;$B$4503,"",MATCH(2218-0.5,$B$3:$B$4503,1))</f>
        <v/>
      </c>
      <c r="D2221">
        <f>"Malpractice insurance – "&amp;IF(LEN(INDEX('Providers'!$A$4:$A$503,218))=0,"",INDEX('Providers'!$A$4:$A$503,218))</f>
        <v/>
      </c>
      <c r="E2221">
        <f>IF(ISNUMBER(INDEX('Providers'!$Q$4:$Q$503,218)),TEXT(INDEX('Providers'!$Q$4:$Q$503,218),"yyyy-mm-dd"),"")</f>
        <v/>
      </c>
      <c r="F2221">
        <f>"Insurance"</f>
        <v/>
      </c>
      <c r="G2221">
        <f>""</f>
        <v/>
      </c>
      <c r="H2221">
        <f>"High"</f>
        <v/>
      </c>
      <c r="I2221">
        <f>TRIM(IF(LEN(IF(LEN(INDEX('Providers'!$N$4:$N$503,218))=0,"",INDEX('Providers'!$N$4:$N$503,218)))=0,"","Carrier: "&amp;IF(LEN(INDEX('Providers'!$N$4:$N$503,218))=0,"",INDEX('Providers'!$N$4:$N$503,218))&amp;". ")&amp;IF(LEN(IF(LEN(INDEX('Providers'!$O$4:$O$503,218))=0,"",INDEX('Providers'!$O$4:$O$503,218)))=0,"","Policy no.: "&amp;IF(LEN(INDEX('Providers'!$O$4:$O$503,218))=0,"",INDEX('Providers'!$O$4:$O$503,218))&amp;". ")&amp;IF(LEN(IF(LEN(INDEX('Providers'!$P$4:$P$503,218))=0,"",INDEX('Providers'!$P$4:$P$503,218)))=0,"","Coverage form: "&amp;IF(LEN(INDEX('Providers'!$P$4:$P$503,218))=0,"",INDEX('Providers'!$P$4:$P$503,218))&amp;". "))</f>
        <v/>
      </c>
      <c r="J2221">
        <f>IF(LEN(INDEX('Providers'!$AJ$4:$AJ$503,218))=0,"",INDEX('Providers'!$AJ$4:$AJ$503,218))</f>
        <v/>
      </c>
      <c r="K2221">
        <f>IF(LEN(INDEX('Providers'!$AI$4:$AI$503,218))=0,"",INDEX('Providers'!$AI$4:$AI$503,218))</f>
        <v/>
      </c>
    </row>
    <row r="2222">
      <c r="A2222">
        <f>IF(AND(LEN('Providers'!A222)&gt;0,ISNUMBER('Providers'!Q222)),1,0)</f>
        <v/>
      </c>
      <c r="B2222">
        <f>B2221+A2222</f>
        <v/>
      </c>
      <c r="C2222">
        <f>IF(2219&gt;$B$4503,"",MATCH(2219-0.5,$B$3:$B$4503,1))</f>
        <v/>
      </c>
      <c r="D2222">
        <f>"Malpractice insurance – "&amp;IF(LEN(INDEX('Providers'!$A$4:$A$503,219))=0,"",INDEX('Providers'!$A$4:$A$503,219))</f>
        <v/>
      </c>
      <c r="E2222">
        <f>IF(ISNUMBER(INDEX('Providers'!$Q$4:$Q$503,219)),TEXT(INDEX('Providers'!$Q$4:$Q$503,219),"yyyy-mm-dd"),"")</f>
        <v/>
      </c>
      <c r="F2222">
        <f>"Insurance"</f>
        <v/>
      </c>
      <c r="G2222">
        <f>""</f>
        <v/>
      </c>
      <c r="H2222">
        <f>"High"</f>
        <v/>
      </c>
      <c r="I2222">
        <f>TRIM(IF(LEN(IF(LEN(INDEX('Providers'!$N$4:$N$503,219))=0,"",INDEX('Providers'!$N$4:$N$503,219)))=0,"","Carrier: "&amp;IF(LEN(INDEX('Providers'!$N$4:$N$503,219))=0,"",INDEX('Providers'!$N$4:$N$503,219))&amp;". ")&amp;IF(LEN(IF(LEN(INDEX('Providers'!$O$4:$O$503,219))=0,"",INDEX('Providers'!$O$4:$O$503,219)))=0,"","Policy no.: "&amp;IF(LEN(INDEX('Providers'!$O$4:$O$503,219))=0,"",INDEX('Providers'!$O$4:$O$503,219))&amp;". ")&amp;IF(LEN(IF(LEN(INDEX('Providers'!$P$4:$P$503,219))=0,"",INDEX('Providers'!$P$4:$P$503,219)))=0,"","Coverage form: "&amp;IF(LEN(INDEX('Providers'!$P$4:$P$503,219))=0,"",INDEX('Providers'!$P$4:$P$503,219))&amp;". "))</f>
        <v/>
      </c>
      <c r="J2222">
        <f>IF(LEN(INDEX('Providers'!$AJ$4:$AJ$503,219))=0,"",INDEX('Providers'!$AJ$4:$AJ$503,219))</f>
        <v/>
      </c>
      <c r="K2222">
        <f>IF(LEN(INDEX('Providers'!$AI$4:$AI$503,219))=0,"",INDEX('Providers'!$AI$4:$AI$503,219))</f>
        <v/>
      </c>
    </row>
    <row r="2223">
      <c r="A2223">
        <f>IF(AND(LEN('Providers'!A223)&gt;0,ISNUMBER('Providers'!Q223)),1,0)</f>
        <v/>
      </c>
      <c r="B2223">
        <f>B2222+A2223</f>
        <v/>
      </c>
      <c r="C2223">
        <f>IF(2220&gt;$B$4503,"",MATCH(2220-0.5,$B$3:$B$4503,1))</f>
        <v/>
      </c>
      <c r="D2223">
        <f>"Malpractice insurance – "&amp;IF(LEN(INDEX('Providers'!$A$4:$A$503,220))=0,"",INDEX('Providers'!$A$4:$A$503,220))</f>
        <v/>
      </c>
      <c r="E2223">
        <f>IF(ISNUMBER(INDEX('Providers'!$Q$4:$Q$503,220)),TEXT(INDEX('Providers'!$Q$4:$Q$503,220),"yyyy-mm-dd"),"")</f>
        <v/>
      </c>
      <c r="F2223">
        <f>"Insurance"</f>
        <v/>
      </c>
      <c r="G2223">
        <f>""</f>
        <v/>
      </c>
      <c r="H2223">
        <f>"High"</f>
        <v/>
      </c>
      <c r="I2223">
        <f>TRIM(IF(LEN(IF(LEN(INDEX('Providers'!$N$4:$N$503,220))=0,"",INDEX('Providers'!$N$4:$N$503,220)))=0,"","Carrier: "&amp;IF(LEN(INDEX('Providers'!$N$4:$N$503,220))=0,"",INDEX('Providers'!$N$4:$N$503,220))&amp;". ")&amp;IF(LEN(IF(LEN(INDEX('Providers'!$O$4:$O$503,220))=0,"",INDEX('Providers'!$O$4:$O$503,220)))=0,"","Policy no.: "&amp;IF(LEN(INDEX('Providers'!$O$4:$O$503,220))=0,"",INDEX('Providers'!$O$4:$O$503,220))&amp;". ")&amp;IF(LEN(IF(LEN(INDEX('Providers'!$P$4:$P$503,220))=0,"",INDEX('Providers'!$P$4:$P$503,220)))=0,"","Coverage form: "&amp;IF(LEN(INDEX('Providers'!$P$4:$P$503,220))=0,"",INDEX('Providers'!$P$4:$P$503,220))&amp;". "))</f>
        <v/>
      </c>
      <c r="J2223">
        <f>IF(LEN(INDEX('Providers'!$AJ$4:$AJ$503,220))=0,"",INDEX('Providers'!$AJ$4:$AJ$503,220))</f>
        <v/>
      </c>
      <c r="K2223">
        <f>IF(LEN(INDEX('Providers'!$AI$4:$AI$503,220))=0,"",INDEX('Providers'!$AI$4:$AI$503,220))</f>
        <v/>
      </c>
    </row>
    <row r="2224">
      <c r="A2224">
        <f>IF(AND(LEN('Providers'!A224)&gt;0,ISNUMBER('Providers'!Q224)),1,0)</f>
        <v/>
      </c>
      <c r="B2224">
        <f>B2223+A2224</f>
        <v/>
      </c>
      <c r="C2224">
        <f>IF(2221&gt;$B$4503,"",MATCH(2221-0.5,$B$3:$B$4503,1))</f>
        <v/>
      </c>
      <c r="D2224">
        <f>"Malpractice insurance – "&amp;IF(LEN(INDEX('Providers'!$A$4:$A$503,221))=0,"",INDEX('Providers'!$A$4:$A$503,221))</f>
        <v/>
      </c>
      <c r="E2224">
        <f>IF(ISNUMBER(INDEX('Providers'!$Q$4:$Q$503,221)),TEXT(INDEX('Providers'!$Q$4:$Q$503,221),"yyyy-mm-dd"),"")</f>
        <v/>
      </c>
      <c r="F2224">
        <f>"Insurance"</f>
        <v/>
      </c>
      <c r="G2224">
        <f>""</f>
        <v/>
      </c>
      <c r="H2224">
        <f>"High"</f>
        <v/>
      </c>
      <c r="I2224">
        <f>TRIM(IF(LEN(IF(LEN(INDEX('Providers'!$N$4:$N$503,221))=0,"",INDEX('Providers'!$N$4:$N$503,221)))=0,"","Carrier: "&amp;IF(LEN(INDEX('Providers'!$N$4:$N$503,221))=0,"",INDEX('Providers'!$N$4:$N$503,221))&amp;". ")&amp;IF(LEN(IF(LEN(INDEX('Providers'!$O$4:$O$503,221))=0,"",INDEX('Providers'!$O$4:$O$503,221)))=0,"","Policy no.: "&amp;IF(LEN(INDEX('Providers'!$O$4:$O$503,221))=0,"",INDEX('Providers'!$O$4:$O$503,221))&amp;". ")&amp;IF(LEN(IF(LEN(INDEX('Providers'!$P$4:$P$503,221))=0,"",INDEX('Providers'!$P$4:$P$503,221)))=0,"","Coverage form: "&amp;IF(LEN(INDEX('Providers'!$P$4:$P$503,221))=0,"",INDEX('Providers'!$P$4:$P$503,221))&amp;". "))</f>
        <v/>
      </c>
      <c r="J2224">
        <f>IF(LEN(INDEX('Providers'!$AJ$4:$AJ$503,221))=0,"",INDEX('Providers'!$AJ$4:$AJ$503,221))</f>
        <v/>
      </c>
      <c r="K2224">
        <f>IF(LEN(INDEX('Providers'!$AI$4:$AI$503,221))=0,"",INDEX('Providers'!$AI$4:$AI$503,221))</f>
        <v/>
      </c>
    </row>
    <row r="2225">
      <c r="A2225">
        <f>IF(AND(LEN('Providers'!A225)&gt;0,ISNUMBER('Providers'!Q225)),1,0)</f>
        <v/>
      </c>
      <c r="B2225">
        <f>B2224+A2225</f>
        <v/>
      </c>
      <c r="C2225">
        <f>IF(2222&gt;$B$4503,"",MATCH(2222-0.5,$B$3:$B$4503,1))</f>
        <v/>
      </c>
      <c r="D2225">
        <f>"Malpractice insurance – "&amp;IF(LEN(INDEX('Providers'!$A$4:$A$503,222))=0,"",INDEX('Providers'!$A$4:$A$503,222))</f>
        <v/>
      </c>
      <c r="E2225">
        <f>IF(ISNUMBER(INDEX('Providers'!$Q$4:$Q$503,222)),TEXT(INDEX('Providers'!$Q$4:$Q$503,222),"yyyy-mm-dd"),"")</f>
        <v/>
      </c>
      <c r="F2225">
        <f>"Insurance"</f>
        <v/>
      </c>
      <c r="G2225">
        <f>""</f>
        <v/>
      </c>
      <c r="H2225">
        <f>"High"</f>
        <v/>
      </c>
      <c r="I2225">
        <f>TRIM(IF(LEN(IF(LEN(INDEX('Providers'!$N$4:$N$503,222))=0,"",INDEX('Providers'!$N$4:$N$503,222)))=0,"","Carrier: "&amp;IF(LEN(INDEX('Providers'!$N$4:$N$503,222))=0,"",INDEX('Providers'!$N$4:$N$503,222))&amp;". ")&amp;IF(LEN(IF(LEN(INDEX('Providers'!$O$4:$O$503,222))=0,"",INDEX('Providers'!$O$4:$O$503,222)))=0,"","Policy no.: "&amp;IF(LEN(INDEX('Providers'!$O$4:$O$503,222))=0,"",INDEX('Providers'!$O$4:$O$503,222))&amp;". ")&amp;IF(LEN(IF(LEN(INDEX('Providers'!$P$4:$P$503,222))=0,"",INDEX('Providers'!$P$4:$P$503,222)))=0,"","Coverage form: "&amp;IF(LEN(INDEX('Providers'!$P$4:$P$503,222))=0,"",INDEX('Providers'!$P$4:$P$503,222))&amp;". "))</f>
        <v/>
      </c>
      <c r="J2225">
        <f>IF(LEN(INDEX('Providers'!$AJ$4:$AJ$503,222))=0,"",INDEX('Providers'!$AJ$4:$AJ$503,222))</f>
        <v/>
      </c>
      <c r="K2225">
        <f>IF(LEN(INDEX('Providers'!$AI$4:$AI$503,222))=0,"",INDEX('Providers'!$AI$4:$AI$503,222))</f>
        <v/>
      </c>
    </row>
    <row r="2226">
      <c r="A2226">
        <f>IF(AND(LEN('Providers'!A226)&gt;0,ISNUMBER('Providers'!Q226)),1,0)</f>
        <v/>
      </c>
      <c r="B2226">
        <f>B2225+A2226</f>
        <v/>
      </c>
      <c r="C2226">
        <f>IF(2223&gt;$B$4503,"",MATCH(2223-0.5,$B$3:$B$4503,1))</f>
        <v/>
      </c>
      <c r="D2226">
        <f>"Malpractice insurance – "&amp;IF(LEN(INDEX('Providers'!$A$4:$A$503,223))=0,"",INDEX('Providers'!$A$4:$A$503,223))</f>
        <v/>
      </c>
      <c r="E2226">
        <f>IF(ISNUMBER(INDEX('Providers'!$Q$4:$Q$503,223)),TEXT(INDEX('Providers'!$Q$4:$Q$503,223),"yyyy-mm-dd"),"")</f>
        <v/>
      </c>
      <c r="F2226">
        <f>"Insurance"</f>
        <v/>
      </c>
      <c r="G2226">
        <f>""</f>
        <v/>
      </c>
      <c r="H2226">
        <f>"High"</f>
        <v/>
      </c>
      <c r="I2226">
        <f>TRIM(IF(LEN(IF(LEN(INDEX('Providers'!$N$4:$N$503,223))=0,"",INDEX('Providers'!$N$4:$N$503,223)))=0,"","Carrier: "&amp;IF(LEN(INDEX('Providers'!$N$4:$N$503,223))=0,"",INDEX('Providers'!$N$4:$N$503,223))&amp;". ")&amp;IF(LEN(IF(LEN(INDEX('Providers'!$O$4:$O$503,223))=0,"",INDEX('Providers'!$O$4:$O$503,223)))=0,"","Policy no.: "&amp;IF(LEN(INDEX('Providers'!$O$4:$O$503,223))=0,"",INDEX('Providers'!$O$4:$O$503,223))&amp;". ")&amp;IF(LEN(IF(LEN(INDEX('Providers'!$P$4:$P$503,223))=0,"",INDEX('Providers'!$P$4:$P$503,223)))=0,"","Coverage form: "&amp;IF(LEN(INDEX('Providers'!$P$4:$P$503,223))=0,"",INDEX('Providers'!$P$4:$P$503,223))&amp;". "))</f>
        <v/>
      </c>
      <c r="J2226">
        <f>IF(LEN(INDEX('Providers'!$AJ$4:$AJ$503,223))=0,"",INDEX('Providers'!$AJ$4:$AJ$503,223))</f>
        <v/>
      </c>
      <c r="K2226">
        <f>IF(LEN(INDEX('Providers'!$AI$4:$AI$503,223))=0,"",INDEX('Providers'!$AI$4:$AI$503,223))</f>
        <v/>
      </c>
    </row>
    <row r="2227">
      <c r="A2227">
        <f>IF(AND(LEN('Providers'!A227)&gt;0,ISNUMBER('Providers'!Q227)),1,0)</f>
        <v/>
      </c>
      <c r="B2227">
        <f>B2226+A2227</f>
        <v/>
      </c>
      <c r="C2227">
        <f>IF(2224&gt;$B$4503,"",MATCH(2224-0.5,$B$3:$B$4503,1))</f>
        <v/>
      </c>
      <c r="D2227">
        <f>"Malpractice insurance – "&amp;IF(LEN(INDEX('Providers'!$A$4:$A$503,224))=0,"",INDEX('Providers'!$A$4:$A$503,224))</f>
        <v/>
      </c>
      <c r="E2227">
        <f>IF(ISNUMBER(INDEX('Providers'!$Q$4:$Q$503,224)),TEXT(INDEX('Providers'!$Q$4:$Q$503,224),"yyyy-mm-dd"),"")</f>
        <v/>
      </c>
      <c r="F2227">
        <f>"Insurance"</f>
        <v/>
      </c>
      <c r="G2227">
        <f>""</f>
        <v/>
      </c>
      <c r="H2227">
        <f>"High"</f>
        <v/>
      </c>
      <c r="I2227">
        <f>TRIM(IF(LEN(IF(LEN(INDEX('Providers'!$N$4:$N$503,224))=0,"",INDEX('Providers'!$N$4:$N$503,224)))=0,"","Carrier: "&amp;IF(LEN(INDEX('Providers'!$N$4:$N$503,224))=0,"",INDEX('Providers'!$N$4:$N$503,224))&amp;". ")&amp;IF(LEN(IF(LEN(INDEX('Providers'!$O$4:$O$503,224))=0,"",INDEX('Providers'!$O$4:$O$503,224)))=0,"","Policy no.: "&amp;IF(LEN(INDEX('Providers'!$O$4:$O$503,224))=0,"",INDEX('Providers'!$O$4:$O$503,224))&amp;". ")&amp;IF(LEN(IF(LEN(INDEX('Providers'!$P$4:$P$503,224))=0,"",INDEX('Providers'!$P$4:$P$503,224)))=0,"","Coverage form: "&amp;IF(LEN(INDEX('Providers'!$P$4:$P$503,224))=0,"",INDEX('Providers'!$P$4:$P$503,224))&amp;". "))</f>
        <v/>
      </c>
      <c r="J2227">
        <f>IF(LEN(INDEX('Providers'!$AJ$4:$AJ$503,224))=0,"",INDEX('Providers'!$AJ$4:$AJ$503,224))</f>
        <v/>
      </c>
      <c r="K2227">
        <f>IF(LEN(INDEX('Providers'!$AI$4:$AI$503,224))=0,"",INDEX('Providers'!$AI$4:$AI$503,224))</f>
        <v/>
      </c>
    </row>
    <row r="2228">
      <c r="A2228">
        <f>IF(AND(LEN('Providers'!A228)&gt;0,ISNUMBER('Providers'!Q228)),1,0)</f>
        <v/>
      </c>
      <c r="B2228">
        <f>B2227+A2228</f>
        <v/>
      </c>
      <c r="C2228">
        <f>IF(2225&gt;$B$4503,"",MATCH(2225-0.5,$B$3:$B$4503,1))</f>
        <v/>
      </c>
      <c r="D2228">
        <f>"Malpractice insurance – "&amp;IF(LEN(INDEX('Providers'!$A$4:$A$503,225))=0,"",INDEX('Providers'!$A$4:$A$503,225))</f>
        <v/>
      </c>
      <c r="E2228">
        <f>IF(ISNUMBER(INDEX('Providers'!$Q$4:$Q$503,225)),TEXT(INDEX('Providers'!$Q$4:$Q$503,225),"yyyy-mm-dd"),"")</f>
        <v/>
      </c>
      <c r="F2228">
        <f>"Insurance"</f>
        <v/>
      </c>
      <c r="G2228">
        <f>""</f>
        <v/>
      </c>
      <c r="H2228">
        <f>"High"</f>
        <v/>
      </c>
      <c r="I2228">
        <f>TRIM(IF(LEN(IF(LEN(INDEX('Providers'!$N$4:$N$503,225))=0,"",INDEX('Providers'!$N$4:$N$503,225)))=0,"","Carrier: "&amp;IF(LEN(INDEX('Providers'!$N$4:$N$503,225))=0,"",INDEX('Providers'!$N$4:$N$503,225))&amp;". ")&amp;IF(LEN(IF(LEN(INDEX('Providers'!$O$4:$O$503,225))=0,"",INDEX('Providers'!$O$4:$O$503,225)))=0,"","Policy no.: "&amp;IF(LEN(INDEX('Providers'!$O$4:$O$503,225))=0,"",INDEX('Providers'!$O$4:$O$503,225))&amp;". ")&amp;IF(LEN(IF(LEN(INDEX('Providers'!$P$4:$P$503,225))=0,"",INDEX('Providers'!$P$4:$P$503,225)))=0,"","Coverage form: "&amp;IF(LEN(INDEX('Providers'!$P$4:$P$503,225))=0,"",INDEX('Providers'!$P$4:$P$503,225))&amp;". "))</f>
        <v/>
      </c>
      <c r="J2228">
        <f>IF(LEN(INDEX('Providers'!$AJ$4:$AJ$503,225))=0,"",INDEX('Providers'!$AJ$4:$AJ$503,225))</f>
        <v/>
      </c>
      <c r="K2228">
        <f>IF(LEN(INDEX('Providers'!$AI$4:$AI$503,225))=0,"",INDEX('Providers'!$AI$4:$AI$503,225))</f>
        <v/>
      </c>
    </row>
    <row r="2229">
      <c r="A2229">
        <f>IF(AND(LEN('Providers'!A229)&gt;0,ISNUMBER('Providers'!Q229)),1,0)</f>
        <v/>
      </c>
      <c r="B2229">
        <f>B2228+A2229</f>
        <v/>
      </c>
      <c r="C2229">
        <f>IF(2226&gt;$B$4503,"",MATCH(2226-0.5,$B$3:$B$4503,1))</f>
        <v/>
      </c>
      <c r="D2229">
        <f>"Malpractice insurance – "&amp;IF(LEN(INDEX('Providers'!$A$4:$A$503,226))=0,"",INDEX('Providers'!$A$4:$A$503,226))</f>
        <v/>
      </c>
      <c r="E2229">
        <f>IF(ISNUMBER(INDEX('Providers'!$Q$4:$Q$503,226)),TEXT(INDEX('Providers'!$Q$4:$Q$503,226),"yyyy-mm-dd"),"")</f>
        <v/>
      </c>
      <c r="F2229">
        <f>"Insurance"</f>
        <v/>
      </c>
      <c r="G2229">
        <f>""</f>
        <v/>
      </c>
      <c r="H2229">
        <f>"High"</f>
        <v/>
      </c>
      <c r="I2229">
        <f>TRIM(IF(LEN(IF(LEN(INDEX('Providers'!$N$4:$N$503,226))=0,"",INDEX('Providers'!$N$4:$N$503,226)))=0,"","Carrier: "&amp;IF(LEN(INDEX('Providers'!$N$4:$N$503,226))=0,"",INDEX('Providers'!$N$4:$N$503,226))&amp;". ")&amp;IF(LEN(IF(LEN(INDEX('Providers'!$O$4:$O$503,226))=0,"",INDEX('Providers'!$O$4:$O$503,226)))=0,"","Policy no.: "&amp;IF(LEN(INDEX('Providers'!$O$4:$O$503,226))=0,"",INDEX('Providers'!$O$4:$O$503,226))&amp;". ")&amp;IF(LEN(IF(LEN(INDEX('Providers'!$P$4:$P$503,226))=0,"",INDEX('Providers'!$P$4:$P$503,226)))=0,"","Coverage form: "&amp;IF(LEN(INDEX('Providers'!$P$4:$P$503,226))=0,"",INDEX('Providers'!$P$4:$P$503,226))&amp;". "))</f>
        <v/>
      </c>
      <c r="J2229">
        <f>IF(LEN(INDEX('Providers'!$AJ$4:$AJ$503,226))=0,"",INDEX('Providers'!$AJ$4:$AJ$503,226))</f>
        <v/>
      </c>
      <c r="K2229">
        <f>IF(LEN(INDEX('Providers'!$AI$4:$AI$503,226))=0,"",INDEX('Providers'!$AI$4:$AI$503,226))</f>
        <v/>
      </c>
    </row>
    <row r="2230">
      <c r="A2230">
        <f>IF(AND(LEN('Providers'!A230)&gt;0,ISNUMBER('Providers'!Q230)),1,0)</f>
        <v/>
      </c>
      <c r="B2230">
        <f>B2229+A2230</f>
        <v/>
      </c>
      <c r="C2230">
        <f>IF(2227&gt;$B$4503,"",MATCH(2227-0.5,$B$3:$B$4503,1))</f>
        <v/>
      </c>
      <c r="D2230">
        <f>"Malpractice insurance – "&amp;IF(LEN(INDEX('Providers'!$A$4:$A$503,227))=0,"",INDEX('Providers'!$A$4:$A$503,227))</f>
        <v/>
      </c>
      <c r="E2230">
        <f>IF(ISNUMBER(INDEX('Providers'!$Q$4:$Q$503,227)),TEXT(INDEX('Providers'!$Q$4:$Q$503,227),"yyyy-mm-dd"),"")</f>
        <v/>
      </c>
      <c r="F2230">
        <f>"Insurance"</f>
        <v/>
      </c>
      <c r="G2230">
        <f>""</f>
        <v/>
      </c>
      <c r="H2230">
        <f>"High"</f>
        <v/>
      </c>
      <c r="I2230">
        <f>TRIM(IF(LEN(IF(LEN(INDEX('Providers'!$N$4:$N$503,227))=0,"",INDEX('Providers'!$N$4:$N$503,227)))=0,"","Carrier: "&amp;IF(LEN(INDEX('Providers'!$N$4:$N$503,227))=0,"",INDEX('Providers'!$N$4:$N$503,227))&amp;". ")&amp;IF(LEN(IF(LEN(INDEX('Providers'!$O$4:$O$503,227))=0,"",INDEX('Providers'!$O$4:$O$503,227)))=0,"","Policy no.: "&amp;IF(LEN(INDEX('Providers'!$O$4:$O$503,227))=0,"",INDEX('Providers'!$O$4:$O$503,227))&amp;". ")&amp;IF(LEN(IF(LEN(INDEX('Providers'!$P$4:$P$503,227))=0,"",INDEX('Providers'!$P$4:$P$503,227)))=0,"","Coverage form: "&amp;IF(LEN(INDEX('Providers'!$P$4:$P$503,227))=0,"",INDEX('Providers'!$P$4:$P$503,227))&amp;". "))</f>
        <v/>
      </c>
      <c r="J2230">
        <f>IF(LEN(INDEX('Providers'!$AJ$4:$AJ$503,227))=0,"",INDEX('Providers'!$AJ$4:$AJ$503,227))</f>
        <v/>
      </c>
      <c r="K2230">
        <f>IF(LEN(INDEX('Providers'!$AI$4:$AI$503,227))=0,"",INDEX('Providers'!$AI$4:$AI$503,227))</f>
        <v/>
      </c>
    </row>
    <row r="2231">
      <c r="A2231">
        <f>IF(AND(LEN('Providers'!A231)&gt;0,ISNUMBER('Providers'!Q231)),1,0)</f>
        <v/>
      </c>
      <c r="B2231">
        <f>B2230+A2231</f>
        <v/>
      </c>
      <c r="C2231">
        <f>IF(2228&gt;$B$4503,"",MATCH(2228-0.5,$B$3:$B$4503,1))</f>
        <v/>
      </c>
      <c r="D2231">
        <f>"Malpractice insurance – "&amp;IF(LEN(INDEX('Providers'!$A$4:$A$503,228))=0,"",INDEX('Providers'!$A$4:$A$503,228))</f>
        <v/>
      </c>
      <c r="E2231">
        <f>IF(ISNUMBER(INDEX('Providers'!$Q$4:$Q$503,228)),TEXT(INDEX('Providers'!$Q$4:$Q$503,228),"yyyy-mm-dd"),"")</f>
        <v/>
      </c>
      <c r="F2231">
        <f>"Insurance"</f>
        <v/>
      </c>
      <c r="G2231">
        <f>""</f>
        <v/>
      </c>
      <c r="H2231">
        <f>"High"</f>
        <v/>
      </c>
      <c r="I2231">
        <f>TRIM(IF(LEN(IF(LEN(INDEX('Providers'!$N$4:$N$503,228))=0,"",INDEX('Providers'!$N$4:$N$503,228)))=0,"","Carrier: "&amp;IF(LEN(INDEX('Providers'!$N$4:$N$503,228))=0,"",INDEX('Providers'!$N$4:$N$503,228))&amp;". ")&amp;IF(LEN(IF(LEN(INDEX('Providers'!$O$4:$O$503,228))=0,"",INDEX('Providers'!$O$4:$O$503,228)))=0,"","Policy no.: "&amp;IF(LEN(INDEX('Providers'!$O$4:$O$503,228))=0,"",INDEX('Providers'!$O$4:$O$503,228))&amp;". ")&amp;IF(LEN(IF(LEN(INDEX('Providers'!$P$4:$P$503,228))=0,"",INDEX('Providers'!$P$4:$P$503,228)))=0,"","Coverage form: "&amp;IF(LEN(INDEX('Providers'!$P$4:$P$503,228))=0,"",INDEX('Providers'!$P$4:$P$503,228))&amp;". "))</f>
        <v/>
      </c>
      <c r="J2231">
        <f>IF(LEN(INDEX('Providers'!$AJ$4:$AJ$503,228))=0,"",INDEX('Providers'!$AJ$4:$AJ$503,228))</f>
        <v/>
      </c>
      <c r="K2231">
        <f>IF(LEN(INDEX('Providers'!$AI$4:$AI$503,228))=0,"",INDEX('Providers'!$AI$4:$AI$503,228))</f>
        <v/>
      </c>
    </row>
    <row r="2232">
      <c r="A2232">
        <f>IF(AND(LEN('Providers'!A232)&gt;0,ISNUMBER('Providers'!Q232)),1,0)</f>
        <v/>
      </c>
      <c r="B2232">
        <f>B2231+A2232</f>
        <v/>
      </c>
      <c r="C2232">
        <f>IF(2229&gt;$B$4503,"",MATCH(2229-0.5,$B$3:$B$4503,1))</f>
        <v/>
      </c>
      <c r="D2232">
        <f>"Malpractice insurance – "&amp;IF(LEN(INDEX('Providers'!$A$4:$A$503,229))=0,"",INDEX('Providers'!$A$4:$A$503,229))</f>
        <v/>
      </c>
      <c r="E2232">
        <f>IF(ISNUMBER(INDEX('Providers'!$Q$4:$Q$503,229)),TEXT(INDEX('Providers'!$Q$4:$Q$503,229),"yyyy-mm-dd"),"")</f>
        <v/>
      </c>
      <c r="F2232">
        <f>"Insurance"</f>
        <v/>
      </c>
      <c r="G2232">
        <f>""</f>
        <v/>
      </c>
      <c r="H2232">
        <f>"High"</f>
        <v/>
      </c>
      <c r="I2232">
        <f>TRIM(IF(LEN(IF(LEN(INDEX('Providers'!$N$4:$N$503,229))=0,"",INDEX('Providers'!$N$4:$N$503,229)))=0,"","Carrier: "&amp;IF(LEN(INDEX('Providers'!$N$4:$N$503,229))=0,"",INDEX('Providers'!$N$4:$N$503,229))&amp;". ")&amp;IF(LEN(IF(LEN(INDEX('Providers'!$O$4:$O$503,229))=0,"",INDEX('Providers'!$O$4:$O$503,229)))=0,"","Policy no.: "&amp;IF(LEN(INDEX('Providers'!$O$4:$O$503,229))=0,"",INDEX('Providers'!$O$4:$O$503,229))&amp;". ")&amp;IF(LEN(IF(LEN(INDEX('Providers'!$P$4:$P$503,229))=0,"",INDEX('Providers'!$P$4:$P$503,229)))=0,"","Coverage form: "&amp;IF(LEN(INDEX('Providers'!$P$4:$P$503,229))=0,"",INDEX('Providers'!$P$4:$P$503,229))&amp;". "))</f>
        <v/>
      </c>
      <c r="J2232">
        <f>IF(LEN(INDEX('Providers'!$AJ$4:$AJ$503,229))=0,"",INDEX('Providers'!$AJ$4:$AJ$503,229))</f>
        <v/>
      </c>
      <c r="K2232">
        <f>IF(LEN(INDEX('Providers'!$AI$4:$AI$503,229))=0,"",INDEX('Providers'!$AI$4:$AI$503,229))</f>
        <v/>
      </c>
    </row>
    <row r="2233">
      <c r="A2233">
        <f>IF(AND(LEN('Providers'!A233)&gt;0,ISNUMBER('Providers'!Q233)),1,0)</f>
        <v/>
      </c>
      <c r="B2233">
        <f>B2232+A2233</f>
        <v/>
      </c>
      <c r="C2233">
        <f>IF(2230&gt;$B$4503,"",MATCH(2230-0.5,$B$3:$B$4503,1))</f>
        <v/>
      </c>
      <c r="D2233">
        <f>"Malpractice insurance – "&amp;IF(LEN(INDEX('Providers'!$A$4:$A$503,230))=0,"",INDEX('Providers'!$A$4:$A$503,230))</f>
        <v/>
      </c>
      <c r="E2233">
        <f>IF(ISNUMBER(INDEX('Providers'!$Q$4:$Q$503,230)),TEXT(INDEX('Providers'!$Q$4:$Q$503,230),"yyyy-mm-dd"),"")</f>
        <v/>
      </c>
      <c r="F2233">
        <f>"Insurance"</f>
        <v/>
      </c>
      <c r="G2233">
        <f>""</f>
        <v/>
      </c>
      <c r="H2233">
        <f>"High"</f>
        <v/>
      </c>
      <c r="I2233">
        <f>TRIM(IF(LEN(IF(LEN(INDEX('Providers'!$N$4:$N$503,230))=0,"",INDEX('Providers'!$N$4:$N$503,230)))=0,"","Carrier: "&amp;IF(LEN(INDEX('Providers'!$N$4:$N$503,230))=0,"",INDEX('Providers'!$N$4:$N$503,230))&amp;". ")&amp;IF(LEN(IF(LEN(INDEX('Providers'!$O$4:$O$503,230))=0,"",INDEX('Providers'!$O$4:$O$503,230)))=0,"","Policy no.: "&amp;IF(LEN(INDEX('Providers'!$O$4:$O$503,230))=0,"",INDEX('Providers'!$O$4:$O$503,230))&amp;". ")&amp;IF(LEN(IF(LEN(INDEX('Providers'!$P$4:$P$503,230))=0,"",INDEX('Providers'!$P$4:$P$503,230)))=0,"","Coverage form: "&amp;IF(LEN(INDEX('Providers'!$P$4:$P$503,230))=0,"",INDEX('Providers'!$P$4:$P$503,230))&amp;". "))</f>
        <v/>
      </c>
      <c r="J2233">
        <f>IF(LEN(INDEX('Providers'!$AJ$4:$AJ$503,230))=0,"",INDEX('Providers'!$AJ$4:$AJ$503,230))</f>
        <v/>
      </c>
      <c r="K2233">
        <f>IF(LEN(INDEX('Providers'!$AI$4:$AI$503,230))=0,"",INDEX('Providers'!$AI$4:$AI$503,230))</f>
        <v/>
      </c>
    </row>
    <row r="2234">
      <c r="A2234">
        <f>IF(AND(LEN('Providers'!A234)&gt;0,ISNUMBER('Providers'!Q234)),1,0)</f>
        <v/>
      </c>
      <c r="B2234">
        <f>B2233+A2234</f>
        <v/>
      </c>
      <c r="C2234">
        <f>IF(2231&gt;$B$4503,"",MATCH(2231-0.5,$B$3:$B$4503,1))</f>
        <v/>
      </c>
      <c r="D2234">
        <f>"Malpractice insurance – "&amp;IF(LEN(INDEX('Providers'!$A$4:$A$503,231))=0,"",INDEX('Providers'!$A$4:$A$503,231))</f>
        <v/>
      </c>
      <c r="E2234">
        <f>IF(ISNUMBER(INDEX('Providers'!$Q$4:$Q$503,231)),TEXT(INDEX('Providers'!$Q$4:$Q$503,231),"yyyy-mm-dd"),"")</f>
        <v/>
      </c>
      <c r="F2234">
        <f>"Insurance"</f>
        <v/>
      </c>
      <c r="G2234">
        <f>""</f>
        <v/>
      </c>
      <c r="H2234">
        <f>"High"</f>
        <v/>
      </c>
      <c r="I2234">
        <f>TRIM(IF(LEN(IF(LEN(INDEX('Providers'!$N$4:$N$503,231))=0,"",INDEX('Providers'!$N$4:$N$503,231)))=0,"","Carrier: "&amp;IF(LEN(INDEX('Providers'!$N$4:$N$503,231))=0,"",INDEX('Providers'!$N$4:$N$503,231))&amp;". ")&amp;IF(LEN(IF(LEN(INDEX('Providers'!$O$4:$O$503,231))=0,"",INDEX('Providers'!$O$4:$O$503,231)))=0,"","Policy no.: "&amp;IF(LEN(INDEX('Providers'!$O$4:$O$503,231))=0,"",INDEX('Providers'!$O$4:$O$503,231))&amp;". ")&amp;IF(LEN(IF(LEN(INDEX('Providers'!$P$4:$P$503,231))=0,"",INDEX('Providers'!$P$4:$P$503,231)))=0,"","Coverage form: "&amp;IF(LEN(INDEX('Providers'!$P$4:$P$503,231))=0,"",INDEX('Providers'!$P$4:$P$503,231))&amp;". "))</f>
        <v/>
      </c>
      <c r="J2234">
        <f>IF(LEN(INDEX('Providers'!$AJ$4:$AJ$503,231))=0,"",INDEX('Providers'!$AJ$4:$AJ$503,231))</f>
        <v/>
      </c>
      <c r="K2234">
        <f>IF(LEN(INDEX('Providers'!$AI$4:$AI$503,231))=0,"",INDEX('Providers'!$AI$4:$AI$503,231))</f>
        <v/>
      </c>
    </row>
    <row r="2235">
      <c r="A2235">
        <f>IF(AND(LEN('Providers'!A235)&gt;0,ISNUMBER('Providers'!Q235)),1,0)</f>
        <v/>
      </c>
      <c r="B2235">
        <f>B2234+A2235</f>
        <v/>
      </c>
      <c r="C2235">
        <f>IF(2232&gt;$B$4503,"",MATCH(2232-0.5,$B$3:$B$4503,1))</f>
        <v/>
      </c>
      <c r="D2235">
        <f>"Malpractice insurance – "&amp;IF(LEN(INDEX('Providers'!$A$4:$A$503,232))=0,"",INDEX('Providers'!$A$4:$A$503,232))</f>
        <v/>
      </c>
      <c r="E2235">
        <f>IF(ISNUMBER(INDEX('Providers'!$Q$4:$Q$503,232)),TEXT(INDEX('Providers'!$Q$4:$Q$503,232),"yyyy-mm-dd"),"")</f>
        <v/>
      </c>
      <c r="F2235">
        <f>"Insurance"</f>
        <v/>
      </c>
      <c r="G2235">
        <f>""</f>
        <v/>
      </c>
      <c r="H2235">
        <f>"High"</f>
        <v/>
      </c>
      <c r="I2235">
        <f>TRIM(IF(LEN(IF(LEN(INDEX('Providers'!$N$4:$N$503,232))=0,"",INDEX('Providers'!$N$4:$N$503,232)))=0,"","Carrier: "&amp;IF(LEN(INDEX('Providers'!$N$4:$N$503,232))=0,"",INDEX('Providers'!$N$4:$N$503,232))&amp;". ")&amp;IF(LEN(IF(LEN(INDEX('Providers'!$O$4:$O$503,232))=0,"",INDEX('Providers'!$O$4:$O$503,232)))=0,"","Policy no.: "&amp;IF(LEN(INDEX('Providers'!$O$4:$O$503,232))=0,"",INDEX('Providers'!$O$4:$O$503,232))&amp;". ")&amp;IF(LEN(IF(LEN(INDEX('Providers'!$P$4:$P$503,232))=0,"",INDEX('Providers'!$P$4:$P$503,232)))=0,"","Coverage form: "&amp;IF(LEN(INDEX('Providers'!$P$4:$P$503,232))=0,"",INDEX('Providers'!$P$4:$P$503,232))&amp;". "))</f>
        <v/>
      </c>
      <c r="J2235">
        <f>IF(LEN(INDEX('Providers'!$AJ$4:$AJ$503,232))=0,"",INDEX('Providers'!$AJ$4:$AJ$503,232))</f>
        <v/>
      </c>
      <c r="K2235">
        <f>IF(LEN(INDEX('Providers'!$AI$4:$AI$503,232))=0,"",INDEX('Providers'!$AI$4:$AI$503,232))</f>
        <v/>
      </c>
    </row>
    <row r="2236">
      <c r="A2236">
        <f>IF(AND(LEN('Providers'!A236)&gt;0,ISNUMBER('Providers'!Q236)),1,0)</f>
        <v/>
      </c>
      <c r="B2236">
        <f>B2235+A2236</f>
        <v/>
      </c>
      <c r="C2236">
        <f>IF(2233&gt;$B$4503,"",MATCH(2233-0.5,$B$3:$B$4503,1))</f>
        <v/>
      </c>
      <c r="D2236">
        <f>"Malpractice insurance – "&amp;IF(LEN(INDEX('Providers'!$A$4:$A$503,233))=0,"",INDEX('Providers'!$A$4:$A$503,233))</f>
        <v/>
      </c>
      <c r="E2236">
        <f>IF(ISNUMBER(INDEX('Providers'!$Q$4:$Q$503,233)),TEXT(INDEX('Providers'!$Q$4:$Q$503,233),"yyyy-mm-dd"),"")</f>
        <v/>
      </c>
      <c r="F2236">
        <f>"Insurance"</f>
        <v/>
      </c>
      <c r="G2236">
        <f>""</f>
        <v/>
      </c>
      <c r="H2236">
        <f>"High"</f>
        <v/>
      </c>
      <c r="I2236">
        <f>TRIM(IF(LEN(IF(LEN(INDEX('Providers'!$N$4:$N$503,233))=0,"",INDEX('Providers'!$N$4:$N$503,233)))=0,"","Carrier: "&amp;IF(LEN(INDEX('Providers'!$N$4:$N$503,233))=0,"",INDEX('Providers'!$N$4:$N$503,233))&amp;". ")&amp;IF(LEN(IF(LEN(INDEX('Providers'!$O$4:$O$503,233))=0,"",INDEX('Providers'!$O$4:$O$503,233)))=0,"","Policy no.: "&amp;IF(LEN(INDEX('Providers'!$O$4:$O$503,233))=0,"",INDEX('Providers'!$O$4:$O$503,233))&amp;". ")&amp;IF(LEN(IF(LEN(INDEX('Providers'!$P$4:$P$503,233))=0,"",INDEX('Providers'!$P$4:$P$503,233)))=0,"","Coverage form: "&amp;IF(LEN(INDEX('Providers'!$P$4:$P$503,233))=0,"",INDEX('Providers'!$P$4:$P$503,233))&amp;". "))</f>
        <v/>
      </c>
      <c r="J2236">
        <f>IF(LEN(INDEX('Providers'!$AJ$4:$AJ$503,233))=0,"",INDEX('Providers'!$AJ$4:$AJ$503,233))</f>
        <v/>
      </c>
      <c r="K2236">
        <f>IF(LEN(INDEX('Providers'!$AI$4:$AI$503,233))=0,"",INDEX('Providers'!$AI$4:$AI$503,233))</f>
        <v/>
      </c>
    </row>
    <row r="2237">
      <c r="A2237">
        <f>IF(AND(LEN('Providers'!A237)&gt;0,ISNUMBER('Providers'!Q237)),1,0)</f>
        <v/>
      </c>
      <c r="B2237">
        <f>B2236+A2237</f>
        <v/>
      </c>
      <c r="C2237">
        <f>IF(2234&gt;$B$4503,"",MATCH(2234-0.5,$B$3:$B$4503,1))</f>
        <v/>
      </c>
      <c r="D2237">
        <f>"Malpractice insurance – "&amp;IF(LEN(INDEX('Providers'!$A$4:$A$503,234))=0,"",INDEX('Providers'!$A$4:$A$503,234))</f>
        <v/>
      </c>
      <c r="E2237">
        <f>IF(ISNUMBER(INDEX('Providers'!$Q$4:$Q$503,234)),TEXT(INDEX('Providers'!$Q$4:$Q$503,234),"yyyy-mm-dd"),"")</f>
        <v/>
      </c>
      <c r="F2237">
        <f>"Insurance"</f>
        <v/>
      </c>
      <c r="G2237">
        <f>""</f>
        <v/>
      </c>
      <c r="H2237">
        <f>"High"</f>
        <v/>
      </c>
      <c r="I2237">
        <f>TRIM(IF(LEN(IF(LEN(INDEX('Providers'!$N$4:$N$503,234))=0,"",INDEX('Providers'!$N$4:$N$503,234)))=0,"","Carrier: "&amp;IF(LEN(INDEX('Providers'!$N$4:$N$503,234))=0,"",INDEX('Providers'!$N$4:$N$503,234))&amp;". ")&amp;IF(LEN(IF(LEN(INDEX('Providers'!$O$4:$O$503,234))=0,"",INDEX('Providers'!$O$4:$O$503,234)))=0,"","Policy no.: "&amp;IF(LEN(INDEX('Providers'!$O$4:$O$503,234))=0,"",INDEX('Providers'!$O$4:$O$503,234))&amp;". ")&amp;IF(LEN(IF(LEN(INDEX('Providers'!$P$4:$P$503,234))=0,"",INDEX('Providers'!$P$4:$P$503,234)))=0,"","Coverage form: "&amp;IF(LEN(INDEX('Providers'!$P$4:$P$503,234))=0,"",INDEX('Providers'!$P$4:$P$503,234))&amp;". "))</f>
        <v/>
      </c>
      <c r="J2237">
        <f>IF(LEN(INDEX('Providers'!$AJ$4:$AJ$503,234))=0,"",INDEX('Providers'!$AJ$4:$AJ$503,234))</f>
        <v/>
      </c>
      <c r="K2237">
        <f>IF(LEN(INDEX('Providers'!$AI$4:$AI$503,234))=0,"",INDEX('Providers'!$AI$4:$AI$503,234))</f>
        <v/>
      </c>
    </row>
    <row r="2238">
      <c r="A2238">
        <f>IF(AND(LEN('Providers'!A238)&gt;0,ISNUMBER('Providers'!Q238)),1,0)</f>
        <v/>
      </c>
      <c r="B2238">
        <f>B2237+A2238</f>
        <v/>
      </c>
      <c r="C2238">
        <f>IF(2235&gt;$B$4503,"",MATCH(2235-0.5,$B$3:$B$4503,1))</f>
        <v/>
      </c>
      <c r="D2238">
        <f>"Malpractice insurance – "&amp;IF(LEN(INDEX('Providers'!$A$4:$A$503,235))=0,"",INDEX('Providers'!$A$4:$A$503,235))</f>
        <v/>
      </c>
      <c r="E2238">
        <f>IF(ISNUMBER(INDEX('Providers'!$Q$4:$Q$503,235)),TEXT(INDEX('Providers'!$Q$4:$Q$503,235),"yyyy-mm-dd"),"")</f>
        <v/>
      </c>
      <c r="F2238">
        <f>"Insurance"</f>
        <v/>
      </c>
      <c r="G2238">
        <f>""</f>
        <v/>
      </c>
      <c r="H2238">
        <f>"High"</f>
        <v/>
      </c>
      <c r="I2238">
        <f>TRIM(IF(LEN(IF(LEN(INDEX('Providers'!$N$4:$N$503,235))=0,"",INDEX('Providers'!$N$4:$N$503,235)))=0,"","Carrier: "&amp;IF(LEN(INDEX('Providers'!$N$4:$N$503,235))=0,"",INDEX('Providers'!$N$4:$N$503,235))&amp;". ")&amp;IF(LEN(IF(LEN(INDEX('Providers'!$O$4:$O$503,235))=0,"",INDEX('Providers'!$O$4:$O$503,235)))=0,"","Policy no.: "&amp;IF(LEN(INDEX('Providers'!$O$4:$O$503,235))=0,"",INDEX('Providers'!$O$4:$O$503,235))&amp;". ")&amp;IF(LEN(IF(LEN(INDEX('Providers'!$P$4:$P$503,235))=0,"",INDEX('Providers'!$P$4:$P$503,235)))=0,"","Coverage form: "&amp;IF(LEN(INDEX('Providers'!$P$4:$P$503,235))=0,"",INDEX('Providers'!$P$4:$P$503,235))&amp;". "))</f>
        <v/>
      </c>
      <c r="J2238">
        <f>IF(LEN(INDEX('Providers'!$AJ$4:$AJ$503,235))=0,"",INDEX('Providers'!$AJ$4:$AJ$503,235))</f>
        <v/>
      </c>
      <c r="K2238">
        <f>IF(LEN(INDEX('Providers'!$AI$4:$AI$503,235))=0,"",INDEX('Providers'!$AI$4:$AI$503,235))</f>
        <v/>
      </c>
    </row>
    <row r="2239">
      <c r="A2239">
        <f>IF(AND(LEN('Providers'!A239)&gt;0,ISNUMBER('Providers'!Q239)),1,0)</f>
        <v/>
      </c>
      <c r="B2239">
        <f>B2238+A2239</f>
        <v/>
      </c>
      <c r="C2239">
        <f>IF(2236&gt;$B$4503,"",MATCH(2236-0.5,$B$3:$B$4503,1))</f>
        <v/>
      </c>
      <c r="D2239">
        <f>"Malpractice insurance – "&amp;IF(LEN(INDEX('Providers'!$A$4:$A$503,236))=0,"",INDEX('Providers'!$A$4:$A$503,236))</f>
        <v/>
      </c>
      <c r="E2239">
        <f>IF(ISNUMBER(INDEX('Providers'!$Q$4:$Q$503,236)),TEXT(INDEX('Providers'!$Q$4:$Q$503,236),"yyyy-mm-dd"),"")</f>
        <v/>
      </c>
      <c r="F2239">
        <f>"Insurance"</f>
        <v/>
      </c>
      <c r="G2239">
        <f>""</f>
        <v/>
      </c>
      <c r="H2239">
        <f>"High"</f>
        <v/>
      </c>
      <c r="I2239">
        <f>TRIM(IF(LEN(IF(LEN(INDEX('Providers'!$N$4:$N$503,236))=0,"",INDEX('Providers'!$N$4:$N$503,236)))=0,"","Carrier: "&amp;IF(LEN(INDEX('Providers'!$N$4:$N$503,236))=0,"",INDEX('Providers'!$N$4:$N$503,236))&amp;". ")&amp;IF(LEN(IF(LEN(INDEX('Providers'!$O$4:$O$503,236))=0,"",INDEX('Providers'!$O$4:$O$503,236)))=0,"","Policy no.: "&amp;IF(LEN(INDEX('Providers'!$O$4:$O$503,236))=0,"",INDEX('Providers'!$O$4:$O$503,236))&amp;". ")&amp;IF(LEN(IF(LEN(INDEX('Providers'!$P$4:$P$503,236))=0,"",INDEX('Providers'!$P$4:$P$503,236)))=0,"","Coverage form: "&amp;IF(LEN(INDEX('Providers'!$P$4:$P$503,236))=0,"",INDEX('Providers'!$P$4:$P$503,236))&amp;". "))</f>
        <v/>
      </c>
      <c r="J2239">
        <f>IF(LEN(INDEX('Providers'!$AJ$4:$AJ$503,236))=0,"",INDEX('Providers'!$AJ$4:$AJ$503,236))</f>
        <v/>
      </c>
      <c r="K2239">
        <f>IF(LEN(INDEX('Providers'!$AI$4:$AI$503,236))=0,"",INDEX('Providers'!$AI$4:$AI$503,236))</f>
        <v/>
      </c>
    </row>
    <row r="2240">
      <c r="A2240">
        <f>IF(AND(LEN('Providers'!A240)&gt;0,ISNUMBER('Providers'!Q240)),1,0)</f>
        <v/>
      </c>
      <c r="B2240">
        <f>B2239+A2240</f>
        <v/>
      </c>
      <c r="C2240">
        <f>IF(2237&gt;$B$4503,"",MATCH(2237-0.5,$B$3:$B$4503,1))</f>
        <v/>
      </c>
      <c r="D2240">
        <f>"Malpractice insurance – "&amp;IF(LEN(INDEX('Providers'!$A$4:$A$503,237))=0,"",INDEX('Providers'!$A$4:$A$503,237))</f>
        <v/>
      </c>
      <c r="E2240">
        <f>IF(ISNUMBER(INDEX('Providers'!$Q$4:$Q$503,237)),TEXT(INDEX('Providers'!$Q$4:$Q$503,237),"yyyy-mm-dd"),"")</f>
        <v/>
      </c>
      <c r="F2240">
        <f>"Insurance"</f>
        <v/>
      </c>
      <c r="G2240">
        <f>""</f>
        <v/>
      </c>
      <c r="H2240">
        <f>"High"</f>
        <v/>
      </c>
      <c r="I2240">
        <f>TRIM(IF(LEN(IF(LEN(INDEX('Providers'!$N$4:$N$503,237))=0,"",INDEX('Providers'!$N$4:$N$503,237)))=0,"","Carrier: "&amp;IF(LEN(INDEX('Providers'!$N$4:$N$503,237))=0,"",INDEX('Providers'!$N$4:$N$503,237))&amp;". ")&amp;IF(LEN(IF(LEN(INDEX('Providers'!$O$4:$O$503,237))=0,"",INDEX('Providers'!$O$4:$O$503,237)))=0,"","Policy no.: "&amp;IF(LEN(INDEX('Providers'!$O$4:$O$503,237))=0,"",INDEX('Providers'!$O$4:$O$503,237))&amp;". ")&amp;IF(LEN(IF(LEN(INDEX('Providers'!$P$4:$P$503,237))=0,"",INDEX('Providers'!$P$4:$P$503,237)))=0,"","Coverage form: "&amp;IF(LEN(INDEX('Providers'!$P$4:$P$503,237))=0,"",INDEX('Providers'!$P$4:$P$503,237))&amp;". "))</f>
        <v/>
      </c>
      <c r="J2240">
        <f>IF(LEN(INDEX('Providers'!$AJ$4:$AJ$503,237))=0,"",INDEX('Providers'!$AJ$4:$AJ$503,237))</f>
        <v/>
      </c>
      <c r="K2240">
        <f>IF(LEN(INDEX('Providers'!$AI$4:$AI$503,237))=0,"",INDEX('Providers'!$AI$4:$AI$503,237))</f>
        <v/>
      </c>
    </row>
    <row r="2241">
      <c r="A2241">
        <f>IF(AND(LEN('Providers'!A241)&gt;0,ISNUMBER('Providers'!Q241)),1,0)</f>
        <v/>
      </c>
      <c r="B2241">
        <f>B2240+A2241</f>
        <v/>
      </c>
      <c r="C2241">
        <f>IF(2238&gt;$B$4503,"",MATCH(2238-0.5,$B$3:$B$4503,1))</f>
        <v/>
      </c>
      <c r="D2241">
        <f>"Malpractice insurance – "&amp;IF(LEN(INDEX('Providers'!$A$4:$A$503,238))=0,"",INDEX('Providers'!$A$4:$A$503,238))</f>
        <v/>
      </c>
      <c r="E2241">
        <f>IF(ISNUMBER(INDEX('Providers'!$Q$4:$Q$503,238)),TEXT(INDEX('Providers'!$Q$4:$Q$503,238),"yyyy-mm-dd"),"")</f>
        <v/>
      </c>
      <c r="F2241">
        <f>"Insurance"</f>
        <v/>
      </c>
      <c r="G2241">
        <f>""</f>
        <v/>
      </c>
      <c r="H2241">
        <f>"High"</f>
        <v/>
      </c>
      <c r="I2241">
        <f>TRIM(IF(LEN(IF(LEN(INDEX('Providers'!$N$4:$N$503,238))=0,"",INDEX('Providers'!$N$4:$N$503,238)))=0,"","Carrier: "&amp;IF(LEN(INDEX('Providers'!$N$4:$N$503,238))=0,"",INDEX('Providers'!$N$4:$N$503,238))&amp;". ")&amp;IF(LEN(IF(LEN(INDEX('Providers'!$O$4:$O$503,238))=0,"",INDEX('Providers'!$O$4:$O$503,238)))=0,"","Policy no.: "&amp;IF(LEN(INDEX('Providers'!$O$4:$O$503,238))=0,"",INDEX('Providers'!$O$4:$O$503,238))&amp;". ")&amp;IF(LEN(IF(LEN(INDEX('Providers'!$P$4:$P$503,238))=0,"",INDEX('Providers'!$P$4:$P$503,238)))=0,"","Coverage form: "&amp;IF(LEN(INDEX('Providers'!$P$4:$P$503,238))=0,"",INDEX('Providers'!$P$4:$P$503,238))&amp;". "))</f>
        <v/>
      </c>
      <c r="J2241">
        <f>IF(LEN(INDEX('Providers'!$AJ$4:$AJ$503,238))=0,"",INDEX('Providers'!$AJ$4:$AJ$503,238))</f>
        <v/>
      </c>
      <c r="K2241">
        <f>IF(LEN(INDEX('Providers'!$AI$4:$AI$503,238))=0,"",INDEX('Providers'!$AI$4:$AI$503,238))</f>
        <v/>
      </c>
    </row>
    <row r="2242">
      <c r="A2242">
        <f>IF(AND(LEN('Providers'!A242)&gt;0,ISNUMBER('Providers'!Q242)),1,0)</f>
        <v/>
      </c>
      <c r="B2242">
        <f>B2241+A2242</f>
        <v/>
      </c>
      <c r="C2242">
        <f>IF(2239&gt;$B$4503,"",MATCH(2239-0.5,$B$3:$B$4503,1))</f>
        <v/>
      </c>
      <c r="D2242">
        <f>"Malpractice insurance – "&amp;IF(LEN(INDEX('Providers'!$A$4:$A$503,239))=0,"",INDEX('Providers'!$A$4:$A$503,239))</f>
        <v/>
      </c>
      <c r="E2242">
        <f>IF(ISNUMBER(INDEX('Providers'!$Q$4:$Q$503,239)),TEXT(INDEX('Providers'!$Q$4:$Q$503,239),"yyyy-mm-dd"),"")</f>
        <v/>
      </c>
      <c r="F2242">
        <f>"Insurance"</f>
        <v/>
      </c>
      <c r="G2242">
        <f>""</f>
        <v/>
      </c>
      <c r="H2242">
        <f>"High"</f>
        <v/>
      </c>
      <c r="I2242">
        <f>TRIM(IF(LEN(IF(LEN(INDEX('Providers'!$N$4:$N$503,239))=0,"",INDEX('Providers'!$N$4:$N$503,239)))=0,"","Carrier: "&amp;IF(LEN(INDEX('Providers'!$N$4:$N$503,239))=0,"",INDEX('Providers'!$N$4:$N$503,239))&amp;". ")&amp;IF(LEN(IF(LEN(INDEX('Providers'!$O$4:$O$503,239))=0,"",INDEX('Providers'!$O$4:$O$503,239)))=0,"","Policy no.: "&amp;IF(LEN(INDEX('Providers'!$O$4:$O$503,239))=0,"",INDEX('Providers'!$O$4:$O$503,239))&amp;". ")&amp;IF(LEN(IF(LEN(INDEX('Providers'!$P$4:$P$503,239))=0,"",INDEX('Providers'!$P$4:$P$503,239)))=0,"","Coverage form: "&amp;IF(LEN(INDEX('Providers'!$P$4:$P$503,239))=0,"",INDEX('Providers'!$P$4:$P$503,239))&amp;". "))</f>
        <v/>
      </c>
      <c r="J2242">
        <f>IF(LEN(INDEX('Providers'!$AJ$4:$AJ$503,239))=0,"",INDEX('Providers'!$AJ$4:$AJ$503,239))</f>
        <v/>
      </c>
      <c r="K2242">
        <f>IF(LEN(INDEX('Providers'!$AI$4:$AI$503,239))=0,"",INDEX('Providers'!$AI$4:$AI$503,239))</f>
        <v/>
      </c>
    </row>
    <row r="2243">
      <c r="A2243">
        <f>IF(AND(LEN('Providers'!A243)&gt;0,ISNUMBER('Providers'!Q243)),1,0)</f>
        <v/>
      </c>
      <c r="B2243">
        <f>B2242+A2243</f>
        <v/>
      </c>
      <c r="C2243">
        <f>IF(2240&gt;$B$4503,"",MATCH(2240-0.5,$B$3:$B$4503,1))</f>
        <v/>
      </c>
      <c r="D2243">
        <f>"Malpractice insurance – "&amp;IF(LEN(INDEX('Providers'!$A$4:$A$503,240))=0,"",INDEX('Providers'!$A$4:$A$503,240))</f>
        <v/>
      </c>
      <c r="E2243">
        <f>IF(ISNUMBER(INDEX('Providers'!$Q$4:$Q$503,240)),TEXT(INDEX('Providers'!$Q$4:$Q$503,240),"yyyy-mm-dd"),"")</f>
        <v/>
      </c>
      <c r="F2243">
        <f>"Insurance"</f>
        <v/>
      </c>
      <c r="G2243">
        <f>""</f>
        <v/>
      </c>
      <c r="H2243">
        <f>"High"</f>
        <v/>
      </c>
      <c r="I2243">
        <f>TRIM(IF(LEN(IF(LEN(INDEX('Providers'!$N$4:$N$503,240))=0,"",INDEX('Providers'!$N$4:$N$503,240)))=0,"","Carrier: "&amp;IF(LEN(INDEX('Providers'!$N$4:$N$503,240))=0,"",INDEX('Providers'!$N$4:$N$503,240))&amp;". ")&amp;IF(LEN(IF(LEN(INDEX('Providers'!$O$4:$O$503,240))=0,"",INDEX('Providers'!$O$4:$O$503,240)))=0,"","Policy no.: "&amp;IF(LEN(INDEX('Providers'!$O$4:$O$503,240))=0,"",INDEX('Providers'!$O$4:$O$503,240))&amp;". ")&amp;IF(LEN(IF(LEN(INDEX('Providers'!$P$4:$P$503,240))=0,"",INDEX('Providers'!$P$4:$P$503,240)))=0,"","Coverage form: "&amp;IF(LEN(INDEX('Providers'!$P$4:$P$503,240))=0,"",INDEX('Providers'!$P$4:$P$503,240))&amp;". "))</f>
        <v/>
      </c>
      <c r="J2243">
        <f>IF(LEN(INDEX('Providers'!$AJ$4:$AJ$503,240))=0,"",INDEX('Providers'!$AJ$4:$AJ$503,240))</f>
        <v/>
      </c>
      <c r="K2243">
        <f>IF(LEN(INDEX('Providers'!$AI$4:$AI$503,240))=0,"",INDEX('Providers'!$AI$4:$AI$503,240))</f>
        <v/>
      </c>
    </row>
    <row r="2244">
      <c r="A2244">
        <f>IF(AND(LEN('Providers'!A244)&gt;0,ISNUMBER('Providers'!Q244)),1,0)</f>
        <v/>
      </c>
      <c r="B2244">
        <f>B2243+A2244</f>
        <v/>
      </c>
      <c r="C2244">
        <f>IF(2241&gt;$B$4503,"",MATCH(2241-0.5,$B$3:$B$4503,1))</f>
        <v/>
      </c>
      <c r="D2244">
        <f>"Malpractice insurance – "&amp;IF(LEN(INDEX('Providers'!$A$4:$A$503,241))=0,"",INDEX('Providers'!$A$4:$A$503,241))</f>
        <v/>
      </c>
      <c r="E2244">
        <f>IF(ISNUMBER(INDEX('Providers'!$Q$4:$Q$503,241)),TEXT(INDEX('Providers'!$Q$4:$Q$503,241),"yyyy-mm-dd"),"")</f>
        <v/>
      </c>
      <c r="F2244">
        <f>"Insurance"</f>
        <v/>
      </c>
      <c r="G2244">
        <f>""</f>
        <v/>
      </c>
      <c r="H2244">
        <f>"High"</f>
        <v/>
      </c>
      <c r="I2244">
        <f>TRIM(IF(LEN(IF(LEN(INDEX('Providers'!$N$4:$N$503,241))=0,"",INDEX('Providers'!$N$4:$N$503,241)))=0,"","Carrier: "&amp;IF(LEN(INDEX('Providers'!$N$4:$N$503,241))=0,"",INDEX('Providers'!$N$4:$N$503,241))&amp;". ")&amp;IF(LEN(IF(LEN(INDEX('Providers'!$O$4:$O$503,241))=0,"",INDEX('Providers'!$O$4:$O$503,241)))=0,"","Policy no.: "&amp;IF(LEN(INDEX('Providers'!$O$4:$O$503,241))=0,"",INDEX('Providers'!$O$4:$O$503,241))&amp;". ")&amp;IF(LEN(IF(LEN(INDEX('Providers'!$P$4:$P$503,241))=0,"",INDEX('Providers'!$P$4:$P$503,241)))=0,"","Coverage form: "&amp;IF(LEN(INDEX('Providers'!$P$4:$P$503,241))=0,"",INDEX('Providers'!$P$4:$P$503,241))&amp;". "))</f>
        <v/>
      </c>
      <c r="J2244">
        <f>IF(LEN(INDEX('Providers'!$AJ$4:$AJ$503,241))=0,"",INDEX('Providers'!$AJ$4:$AJ$503,241))</f>
        <v/>
      </c>
      <c r="K2244">
        <f>IF(LEN(INDEX('Providers'!$AI$4:$AI$503,241))=0,"",INDEX('Providers'!$AI$4:$AI$503,241))</f>
        <v/>
      </c>
    </row>
    <row r="2245">
      <c r="A2245">
        <f>IF(AND(LEN('Providers'!A245)&gt;0,ISNUMBER('Providers'!Q245)),1,0)</f>
        <v/>
      </c>
      <c r="B2245">
        <f>B2244+A2245</f>
        <v/>
      </c>
      <c r="C2245">
        <f>IF(2242&gt;$B$4503,"",MATCH(2242-0.5,$B$3:$B$4503,1))</f>
        <v/>
      </c>
      <c r="D2245">
        <f>"Malpractice insurance – "&amp;IF(LEN(INDEX('Providers'!$A$4:$A$503,242))=0,"",INDEX('Providers'!$A$4:$A$503,242))</f>
        <v/>
      </c>
      <c r="E2245">
        <f>IF(ISNUMBER(INDEX('Providers'!$Q$4:$Q$503,242)),TEXT(INDEX('Providers'!$Q$4:$Q$503,242),"yyyy-mm-dd"),"")</f>
        <v/>
      </c>
      <c r="F2245">
        <f>"Insurance"</f>
        <v/>
      </c>
      <c r="G2245">
        <f>""</f>
        <v/>
      </c>
      <c r="H2245">
        <f>"High"</f>
        <v/>
      </c>
      <c r="I2245">
        <f>TRIM(IF(LEN(IF(LEN(INDEX('Providers'!$N$4:$N$503,242))=0,"",INDEX('Providers'!$N$4:$N$503,242)))=0,"","Carrier: "&amp;IF(LEN(INDEX('Providers'!$N$4:$N$503,242))=0,"",INDEX('Providers'!$N$4:$N$503,242))&amp;". ")&amp;IF(LEN(IF(LEN(INDEX('Providers'!$O$4:$O$503,242))=0,"",INDEX('Providers'!$O$4:$O$503,242)))=0,"","Policy no.: "&amp;IF(LEN(INDEX('Providers'!$O$4:$O$503,242))=0,"",INDEX('Providers'!$O$4:$O$503,242))&amp;". ")&amp;IF(LEN(IF(LEN(INDEX('Providers'!$P$4:$P$503,242))=0,"",INDEX('Providers'!$P$4:$P$503,242)))=0,"","Coverage form: "&amp;IF(LEN(INDEX('Providers'!$P$4:$P$503,242))=0,"",INDEX('Providers'!$P$4:$P$503,242))&amp;". "))</f>
        <v/>
      </c>
      <c r="J2245">
        <f>IF(LEN(INDEX('Providers'!$AJ$4:$AJ$503,242))=0,"",INDEX('Providers'!$AJ$4:$AJ$503,242))</f>
        <v/>
      </c>
      <c r="K2245">
        <f>IF(LEN(INDEX('Providers'!$AI$4:$AI$503,242))=0,"",INDEX('Providers'!$AI$4:$AI$503,242))</f>
        <v/>
      </c>
    </row>
    <row r="2246">
      <c r="A2246">
        <f>IF(AND(LEN('Providers'!A246)&gt;0,ISNUMBER('Providers'!Q246)),1,0)</f>
        <v/>
      </c>
      <c r="B2246">
        <f>B2245+A2246</f>
        <v/>
      </c>
      <c r="C2246">
        <f>IF(2243&gt;$B$4503,"",MATCH(2243-0.5,$B$3:$B$4503,1))</f>
        <v/>
      </c>
      <c r="D2246">
        <f>"Malpractice insurance – "&amp;IF(LEN(INDEX('Providers'!$A$4:$A$503,243))=0,"",INDEX('Providers'!$A$4:$A$503,243))</f>
        <v/>
      </c>
      <c r="E2246">
        <f>IF(ISNUMBER(INDEX('Providers'!$Q$4:$Q$503,243)),TEXT(INDEX('Providers'!$Q$4:$Q$503,243),"yyyy-mm-dd"),"")</f>
        <v/>
      </c>
      <c r="F2246">
        <f>"Insurance"</f>
        <v/>
      </c>
      <c r="G2246">
        <f>""</f>
        <v/>
      </c>
      <c r="H2246">
        <f>"High"</f>
        <v/>
      </c>
      <c r="I2246">
        <f>TRIM(IF(LEN(IF(LEN(INDEX('Providers'!$N$4:$N$503,243))=0,"",INDEX('Providers'!$N$4:$N$503,243)))=0,"","Carrier: "&amp;IF(LEN(INDEX('Providers'!$N$4:$N$503,243))=0,"",INDEX('Providers'!$N$4:$N$503,243))&amp;". ")&amp;IF(LEN(IF(LEN(INDEX('Providers'!$O$4:$O$503,243))=0,"",INDEX('Providers'!$O$4:$O$503,243)))=0,"","Policy no.: "&amp;IF(LEN(INDEX('Providers'!$O$4:$O$503,243))=0,"",INDEX('Providers'!$O$4:$O$503,243))&amp;". ")&amp;IF(LEN(IF(LEN(INDEX('Providers'!$P$4:$P$503,243))=0,"",INDEX('Providers'!$P$4:$P$503,243)))=0,"","Coverage form: "&amp;IF(LEN(INDEX('Providers'!$P$4:$P$503,243))=0,"",INDEX('Providers'!$P$4:$P$503,243))&amp;". "))</f>
        <v/>
      </c>
      <c r="J2246">
        <f>IF(LEN(INDEX('Providers'!$AJ$4:$AJ$503,243))=0,"",INDEX('Providers'!$AJ$4:$AJ$503,243))</f>
        <v/>
      </c>
      <c r="K2246">
        <f>IF(LEN(INDEX('Providers'!$AI$4:$AI$503,243))=0,"",INDEX('Providers'!$AI$4:$AI$503,243))</f>
        <v/>
      </c>
    </row>
    <row r="2247">
      <c r="A2247">
        <f>IF(AND(LEN('Providers'!A247)&gt;0,ISNUMBER('Providers'!Q247)),1,0)</f>
        <v/>
      </c>
      <c r="B2247">
        <f>B2246+A2247</f>
        <v/>
      </c>
      <c r="C2247">
        <f>IF(2244&gt;$B$4503,"",MATCH(2244-0.5,$B$3:$B$4503,1))</f>
        <v/>
      </c>
      <c r="D2247">
        <f>"Malpractice insurance – "&amp;IF(LEN(INDEX('Providers'!$A$4:$A$503,244))=0,"",INDEX('Providers'!$A$4:$A$503,244))</f>
        <v/>
      </c>
      <c r="E2247">
        <f>IF(ISNUMBER(INDEX('Providers'!$Q$4:$Q$503,244)),TEXT(INDEX('Providers'!$Q$4:$Q$503,244),"yyyy-mm-dd"),"")</f>
        <v/>
      </c>
      <c r="F2247">
        <f>"Insurance"</f>
        <v/>
      </c>
      <c r="G2247">
        <f>""</f>
        <v/>
      </c>
      <c r="H2247">
        <f>"High"</f>
        <v/>
      </c>
      <c r="I2247">
        <f>TRIM(IF(LEN(IF(LEN(INDEX('Providers'!$N$4:$N$503,244))=0,"",INDEX('Providers'!$N$4:$N$503,244)))=0,"","Carrier: "&amp;IF(LEN(INDEX('Providers'!$N$4:$N$503,244))=0,"",INDEX('Providers'!$N$4:$N$503,244))&amp;". ")&amp;IF(LEN(IF(LEN(INDEX('Providers'!$O$4:$O$503,244))=0,"",INDEX('Providers'!$O$4:$O$503,244)))=0,"","Policy no.: "&amp;IF(LEN(INDEX('Providers'!$O$4:$O$503,244))=0,"",INDEX('Providers'!$O$4:$O$503,244))&amp;". ")&amp;IF(LEN(IF(LEN(INDEX('Providers'!$P$4:$P$503,244))=0,"",INDEX('Providers'!$P$4:$P$503,244)))=0,"","Coverage form: "&amp;IF(LEN(INDEX('Providers'!$P$4:$P$503,244))=0,"",INDEX('Providers'!$P$4:$P$503,244))&amp;". "))</f>
        <v/>
      </c>
      <c r="J2247">
        <f>IF(LEN(INDEX('Providers'!$AJ$4:$AJ$503,244))=0,"",INDEX('Providers'!$AJ$4:$AJ$503,244))</f>
        <v/>
      </c>
      <c r="K2247">
        <f>IF(LEN(INDEX('Providers'!$AI$4:$AI$503,244))=0,"",INDEX('Providers'!$AI$4:$AI$503,244))</f>
        <v/>
      </c>
    </row>
    <row r="2248">
      <c r="A2248">
        <f>IF(AND(LEN('Providers'!A248)&gt;0,ISNUMBER('Providers'!Q248)),1,0)</f>
        <v/>
      </c>
      <c r="B2248">
        <f>B2247+A2248</f>
        <v/>
      </c>
      <c r="C2248">
        <f>IF(2245&gt;$B$4503,"",MATCH(2245-0.5,$B$3:$B$4503,1))</f>
        <v/>
      </c>
      <c r="D2248">
        <f>"Malpractice insurance – "&amp;IF(LEN(INDEX('Providers'!$A$4:$A$503,245))=0,"",INDEX('Providers'!$A$4:$A$503,245))</f>
        <v/>
      </c>
      <c r="E2248">
        <f>IF(ISNUMBER(INDEX('Providers'!$Q$4:$Q$503,245)),TEXT(INDEX('Providers'!$Q$4:$Q$503,245),"yyyy-mm-dd"),"")</f>
        <v/>
      </c>
      <c r="F2248">
        <f>"Insurance"</f>
        <v/>
      </c>
      <c r="G2248">
        <f>""</f>
        <v/>
      </c>
      <c r="H2248">
        <f>"High"</f>
        <v/>
      </c>
      <c r="I2248">
        <f>TRIM(IF(LEN(IF(LEN(INDEX('Providers'!$N$4:$N$503,245))=0,"",INDEX('Providers'!$N$4:$N$503,245)))=0,"","Carrier: "&amp;IF(LEN(INDEX('Providers'!$N$4:$N$503,245))=0,"",INDEX('Providers'!$N$4:$N$503,245))&amp;". ")&amp;IF(LEN(IF(LEN(INDEX('Providers'!$O$4:$O$503,245))=0,"",INDEX('Providers'!$O$4:$O$503,245)))=0,"","Policy no.: "&amp;IF(LEN(INDEX('Providers'!$O$4:$O$503,245))=0,"",INDEX('Providers'!$O$4:$O$503,245))&amp;". ")&amp;IF(LEN(IF(LEN(INDEX('Providers'!$P$4:$P$503,245))=0,"",INDEX('Providers'!$P$4:$P$503,245)))=0,"","Coverage form: "&amp;IF(LEN(INDEX('Providers'!$P$4:$P$503,245))=0,"",INDEX('Providers'!$P$4:$P$503,245))&amp;". "))</f>
        <v/>
      </c>
      <c r="J2248">
        <f>IF(LEN(INDEX('Providers'!$AJ$4:$AJ$503,245))=0,"",INDEX('Providers'!$AJ$4:$AJ$503,245))</f>
        <v/>
      </c>
      <c r="K2248">
        <f>IF(LEN(INDEX('Providers'!$AI$4:$AI$503,245))=0,"",INDEX('Providers'!$AI$4:$AI$503,245))</f>
        <v/>
      </c>
    </row>
    <row r="2249">
      <c r="A2249">
        <f>IF(AND(LEN('Providers'!A249)&gt;0,ISNUMBER('Providers'!Q249)),1,0)</f>
        <v/>
      </c>
      <c r="B2249">
        <f>B2248+A2249</f>
        <v/>
      </c>
      <c r="C2249">
        <f>IF(2246&gt;$B$4503,"",MATCH(2246-0.5,$B$3:$B$4503,1))</f>
        <v/>
      </c>
      <c r="D2249">
        <f>"Malpractice insurance – "&amp;IF(LEN(INDEX('Providers'!$A$4:$A$503,246))=0,"",INDEX('Providers'!$A$4:$A$503,246))</f>
        <v/>
      </c>
      <c r="E2249">
        <f>IF(ISNUMBER(INDEX('Providers'!$Q$4:$Q$503,246)),TEXT(INDEX('Providers'!$Q$4:$Q$503,246),"yyyy-mm-dd"),"")</f>
        <v/>
      </c>
      <c r="F2249">
        <f>"Insurance"</f>
        <v/>
      </c>
      <c r="G2249">
        <f>""</f>
        <v/>
      </c>
      <c r="H2249">
        <f>"High"</f>
        <v/>
      </c>
      <c r="I2249">
        <f>TRIM(IF(LEN(IF(LEN(INDEX('Providers'!$N$4:$N$503,246))=0,"",INDEX('Providers'!$N$4:$N$503,246)))=0,"","Carrier: "&amp;IF(LEN(INDEX('Providers'!$N$4:$N$503,246))=0,"",INDEX('Providers'!$N$4:$N$503,246))&amp;". ")&amp;IF(LEN(IF(LEN(INDEX('Providers'!$O$4:$O$503,246))=0,"",INDEX('Providers'!$O$4:$O$503,246)))=0,"","Policy no.: "&amp;IF(LEN(INDEX('Providers'!$O$4:$O$503,246))=0,"",INDEX('Providers'!$O$4:$O$503,246))&amp;". ")&amp;IF(LEN(IF(LEN(INDEX('Providers'!$P$4:$P$503,246))=0,"",INDEX('Providers'!$P$4:$P$503,246)))=0,"","Coverage form: "&amp;IF(LEN(INDEX('Providers'!$P$4:$P$503,246))=0,"",INDEX('Providers'!$P$4:$P$503,246))&amp;". "))</f>
        <v/>
      </c>
      <c r="J2249">
        <f>IF(LEN(INDEX('Providers'!$AJ$4:$AJ$503,246))=0,"",INDEX('Providers'!$AJ$4:$AJ$503,246))</f>
        <v/>
      </c>
      <c r="K2249">
        <f>IF(LEN(INDEX('Providers'!$AI$4:$AI$503,246))=0,"",INDEX('Providers'!$AI$4:$AI$503,246))</f>
        <v/>
      </c>
    </row>
    <row r="2250">
      <c r="A2250">
        <f>IF(AND(LEN('Providers'!A250)&gt;0,ISNUMBER('Providers'!Q250)),1,0)</f>
        <v/>
      </c>
      <c r="B2250">
        <f>B2249+A2250</f>
        <v/>
      </c>
      <c r="C2250">
        <f>IF(2247&gt;$B$4503,"",MATCH(2247-0.5,$B$3:$B$4503,1))</f>
        <v/>
      </c>
      <c r="D2250">
        <f>"Malpractice insurance – "&amp;IF(LEN(INDEX('Providers'!$A$4:$A$503,247))=0,"",INDEX('Providers'!$A$4:$A$503,247))</f>
        <v/>
      </c>
      <c r="E2250">
        <f>IF(ISNUMBER(INDEX('Providers'!$Q$4:$Q$503,247)),TEXT(INDEX('Providers'!$Q$4:$Q$503,247),"yyyy-mm-dd"),"")</f>
        <v/>
      </c>
      <c r="F2250">
        <f>"Insurance"</f>
        <v/>
      </c>
      <c r="G2250">
        <f>""</f>
        <v/>
      </c>
      <c r="H2250">
        <f>"High"</f>
        <v/>
      </c>
      <c r="I2250">
        <f>TRIM(IF(LEN(IF(LEN(INDEX('Providers'!$N$4:$N$503,247))=0,"",INDEX('Providers'!$N$4:$N$503,247)))=0,"","Carrier: "&amp;IF(LEN(INDEX('Providers'!$N$4:$N$503,247))=0,"",INDEX('Providers'!$N$4:$N$503,247))&amp;". ")&amp;IF(LEN(IF(LEN(INDEX('Providers'!$O$4:$O$503,247))=0,"",INDEX('Providers'!$O$4:$O$503,247)))=0,"","Policy no.: "&amp;IF(LEN(INDEX('Providers'!$O$4:$O$503,247))=0,"",INDEX('Providers'!$O$4:$O$503,247))&amp;". ")&amp;IF(LEN(IF(LEN(INDEX('Providers'!$P$4:$P$503,247))=0,"",INDEX('Providers'!$P$4:$P$503,247)))=0,"","Coverage form: "&amp;IF(LEN(INDEX('Providers'!$P$4:$P$503,247))=0,"",INDEX('Providers'!$P$4:$P$503,247))&amp;". "))</f>
        <v/>
      </c>
      <c r="J2250">
        <f>IF(LEN(INDEX('Providers'!$AJ$4:$AJ$503,247))=0,"",INDEX('Providers'!$AJ$4:$AJ$503,247))</f>
        <v/>
      </c>
      <c r="K2250">
        <f>IF(LEN(INDEX('Providers'!$AI$4:$AI$503,247))=0,"",INDEX('Providers'!$AI$4:$AI$503,247))</f>
        <v/>
      </c>
    </row>
    <row r="2251">
      <c r="A2251">
        <f>IF(AND(LEN('Providers'!A251)&gt;0,ISNUMBER('Providers'!Q251)),1,0)</f>
        <v/>
      </c>
      <c r="B2251">
        <f>B2250+A2251</f>
        <v/>
      </c>
      <c r="C2251">
        <f>IF(2248&gt;$B$4503,"",MATCH(2248-0.5,$B$3:$B$4503,1))</f>
        <v/>
      </c>
      <c r="D2251">
        <f>"Malpractice insurance – "&amp;IF(LEN(INDEX('Providers'!$A$4:$A$503,248))=0,"",INDEX('Providers'!$A$4:$A$503,248))</f>
        <v/>
      </c>
      <c r="E2251">
        <f>IF(ISNUMBER(INDEX('Providers'!$Q$4:$Q$503,248)),TEXT(INDEX('Providers'!$Q$4:$Q$503,248),"yyyy-mm-dd"),"")</f>
        <v/>
      </c>
      <c r="F2251">
        <f>"Insurance"</f>
        <v/>
      </c>
      <c r="G2251">
        <f>""</f>
        <v/>
      </c>
      <c r="H2251">
        <f>"High"</f>
        <v/>
      </c>
      <c r="I2251">
        <f>TRIM(IF(LEN(IF(LEN(INDEX('Providers'!$N$4:$N$503,248))=0,"",INDEX('Providers'!$N$4:$N$503,248)))=0,"","Carrier: "&amp;IF(LEN(INDEX('Providers'!$N$4:$N$503,248))=0,"",INDEX('Providers'!$N$4:$N$503,248))&amp;". ")&amp;IF(LEN(IF(LEN(INDEX('Providers'!$O$4:$O$503,248))=0,"",INDEX('Providers'!$O$4:$O$503,248)))=0,"","Policy no.: "&amp;IF(LEN(INDEX('Providers'!$O$4:$O$503,248))=0,"",INDEX('Providers'!$O$4:$O$503,248))&amp;". ")&amp;IF(LEN(IF(LEN(INDEX('Providers'!$P$4:$P$503,248))=0,"",INDEX('Providers'!$P$4:$P$503,248)))=0,"","Coverage form: "&amp;IF(LEN(INDEX('Providers'!$P$4:$P$503,248))=0,"",INDEX('Providers'!$P$4:$P$503,248))&amp;". "))</f>
        <v/>
      </c>
      <c r="J2251">
        <f>IF(LEN(INDEX('Providers'!$AJ$4:$AJ$503,248))=0,"",INDEX('Providers'!$AJ$4:$AJ$503,248))</f>
        <v/>
      </c>
      <c r="K2251">
        <f>IF(LEN(INDEX('Providers'!$AI$4:$AI$503,248))=0,"",INDEX('Providers'!$AI$4:$AI$503,248))</f>
        <v/>
      </c>
    </row>
    <row r="2252">
      <c r="A2252">
        <f>IF(AND(LEN('Providers'!A252)&gt;0,ISNUMBER('Providers'!Q252)),1,0)</f>
        <v/>
      </c>
      <c r="B2252">
        <f>B2251+A2252</f>
        <v/>
      </c>
      <c r="C2252">
        <f>IF(2249&gt;$B$4503,"",MATCH(2249-0.5,$B$3:$B$4503,1))</f>
        <v/>
      </c>
      <c r="D2252">
        <f>"Malpractice insurance – "&amp;IF(LEN(INDEX('Providers'!$A$4:$A$503,249))=0,"",INDEX('Providers'!$A$4:$A$503,249))</f>
        <v/>
      </c>
      <c r="E2252">
        <f>IF(ISNUMBER(INDEX('Providers'!$Q$4:$Q$503,249)),TEXT(INDEX('Providers'!$Q$4:$Q$503,249),"yyyy-mm-dd"),"")</f>
        <v/>
      </c>
      <c r="F2252">
        <f>"Insurance"</f>
        <v/>
      </c>
      <c r="G2252">
        <f>""</f>
        <v/>
      </c>
      <c r="H2252">
        <f>"High"</f>
        <v/>
      </c>
      <c r="I2252">
        <f>TRIM(IF(LEN(IF(LEN(INDEX('Providers'!$N$4:$N$503,249))=0,"",INDEX('Providers'!$N$4:$N$503,249)))=0,"","Carrier: "&amp;IF(LEN(INDEX('Providers'!$N$4:$N$503,249))=0,"",INDEX('Providers'!$N$4:$N$503,249))&amp;". ")&amp;IF(LEN(IF(LEN(INDEX('Providers'!$O$4:$O$503,249))=0,"",INDEX('Providers'!$O$4:$O$503,249)))=0,"","Policy no.: "&amp;IF(LEN(INDEX('Providers'!$O$4:$O$503,249))=0,"",INDEX('Providers'!$O$4:$O$503,249))&amp;". ")&amp;IF(LEN(IF(LEN(INDEX('Providers'!$P$4:$P$503,249))=0,"",INDEX('Providers'!$P$4:$P$503,249)))=0,"","Coverage form: "&amp;IF(LEN(INDEX('Providers'!$P$4:$P$503,249))=0,"",INDEX('Providers'!$P$4:$P$503,249))&amp;". "))</f>
        <v/>
      </c>
      <c r="J2252">
        <f>IF(LEN(INDEX('Providers'!$AJ$4:$AJ$503,249))=0,"",INDEX('Providers'!$AJ$4:$AJ$503,249))</f>
        <v/>
      </c>
      <c r="K2252">
        <f>IF(LEN(INDEX('Providers'!$AI$4:$AI$503,249))=0,"",INDEX('Providers'!$AI$4:$AI$503,249))</f>
        <v/>
      </c>
    </row>
    <row r="2253">
      <c r="A2253">
        <f>IF(AND(LEN('Providers'!A253)&gt;0,ISNUMBER('Providers'!Q253)),1,0)</f>
        <v/>
      </c>
      <c r="B2253">
        <f>B2252+A2253</f>
        <v/>
      </c>
      <c r="C2253">
        <f>IF(2250&gt;$B$4503,"",MATCH(2250-0.5,$B$3:$B$4503,1))</f>
        <v/>
      </c>
      <c r="D2253">
        <f>"Malpractice insurance – "&amp;IF(LEN(INDEX('Providers'!$A$4:$A$503,250))=0,"",INDEX('Providers'!$A$4:$A$503,250))</f>
        <v/>
      </c>
      <c r="E2253">
        <f>IF(ISNUMBER(INDEX('Providers'!$Q$4:$Q$503,250)),TEXT(INDEX('Providers'!$Q$4:$Q$503,250),"yyyy-mm-dd"),"")</f>
        <v/>
      </c>
      <c r="F2253">
        <f>"Insurance"</f>
        <v/>
      </c>
      <c r="G2253">
        <f>""</f>
        <v/>
      </c>
      <c r="H2253">
        <f>"High"</f>
        <v/>
      </c>
      <c r="I2253">
        <f>TRIM(IF(LEN(IF(LEN(INDEX('Providers'!$N$4:$N$503,250))=0,"",INDEX('Providers'!$N$4:$N$503,250)))=0,"","Carrier: "&amp;IF(LEN(INDEX('Providers'!$N$4:$N$503,250))=0,"",INDEX('Providers'!$N$4:$N$503,250))&amp;". ")&amp;IF(LEN(IF(LEN(INDEX('Providers'!$O$4:$O$503,250))=0,"",INDEX('Providers'!$O$4:$O$503,250)))=0,"","Policy no.: "&amp;IF(LEN(INDEX('Providers'!$O$4:$O$503,250))=0,"",INDEX('Providers'!$O$4:$O$503,250))&amp;". ")&amp;IF(LEN(IF(LEN(INDEX('Providers'!$P$4:$P$503,250))=0,"",INDEX('Providers'!$P$4:$P$503,250)))=0,"","Coverage form: "&amp;IF(LEN(INDEX('Providers'!$P$4:$P$503,250))=0,"",INDEX('Providers'!$P$4:$P$503,250))&amp;". "))</f>
        <v/>
      </c>
      <c r="J2253">
        <f>IF(LEN(INDEX('Providers'!$AJ$4:$AJ$503,250))=0,"",INDEX('Providers'!$AJ$4:$AJ$503,250))</f>
        <v/>
      </c>
      <c r="K2253">
        <f>IF(LEN(INDEX('Providers'!$AI$4:$AI$503,250))=0,"",INDEX('Providers'!$AI$4:$AI$503,250))</f>
        <v/>
      </c>
    </row>
    <row r="2254">
      <c r="A2254">
        <f>IF(AND(LEN('Providers'!A254)&gt;0,ISNUMBER('Providers'!Q254)),1,0)</f>
        <v/>
      </c>
      <c r="B2254">
        <f>B2253+A2254</f>
        <v/>
      </c>
      <c r="C2254">
        <f>IF(2251&gt;$B$4503,"",MATCH(2251-0.5,$B$3:$B$4503,1))</f>
        <v/>
      </c>
      <c r="D2254">
        <f>"Malpractice insurance – "&amp;IF(LEN(INDEX('Providers'!$A$4:$A$503,251))=0,"",INDEX('Providers'!$A$4:$A$503,251))</f>
        <v/>
      </c>
      <c r="E2254">
        <f>IF(ISNUMBER(INDEX('Providers'!$Q$4:$Q$503,251)),TEXT(INDEX('Providers'!$Q$4:$Q$503,251),"yyyy-mm-dd"),"")</f>
        <v/>
      </c>
      <c r="F2254">
        <f>"Insurance"</f>
        <v/>
      </c>
      <c r="G2254">
        <f>""</f>
        <v/>
      </c>
      <c r="H2254">
        <f>"High"</f>
        <v/>
      </c>
      <c r="I2254">
        <f>TRIM(IF(LEN(IF(LEN(INDEX('Providers'!$N$4:$N$503,251))=0,"",INDEX('Providers'!$N$4:$N$503,251)))=0,"","Carrier: "&amp;IF(LEN(INDEX('Providers'!$N$4:$N$503,251))=0,"",INDEX('Providers'!$N$4:$N$503,251))&amp;". ")&amp;IF(LEN(IF(LEN(INDEX('Providers'!$O$4:$O$503,251))=0,"",INDEX('Providers'!$O$4:$O$503,251)))=0,"","Policy no.: "&amp;IF(LEN(INDEX('Providers'!$O$4:$O$503,251))=0,"",INDEX('Providers'!$O$4:$O$503,251))&amp;". ")&amp;IF(LEN(IF(LEN(INDEX('Providers'!$P$4:$P$503,251))=0,"",INDEX('Providers'!$P$4:$P$503,251)))=0,"","Coverage form: "&amp;IF(LEN(INDEX('Providers'!$P$4:$P$503,251))=0,"",INDEX('Providers'!$P$4:$P$503,251))&amp;". "))</f>
        <v/>
      </c>
      <c r="J2254">
        <f>IF(LEN(INDEX('Providers'!$AJ$4:$AJ$503,251))=0,"",INDEX('Providers'!$AJ$4:$AJ$503,251))</f>
        <v/>
      </c>
      <c r="K2254">
        <f>IF(LEN(INDEX('Providers'!$AI$4:$AI$503,251))=0,"",INDEX('Providers'!$AI$4:$AI$503,251))</f>
        <v/>
      </c>
    </row>
    <row r="2255">
      <c r="A2255">
        <f>IF(AND(LEN('Providers'!A255)&gt;0,ISNUMBER('Providers'!Q255)),1,0)</f>
        <v/>
      </c>
      <c r="B2255">
        <f>B2254+A2255</f>
        <v/>
      </c>
      <c r="C2255">
        <f>IF(2252&gt;$B$4503,"",MATCH(2252-0.5,$B$3:$B$4503,1))</f>
        <v/>
      </c>
      <c r="D2255">
        <f>"Malpractice insurance – "&amp;IF(LEN(INDEX('Providers'!$A$4:$A$503,252))=0,"",INDEX('Providers'!$A$4:$A$503,252))</f>
        <v/>
      </c>
      <c r="E2255">
        <f>IF(ISNUMBER(INDEX('Providers'!$Q$4:$Q$503,252)),TEXT(INDEX('Providers'!$Q$4:$Q$503,252),"yyyy-mm-dd"),"")</f>
        <v/>
      </c>
      <c r="F2255">
        <f>"Insurance"</f>
        <v/>
      </c>
      <c r="G2255">
        <f>""</f>
        <v/>
      </c>
      <c r="H2255">
        <f>"High"</f>
        <v/>
      </c>
      <c r="I2255">
        <f>TRIM(IF(LEN(IF(LEN(INDEX('Providers'!$N$4:$N$503,252))=0,"",INDEX('Providers'!$N$4:$N$503,252)))=0,"","Carrier: "&amp;IF(LEN(INDEX('Providers'!$N$4:$N$503,252))=0,"",INDEX('Providers'!$N$4:$N$503,252))&amp;". ")&amp;IF(LEN(IF(LEN(INDEX('Providers'!$O$4:$O$503,252))=0,"",INDEX('Providers'!$O$4:$O$503,252)))=0,"","Policy no.: "&amp;IF(LEN(INDEX('Providers'!$O$4:$O$503,252))=0,"",INDEX('Providers'!$O$4:$O$503,252))&amp;". ")&amp;IF(LEN(IF(LEN(INDEX('Providers'!$P$4:$P$503,252))=0,"",INDEX('Providers'!$P$4:$P$503,252)))=0,"","Coverage form: "&amp;IF(LEN(INDEX('Providers'!$P$4:$P$503,252))=0,"",INDEX('Providers'!$P$4:$P$503,252))&amp;". "))</f>
        <v/>
      </c>
      <c r="J2255">
        <f>IF(LEN(INDEX('Providers'!$AJ$4:$AJ$503,252))=0,"",INDEX('Providers'!$AJ$4:$AJ$503,252))</f>
        <v/>
      </c>
      <c r="K2255">
        <f>IF(LEN(INDEX('Providers'!$AI$4:$AI$503,252))=0,"",INDEX('Providers'!$AI$4:$AI$503,252))</f>
        <v/>
      </c>
    </row>
    <row r="2256">
      <c r="A2256">
        <f>IF(AND(LEN('Providers'!A256)&gt;0,ISNUMBER('Providers'!Q256)),1,0)</f>
        <v/>
      </c>
      <c r="B2256">
        <f>B2255+A2256</f>
        <v/>
      </c>
      <c r="C2256">
        <f>IF(2253&gt;$B$4503,"",MATCH(2253-0.5,$B$3:$B$4503,1))</f>
        <v/>
      </c>
      <c r="D2256">
        <f>"Malpractice insurance – "&amp;IF(LEN(INDEX('Providers'!$A$4:$A$503,253))=0,"",INDEX('Providers'!$A$4:$A$503,253))</f>
        <v/>
      </c>
      <c r="E2256">
        <f>IF(ISNUMBER(INDEX('Providers'!$Q$4:$Q$503,253)),TEXT(INDEX('Providers'!$Q$4:$Q$503,253),"yyyy-mm-dd"),"")</f>
        <v/>
      </c>
      <c r="F2256">
        <f>"Insurance"</f>
        <v/>
      </c>
      <c r="G2256">
        <f>""</f>
        <v/>
      </c>
      <c r="H2256">
        <f>"High"</f>
        <v/>
      </c>
      <c r="I2256">
        <f>TRIM(IF(LEN(IF(LEN(INDEX('Providers'!$N$4:$N$503,253))=0,"",INDEX('Providers'!$N$4:$N$503,253)))=0,"","Carrier: "&amp;IF(LEN(INDEX('Providers'!$N$4:$N$503,253))=0,"",INDEX('Providers'!$N$4:$N$503,253))&amp;". ")&amp;IF(LEN(IF(LEN(INDEX('Providers'!$O$4:$O$503,253))=0,"",INDEX('Providers'!$O$4:$O$503,253)))=0,"","Policy no.: "&amp;IF(LEN(INDEX('Providers'!$O$4:$O$503,253))=0,"",INDEX('Providers'!$O$4:$O$503,253))&amp;". ")&amp;IF(LEN(IF(LEN(INDEX('Providers'!$P$4:$P$503,253))=0,"",INDEX('Providers'!$P$4:$P$503,253)))=0,"","Coverage form: "&amp;IF(LEN(INDEX('Providers'!$P$4:$P$503,253))=0,"",INDEX('Providers'!$P$4:$P$503,253))&amp;". "))</f>
        <v/>
      </c>
      <c r="J2256">
        <f>IF(LEN(INDEX('Providers'!$AJ$4:$AJ$503,253))=0,"",INDEX('Providers'!$AJ$4:$AJ$503,253))</f>
        <v/>
      </c>
      <c r="K2256">
        <f>IF(LEN(INDEX('Providers'!$AI$4:$AI$503,253))=0,"",INDEX('Providers'!$AI$4:$AI$503,253))</f>
        <v/>
      </c>
    </row>
    <row r="2257">
      <c r="A2257">
        <f>IF(AND(LEN('Providers'!A257)&gt;0,ISNUMBER('Providers'!Q257)),1,0)</f>
        <v/>
      </c>
      <c r="B2257">
        <f>B2256+A2257</f>
        <v/>
      </c>
      <c r="C2257">
        <f>IF(2254&gt;$B$4503,"",MATCH(2254-0.5,$B$3:$B$4503,1))</f>
        <v/>
      </c>
      <c r="D2257">
        <f>"Malpractice insurance – "&amp;IF(LEN(INDEX('Providers'!$A$4:$A$503,254))=0,"",INDEX('Providers'!$A$4:$A$503,254))</f>
        <v/>
      </c>
      <c r="E2257">
        <f>IF(ISNUMBER(INDEX('Providers'!$Q$4:$Q$503,254)),TEXT(INDEX('Providers'!$Q$4:$Q$503,254),"yyyy-mm-dd"),"")</f>
        <v/>
      </c>
      <c r="F2257">
        <f>"Insurance"</f>
        <v/>
      </c>
      <c r="G2257">
        <f>""</f>
        <v/>
      </c>
      <c r="H2257">
        <f>"High"</f>
        <v/>
      </c>
      <c r="I2257">
        <f>TRIM(IF(LEN(IF(LEN(INDEX('Providers'!$N$4:$N$503,254))=0,"",INDEX('Providers'!$N$4:$N$503,254)))=0,"","Carrier: "&amp;IF(LEN(INDEX('Providers'!$N$4:$N$503,254))=0,"",INDEX('Providers'!$N$4:$N$503,254))&amp;". ")&amp;IF(LEN(IF(LEN(INDEX('Providers'!$O$4:$O$503,254))=0,"",INDEX('Providers'!$O$4:$O$503,254)))=0,"","Policy no.: "&amp;IF(LEN(INDEX('Providers'!$O$4:$O$503,254))=0,"",INDEX('Providers'!$O$4:$O$503,254))&amp;". ")&amp;IF(LEN(IF(LEN(INDEX('Providers'!$P$4:$P$503,254))=0,"",INDEX('Providers'!$P$4:$P$503,254)))=0,"","Coverage form: "&amp;IF(LEN(INDEX('Providers'!$P$4:$P$503,254))=0,"",INDEX('Providers'!$P$4:$P$503,254))&amp;". "))</f>
        <v/>
      </c>
      <c r="J2257">
        <f>IF(LEN(INDEX('Providers'!$AJ$4:$AJ$503,254))=0,"",INDEX('Providers'!$AJ$4:$AJ$503,254))</f>
        <v/>
      </c>
      <c r="K2257">
        <f>IF(LEN(INDEX('Providers'!$AI$4:$AI$503,254))=0,"",INDEX('Providers'!$AI$4:$AI$503,254))</f>
        <v/>
      </c>
    </row>
    <row r="2258">
      <c r="A2258">
        <f>IF(AND(LEN('Providers'!A258)&gt;0,ISNUMBER('Providers'!Q258)),1,0)</f>
        <v/>
      </c>
      <c r="B2258">
        <f>B2257+A2258</f>
        <v/>
      </c>
      <c r="C2258">
        <f>IF(2255&gt;$B$4503,"",MATCH(2255-0.5,$B$3:$B$4503,1))</f>
        <v/>
      </c>
      <c r="D2258">
        <f>"Malpractice insurance – "&amp;IF(LEN(INDEX('Providers'!$A$4:$A$503,255))=0,"",INDEX('Providers'!$A$4:$A$503,255))</f>
        <v/>
      </c>
      <c r="E2258">
        <f>IF(ISNUMBER(INDEX('Providers'!$Q$4:$Q$503,255)),TEXT(INDEX('Providers'!$Q$4:$Q$503,255),"yyyy-mm-dd"),"")</f>
        <v/>
      </c>
      <c r="F2258">
        <f>"Insurance"</f>
        <v/>
      </c>
      <c r="G2258">
        <f>""</f>
        <v/>
      </c>
      <c r="H2258">
        <f>"High"</f>
        <v/>
      </c>
      <c r="I2258">
        <f>TRIM(IF(LEN(IF(LEN(INDEX('Providers'!$N$4:$N$503,255))=0,"",INDEX('Providers'!$N$4:$N$503,255)))=0,"","Carrier: "&amp;IF(LEN(INDEX('Providers'!$N$4:$N$503,255))=0,"",INDEX('Providers'!$N$4:$N$503,255))&amp;". ")&amp;IF(LEN(IF(LEN(INDEX('Providers'!$O$4:$O$503,255))=0,"",INDEX('Providers'!$O$4:$O$503,255)))=0,"","Policy no.: "&amp;IF(LEN(INDEX('Providers'!$O$4:$O$503,255))=0,"",INDEX('Providers'!$O$4:$O$503,255))&amp;". ")&amp;IF(LEN(IF(LEN(INDEX('Providers'!$P$4:$P$503,255))=0,"",INDEX('Providers'!$P$4:$P$503,255)))=0,"","Coverage form: "&amp;IF(LEN(INDEX('Providers'!$P$4:$P$503,255))=0,"",INDEX('Providers'!$P$4:$P$503,255))&amp;". "))</f>
        <v/>
      </c>
      <c r="J2258">
        <f>IF(LEN(INDEX('Providers'!$AJ$4:$AJ$503,255))=0,"",INDEX('Providers'!$AJ$4:$AJ$503,255))</f>
        <v/>
      </c>
      <c r="K2258">
        <f>IF(LEN(INDEX('Providers'!$AI$4:$AI$503,255))=0,"",INDEX('Providers'!$AI$4:$AI$503,255))</f>
        <v/>
      </c>
    </row>
    <row r="2259">
      <c r="A2259">
        <f>IF(AND(LEN('Providers'!A259)&gt;0,ISNUMBER('Providers'!Q259)),1,0)</f>
        <v/>
      </c>
      <c r="B2259">
        <f>B2258+A2259</f>
        <v/>
      </c>
      <c r="C2259">
        <f>IF(2256&gt;$B$4503,"",MATCH(2256-0.5,$B$3:$B$4503,1))</f>
        <v/>
      </c>
      <c r="D2259">
        <f>"Malpractice insurance – "&amp;IF(LEN(INDEX('Providers'!$A$4:$A$503,256))=0,"",INDEX('Providers'!$A$4:$A$503,256))</f>
        <v/>
      </c>
      <c r="E2259">
        <f>IF(ISNUMBER(INDEX('Providers'!$Q$4:$Q$503,256)),TEXT(INDEX('Providers'!$Q$4:$Q$503,256),"yyyy-mm-dd"),"")</f>
        <v/>
      </c>
      <c r="F2259">
        <f>"Insurance"</f>
        <v/>
      </c>
      <c r="G2259">
        <f>""</f>
        <v/>
      </c>
      <c r="H2259">
        <f>"High"</f>
        <v/>
      </c>
      <c r="I2259">
        <f>TRIM(IF(LEN(IF(LEN(INDEX('Providers'!$N$4:$N$503,256))=0,"",INDEX('Providers'!$N$4:$N$503,256)))=0,"","Carrier: "&amp;IF(LEN(INDEX('Providers'!$N$4:$N$503,256))=0,"",INDEX('Providers'!$N$4:$N$503,256))&amp;". ")&amp;IF(LEN(IF(LEN(INDEX('Providers'!$O$4:$O$503,256))=0,"",INDEX('Providers'!$O$4:$O$503,256)))=0,"","Policy no.: "&amp;IF(LEN(INDEX('Providers'!$O$4:$O$503,256))=0,"",INDEX('Providers'!$O$4:$O$503,256))&amp;". ")&amp;IF(LEN(IF(LEN(INDEX('Providers'!$P$4:$P$503,256))=0,"",INDEX('Providers'!$P$4:$P$503,256)))=0,"","Coverage form: "&amp;IF(LEN(INDEX('Providers'!$P$4:$P$503,256))=0,"",INDEX('Providers'!$P$4:$P$503,256))&amp;". "))</f>
        <v/>
      </c>
      <c r="J2259">
        <f>IF(LEN(INDEX('Providers'!$AJ$4:$AJ$503,256))=0,"",INDEX('Providers'!$AJ$4:$AJ$503,256))</f>
        <v/>
      </c>
      <c r="K2259">
        <f>IF(LEN(INDEX('Providers'!$AI$4:$AI$503,256))=0,"",INDEX('Providers'!$AI$4:$AI$503,256))</f>
        <v/>
      </c>
    </row>
    <row r="2260">
      <c r="A2260">
        <f>IF(AND(LEN('Providers'!A260)&gt;0,ISNUMBER('Providers'!Q260)),1,0)</f>
        <v/>
      </c>
      <c r="B2260">
        <f>B2259+A2260</f>
        <v/>
      </c>
      <c r="C2260">
        <f>IF(2257&gt;$B$4503,"",MATCH(2257-0.5,$B$3:$B$4503,1))</f>
        <v/>
      </c>
      <c r="D2260">
        <f>"Malpractice insurance – "&amp;IF(LEN(INDEX('Providers'!$A$4:$A$503,257))=0,"",INDEX('Providers'!$A$4:$A$503,257))</f>
        <v/>
      </c>
      <c r="E2260">
        <f>IF(ISNUMBER(INDEX('Providers'!$Q$4:$Q$503,257)),TEXT(INDEX('Providers'!$Q$4:$Q$503,257),"yyyy-mm-dd"),"")</f>
        <v/>
      </c>
      <c r="F2260">
        <f>"Insurance"</f>
        <v/>
      </c>
      <c r="G2260">
        <f>""</f>
        <v/>
      </c>
      <c r="H2260">
        <f>"High"</f>
        <v/>
      </c>
      <c r="I2260">
        <f>TRIM(IF(LEN(IF(LEN(INDEX('Providers'!$N$4:$N$503,257))=0,"",INDEX('Providers'!$N$4:$N$503,257)))=0,"","Carrier: "&amp;IF(LEN(INDEX('Providers'!$N$4:$N$503,257))=0,"",INDEX('Providers'!$N$4:$N$503,257))&amp;". ")&amp;IF(LEN(IF(LEN(INDEX('Providers'!$O$4:$O$503,257))=0,"",INDEX('Providers'!$O$4:$O$503,257)))=0,"","Policy no.: "&amp;IF(LEN(INDEX('Providers'!$O$4:$O$503,257))=0,"",INDEX('Providers'!$O$4:$O$503,257))&amp;". ")&amp;IF(LEN(IF(LEN(INDEX('Providers'!$P$4:$P$503,257))=0,"",INDEX('Providers'!$P$4:$P$503,257)))=0,"","Coverage form: "&amp;IF(LEN(INDEX('Providers'!$P$4:$P$503,257))=0,"",INDEX('Providers'!$P$4:$P$503,257))&amp;". "))</f>
        <v/>
      </c>
      <c r="J2260">
        <f>IF(LEN(INDEX('Providers'!$AJ$4:$AJ$503,257))=0,"",INDEX('Providers'!$AJ$4:$AJ$503,257))</f>
        <v/>
      </c>
      <c r="K2260">
        <f>IF(LEN(INDEX('Providers'!$AI$4:$AI$503,257))=0,"",INDEX('Providers'!$AI$4:$AI$503,257))</f>
        <v/>
      </c>
    </row>
    <row r="2261">
      <c r="A2261">
        <f>IF(AND(LEN('Providers'!A261)&gt;0,ISNUMBER('Providers'!Q261)),1,0)</f>
        <v/>
      </c>
      <c r="B2261">
        <f>B2260+A2261</f>
        <v/>
      </c>
      <c r="C2261">
        <f>IF(2258&gt;$B$4503,"",MATCH(2258-0.5,$B$3:$B$4503,1))</f>
        <v/>
      </c>
      <c r="D2261">
        <f>"Malpractice insurance – "&amp;IF(LEN(INDEX('Providers'!$A$4:$A$503,258))=0,"",INDEX('Providers'!$A$4:$A$503,258))</f>
        <v/>
      </c>
      <c r="E2261">
        <f>IF(ISNUMBER(INDEX('Providers'!$Q$4:$Q$503,258)),TEXT(INDEX('Providers'!$Q$4:$Q$503,258),"yyyy-mm-dd"),"")</f>
        <v/>
      </c>
      <c r="F2261">
        <f>"Insurance"</f>
        <v/>
      </c>
      <c r="G2261">
        <f>""</f>
        <v/>
      </c>
      <c r="H2261">
        <f>"High"</f>
        <v/>
      </c>
      <c r="I2261">
        <f>TRIM(IF(LEN(IF(LEN(INDEX('Providers'!$N$4:$N$503,258))=0,"",INDEX('Providers'!$N$4:$N$503,258)))=0,"","Carrier: "&amp;IF(LEN(INDEX('Providers'!$N$4:$N$503,258))=0,"",INDEX('Providers'!$N$4:$N$503,258))&amp;". ")&amp;IF(LEN(IF(LEN(INDEX('Providers'!$O$4:$O$503,258))=0,"",INDEX('Providers'!$O$4:$O$503,258)))=0,"","Policy no.: "&amp;IF(LEN(INDEX('Providers'!$O$4:$O$503,258))=0,"",INDEX('Providers'!$O$4:$O$503,258))&amp;". ")&amp;IF(LEN(IF(LEN(INDEX('Providers'!$P$4:$P$503,258))=0,"",INDEX('Providers'!$P$4:$P$503,258)))=0,"","Coverage form: "&amp;IF(LEN(INDEX('Providers'!$P$4:$P$503,258))=0,"",INDEX('Providers'!$P$4:$P$503,258))&amp;". "))</f>
        <v/>
      </c>
      <c r="J2261">
        <f>IF(LEN(INDEX('Providers'!$AJ$4:$AJ$503,258))=0,"",INDEX('Providers'!$AJ$4:$AJ$503,258))</f>
        <v/>
      </c>
      <c r="K2261">
        <f>IF(LEN(INDEX('Providers'!$AI$4:$AI$503,258))=0,"",INDEX('Providers'!$AI$4:$AI$503,258))</f>
        <v/>
      </c>
    </row>
    <row r="2262">
      <c r="A2262">
        <f>IF(AND(LEN('Providers'!A262)&gt;0,ISNUMBER('Providers'!Q262)),1,0)</f>
        <v/>
      </c>
      <c r="B2262">
        <f>B2261+A2262</f>
        <v/>
      </c>
      <c r="C2262">
        <f>IF(2259&gt;$B$4503,"",MATCH(2259-0.5,$B$3:$B$4503,1))</f>
        <v/>
      </c>
      <c r="D2262">
        <f>"Malpractice insurance – "&amp;IF(LEN(INDEX('Providers'!$A$4:$A$503,259))=0,"",INDEX('Providers'!$A$4:$A$503,259))</f>
        <v/>
      </c>
      <c r="E2262">
        <f>IF(ISNUMBER(INDEX('Providers'!$Q$4:$Q$503,259)),TEXT(INDEX('Providers'!$Q$4:$Q$503,259),"yyyy-mm-dd"),"")</f>
        <v/>
      </c>
      <c r="F2262">
        <f>"Insurance"</f>
        <v/>
      </c>
      <c r="G2262">
        <f>""</f>
        <v/>
      </c>
      <c r="H2262">
        <f>"High"</f>
        <v/>
      </c>
      <c r="I2262">
        <f>TRIM(IF(LEN(IF(LEN(INDEX('Providers'!$N$4:$N$503,259))=0,"",INDEX('Providers'!$N$4:$N$503,259)))=0,"","Carrier: "&amp;IF(LEN(INDEX('Providers'!$N$4:$N$503,259))=0,"",INDEX('Providers'!$N$4:$N$503,259))&amp;". ")&amp;IF(LEN(IF(LEN(INDEX('Providers'!$O$4:$O$503,259))=0,"",INDEX('Providers'!$O$4:$O$503,259)))=0,"","Policy no.: "&amp;IF(LEN(INDEX('Providers'!$O$4:$O$503,259))=0,"",INDEX('Providers'!$O$4:$O$503,259))&amp;". ")&amp;IF(LEN(IF(LEN(INDEX('Providers'!$P$4:$P$503,259))=0,"",INDEX('Providers'!$P$4:$P$503,259)))=0,"","Coverage form: "&amp;IF(LEN(INDEX('Providers'!$P$4:$P$503,259))=0,"",INDEX('Providers'!$P$4:$P$503,259))&amp;". "))</f>
        <v/>
      </c>
      <c r="J2262">
        <f>IF(LEN(INDEX('Providers'!$AJ$4:$AJ$503,259))=0,"",INDEX('Providers'!$AJ$4:$AJ$503,259))</f>
        <v/>
      </c>
      <c r="K2262">
        <f>IF(LEN(INDEX('Providers'!$AI$4:$AI$503,259))=0,"",INDEX('Providers'!$AI$4:$AI$503,259))</f>
        <v/>
      </c>
    </row>
    <row r="2263">
      <c r="A2263">
        <f>IF(AND(LEN('Providers'!A263)&gt;0,ISNUMBER('Providers'!Q263)),1,0)</f>
        <v/>
      </c>
      <c r="B2263">
        <f>B2262+A2263</f>
        <v/>
      </c>
      <c r="C2263">
        <f>IF(2260&gt;$B$4503,"",MATCH(2260-0.5,$B$3:$B$4503,1))</f>
        <v/>
      </c>
      <c r="D2263">
        <f>"Malpractice insurance – "&amp;IF(LEN(INDEX('Providers'!$A$4:$A$503,260))=0,"",INDEX('Providers'!$A$4:$A$503,260))</f>
        <v/>
      </c>
      <c r="E2263">
        <f>IF(ISNUMBER(INDEX('Providers'!$Q$4:$Q$503,260)),TEXT(INDEX('Providers'!$Q$4:$Q$503,260),"yyyy-mm-dd"),"")</f>
        <v/>
      </c>
      <c r="F2263">
        <f>"Insurance"</f>
        <v/>
      </c>
      <c r="G2263">
        <f>""</f>
        <v/>
      </c>
      <c r="H2263">
        <f>"High"</f>
        <v/>
      </c>
      <c r="I2263">
        <f>TRIM(IF(LEN(IF(LEN(INDEX('Providers'!$N$4:$N$503,260))=0,"",INDEX('Providers'!$N$4:$N$503,260)))=0,"","Carrier: "&amp;IF(LEN(INDEX('Providers'!$N$4:$N$503,260))=0,"",INDEX('Providers'!$N$4:$N$503,260))&amp;". ")&amp;IF(LEN(IF(LEN(INDEX('Providers'!$O$4:$O$503,260))=0,"",INDEX('Providers'!$O$4:$O$503,260)))=0,"","Policy no.: "&amp;IF(LEN(INDEX('Providers'!$O$4:$O$503,260))=0,"",INDEX('Providers'!$O$4:$O$503,260))&amp;". ")&amp;IF(LEN(IF(LEN(INDEX('Providers'!$P$4:$P$503,260))=0,"",INDEX('Providers'!$P$4:$P$503,260)))=0,"","Coverage form: "&amp;IF(LEN(INDEX('Providers'!$P$4:$P$503,260))=0,"",INDEX('Providers'!$P$4:$P$503,260))&amp;". "))</f>
        <v/>
      </c>
      <c r="J2263">
        <f>IF(LEN(INDEX('Providers'!$AJ$4:$AJ$503,260))=0,"",INDEX('Providers'!$AJ$4:$AJ$503,260))</f>
        <v/>
      </c>
      <c r="K2263">
        <f>IF(LEN(INDEX('Providers'!$AI$4:$AI$503,260))=0,"",INDEX('Providers'!$AI$4:$AI$503,260))</f>
        <v/>
      </c>
    </row>
    <row r="2264">
      <c r="A2264">
        <f>IF(AND(LEN('Providers'!A264)&gt;0,ISNUMBER('Providers'!Q264)),1,0)</f>
        <v/>
      </c>
      <c r="B2264">
        <f>B2263+A2264</f>
        <v/>
      </c>
      <c r="C2264">
        <f>IF(2261&gt;$B$4503,"",MATCH(2261-0.5,$B$3:$B$4503,1))</f>
        <v/>
      </c>
      <c r="D2264">
        <f>"Malpractice insurance – "&amp;IF(LEN(INDEX('Providers'!$A$4:$A$503,261))=0,"",INDEX('Providers'!$A$4:$A$503,261))</f>
        <v/>
      </c>
      <c r="E2264">
        <f>IF(ISNUMBER(INDEX('Providers'!$Q$4:$Q$503,261)),TEXT(INDEX('Providers'!$Q$4:$Q$503,261),"yyyy-mm-dd"),"")</f>
        <v/>
      </c>
      <c r="F2264">
        <f>"Insurance"</f>
        <v/>
      </c>
      <c r="G2264">
        <f>""</f>
        <v/>
      </c>
      <c r="H2264">
        <f>"High"</f>
        <v/>
      </c>
      <c r="I2264">
        <f>TRIM(IF(LEN(IF(LEN(INDEX('Providers'!$N$4:$N$503,261))=0,"",INDEX('Providers'!$N$4:$N$503,261)))=0,"","Carrier: "&amp;IF(LEN(INDEX('Providers'!$N$4:$N$503,261))=0,"",INDEX('Providers'!$N$4:$N$503,261))&amp;". ")&amp;IF(LEN(IF(LEN(INDEX('Providers'!$O$4:$O$503,261))=0,"",INDEX('Providers'!$O$4:$O$503,261)))=0,"","Policy no.: "&amp;IF(LEN(INDEX('Providers'!$O$4:$O$503,261))=0,"",INDEX('Providers'!$O$4:$O$503,261))&amp;". ")&amp;IF(LEN(IF(LEN(INDEX('Providers'!$P$4:$P$503,261))=0,"",INDEX('Providers'!$P$4:$P$503,261)))=0,"","Coverage form: "&amp;IF(LEN(INDEX('Providers'!$P$4:$P$503,261))=0,"",INDEX('Providers'!$P$4:$P$503,261))&amp;". "))</f>
        <v/>
      </c>
      <c r="J2264">
        <f>IF(LEN(INDEX('Providers'!$AJ$4:$AJ$503,261))=0,"",INDEX('Providers'!$AJ$4:$AJ$503,261))</f>
        <v/>
      </c>
      <c r="K2264">
        <f>IF(LEN(INDEX('Providers'!$AI$4:$AI$503,261))=0,"",INDEX('Providers'!$AI$4:$AI$503,261))</f>
        <v/>
      </c>
    </row>
    <row r="2265">
      <c r="A2265">
        <f>IF(AND(LEN('Providers'!A265)&gt;0,ISNUMBER('Providers'!Q265)),1,0)</f>
        <v/>
      </c>
      <c r="B2265">
        <f>B2264+A2265</f>
        <v/>
      </c>
      <c r="C2265">
        <f>IF(2262&gt;$B$4503,"",MATCH(2262-0.5,$B$3:$B$4503,1))</f>
        <v/>
      </c>
      <c r="D2265">
        <f>"Malpractice insurance – "&amp;IF(LEN(INDEX('Providers'!$A$4:$A$503,262))=0,"",INDEX('Providers'!$A$4:$A$503,262))</f>
        <v/>
      </c>
      <c r="E2265">
        <f>IF(ISNUMBER(INDEX('Providers'!$Q$4:$Q$503,262)),TEXT(INDEX('Providers'!$Q$4:$Q$503,262),"yyyy-mm-dd"),"")</f>
        <v/>
      </c>
      <c r="F2265">
        <f>"Insurance"</f>
        <v/>
      </c>
      <c r="G2265">
        <f>""</f>
        <v/>
      </c>
      <c r="H2265">
        <f>"High"</f>
        <v/>
      </c>
      <c r="I2265">
        <f>TRIM(IF(LEN(IF(LEN(INDEX('Providers'!$N$4:$N$503,262))=0,"",INDEX('Providers'!$N$4:$N$503,262)))=0,"","Carrier: "&amp;IF(LEN(INDEX('Providers'!$N$4:$N$503,262))=0,"",INDEX('Providers'!$N$4:$N$503,262))&amp;". ")&amp;IF(LEN(IF(LEN(INDEX('Providers'!$O$4:$O$503,262))=0,"",INDEX('Providers'!$O$4:$O$503,262)))=0,"","Policy no.: "&amp;IF(LEN(INDEX('Providers'!$O$4:$O$503,262))=0,"",INDEX('Providers'!$O$4:$O$503,262))&amp;". ")&amp;IF(LEN(IF(LEN(INDEX('Providers'!$P$4:$P$503,262))=0,"",INDEX('Providers'!$P$4:$P$503,262)))=0,"","Coverage form: "&amp;IF(LEN(INDEX('Providers'!$P$4:$P$503,262))=0,"",INDEX('Providers'!$P$4:$P$503,262))&amp;". "))</f>
        <v/>
      </c>
      <c r="J2265">
        <f>IF(LEN(INDEX('Providers'!$AJ$4:$AJ$503,262))=0,"",INDEX('Providers'!$AJ$4:$AJ$503,262))</f>
        <v/>
      </c>
      <c r="K2265">
        <f>IF(LEN(INDEX('Providers'!$AI$4:$AI$503,262))=0,"",INDEX('Providers'!$AI$4:$AI$503,262))</f>
        <v/>
      </c>
    </row>
    <row r="2266">
      <c r="A2266">
        <f>IF(AND(LEN('Providers'!A266)&gt;0,ISNUMBER('Providers'!Q266)),1,0)</f>
        <v/>
      </c>
      <c r="B2266">
        <f>B2265+A2266</f>
        <v/>
      </c>
      <c r="C2266">
        <f>IF(2263&gt;$B$4503,"",MATCH(2263-0.5,$B$3:$B$4503,1))</f>
        <v/>
      </c>
      <c r="D2266">
        <f>"Malpractice insurance – "&amp;IF(LEN(INDEX('Providers'!$A$4:$A$503,263))=0,"",INDEX('Providers'!$A$4:$A$503,263))</f>
        <v/>
      </c>
      <c r="E2266">
        <f>IF(ISNUMBER(INDEX('Providers'!$Q$4:$Q$503,263)),TEXT(INDEX('Providers'!$Q$4:$Q$503,263),"yyyy-mm-dd"),"")</f>
        <v/>
      </c>
      <c r="F2266">
        <f>"Insurance"</f>
        <v/>
      </c>
      <c r="G2266">
        <f>""</f>
        <v/>
      </c>
      <c r="H2266">
        <f>"High"</f>
        <v/>
      </c>
      <c r="I2266">
        <f>TRIM(IF(LEN(IF(LEN(INDEX('Providers'!$N$4:$N$503,263))=0,"",INDEX('Providers'!$N$4:$N$503,263)))=0,"","Carrier: "&amp;IF(LEN(INDEX('Providers'!$N$4:$N$503,263))=0,"",INDEX('Providers'!$N$4:$N$503,263))&amp;". ")&amp;IF(LEN(IF(LEN(INDEX('Providers'!$O$4:$O$503,263))=0,"",INDEX('Providers'!$O$4:$O$503,263)))=0,"","Policy no.: "&amp;IF(LEN(INDEX('Providers'!$O$4:$O$503,263))=0,"",INDEX('Providers'!$O$4:$O$503,263))&amp;". ")&amp;IF(LEN(IF(LEN(INDEX('Providers'!$P$4:$P$503,263))=0,"",INDEX('Providers'!$P$4:$P$503,263)))=0,"","Coverage form: "&amp;IF(LEN(INDEX('Providers'!$P$4:$P$503,263))=0,"",INDEX('Providers'!$P$4:$P$503,263))&amp;". "))</f>
        <v/>
      </c>
      <c r="J2266">
        <f>IF(LEN(INDEX('Providers'!$AJ$4:$AJ$503,263))=0,"",INDEX('Providers'!$AJ$4:$AJ$503,263))</f>
        <v/>
      </c>
      <c r="K2266">
        <f>IF(LEN(INDEX('Providers'!$AI$4:$AI$503,263))=0,"",INDEX('Providers'!$AI$4:$AI$503,263))</f>
        <v/>
      </c>
    </row>
    <row r="2267">
      <c r="A2267">
        <f>IF(AND(LEN('Providers'!A267)&gt;0,ISNUMBER('Providers'!Q267)),1,0)</f>
        <v/>
      </c>
      <c r="B2267">
        <f>B2266+A2267</f>
        <v/>
      </c>
      <c r="C2267">
        <f>IF(2264&gt;$B$4503,"",MATCH(2264-0.5,$B$3:$B$4503,1))</f>
        <v/>
      </c>
      <c r="D2267">
        <f>"Malpractice insurance – "&amp;IF(LEN(INDEX('Providers'!$A$4:$A$503,264))=0,"",INDEX('Providers'!$A$4:$A$503,264))</f>
        <v/>
      </c>
      <c r="E2267">
        <f>IF(ISNUMBER(INDEX('Providers'!$Q$4:$Q$503,264)),TEXT(INDEX('Providers'!$Q$4:$Q$503,264),"yyyy-mm-dd"),"")</f>
        <v/>
      </c>
      <c r="F2267">
        <f>"Insurance"</f>
        <v/>
      </c>
      <c r="G2267">
        <f>""</f>
        <v/>
      </c>
      <c r="H2267">
        <f>"High"</f>
        <v/>
      </c>
      <c r="I2267">
        <f>TRIM(IF(LEN(IF(LEN(INDEX('Providers'!$N$4:$N$503,264))=0,"",INDEX('Providers'!$N$4:$N$503,264)))=0,"","Carrier: "&amp;IF(LEN(INDEX('Providers'!$N$4:$N$503,264))=0,"",INDEX('Providers'!$N$4:$N$503,264))&amp;". ")&amp;IF(LEN(IF(LEN(INDEX('Providers'!$O$4:$O$503,264))=0,"",INDEX('Providers'!$O$4:$O$503,264)))=0,"","Policy no.: "&amp;IF(LEN(INDEX('Providers'!$O$4:$O$503,264))=0,"",INDEX('Providers'!$O$4:$O$503,264))&amp;". ")&amp;IF(LEN(IF(LEN(INDEX('Providers'!$P$4:$P$503,264))=0,"",INDEX('Providers'!$P$4:$P$503,264)))=0,"","Coverage form: "&amp;IF(LEN(INDEX('Providers'!$P$4:$P$503,264))=0,"",INDEX('Providers'!$P$4:$P$503,264))&amp;". "))</f>
        <v/>
      </c>
      <c r="J2267">
        <f>IF(LEN(INDEX('Providers'!$AJ$4:$AJ$503,264))=0,"",INDEX('Providers'!$AJ$4:$AJ$503,264))</f>
        <v/>
      </c>
      <c r="K2267">
        <f>IF(LEN(INDEX('Providers'!$AI$4:$AI$503,264))=0,"",INDEX('Providers'!$AI$4:$AI$503,264))</f>
        <v/>
      </c>
    </row>
    <row r="2268">
      <c r="A2268">
        <f>IF(AND(LEN('Providers'!A268)&gt;0,ISNUMBER('Providers'!Q268)),1,0)</f>
        <v/>
      </c>
      <c r="B2268">
        <f>B2267+A2268</f>
        <v/>
      </c>
      <c r="C2268">
        <f>IF(2265&gt;$B$4503,"",MATCH(2265-0.5,$B$3:$B$4503,1))</f>
        <v/>
      </c>
      <c r="D2268">
        <f>"Malpractice insurance – "&amp;IF(LEN(INDEX('Providers'!$A$4:$A$503,265))=0,"",INDEX('Providers'!$A$4:$A$503,265))</f>
        <v/>
      </c>
      <c r="E2268">
        <f>IF(ISNUMBER(INDEX('Providers'!$Q$4:$Q$503,265)),TEXT(INDEX('Providers'!$Q$4:$Q$503,265),"yyyy-mm-dd"),"")</f>
        <v/>
      </c>
      <c r="F2268">
        <f>"Insurance"</f>
        <v/>
      </c>
      <c r="G2268">
        <f>""</f>
        <v/>
      </c>
      <c r="H2268">
        <f>"High"</f>
        <v/>
      </c>
      <c r="I2268">
        <f>TRIM(IF(LEN(IF(LEN(INDEX('Providers'!$N$4:$N$503,265))=0,"",INDEX('Providers'!$N$4:$N$503,265)))=0,"","Carrier: "&amp;IF(LEN(INDEX('Providers'!$N$4:$N$503,265))=0,"",INDEX('Providers'!$N$4:$N$503,265))&amp;". ")&amp;IF(LEN(IF(LEN(INDEX('Providers'!$O$4:$O$503,265))=0,"",INDEX('Providers'!$O$4:$O$503,265)))=0,"","Policy no.: "&amp;IF(LEN(INDEX('Providers'!$O$4:$O$503,265))=0,"",INDEX('Providers'!$O$4:$O$503,265))&amp;". ")&amp;IF(LEN(IF(LEN(INDEX('Providers'!$P$4:$P$503,265))=0,"",INDEX('Providers'!$P$4:$P$503,265)))=0,"","Coverage form: "&amp;IF(LEN(INDEX('Providers'!$P$4:$P$503,265))=0,"",INDEX('Providers'!$P$4:$P$503,265))&amp;". "))</f>
        <v/>
      </c>
      <c r="J2268">
        <f>IF(LEN(INDEX('Providers'!$AJ$4:$AJ$503,265))=0,"",INDEX('Providers'!$AJ$4:$AJ$503,265))</f>
        <v/>
      </c>
      <c r="K2268">
        <f>IF(LEN(INDEX('Providers'!$AI$4:$AI$503,265))=0,"",INDEX('Providers'!$AI$4:$AI$503,265))</f>
        <v/>
      </c>
    </row>
    <row r="2269">
      <c r="A2269">
        <f>IF(AND(LEN('Providers'!A269)&gt;0,ISNUMBER('Providers'!Q269)),1,0)</f>
        <v/>
      </c>
      <c r="B2269">
        <f>B2268+A2269</f>
        <v/>
      </c>
      <c r="C2269">
        <f>IF(2266&gt;$B$4503,"",MATCH(2266-0.5,$B$3:$B$4503,1))</f>
        <v/>
      </c>
      <c r="D2269">
        <f>"Malpractice insurance – "&amp;IF(LEN(INDEX('Providers'!$A$4:$A$503,266))=0,"",INDEX('Providers'!$A$4:$A$503,266))</f>
        <v/>
      </c>
      <c r="E2269">
        <f>IF(ISNUMBER(INDEX('Providers'!$Q$4:$Q$503,266)),TEXT(INDEX('Providers'!$Q$4:$Q$503,266),"yyyy-mm-dd"),"")</f>
        <v/>
      </c>
      <c r="F2269">
        <f>"Insurance"</f>
        <v/>
      </c>
      <c r="G2269">
        <f>""</f>
        <v/>
      </c>
      <c r="H2269">
        <f>"High"</f>
        <v/>
      </c>
      <c r="I2269">
        <f>TRIM(IF(LEN(IF(LEN(INDEX('Providers'!$N$4:$N$503,266))=0,"",INDEX('Providers'!$N$4:$N$503,266)))=0,"","Carrier: "&amp;IF(LEN(INDEX('Providers'!$N$4:$N$503,266))=0,"",INDEX('Providers'!$N$4:$N$503,266))&amp;". ")&amp;IF(LEN(IF(LEN(INDEX('Providers'!$O$4:$O$503,266))=0,"",INDEX('Providers'!$O$4:$O$503,266)))=0,"","Policy no.: "&amp;IF(LEN(INDEX('Providers'!$O$4:$O$503,266))=0,"",INDEX('Providers'!$O$4:$O$503,266))&amp;". ")&amp;IF(LEN(IF(LEN(INDEX('Providers'!$P$4:$P$503,266))=0,"",INDEX('Providers'!$P$4:$P$503,266)))=0,"","Coverage form: "&amp;IF(LEN(INDEX('Providers'!$P$4:$P$503,266))=0,"",INDEX('Providers'!$P$4:$P$503,266))&amp;". "))</f>
        <v/>
      </c>
      <c r="J2269">
        <f>IF(LEN(INDEX('Providers'!$AJ$4:$AJ$503,266))=0,"",INDEX('Providers'!$AJ$4:$AJ$503,266))</f>
        <v/>
      </c>
      <c r="K2269">
        <f>IF(LEN(INDEX('Providers'!$AI$4:$AI$503,266))=0,"",INDEX('Providers'!$AI$4:$AI$503,266))</f>
        <v/>
      </c>
    </row>
    <row r="2270">
      <c r="A2270">
        <f>IF(AND(LEN('Providers'!A270)&gt;0,ISNUMBER('Providers'!Q270)),1,0)</f>
        <v/>
      </c>
      <c r="B2270">
        <f>B2269+A2270</f>
        <v/>
      </c>
      <c r="C2270">
        <f>IF(2267&gt;$B$4503,"",MATCH(2267-0.5,$B$3:$B$4503,1))</f>
        <v/>
      </c>
      <c r="D2270">
        <f>"Malpractice insurance – "&amp;IF(LEN(INDEX('Providers'!$A$4:$A$503,267))=0,"",INDEX('Providers'!$A$4:$A$503,267))</f>
        <v/>
      </c>
      <c r="E2270">
        <f>IF(ISNUMBER(INDEX('Providers'!$Q$4:$Q$503,267)),TEXT(INDEX('Providers'!$Q$4:$Q$503,267),"yyyy-mm-dd"),"")</f>
        <v/>
      </c>
      <c r="F2270">
        <f>"Insurance"</f>
        <v/>
      </c>
      <c r="G2270">
        <f>""</f>
        <v/>
      </c>
      <c r="H2270">
        <f>"High"</f>
        <v/>
      </c>
      <c r="I2270">
        <f>TRIM(IF(LEN(IF(LEN(INDEX('Providers'!$N$4:$N$503,267))=0,"",INDEX('Providers'!$N$4:$N$503,267)))=0,"","Carrier: "&amp;IF(LEN(INDEX('Providers'!$N$4:$N$503,267))=0,"",INDEX('Providers'!$N$4:$N$503,267))&amp;". ")&amp;IF(LEN(IF(LEN(INDEX('Providers'!$O$4:$O$503,267))=0,"",INDEX('Providers'!$O$4:$O$503,267)))=0,"","Policy no.: "&amp;IF(LEN(INDEX('Providers'!$O$4:$O$503,267))=0,"",INDEX('Providers'!$O$4:$O$503,267))&amp;". ")&amp;IF(LEN(IF(LEN(INDEX('Providers'!$P$4:$P$503,267))=0,"",INDEX('Providers'!$P$4:$P$503,267)))=0,"","Coverage form: "&amp;IF(LEN(INDEX('Providers'!$P$4:$P$503,267))=0,"",INDEX('Providers'!$P$4:$P$503,267))&amp;". "))</f>
        <v/>
      </c>
      <c r="J2270">
        <f>IF(LEN(INDEX('Providers'!$AJ$4:$AJ$503,267))=0,"",INDEX('Providers'!$AJ$4:$AJ$503,267))</f>
        <v/>
      </c>
      <c r="K2270">
        <f>IF(LEN(INDEX('Providers'!$AI$4:$AI$503,267))=0,"",INDEX('Providers'!$AI$4:$AI$503,267))</f>
        <v/>
      </c>
    </row>
    <row r="2271">
      <c r="A2271">
        <f>IF(AND(LEN('Providers'!A271)&gt;0,ISNUMBER('Providers'!Q271)),1,0)</f>
        <v/>
      </c>
      <c r="B2271">
        <f>B2270+A2271</f>
        <v/>
      </c>
      <c r="C2271">
        <f>IF(2268&gt;$B$4503,"",MATCH(2268-0.5,$B$3:$B$4503,1))</f>
        <v/>
      </c>
      <c r="D2271">
        <f>"Malpractice insurance – "&amp;IF(LEN(INDEX('Providers'!$A$4:$A$503,268))=0,"",INDEX('Providers'!$A$4:$A$503,268))</f>
        <v/>
      </c>
      <c r="E2271">
        <f>IF(ISNUMBER(INDEX('Providers'!$Q$4:$Q$503,268)),TEXT(INDEX('Providers'!$Q$4:$Q$503,268),"yyyy-mm-dd"),"")</f>
        <v/>
      </c>
      <c r="F2271">
        <f>"Insurance"</f>
        <v/>
      </c>
      <c r="G2271">
        <f>""</f>
        <v/>
      </c>
      <c r="H2271">
        <f>"High"</f>
        <v/>
      </c>
      <c r="I2271">
        <f>TRIM(IF(LEN(IF(LEN(INDEX('Providers'!$N$4:$N$503,268))=0,"",INDEX('Providers'!$N$4:$N$503,268)))=0,"","Carrier: "&amp;IF(LEN(INDEX('Providers'!$N$4:$N$503,268))=0,"",INDEX('Providers'!$N$4:$N$503,268))&amp;". ")&amp;IF(LEN(IF(LEN(INDEX('Providers'!$O$4:$O$503,268))=0,"",INDEX('Providers'!$O$4:$O$503,268)))=0,"","Policy no.: "&amp;IF(LEN(INDEX('Providers'!$O$4:$O$503,268))=0,"",INDEX('Providers'!$O$4:$O$503,268))&amp;". ")&amp;IF(LEN(IF(LEN(INDEX('Providers'!$P$4:$P$503,268))=0,"",INDEX('Providers'!$P$4:$P$503,268)))=0,"","Coverage form: "&amp;IF(LEN(INDEX('Providers'!$P$4:$P$503,268))=0,"",INDEX('Providers'!$P$4:$P$503,268))&amp;". "))</f>
        <v/>
      </c>
      <c r="J2271">
        <f>IF(LEN(INDEX('Providers'!$AJ$4:$AJ$503,268))=0,"",INDEX('Providers'!$AJ$4:$AJ$503,268))</f>
        <v/>
      </c>
      <c r="K2271">
        <f>IF(LEN(INDEX('Providers'!$AI$4:$AI$503,268))=0,"",INDEX('Providers'!$AI$4:$AI$503,268))</f>
        <v/>
      </c>
    </row>
    <row r="2272">
      <c r="A2272">
        <f>IF(AND(LEN('Providers'!A272)&gt;0,ISNUMBER('Providers'!Q272)),1,0)</f>
        <v/>
      </c>
      <c r="B2272">
        <f>B2271+A2272</f>
        <v/>
      </c>
      <c r="C2272">
        <f>IF(2269&gt;$B$4503,"",MATCH(2269-0.5,$B$3:$B$4503,1))</f>
        <v/>
      </c>
      <c r="D2272">
        <f>"Malpractice insurance – "&amp;IF(LEN(INDEX('Providers'!$A$4:$A$503,269))=0,"",INDEX('Providers'!$A$4:$A$503,269))</f>
        <v/>
      </c>
      <c r="E2272">
        <f>IF(ISNUMBER(INDEX('Providers'!$Q$4:$Q$503,269)),TEXT(INDEX('Providers'!$Q$4:$Q$503,269),"yyyy-mm-dd"),"")</f>
        <v/>
      </c>
      <c r="F2272">
        <f>"Insurance"</f>
        <v/>
      </c>
      <c r="G2272">
        <f>""</f>
        <v/>
      </c>
      <c r="H2272">
        <f>"High"</f>
        <v/>
      </c>
      <c r="I2272">
        <f>TRIM(IF(LEN(IF(LEN(INDEX('Providers'!$N$4:$N$503,269))=0,"",INDEX('Providers'!$N$4:$N$503,269)))=0,"","Carrier: "&amp;IF(LEN(INDEX('Providers'!$N$4:$N$503,269))=0,"",INDEX('Providers'!$N$4:$N$503,269))&amp;". ")&amp;IF(LEN(IF(LEN(INDEX('Providers'!$O$4:$O$503,269))=0,"",INDEX('Providers'!$O$4:$O$503,269)))=0,"","Policy no.: "&amp;IF(LEN(INDEX('Providers'!$O$4:$O$503,269))=0,"",INDEX('Providers'!$O$4:$O$503,269))&amp;". ")&amp;IF(LEN(IF(LEN(INDEX('Providers'!$P$4:$P$503,269))=0,"",INDEX('Providers'!$P$4:$P$503,269)))=0,"","Coverage form: "&amp;IF(LEN(INDEX('Providers'!$P$4:$P$503,269))=0,"",INDEX('Providers'!$P$4:$P$503,269))&amp;". "))</f>
        <v/>
      </c>
      <c r="J2272">
        <f>IF(LEN(INDEX('Providers'!$AJ$4:$AJ$503,269))=0,"",INDEX('Providers'!$AJ$4:$AJ$503,269))</f>
        <v/>
      </c>
      <c r="K2272">
        <f>IF(LEN(INDEX('Providers'!$AI$4:$AI$503,269))=0,"",INDEX('Providers'!$AI$4:$AI$503,269))</f>
        <v/>
      </c>
    </row>
    <row r="2273">
      <c r="A2273">
        <f>IF(AND(LEN('Providers'!A273)&gt;0,ISNUMBER('Providers'!Q273)),1,0)</f>
        <v/>
      </c>
      <c r="B2273">
        <f>B2272+A2273</f>
        <v/>
      </c>
      <c r="C2273">
        <f>IF(2270&gt;$B$4503,"",MATCH(2270-0.5,$B$3:$B$4503,1))</f>
        <v/>
      </c>
      <c r="D2273">
        <f>"Malpractice insurance – "&amp;IF(LEN(INDEX('Providers'!$A$4:$A$503,270))=0,"",INDEX('Providers'!$A$4:$A$503,270))</f>
        <v/>
      </c>
      <c r="E2273">
        <f>IF(ISNUMBER(INDEX('Providers'!$Q$4:$Q$503,270)),TEXT(INDEX('Providers'!$Q$4:$Q$503,270),"yyyy-mm-dd"),"")</f>
        <v/>
      </c>
      <c r="F2273">
        <f>"Insurance"</f>
        <v/>
      </c>
      <c r="G2273">
        <f>""</f>
        <v/>
      </c>
      <c r="H2273">
        <f>"High"</f>
        <v/>
      </c>
      <c r="I2273">
        <f>TRIM(IF(LEN(IF(LEN(INDEX('Providers'!$N$4:$N$503,270))=0,"",INDEX('Providers'!$N$4:$N$503,270)))=0,"","Carrier: "&amp;IF(LEN(INDEX('Providers'!$N$4:$N$503,270))=0,"",INDEX('Providers'!$N$4:$N$503,270))&amp;". ")&amp;IF(LEN(IF(LEN(INDEX('Providers'!$O$4:$O$503,270))=0,"",INDEX('Providers'!$O$4:$O$503,270)))=0,"","Policy no.: "&amp;IF(LEN(INDEX('Providers'!$O$4:$O$503,270))=0,"",INDEX('Providers'!$O$4:$O$503,270))&amp;". ")&amp;IF(LEN(IF(LEN(INDEX('Providers'!$P$4:$P$503,270))=0,"",INDEX('Providers'!$P$4:$P$503,270)))=0,"","Coverage form: "&amp;IF(LEN(INDEX('Providers'!$P$4:$P$503,270))=0,"",INDEX('Providers'!$P$4:$P$503,270))&amp;". "))</f>
        <v/>
      </c>
      <c r="J2273">
        <f>IF(LEN(INDEX('Providers'!$AJ$4:$AJ$503,270))=0,"",INDEX('Providers'!$AJ$4:$AJ$503,270))</f>
        <v/>
      </c>
      <c r="K2273">
        <f>IF(LEN(INDEX('Providers'!$AI$4:$AI$503,270))=0,"",INDEX('Providers'!$AI$4:$AI$503,270))</f>
        <v/>
      </c>
    </row>
    <row r="2274">
      <c r="A2274">
        <f>IF(AND(LEN('Providers'!A274)&gt;0,ISNUMBER('Providers'!Q274)),1,0)</f>
        <v/>
      </c>
      <c r="B2274">
        <f>B2273+A2274</f>
        <v/>
      </c>
      <c r="C2274">
        <f>IF(2271&gt;$B$4503,"",MATCH(2271-0.5,$B$3:$B$4503,1))</f>
        <v/>
      </c>
      <c r="D2274">
        <f>"Malpractice insurance – "&amp;IF(LEN(INDEX('Providers'!$A$4:$A$503,271))=0,"",INDEX('Providers'!$A$4:$A$503,271))</f>
        <v/>
      </c>
      <c r="E2274">
        <f>IF(ISNUMBER(INDEX('Providers'!$Q$4:$Q$503,271)),TEXT(INDEX('Providers'!$Q$4:$Q$503,271),"yyyy-mm-dd"),"")</f>
        <v/>
      </c>
      <c r="F2274">
        <f>"Insurance"</f>
        <v/>
      </c>
      <c r="G2274">
        <f>""</f>
        <v/>
      </c>
      <c r="H2274">
        <f>"High"</f>
        <v/>
      </c>
      <c r="I2274">
        <f>TRIM(IF(LEN(IF(LEN(INDEX('Providers'!$N$4:$N$503,271))=0,"",INDEX('Providers'!$N$4:$N$503,271)))=0,"","Carrier: "&amp;IF(LEN(INDEX('Providers'!$N$4:$N$503,271))=0,"",INDEX('Providers'!$N$4:$N$503,271))&amp;". ")&amp;IF(LEN(IF(LEN(INDEX('Providers'!$O$4:$O$503,271))=0,"",INDEX('Providers'!$O$4:$O$503,271)))=0,"","Policy no.: "&amp;IF(LEN(INDEX('Providers'!$O$4:$O$503,271))=0,"",INDEX('Providers'!$O$4:$O$503,271))&amp;". ")&amp;IF(LEN(IF(LEN(INDEX('Providers'!$P$4:$P$503,271))=0,"",INDEX('Providers'!$P$4:$P$503,271)))=0,"","Coverage form: "&amp;IF(LEN(INDEX('Providers'!$P$4:$P$503,271))=0,"",INDEX('Providers'!$P$4:$P$503,271))&amp;". "))</f>
        <v/>
      </c>
      <c r="J2274">
        <f>IF(LEN(INDEX('Providers'!$AJ$4:$AJ$503,271))=0,"",INDEX('Providers'!$AJ$4:$AJ$503,271))</f>
        <v/>
      </c>
      <c r="K2274">
        <f>IF(LEN(INDEX('Providers'!$AI$4:$AI$503,271))=0,"",INDEX('Providers'!$AI$4:$AI$503,271))</f>
        <v/>
      </c>
    </row>
    <row r="2275">
      <c r="A2275">
        <f>IF(AND(LEN('Providers'!A275)&gt;0,ISNUMBER('Providers'!Q275)),1,0)</f>
        <v/>
      </c>
      <c r="B2275">
        <f>B2274+A2275</f>
        <v/>
      </c>
      <c r="C2275">
        <f>IF(2272&gt;$B$4503,"",MATCH(2272-0.5,$B$3:$B$4503,1))</f>
        <v/>
      </c>
      <c r="D2275">
        <f>"Malpractice insurance – "&amp;IF(LEN(INDEX('Providers'!$A$4:$A$503,272))=0,"",INDEX('Providers'!$A$4:$A$503,272))</f>
        <v/>
      </c>
      <c r="E2275">
        <f>IF(ISNUMBER(INDEX('Providers'!$Q$4:$Q$503,272)),TEXT(INDEX('Providers'!$Q$4:$Q$503,272),"yyyy-mm-dd"),"")</f>
        <v/>
      </c>
      <c r="F2275">
        <f>"Insurance"</f>
        <v/>
      </c>
      <c r="G2275">
        <f>""</f>
        <v/>
      </c>
      <c r="H2275">
        <f>"High"</f>
        <v/>
      </c>
      <c r="I2275">
        <f>TRIM(IF(LEN(IF(LEN(INDEX('Providers'!$N$4:$N$503,272))=0,"",INDEX('Providers'!$N$4:$N$503,272)))=0,"","Carrier: "&amp;IF(LEN(INDEX('Providers'!$N$4:$N$503,272))=0,"",INDEX('Providers'!$N$4:$N$503,272))&amp;". ")&amp;IF(LEN(IF(LEN(INDEX('Providers'!$O$4:$O$503,272))=0,"",INDEX('Providers'!$O$4:$O$503,272)))=0,"","Policy no.: "&amp;IF(LEN(INDEX('Providers'!$O$4:$O$503,272))=0,"",INDEX('Providers'!$O$4:$O$503,272))&amp;". ")&amp;IF(LEN(IF(LEN(INDEX('Providers'!$P$4:$P$503,272))=0,"",INDEX('Providers'!$P$4:$P$503,272)))=0,"","Coverage form: "&amp;IF(LEN(INDEX('Providers'!$P$4:$P$503,272))=0,"",INDEX('Providers'!$P$4:$P$503,272))&amp;". "))</f>
        <v/>
      </c>
      <c r="J2275">
        <f>IF(LEN(INDEX('Providers'!$AJ$4:$AJ$503,272))=0,"",INDEX('Providers'!$AJ$4:$AJ$503,272))</f>
        <v/>
      </c>
      <c r="K2275">
        <f>IF(LEN(INDEX('Providers'!$AI$4:$AI$503,272))=0,"",INDEX('Providers'!$AI$4:$AI$503,272))</f>
        <v/>
      </c>
    </row>
    <row r="2276">
      <c r="A2276">
        <f>IF(AND(LEN('Providers'!A276)&gt;0,ISNUMBER('Providers'!Q276)),1,0)</f>
        <v/>
      </c>
      <c r="B2276">
        <f>B2275+A2276</f>
        <v/>
      </c>
      <c r="C2276">
        <f>IF(2273&gt;$B$4503,"",MATCH(2273-0.5,$B$3:$B$4503,1))</f>
        <v/>
      </c>
      <c r="D2276">
        <f>"Malpractice insurance – "&amp;IF(LEN(INDEX('Providers'!$A$4:$A$503,273))=0,"",INDEX('Providers'!$A$4:$A$503,273))</f>
        <v/>
      </c>
      <c r="E2276">
        <f>IF(ISNUMBER(INDEX('Providers'!$Q$4:$Q$503,273)),TEXT(INDEX('Providers'!$Q$4:$Q$503,273),"yyyy-mm-dd"),"")</f>
        <v/>
      </c>
      <c r="F2276">
        <f>"Insurance"</f>
        <v/>
      </c>
      <c r="G2276">
        <f>""</f>
        <v/>
      </c>
      <c r="H2276">
        <f>"High"</f>
        <v/>
      </c>
      <c r="I2276">
        <f>TRIM(IF(LEN(IF(LEN(INDEX('Providers'!$N$4:$N$503,273))=0,"",INDEX('Providers'!$N$4:$N$503,273)))=0,"","Carrier: "&amp;IF(LEN(INDEX('Providers'!$N$4:$N$503,273))=0,"",INDEX('Providers'!$N$4:$N$503,273))&amp;". ")&amp;IF(LEN(IF(LEN(INDEX('Providers'!$O$4:$O$503,273))=0,"",INDEX('Providers'!$O$4:$O$503,273)))=0,"","Policy no.: "&amp;IF(LEN(INDEX('Providers'!$O$4:$O$503,273))=0,"",INDEX('Providers'!$O$4:$O$503,273))&amp;". ")&amp;IF(LEN(IF(LEN(INDEX('Providers'!$P$4:$P$503,273))=0,"",INDEX('Providers'!$P$4:$P$503,273)))=0,"","Coverage form: "&amp;IF(LEN(INDEX('Providers'!$P$4:$P$503,273))=0,"",INDEX('Providers'!$P$4:$P$503,273))&amp;". "))</f>
        <v/>
      </c>
      <c r="J2276">
        <f>IF(LEN(INDEX('Providers'!$AJ$4:$AJ$503,273))=0,"",INDEX('Providers'!$AJ$4:$AJ$503,273))</f>
        <v/>
      </c>
      <c r="K2276">
        <f>IF(LEN(INDEX('Providers'!$AI$4:$AI$503,273))=0,"",INDEX('Providers'!$AI$4:$AI$503,273))</f>
        <v/>
      </c>
    </row>
    <row r="2277">
      <c r="A2277">
        <f>IF(AND(LEN('Providers'!A277)&gt;0,ISNUMBER('Providers'!Q277)),1,0)</f>
        <v/>
      </c>
      <c r="B2277">
        <f>B2276+A2277</f>
        <v/>
      </c>
      <c r="C2277">
        <f>IF(2274&gt;$B$4503,"",MATCH(2274-0.5,$B$3:$B$4503,1))</f>
        <v/>
      </c>
      <c r="D2277">
        <f>"Malpractice insurance – "&amp;IF(LEN(INDEX('Providers'!$A$4:$A$503,274))=0,"",INDEX('Providers'!$A$4:$A$503,274))</f>
        <v/>
      </c>
      <c r="E2277">
        <f>IF(ISNUMBER(INDEX('Providers'!$Q$4:$Q$503,274)),TEXT(INDEX('Providers'!$Q$4:$Q$503,274),"yyyy-mm-dd"),"")</f>
        <v/>
      </c>
      <c r="F2277">
        <f>"Insurance"</f>
        <v/>
      </c>
      <c r="G2277">
        <f>""</f>
        <v/>
      </c>
      <c r="H2277">
        <f>"High"</f>
        <v/>
      </c>
      <c r="I2277">
        <f>TRIM(IF(LEN(IF(LEN(INDEX('Providers'!$N$4:$N$503,274))=0,"",INDEX('Providers'!$N$4:$N$503,274)))=0,"","Carrier: "&amp;IF(LEN(INDEX('Providers'!$N$4:$N$503,274))=0,"",INDEX('Providers'!$N$4:$N$503,274))&amp;". ")&amp;IF(LEN(IF(LEN(INDEX('Providers'!$O$4:$O$503,274))=0,"",INDEX('Providers'!$O$4:$O$503,274)))=0,"","Policy no.: "&amp;IF(LEN(INDEX('Providers'!$O$4:$O$503,274))=0,"",INDEX('Providers'!$O$4:$O$503,274))&amp;". ")&amp;IF(LEN(IF(LEN(INDEX('Providers'!$P$4:$P$503,274))=0,"",INDEX('Providers'!$P$4:$P$503,274)))=0,"","Coverage form: "&amp;IF(LEN(INDEX('Providers'!$P$4:$P$503,274))=0,"",INDEX('Providers'!$P$4:$P$503,274))&amp;". "))</f>
        <v/>
      </c>
      <c r="J2277">
        <f>IF(LEN(INDEX('Providers'!$AJ$4:$AJ$503,274))=0,"",INDEX('Providers'!$AJ$4:$AJ$503,274))</f>
        <v/>
      </c>
      <c r="K2277">
        <f>IF(LEN(INDEX('Providers'!$AI$4:$AI$503,274))=0,"",INDEX('Providers'!$AI$4:$AI$503,274))</f>
        <v/>
      </c>
    </row>
    <row r="2278">
      <c r="A2278">
        <f>IF(AND(LEN('Providers'!A278)&gt;0,ISNUMBER('Providers'!Q278)),1,0)</f>
        <v/>
      </c>
      <c r="B2278">
        <f>B2277+A2278</f>
        <v/>
      </c>
      <c r="C2278">
        <f>IF(2275&gt;$B$4503,"",MATCH(2275-0.5,$B$3:$B$4503,1))</f>
        <v/>
      </c>
      <c r="D2278">
        <f>"Malpractice insurance – "&amp;IF(LEN(INDEX('Providers'!$A$4:$A$503,275))=0,"",INDEX('Providers'!$A$4:$A$503,275))</f>
        <v/>
      </c>
      <c r="E2278">
        <f>IF(ISNUMBER(INDEX('Providers'!$Q$4:$Q$503,275)),TEXT(INDEX('Providers'!$Q$4:$Q$503,275),"yyyy-mm-dd"),"")</f>
        <v/>
      </c>
      <c r="F2278">
        <f>"Insurance"</f>
        <v/>
      </c>
      <c r="G2278">
        <f>""</f>
        <v/>
      </c>
      <c r="H2278">
        <f>"High"</f>
        <v/>
      </c>
      <c r="I2278">
        <f>TRIM(IF(LEN(IF(LEN(INDEX('Providers'!$N$4:$N$503,275))=0,"",INDEX('Providers'!$N$4:$N$503,275)))=0,"","Carrier: "&amp;IF(LEN(INDEX('Providers'!$N$4:$N$503,275))=0,"",INDEX('Providers'!$N$4:$N$503,275))&amp;". ")&amp;IF(LEN(IF(LEN(INDEX('Providers'!$O$4:$O$503,275))=0,"",INDEX('Providers'!$O$4:$O$503,275)))=0,"","Policy no.: "&amp;IF(LEN(INDEX('Providers'!$O$4:$O$503,275))=0,"",INDEX('Providers'!$O$4:$O$503,275))&amp;". ")&amp;IF(LEN(IF(LEN(INDEX('Providers'!$P$4:$P$503,275))=0,"",INDEX('Providers'!$P$4:$P$503,275)))=0,"","Coverage form: "&amp;IF(LEN(INDEX('Providers'!$P$4:$P$503,275))=0,"",INDEX('Providers'!$P$4:$P$503,275))&amp;". "))</f>
        <v/>
      </c>
      <c r="J2278">
        <f>IF(LEN(INDEX('Providers'!$AJ$4:$AJ$503,275))=0,"",INDEX('Providers'!$AJ$4:$AJ$503,275))</f>
        <v/>
      </c>
      <c r="K2278">
        <f>IF(LEN(INDEX('Providers'!$AI$4:$AI$503,275))=0,"",INDEX('Providers'!$AI$4:$AI$503,275))</f>
        <v/>
      </c>
    </row>
    <row r="2279">
      <c r="A2279">
        <f>IF(AND(LEN('Providers'!A279)&gt;0,ISNUMBER('Providers'!Q279)),1,0)</f>
        <v/>
      </c>
      <c r="B2279">
        <f>B2278+A2279</f>
        <v/>
      </c>
      <c r="C2279">
        <f>IF(2276&gt;$B$4503,"",MATCH(2276-0.5,$B$3:$B$4503,1))</f>
        <v/>
      </c>
      <c r="D2279">
        <f>"Malpractice insurance – "&amp;IF(LEN(INDEX('Providers'!$A$4:$A$503,276))=0,"",INDEX('Providers'!$A$4:$A$503,276))</f>
        <v/>
      </c>
      <c r="E2279">
        <f>IF(ISNUMBER(INDEX('Providers'!$Q$4:$Q$503,276)),TEXT(INDEX('Providers'!$Q$4:$Q$503,276),"yyyy-mm-dd"),"")</f>
        <v/>
      </c>
      <c r="F2279">
        <f>"Insurance"</f>
        <v/>
      </c>
      <c r="G2279">
        <f>""</f>
        <v/>
      </c>
      <c r="H2279">
        <f>"High"</f>
        <v/>
      </c>
      <c r="I2279">
        <f>TRIM(IF(LEN(IF(LEN(INDEX('Providers'!$N$4:$N$503,276))=0,"",INDEX('Providers'!$N$4:$N$503,276)))=0,"","Carrier: "&amp;IF(LEN(INDEX('Providers'!$N$4:$N$503,276))=0,"",INDEX('Providers'!$N$4:$N$503,276))&amp;". ")&amp;IF(LEN(IF(LEN(INDEX('Providers'!$O$4:$O$503,276))=0,"",INDEX('Providers'!$O$4:$O$503,276)))=0,"","Policy no.: "&amp;IF(LEN(INDEX('Providers'!$O$4:$O$503,276))=0,"",INDEX('Providers'!$O$4:$O$503,276))&amp;". ")&amp;IF(LEN(IF(LEN(INDEX('Providers'!$P$4:$P$503,276))=0,"",INDEX('Providers'!$P$4:$P$503,276)))=0,"","Coverage form: "&amp;IF(LEN(INDEX('Providers'!$P$4:$P$503,276))=0,"",INDEX('Providers'!$P$4:$P$503,276))&amp;". "))</f>
        <v/>
      </c>
      <c r="J2279">
        <f>IF(LEN(INDEX('Providers'!$AJ$4:$AJ$503,276))=0,"",INDEX('Providers'!$AJ$4:$AJ$503,276))</f>
        <v/>
      </c>
      <c r="K2279">
        <f>IF(LEN(INDEX('Providers'!$AI$4:$AI$503,276))=0,"",INDEX('Providers'!$AI$4:$AI$503,276))</f>
        <v/>
      </c>
    </row>
    <row r="2280">
      <c r="A2280">
        <f>IF(AND(LEN('Providers'!A280)&gt;0,ISNUMBER('Providers'!Q280)),1,0)</f>
        <v/>
      </c>
      <c r="B2280">
        <f>B2279+A2280</f>
        <v/>
      </c>
      <c r="C2280">
        <f>IF(2277&gt;$B$4503,"",MATCH(2277-0.5,$B$3:$B$4503,1))</f>
        <v/>
      </c>
      <c r="D2280">
        <f>"Malpractice insurance – "&amp;IF(LEN(INDEX('Providers'!$A$4:$A$503,277))=0,"",INDEX('Providers'!$A$4:$A$503,277))</f>
        <v/>
      </c>
      <c r="E2280">
        <f>IF(ISNUMBER(INDEX('Providers'!$Q$4:$Q$503,277)),TEXT(INDEX('Providers'!$Q$4:$Q$503,277),"yyyy-mm-dd"),"")</f>
        <v/>
      </c>
      <c r="F2280">
        <f>"Insurance"</f>
        <v/>
      </c>
      <c r="G2280">
        <f>""</f>
        <v/>
      </c>
      <c r="H2280">
        <f>"High"</f>
        <v/>
      </c>
      <c r="I2280">
        <f>TRIM(IF(LEN(IF(LEN(INDEX('Providers'!$N$4:$N$503,277))=0,"",INDEX('Providers'!$N$4:$N$503,277)))=0,"","Carrier: "&amp;IF(LEN(INDEX('Providers'!$N$4:$N$503,277))=0,"",INDEX('Providers'!$N$4:$N$503,277))&amp;". ")&amp;IF(LEN(IF(LEN(INDEX('Providers'!$O$4:$O$503,277))=0,"",INDEX('Providers'!$O$4:$O$503,277)))=0,"","Policy no.: "&amp;IF(LEN(INDEX('Providers'!$O$4:$O$503,277))=0,"",INDEX('Providers'!$O$4:$O$503,277))&amp;". ")&amp;IF(LEN(IF(LEN(INDEX('Providers'!$P$4:$P$503,277))=0,"",INDEX('Providers'!$P$4:$P$503,277)))=0,"","Coverage form: "&amp;IF(LEN(INDEX('Providers'!$P$4:$P$503,277))=0,"",INDEX('Providers'!$P$4:$P$503,277))&amp;". "))</f>
        <v/>
      </c>
      <c r="J2280">
        <f>IF(LEN(INDEX('Providers'!$AJ$4:$AJ$503,277))=0,"",INDEX('Providers'!$AJ$4:$AJ$503,277))</f>
        <v/>
      </c>
      <c r="K2280">
        <f>IF(LEN(INDEX('Providers'!$AI$4:$AI$503,277))=0,"",INDEX('Providers'!$AI$4:$AI$503,277))</f>
        <v/>
      </c>
    </row>
    <row r="2281">
      <c r="A2281">
        <f>IF(AND(LEN('Providers'!A281)&gt;0,ISNUMBER('Providers'!Q281)),1,0)</f>
        <v/>
      </c>
      <c r="B2281">
        <f>B2280+A2281</f>
        <v/>
      </c>
      <c r="C2281">
        <f>IF(2278&gt;$B$4503,"",MATCH(2278-0.5,$B$3:$B$4503,1))</f>
        <v/>
      </c>
      <c r="D2281">
        <f>"Malpractice insurance – "&amp;IF(LEN(INDEX('Providers'!$A$4:$A$503,278))=0,"",INDEX('Providers'!$A$4:$A$503,278))</f>
        <v/>
      </c>
      <c r="E2281">
        <f>IF(ISNUMBER(INDEX('Providers'!$Q$4:$Q$503,278)),TEXT(INDEX('Providers'!$Q$4:$Q$503,278),"yyyy-mm-dd"),"")</f>
        <v/>
      </c>
      <c r="F2281">
        <f>"Insurance"</f>
        <v/>
      </c>
      <c r="G2281">
        <f>""</f>
        <v/>
      </c>
      <c r="H2281">
        <f>"High"</f>
        <v/>
      </c>
      <c r="I2281">
        <f>TRIM(IF(LEN(IF(LEN(INDEX('Providers'!$N$4:$N$503,278))=0,"",INDEX('Providers'!$N$4:$N$503,278)))=0,"","Carrier: "&amp;IF(LEN(INDEX('Providers'!$N$4:$N$503,278))=0,"",INDEX('Providers'!$N$4:$N$503,278))&amp;". ")&amp;IF(LEN(IF(LEN(INDEX('Providers'!$O$4:$O$503,278))=0,"",INDEX('Providers'!$O$4:$O$503,278)))=0,"","Policy no.: "&amp;IF(LEN(INDEX('Providers'!$O$4:$O$503,278))=0,"",INDEX('Providers'!$O$4:$O$503,278))&amp;". ")&amp;IF(LEN(IF(LEN(INDEX('Providers'!$P$4:$P$503,278))=0,"",INDEX('Providers'!$P$4:$P$503,278)))=0,"","Coverage form: "&amp;IF(LEN(INDEX('Providers'!$P$4:$P$503,278))=0,"",INDEX('Providers'!$P$4:$P$503,278))&amp;". "))</f>
        <v/>
      </c>
      <c r="J2281">
        <f>IF(LEN(INDEX('Providers'!$AJ$4:$AJ$503,278))=0,"",INDEX('Providers'!$AJ$4:$AJ$503,278))</f>
        <v/>
      </c>
      <c r="K2281">
        <f>IF(LEN(INDEX('Providers'!$AI$4:$AI$503,278))=0,"",INDEX('Providers'!$AI$4:$AI$503,278))</f>
        <v/>
      </c>
    </row>
    <row r="2282">
      <c r="A2282">
        <f>IF(AND(LEN('Providers'!A282)&gt;0,ISNUMBER('Providers'!Q282)),1,0)</f>
        <v/>
      </c>
      <c r="B2282">
        <f>B2281+A2282</f>
        <v/>
      </c>
      <c r="C2282">
        <f>IF(2279&gt;$B$4503,"",MATCH(2279-0.5,$B$3:$B$4503,1))</f>
        <v/>
      </c>
      <c r="D2282">
        <f>"Malpractice insurance – "&amp;IF(LEN(INDEX('Providers'!$A$4:$A$503,279))=0,"",INDEX('Providers'!$A$4:$A$503,279))</f>
        <v/>
      </c>
      <c r="E2282">
        <f>IF(ISNUMBER(INDEX('Providers'!$Q$4:$Q$503,279)),TEXT(INDEX('Providers'!$Q$4:$Q$503,279),"yyyy-mm-dd"),"")</f>
        <v/>
      </c>
      <c r="F2282">
        <f>"Insurance"</f>
        <v/>
      </c>
      <c r="G2282">
        <f>""</f>
        <v/>
      </c>
      <c r="H2282">
        <f>"High"</f>
        <v/>
      </c>
      <c r="I2282">
        <f>TRIM(IF(LEN(IF(LEN(INDEX('Providers'!$N$4:$N$503,279))=0,"",INDEX('Providers'!$N$4:$N$503,279)))=0,"","Carrier: "&amp;IF(LEN(INDEX('Providers'!$N$4:$N$503,279))=0,"",INDEX('Providers'!$N$4:$N$503,279))&amp;". ")&amp;IF(LEN(IF(LEN(INDEX('Providers'!$O$4:$O$503,279))=0,"",INDEX('Providers'!$O$4:$O$503,279)))=0,"","Policy no.: "&amp;IF(LEN(INDEX('Providers'!$O$4:$O$503,279))=0,"",INDEX('Providers'!$O$4:$O$503,279))&amp;". ")&amp;IF(LEN(IF(LEN(INDEX('Providers'!$P$4:$P$503,279))=0,"",INDEX('Providers'!$P$4:$P$503,279)))=0,"","Coverage form: "&amp;IF(LEN(INDEX('Providers'!$P$4:$P$503,279))=0,"",INDEX('Providers'!$P$4:$P$503,279))&amp;". "))</f>
        <v/>
      </c>
      <c r="J2282">
        <f>IF(LEN(INDEX('Providers'!$AJ$4:$AJ$503,279))=0,"",INDEX('Providers'!$AJ$4:$AJ$503,279))</f>
        <v/>
      </c>
      <c r="K2282">
        <f>IF(LEN(INDEX('Providers'!$AI$4:$AI$503,279))=0,"",INDEX('Providers'!$AI$4:$AI$503,279))</f>
        <v/>
      </c>
    </row>
    <row r="2283">
      <c r="A2283">
        <f>IF(AND(LEN('Providers'!A283)&gt;0,ISNUMBER('Providers'!Q283)),1,0)</f>
        <v/>
      </c>
      <c r="B2283">
        <f>B2282+A2283</f>
        <v/>
      </c>
      <c r="C2283">
        <f>IF(2280&gt;$B$4503,"",MATCH(2280-0.5,$B$3:$B$4503,1))</f>
        <v/>
      </c>
      <c r="D2283">
        <f>"Malpractice insurance – "&amp;IF(LEN(INDEX('Providers'!$A$4:$A$503,280))=0,"",INDEX('Providers'!$A$4:$A$503,280))</f>
        <v/>
      </c>
      <c r="E2283">
        <f>IF(ISNUMBER(INDEX('Providers'!$Q$4:$Q$503,280)),TEXT(INDEX('Providers'!$Q$4:$Q$503,280),"yyyy-mm-dd"),"")</f>
        <v/>
      </c>
      <c r="F2283">
        <f>"Insurance"</f>
        <v/>
      </c>
      <c r="G2283">
        <f>""</f>
        <v/>
      </c>
      <c r="H2283">
        <f>"High"</f>
        <v/>
      </c>
      <c r="I2283">
        <f>TRIM(IF(LEN(IF(LEN(INDEX('Providers'!$N$4:$N$503,280))=0,"",INDEX('Providers'!$N$4:$N$503,280)))=0,"","Carrier: "&amp;IF(LEN(INDEX('Providers'!$N$4:$N$503,280))=0,"",INDEX('Providers'!$N$4:$N$503,280))&amp;". ")&amp;IF(LEN(IF(LEN(INDEX('Providers'!$O$4:$O$503,280))=0,"",INDEX('Providers'!$O$4:$O$503,280)))=0,"","Policy no.: "&amp;IF(LEN(INDEX('Providers'!$O$4:$O$503,280))=0,"",INDEX('Providers'!$O$4:$O$503,280))&amp;". ")&amp;IF(LEN(IF(LEN(INDEX('Providers'!$P$4:$P$503,280))=0,"",INDEX('Providers'!$P$4:$P$503,280)))=0,"","Coverage form: "&amp;IF(LEN(INDEX('Providers'!$P$4:$P$503,280))=0,"",INDEX('Providers'!$P$4:$P$503,280))&amp;". "))</f>
        <v/>
      </c>
      <c r="J2283">
        <f>IF(LEN(INDEX('Providers'!$AJ$4:$AJ$503,280))=0,"",INDEX('Providers'!$AJ$4:$AJ$503,280))</f>
        <v/>
      </c>
      <c r="K2283">
        <f>IF(LEN(INDEX('Providers'!$AI$4:$AI$503,280))=0,"",INDEX('Providers'!$AI$4:$AI$503,280))</f>
        <v/>
      </c>
    </row>
    <row r="2284">
      <c r="A2284">
        <f>IF(AND(LEN('Providers'!A284)&gt;0,ISNUMBER('Providers'!Q284)),1,0)</f>
        <v/>
      </c>
      <c r="B2284">
        <f>B2283+A2284</f>
        <v/>
      </c>
      <c r="C2284">
        <f>IF(2281&gt;$B$4503,"",MATCH(2281-0.5,$B$3:$B$4503,1))</f>
        <v/>
      </c>
      <c r="D2284">
        <f>"Malpractice insurance – "&amp;IF(LEN(INDEX('Providers'!$A$4:$A$503,281))=0,"",INDEX('Providers'!$A$4:$A$503,281))</f>
        <v/>
      </c>
      <c r="E2284">
        <f>IF(ISNUMBER(INDEX('Providers'!$Q$4:$Q$503,281)),TEXT(INDEX('Providers'!$Q$4:$Q$503,281),"yyyy-mm-dd"),"")</f>
        <v/>
      </c>
      <c r="F2284">
        <f>"Insurance"</f>
        <v/>
      </c>
      <c r="G2284">
        <f>""</f>
        <v/>
      </c>
      <c r="H2284">
        <f>"High"</f>
        <v/>
      </c>
      <c r="I2284">
        <f>TRIM(IF(LEN(IF(LEN(INDEX('Providers'!$N$4:$N$503,281))=0,"",INDEX('Providers'!$N$4:$N$503,281)))=0,"","Carrier: "&amp;IF(LEN(INDEX('Providers'!$N$4:$N$503,281))=0,"",INDEX('Providers'!$N$4:$N$503,281))&amp;". ")&amp;IF(LEN(IF(LEN(INDEX('Providers'!$O$4:$O$503,281))=0,"",INDEX('Providers'!$O$4:$O$503,281)))=0,"","Policy no.: "&amp;IF(LEN(INDEX('Providers'!$O$4:$O$503,281))=0,"",INDEX('Providers'!$O$4:$O$503,281))&amp;". ")&amp;IF(LEN(IF(LEN(INDEX('Providers'!$P$4:$P$503,281))=0,"",INDEX('Providers'!$P$4:$P$503,281)))=0,"","Coverage form: "&amp;IF(LEN(INDEX('Providers'!$P$4:$P$503,281))=0,"",INDEX('Providers'!$P$4:$P$503,281))&amp;". "))</f>
        <v/>
      </c>
      <c r="J2284">
        <f>IF(LEN(INDEX('Providers'!$AJ$4:$AJ$503,281))=0,"",INDEX('Providers'!$AJ$4:$AJ$503,281))</f>
        <v/>
      </c>
      <c r="K2284">
        <f>IF(LEN(INDEX('Providers'!$AI$4:$AI$503,281))=0,"",INDEX('Providers'!$AI$4:$AI$503,281))</f>
        <v/>
      </c>
    </row>
    <row r="2285">
      <c r="A2285">
        <f>IF(AND(LEN('Providers'!A285)&gt;0,ISNUMBER('Providers'!Q285)),1,0)</f>
        <v/>
      </c>
      <c r="B2285">
        <f>B2284+A2285</f>
        <v/>
      </c>
      <c r="C2285">
        <f>IF(2282&gt;$B$4503,"",MATCH(2282-0.5,$B$3:$B$4503,1))</f>
        <v/>
      </c>
      <c r="D2285">
        <f>"Malpractice insurance – "&amp;IF(LEN(INDEX('Providers'!$A$4:$A$503,282))=0,"",INDEX('Providers'!$A$4:$A$503,282))</f>
        <v/>
      </c>
      <c r="E2285">
        <f>IF(ISNUMBER(INDEX('Providers'!$Q$4:$Q$503,282)),TEXT(INDEX('Providers'!$Q$4:$Q$503,282),"yyyy-mm-dd"),"")</f>
        <v/>
      </c>
      <c r="F2285">
        <f>"Insurance"</f>
        <v/>
      </c>
      <c r="G2285">
        <f>""</f>
        <v/>
      </c>
      <c r="H2285">
        <f>"High"</f>
        <v/>
      </c>
      <c r="I2285">
        <f>TRIM(IF(LEN(IF(LEN(INDEX('Providers'!$N$4:$N$503,282))=0,"",INDEX('Providers'!$N$4:$N$503,282)))=0,"","Carrier: "&amp;IF(LEN(INDEX('Providers'!$N$4:$N$503,282))=0,"",INDEX('Providers'!$N$4:$N$503,282))&amp;". ")&amp;IF(LEN(IF(LEN(INDEX('Providers'!$O$4:$O$503,282))=0,"",INDEX('Providers'!$O$4:$O$503,282)))=0,"","Policy no.: "&amp;IF(LEN(INDEX('Providers'!$O$4:$O$503,282))=0,"",INDEX('Providers'!$O$4:$O$503,282))&amp;". ")&amp;IF(LEN(IF(LEN(INDEX('Providers'!$P$4:$P$503,282))=0,"",INDEX('Providers'!$P$4:$P$503,282)))=0,"","Coverage form: "&amp;IF(LEN(INDEX('Providers'!$P$4:$P$503,282))=0,"",INDEX('Providers'!$P$4:$P$503,282))&amp;". "))</f>
        <v/>
      </c>
      <c r="J2285">
        <f>IF(LEN(INDEX('Providers'!$AJ$4:$AJ$503,282))=0,"",INDEX('Providers'!$AJ$4:$AJ$503,282))</f>
        <v/>
      </c>
      <c r="K2285">
        <f>IF(LEN(INDEX('Providers'!$AI$4:$AI$503,282))=0,"",INDEX('Providers'!$AI$4:$AI$503,282))</f>
        <v/>
      </c>
    </row>
    <row r="2286">
      <c r="A2286">
        <f>IF(AND(LEN('Providers'!A286)&gt;0,ISNUMBER('Providers'!Q286)),1,0)</f>
        <v/>
      </c>
      <c r="B2286">
        <f>B2285+A2286</f>
        <v/>
      </c>
      <c r="C2286">
        <f>IF(2283&gt;$B$4503,"",MATCH(2283-0.5,$B$3:$B$4503,1))</f>
        <v/>
      </c>
      <c r="D2286">
        <f>"Malpractice insurance – "&amp;IF(LEN(INDEX('Providers'!$A$4:$A$503,283))=0,"",INDEX('Providers'!$A$4:$A$503,283))</f>
        <v/>
      </c>
      <c r="E2286">
        <f>IF(ISNUMBER(INDEX('Providers'!$Q$4:$Q$503,283)),TEXT(INDEX('Providers'!$Q$4:$Q$503,283),"yyyy-mm-dd"),"")</f>
        <v/>
      </c>
      <c r="F2286">
        <f>"Insurance"</f>
        <v/>
      </c>
      <c r="G2286">
        <f>""</f>
        <v/>
      </c>
      <c r="H2286">
        <f>"High"</f>
        <v/>
      </c>
      <c r="I2286">
        <f>TRIM(IF(LEN(IF(LEN(INDEX('Providers'!$N$4:$N$503,283))=0,"",INDEX('Providers'!$N$4:$N$503,283)))=0,"","Carrier: "&amp;IF(LEN(INDEX('Providers'!$N$4:$N$503,283))=0,"",INDEX('Providers'!$N$4:$N$503,283))&amp;". ")&amp;IF(LEN(IF(LEN(INDEX('Providers'!$O$4:$O$503,283))=0,"",INDEX('Providers'!$O$4:$O$503,283)))=0,"","Policy no.: "&amp;IF(LEN(INDEX('Providers'!$O$4:$O$503,283))=0,"",INDEX('Providers'!$O$4:$O$503,283))&amp;". ")&amp;IF(LEN(IF(LEN(INDEX('Providers'!$P$4:$P$503,283))=0,"",INDEX('Providers'!$P$4:$P$503,283)))=0,"","Coverage form: "&amp;IF(LEN(INDEX('Providers'!$P$4:$P$503,283))=0,"",INDEX('Providers'!$P$4:$P$503,283))&amp;". "))</f>
        <v/>
      </c>
      <c r="J2286">
        <f>IF(LEN(INDEX('Providers'!$AJ$4:$AJ$503,283))=0,"",INDEX('Providers'!$AJ$4:$AJ$503,283))</f>
        <v/>
      </c>
      <c r="K2286">
        <f>IF(LEN(INDEX('Providers'!$AI$4:$AI$503,283))=0,"",INDEX('Providers'!$AI$4:$AI$503,283))</f>
        <v/>
      </c>
    </row>
    <row r="2287">
      <c r="A2287">
        <f>IF(AND(LEN('Providers'!A287)&gt;0,ISNUMBER('Providers'!Q287)),1,0)</f>
        <v/>
      </c>
      <c r="B2287">
        <f>B2286+A2287</f>
        <v/>
      </c>
      <c r="C2287">
        <f>IF(2284&gt;$B$4503,"",MATCH(2284-0.5,$B$3:$B$4503,1))</f>
        <v/>
      </c>
      <c r="D2287">
        <f>"Malpractice insurance – "&amp;IF(LEN(INDEX('Providers'!$A$4:$A$503,284))=0,"",INDEX('Providers'!$A$4:$A$503,284))</f>
        <v/>
      </c>
      <c r="E2287">
        <f>IF(ISNUMBER(INDEX('Providers'!$Q$4:$Q$503,284)),TEXT(INDEX('Providers'!$Q$4:$Q$503,284),"yyyy-mm-dd"),"")</f>
        <v/>
      </c>
      <c r="F2287">
        <f>"Insurance"</f>
        <v/>
      </c>
      <c r="G2287">
        <f>""</f>
        <v/>
      </c>
      <c r="H2287">
        <f>"High"</f>
        <v/>
      </c>
      <c r="I2287">
        <f>TRIM(IF(LEN(IF(LEN(INDEX('Providers'!$N$4:$N$503,284))=0,"",INDEX('Providers'!$N$4:$N$503,284)))=0,"","Carrier: "&amp;IF(LEN(INDEX('Providers'!$N$4:$N$503,284))=0,"",INDEX('Providers'!$N$4:$N$503,284))&amp;". ")&amp;IF(LEN(IF(LEN(INDEX('Providers'!$O$4:$O$503,284))=0,"",INDEX('Providers'!$O$4:$O$503,284)))=0,"","Policy no.: "&amp;IF(LEN(INDEX('Providers'!$O$4:$O$503,284))=0,"",INDEX('Providers'!$O$4:$O$503,284))&amp;". ")&amp;IF(LEN(IF(LEN(INDEX('Providers'!$P$4:$P$503,284))=0,"",INDEX('Providers'!$P$4:$P$503,284)))=0,"","Coverage form: "&amp;IF(LEN(INDEX('Providers'!$P$4:$P$503,284))=0,"",INDEX('Providers'!$P$4:$P$503,284))&amp;". "))</f>
        <v/>
      </c>
      <c r="J2287">
        <f>IF(LEN(INDEX('Providers'!$AJ$4:$AJ$503,284))=0,"",INDEX('Providers'!$AJ$4:$AJ$503,284))</f>
        <v/>
      </c>
      <c r="K2287">
        <f>IF(LEN(INDEX('Providers'!$AI$4:$AI$503,284))=0,"",INDEX('Providers'!$AI$4:$AI$503,284))</f>
        <v/>
      </c>
    </row>
    <row r="2288">
      <c r="A2288">
        <f>IF(AND(LEN('Providers'!A288)&gt;0,ISNUMBER('Providers'!Q288)),1,0)</f>
        <v/>
      </c>
      <c r="B2288">
        <f>B2287+A2288</f>
        <v/>
      </c>
      <c r="C2288">
        <f>IF(2285&gt;$B$4503,"",MATCH(2285-0.5,$B$3:$B$4503,1))</f>
        <v/>
      </c>
      <c r="D2288">
        <f>"Malpractice insurance – "&amp;IF(LEN(INDEX('Providers'!$A$4:$A$503,285))=0,"",INDEX('Providers'!$A$4:$A$503,285))</f>
        <v/>
      </c>
      <c r="E2288">
        <f>IF(ISNUMBER(INDEX('Providers'!$Q$4:$Q$503,285)),TEXT(INDEX('Providers'!$Q$4:$Q$503,285),"yyyy-mm-dd"),"")</f>
        <v/>
      </c>
      <c r="F2288">
        <f>"Insurance"</f>
        <v/>
      </c>
      <c r="G2288">
        <f>""</f>
        <v/>
      </c>
      <c r="H2288">
        <f>"High"</f>
        <v/>
      </c>
      <c r="I2288">
        <f>TRIM(IF(LEN(IF(LEN(INDEX('Providers'!$N$4:$N$503,285))=0,"",INDEX('Providers'!$N$4:$N$503,285)))=0,"","Carrier: "&amp;IF(LEN(INDEX('Providers'!$N$4:$N$503,285))=0,"",INDEX('Providers'!$N$4:$N$503,285))&amp;". ")&amp;IF(LEN(IF(LEN(INDEX('Providers'!$O$4:$O$503,285))=0,"",INDEX('Providers'!$O$4:$O$503,285)))=0,"","Policy no.: "&amp;IF(LEN(INDEX('Providers'!$O$4:$O$503,285))=0,"",INDEX('Providers'!$O$4:$O$503,285))&amp;". ")&amp;IF(LEN(IF(LEN(INDEX('Providers'!$P$4:$P$503,285))=0,"",INDEX('Providers'!$P$4:$P$503,285)))=0,"","Coverage form: "&amp;IF(LEN(INDEX('Providers'!$P$4:$P$503,285))=0,"",INDEX('Providers'!$P$4:$P$503,285))&amp;". "))</f>
        <v/>
      </c>
      <c r="J2288">
        <f>IF(LEN(INDEX('Providers'!$AJ$4:$AJ$503,285))=0,"",INDEX('Providers'!$AJ$4:$AJ$503,285))</f>
        <v/>
      </c>
      <c r="K2288">
        <f>IF(LEN(INDEX('Providers'!$AI$4:$AI$503,285))=0,"",INDEX('Providers'!$AI$4:$AI$503,285))</f>
        <v/>
      </c>
    </row>
    <row r="2289">
      <c r="A2289">
        <f>IF(AND(LEN('Providers'!A289)&gt;0,ISNUMBER('Providers'!Q289)),1,0)</f>
        <v/>
      </c>
      <c r="B2289">
        <f>B2288+A2289</f>
        <v/>
      </c>
      <c r="C2289">
        <f>IF(2286&gt;$B$4503,"",MATCH(2286-0.5,$B$3:$B$4503,1))</f>
        <v/>
      </c>
      <c r="D2289">
        <f>"Malpractice insurance – "&amp;IF(LEN(INDEX('Providers'!$A$4:$A$503,286))=0,"",INDEX('Providers'!$A$4:$A$503,286))</f>
        <v/>
      </c>
      <c r="E2289">
        <f>IF(ISNUMBER(INDEX('Providers'!$Q$4:$Q$503,286)),TEXT(INDEX('Providers'!$Q$4:$Q$503,286),"yyyy-mm-dd"),"")</f>
        <v/>
      </c>
      <c r="F2289">
        <f>"Insurance"</f>
        <v/>
      </c>
      <c r="G2289">
        <f>""</f>
        <v/>
      </c>
      <c r="H2289">
        <f>"High"</f>
        <v/>
      </c>
      <c r="I2289">
        <f>TRIM(IF(LEN(IF(LEN(INDEX('Providers'!$N$4:$N$503,286))=0,"",INDEX('Providers'!$N$4:$N$503,286)))=0,"","Carrier: "&amp;IF(LEN(INDEX('Providers'!$N$4:$N$503,286))=0,"",INDEX('Providers'!$N$4:$N$503,286))&amp;". ")&amp;IF(LEN(IF(LEN(INDEX('Providers'!$O$4:$O$503,286))=0,"",INDEX('Providers'!$O$4:$O$503,286)))=0,"","Policy no.: "&amp;IF(LEN(INDEX('Providers'!$O$4:$O$503,286))=0,"",INDEX('Providers'!$O$4:$O$503,286))&amp;". ")&amp;IF(LEN(IF(LEN(INDEX('Providers'!$P$4:$P$503,286))=0,"",INDEX('Providers'!$P$4:$P$503,286)))=0,"","Coverage form: "&amp;IF(LEN(INDEX('Providers'!$P$4:$P$503,286))=0,"",INDEX('Providers'!$P$4:$P$503,286))&amp;". "))</f>
        <v/>
      </c>
      <c r="J2289">
        <f>IF(LEN(INDEX('Providers'!$AJ$4:$AJ$503,286))=0,"",INDEX('Providers'!$AJ$4:$AJ$503,286))</f>
        <v/>
      </c>
      <c r="K2289">
        <f>IF(LEN(INDEX('Providers'!$AI$4:$AI$503,286))=0,"",INDEX('Providers'!$AI$4:$AI$503,286))</f>
        <v/>
      </c>
    </row>
    <row r="2290">
      <c r="A2290">
        <f>IF(AND(LEN('Providers'!A290)&gt;0,ISNUMBER('Providers'!Q290)),1,0)</f>
        <v/>
      </c>
      <c r="B2290">
        <f>B2289+A2290</f>
        <v/>
      </c>
      <c r="C2290">
        <f>IF(2287&gt;$B$4503,"",MATCH(2287-0.5,$B$3:$B$4503,1))</f>
        <v/>
      </c>
      <c r="D2290">
        <f>"Malpractice insurance – "&amp;IF(LEN(INDEX('Providers'!$A$4:$A$503,287))=0,"",INDEX('Providers'!$A$4:$A$503,287))</f>
        <v/>
      </c>
      <c r="E2290">
        <f>IF(ISNUMBER(INDEX('Providers'!$Q$4:$Q$503,287)),TEXT(INDEX('Providers'!$Q$4:$Q$503,287),"yyyy-mm-dd"),"")</f>
        <v/>
      </c>
      <c r="F2290">
        <f>"Insurance"</f>
        <v/>
      </c>
      <c r="G2290">
        <f>""</f>
        <v/>
      </c>
      <c r="H2290">
        <f>"High"</f>
        <v/>
      </c>
      <c r="I2290">
        <f>TRIM(IF(LEN(IF(LEN(INDEX('Providers'!$N$4:$N$503,287))=0,"",INDEX('Providers'!$N$4:$N$503,287)))=0,"","Carrier: "&amp;IF(LEN(INDEX('Providers'!$N$4:$N$503,287))=0,"",INDEX('Providers'!$N$4:$N$503,287))&amp;". ")&amp;IF(LEN(IF(LEN(INDEX('Providers'!$O$4:$O$503,287))=0,"",INDEX('Providers'!$O$4:$O$503,287)))=0,"","Policy no.: "&amp;IF(LEN(INDEX('Providers'!$O$4:$O$503,287))=0,"",INDEX('Providers'!$O$4:$O$503,287))&amp;". ")&amp;IF(LEN(IF(LEN(INDEX('Providers'!$P$4:$P$503,287))=0,"",INDEX('Providers'!$P$4:$P$503,287)))=0,"","Coverage form: "&amp;IF(LEN(INDEX('Providers'!$P$4:$P$503,287))=0,"",INDEX('Providers'!$P$4:$P$503,287))&amp;". "))</f>
        <v/>
      </c>
      <c r="J2290">
        <f>IF(LEN(INDEX('Providers'!$AJ$4:$AJ$503,287))=0,"",INDEX('Providers'!$AJ$4:$AJ$503,287))</f>
        <v/>
      </c>
      <c r="K2290">
        <f>IF(LEN(INDEX('Providers'!$AI$4:$AI$503,287))=0,"",INDEX('Providers'!$AI$4:$AI$503,287))</f>
        <v/>
      </c>
    </row>
    <row r="2291">
      <c r="A2291">
        <f>IF(AND(LEN('Providers'!A291)&gt;0,ISNUMBER('Providers'!Q291)),1,0)</f>
        <v/>
      </c>
      <c r="B2291">
        <f>B2290+A2291</f>
        <v/>
      </c>
      <c r="C2291">
        <f>IF(2288&gt;$B$4503,"",MATCH(2288-0.5,$B$3:$B$4503,1))</f>
        <v/>
      </c>
      <c r="D2291">
        <f>"Malpractice insurance – "&amp;IF(LEN(INDEX('Providers'!$A$4:$A$503,288))=0,"",INDEX('Providers'!$A$4:$A$503,288))</f>
        <v/>
      </c>
      <c r="E2291">
        <f>IF(ISNUMBER(INDEX('Providers'!$Q$4:$Q$503,288)),TEXT(INDEX('Providers'!$Q$4:$Q$503,288),"yyyy-mm-dd"),"")</f>
        <v/>
      </c>
      <c r="F2291">
        <f>"Insurance"</f>
        <v/>
      </c>
      <c r="G2291">
        <f>""</f>
        <v/>
      </c>
      <c r="H2291">
        <f>"High"</f>
        <v/>
      </c>
      <c r="I2291">
        <f>TRIM(IF(LEN(IF(LEN(INDEX('Providers'!$N$4:$N$503,288))=0,"",INDEX('Providers'!$N$4:$N$503,288)))=0,"","Carrier: "&amp;IF(LEN(INDEX('Providers'!$N$4:$N$503,288))=0,"",INDEX('Providers'!$N$4:$N$503,288))&amp;". ")&amp;IF(LEN(IF(LEN(INDEX('Providers'!$O$4:$O$503,288))=0,"",INDEX('Providers'!$O$4:$O$503,288)))=0,"","Policy no.: "&amp;IF(LEN(INDEX('Providers'!$O$4:$O$503,288))=0,"",INDEX('Providers'!$O$4:$O$503,288))&amp;". ")&amp;IF(LEN(IF(LEN(INDEX('Providers'!$P$4:$P$503,288))=0,"",INDEX('Providers'!$P$4:$P$503,288)))=0,"","Coverage form: "&amp;IF(LEN(INDEX('Providers'!$P$4:$P$503,288))=0,"",INDEX('Providers'!$P$4:$P$503,288))&amp;". "))</f>
        <v/>
      </c>
      <c r="J2291">
        <f>IF(LEN(INDEX('Providers'!$AJ$4:$AJ$503,288))=0,"",INDEX('Providers'!$AJ$4:$AJ$503,288))</f>
        <v/>
      </c>
      <c r="K2291">
        <f>IF(LEN(INDEX('Providers'!$AI$4:$AI$503,288))=0,"",INDEX('Providers'!$AI$4:$AI$503,288))</f>
        <v/>
      </c>
    </row>
    <row r="2292">
      <c r="A2292">
        <f>IF(AND(LEN('Providers'!A292)&gt;0,ISNUMBER('Providers'!Q292)),1,0)</f>
        <v/>
      </c>
      <c r="B2292">
        <f>B2291+A2292</f>
        <v/>
      </c>
      <c r="C2292">
        <f>IF(2289&gt;$B$4503,"",MATCH(2289-0.5,$B$3:$B$4503,1))</f>
        <v/>
      </c>
      <c r="D2292">
        <f>"Malpractice insurance – "&amp;IF(LEN(INDEX('Providers'!$A$4:$A$503,289))=0,"",INDEX('Providers'!$A$4:$A$503,289))</f>
        <v/>
      </c>
      <c r="E2292">
        <f>IF(ISNUMBER(INDEX('Providers'!$Q$4:$Q$503,289)),TEXT(INDEX('Providers'!$Q$4:$Q$503,289),"yyyy-mm-dd"),"")</f>
        <v/>
      </c>
      <c r="F2292">
        <f>"Insurance"</f>
        <v/>
      </c>
      <c r="G2292">
        <f>""</f>
        <v/>
      </c>
      <c r="H2292">
        <f>"High"</f>
        <v/>
      </c>
      <c r="I2292">
        <f>TRIM(IF(LEN(IF(LEN(INDEX('Providers'!$N$4:$N$503,289))=0,"",INDEX('Providers'!$N$4:$N$503,289)))=0,"","Carrier: "&amp;IF(LEN(INDEX('Providers'!$N$4:$N$503,289))=0,"",INDEX('Providers'!$N$4:$N$503,289))&amp;". ")&amp;IF(LEN(IF(LEN(INDEX('Providers'!$O$4:$O$503,289))=0,"",INDEX('Providers'!$O$4:$O$503,289)))=0,"","Policy no.: "&amp;IF(LEN(INDEX('Providers'!$O$4:$O$503,289))=0,"",INDEX('Providers'!$O$4:$O$503,289))&amp;". ")&amp;IF(LEN(IF(LEN(INDEX('Providers'!$P$4:$P$503,289))=0,"",INDEX('Providers'!$P$4:$P$503,289)))=0,"","Coverage form: "&amp;IF(LEN(INDEX('Providers'!$P$4:$P$503,289))=0,"",INDEX('Providers'!$P$4:$P$503,289))&amp;". "))</f>
        <v/>
      </c>
      <c r="J2292">
        <f>IF(LEN(INDEX('Providers'!$AJ$4:$AJ$503,289))=0,"",INDEX('Providers'!$AJ$4:$AJ$503,289))</f>
        <v/>
      </c>
      <c r="K2292">
        <f>IF(LEN(INDEX('Providers'!$AI$4:$AI$503,289))=0,"",INDEX('Providers'!$AI$4:$AI$503,289))</f>
        <v/>
      </c>
    </row>
    <row r="2293">
      <c r="A2293">
        <f>IF(AND(LEN('Providers'!A293)&gt;0,ISNUMBER('Providers'!Q293)),1,0)</f>
        <v/>
      </c>
      <c r="B2293">
        <f>B2292+A2293</f>
        <v/>
      </c>
      <c r="C2293">
        <f>IF(2290&gt;$B$4503,"",MATCH(2290-0.5,$B$3:$B$4503,1))</f>
        <v/>
      </c>
      <c r="D2293">
        <f>"Malpractice insurance – "&amp;IF(LEN(INDEX('Providers'!$A$4:$A$503,290))=0,"",INDEX('Providers'!$A$4:$A$503,290))</f>
        <v/>
      </c>
      <c r="E2293">
        <f>IF(ISNUMBER(INDEX('Providers'!$Q$4:$Q$503,290)),TEXT(INDEX('Providers'!$Q$4:$Q$503,290),"yyyy-mm-dd"),"")</f>
        <v/>
      </c>
      <c r="F2293">
        <f>"Insurance"</f>
        <v/>
      </c>
      <c r="G2293">
        <f>""</f>
        <v/>
      </c>
      <c r="H2293">
        <f>"High"</f>
        <v/>
      </c>
      <c r="I2293">
        <f>TRIM(IF(LEN(IF(LEN(INDEX('Providers'!$N$4:$N$503,290))=0,"",INDEX('Providers'!$N$4:$N$503,290)))=0,"","Carrier: "&amp;IF(LEN(INDEX('Providers'!$N$4:$N$503,290))=0,"",INDEX('Providers'!$N$4:$N$503,290))&amp;". ")&amp;IF(LEN(IF(LEN(INDEX('Providers'!$O$4:$O$503,290))=0,"",INDEX('Providers'!$O$4:$O$503,290)))=0,"","Policy no.: "&amp;IF(LEN(INDEX('Providers'!$O$4:$O$503,290))=0,"",INDEX('Providers'!$O$4:$O$503,290))&amp;". ")&amp;IF(LEN(IF(LEN(INDEX('Providers'!$P$4:$P$503,290))=0,"",INDEX('Providers'!$P$4:$P$503,290)))=0,"","Coverage form: "&amp;IF(LEN(INDEX('Providers'!$P$4:$P$503,290))=0,"",INDEX('Providers'!$P$4:$P$503,290))&amp;". "))</f>
        <v/>
      </c>
      <c r="J2293">
        <f>IF(LEN(INDEX('Providers'!$AJ$4:$AJ$503,290))=0,"",INDEX('Providers'!$AJ$4:$AJ$503,290))</f>
        <v/>
      </c>
      <c r="K2293">
        <f>IF(LEN(INDEX('Providers'!$AI$4:$AI$503,290))=0,"",INDEX('Providers'!$AI$4:$AI$503,290))</f>
        <v/>
      </c>
    </row>
    <row r="2294">
      <c r="A2294">
        <f>IF(AND(LEN('Providers'!A294)&gt;0,ISNUMBER('Providers'!Q294)),1,0)</f>
        <v/>
      </c>
      <c r="B2294">
        <f>B2293+A2294</f>
        <v/>
      </c>
      <c r="C2294">
        <f>IF(2291&gt;$B$4503,"",MATCH(2291-0.5,$B$3:$B$4503,1))</f>
        <v/>
      </c>
      <c r="D2294">
        <f>"Malpractice insurance – "&amp;IF(LEN(INDEX('Providers'!$A$4:$A$503,291))=0,"",INDEX('Providers'!$A$4:$A$503,291))</f>
        <v/>
      </c>
      <c r="E2294">
        <f>IF(ISNUMBER(INDEX('Providers'!$Q$4:$Q$503,291)),TEXT(INDEX('Providers'!$Q$4:$Q$503,291),"yyyy-mm-dd"),"")</f>
        <v/>
      </c>
      <c r="F2294">
        <f>"Insurance"</f>
        <v/>
      </c>
      <c r="G2294">
        <f>""</f>
        <v/>
      </c>
      <c r="H2294">
        <f>"High"</f>
        <v/>
      </c>
      <c r="I2294">
        <f>TRIM(IF(LEN(IF(LEN(INDEX('Providers'!$N$4:$N$503,291))=0,"",INDEX('Providers'!$N$4:$N$503,291)))=0,"","Carrier: "&amp;IF(LEN(INDEX('Providers'!$N$4:$N$503,291))=0,"",INDEX('Providers'!$N$4:$N$503,291))&amp;". ")&amp;IF(LEN(IF(LEN(INDEX('Providers'!$O$4:$O$503,291))=0,"",INDEX('Providers'!$O$4:$O$503,291)))=0,"","Policy no.: "&amp;IF(LEN(INDEX('Providers'!$O$4:$O$503,291))=0,"",INDEX('Providers'!$O$4:$O$503,291))&amp;". ")&amp;IF(LEN(IF(LEN(INDEX('Providers'!$P$4:$P$503,291))=0,"",INDEX('Providers'!$P$4:$P$503,291)))=0,"","Coverage form: "&amp;IF(LEN(INDEX('Providers'!$P$4:$P$503,291))=0,"",INDEX('Providers'!$P$4:$P$503,291))&amp;". "))</f>
        <v/>
      </c>
      <c r="J2294">
        <f>IF(LEN(INDEX('Providers'!$AJ$4:$AJ$503,291))=0,"",INDEX('Providers'!$AJ$4:$AJ$503,291))</f>
        <v/>
      </c>
      <c r="K2294">
        <f>IF(LEN(INDEX('Providers'!$AI$4:$AI$503,291))=0,"",INDEX('Providers'!$AI$4:$AI$503,291))</f>
        <v/>
      </c>
    </row>
    <row r="2295">
      <c r="A2295">
        <f>IF(AND(LEN('Providers'!A295)&gt;0,ISNUMBER('Providers'!Q295)),1,0)</f>
        <v/>
      </c>
      <c r="B2295">
        <f>B2294+A2295</f>
        <v/>
      </c>
      <c r="C2295">
        <f>IF(2292&gt;$B$4503,"",MATCH(2292-0.5,$B$3:$B$4503,1))</f>
        <v/>
      </c>
      <c r="D2295">
        <f>"Malpractice insurance – "&amp;IF(LEN(INDEX('Providers'!$A$4:$A$503,292))=0,"",INDEX('Providers'!$A$4:$A$503,292))</f>
        <v/>
      </c>
      <c r="E2295">
        <f>IF(ISNUMBER(INDEX('Providers'!$Q$4:$Q$503,292)),TEXT(INDEX('Providers'!$Q$4:$Q$503,292),"yyyy-mm-dd"),"")</f>
        <v/>
      </c>
      <c r="F2295">
        <f>"Insurance"</f>
        <v/>
      </c>
      <c r="G2295">
        <f>""</f>
        <v/>
      </c>
      <c r="H2295">
        <f>"High"</f>
        <v/>
      </c>
      <c r="I2295">
        <f>TRIM(IF(LEN(IF(LEN(INDEX('Providers'!$N$4:$N$503,292))=0,"",INDEX('Providers'!$N$4:$N$503,292)))=0,"","Carrier: "&amp;IF(LEN(INDEX('Providers'!$N$4:$N$503,292))=0,"",INDEX('Providers'!$N$4:$N$503,292))&amp;". ")&amp;IF(LEN(IF(LEN(INDEX('Providers'!$O$4:$O$503,292))=0,"",INDEX('Providers'!$O$4:$O$503,292)))=0,"","Policy no.: "&amp;IF(LEN(INDEX('Providers'!$O$4:$O$503,292))=0,"",INDEX('Providers'!$O$4:$O$503,292))&amp;". ")&amp;IF(LEN(IF(LEN(INDEX('Providers'!$P$4:$P$503,292))=0,"",INDEX('Providers'!$P$4:$P$503,292)))=0,"","Coverage form: "&amp;IF(LEN(INDEX('Providers'!$P$4:$P$503,292))=0,"",INDEX('Providers'!$P$4:$P$503,292))&amp;". "))</f>
        <v/>
      </c>
      <c r="J2295">
        <f>IF(LEN(INDEX('Providers'!$AJ$4:$AJ$503,292))=0,"",INDEX('Providers'!$AJ$4:$AJ$503,292))</f>
        <v/>
      </c>
      <c r="K2295">
        <f>IF(LEN(INDEX('Providers'!$AI$4:$AI$503,292))=0,"",INDEX('Providers'!$AI$4:$AI$503,292))</f>
        <v/>
      </c>
    </row>
    <row r="2296">
      <c r="A2296">
        <f>IF(AND(LEN('Providers'!A296)&gt;0,ISNUMBER('Providers'!Q296)),1,0)</f>
        <v/>
      </c>
      <c r="B2296">
        <f>B2295+A2296</f>
        <v/>
      </c>
      <c r="C2296">
        <f>IF(2293&gt;$B$4503,"",MATCH(2293-0.5,$B$3:$B$4503,1))</f>
        <v/>
      </c>
      <c r="D2296">
        <f>"Malpractice insurance – "&amp;IF(LEN(INDEX('Providers'!$A$4:$A$503,293))=0,"",INDEX('Providers'!$A$4:$A$503,293))</f>
        <v/>
      </c>
      <c r="E2296">
        <f>IF(ISNUMBER(INDEX('Providers'!$Q$4:$Q$503,293)),TEXT(INDEX('Providers'!$Q$4:$Q$503,293),"yyyy-mm-dd"),"")</f>
        <v/>
      </c>
      <c r="F2296">
        <f>"Insurance"</f>
        <v/>
      </c>
      <c r="G2296">
        <f>""</f>
        <v/>
      </c>
      <c r="H2296">
        <f>"High"</f>
        <v/>
      </c>
      <c r="I2296">
        <f>TRIM(IF(LEN(IF(LEN(INDEX('Providers'!$N$4:$N$503,293))=0,"",INDEX('Providers'!$N$4:$N$503,293)))=0,"","Carrier: "&amp;IF(LEN(INDEX('Providers'!$N$4:$N$503,293))=0,"",INDEX('Providers'!$N$4:$N$503,293))&amp;". ")&amp;IF(LEN(IF(LEN(INDEX('Providers'!$O$4:$O$503,293))=0,"",INDEX('Providers'!$O$4:$O$503,293)))=0,"","Policy no.: "&amp;IF(LEN(INDEX('Providers'!$O$4:$O$503,293))=0,"",INDEX('Providers'!$O$4:$O$503,293))&amp;". ")&amp;IF(LEN(IF(LEN(INDEX('Providers'!$P$4:$P$503,293))=0,"",INDEX('Providers'!$P$4:$P$503,293)))=0,"","Coverage form: "&amp;IF(LEN(INDEX('Providers'!$P$4:$P$503,293))=0,"",INDEX('Providers'!$P$4:$P$503,293))&amp;". "))</f>
        <v/>
      </c>
      <c r="J2296">
        <f>IF(LEN(INDEX('Providers'!$AJ$4:$AJ$503,293))=0,"",INDEX('Providers'!$AJ$4:$AJ$503,293))</f>
        <v/>
      </c>
      <c r="K2296">
        <f>IF(LEN(INDEX('Providers'!$AI$4:$AI$503,293))=0,"",INDEX('Providers'!$AI$4:$AI$503,293))</f>
        <v/>
      </c>
    </row>
    <row r="2297">
      <c r="A2297">
        <f>IF(AND(LEN('Providers'!A297)&gt;0,ISNUMBER('Providers'!Q297)),1,0)</f>
        <v/>
      </c>
      <c r="B2297">
        <f>B2296+A2297</f>
        <v/>
      </c>
      <c r="C2297">
        <f>IF(2294&gt;$B$4503,"",MATCH(2294-0.5,$B$3:$B$4503,1))</f>
        <v/>
      </c>
      <c r="D2297">
        <f>"Malpractice insurance – "&amp;IF(LEN(INDEX('Providers'!$A$4:$A$503,294))=0,"",INDEX('Providers'!$A$4:$A$503,294))</f>
        <v/>
      </c>
      <c r="E2297">
        <f>IF(ISNUMBER(INDEX('Providers'!$Q$4:$Q$503,294)),TEXT(INDEX('Providers'!$Q$4:$Q$503,294),"yyyy-mm-dd"),"")</f>
        <v/>
      </c>
      <c r="F2297">
        <f>"Insurance"</f>
        <v/>
      </c>
      <c r="G2297">
        <f>""</f>
        <v/>
      </c>
      <c r="H2297">
        <f>"High"</f>
        <v/>
      </c>
      <c r="I2297">
        <f>TRIM(IF(LEN(IF(LEN(INDEX('Providers'!$N$4:$N$503,294))=0,"",INDEX('Providers'!$N$4:$N$503,294)))=0,"","Carrier: "&amp;IF(LEN(INDEX('Providers'!$N$4:$N$503,294))=0,"",INDEX('Providers'!$N$4:$N$503,294))&amp;". ")&amp;IF(LEN(IF(LEN(INDEX('Providers'!$O$4:$O$503,294))=0,"",INDEX('Providers'!$O$4:$O$503,294)))=0,"","Policy no.: "&amp;IF(LEN(INDEX('Providers'!$O$4:$O$503,294))=0,"",INDEX('Providers'!$O$4:$O$503,294))&amp;". ")&amp;IF(LEN(IF(LEN(INDEX('Providers'!$P$4:$P$503,294))=0,"",INDEX('Providers'!$P$4:$P$503,294)))=0,"","Coverage form: "&amp;IF(LEN(INDEX('Providers'!$P$4:$P$503,294))=0,"",INDEX('Providers'!$P$4:$P$503,294))&amp;". "))</f>
        <v/>
      </c>
      <c r="J2297">
        <f>IF(LEN(INDEX('Providers'!$AJ$4:$AJ$503,294))=0,"",INDEX('Providers'!$AJ$4:$AJ$503,294))</f>
        <v/>
      </c>
      <c r="K2297">
        <f>IF(LEN(INDEX('Providers'!$AI$4:$AI$503,294))=0,"",INDEX('Providers'!$AI$4:$AI$503,294))</f>
        <v/>
      </c>
    </row>
    <row r="2298">
      <c r="A2298">
        <f>IF(AND(LEN('Providers'!A298)&gt;0,ISNUMBER('Providers'!Q298)),1,0)</f>
        <v/>
      </c>
      <c r="B2298">
        <f>B2297+A2298</f>
        <v/>
      </c>
      <c r="C2298">
        <f>IF(2295&gt;$B$4503,"",MATCH(2295-0.5,$B$3:$B$4503,1))</f>
        <v/>
      </c>
      <c r="D2298">
        <f>"Malpractice insurance – "&amp;IF(LEN(INDEX('Providers'!$A$4:$A$503,295))=0,"",INDEX('Providers'!$A$4:$A$503,295))</f>
        <v/>
      </c>
      <c r="E2298">
        <f>IF(ISNUMBER(INDEX('Providers'!$Q$4:$Q$503,295)),TEXT(INDEX('Providers'!$Q$4:$Q$503,295),"yyyy-mm-dd"),"")</f>
        <v/>
      </c>
      <c r="F2298">
        <f>"Insurance"</f>
        <v/>
      </c>
      <c r="G2298">
        <f>""</f>
        <v/>
      </c>
      <c r="H2298">
        <f>"High"</f>
        <v/>
      </c>
      <c r="I2298">
        <f>TRIM(IF(LEN(IF(LEN(INDEX('Providers'!$N$4:$N$503,295))=0,"",INDEX('Providers'!$N$4:$N$503,295)))=0,"","Carrier: "&amp;IF(LEN(INDEX('Providers'!$N$4:$N$503,295))=0,"",INDEX('Providers'!$N$4:$N$503,295))&amp;". ")&amp;IF(LEN(IF(LEN(INDEX('Providers'!$O$4:$O$503,295))=0,"",INDEX('Providers'!$O$4:$O$503,295)))=0,"","Policy no.: "&amp;IF(LEN(INDEX('Providers'!$O$4:$O$503,295))=0,"",INDEX('Providers'!$O$4:$O$503,295))&amp;". ")&amp;IF(LEN(IF(LEN(INDEX('Providers'!$P$4:$P$503,295))=0,"",INDEX('Providers'!$P$4:$P$503,295)))=0,"","Coverage form: "&amp;IF(LEN(INDEX('Providers'!$P$4:$P$503,295))=0,"",INDEX('Providers'!$P$4:$P$503,295))&amp;". "))</f>
        <v/>
      </c>
      <c r="J2298">
        <f>IF(LEN(INDEX('Providers'!$AJ$4:$AJ$503,295))=0,"",INDEX('Providers'!$AJ$4:$AJ$503,295))</f>
        <v/>
      </c>
      <c r="K2298">
        <f>IF(LEN(INDEX('Providers'!$AI$4:$AI$503,295))=0,"",INDEX('Providers'!$AI$4:$AI$503,295))</f>
        <v/>
      </c>
    </row>
    <row r="2299">
      <c r="A2299">
        <f>IF(AND(LEN('Providers'!A299)&gt;0,ISNUMBER('Providers'!Q299)),1,0)</f>
        <v/>
      </c>
      <c r="B2299">
        <f>B2298+A2299</f>
        <v/>
      </c>
      <c r="C2299">
        <f>IF(2296&gt;$B$4503,"",MATCH(2296-0.5,$B$3:$B$4503,1))</f>
        <v/>
      </c>
      <c r="D2299">
        <f>"Malpractice insurance – "&amp;IF(LEN(INDEX('Providers'!$A$4:$A$503,296))=0,"",INDEX('Providers'!$A$4:$A$503,296))</f>
        <v/>
      </c>
      <c r="E2299">
        <f>IF(ISNUMBER(INDEX('Providers'!$Q$4:$Q$503,296)),TEXT(INDEX('Providers'!$Q$4:$Q$503,296),"yyyy-mm-dd"),"")</f>
        <v/>
      </c>
      <c r="F2299">
        <f>"Insurance"</f>
        <v/>
      </c>
      <c r="G2299">
        <f>""</f>
        <v/>
      </c>
      <c r="H2299">
        <f>"High"</f>
        <v/>
      </c>
      <c r="I2299">
        <f>TRIM(IF(LEN(IF(LEN(INDEX('Providers'!$N$4:$N$503,296))=0,"",INDEX('Providers'!$N$4:$N$503,296)))=0,"","Carrier: "&amp;IF(LEN(INDEX('Providers'!$N$4:$N$503,296))=0,"",INDEX('Providers'!$N$4:$N$503,296))&amp;". ")&amp;IF(LEN(IF(LEN(INDEX('Providers'!$O$4:$O$503,296))=0,"",INDEX('Providers'!$O$4:$O$503,296)))=0,"","Policy no.: "&amp;IF(LEN(INDEX('Providers'!$O$4:$O$503,296))=0,"",INDEX('Providers'!$O$4:$O$503,296))&amp;". ")&amp;IF(LEN(IF(LEN(INDEX('Providers'!$P$4:$P$503,296))=0,"",INDEX('Providers'!$P$4:$P$503,296)))=0,"","Coverage form: "&amp;IF(LEN(INDEX('Providers'!$P$4:$P$503,296))=0,"",INDEX('Providers'!$P$4:$P$503,296))&amp;". "))</f>
        <v/>
      </c>
      <c r="J2299">
        <f>IF(LEN(INDEX('Providers'!$AJ$4:$AJ$503,296))=0,"",INDEX('Providers'!$AJ$4:$AJ$503,296))</f>
        <v/>
      </c>
      <c r="K2299">
        <f>IF(LEN(INDEX('Providers'!$AI$4:$AI$503,296))=0,"",INDEX('Providers'!$AI$4:$AI$503,296))</f>
        <v/>
      </c>
    </row>
    <row r="2300">
      <c r="A2300">
        <f>IF(AND(LEN('Providers'!A300)&gt;0,ISNUMBER('Providers'!Q300)),1,0)</f>
        <v/>
      </c>
      <c r="B2300">
        <f>B2299+A2300</f>
        <v/>
      </c>
      <c r="C2300">
        <f>IF(2297&gt;$B$4503,"",MATCH(2297-0.5,$B$3:$B$4503,1))</f>
        <v/>
      </c>
      <c r="D2300">
        <f>"Malpractice insurance – "&amp;IF(LEN(INDEX('Providers'!$A$4:$A$503,297))=0,"",INDEX('Providers'!$A$4:$A$503,297))</f>
        <v/>
      </c>
      <c r="E2300">
        <f>IF(ISNUMBER(INDEX('Providers'!$Q$4:$Q$503,297)),TEXT(INDEX('Providers'!$Q$4:$Q$503,297),"yyyy-mm-dd"),"")</f>
        <v/>
      </c>
      <c r="F2300">
        <f>"Insurance"</f>
        <v/>
      </c>
      <c r="G2300">
        <f>""</f>
        <v/>
      </c>
      <c r="H2300">
        <f>"High"</f>
        <v/>
      </c>
      <c r="I2300">
        <f>TRIM(IF(LEN(IF(LEN(INDEX('Providers'!$N$4:$N$503,297))=0,"",INDEX('Providers'!$N$4:$N$503,297)))=0,"","Carrier: "&amp;IF(LEN(INDEX('Providers'!$N$4:$N$503,297))=0,"",INDEX('Providers'!$N$4:$N$503,297))&amp;". ")&amp;IF(LEN(IF(LEN(INDEX('Providers'!$O$4:$O$503,297))=0,"",INDEX('Providers'!$O$4:$O$503,297)))=0,"","Policy no.: "&amp;IF(LEN(INDEX('Providers'!$O$4:$O$503,297))=0,"",INDEX('Providers'!$O$4:$O$503,297))&amp;". ")&amp;IF(LEN(IF(LEN(INDEX('Providers'!$P$4:$P$503,297))=0,"",INDEX('Providers'!$P$4:$P$503,297)))=0,"","Coverage form: "&amp;IF(LEN(INDEX('Providers'!$P$4:$P$503,297))=0,"",INDEX('Providers'!$P$4:$P$503,297))&amp;". "))</f>
        <v/>
      </c>
      <c r="J2300">
        <f>IF(LEN(INDEX('Providers'!$AJ$4:$AJ$503,297))=0,"",INDEX('Providers'!$AJ$4:$AJ$503,297))</f>
        <v/>
      </c>
      <c r="K2300">
        <f>IF(LEN(INDEX('Providers'!$AI$4:$AI$503,297))=0,"",INDEX('Providers'!$AI$4:$AI$503,297))</f>
        <v/>
      </c>
    </row>
    <row r="2301">
      <c r="A2301">
        <f>IF(AND(LEN('Providers'!A301)&gt;0,ISNUMBER('Providers'!Q301)),1,0)</f>
        <v/>
      </c>
      <c r="B2301">
        <f>B2300+A2301</f>
        <v/>
      </c>
      <c r="C2301">
        <f>IF(2298&gt;$B$4503,"",MATCH(2298-0.5,$B$3:$B$4503,1))</f>
        <v/>
      </c>
      <c r="D2301">
        <f>"Malpractice insurance – "&amp;IF(LEN(INDEX('Providers'!$A$4:$A$503,298))=0,"",INDEX('Providers'!$A$4:$A$503,298))</f>
        <v/>
      </c>
      <c r="E2301">
        <f>IF(ISNUMBER(INDEX('Providers'!$Q$4:$Q$503,298)),TEXT(INDEX('Providers'!$Q$4:$Q$503,298),"yyyy-mm-dd"),"")</f>
        <v/>
      </c>
      <c r="F2301">
        <f>"Insurance"</f>
        <v/>
      </c>
      <c r="G2301">
        <f>""</f>
        <v/>
      </c>
      <c r="H2301">
        <f>"High"</f>
        <v/>
      </c>
      <c r="I2301">
        <f>TRIM(IF(LEN(IF(LEN(INDEX('Providers'!$N$4:$N$503,298))=0,"",INDEX('Providers'!$N$4:$N$503,298)))=0,"","Carrier: "&amp;IF(LEN(INDEX('Providers'!$N$4:$N$503,298))=0,"",INDEX('Providers'!$N$4:$N$503,298))&amp;". ")&amp;IF(LEN(IF(LEN(INDEX('Providers'!$O$4:$O$503,298))=0,"",INDEX('Providers'!$O$4:$O$503,298)))=0,"","Policy no.: "&amp;IF(LEN(INDEX('Providers'!$O$4:$O$503,298))=0,"",INDEX('Providers'!$O$4:$O$503,298))&amp;". ")&amp;IF(LEN(IF(LEN(INDEX('Providers'!$P$4:$P$503,298))=0,"",INDEX('Providers'!$P$4:$P$503,298)))=0,"","Coverage form: "&amp;IF(LEN(INDEX('Providers'!$P$4:$P$503,298))=0,"",INDEX('Providers'!$P$4:$P$503,298))&amp;". "))</f>
        <v/>
      </c>
      <c r="J2301">
        <f>IF(LEN(INDEX('Providers'!$AJ$4:$AJ$503,298))=0,"",INDEX('Providers'!$AJ$4:$AJ$503,298))</f>
        <v/>
      </c>
      <c r="K2301">
        <f>IF(LEN(INDEX('Providers'!$AI$4:$AI$503,298))=0,"",INDEX('Providers'!$AI$4:$AI$503,298))</f>
        <v/>
      </c>
    </row>
    <row r="2302">
      <c r="A2302">
        <f>IF(AND(LEN('Providers'!A302)&gt;0,ISNUMBER('Providers'!Q302)),1,0)</f>
        <v/>
      </c>
      <c r="B2302">
        <f>B2301+A2302</f>
        <v/>
      </c>
      <c r="C2302">
        <f>IF(2299&gt;$B$4503,"",MATCH(2299-0.5,$B$3:$B$4503,1))</f>
        <v/>
      </c>
      <c r="D2302">
        <f>"Malpractice insurance – "&amp;IF(LEN(INDEX('Providers'!$A$4:$A$503,299))=0,"",INDEX('Providers'!$A$4:$A$503,299))</f>
        <v/>
      </c>
      <c r="E2302">
        <f>IF(ISNUMBER(INDEX('Providers'!$Q$4:$Q$503,299)),TEXT(INDEX('Providers'!$Q$4:$Q$503,299),"yyyy-mm-dd"),"")</f>
        <v/>
      </c>
      <c r="F2302">
        <f>"Insurance"</f>
        <v/>
      </c>
      <c r="G2302">
        <f>""</f>
        <v/>
      </c>
      <c r="H2302">
        <f>"High"</f>
        <v/>
      </c>
      <c r="I2302">
        <f>TRIM(IF(LEN(IF(LEN(INDEX('Providers'!$N$4:$N$503,299))=0,"",INDEX('Providers'!$N$4:$N$503,299)))=0,"","Carrier: "&amp;IF(LEN(INDEX('Providers'!$N$4:$N$503,299))=0,"",INDEX('Providers'!$N$4:$N$503,299))&amp;". ")&amp;IF(LEN(IF(LEN(INDEX('Providers'!$O$4:$O$503,299))=0,"",INDEX('Providers'!$O$4:$O$503,299)))=0,"","Policy no.: "&amp;IF(LEN(INDEX('Providers'!$O$4:$O$503,299))=0,"",INDEX('Providers'!$O$4:$O$503,299))&amp;". ")&amp;IF(LEN(IF(LEN(INDEX('Providers'!$P$4:$P$503,299))=0,"",INDEX('Providers'!$P$4:$P$503,299)))=0,"","Coverage form: "&amp;IF(LEN(INDEX('Providers'!$P$4:$P$503,299))=0,"",INDEX('Providers'!$P$4:$P$503,299))&amp;". "))</f>
        <v/>
      </c>
      <c r="J2302">
        <f>IF(LEN(INDEX('Providers'!$AJ$4:$AJ$503,299))=0,"",INDEX('Providers'!$AJ$4:$AJ$503,299))</f>
        <v/>
      </c>
      <c r="K2302">
        <f>IF(LEN(INDEX('Providers'!$AI$4:$AI$503,299))=0,"",INDEX('Providers'!$AI$4:$AI$503,299))</f>
        <v/>
      </c>
    </row>
    <row r="2303">
      <c r="A2303">
        <f>IF(AND(LEN('Providers'!A303)&gt;0,ISNUMBER('Providers'!Q303)),1,0)</f>
        <v/>
      </c>
      <c r="B2303">
        <f>B2302+A2303</f>
        <v/>
      </c>
      <c r="C2303">
        <f>IF(2300&gt;$B$4503,"",MATCH(2300-0.5,$B$3:$B$4503,1))</f>
        <v/>
      </c>
      <c r="D2303">
        <f>"Malpractice insurance – "&amp;IF(LEN(INDEX('Providers'!$A$4:$A$503,300))=0,"",INDEX('Providers'!$A$4:$A$503,300))</f>
        <v/>
      </c>
      <c r="E2303">
        <f>IF(ISNUMBER(INDEX('Providers'!$Q$4:$Q$503,300)),TEXT(INDEX('Providers'!$Q$4:$Q$503,300),"yyyy-mm-dd"),"")</f>
        <v/>
      </c>
      <c r="F2303">
        <f>"Insurance"</f>
        <v/>
      </c>
      <c r="G2303">
        <f>""</f>
        <v/>
      </c>
      <c r="H2303">
        <f>"High"</f>
        <v/>
      </c>
      <c r="I2303">
        <f>TRIM(IF(LEN(IF(LEN(INDEX('Providers'!$N$4:$N$503,300))=0,"",INDEX('Providers'!$N$4:$N$503,300)))=0,"","Carrier: "&amp;IF(LEN(INDEX('Providers'!$N$4:$N$503,300))=0,"",INDEX('Providers'!$N$4:$N$503,300))&amp;". ")&amp;IF(LEN(IF(LEN(INDEX('Providers'!$O$4:$O$503,300))=0,"",INDEX('Providers'!$O$4:$O$503,300)))=0,"","Policy no.: "&amp;IF(LEN(INDEX('Providers'!$O$4:$O$503,300))=0,"",INDEX('Providers'!$O$4:$O$503,300))&amp;". ")&amp;IF(LEN(IF(LEN(INDEX('Providers'!$P$4:$P$503,300))=0,"",INDEX('Providers'!$P$4:$P$503,300)))=0,"","Coverage form: "&amp;IF(LEN(INDEX('Providers'!$P$4:$P$503,300))=0,"",INDEX('Providers'!$P$4:$P$503,300))&amp;". "))</f>
        <v/>
      </c>
      <c r="J2303">
        <f>IF(LEN(INDEX('Providers'!$AJ$4:$AJ$503,300))=0,"",INDEX('Providers'!$AJ$4:$AJ$503,300))</f>
        <v/>
      </c>
      <c r="K2303">
        <f>IF(LEN(INDEX('Providers'!$AI$4:$AI$503,300))=0,"",INDEX('Providers'!$AI$4:$AI$503,300))</f>
        <v/>
      </c>
    </row>
    <row r="2304">
      <c r="A2304">
        <f>IF(AND(LEN('Providers'!A304)&gt;0,ISNUMBER('Providers'!Q304)),1,0)</f>
        <v/>
      </c>
      <c r="B2304">
        <f>B2303+A2304</f>
        <v/>
      </c>
      <c r="C2304">
        <f>IF(2301&gt;$B$4503,"",MATCH(2301-0.5,$B$3:$B$4503,1))</f>
        <v/>
      </c>
      <c r="D2304">
        <f>"Malpractice insurance – "&amp;IF(LEN(INDEX('Providers'!$A$4:$A$503,301))=0,"",INDEX('Providers'!$A$4:$A$503,301))</f>
        <v/>
      </c>
      <c r="E2304">
        <f>IF(ISNUMBER(INDEX('Providers'!$Q$4:$Q$503,301)),TEXT(INDEX('Providers'!$Q$4:$Q$503,301),"yyyy-mm-dd"),"")</f>
        <v/>
      </c>
      <c r="F2304">
        <f>"Insurance"</f>
        <v/>
      </c>
      <c r="G2304">
        <f>""</f>
        <v/>
      </c>
      <c r="H2304">
        <f>"High"</f>
        <v/>
      </c>
      <c r="I2304">
        <f>TRIM(IF(LEN(IF(LEN(INDEX('Providers'!$N$4:$N$503,301))=0,"",INDEX('Providers'!$N$4:$N$503,301)))=0,"","Carrier: "&amp;IF(LEN(INDEX('Providers'!$N$4:$N$503,301))=0,"",INDEX('Providers'!$N$4:$N$503,301))&amp;". ")&amp;IF(LEN(IF(LEN(INDEX('Providers'!$O$4:$O$503,301))=0,"",INDEX('Providers'!$O$4:$O$503,301)))=0,"","Policy no.: "&amp;IF(LEN(INDEX('Providers'!$O$4:$O$503,301))=0,"",INDEX('Providers'!$O$4:$O$503,301))&amp;". ")&amp;IF(LEN(IF(LEN(INDEX('Providers'!$P$4:$P$503,301))=0,"",INDEX('Providers'!$P$4:$P$503,301)))=0,"","Coverage form: "&amp;IF(LEN(INDEX('Providers'!$P$4:$P$503,301))=0,"",INDEX('Providers'!$P$4:$P$503,301))&amp;". "))</f>
        <v/>
      </c>
      <c r="J2304">
        <f>IF(LEN(INDEX('Providers'!$AJ$4:$AJ$503,301))=0,"",INDEX('Providers'!$AJ$4:$AJ$503,301))</f>
        <v/>
      </c>
      <c r="K2304">
        <f>IF(LEN(INDEX('Providers'!$AI$4:$AI$503,301))=0,"",INDEX('Providers'!$AI$4:$AI$503,301))</f>
        <v/>
      </c>
    </row>
    <row r="2305">
      <c r="A2305">
        <f>IF(AND(LEN('Providers'!A305)&gt;0,ISNUMBER('Providers'!Q305)),1,0)</f>
        <v/>
      </c>
      <c r="B2305">
        <f>B2304+A2305</f>
        <v/>
      </c>
      <c r="C2305">
        <f>IF(2302&gt;$B$4503,"",MATCH(2302-0.5,$B$3:$B$4503,1))</f>
        <v/>
      </c>
      <c r="D2305">
        <f>"Malpractice insurance – "&amp;IF(LEN(INDEX('Providers'!$A$4:$A$503,302))=0,"",INDEX('Providers'!$A$4:$A$503,302))</f>
        <v/>
      </c>
      <c r="E2305">
        <f>IF(ISNUMBER(INDEX('Providers'!$Q$4:$Q$503,302)),TEXT(INDEX('Providers'!$Q$4:$Q$503,302),"yyyy-mm-dd"),"")</f>
        <v/>
      </c>
      <c r="F2305">
        <f>"Insurance"</f>
        <v/>
      </c>
      <c r="G2305">
        <f>""</f>
        <v/>
      </c>
      <c r="H2305">
        <f>"High"</f>
        <v/>
      </c>
      <c r="I2305">
        <f>TRIM(IF(LEN(IF(LEN(INDEX('Providers'!$N$4:$N$503,302))=0,"",INDEX('Providers'!$N$4:$N$503,302)))=0,"","Carrier: "&amp;IF(LEN(INDEX('Providers'!$N$4:$N$503,302))=0,"",INDEX('Providers'!$N$4:$N$503,302))&amp;". ")&amp;IF(LEN(IF(LEN(INDEX('Providers'!$O$4:$O$503,302))=0,"",INDEX('Providers'!$O$4:$O$503,302)))=0,"","Policy no.: "&amp;IF(LEN(INDEX('Providers'!$O$4:$O$503,302))=0,"",INDEX('Providers'!$O$4:$O$503,302))&amp;". ")&amp;IF(LEN(IF(LEN(INDEX('Providers'!$P$4:$P$503,302))=0,"",INDEX('Providers'!$P$4:$P$503,302)))=0,"","Coverage form: "&amp;IF(LEN(INDEX('Providers'!$P$4:$P$503,302))=0,"",INDEX('Providers'!$P$4:$P$503,302))&amp;". "))</f>
        <v/>
      </c>
      <c r="J2305">
        <f>IF(LEN(INDEX('Providers'!$AJ$4:$AJ$503,302))=0,"",INDEX('Providers'!$AJ$4:$AJ$503,302))</f>
        <v/>
      </c>
      <c r="K2305">
        <f>IF(LEN(INDEX('Providers'!$AI$4:$AI$503,302))=0,"",INDEX('Providers'!$AI$4:$AI$503,302))</f>
        <v/>
      </c>
    </row>
    <row r="2306">
      <c r="A2306">
        <f>IF(AND(LEN('Providers'!A306)&gt;0,ISNUMBER('Providers'!Q306)),1,0)</f>
        <v/>
      </c>
      <c r="B2306">
        <f>B2305+A2306</f>
        <v/>
      </c>
      <c r="C2306">
        <f>IF(2303&gt;$B$4503,"",MATCH(2303-0.5,$B$3:$B$4503,1))</f>
        <v/>
      </c>
      <c r="D2306">
        <f>"Malpractice insurance – "&amp;IF(LEN(INDEX('Providers'!$A$4:$A$503,303))=0,"",INDEX('Providers'!$A$4:$A$503,303))</f>
        <v/>
      </c>
      <c r="E2306">
        <f>IF(ISNUMBER(INDEX('Providers'!$Q$4:$Q$503,303)),TEXT(INDEX('Providers'!$Q$4:$Q$503,303),"yyyy-mm-dd"),"")</f>
        <v/>
      </c>
      <c r="F2306">
        <f>"Insurance"</f>
        <v/>
      </c>
      <c r="G2306">
        <f>""</f>
        <v/>
      </c>
      <c r="H2306">
        <f>"High"</f>
        <v/>
      </c>
      <c r="I2306">
        <f>TRIM(IF(LEN(IF(LEN(INDEX('Providers'!$N$4:$N$503,303))=0,"",INDEX('Providers'!$N$4:$N$503,303)))=0,"","Carrier: "&amp;IF(LEN(INDEX('Providers'!$N$4:$N$503,303))=0,"",INDEX('Providers'!$N$4:$N$503,303))&amp;". ")&amp;IF(LEN(IF(LEN(INDEX('Providers'!$O$4:$O$503,303))=0,"",INDEX('Providers'!$O$4:$O$503,303)))=0,"","Policy no.: "&amp;IF(LEN(INDEX('Providers'!$O$4:$O$503,303))=0,"",INDEX('Providers'!$O$4:$O$503,303))&amp;". ")&amp;IF(LEN(IF(LEN(INDEX('Providers'!$P$4:$P$503,303))=0,"",INDEX('Providers'!$P$4:$P$503,303)))=0,"","Coverage form: "&amp;IF(LEN(INDEX('Providers'!$P$4:$P$503,303))=0,"",INDEX('Providers'!$P$4:$P$503,303))&amp;". "))</f>
        <v/>
      </c>
      <c r="J2306">
        <f>IF(LEN(INDEX('Providers'!$AJ$4:$AJ$503,303))=0,"",INDEX('Providers'!$AJ$4:$AJ$503,303))</f>
        <v/>
      </c>
      <c r="K2306">
        <f>IF(LEN(INDEX('Providers'!$AI$4:$AI$503,303))=0,"",INDEX('Providers'!$AI$4:$AI$503,303))</f>
        <v/>
      </c>
    </row>
    <row r="2307">
      <c r="A2307">
        <f>IF(AND(LEN('Providers'!A307)&gt;0,ISNUMBER('Providers'!Q307)),1,0)</f>
        <v/>
      </c>
      <c r="B2307">
        <f>B2306+A2307</f>
        <v/>
      </c>
      <c r="C2307">
        <f>IF(2304&gt;$B$4503,"",MATCH(2304-0.5,$B$3:$B$4503,1))</f>
        <v/>
      </c>
      <c r="D2307">
        <f>"Malpractice insurance – "&amp;IF(LEN(INDEX('Providers'!$A$4:$A$503,304))=0,"",INDEX('Providers'!$A$4:$A$503,304))</f>
        <v/>
      </c>
      <c r="E2307">
        <f>IF(ISNUMBER(INDEX('Providers'!$Q$4:$Q$503,304)),TEXT(INDEX('Providers'!$Q$4:$Q$503,304),"yyyy-mm-dd"),"")</f>
        <v/>
      </c>
      <c r="F2307">
        <f>"Insurance"</f>
        <v/>
      </c>
      <c r="G2307">
        <f>""</f>
        <v/>
      </c>
      <c r="H2307">
        <f>"High"</f>
        <v/>
      </c>
      <c r="I2307">
        <f>TRIM(IF(LEN(IF(LEN(INDEX('Providers'!$N$4:$N$503,304))=0,"",INDEX('Providers'!$N$4:$N$503,304)))=0,"","Carrier: "&amp;IF(LEN(INDEX('Providers'!$N$4:$N$503,304))=0,"",INDEX('Providers'!$N$4:$N$503,304))&amp;". ")&amp;IF(LEN(IF(LEN(INDEX('Providers'!$O$4:$O$503,304))=0,"",INDEX('Providers'!$O$4:$O$503,304)))=0,"","Policy no.: "&amp;IF(LEN(INDEX('Providers'!$O$4:$O$503,304))=0,"",INDEX('Providers'!$O$4:$O$503,304))&amp;". ")&amp;IF(LEN(IF(LEN(INDEX('Providers'!$P$4:$P$503,304))=0,"",INDEX('Providers'!$P$4:$P$503,304)))=0,"","Coverage form: "&amp;IF(LEN(INDEX('Providers'!$P$4:$P$503,304))=0,"",INDEX('Providers'!$P$4:$P$503,304))&amp;". "))</f>
        <v/>
      </c>
      <c r="J2307">
        <f>IF(LEN(INDEX('Providers'!$AJ$4:$AJ$503,304))=0,"",INDEX('Providers'!$AJ$4:$AJ$503,304))</f>
        <v/>
      </c>
      <c r="K2307">
        <f>IF(LEN(INDEX('Providers'!$AI$4:$AI$503,304))=0,"",INDEX('Providers'!$AI$4:$AI$503,304))</f>
        <v/>
      </c>
    </row>
    <row r="2308">
      <c r="A2308">
        <f>IF(AND(LEN('Providers'!A308)&gt;0,ISNUMBER('Providers'!Q308)),1,0)</f>
        <v/>
      </c>
      <c r="B2308">
        <f>B2307+A2308</f>
        <v/>
      </c>
      <c r="C2308">
        <f>IF(2305&gt;$B$4503,"",MATCH(2305-0.5,$B$3:$B$4503,1))</f>
        <v/>
      </c>
      <c r="D2308">
        <f>"Malpractice insurance – "&amp;IF(LEN(INDEX('Providers'!$A$4:$A$503,305))=0,"",INDEX('Providers'!$A$4:$A$503,305))</f>
        <v/>
      </c>
      <c r="E2308">
        <f>IF(ISNUMBER(INDEX('Providers'!$Q$4:$Q$503,305)),TEXT(INDEX('Providers'!$Q$4:$Q$503,305),"yyyy-mm-dd"),"")</f>
        <v/>
      </c>
      <c r="F2308">
        <f>"Insurance"</f>
        <v/>
      </c>
      <c r="G2308">
        <f>""</f>
        <v/>
      </c>
      <c r="H2308">
        <f>"High"</f>
        <v/>
      </c>
      <c r="I2308">
        <f>TRIM(IF(LEN(IF(LEN(INDEX('Providers'!$N$4:$N$503,305))=0,"",INDEX('Providers'!$N$4:$N$503,305)))=0,"","Carrier: "&amp;IF(LEN(INDEX('Providers'!$N$4:$N$503,305))=0,"",INDEX('Providers'!$N$4:$N$503,305))&amp;". ")&amp;IF(LEN(IF(LEN(INDEX('Providers'!$O$4:$O$503,305))=0,"",INDEX('Providers'!$O$4:$O$503,305)))=0,"","Policy no.: "&amp;IF(LEN(INDEX('Providers'!$O$4:$O$503,305))=0,"",INDEX('Providers'!$O$4:$O$503,305))&amp;". ")&amp;IF(LEN(IF(LEN(INDEX('Providers'!$P$4:$P$503,305))=0,"",INDEX('Providers'!$P$4:$P$503,305)))=0,"","Coverage form: "&amp;IF(LEN(INDEX('Providers'!$P$4:$P$503,305))=0,"",INDEX('Providers'!$P$4:$P$503,305))&amp;". "))</f>
        <v/>
      </c>
      <c r="J2308">
        <f>IF(LEN(INDEX('Providers'!$AJ$4:$AJ$503,305))=0,"",INDEX('Providers'!$AJ$4:$AJ$503,305))</f>
        <v/>
      </c>
      <c r="K2308">
        <f>IF(LEN(INDEX('Providers'!$AI$4:$AI$503,305))=0,"",INDEX('Providers'!$AI$4:$AI$503,305))</f>
        <v/>
      </c>
    </row>
    <row r="2309">
      <c r="A2309">
        <f>IF(AND(LEN('Providers'!A309)&gt;0,ISNUMBER('Providers'!Q309)),1,0)</f>
        <v/>
      </c>
      <c r="B2309">
        <f>B2308+A2309</f>
        <v/>
      </c>
      <c r="C2309">
        <f>IF(2306&gt;$B$4503,"",MATCH(2306-0.5,$B$3:$B$4503,1))</f>
        <v/>
      </c>
      <c r="D2309">
        <f>"Malpractice insurance – "&amp;IF(LEN(INDEX('Providers'!$A$4:$A$503,306))=0,"",INDEX('Providers'!$A$4:$A$503,306))</f>
        <v/>
      </c>
      <c r="E2309">
        <f>IF(ISNUMBER(INDEX('Providers'!$Q$4:$Q$503,306)),TEXT(INDEX('Providers'!$Q$4:$Q$503,306),"yyyy-mm-dd"),"")</f>
        <v/>
      </c>
      <c r="F2309">
        <f>"Insurance"</f>
        <v/>
      </c>
      <c r="G2309">
        <f>""</f>
        <v/>
      </c>
      <c r="H2309">
        <f>"High"</f>
        <v/>
      </c>
      <c r="I2309">
        <f>TRIM(IF(LEN(IF(LEN(INDEX('Providers'!$N$4:$N$503,306))=0,"",INDEX('Providers'!$N$4:$N$503,306)))=0,"","Carrier: "&amp;IF(LEN(INDEX('Providers'!$N$4:$N$503,306))=0,"",INDEX('Providers'!$N$4:$N$503,306))&amp;". ")&amp;IF(LEN(IF(LEN(INDEX('Providers'!$O$4:$O$503,306))=0,"",INDEX('Providers'!$O$4:$O$503,306)))=0,"","Policy no.: "&amp;IF(LEN(INDEX('Providers'!$O$4:$O$503,306))=0,"",INDEX('Providers'!$O$4:$O$503,306))&amp;". ")&amp;IF(LEN(IF(LEN(INDEX('Providers'!$P$4:$P$503,306))=0,"",INDEX('Providers'!$P$4:$P$503,306)))=0,"","Coverage form: "&amp;IF(LEN(INDEX('Providers'!$P$4:$P$503,306))=0,"",INDEX('Providers'!$P$4:$P$503,306))&amp;". "))</f>
        <v/>
      </c>
      <c r="J2309">
        <f>IF(LEN(INDEX('Providers'!$AJ$4:$AJ$503,306))=0,"",INDEX('Providers'!$AJ$4:$AJ$503,306))</f>
        <v/>
      </c>
      <c r="K2309">
        <f>IF(LEN(INDEX('Providers'!$AI$4:$AI$503,306))=0,"",INDEX('Providers'!$AI$4:$AI$503,306))</f>
        <v/>
      </c>
    </row>
    <row r="2310">
      <c r="A2310">
        <f>IF(AND(LEN('Providers'!A310)&gt;0,ISNUMBER('Providers'!Q310)),1,0)</f>
        <v/>
      </c>
      <c r="B2310">
        <f>B2309+A2310</f>
        <v/>
      </c>
      <c r="C2310">
        <f>IF(2307&gt;$B$4503,"",MATCH(2307-0.5,$B$3:$B$4503,1))</f>
        <v/>
      </c>
      <c r="D2310">
        <f>"Malpractice insurance – "&amp;IF(LEN(INDEX('Providers'!$A$4:$A$503,307))=0,"",INDEX('Providers'!$A$4:$A$503,307))</f>
        <v/>
      </c>
      <c r="E2310">
        <f>IF(ISNUMBER(INDEX('Providers'!$Q$4:$Q$503,307)),TEXT(INDEX('Providers'!$Q$4:$Q$503,307),"yyyy-mm-dd"),"")</f>
        <v/>
      </c>
      <c r="F2310">
        <f>"Insurance"</f>
        <v/>
      </c>
      <c r="G2310">
        <f>""</f>
        <v/>
      </c>
      <c r="H2310">
        <f>"High"</f>
        <v/>
      </c>
      <c r="I2310">
        <f>TRIM(IF(LEN(IF(LEN(INDEX('Providers'!$N$4:$N$503,307))=0,"",INDEX('Providers'!$N$4:$N$503,307)))=0,"","Carrier: "&amp;IF(LEN(INDEX('Providers'!$N$4:$N$503,307))=0,"",INDEX('Providers'!$N$4:$N$503,307))&amp;". ")&amp;IF(LEN(IF(LEN(INDEX('Providers'!$O$4:$O$503,307))=0,"",INDEX('Providers'!$O$4:$O$503,307)))=0,"","Policy no.: "&amp;IF(LEN(INDEX('Providers'!$O$4:$O$503,307))=0,"",INDEX('Providers'!$O$4:$O$503,307))&amp;". ")&amp;IF(LEN(IF(LEN(INDEX('Providers'!$P$4:$P$503,307))=0,"",INDEX('Providers'!$P$4:$P$503,307)))=0,"","Coverage form: "&amp;IF(LEN(INDEX('Providers'!$P$4:$P$503,307))=0,"",INDEX('Providers'!$P$4:$P$503,307))&amp;". "))</f>
        <v/>
      </c>
      <c r="J2310">
        <f>IF(LEN(INDEX('Providers'!$AJ$4:$AJ$503,307))=0,"",INDEX('Providers'!$AJ$4:$AJ$503,307))</f>
        <v/>
      </c>
      <c r="K2310">
        <f>IF(LEN(INDEX('Providers'!$AI$4:$AI$503,307))=0,"",INDEX('Providers'!$AI$4:$AI$503,307))</f>
        <v/>
      </c>
    </row>
    <row r="2311">
      <c r="A2311">
        <f>IF(AND(LEN('Providers'!A311)&gt;0,ISNUMBER('Providers'!Q311)),1,0)</f>
        <v/>
      </c>
      <c r="B2311">
        <f>B2310+A2311</f>
        <v/>
      </c>
      <c r="C2311">
        <f>IF(2308&gt;$B$4503,"",MATCH(2308-0.5,$B$3:$B$4503,1))</f>
        <v/>
      </c>
      <c r="D2311">
        <f>"Malpractice insurance – "&amp;IF(LEN(INDEX('Providers'!$A$4:$A$503,308))=0,"",INDEX('Providers'!$A$4:$A$503,308))</f>
        <v/>
      </c>
      <c r="E2311">
        <f>IF(ISNUMBER(INDEX('Providers'!$Q$4:$Q$503,308)),TEXT(INDEX('Providers'!$Q$4:$Q$503,308),"yyyy-mm-dd"),"")</f>
        <v/>
      </c>
      <c r="F2311">
        <f>"Insurance"</f>
        <v/>
      </c>
      <c r="G2311">
        <f>""</f>
        <v/>
      </c>
      <c r="H2311">
        <f>"High"</f>
        <v/>
      </c>
      <c r="I2311">
        <f>TRIM(IF(LEN(IF(LEN(INDEX('Providers'!$N$4:$N$503,308))=0,"",INDEX('Providers'!$N$4:$N$503,308)))=0,"","Carrier: "&amp;IF(LEN(INDEX('Providers'!$N$4:$N$503,308))=0,"",INDEX('Providers'!$N$4:$N$503,308))&amp;". ")&amp;IF(LEN(IF(LEN(INDEX('Providers'!$O$4:$O$503,308))=0,"",INDEX('Providers'!$O$4:$O$503,308)))=0,"","Policy no.: "&amp;IF(LEN(INDEX('Providers'!$O$4:$O$503,308))=0,"",INDEX('Providers'!$O$4:$O$503,308))&amp;". ")&amp;IF(LEN(IF(LEN(INDEX('Providers'!$P$4:$P$503,308))=0,"",INDEX('Providers'!$P$4:$P$503,308)))=0,"","Coverage form: "&amp;IF(LEN(INDEX('Providers'!$P$4:$P$503,308))=0,"",INDEX('Providers'!$P$4:$P$503,308))&amp;". "))</f>
        <v/>
      </c>
      <c r="J2311">
        <f>IF(LEN(INDEX('Providers'!$AJ$4:$AJ$503,308))=0,"",INDEX('Providers'!$AJ$4:$AJ$503,308))</f>
        <v/>
      </c>
      <c r="K2311">
        <f>IF(LEN(INDEX('Providers'!$AI$4:$AI$503,308))=0,"",INDEX('Providers'!$AI$4:$AI$503,308))</f>
        <v/>
      </c>
    </row>
    <row r="2312">
      <c r="A2312">
        <f>IF(AND(LEN('Providers'!A312)&gt;0,ISNUMBER('Providers'!Q312)),1,0)</f>
        <v/>
      </c>
      <c r="B2312">
        <f>B2311+A2312</f>
        <v/>
      </c>
      <c r="C2312">
        <f>IF(2309&gt;$B$4503,"",MATCH(2309-0.5,$B$3:$B$4503,1))</f>
        <v/>
      </c>
      <c r="D2312">
        <f>"Malpractice insurance – "&amp;IF(LEN(INDEX('Providers'!$A$4:$A$503,309))=0,"",INDEX('Providers'!$A$4:$A$503,309))</f>
        <v/>
      </c>
      <c r="E2312">
        <f>IF(ISNUMBER(INDEX('Providers'!$Q$4:$Q$503,309)),TEXT(INDEX('Providers'!$Q$4:$Q$503,309),"yyyy-mm-dd"),"")</f>
        <v/>
      </c>
      <c r="F2312">
        <f>"Insurance"</f>
        <v/>
      </c>
      <c r="G2312">
        <f>""</f>
        <v/>
      </c>
      <c r="H2312">
        <f>"High"</f>
        <v/>
      </c>
      <c r="I2312">
        <f>TRIM(IF(LEN(IF(LEN(INDEX('Providers'!$N$4:$N$503,309))=0,"",INDEX('Providers'!$N$4:$N$503,309)))=0,"","Carrier: "&amp;IF(LEN(INDEX('Providers'!$N$4:$N$503,309))=0,"",INDEX('Providers'!$N$4:$N$503,309))&amp;". ")&amp;IF(LEN(IF(LEN(INDEX('Providers'!$O$4:$O$503,309))=0,"",INDEX('Providers'!$O$4:$O$503,309)))=0,"","Policy no.: "&amp;IF(LEN(INDEX('Providers'!$O$4:$O$503,309))=0,"",INDEX('Providers'!$O$4:$O$503,309))&amp;". ")&amp;IF(LEN(IF(LEN(INDEX('Providers'!$P$4:$P$503,309))=0,"",INDEX('Providers'!$P$4:$P$503,309)))=0,"","Coverage form: "&amp;IF(LEN(INDEX('Providers'!$P$4:$P$503,309))=0,"",INDEX('Providers'!$P$4:$P$503,309))&amp;". "))</f>
        <v/>
      </c>
      <c r="J2312">
        <f>IF(LEN(INDEX('Providers'!$AJ$4:$AJ$503,309))=0,"",INDEX('Providers'!$AJ$4:$AJ$503,309))</f>
        <v/>
      </c>
      <c r="K2312">
        <f>IF(LEN(INDEX('Providers'!$AI$4:$AI$503,309))=0,"",INDEX('Providers'!$AI$4:$AI$503,309))</f>
        <v/>
      </c>
    </row>
    <row r="2313">
      <c r="A2313">
        <f>IF(AND(LEN('Providers'!A313)&gt;0,ISNUMBER('Providers'!Q313)),1,0)</f>
        <v/>
      </c>
      <c r="B2313">
        <f>B2312+A2313</f>
        <v/>
      </c>
      <c r="C2313">
        <f>IF(2310&gt;$B$4503,"",MATCH(2310-0.5,$B$3:$B$4503,1))</f>
        <v/>
      </c>
      <c r="D2313">
        <f>"Malpractice insurance – "&amp;IF(LEN(INDEX('Providers'!$A$4:$A$503,310))=0,"",INDEX('Providers'!$A$4:$A$503,310))</f>
        <v/>
      </c>
      <c r="E2313">
        <f>IF(ISNUMBER(INDEX('Providers'!$Q$4:$Q$503,310)),TEXT(INDEX('Providers'!$Q$4:$Q$503,310),"yyyy-mm-dd"),"")</f>
        <v/>
      </c>
      <c r="F2313">
        <f>"Insurance"</f>
        <v/>
      </c>
      <c r="G2313">
        <f>""</f>
        <v/>
      </c>
      <c r="H2313">
        <f>"High"</f>
        <v/>
      </c>
      <c r="I2313">
        <f>TRIM(IF(LEN(IF(LEN(INDEX('Providers'!$N$4:$N$503,310))=0,"",INDEX('Providers'!$N$4:$N$503,310)))=0,"","Carrier: "&amp;IF(LEN(INDEX('Providers'!$N$4:$N$503,310))=0,"",INDEX('Providers'!$N$4:$N$503,310))&amp;". ")&amp;IF(LEN(IF(LEN(INDEX('Providers'!$O$4:$O$503,310))=0,"",INDEX('Providers'!$O$4:$O$503,310)))=0,"","Policy no.: "&amp;IF(LEN(INDEX('Providers'!$O$4:$O$503,310))=0,"",INDEX('Providers'!$O$4:$O$503,310))&amp;". ")&amp;IF(LEN(IF(LEN(INDEX('Providers'!$P$4:$P$503,310))=0,"",INDEX('Providers'!$P$4:$P$503,310)))=0,"","Coverage form: "&amp;IF(LEN(INDEX('Providers'!$P$4:$P$503,310))=0,"",INDEX('Providers'!$P$4:$P$503,310))&amp;". "))</f>
        <v/>
      </c>
      <c r="J2313">
        <f>IF(LEN(INDEX('Providers'!$AJ$4:$AJ$503,310))=0,"",INDEX('Providers'!$AJ$4:$AJ$503,310))</f>
        <v/>
      </c>
      <c r="K2313">
        <f>IF(LEN(INDEX('Providers'!$AI$4:$AI$503,310))=0,"",INDEX('Providers'!$AI$4:$AI$503,310))</f>
        <v/>
      </c>
    </row>
    <row r="2314">
      <c r="A2314">
        <f>IF(AND(LEN('Providers'!A314)&gt;0,ISNUMBER('Providers'!Q314)),1,0)</f>
        <v/>
      </c>
      <c r="B2314">
        <f>B2313+A2314</f>
        <v/>
      </c>
      <c r="C2314">
        <f>IF(2311&gt;$B$4503,"",MATCH(2311-0.5,$B$3:$B$4503,1))</f>
        <v/>
      </c>
      <c r="D2314">
        <f>"Malpractice insurance – "&amp;IF(LEN(INDEX('Providers'!$A$4:$A$503,311))=0,"",INDEX('Providers'!$A$4:$A$503,311))</f>
        <v/>
      </c>
      <c r="E2314">
        <f>IF(ISNUMBER(INDEX('Providers'!$Q$4:$Q$503,311)),TEXT(INDEX('Providers'!$Q$4:$Q$503,311),"yyyy-mm-dd"),"")</f>
        <v/>
      </c>
      <c r="F2314">
        <f>"Insurance"</f>
        <v/>
      </c>
      <c r="G2314">
        <f>""</f>
        <v/>
      </c>
      <c r="H2314">
        <f>"High"</f>
        <v/>
      </c>
      <c r="I2314">
        <f>TRIM(IF(LEN(IF(LEN(INDEX('Providers'!$N$4:$N$503,311))=0,"",INDEX('Providers'!$N$4:$N$503,311)))=0,"","Carrier: "&amp;IF(LEN(INDEX('Providers'!$N$4:$N$503,311))=0,"",INDEX('Providers'!$N$4:$N$503,311))&amp;". ")&amp;IF(LEN(IF(LEN(INDEX('Providers'!$O$4:$O$503,311))=0,"",INDEX('Providers'!$O$4:$O$503,311)))=0,"","Policy no.: "&amp;IF(LEN(INDEX('Providers'!$O$4:$O$503,311))=0,"",INDEX('Providers'!$O$4:$O$503,311))&amp;". ")&amp;IF(LEN(IF(LEN(INDEX('Providers'!$P$4:$P$503,311))=0,"",INDEX('Providers'!$P$4:$P$503,311)))=0,"","Coverage form: "&amp;IF(LEN(INDEX('Providers'!$P$4:$P$503,311))=0,"",INDEX('Providers'!$P$4:$P$503,311))&amp;". "))</f>
        <v/>
      </c>
      <c r="J2314">
        <f>IF(LEN(INDEX('Providers'!$AJ$4:$AJ$503,311))=0,"",INDEX('Providers'!$AJ$4:$AJ$503,311))</f>
        <v/>
      </c>
      <c r="K2314">
        <f>IF(LEN(INDEX('Providers'!$AI$4:$AI$503,311))=0,"",INDEX('Providers'!$AI$4:$AI$503,311))</f>
        <v/>
      </c>
    </row>
    <row r="2315">
      <c r="A2315">
        <f>IF(AND(LEN('Providers'!A315)&gt;0,ISNUMBER('Providers'!Q315)),1,0)</f>
        <v/>
      </c>
      <c r="B2315">
        <f>B2314+A2315</f>
        <v/>
      </c>
      <c r="C2315">
        <f>IF(2312&gt;$B$4503,"",MATCH(2312-0.5,$B$3:$B$4503,1))</f>
        <v/>
      </c>
      <c r="D2315">
        <f>"Malpractice insurance – "&amp;IF(LEN(INDEX('Providers'!$A$4:$A$503,312))=0,"",INDEX('Providers'!$A$4:$A$503,312))</f>
        <v/>
      </c>
      <c r="E2315">
        <f>IF(ISNUMBER(INDEX('Providers'!$Q$4:$Q$503,312)),TEXT(INDEX('Providers'!$Q$4:$Q$503,312),"yyyy-mm-dd"),"")</f>
        <v/>
      </c>
      <c r="F2315">
        <f>"Insurance"</f>
        <v/>
      </c>
      <c r="G2315">
        <f>""</f>
        <v/>
      </c>
      <c r="H2315">
        <f>"High"</f>
        <v/>
      </c>
      <c r="I2315">
        <f>TRIM(IF(LEN(IF(LEN(INDEX('Providers'!$N$4:$N$503,312))=0,"",INDEX('Providers'!$N$4:$N$503,312)))=0,"","Carrier: "&amp;IF(LEN(INDEX('Providers'!$N$4:$N$503,312))=0,"",INDEX('Providers'!$N$4:$N$503,312))&amp;". ")&amp;IF(LEN(IF(LEN(INDEX('Providers'!$O$4:$O$503,312))=0,"",INDEX('Providers'!$O$4:$O$503,312)))=0,"","Policy no.: "&amp;IF(LEN(INDEX('Providers'!$O$4:$O$503,312))=0,"",INDEX('Providers'!$O$4:$O$503,312))&amp;". ")&amp;IF(LEN(IF(LEN(INDEX('Providers'!$P$4:$P$503,312))=0,"",INDEX('Providers'!$P$4:$P$503,312)))=0,"","Coverage form: "&amp;IF(LEN(INDEX('Providers'!$P$4:$P$503,312))=0,"",INDEX('Providers'!$P$4:$P$503,312))&amp;". "))</f>
        <v/>
      </c>
      <c r="J2315">
        <f>IF(LEN(INDEX('Providers'!$AJ$4:$AJ$503,312))=0,"",INDEX('Providers'!$AJ$4:$AJ$503,312))</f>
        <v/>
      </c>
      <c r="K2315">
        <f>IF(LEN(INDEX('Providers'!$AI$4:$AI$503,312))=0,"",INDEX('Providers'!$AI$4:$AI$503,312))</f>
        <v/>
      </c>
    </row>
    <row r="2316">
      <c r="A2316">
        <f>IF(AND(LEN('Providers'!A316)&gt;0,ISNUMBER('Providers'!Q316)),1,0)</f>
        <v/>
      </c>
      <c r="B2316">
        <f>B2315+A2316</f>
        <v/>
      </c>
      <c r="C2316">
        <f>IF(2313&gt;$B$4503,"",MATCH(2313-0.5,$B$3:$B$4503,1))</f>
        <v/>
      </c>
      <c r="D2316">
        <f>"Malpractice insurance – "&amp;IF(LEN(INDEX('Providers'!$A$4:$A$503,313))=0,"",INDEX('Providers'!$A$4:$A$503,313))</f>
        <v/>
      </c>
      <c r="E2316">
        <f>IF(ISNUMBER(INDEX('Providers'!$Q$4:$Q$503,313)),TEXT(INDEX('Providers'!$Q$4:$Q$503,313),"yyyy-mm-dd"),"")</f>
        <v/>
      </c>
      <c r="F2316">
        <f>"Insurance"</f>
        <v/>
      </c>
      <c r="G2316">
        <f>""</f>
        <v/>
      </c>
      <c r="H2316">
        <f>"High"</f>
        <v/>
      </c>
      <c r="I2316">
        <f>TRIM(IF(LEN(IF(LEN(INDEX('Providers'!$N$4:$N$503,313))=0,"",INDEX('Providers'!$N$4:$N$503,313)))=0,"","Carrier: "&amp;IF(LEN(INDEX('Providers'!$N$4:$N$503,313))=0,"",INDEX('Providers'!$N$4:$N$503,313))&amp;". ")&amp;IF(LEN(IF(LEN(INDEX('Providers'!$O$4:$O$503,313))=0,"",INDEX('Providers'!$O$4:$O$503,313)))=0,"","Policy no.: "&amp;IF(LEN(INDEX('Providers'!$O$4:$O$503,313))=0,"",INDEX('Providers'!$O$4:$O$503,313))&amp;". ")&amp;IF(LEN(IF(LEN(INDEX('Providers'!$P$4:$P$503,313))=0,"",INDEX('Providers'!$P$4:$P$503,313)))=0,"","Coverage form: "&amp;IF(LEN(INDEX('Providers'!$P$4:$P$503,313))=0,"",INDEX('Providers'!$P$4:$P$503,313))&amp;". "))</f>
        <v/>
      </c>
      <c r="J2316">
        <f>IF(LEN(INDEX('Providers'!$AJ$4:$AJ$503,313))=0,"",INDEX('Providers'!$AJ$4:$AJ$503,313))</f>
        <v/>
      </c>
      <c r="K2316">
        <f>IF(LEN(INDEX('Providers'!$AI$4:$AI$503,313))=0,"",INDEX('Providers'!$AI$4:$AI$503,313))</f>
        <v/>
      </c>
    </row>
    <row r="2317">
      <c r="A2317">
        <f>IF(AND(LEN('Providers'!A317)&gt;0,ISNUMBER('Providers'!Q317)),1,0)</f>
        <v/>
      </c>
      <c r="B2317">
        <f>B2316+A2317</f>
        <v/>
      </c>
      <c r="C2317">
        <f>IF(2314&gt;$B$4503,"",MATCH(2314-0.5,$B$3:$B$4503,1))</f>
        <v/>
      </c>
      <c r="D2317">
        <f>"Malpractice insurance – "&amp;IF(LEN(INDEX('Providers'!$A$4:$A$503,314))=0,"",INDEX('Providers'!$A$4:$A$503,314))</f>
        <v/>
      </c>
      <c r="E2317">
        <f>IF(ISNUMBER(INDEX('Providers'!$Q$4:$Q$503,314)),TEXT(INDEX('Providers'!$Q$4:$Q$503,314),"yyyy-mm-dd"),"")</f>
        <v/>
      </c>
      <c r="F2317">
        <f>"Insurance"</f>
        <v/>
      </c>
      <c r="G2317">
        <f>""</f>
        <v/>
      </c>
      <c r="H2317">
        <f>"High"</f>
        <v/>
      </c>
      <c r="I2317">
        <f>TRIM(IF(LEN(IF(LEN(INDEX('Providers'!$N$4:$N$503,314))=0,"",INDEX('Providers'!$N$4:$N$503,314)))=0,"","Carrier: "&amp;IF(LEN(INDEX('Providers'!$N$4:$N$503,314))=0,"",INDEX('Providers'!$N$4:$N$503,314))&amp;". ")&amp;IF(LEN(IF(LEN(INDEX('Providers'!$O$4:$O$503,314))=0,"",INDEX('Providers'!$O$4:$O$503,314)))=0,"","Policy no.: "&amp;IF(LEN(INDEX('Providers'!$O$4:$O$503,314))=0,"",INDEX('Providers'!$O$4:$O$503,314))&amp;". ")&amp;IF(LEN(IF(LEN(INDEX('Providers'!$P$4:$P$503,314))=0,"",INDEX('Providers'!$P$4:$P$503,314)))=0,"","Coverage form: "&amp;IF(LEN(INDEX('Providers'!$P$4:$P$503,314))=0,"",INDEX('Providers'!$P$4:$P$503,314))&amp;". "))</f>
        <v/>
      </c>
      <c r="J2317">
        <f>IF(LEN(INDEX('Providers'!$AJ$4:$AJ$503,314))=0,"",INDEX('Providers'!$AJ$4:$AJ$503,314))</f>
        <v/>
      </c>
      <c r="K2317">
        <f>IF(LEN(INDEX('Providers'!$AI$4:$AI$503,314))=0,"",INDEX('Providers'!$AI$4:$AI$503,314))</f>
        <v/>
      </c>
    </row>
    <row r="2318">
      <c r="A2318">
        <f>IF(AND(LEN('Providers'!A318)&gt;0,ISNUMBER('Providers'!Q318)),1,0)</f>
        <v/>
      </c>
      <c r="B2318">
        <f>B2317+A2318</f>
        <v/>
      </c>
      <c r="C2318">
        <f>IF(2315&gt;$B$4503,"",MATCH(2315-0.5,$B$3:$B$4503,1))</f>
        <v/>
      </c>
      <c r="D2318">
        <f>"Malpractice insurance – "&amp;IF(LEN(INDEX('Providers'!$A$4:$A$503,315))=0,"",INDEX('Providers'!$A$4:$A$503,315))</f>
        <v/>
      </c>
      <c r="E2318">
        <f>IF(ISNUMBER(INDEX('Providers'!$Q$4:$Q$503,315)),TEXT(INDEX('Providers'!$Q$4:$Q$503,315),"yyyy-mm-dd"),"")</f>
        <v/>
      </c>
      <c r="F2318">
        <f>"Insurance"</f>
        <v/>
      </c>
      <c r="G2318">
        <f>""</f>
        <v/>
      </c>
      <c r="H2318">
        <f>"High"</f>
        <v/>
      </c>
      <c r="I2318">
        <f>TRIM(IF(LEN(IF(LEN(INDEX('Providers'!$N$4:$N$503,315))=0,"",INDEX('Providers'!$N$4:$N$503,315)))=0,"","Carrier: "&amp;IF(LEN(INDEX('Providers'!$N$4:$N$503,315))=0,"",INDEX('Providers'!$N$4:$N$503,315))&amp;". ")&amp;IF(LEN(IF(LEN(INDEX('Providers'!$O$4:$O$503,315))=0,"",INDEX('Providers'!$O$4:$O$503,315)))=0,"","Policy no.: "&amp;IF(LEN(INDEX('Providers'!$O$4:$O$503,315))=0,"",INDEX('Providers'!$O$4:$O$503,315))&amp;". ")&amp;IF(LEN(IF(LEN(INDEX('Providers'!$P$4:$P$503,315))=0,"",INDEX('Providers'!$P$4:$P$503,315)))=0,"","Coverage form: "&amp;IF(LEN(INDEX('Providers'!$P$4:$P$503,315))=0,"",INDEX('Providers'!$P$4:$P$503,315))&amp;". "))</f>
        <v/>
      </c>
      <c r="J2318">
        <f>IF(LEN(INDEX('Providers'!$AJ$4:$AJ$503,315))=0,"",INDEX('Providers'!$AJ$4:$AJ$503,315))</f>
        <v/>
      </c>
      <c r="K2318">
        <f>IF(LEN(INDEX('Providers'!$AI$4:$AI$503,315))=0,"",INDEX('Providers'!$AI$4:$AI$503,315))</f>
        <v/>
      </c>
    </row>
    <row r="2319">
      <c r="A2319">
        <f>IF(AND(LEN('Providers'!A319)&gt;0,ISNUMBER('Providers'!Q319)),1,0)</f>
        <v/>
      </c>
      <c r="B2319">
        <f>B2318+A2319</f>
        <v/>
      </c>
      <c r="C2319">
        <f>IF(2316&gt;$B$4503,"",MATCH(2316-0.5,$B$3:$B$4503,1))</f>
        <v/>
      </c>
      <c r="D2319">
        <f>"Malpractice insurance – "&amp;IF(LEN(INDEX('Providers'!$A$4:$A$503,316))=0,"",INDEX('Providers'!$A$4:$A$503,316))</f>
        <v/>
      </c>
      <c r="E2319">
        <f>IF(ISNUMBER(INDEX('Providers'!$Q$4:$Q$503,316)),TEXT(INDEX('Providers'!$Q$4:$Q$503,316),"yyyy-mm-dd"),"")</f>
        <v/>
      </c>
      <c r="F2319">
        <f>"Insurance"</f>
        <v/>
      </c>
      <c r="G2319">
        <f>""</f>
        <v/>
      </c>
      <c r="H2319">
        <f>"High"</f>
        <v/>
      </c>
      <c r="I2319">
        <f>TRIM(IF(LEN(IF(LEN(INDEX('Providers'!$N$4:$N$503,316))=0,"",INDEX('Providers'!$N$4:$N$503,316)))=0,"","Carrier: "&amp;IF(LEN(INDEX('Providers'!$N$4:$N$503,316))=0,"",INDEX('Providers'!$N$4:$N$503,316))&amp;". ")&amp;IF(LEN(IF(LEN(INDEX('Providers'!$O$4:$O$503,316))=0,"",INDEX('Providers'!$O$4:$O$503,316)))=0,"","Policy no.: "&amp;IF(LEN(INDEX('Providers'!$O$4:$O$503,316))=0,"",INDEX('Providers'!$O$4:$O$503,316))&amp;". ")&amp;IF(LEN(IF(LEN(INDEX('Providers'!$P$4:$P$503,316))=0,"",INDEX('Providers'!$P$4:$P$503,316)))=0,"","Coverage form: "&amp;IF(LEN(INDEX('Providers'!$P$4:$P$503,316))=0,"",INDEX('Providers'!$P$4:$P$503,316))&amp;". "))</f>
        <v/>
      </c>
      <c r="J2319">
        <f>IF(LEN(INDEX('Providers'!$AJ$4:$AJ$503,316))=0,"",INDEX('Providers'!$AJ$4:$AJ$503,316))</f>
        <v/>
      </c>
      <c r="K2319">
        <f>IF(LEN(INDEX('Providers'!$AI$4:$AI$503,316))=0,"",INDEX('Providers'!$AI$4:$AI$503,316))</f>
        <v/>
      </c>
    </row>
    <row r="2320">
      <c r="A2320">
        <f>IF(AND(LEN('Providers'!A320)&gt;0,ISNUMBER('Providers'!Q320)),1,0)</f>
        <v/>
      </c>
      <c r="B2320">
        <f>B2319+A2320</f>
        <v/>
      </c>
      <c r="C2320">
        <f>IF(2317&gt;$B$4503,"",MATCH(2317-0.5,$B$3:$B$4503,1))</f>
        <v/>
      </c>
      <c r="D2320">
        <f>"Malpractice insurance – "&amp;IF(LEN(INDEX('Providers'!$A$4:$A$503,317))=0,"",INDEX('Providers'!$A$4:$A$503,317))</f>
        <v/>
      </c>
      <c r="E2320">
        <f>IF(ISNUMBER(INDEX('Providers'!$Q$4:$Q$503,317)),TEXT(INDEX('Providers'!$Q$4:$Q$503,317),"yyyy-mm-dd"),"")</f>
        <v/>
      </c>
      <c r="F2320">
        <f>"Insurance"</f>
        <v/>
      </c>
      <c r="G2320">
        <f>""</f>
        <v/>
      </c>
      <c r="H2320">
        <f>"High"</f>
        <v/>
      </c>
      <c r="I2320">
        <f>TRIM(IF(LEN(IF(LEN(INDEX('Providers'!$N$4:$N$503,317))=0,"",INDEX('Providers'!$N$4:$N$503,317)))=0,"","Carrier: "&amp;IF(LEN(INDEX('Providers'!$N$4:$N$503,317))=0,"",INDEX('Providers'!$N$4:$N$503,317))&amp;". ")&amp;IF(LEN(IF(LEN(INDEX('Providers'!$O$4:$O$503,317))=0,"",INDEX('Providers'!$O$4:$O$503,317)))=0,"","Policy no.: "&amp;IF(LEN(INDEX('Providers'!$O$4:$O$503,317))=0,"",INDEX('Providers'!$O$4:$O$503,317))&amp;". ")&amp;IF(LEN(IF(LEN(INDEX('Providers'!$P$4:$P$503,317))=0,"",INDEX('Providers'!$P$4:$P$503,317)))=0,"","Coverage form: "&amp;IF(LEN(INDEX('Providers'!$P$4:$P$503,317))=0,"",INDEX('Providers'!$P$4:$P$503,317))&amp;". "))</f>
        <v/>
      </c>
      <c r="J2320">
        <f>IF(LEN(INDEX('Providers'!$AJ$4:$AJ$503,317))=0,"",INDEX('Providers'!$AJ$4:$AJ$503,317))</f>
        <v/>
      </c>
      <c r="K2320">
        <f>IF(LEN(INDEX('Providers'!$AI$4:$AI$503,317))=0,"",INDEX('Providers'!$AI$4:$AI$503,317))</f>
        <v/>
      </c>
    </row>
    <row r="2321">
      <c r="A2321">
        <f>IF(AND(LEN('Providers'!A321)&gt;0,ISNUMBER('Providers'!Q321)),1,0)</f>
        <v/>
      </c>
      <c r="B2321">
        <f>B2320+A2321</f>
        <v/>
      </c>
      <c r="C2321">
        <f>IF(2318&gt;$B$4503,"",MATCH(2318-0.5,$B$3:$B$4503,1))</f>
        <v/>
      </c>
      <c r="D2321">
        <f>"Malpractice insurance – "&amp;IF(LEN(INDEX('Providers'!$A$4:$A$503,318))=0,"",INDEX('Providers'!$A$4:$A$503,318))</f>
        <v/>
      </c>
      <c r="E2321">
        <f>IF(ISNUMBER(INDEX('Providers'!$Q$4:$Q$503,318)),TEXT(INDEX('Providers'!$Q$4:$Q$503,318),"yyyy-mm-dd"),"")</f>
        <v/>
      </c>
      <c r="F2321">
        <f>"Insurance"</f>
        <v/>
      </c>
      <c r="G2321">
        <f>""</f>
        <v/>
      </c>
      <c r="H2321">
        <f>"High"</f>
        <v/>
      </c>
      <c r="I2321">
        <f>TRIM(IF(LEN(IF(LEN(INDEX('Providers'!$N$4:$N$503,318))=0,"",INDEX('Providers'!$N$4:$N$503,318)))=0,"","Carrier: "&amp;IF(LEN(INDEX('Providers'!$N$4:$N$503,318))=0,"",INDEX('Providers'!$N$4:$N$503,318))&amp;". ")&amp;IF(LEN(IF(LEN(INDEX('Providers'!$O$4:$O$503,318))=0,"",INDEX('Providers'!$O$4:$O$503,318)))=0,"","Policy no.: "&amp;IF(LEN(INDEX('Providers'!$O$4:$O$503,318))=0,"",INDEX('Providers'!$O$4:$O$503,318))&amp;". ")&amp;IF(LEN(IF(LEN(INDEX('Providers'!$P$4:$P$503,318))=0,"",INDEX('Providers'!$P$4:$P$503,318)))=0,"","Coverage form: "&amp;IF(LEN(INDEX('Providers'!$P$4:$P$503,318))=0,"",INDEX('Providers'!$P$4:$P$503,318))&amp;". "))</f>
        <v/>
      </c>
      <c r="J2321">
        <f>IF(LEN(INDEX('Providers'!$AJ$4:$AJ$503,318))=0,"",INDEX('Providers'!$AJ$4:$AJ$503,318))</f>
        <v/>
      </c>
      <c r="K2321">
        <f>IF(LEN(INDEX('Providers'!$AI$4:$AI$503,318))=0,"",INDEX('Providers'!$AI$4:$AI$503,318))</f>
        <v/>
      </c>
    </row>
    <row r="2322">
      <c r="A2322">
        <f>IF(AND(LEN('Providers'!A322)&gt;0,ISNUMBER('Providers'!Q322)),1,0)</f>
        <v/>
      </c>
      <c r="B2322">
        <f>B2321+A2322</f>
        <v/>
      </c>
      <c r="C2322">
        <f>IF(2319&gt;$B$4503,"",MATCH(2319-0.5,$B$3:$B$4503,1))</f>
        <v/>
      </c>
      <c r="D2322">
        <f>"Malpractice insurance – "&amp;IF(LEN(INDEX('Providers'!$A$4:$A$503,319))=0,"",INDEX('Providers'!$A$4:$A$503,319))</f>
        <v/>
      </c>
      <c r="E2322">
        <f>IF(ISNUMBER(INDEX('Providers'!$Q$4:$Q$503,319)),TEXT(INDEX('Providers'!$Q$4:$Q$503,319),"yyyy-mm-dd"),"")</f>
        <v/>
      </c>
      <c r="F2322">
        <f>"Insurance"</f>
        <v/>
      </c>
      <c r="G2322">
        <f>""</f>
        <v/>
      </c>
      <c r="H2322">
        <f>"High"</f>
        <v/>
      </c>
      <c r="I2322">
        <f>TRIM(IF(LEN(IF(LEN(INDEX('Providers'!$N$4:$N$503,319))=0,"",INDEX('Providers'!$N$4:$N$503,319)))=0,"","Carrier: "&amp;IF(LEN(INDEX('Providers'!$N$4:$N$503,319))=0,"",INDEX('Providers'!$N$4:$N$503,319))&amp;". ")&amp;IF(LEN(IF(LEN(INDEX('Providers'!$O$4:$O$503,319))=0,"",INDEX('Providers'!$O$4:$O$503,319)))=0,"","Policy no.: "&amp;IF(LEN(INDEX('Providers'!$O$4:$O$503,319))=0,"",INDEX('Providers'!$O$4:$O$503,319))&amp;". ")&amp;IF(LEN(IF(LEN(INDEX('Providers'!$P$4:$P$503,319))=0,"",INDEX('Providers'!$P$4:$P$503,319)))=0,"","Coverage form: "&amp;IF(LEN(INDEX('Providers'!$P$4:$P$503,319))=0,"",INDEX('Providers'!$P$4:$P$503,319))&amp;". "))</f>
        <v/>
      </c>
      <c r="J2322">
        <f>IF(LEN(INDEX('Providers'!$AJ$4:$AJ$503,319))=0,"",INDEX('Providers'!$AJ$4:$AJ$503,319))</f>
        <v/>
      </c>
      <c r="K2322">
        <f>IF(LEN(INDEX('Providers'!$AI$4:$AI$503,319))=0,"",INDEX('Providers'!$AI$4:$AI$503,319))</f>
        <v/>
      </c>
    </row>
    <row r="2323">
      <c r="A2323">
        <f>IF(AND(LEN('Providers'!A323)&gt;0,ISNUMBER('Providers'!Q323)),1,0)</f>
        <v/>
      </c>
      <c r="B2323">
        <f>B2322+A2323</f>
        <v/>
      </c>
      <c r="C2323">
        <f>IF(2320&gt;$B$4503,"",MATCH(2320-0.5,$B$3:$B$4503,1))</f>
        <v/>
      </c>
      <c r="D2323">
        <f>"Malpractice insurance – "&amp;IF(LEN(INDEX('Providers'!$A$4:$A$503,320))=0,"",INDEX('Providers'!$A$4:$A$503,320))</f>
        <v/>
      </c>
      <c r="E2323">
        <f>IF(ISNUMBER(INDEX('Providers'!$Q$4:$Q$503,320)),TEXT(INDEX('Providers'!$Q$4:$Q$503,320),"yyyy-mm-dd"),"")</f>
        <v/>
      </c>
      <c r="F2323">
        <f>"Insurance"</f>
        <v/>
      </c>
      <c r="G2323">
        <f>""</f>
        <v/>
      </c>
      <c r="H2323">
        <f>"High"</f>
        <v/>
      </c>
      <c r="I2323">
        <f>TRIM(IF(LEN(IF(LEN(INDEX('Providers'!$N$4:$N$503,320))=0,"",INDEX('Providers'!$N$4:$N$503,320)))=0,"","Carrier: "&amp;IF(LEN(INDEX('Providers'!$N$4:$N$503,320))=0,"",INDEX('Providers'!$N$4:$N$503,320))&amp;". ")&amp;IF(LEN(IF(LEN(INDEX('Providers'!$O$4:$O$503,320))=0,"",INDEX('Providers'!$O$4:$O$503,320)))=0,"","Policy no.: "&amp;IF(LEN(INDEX('Providers'!$O$4:$O$503,320))=0,"",INDEX('Providers'!$O$4:$O$503,320))&amp;". ")&amp;IF(LEN(IF(LEN(INDEX('Providers'!$P$4:$P$503,320))=0,"",INDEX('Providers'!$P$4:$P$503,320)))=0,"","Coverage form: "&amp;IF(LEN(INDEX('Providers'!$P$4:$P$503,320))=0,"",INDEX('Providers'!$P$4:$P$503,320))&amp;". "))</f>
        <v/>
      </c>
      <c r="J2323">
        <f>IF(LEN(INDEX('Providers'!$AJ$4:$AJ$503,320))=0,"",INDEX('Providers'!$AJ$4:$AJ$503,320))</f>
        <v/>
      </c>
      <c r="K2323">
        <f>IF(LEN(INDEX('Providers'!$AI$4:$AI$503,320))=0,"",INDEX('Providers'!$AI$4:$AI$503,320))</f>
        <v/>
      </c>
    </row>
    <row r="2324">
      <c r="A2324">
        <f>IF(AND(LEN('Providers'!A324)&gt;0,ISNUMBER('Providers'!Q324)),1,0)</f>
        <v/>
      </c>
      <c r="B2324">
        <f>B2323+A2324</f>
        <v/>
      </c>
      <c r="C2324">
        <f>IF(2321&gt;$B$4503,"",MATCH(2321-0.5,$B$3:$B$4503,1))</f>
        <v/>
      </c>
      <c r="D2324">
        <f>"Malpractice insurance – "&amp;IF(LEN(INDEX('Providers'!$A$4:$A$503,321))=0,"",INDEX('Providers'!$A$4:$A$503,321))</f>
        <v/>
      </c>
      <c r="E2324">
        <f>IF(ISNUMBER(INDEX('Providers'!$Q$4:$Q$503,321)),TEXT(INDEX('Providers'!$Q$4:$Q$503,321),"yyyy-mm-dd"),"")</f>
        <v/>
      </c>
      <c r="F2324">
        <f>"Insurance"</f>
        <v/>
      </c>
      <c r="G2324">
        <f>""</f>
        <v/>
      </c>
      <c r="H2324">
        <f>"High"</f>
        <v/>
      </c>
      <c r="I2324">
        <f>TRIM(IF(LEN(IF(LEN(INDEX('Providers'!$N$4:$N$503,321))=0,"",INDEX('Providers'!$N$4:$N$503,321)))=0,"","Carrier: "&amp;IF(LEN(INDEX('Providers'!$N$4:$N$503,321))=0,"",INDEX('Providers'!$N$4:$N$503,321))&amp;". ")&amp;IF(LEN(IF(LEN(INDEX('Providers'!$O$4:$O$503,321))=0,"",INDEX('Providers'!$O$4:$O$503,321)))=0,"","Policy no.: "&amp;IF(LEN(INDEX('Providers'!$O$4:$O$503,321))=0,"",INDEX('Providers'!$O$4:$O$503,321))&amp;". ")&amp;IF(LEN(IF(LEN(INDEX('Providers'!$P$4:$P$503,321))=0,"",INDEX('Providers'!$P$4:$P$503,321)))=0,"","Coverage form: "&amp;IF(LEN(INDEX('Providers'!$P$4:$P$503,321))=0,"",INDEX('Providers'!$P$4:$P$503,321))&amp;". "))</f>
        <v/>
      </c>
      <c r="J2324">
        <f>IF(LEN(INDEX('Providers'!$AJ$4:$AJ$503,321))=0,"",INDEX('Providers'!$AJ$4:$AJ$503,321))</f>
        <v/>
      </c>
      <c r="K2324">
        <f>IF(LEN(INDEX('Providers'!$AI$4:$AI$503,321))=0,"",INDEX('Providers'!$AI$4:$AI$503,321))</f>
        <v/>
      </c>
    </row>
    <row r="2325">
      <c r="A2325">
        <f>IF(AND(LEN('Providers'!A325)&gt;0,ISNUMBER('Providers'!Q325)),1,0)</f>
        <v/>
      </c>
      <c r="B2325">
        <f>B2324+A2325</f>
        <v/>
      </c>
      <c r="C2325">
        <f>IF(2322&gt;$B$4503,"",MATCH(2322-0.5,$B$3:$B$4503,1))</f>
        <v/>
      </c>
      <c r="D2325">
        <f>"Malpractice insurance – "&amp;IF(LEN(INDEX('Providers'!$A$4:$A$503,322))=0,"",INDEX('Providers'!$A$4:$A$503,322))</f>
        <v/>
      </c>
      <c r="E2325">
        <f>IF(ISNUMBER(INDEX('Providers'!$Q$4:$Q$503,322)),TEXT(INDEX('Providers'!$Q$4:$Q$503,322),"yyyy-mm-dd"),"")</f>
        <v/>
      </c>
      <c r="F2325">
        <f>"Insurance"</f>
        <v/>
      </c>
      <c r="G2325">
        <f>""</f>
        <v/>
      </c>
      <c r="H2325">
        <f>"High"</f>
        <v/>
      </c>
      <c r="I2325">
        <f>TRIM(IF(LEN(IF(LEN(INDEX('Providers'!$N$4:$N$503,322))=0,"",INDEX('Providers'!$N$4:$N$503,322)))=0,"","Carrier: "&amp;IF(LEN(INDEX('Providers'!$N$4:$N$503,322))=0,"",INDEX('Providers'!$N$4:$N$503,322))&amp;". ")&amp;IF(LEN(IF(LEN(INDEX('Providers'!$O$4:$O$503,322))=0,"",INDEX('Providers'!$O$4:$O$503,322)))=0,"","Policy no.: "&amp;IF(LEN(INDEX('Providers'!$O$4:$O$503,322))=0,"",INDEX('Providers'!$O$4:$O$503,322))&amp;". ")&amp;IF(LEN(IF(LEN(INDEX('Providers'!$P$4:$P$503,322))=0,"",INDEX('Providers'!$P$4:$P$503,322)))=0,"","Coverage form: "&amp;IF(LEN(INDEX('Providers'!$P$4:$P$503,322))=0,"",INDEX('Providers'!$P$4:$P$503,322))&amp;". "))</f>
        <v/>
      </c>
      <c r="J2325">
        <f>IF(LEN(INDEX('Providers'!$AJ$4:$AJ$503,322))=0,"",INDEX('Providers'!$AJ$4:$AJ$503,322))</f>
        <v/>
      </c>
      <c r="K2325">
        <f>IF(LEN(INDEX('Providers'!$AI$4:$AI$503,322))=0,"",INDEX('Providers'!$AI$4:$AI$503,322))</f>
        <v/>
      </c>
    </row>
    <row r="2326">
      <c r="A2326">
        <f>IF(AND(LEN('Providers'!A326)&gt;0,ISNUMBER('Providers'!Q326)),1,0)</f>
        <v/>
      </c>
      <c r="B2326">
        <f>B2325+A2326</f>
        <v/>
      </c>
      <c r="C2326">
        <f>IF(2323&gt;$B$4503,"",MATCH(2323-0.5,$B$3:$B$4503,1))</f>
        <v/>
      </c>
      <c r="D2326">
        <f>"Malpractice insurance – "&amp;IF(LEN(INDEX('Providers'!$A$4:$A$503,323))=0,"",INDEX('Providers'!$A$4:$A$503,323))</f>
        <v/>
      </c>
      <c r="E2326">
        <f>IF(ISNUMBER(INDEX('Providers'!$Q$4:$Q$503,323)),TEXT(INDEX('Providers'!$Q$4:$Q$503,323),"yyyy-mm-dd"),"")</f>
        <v/>
      </c>
      <c r="F2326">
        <f>"Insurance"</f>
        <v/>
      </c>
      <c r="G2326">
        <f>""</f>
        <v/>
      </c>
      <c r="H2326">
        <f>"High"</f>
        <v/>
      </c>
      <c r="I2326">
        <f>TRIM(IF(LEN(IF(LEN(INDEX('Providers'!$N$4:$N$503,323))=0,"",INDEX('Providers'!$N$4:$N$503,323)))=0,"","Carrier: "&amp;IF(LEN(INDEX('Providers'!$N$4:$N$503,323))=0,"",INDEX('Providers'!$N$4:$N$503,323))&amp;". ")&amp;IF(LEN(IF(LEN(INDEX('Providers'!$O$4:$O$503,323))=0,"",INDEX('Providers'!$O$4:$O$503,323)))=0,"","Policy no.: "&amp;IF(LEN(INDEX('Providers'!$O$4:$O$503,323))=0,"",INDEX('Providers'!$O$4:$O$503,323))&amp;". ")&amp;IF(LEN(IF(LEN(INDEX('Providers'!$P$4:$P$503,323))=0,"",INDEX('Providers'!$P$4:$P$503,323)))=0,"","Coverage form: "&amp;IF(LEN(INDEX('Providers'!$P$4:$P$503,323))=0,"",INDEX('Providers'!$P$4:$P$503,323))&amp;". "))</f>
        <v/>
      </c>
      <c r="J2326">
        <f>IF(LEN(INDEX('Providers'!$AJ$4:$AJ$503,323))=0,"",INDEX('Providers'!$AJ$4:$AJ$503,323))</f>
        <v/>
      </c>
      <c r="K2326">
        <f>IF(LEN(INDEX('Providers'!$AI$4:$AI$503,323))=0,"",INDEX('Providers'!$AI$4:$AI$503,323))</f>
        <v/>
      </c>
    </row>
    <row r="2327">
      <c r="A2327">
        <f>IF(AND(LEN('Providers'!A327)&gt;0,ISNUMBER('Providers'!Q327)),1,0)</f>
        <v/>
      </c>
      <c r="B2327">
        <f>B2326+A2327</f>
        <v/>
      </c>
      <c r="C2327">
        <f>IF(2324&gt;$B$4503,"",MATCH(2324-0.5,$B$3:$B$4503,1))</f>
        <v/>
      </c>
      <c r="D2327">
        <f>"Malpractice insurance – "&amp;IF(LEN(INDEX('Providers'!$A$4:$A$503,324))=0,"",INDEX('Providers'!$A$4:$A$503,324))</f>
        <v/>
      </c>
      <c r="E2327">
        <f>IF(ISNUMBER(INDEX('Providers'!$Q$4:$Q$503,324)),TEXT(INDEX('Providers'!$Q$4:$Q$503,324),"yyyy-mm-dd"),"")</f>
        <v/>
      </c>
      <c r="F2327">
        <f>"Insurance"</f>
        <v/>
      </c>
      <c r="G2327">
        <f>""</f>
        <v/>
      </c>
      <c r="H2327">
        <f>"High"</f>
        <v/>
      </c>
      <c r="I2327">
        <f>TRIM(IF(LEN(IF(LEN(INDEX('Providers'!$N$4:$N$503,324))=0,"",INDEX('Providers'!$N$4:$N$503,324)))=0,"","Carrier: "&amp;IF(LEN(INDEX('Providers'!$N$4:$N$503,324))=0,"",INDEX('Providers'!$N$4:$N$503,324))&amp;". ")&amp;IF(LEN(IF(LEN(INDEX('Providers'!$O$4:$O$503,324))=0,"",INDEX('Providers'!$O$4:$O$503,324)))=0,"","Policy no.: "&amp;IF(LEN(INDEX('Providers'!$O$4:$O$503,324))=0,"",INDEX('Providers'!$O$4:$O$503,324))&amp;". ")&amp;IF(LEN(IF(LEN(INDEX('Providers'!$P$4:$P$503,324))=0,"",INDEX('Providers'!$P$4:$P$503,324)))=0,"","Coverage form: "&amp;IF(LEN(INDEX('Providers'!$P$4:$P$503,324))=0,"",INDEX('Providers'!$P$4:$P$503,324))&amp;". "))</f>
        <v/>
      </c>
      <c r="J2327">
        <f>IF(LEN(INDEX('Providers'!$AJ$4:$AJ$503,324))=0,"",INDEX('Providers'!$AJ$4:$AJ$503,324))</f>
        <v/>
      </c>
      <c r="K2327">
        <f>IF(LEN(INDEX('Providers'!$AI$4:$AI$503,324))=0,"",INDEX('Providers'!$AI$4:$AI$503,324))</f>
        <v/>
      </c>
    </row>
    <row r="2328">
      <c r="A2328">
        <f>IF(AND(LEN('Providers'!A328)&gt;0,ISNUMBER('Providers'!Q328)),1,0)</f>
        <v/>
      </c>
      <c r="B2328">
        <f>B2327+A2328</f>
        <v/>
      </c>
      <c r="C2328">
        <f>IF(2325&gt;$B$4503,"",MATCH(2325-0.5,$B$3:$B$4503,1))</f>
        <v/>
      </c>
      <c r="D2328">
        <f>"Malpractice insurance – "&amp;IF(LEN(INDEX('Providers'!$A$4:$A$503,325))=0,"",INDEX('Providers'!$A$4:$A$503,325))</f>
        <v/>
      </c>
      <c r="E2328">
        <f>IF(ISNUMBER(INDEX('Providers'!$Q$4:$Q$503,325)),TEXT(INDEX('Providers'!$Q$4:$Q$503,325),"yyyy-mm-dd"),"")</f>
        <v/>
      </c>
      <c r="F2328">
        <f>"Insurance"</f>
        <v/>
      </c>
      <c r="G2328">
        <f>""</f>
        <v/>
      </c>
      <c r="H2328">
        <f>"High"</f>
        <v/>
      </c>
      <c r="I2328">
        <f>TRIM(IF(LEN(IF(LEN(INDEX('Providers'!$N$4:$N$503,325))=0,"",INDEX('Providers'!$N$4:$N$503,325)))=0,"","Carrier: "&amp;IF(LEN(INDEX('Providers'!$N$4:$N$503,325))=0,"",INDEX('Providers'!$N$4:$N$503,325))&amp;". ")&amp;IF(LEN(IF(LEN(INDEX('Providers'!$O$4:$O$503,325))=0,"",INDEX('Providers'!$O$4:$O$503,325)))=0,"","Policy no.: "&amp;IF(LEN(INDEX('Providers'!$O$4:$O$503,325))=0,"",INDEX('Providers'!$O$4:$O$503,325))&amp;". ")&amp;IF(LEN(IF(LEN(INDEX('Providers'!$P$4:$P$503,325))=0,"",INDEX('Providers'!$P$4:$P$503,325)))=0,"","Coverage form: "&amp;IF(LEN(INDEX('Providers'!$P$4:$P$503,325))=0,"",INDEX('Providers'!$P$4:$P$503,325))&amp;". "))</f>
        <v/>
      </c>
      <c r="J2328">
        <f>IF(LEN(INDEX('Providers'!$AJ$4:$AJ$503,325))=0,"",INDEX('Providers'!$AJ$4:$AJ$503,325))</f>
        <v/>
      </c>
      <c r="K2328">
        <f>IF(LEN(INDEX('Providers'!$AI$4:$AI$503,325))=0,"",INDEX('Providers'!$AI$4:$AI$503,325))</f>
        <v/>
      </c>
    </row>
    <row r="2329">
      <c r="A2329">
        <f>IF(AND(LEN('Providers'!A329)&gt;0,ISNUMBER('Providers'!Q329)),1,0)</f>
        <v/>
      </c>
      <c r="B2329">
        <f>B2328+A2329</f>
        <v/>
      </c>
      <c r="C2329">
        <f>IF(2326&gt;$B$4503,"",MATCH(2326-0.5,$B$3:$B$4503,1))</f>
        <v/>
      </c>
      <c r="D2329">
        <f>"Malpractice insurance – "&amp;IF(LEN(INDEX('Providers'!$A$4:$A$503,326))=0,"",INDEX('Providers'!$A$4:$A$503,326))</f>
        <v/>
      </c>
      <c r="E2329">
        <f>IF(ISNUMBER(INDEX('Providers'!$Q$4:$Q$503,326)),TEXT(INDEX('Providers'!$Q$4:$Q$503,326),"yyyy-mm-dd"),"")</f>
        <v/>
      </c>
      <c r="F2329">
        <f>"Insurance"</f>
        <v/>
      </c>
      <c r="G2329">
        <f>""</f>
        <v/>
      </c>
      <c r="H2329">
        <f>"High"</f>
        <v/>
      </c>
      <c r="I2329">
        <f>TRIM(IF(LEN(IF(LEN(INDEX('Providers'!$N$4:$N$503,326))=0,"",INDEX('Providers'!$N$4:$N$503,326)))=0,"","Carrier: "&amp;IF(LEN(INDEX('Providers'!$N$4:$N$503,326))=0,"",INDEX('Providers'!$N$4:$N$503,326))&amp;". ")&amp;IF(LEN(IF(LEN(INDEX('Providers'!$O$4:$O$503,326))=0,"",INDEX('Providers'!$O$4:$O$503,326)))=0,"","Policy no.: "&amp;IF(LEN(INDEX('Providers'!$O$4:$O$503,326))=0,"",INDEX('Providers'!$O$4:$O$503,326))&amp;". ")&amp;IF(LEN(IF(LEN(INDEX('Providers'!$P$4:$P$503,326))=0,"",INDEX('Providers'!$P$4:$P$503,326)))=0,"","Coverage form: "&amp;IF(LEN(INDEX('Providers'!$P$4:$P$503,326))=0,"",INDEX('Providers'!$P$4:$P$503,326))&amp;". "))</f>
        <v/>
      </c>
      <c r="J2329">
        <f>IF(LEN(INDEX('Providers'!$AJ$4:$AJ$503,326))=0,"",INDEX('Providers'!$AJ$4:$AJ$503,326))</f>
        <v/>
      </c>
      <c r="K2329">
        <f>IF(LEN(INDEX('Providers'!$AI$4:$AI$503,326))=0,"",INDEX('Providers'!$AI$4:$AI$503,326))</f>
        <v/>
      </c>
    </row>
    <row r="2330">
      <c r="A2330">
        <f>IF(AND(LEN('Providers'!A330)&gt;0,ISNUMBER('Providers'!Q330)),1,0)</f>
        <v/>
      </c>
      <c r="B2330">
        <f>B2329+A2330</f>
        <v/>
      </c>
      <c r="C2330">
        <f>IF(2327&gt;$B$4503,"",MATCH(2327-0.5,$B$3:$B$4503,1))</f>
        <v/>
      </c>
      <c r="D2330">
        <f>"Malpractice insurance – "&amp;IF(LEN(INDEX('Providers'!$A$4:$A$503,327))=0,"",INDEX('Providers'!$A$4:$A$503,327))</f>
        <v/>
      </c>
      <c r="E2330">
        <f>IF(ISNUMBER(INDEX('Providers'!$Q$4:$Q$503,327)),TEXT(INDEX('Providers'!$Q$4:$Q$503,327),"yyyy-mm-dd"),"")</f>
        <v/>
      </c>
      <c r="F2330">
        <f>"Insurance"</f>
        <v/>
      </c>
      <c r="G2330">
        <f>""</f>
        <v/>
      </c>
      <c r="H2330">
        <f>"High"</f>
        <v/>
      </c>
      <c r="I2330">
        <f>TRIM(IF(LEN(IF(LEN(INDEX('Providers'!$N$4:$N$503,327))=0,"",INDEX('Providers'!$N$4:$N$503,327)))=0,"","Carrier: "&amp;IF(LEN(INDEX('Providers'!$N$4:$N$503,327))=0,"",INDEX('Providers'!$N$4:$N$503,327))&amp;". ")&amp;IF(LEN(IF(LEN(INDEX('Providers'!$O$4:$O$503,327))=0,"",INDEX('Providers'!$O$4:$O$503,327)))=0,"","Policy no.: "&amp;IF(LEN(INDEX('Providers'!$O$4:$O$503,327))=0,"",INDEX('Providers'!$O$4:$O$503,327))&amp;". ")&amp;IF(LEN(IF(LEN(INDEX('Providers'!$P$4:$P$503,327))=0,"",INDEX('Providers'!$P$4:$P$503,327)))=0,"","Coverage form: "&amp;IF(LEN(INDEX('Providers'!$P$4:$P$503,327))=0,"",INDEX('Providers'!$P$4:$P$503,327))&amp;". "))</f>
        <v/>
      </c>
      <c r="J2330">
        <f>IF(LEN(INDEX('Providers'!$AJ$4:$AJ$503,327))=0,"",INDEX('Providers'!$AJ$4:$AJ$503,327))</f>
        <v/>
      </c>
      <c r="K2330">
        <f>IF(LEN(INDEX('Providers'!$AI$4:$AI$503,327))=0,"",INDEX('Providers'!$AI$4:$AI$503,327))</f>
        <v/>
      </c>
    </row>
    <row r="2331">
      <c r="A2331">
        <f>IF(AND(LEN('Providers'!A331)&gt;0,ISNUMBER('Providers'!Q331)),1,0)</f>
        <v/>
      </c>
      <c r="B2331">
        <f>B2330+A2331</f>
        <v/>
      </c>
      <c r="C2331">
        <f>IF(2328&gt;$B$4503,"",MATCH(2328-0.5,$B$3:$B$4503,1))</f>
        <v/>
      </c>
      <c r="D2331">
        <f>"Malpractice insurance – "&amp;IF(LEN(INDEX('Providers'!$A$4:$A$503,328))=0,"",INDEX('Providers'!$A$4:$A$503,328))</f>
        <v/>
      </c>
      <c r="E2331">
        <f>IF(ISNUMBER(INDEX('Providers'!$Q$4:$Q$503,328)),TEXT(INDEX('Providers'!$Q$4:$Q$503,328),"yyyy-mm-dd"),"")</f>
        <v/>
      </c>
      <c r="F2331">
        <f>"Insurance"</f>
        <v/>
      </c>
      <c r="G2331">
        <f>""</f>
        <v/>
      </c>
      <c r="H2331">
        <f>"High"</f>
        <v/>
      </c>
      <c r="I2331">
        <f>TRIM(IF(LEN(IF(LEN(INDEX('Providers'!$N$4:$N$503,328))=0,"",INDEX('Providers'!$N$4:$N$503,328)))=0,"","Carrier: "&amp;IF(LEN(INDEX('Providers'!$N$4:$N$503,328))=0,"",INDEX('Providers'!$N$4:$N$503,328))&amp;". ")&amp;IF(LEN(IF(LEN(INDEX('Providers'!$O$4:$O$503,328))=0,"",INDEX('Providers'!$O$4:$O$503,328)))=0,"","Policy no.: "&amp;IF(LEN(INDEX('Providers'!$O$4:$O$503,328))=0,"",INDEX('Providers'!$O$4:$O$503,328))&amp;". ")&amp;IF(LEN(IF(LEN(INDEX('Providers'!$P$4:$P$503,328))=0,"",INDEX('Providers'!$P$4:$P$503,328)))=0,"","Coverage form: "&amp;IF(LEN(INDEX('Providers'!$P$4:$P$503,328))=0,"",INDEX('Providers'!$P$4:$P$503,328))&amp;". "))</f>
        <v/>
      </c>
      <c r="J2331">
        <f>IF(LEN(INDEX('Providers'!$AJ$4:$AJ$503,328))=0,"",INDEX('Providers'!$AJ$4:$AJ$503,328))</f>
        <v/>
      </c>
      <c r="K2331">
        <f>IF(LEN(INDEX('Providers'!$AI$4:$AI$503,328))=0,"",INDEX('Providers'!$AI$4:$AI$503,328))</f>
        <v/>
      </c>
    </row>
    <row r="2332">
      <c r="A2332">
        <f>IF(AND(LEN('Providers'!A332)&gt;0,ISNUMBER('Providers'!Q332)),1,0)</f>
        <v/>
      </c>
      <c r="B2332">
        <f>B2331+A2332</f>
        <v/>
      </c>
      <c r="C2332">
        <f>IF(2329&gt;$B$4503,"",MATCH(2329-0.5,$B$3:$B$4503,1))</f>
        <v/>
      </c>
      <c r="D2332">
        <f>"Malpractice insurance – "&amp;IF(LEN(INDEX('Providers'!$A$4:$A$503,329))=0,"",INDEX('Providers'!$A$4:$A$503,329))</f>
        <v/>
      </c>
      <c r="E2332">
        <f>IF(ISNUMBER(INDEX('Providers'!$Q$4:$Q$503,329)),TEXT(INDEX('Providers'!$Q$4:$Q$503,329),"yyyy-mm-dd"),"")</f>
        <v/>
      </c>
      <c r="F2332">
        <f>"Insurance"</f>
        <v/>
      </c>
      <c r="G2332">
        <f>""</f>
        <v/>
      </c>
      <c r="H2332">
        <f>"High"</f>
        <v/>
      </c>
      <c r="I2332">
        <f>TRIM(IF(LEN(IF(LEN(INDEX('Providers'!$N$4:$N$503,329))=0,"",INDEX('Providers'!$N$4:$N$503,329)))=0,"","Carrier: "&amp;IF(LEN(INDEX('Providers'!$N$4:$N$503,329))=0,"",INDEX('Providers'!$N$4:$N$503,329))&amp;". ")&amp;IF(LEN(IF(LEN(INDEX('Providers'!$O$4:$O$503,329))=0,"",INDEX('Providers'!$O$4:$O$503,329)))=0,"","Policy no.: "&amp;IF(LEN(INDEX('Providers'!$O$4:$O$503,329))=0,"",INDEX('Providers'!$O$4:$O$503,329))&amp;". ")&amp;IF(LEN(IF(LEN(INDEX('Providers'!$P$4:$P$503,329))=0,"",INDEX('Providers'!$P$4:$P$503,329)))=0,"","Coverage form: "&amp;IF(LEN(INDEX('Providers'!$P$4:$P$503,329))=0,"",INDEX('Providers'!$P$4:$P$503,329))&amp;". "))</f>
        <v/>
      </c>
      <c r="J2332">
        <f>IF(LEN(INDEX('Providers'!$AJ$4:$AJ$503,329))=0,"",INDEX('Providers'!$AJ$4:$AJ$503,329))</f>
        <v/>
      </c>
      <c r="K2332">
        <f>IF(LEN(INDEX('Providers'!$AI$4:$AI$503,329))=0,"",INDEX('Providers'!$AI$4:$AI$503,329))</f>
        <v/>
      </c>
    </row>
    <row r="2333">
      <c r="A2333">
        <f>IF(AND(LEN('Providers'!A333)&gt;0,ISNUMBER('Providers'!Q333)),1,0)</f>
        <v/>
      </c>
      <c r="B2333">
        <f>B2332+A2333</f>
        <v/>
      </c>
      <c r="C2333">
        <f>IF(2330&gt;$B$4503,"",MATCH(2330-0.5,$B$3:$B$4503,1))</f>
        <v/>
      </c>
      <c r="D2333">
        <f>"Malpractice insurance – "&amp;IF(LEN(INDEX('Providers'!$A$4:$A$503,330))=0,"",INDEX('Providers'!$A$4:$A$503,330))</f>
        <v/>
      </c>
      <c r="E2333">
        <f>IF(ISNUMBER(INDEX('Providers'!$Q$4:$Q$503,330)),TEXT(INDEX('Providers'!$Q$4:$Q$503,330),"yyyy-mm-dd"),"")</f>
        <v/>
      </c>
      <c r="F2333">
        <f>"Insurance"</f>
        <v/>
      </c>
      <c r="G2333">
        <f>""</f>
        <v/>
      </c>
      <c r="H2333">
        <f>"High"</f>
        <v/>
      </c>
      <c r="I2333">
        <f>TRIM(IF(LEN(IF(LEN(INDEX('Providers'!$N$4:$N$503,330))=0,"",INDEX('Providers'!$N$4:$N$503,330)))=0,"","Carrier: "&amp;IF(LEN(INDEX('Providers'!$N$4:$N$503,330))=0,"",INDEX('Providers'!$N$4:$N$503,330))&amp;". ")&amp;IF(LEN(IF(LEN(INDEX('Providers'!$O$4:$O$503,330))=0,"",INDEX('Providers'!$O$4:$O$503,330)))=0,"","Policy no.: "&amp;IF(LEN(INDEX('Providers'!$O$4:$O$503,330))=0,"",INDEX('Providers'!$O$4:$O$503,330))&amp;". ")&amp;IF(LEN(IF(LEN(INDEX('Providers'!$P$4:$P$503,330))=0,"",INDEX('Providers'!$P$4:$P$503,330)))=0,"","Coverage form: "&amp;IF(LEN(INDEX('Providers'!$P$4:$P$503,330))=0,"",INDEX('Providers'!$P$4:$P$503,330))&amp;". "))</f>
        <v/>
      </c>
      <c r="J2333">
        <f>IF(LEN(INDEX('Providers'!$AJ$4:$AJ$503,330))=0,"",INDEX('Providers'!$AJ$4:$AJ$503,330))</f>
        <v/>
      </c>
      <c r="K2333">
        <f>IF(LEN(INDEX('Providers'!$AI$4:$AI$503,330))=0,"",INDEX('Providers'!$AI$4:$AI$503,330))</f>
        <v/>
      </c>
    </row>
    <row r="2334">
      <c r="A2334">
        <f>IF(AND(LEN('Providers'!A334)&gt;0,ISNUMBER('Providers'!Q334)),1,0)</f>
        <v/>
      </c>
      <c r="B2334">
        <f>B2333+A2334</f>
        <v/>
      </c>
      <c r="C2334">
        <f>IF(2331&gt;$B$4503,"",MATCH(2331-0.5,$B$3:$B$4503,1))</f>
        <v/>
      </c>
      <c r="D2334">
        <f>"Malpractice insurance – "&amp;IF(LEN(INDEX('Providers'!$A$4:$A$503,331))=0,"",INDEX('Providers'!$A$4:$A$503,331))</f>
        <v/>
      </c>
      <c r="E2334">
        <f>IF(ISNUMBER(INDEX('Providers'!$Q$4:$Q$503,331)),TEXT(INDEX('Providers'!$Q$4:$Q$503,331),"yyyy-mm-dd"),"")</f>
        <v/>
      </c>
      <c r="F2334">
        <f>"Insurance"</f>
        <v/>
      </c>
      <c r="G2334">
        <f>""</f>
        <v/>
      </c>
      <c r="H2334">
        <f>"High"</f>
        <v/>
      </c>
      <c r="I2334">
        <f>TRIM(IF(LEN(IF(LEN(INDEX('Providers'!$N$4:$N$503,331))=0,"",INDEX('Providers'!$N$4:$N$503,331)))=0,"","Carrier: "&amp;IF(LEN(INDEX('Providers'!$N$4:$N$503,331))=0,"",INDEX('Providers'!$N$4:$N$503,331))&amp;". ")&amp;IF(LEN(IF(LEN(INDEX('Providers'!$O$4:$O$503,331))=0,"",INDEX('Providers'!$O$4:$O$503,331)))=0,"","Policy no.: "&amp;IF(LEN(INDEX('Providers'!$O$4:$O$503,331))=0,"",INDEX('Providers'!$O$4:$O$503,331))&amp;". ")&amp;IF(LEN(IF(LEN(INDEX('Providers'!$P$4:$P$503,331))=0,"",INDEX('Providers'!$P$4:$P$503,331)))=0,"","Coverage form: "&amp;IF(LEN(INDEX('Providers'!$P$4:$P$503,331))=0,"",INDEX('Providers'!$P$4:$P$503,331))&amp;". "))</f>
        <v/>
      </c>
      <c r="J2334">
        <f>IF(LEN(INDEX('Providers'!$AJ$4:$AJ$503,331))=0,"",INDEX('Providers'!$AJ$4:$AJ$503,331))</f>
        <v/>
      </c>
      <c r="K2334">
        <f>IF(LEN(INDEX('Providers'!$AI$4:$AI$503,331))=0,"",INDEX('Providers'!$AI$4:$AI$503,331))</f>
        <v/>
      </c>
    </row>
    <row r="2335">
      <c r="A2335">
        <f>IF(AND(LEN('Providers'!A335)&gt;0,ISNUMBER('Providers'!Q335)),1,0)</f>
        <v/>
      </c>
      <c r="B2335">
        <f>B2334+A2335</f>
        <v/>
      </c>
      <c r="C2335">
        <f>IF(2332&gt;$B$4503,"",MATCH(2332-0.5,$B$3:$B$4503,1))</f>
        <v/>
      </c>
      <c r="D2335">
        <f>"Malpractice insurance – "&amp;IF(LEN(INDEX('Providers'!$A$4:$A$503,332))=0,"",INDEX('Providers'!$A$4:$A$503,332))</f>
        <v/>
      </c>
      <c r="E2335">
        <f>IF(ISNUMBER(INDEX('Providers'!$Q$4:$Q$503,332)),TEXT(INDEX('Providers'!$Q$4:$Q$503,332),"yyyy-mm-dd"),"")</f>
        <v/>
      </c>
      <c r="F2335">
        <f>"Insurance"</f>
        <v/>
      </c>
      <c r="G2335">
        <f>""</f>
        <v/>
      </c>
      <c r="H2335">
        <f>"High"</f>
        <v/>
      </c>
      <c r="I2335">
        <f>TRIM(IF(LEN(IF(LEN(INDEX('Providers'!$N$4:$N$503,332))=0,"",INDEX('Providers'!$N$4:$N$503,332)))=0,"","Carrier: "&amp;IF(LEN(INDEX('Providers'!$N$4:$N$503,332))=0,"",INDEX('Providers'!$N$4:$N$503,332))&amp;". ")&amp;IF(LEN(IF(LEN(INDEX('Providers'!$O$4:$O$503,332))=0,"",INDEX('Providers'!$O$4:$O$503,332)))=0,"","Policy no.: "&amp;IF(LEN(INDEX('Providers'!$O$4:$O$503,332))=0,"",INDEX('Providers'!$O$4:$O$503,332))&amp;". ")&amp;IF(LEN(IF(LEN(INDEX('Providers'!$P$4:$P$503,332))=0,"",INDEX('Providers'!$P$4:$P$503,332)))=0,"","Coverage form: "&amp;IF(LEN(INDEX('Providers'!$P$4:$P$503,332))=0,"",INDEX('Providers'!$P$4:$P$503,332))&amp;". "))</f>
        <v/>
      </c>
      <c r="J2335">
        <f>IF(LEN(INDEX('Providers'!$AJ$4:$AJ$503,332))=0,"",INDEX('Providers'!$AJ$4:$AJ$503,332))</f>
        <v/>
      </c>
      <c r="K2335">
        <f>IF(LEN(INDEX('Providers'!$AI$4:$AI$503,332))=0,"",INDEX('Providers'!$AI$4:$AI$503,332))</f>
        <v/>
      </c>
    </row>
    <row r="2336">
      <c r="A2336">
        <f>IF(AND(LEN('Providers'!A336)&gt;0,ISNUMBER('Providers'!Q336)),1,0)</f>
        <v/>
      </c>
      <c r="B2336">
        <f>B2335+A2336</f>
        <v/>
      </c>
      <c r="C2336">
        <f>IF(2333&gt;$B$4503,"",MATCH(2333-0.5,$B$3:$B$4503,1))</f>
        <v/>
      </c>
      <c r="D2336">
        <f>"Malpractice insurance – "&amp;IF(LEN(INDEX('Providers'!$A$4:$A$503,333))=0,"",INDEX('Providers'!$A$4:$A$503,333))</f>
        <v/>
      </c>
      <c r="E2336">
        <f>IF(ISNUMBER(INDEX('Providers'!$Q$4:$Q$503,333)),TEXT(INDEX('Providers'!$Q$4:$Q$503,333),"yyyy-mm-dd"),"")</f>
        <v/>
      </c>
      <c r="F2336">
        <f>"Insurance"</f>
        <v/>
      </c>
      <c r="G2336">
        <f>""</f>
        <v/>
      </c>
      <c r="H2336">
        <f>"High"</f>
        <v/>
      </c>
      <c r="I2336">
        <f>TRIM(IF(LEN(IF(LEN(INDEX('Providers'!$N$4:$N$503,333))=0,"",INDEX('Providers'!$N$4:$N$503,333)))=0,"","Carrier: "&amp;IF(LEN(INDEX('Providers'!$N$4:$N$503,333))=0,"",INDEX('Providers'!$N$4:$N$503,333))&amp;". ")&amp;IF(LEN(IF(LEN(INDEX('Providers'!$O$4:$O$503,333))=0,"",INDEX('Providers'!$O$4:$O$503,333)))=0,"","Policy no.: "&amp;IF(LEN(INDEX('Providers'!$O$4:$O$503,333))=0,"",INDEX('Providers'!$O$4:$O$503,333))&amp;". ")&amp;IF(LEN(IF(LEN(INDEX('Providers'!$P$4:$P$503,333))=0,"",INDEX('Providers'!$P$4:$P$503,333)))=0,"","Coverage form: "&amp;IF(LEN(INDEX('Providers'!$P$4:$P$503,333))=0,"",INDEX('Providers'!$P$4:$P$503,333))&amp;". "))</f>
        <v/>
      </c>
      <c r="J2336">
        <f>IF(LEN(INDEX('Providers'!$AJ$4:$AJ$503,333))=0,"",INDEX('Providers'!$AJ$4:$AJ$503,333))</f>
        <v/>
      </c>
      <c r="K2336">
        <f>IF(LEN(INDEX('Providers'!$AI$4:$AI$503,333))=0,"",INDEX('Providers'!$AI$4:$AI$503,333))</f>
        <v/>
      </c>
    </row>
    <row r="2337">
      <c r="A2337">
        <f>IF(AND(LEN('Providers'!A337)&gt;0,ISNUMBER('Providers'!Q337)),1,0)</f>
        <v/>
      </c>
      <c r="B2337">
        <f>B2336+A2337</f>
        <v/>
      </c>
      <c r="C2337">
        <f>IF(2334&gt;$B$4503,"",MATCH(2334-0.5,$B$3:$B$4503,1))</f>
        <v/>
      </c>
      <c r="D2337">
        <f>"Malpractice insurance – "&amp;IF(LEN(INDEX('Providers'!$A$4:$A$503,334))=0,"",INDEX('Providers'!$A$4:$A$503,334))</f>
        <v/>
      </c>
      <c r="E2337">
        <f>IF(ISNUMBER(INDEX('Providers'!$Q$4:$Q$503,334)),TEXT(INDEX('Providers'!$Q$4:$Q$503,334),"yyyy-mm-dd"),"")</f>
        <v/>
      </c>
      <c r="F2337">
        <f>"Insurance"</f>
        <v/>
      </c>
      <c r="G2337">
        <f>""</f>
        <v/>
      </c>
      <c r="H2337">
        <f>"High"</f>
        <v/>
      </c>
      <c r="I2337">
        <f>TRIM(IF(LEN(IF(LEN(INDEX('Providers'!$N$4:$N$503,334))=0,"",INDEX('Providers'!$N$4:$N$503,334)))=0,"","Carrier: "&amp;IF(LEN(INDEX('Providers'!$N$4:$N$503,334))=0,"",INDEX('Providers'!$N$4:$N$503,334))&amp;". ")&amp;IF(LEN(IF(LEN(INDEX('Providers'!$O$4:$O$503,334))=0,"",INDEX('Providers'!$O$4:$O$503,334)))=0,"","Policy no.: "&amp;IF(LEN(INDEX('Providers'!$O$4:$O$503,334))=0,"",INDEX('Providers'!$O$4:$O$503,334))&amp;". ")&amp;IF(LEN(IF(LEN(INDEX('Providers'!$P$4:$P$503,334))=0,"",INDEX('Providers'!$P$4:$P$503,334)))=0,"","Coverage form: "&amp;IF(LEN(INDEX('Providers'!$P$4:$P$503,334))=0,"",INDEX('Providers'!$P$4:$P$503,334))&amp;". "))</f>
        <v/>
      </c>
      <c r="J2337">
        <f>IF(LEN(INDEX('Providers'!$AJ$4:$AJ$503,334))=0,"",INDEX('Providers'!$AJ$4:$AJ$503,334))</f>
        <v/>
      </c>
      <c r="K2337">
        <f>IF(LEN(INDEX('Providers'!$AI$4:$AI$503,334))=0,"",INDEX('Providers'!$AI$4:$AI$503,334))</f>
        <v/>
      </c>
    </row>
    <row r="2338">
      <c r="A2338">
        <f>IF(AND(LEN('Providers'!A338)&gt;0,ISNUMBER('Providers'!Q338)),1,0)</f>
        <v/>
      </c>
      <c r="B2338">
        <f>B2337+A2338</f>
        <v/>
      </c>
      <c r="C2338">
        <f>IF(2335&gt;$B$4503,"",MATCH(2335-0.5,$B$3:$B$4503,1))</f>
        <v/>
      </c>
      <c r="D2338">
        <f>"Malpractice insurance – "&amp;IF(LEN(INDEX('Providers'!$A$4:$A$503,335))=0,"",INDEX('Providers'!$A$4:$A$503,335))</f>
        <v/>
      </c>
      <c r="E2338">
        <f>IF(ISNUMBER(INDEX('Providers'!$Q$4:$Q$503,335)),TEXT(INDEX('Providers'!$Q$4:$Q$503,335),"yyyy-mm-dd"),"")</f>
        <v/>
      </c>
      <c r="F2338">
        <f>"Insurance"</f>
        <v/>
      </c>
      <c r="G2338">
        <f>""</f>
        <v/>
      </c>
      <c r="H2338">
        <f>"High"</f>
        <v/>
      </c>
      <c r="I2338">
        <f>TRIM(IF(LEN(IF(LEN(INDEX('Providers'!$N$4:$N$503,335))=0,"",INDEX('Providers'!$N$4:$N$503,335)))=0,"","Carrier: "&amp;IF(LEN(INDEX('Providers'!$N$4:$N$503,335))=0,"",INDEX('Providers'!$N$4:$N$503,335))&amp;". ")&amp;IF(LEN(IF(LEN(INDEX('Providers'!$O$4:$O$503,335))=0,"",INDEX('Providers'!$O$4:$O$503,335)))=0,"","Policy no.: "&amp;IF(LEN(INDEX('Providers'!$O$4:$O$503,335))=0,"",INDEX('Providers'!$O$4:$O$503,335))&amp;". ")&amp;IF(LEN(IF(LEN(INDEX('Providers'!$P$4:$P$503,335))=0,"",INDEX('Providers'!$P$4:$P$503,335)))=0,"","Coverage form: "&amp;IF(LEN(INDEX('Providers'!$P$4:$P$503,335))=0,"",INDEX('Providers'!$P$4:$P$503,335))&amp;". "))</f>
        <v/>
      </c>
      <c r="J2338">
        <f>IF(LEN(INDEX('Providers'!$AJ$4:$AJ$503,335))=0,"",INDEX('Providers'!$AJ$4:$AJ$503,335))</f>
        <v/>
      </c>
      <c r="K2338">
        <f>IF(LEN(INDEX('Providers'!$AI$4:$AI$503,335))=0,"",INDEX('Providers'!$AI$4:$AI$503,335))</f>
        <v/>
      </c>
    </row>
    <row r="2339">
      <c r="A2339">
        <f>IF(AND(LEN('Providers'!A339)&gt;0,ISNUMBER('Providers'!Q339)),1,0)</f>
        <v/>
      </c>
      <c r="B2339">
        <f>B2338+A2339</f>
        <v/>
      </c>
      <c r="C2339">
        <f>IF(2336&gt;$B$4503,"",MATCH(2336-0.5,$B$3:$B$4503,1))</f>
        <v/>
      </c>
      <c r="D2339">
        <f>"Malpractice insurance – "&amp;IF(LEN(INDEX('Providers'!$A$4:$A$503,336))=0,"",INDEX('Providers'!$A$4:$A$503,336))</f>
        <v/>
      </c>
      <c r="E2339">
        <f>IF(ISNUMBER(INDEX('Providers'!$Q$4:$Q$503,336)),TEXT(INDEX('Providers'!$Q$4:$Q$503,336),"yyyy-mm-dd"),"")</f>
        <v/>
      </c>
      <c r="F2339">
        <f>"Insurance"</f>
        <v/>
      </c>
      <c r="G2339">
        <f>""</f>
        <v/>
      </c>
      <c r="H2339">
        <f>"High"</f>
        <v/>
      </c>
      <c r="I2339">
        <f>TRIM(IF(LEN(IF(LEN(INDEX('Providers'!$N$4:$N$503,336))=0,"",INDEX('Providers'!$N$4:$N$503,336)))=0,"","Carrier: "&amp;IF(LEN(INDEX('Providers'!$N$4:$N$503,336))=0,"",INDEX('Providers'!$N$4:$N$503,336))&amp;". ")&amp;IF(LEN(IF(LEN(INDEX('Providers'!$O$4:$O$503,336))=0,"",INDEX('Providers'!$O$4:$O$503,336)))=0,"","Policy no.: "&amp;IF(LEN(INDEX('Providers'!$O$4:$O$503,336))=0,"",INDEX('Providers'!$O$4:$O$503,336))&amp;". ")&amp;IF(LEN(IF(LEN(INDEX('Providers'!$P$4:$P$503,336))=0,"",INDEX('Providers'!$P$4:$P$503,336)))=0,"","Coverage form: "&amp;IF(LEN(INDEX('Providers'!$P$4:$P$503,336))=0,"",INDEX('Providers'!$P$4:$P$503,336))&amp;". "))</f>
        <v/>
      </c>
      <c r="J2339">
        <f>IF(LEN(INDEX('Providers'!$AJ$4:$AJ$503,336))=0,"",INDEX('Providers'!$AJ$4:$AJ$503,336))</f>
        <v/>
      </c>
      <c r="K2339">
        <f>IF(LEN(INDEX('Providers'!$AI$4:$AI$503,336))=0,"",INDEX('Providers'!$AI$4:$AI$503,336))</f>
        <v/>
      </c>
    </row>
    <row r="2340">
      <c r="A2340">
        <f>IF(AND(LEN('Providers'!A340)&gt;0,ISNUMBER('Providers'!Q340)),1,0)</f>
        <v/>
      </c>
      <c r="B2340">
        <f>B2339+A2340</f>
        <v/>
      </c>
      <c r="C2340">
        <f>IF(2337&gt;$B$4503,"",MATCH(2337-0.5,$B$3:$B$4503,1))</f>
        <v/>
      </c>
      <c r="D2340">
        <f>"Malpractice insurance – "&amp;IF(LEN(INDEX('Providers'!$A$4:$A$503,337))=0,"",INDEX('Providers'!$A$4:$A$503,337))</f>
        <v/>
      </c>
      <c r="E2340">
        <f>IF(ISNUMBER(INDEX('Providers'!$Q$4:$Q$503,337)),TEXT(INDEX('Providers'!$Q$4:$Q$503,337),"yyyy-mm-dd"),"")</f>
        <v/>
      </c>
      <c r="F2340">
        <f>"Insurance"</f>
        <v/>
      </c>
      <c r="G2340">
        <f>""</f>
        <v/>
      </c>
      <c r="H2340">
        <f>"High"</f>
        <v/>
      </c>
      <c r="I2340">
        <f>TRIM(IF(LEN(IF(LEN(INDEX('Providers'!$N$4:$N$503,337))=0,"",INDEX('Providers'!$N$4:$N$503,337)))=0,"","Carrier: "&amp;IF(LEN(INDEX('Providers'!$N$4:$N$503,337))=0,"",INDEX('Providers'!$N$4:$N$503,337))&amp;". ")&amp;IF(LEN(IF(LEN(INDEX('Providers'!$O$4:$O$503,337))=0,"",INDEX('Providers'!$O$4:$O$503,337)))=0,"","Policy no.: "&amp;IF(LEN(INDEX('Providers'!$O$4:$O$503,337))=0,"",INDEX('Providers'!$O$4:$O$503,337))&amp;". ")&amp;IF(LEN(IF(LEN(INDEX('Providers'!$P$4:$P$503,337))=0,"",INDEX('Providers'!$P$4:$P$503,337)))=0,"","Coverage form: "&amp;IF(LEN(INDEX('Providers'!$P$4:$P$503,337))=0,"",INDEX('Providers'!$P$4:$P$503,337))&amp;". "))</f>
        <v/>
      </c>
      <c r="J2340">
        <f>IF(LEN(INDEX('Providers'!$AJ$4:$AJ$503,337))=0,"",INDEX('Providers'!$AJ$4:$AJ$503,337))</f>
        <v/>
      </c>
      <c r="K2340">
        <f>IF(LEN(INDEX('Providers'!$AI$4:$AI$503,337))=0,"",INDEX('Providers'!$AI$4:$AI$503,337))</f>
        <v/>
      </c>
    </row>
    <row r="2341">
      <c r="A2341">
        <f>IF(AND(LEN('Providers'!A341)&gt;0,ISNUMBER('Providers'!Q341)),1,0)</f>
        <v/>
      </c>
      <c r="B2341">
        <f>B2340+A2341</f>
        <v/>
      </c>
      <c r="C2341">
        <f>IF(2338&gt;$B$4503,"",MATCH(2338-0.5,$B$3:$B$4503,1))</f>
        <v/>
      </c>
      <c r="D2341">
        <f>"Malpractice insurance – "&amp;IF(LEN(INDEX('Providers'!$A$4:$A$503,338))=0,"",INDEX('Providers'!$A$4:$A$503,338))</f>
        <v/>
      </c>
      <c r="E2341">
        <f>IF(ISNUMBER(INDEX('Providers'!$Q$4:$Q$503,338)),TEXT(INDEX('Providers'!$Q$4:$Q$503,338),"yyyy-mm-dd"),"")</f>
        <v/>
      </c>
      <c r="F2341">
        <f>"Insurance"</f>
        <v/>
      </c>
      <c r="G2341">
        <f>""</f>
        <v/>
      </c>
      <c r="H2341">
        <f>"High"</f>
        <v/>
      </c>
      <c r="I2341">
        <f>TRIM(IF(LEN(IF(LEN(INDEX('Providers'!$N$4:$N$503,338))=0,"",INDEX('Providers'!$N$4:$N$503,338)))=0,"","Carrier: "&amp;IF(LEN(INDEX('Providers'!$N$4:$N$503,338))=0,"",INDEX('Providers'!$N$4:$N$503,338))&amp;". ")&amp;IF(LEN(IF(LEN(INDEX('Providers'!$O$4:$O$503,338))=0,"",INDEX('Providers'!$O$4:$O$503,338)))=0,"","Policy no.: "&amp;IF(LEN(INDEX('Providers'!$O$4:$O$503,338))=0,"",INDEX('Providers'!$O$4:$O$503,338))&amp;". ")&amp;IF(LEN(IF(LEN(INDEX('Providers'!$P$4:$P$503,338))=0,"",INDEX('Providers'!$P$4:$P$503,338)))=0,"","Coverage form: "&amp;IF(LEN(INDEX('Providers'!$P$4:$P$503,338))=0,"",INDEX('Providers'!$P$4:$P$503,338))&amp;". "))</f>
        <v/>
      </c>
      <c r="J2341">
        <f>IF(LEN(INDEX('Providers'!$AJ$4:$AJ$503,338))=0,"",INDEX('Providers'!$AJ$4:$AJ$503,338))</f>
        <v/>
      </c>
      <c r="K2341">
        <f>IF(LEN(INDEX('Providers'!$AI$4:$AI$503,338))=0,"",INDEX('Providers'!$AI$4:$AI$503,338))</f>
        <v/>
      </c>
    </row>
    <row r="2342">
      <c r="A2342">
        <f>IF(AND(LEN('Providers'!A342)&gt;0,ISNUMBER('Providers'!Q342)),1,0)</f>
        <v/>
      </c>
      <c r="B2342">
        <f>B2341+A2342</f>
        <v/>
      </c>
      <c r="C2342">
        <f>IF(2339&gt;$B$4503,"",MATCH(2339-0.5,$B$3:$B$4503,1))</f>
        <v/>
      </c>
      <c r="D2342">
        <f>"Malpractice insurance – "&amp;IF(LEN(INDEX('Providers'!$A$4:$A$503,339))=0,"",INDEX('Providers'!$A$4:$A$503,339))</f>
        <v/>
      </c>
      <c r="E2342">
        <f>IF(ISNUMBER(INDEX('Providers'!$Q$4:$Q$503,339)),TEXT(INDEX('Providers'!$Q$4:$Q$503,339),"yyyy-mm-dd"),"")</f>
        <v/>
      </c>
      <c r="F2342">
        <f>"Insurance"</f>
        <v/>
      </c>
      <c r="G2342">
        <f>""</f>
        <v/>
      </c>
      <c r="H2342">
        <f>"High"</f>
        <v/>
      </c>
      <c r="I2342">
        <f>TRIM(IF(LEN(IF(LEN(INDEX('Providers'!$N$4:$N$503,339))=0,"",INDEX('Providers'!$N$4:$N$503,339)))=0,"","Carrier: "&amp;IF(LEN(INDEX('Providers'!$N$4:$N$503,339))=0,"",INDEX('Providers'!$N$4:$N$503,339))&amp;". ")&amp;IF(LEN(IF(LEN(INDEX('Providers'!$O$4:$O$503,339))=0,"",INDEX('Providers'!$O$4:$O$503,339)))=0,"","Policy no.: "&amp;IF(LEN(INDEX('Providers'!$O$4:$O$503,339))=0,"",INDEX('Providers'!$O$4:$O$503,339))&amp;". ")&amp;IF(LEN(IF(LEN(INDEX('Providers'!$P$4:$P$503,339))=0,"",INDEX('Providers'!$P$4:$P$503,339)))=0,"","Coverage form: "&amp;IF(LEN(INDEX('Providers'!$P$4:$P$503,339))=0,"",INDEX('Providers'!$P$4:$P$503,339))&amp;". "))</f>
        <v/>
      </c>
      <c r="J2342">
        <f>IF(LEN(INDEX('Providers'!$AJ$4:$AJ$503,339))=0,"",INDEX('Providers'!$AJ$4:$AJ$503,339))</f>
        <v/>
      </c>
      <c r="K2342">
        <f>IF(LEN(INDEX('Providers'!$AI$4:$AI$503,339))=0,"",INDEX('Providers'!$AI$4:$AI$503,339))</f>
        <v/>
      </c>
    </row>
    <row r="2343">
      <c r="A2343">
        <f>IF(AND(LEN('Providers'!A343)&gt;0,ISNUMBER('Providers'!Q343)),1,0)</f>
        <v/>
      </c>
      <c r="B2343">
        <f>B2342+A2343</f>
        <v/>
      </c>
      <c r="C2343">
        <f>IF(2340&gt;$B$4503,"",MATCH(2340-0.5,$B$3:$B$4503,1))</f>
        <v/>
      </c>
      <c r="D2343">
        <f>"Malpractice insurance – "&amp;IF(LEN(INDEX('Providers'!$A$4:$A$503,340))=0,"",INDEX('Providers'!$A$4:$A$503,340))</f>
        <v/>
      </c>
      <c r="E2343">
        <f>IF(ISNUMBER(INDEX('Providers'!$Q$4:$Q$503,340)),TEXT(INDEX('Providers'!$Q$4:$Q$503,340),"yyyy-mm-dd"),"")</f>
        <v/>
      </c>
      <c r="F2343">
        <f>"Insurance"</f>
        <v/>
      </c>
      <c r="G2343">
        <f>""</f>
        <v/>
      </c>
      <c r="H2343">
        <f>"High"</f>
        <v/>
      </c>
      <c r="I2343">
        <f>TRIM(IF(LEN(IF(LEN(INDEX('Providers'!$N$4:$N$503,340))=0,"",INDEX('Providers'!$N$4:$N$503,340)))=0,"","Carrier: "&amp;IF(LEN(INDEX('Providers'!$N$4:$N$503,340))=0,"",INDEX('Providers'!$N$4:$N$503,340))&amp;". ")&amp;IF(LEN(IF(LEN(INDEX('Providers'!$O$4:$O$503,340))=0,"",INDEX('Providers'!$O$4:$O$503,340)))=0,"","Policy no.: "&amp;IF(LEN(INDEX('Providers'!$O$4:$O$503,340))=0,"",INDEX('Providers'!$O$4:$O$503,340))&amp;". ")&amp;IF(LEN(IF(LEN(INDEX('Providers'!$P$4:$P$503,340))=0,"",INDEX('Providers'!$P$4:$P$503,340)))=0,"","Coverage form: "&amp;IF(LEN(INDEX('Providers'!$P$4:$P$503,340))=0,"",INDEX('Providers'!$P$4:$P$503,340))&amp;". "))</f>
        <v/>
      </c>
      <c r="J2343">
        <f>IF(LEN(INDEX('Providers'!$AJ$4:$AJ$503,340))=0,"",INDEX('Providers'!$AJ$4:$AJ$503,340))</f>
        <v/>
      </c>
      <c r="K2343">
        <f>IF(LEN(INDEX('Providers'!$AI$4:$AI$503,340))=0,"",INDEX('Providers'!$AI$4:$AI$503,340))</f>
        <v/>
      </c>
    </row>
    <row r="2344">
      <c r="A2344">
        <f>IF(AND(LEN('Providers'!A344)&gt;0,ISNUMBER('Providers'!Q344)),1,0)</f>
        <v/>
      </c>
      <c r="B2344">
        <f>B2343+A2344</f>
        <v/>
      </c>
      <c r="C2344">
        <f>IF(2341&gt;$B$4503,"",MATCH(2341-0.5,$B$3:$B$4503,1))</f>
        <v/>
      </c>
      <c r="D2344">
        <f>"Malpractice insurance – "&amp;IF(LEN(INDEX('Providers'!$A$4:$A$503,341))=0,"",INDEX('Providers'!$A$4:$A$503,341))</f>
        <v/>
      </c>
      <c r="E2344">
        <f>IF(ISNUMBER(INDEX('Providers'!$Q$4:$Q$503,341)),TEXT(INDEX('Providers'!$Q$4:$Q$503,341),"yyyy-mm-dd"),"")</f>
        <v/>
      </c>
      <c r="F2344">
        <f>"Insurance"</f>
        <v/>
      </c>
      <c r="G2344">
        <f>""</f>
        <v/>
      </c>
      <c r="H2344">
        <f>"High"</f>
        <v/>
      </c>
      <c r="I2344">
        <f>TRIM(IF(LEN(IF(LEN(INDEX('Providers'!$N$4:$N$503,341))=0,"",INDEX('Providers'!$N$4:$N$503,341)))=0,"","Carrier: "&amp;IF(LEN(INDEX('Providers'!$N$4:$N$503,341))=0,"",INDEX('Providers'!$N$4:$N$503,341))&amp;". ")&amp;IF(LEN(IF(LEN(INDEX('Providers'!$O$4:$O$503,341))=0,"",INDEX('Providers'!$O$4:$O$503,341)))=0,"","Policy no.: "&amp;IF(LEN(INDEX('Providers'!$O$4:$O$503,341))=0,"",INDEX('Providers'!$O$4:$O$503,341))&amp;". ")&amp;IF(LEN(IF(LEN(INDEX('Providers'!$P$4:$P$503,341))=0,"",INDEX('Providers'!$P$4:$P$503,341)))=0,"","Coverage form: "&amp;IF(LEN(INDEX('Providers'!$P$4:$P$503,341))=0,"",INDEX('Providers'!$P$4:$P$503,341))&amp;". "))</f>
        <v/>
      </c>
      <c r="J2344">
        <f>IF(LEN(INDEX('Providers'!$AJ$4:$AJ$503,341))=0,"",INDEX('Providers'!$AJ$4:$AJ$503,341))</f>
        <v/>
      </c>
      <c r="K2344">
        <f>IF(LEN(INDEX('Providers'!$AI$4:$AI$503,341))=0,"",INDEX('Providers'!$AI$4:$AI$503,341))</f>
        <v/>
      </c>
    </row>
    <row r="2345">
      <c r="A2345">
        <f>IF(AND(LEN('Providers'!A345)&gt;0,ISNUMBER('Providers'!Q345)),1,0)</f>
        <v/>
      </c>
      <c r="B2345">
        <f>B2344+A2345</f>
        <v/>
      </c>
      <c r="C2345">
        <f>IF(2342&gt;$B$4503,"",MATCH(2342-0.5,$B$3:$B$4503,1))</f>
        <v/>
      </c>
      <c r="D2345">
        <f>"Malpractice insurance – "&amp;IF(LEN(INDEX('Providers'!$A$4:$A$503,342))=0,"",INDEX('Providers'!$A$4:$A$503,342))</f>
        <v/>
      </c>
      <c r="E2345">
        <f>IF(ISNUMBER(INDEX('Providers'!$Q$4:$Q$503,342)),TEXT(INDEX('Providers'!$Q$4:$Q$503,342),"yyyy-mm-dd"),"")</f>
        <v/>
      </c>
      <c r="F2345">
        <f>"Insurance"</f>
        <v/>
      </c>
      <c r="G2345">
        <f>""</f>
        <v/>
      </c>
      <c r="H2345">
        <f>"High"</f>
        <v/>
      </c>
      <c r="I2345">
        <f>TRIM(IF(LEN(IF(LEN(INDEX('Providers'!$N$4:$N$503,342))=0,"",INDEX('Providers'!$N$4:$N$503,342)))=0,"","Carrier: "&amp;IF(LEN(INDEX('Providers'!$N$4:$N$503,342))=0,"",INDEX('Providers'!$N$4:$N$503,342))&amp;". ")&amp;IF(LEN(IF(LEN(INDEX('Providers'!$O$4:$O$503,342))=0,"",INDEX('Providers'!$O$4:$O$503,342)))=0,"","Policy no.: "&amp;IF(LEN(INDEX('Providers'!$O$4:$O$503,342))=0,"",INDEX('Providers'!$O$4:$O$503,342))&amp;". ")&amp;IF(LEN(IF(LEN(INDEX('Providers'!$P$4:$P$503,342))=0,"",INDEX('Providers'!$P$4:$P$503,342)))=0,"","Coverage form: "&amp;IF(LEN(INDEX('Providers'!$P$4:$P$503,342))=0,"",INDEX('Providers'!$P$4:$P$503,342))&amp;". "))</f>
        <v/>
      </c>
      <c r="J2345">
        <f>IF(LEN(INDEX('Providers'!$AJ$4:$AJ$503,342))=0,"",INDEX('Providers'!$AJ$4:$AJ$503,342))</f>
        <v/>
      </c>
      <c r="K2345">
        <f>IF(LEN(INDEX('Providers'!$AI$4:$AI$503,342))=0,"",INDEX('Providers'!$AI$4:$AI$503,342))</f>
        <v/>
      </c>
    </row>
    <row r="2346">
      <c r="A2346">
        <f>IF(AND(LEN('Providers'!A346)&gt;0,ISNUMBER('Providers'!Q346)),1,0)</f>
        <v/>
      </c>
      <c r="B2346">
        <f>B2345+A2346</f>
        <v/>
      </c>
      <c r="C2346">
        <f>IF(2343&gt;$B$4503,"",MATCH(2343-0.5,$B$3:$B$4503,1))</f>
        <v/>
      </c>
      <c r="D2346">
        <f>"Malpractice insurance – "&amp;IF(LEN(INDEX('Providers'!$A$4:$A$503,343))=0,"",INDEX('Providers'!$A$4:$A$503,343))</f>
        <v/>
      </c>
      <c r="E2346">
        <f>IF(ISNUMBER(INDEX('Providers'!$Q$4:$Q$503,343)),TEXT(INDEX('Providers'!$Q$4:$Q$503,343),"yyyy-mm-dd"),"")</f>
        <v/>
      </c>
      <c r="F2346">
        <f>"Insurance"</f>
        <v/>
      </c>
      <c r="G2346">
        <f>""</f>
        <v/>
      </c>
      <c r="H2346">
        <f>"High"</f>
        <v/>
      </c>
      <c r="I2346">
        <f>TRIM(IF(LEN(IF(LEN(INDEX('Providers'!$N$4:$N$503,343))=0,"",INDEX('Providers'!$N$4:$N$503,343)))=0,"","Carrier: "&amp;IF(LEN(INDEX('Providers'!$N$4:$N$503,343))=0,"",INDEX('Providers'!$N$4:$N$503,343))&amp;". ")&amp;IF(LEN(IF(LEN(INDEX('Providers'!$O$4:$O$503,343))=0,"",INDEX('Providers'!$O$4:$O$503,343)))=0,"","Policy no.: "&amp;IF(LEN(INDEX('Providers'!$O$4:$O$503,343))=0,"",INDEX('Providers'!$O$4:$O$503,343))&amp;". ")&amp;IF(LEN(IF(LEN(INDEX('Providers'!$P$4:$P$503,343))=0,"",INDEX('Providers'!$P$4:$P$503,343)))=0,"","Coverage form: "&amp;IF(LEN(INDEX('Providers'!$P$4:$P$503,343))=0,"",INDEX('Providers'!$P$4:$P$503,343))&amp;". "))</f>
        <v/>
      </c>
      <c r="J2346">
        <f>IF(LEN(INDEX('Providers'!$AJ$4:$AJ$503,343))=0,"",INDEX('Providers'!$AJ$4:$AJ$503,343))</f>
        <v/>
      </c>
      <c r="K2346">
        <f>IF(LEN(INDEX('Providers'!$AI$4:$AI$503,343))=0,"",INDEX('Providers'!$AI$4:$AI$503,343))</f>
        <v/>
      </c>
    </row>
    <row r="2347">
      <c r="A2347">
        <f>IF(AND(LEN('Providers'!A347)&gt;0,ISNUMBER('Providers'!Q347)),1,0)</f>
        <v/>
      </c>
      <c r="B2347">
        <f>B2346+A2347</f>
        <v/>
      </c>
      <c r="C2347">
        <f>IF(2344&gt;$B$4503,"",MATCH(2344-0.5,$B$3:$B$4503,1))</f>
        <v/>
      </c>
      <c r="D2347">
        <f>"Malpractice insurance – "&amp;IF(LEN(INDEX('Providers'!$A$4:$A$503,344))=0,"",INDEX('Providers'!$A$4:$A$503,344))</f>
        <v/>
      </c>
      <c r="E2347">
        <f>IF(ISNUMBER(INDEX('Providers'!$Q$4:$Q$503,344)),TEXT(INDEX('Providers'!$Q$4:$Q$503,344),"yyyy-mm-dd"),"")</f>
        <v/>
      </c>
      <c r="F2347">
        <f>"Insurance"</f>
        <v/>
      </c>
      <c r="G2347">
        <f>""</f>
        <v/>
      </c>
      <c r="H2347">
        <f>"High"</f>
        <v/>
      </c>
      <c r="I2347">
        <f>TRIM(IF(LEN(IF(LEN(INDEX('Providers'!$N$4:$N$503,344))=0,"",INDEX('Providers'!$N$4:$N$503,344)))=0,"","Carrier: "&amp;IF(LEN(INDEX('Providers'!$N$4:$N$503,344))=0,"",INDEX('Providers'!$N$4:$N$503,344))&amp;". ")&amp;IF(LEN(IF(LEN(INDEX('Providers'!$O$4:$O$503,344))=0,"",INDEX('Providers'!$O$4:$O$503,344)))=0,"","Policy no.: "&amp;IF(LEN(INDEX('Providers'!$O$4:$O$503,344))=0,"",INDEX('Providers'!$O$4:$O$503,344))&amp;". ")&amp;IF(LEN(IF(LEN(INDEX('Providers'!$P$4:$P$503,344))=0,"",INDEX('Providers'!$P$4:$P$503,344)))=0,"","Coverage form: "&amp;IF(LEN(INDEX('Providers'!$P$4:$P$503,344))=0,"",INDEX('Providers'!$P$4:$P$503,344))&amp;". "))</f>
        <v/>
      </c>
      <c r="J2347">
        <f>IF(LEN(INDEX('Providers'!$AJ$4:$AJ$503,344))=0,"",INDEX('Providers'!$AJ$4:$AJ$503,344))</f>
        <v/>
      </c>
      <c r="K2347">
        <f>IF(LEN(INDEX('Providers'!$AI$4:$AI$503,344))=0,"",INDEX('Providers'!$AI$4:$AI$503,344))</f>
        <v/>
      </c>
    </row>
    <row r="2348">
      <c r="A2348">
        <f>IF(AND(LEN('Providers'!A348)&gt;0,ISNUMBER('Providers'!Q348)),1,0)</f>
        <v/>
      </c>
      <c r="B2348">
        <f>B2347+A2348</f>
        <v/>
      </c>
      <c r="C2348">
        <f>IF(2345&gt;$B$4503,"",MATCH(2345-0.5,$B$3:$B$4503,1))</f>
        <v/>
      </c>
      <c r="D2348">
        <f>"Malpractice insurance – "&amp;IF(LEN(INDEX('Providers'!$A$4:$A$503,345))=0,"",INDEX('Providers'!$A$4:$A$503,345))</f>
        <v/>
      </c>
      <c r="E2348">
        <f>IF(ISNUMBER(INDEX('Providers'!$Q$4:$Q$503,345)),TEXT(INDEX('Providers'!$Q$4:$Q$503,345),"yyyy-mm-dd"),"")</f>
        <v/>
      </c>
      <c r="F2348">
        <f>"Insurance"</f>
        <v/>
      </c>
      <c r="G2348">
        <f>""</f>
        <v/>
      </c>
      <c r="H2348">
        <f>"High"</f>
        <v/>
      </c>
      <c r="I2348">
        <f>TRIM(IF(LEN(IF(LEN(INDEX('Providers'!$N$4:$N$503,345))=0,"",INDEX('Providers'!$N$4:$N$503,345)))=0,"","Carrier: "&amp;IF(LEN(INDEX('Providers'!$N$4:$N$503,345))=0,"",INDEX('Providers'!$N$4:$N$503,345))&amp;". ")&amp;IF(LEN(IF(LEN(INDEX('Providers'!$O$4:$O$503,345))=0,"",INDEX('Providers'!$O$4:$O$503,345)))=0,"","Policy no.: "&amp;IF(LEN(INDEX('Providers'!$O$4:$O$503,345))=0,"",INDEX('Providers'!$O$4:$O$503,345))&amp;". ")&amp;IF(LEN(IF(LEN(INDEX('Providers'!$P$4:$P$503,345))=0,"",INDEX('Providers'!$P$4:$P$503,345)))=0,"","Coverage form: "&amp;IF(LEN(INDEX('Providers'!$P$4:$P$503,345))=0,"",INDEX('Providers'!$P$4:$P$503,345))&amp;". "))</f>
        <v/>
      </c>
      <c r="J2348">
        <f>IF(LEN(INDEX('Providers'!$AJ$4:$AJ$503,345))=0,"",INDEX('Providers'!$AJ$4:$AJ$503,345))</f>
        <v/>
      </c>
      <c r="K2348">
        <f>IF(LEN(INDEX('Providers'!$AI$4:$AI$503,345))=0,"",INDEX('Providers'!$AI$4:$AI$503,345))</f>
        <v/>
      </c>
    </row>
    <row r="2349">
      <c r="A2349">
        <f>IF(AND(LEN('Providers'!A349)&gt;0,ISNUMBER('Providers'!Q349)),1,0)</f>
        <v/>
      </c>
      <c r="B2349">
        <f>B2348+A2349</f>
        <v/>
      </c>
      <c r="C2349">
        <f>IF(2346&gt;$B$4503,"",MATCH(2346-0.5,$B$3:$B$4503,1))</f>
        <v/>
      </c>
      <c r="D2349">
        <f>"Malpractice insurance – "&amp;IF(LEN(INDEX('Providers'!$A$4:$A$503,346))=0,"",INDEX('Providers'!$A$4:$A$503,346))</f>
        <v/>
      </c>
      <c r="E2349">
        <f>IF(ISNUMBER(INDEX('Providers'!$Q$4:$Q$503,346)),TEXT(INDEX('Providers'!$Q$4:$Q$503,346),"yyyy-mm-dd"),"")</f>
        <v/>
      </c>
      <c r="F2349">
        <f>"Insurance"</f>
        <v/>
      </c>
      <c r="G2349">
        <f>""</f>
        <v/>
      </c>
      <c r="H2349">
        <f>"High"</f>
        <v/>
      </c>
      <c r="I2349">
        <f>TRIM(IF(LEN(IF(LEN(INDEX('Providers'!$N$4:$N$503,346))=0,"",INDEX('Providers'!$N$4:$N$503,346)))=0,"","Carrier: "&amp;IF(LEN(INDEX('Providers'!$N$4:$N$503,346))=0,"",INDEX('Providers'!$N$4:$N$503,346))&amp;". ")&amp;IF(LEN(IF(LEN(INDEX('Providers'!$O$4:$O$503,346))=0,"",INDEX('Providers'!$O$4:$O$503,346)))=0,"","Policy no.: "&amp;IF(LEN(INDEX('Providers'!$O$4:$O$503,346))=0,"",INDEX('Providers'!$O$4:$O$503,346))&amp;". ")&amp;IF(LEN(IF(LEN(INDEX('Providers'!$P$4:$P$503,346))=0,"",INDEX('Providers'!$P$4:$P$503,346)))=0,"","Coverage form: "&amp;IF(LEN(INDEX('Providers'!$P$4:$P$503,346))=0,"",INDEX('Providers'!$P$4:$P$503,346))&amp;". "))</f>
        <v/>
      </c>
      <c r="J2349">
        <f>IF(LEN(INDEX('Providers'!$AJ$4:$AJ$503,346))=0,"",INDEX('Providers'!$AJ$4:$AJ$503,346))</f>
        <v/>
      </c>
      <c r="K2349">
        <f>IF(LEN(INDEX('Providers'!$AI$4:$AI$503,346))=0,"",INDEX('Providers'!$AI$4:$AI$503,346))</f>
        <v/>
      </c>
    </row>
    <row r="2350">
      <c r="A2350">
        <f>IF(AND(LEN('Providers'!A350)&gt;0,ISNUMBER('Providers'!Q350)),1,0)</f>
        <v/>
      </c>
      <c r="B2350">
        <f>B2349+A2350</f>
        <v/>
      </c>
      <c r="C2350">
        <f>IF(2347&gt;$B$4503,"",MATCH(2347-0.5,$B$3:$B$4503,1))</f>
        <v/>
      </c>
      <c r="D2350">
        <f>"Malpractice insurance – "&amp;IF(LEN(INDEX('Providers'!$A$4:$A$503,347))=0,"",INDEX('Providers'!$A$4:$A$503,347))</f>
        <v/>
      </c>
      <c r="E2350">
        <f>IF(ISNUMBER(INDEX('Providers'!$Q$4:$Q$503,347)),TEXT(INDEX('Providers'!$Q$4:$Q$503,347),"yyyy-mm-dd"),"")</f>
        <v/>
      </c>
      <c r="F2350">
        <f>"Insurance"</f>
        <v/>
      </c>
      <c r="G2350">
        <f>""</f>
        <v/>
      </c>
      <c r="H2350">
        <f>"High"</f>
        <v/>
      </c>
      <c r="I2350">
        <f>TRIM(IF(LEN(IF(LEN(INDEX('Providers'!$N$4:$N$503,347))=0,"",INDEX('Providers'!$N$4:$N$503,347)))=0,"","Carrier: "&amp;IF(LEN(INDEX('Providers'!$N$4:$N$503,347))=0,"",INDEX('Providers'!$N$4:$N$503,347))&amp;". ")&amp;IF(LEN(IF(LEN(INDEX('Providers'!$O$4:$O$503,347))=0,"",INDEX('Providers'!$O$4:$O$503,347)))=0,"","Policy no.: "&amp;IF(LEN(INDEX('Providers'!$O$4:$O$503,347))=0,"",INDEX('Providers'!$O$4:$O$503,347))&amp;". ")&amp;IF(LEN(IF(LEN(INDEX('Providers'!$P$4:$P$503,347))=0,"",INDEX('Providers'!$P$4:$P$503,347)))=0,"","Coverage form: "&amp;IF(LEN(INDEX('Providers'!$P$4:$P$503,347))=0,"",INDEX('Providers'!$P$4:$P$503,347))&amp;". "))</f>
        <v/>
      </c>
      <c r="J2350">
        <f>IF(LEN(INDEX('Providers'!$AJ$4:$AJ$503,347))=0,"",INDEX('Providers'!$AJ$4:$AJ$503,347))</f>
        <v/>
      </c>
      <c r="K2350">
        <f>IF(LEN(INDEX('Providers'!$AI$4:$AI$503,347))=0,"",INDEX('Providers'!$AI$4:$AI$503,347))</f>
        <v/>
      </c>
    </row>
    <row r="2351">
      <c r="A2351">
        <f>IF(AND(LEN('Providers'!A351)&gt;0,ISNUMBER('Providers'!Q351)),1,0)</f>
        <v/>
      </c>
      <c r="B2351">
        <f>B2350+A2351</f>
        <v/>
      </c>
      <c r="C2351">
        <f>IF(2348&gt;$B$4503,"",MATCH(2348-0.5,$B$3:$B$4503,1))</f>
        <v/>
      </c>
      <c r="D2351">
        <f>"Malpractice insurance – "&amp;IF(LEN(INDEX('Providers'!$A$4:$A$503,348))=0,"",INDEX('Providers'!$A$4:$A$503,348))</f>
        <v/>
      </c>
      <c r="E2351">
        <f>IF(ISNUMBER(INDEX('Providers'!$Q$4:$Q$503,348)),TEXT(INDEX('Providers'!$Q$4:$Q$503,348),"yyyy-mm-dd"),"")</f>
        <v/>
      </c>
      <c r="F2351">
        <f>"Insurance"</f>
        <v/>
      </c>
      <c r="G2351">
        <f>""</f>
        <v/>
      </c>
      <c r="H2351">
        <f>"High"</f>
        <v/>
      </c>
      <c r="I2351">
        <f>TRIM(IF(LEN(IF(LEN(INDEX('Providers'!$N$4:$N$503,348))=0,"",INDEX('Providers'!$N$4:$N$503,348)))=0,"","Carrier: "&amp;IF(LEN(INDEX('Providers'!$N$4:$N$503,348))=0,"",INDEX('Providers'!$N$4:$N$503,348))&amp;". ")&amp;IF(LEN(IF(LEN(INDEX('Providers'!$O$4:$O$503,348))=0,"",INDEX('Providers'!$O$4:$O$503,348)))=0,"","Policy no.: "&amp;IF(LEN(INDEX('Providers'!$O$4:$O$503,348))=0,"",INDEX('Providers'!$O$4:$O$503,348))&amp;". ")&amp;IF(LEN(IF(LEN(INDEX('Providers'!$P$4:$P$503,348))=0,"",INDEX('Providers'!$P$4:$P$503,348)))=0,"","Coverage form: "&amp;IF(LEN(INDEX('Providers'!$P$4:$P$503,348))=0,"",INDEX('Providers'!$P$4:$P$503,348))&amp;". "))</f>
        <v/>
      </c>
      <c r="J2351">
        <f>IF(LEN(INDEX('Providers'!$AJ$4:$AJ$503,348))=0,"",INDEX('Providers'!$AJ$4:$AJ$503,348))</f>
        <v/>
      </c>
      <c r="K2351">
        <f>IF(LEN(INDEX('Providers'!$AI$4:$AI$503,348))=0,"",INDEX('Providers'!$AI$4:$AI$503,348))</f>
        <v/>
      </c>
    </row>
    <row r="2352">
      <c r="A2352">
        <f>IF(AND(LEN('Providers'!A352)&gt;0,ISNUMBER('Providers'!Q352)),1,0)</f>
        <v/>
      </c>
      <c r="B2352">
        <f>B2351+A2352</f>
        <v/>
      </c>
      <c r="C2352">
        <f>IF(2349&gt;$B$4503,"",MATCH(2349-0.5,$B$3:$B$4503,1))</f>
        <v/>
      </c>
      <c r="D2352">
        <f>"Malpractice insurance – "&amp;IF(LEN(INDEX('Providers'!$A$4:$A$503,349))=0,"",INDEX('Providers'!$A$4:$A$503,349))</f>
        <v/>
      </c>
      <c r="E2352">
        <f>IF(ISNUMBER(INDEX('Providers'!$Q$4:$Q$503,349)),TEXT(INDEX('Providers'!$Q$4:$Q$503,349),"yyyy-mm-dd"),"")</f>
        <v/>
      </c>
      <c r="F2352">
        <f>"Insurance"</f>
        <v/>
      </c>
      <c r="G2352">
        <f>""</f>
        <v/>
      </c>
      <c r="H2352">
        <f>"High"</f>
        <v/>
      </c>
      <c r="I2352">
        <f>TRIM(IF(LEN(IF(LEN(INDEX('Providers'!$N$4:$N$503,349))=0,"",INDEX('Providers'!$N$4:$N$503,349)))=0,"","Carrier: "&amp;IF(LEN(INDEX('Providers'!$N$4:$N$503,349))=0,"",INDEX('Providers'!$N$4:$N$503,349))&amp;". ")&amp;IF(LEN(IF(LEN(INDEX('Providers'!$O$4:$O$503,349))=0,"",INDEX('Providers'!$O$4:$O$503,349)))=0,"","Policy no.: "&amp;IF(LEN(INDEX('Providers'!$O$4:$O$503,349))=0,"",INDEX('Providers'!$O$4:$O$503,349))&amp;". ")&amp;IF(LEN(IF(LEN(INDEX('Providers'!$P$4:$P$503,349))=0,"",INDEX('Providers'!$P$4:$P$503,349)))=0,"","Coverage form: "&amp;IF(LEN(INDEX('Providers'!$P$4:$P$503,349))=0,"",INDEX('Providers'!$P$4:$P$503,349))&amp;". "))</f>
        <v/>
      </c>
      <c r="J2352">
        <f>IF(LEN(INDEX('Providers'!$AJ$4:$AJ$503,349))=0,"",INDEX('Providers'!$AJ$4:$AJ$503,349))</f>
        <v/>
      </c>
      <c r="K2352">
        <f>IF(LEN(INDEX('Providers'!$AI$4:$AI$503,349))=0,"",INDEX('Providers'!$AI$4:$AI$503,349))</f>
        <v/>
      </c>
    </row>
    <row r="2353">
      <c r="A2353">
        <f>IF(AND(LEN('Providers'!A353)&gt;0,ISNUMBER('Providers'!Q353)),1,0)</f>
        <v/>
      </c>
      <c r="B2353">
        <f>B2352+A2353</f>
        <v/>
      </c>
      <c r="C2353">
        <f>IF(2350&gt;$B$4503,"",MATCH(2350-0.5,$B$3:$B$4503,1))</f>
        <v/>
      </c>
      <c r="D2353">
        <f>"Malpractice insurance – "&amp;IF(LEN(INDEX('Providers'!$A$4:$A$503,350))=0,"",INDEX('Providers'!$A$4:$A$503,350))</f>
        <v/>
      </c>
      <c r="E2353">
        <f>IF(ISNUMBER(INDEX('Providers'!$Q$4:$Q$503,350)),TEXT(INDEX('Providers'!$Q$4:$Q$503,350),"yyyy-mm-dd"),"")</f>
        <v/>
      </c>
      <c r="F2353">
        <f>"Insurance"</f>
        <v/>
      </c>
      <c r="G2353">
        <f>""</f>
        <v/>
      </c>
      <c r="H2353">
        <f>"High"</f>
        <v/>
      </c>
      <c r="I2353">
        <f>TRIM(IF(LEN(IF(LEN(INDEX('Providers'!$N$4:$N$503,350))=0,"",INDEX('Providers'!$N$4:$N$503,350)))=0,"","Carrier: "&amp;IF(LEN(INDEX('Providers'!$N$4:$N$503,350))=0,"",INDEX('Providers'!$N$4:$N$503,350))&amp;". ")&amp;IF(LEN(IF(LEN(INDEX('Providers'!$O$4:$O$503,350))=0,"",INDEX('Providers'!$O$4:$O$503,350)))=0,"","Policy no.: "&amp;IF(LEN(INDEX('Providers'!$O$4:$O$503,350))=0,"",INDEX('Providers'!$O$4:$O$503,350))&amp;". ")&amp;IF(LEN(IF(LEN(INDEX('Providers'!$P$4:$P$503,350))=0,"",INDEX('Providers'!$P$4:$P$503,350)))=0,"","Coverage form: "&amp;IF(LEN(INDEX('Providers'!$P$4:$P$503,350))=0,"",INDEX('Providers'!$P$4:$P$503,350))&amp;". "))</f>
        <v/>
      </c>
      <c r="J2353">
        <f>IF(LEN(INDEX('Providers'!$AJ$4:$AJ$503,350))=0,"",INDEX('Providers'!$AJ$4:$AJ$503,350))</f>
        <v/>
      </c>
      <c r="K2353">
        <f>IF(LEN(INDEX('Providers'!$AI$4:$AI$503,350))=0,"",INDEX('Providers'!$AI$4:$AI$503,350))</f>
        <v/>
      </c>
    </row>
    <row r="2354">
      <c r="A2354">
        <f>IF(AND(LEN('Providers'!A354)&gt;0,ISNUMBER('Providers'!Q354)),1,0)</f>
        <v/>
      </c>
      <c r="B2354">
        <f>B2353+A2354</f>
        <v/>
      </c>
      <c r="C2354">
        <f>IF(2351&gt;$B$4503,"",MATCH(2351-0.5,$B$3:$B$4503,1))</f>
        <v/>
      </c>
      <c r="D2354">
        <f>"Malpractice insurance – "&amp;IF(LEN(INDEX('Providers'!$A$4:$A$503,351))=0,"",INDEX('Providers'!$A$4:$A$503,351))</f>
        <v/>
      </c>
      <c r="E2354">
        <f>IF(ISNUMBER(INDEX('Providers'!$Q$4:$Q$503,351)),TEXT(INDEX('Providers'!$Q$4:$Q$503,351),"yyyy-mm-dd"),"")</f>
        <v/>
      </c>
      <c r="F2354">
        <f>"Insurance"</f>
        <v/>
      </c>
      <c r="G2354">
        <f>""</f>
        <v/>
      </c>
      <c r="H2354">
        <f>"High"</f>
        <v/>
      </c>
      <c r="I2354">
        <f>TRIM(IF(LEN(IF(LEN(INDEX('Providers'!$N$4:$N$503,351))=0,"",INDEX('Providers'!$N$4:$N$503,351)))=0,"","Carrier: "&amp;IF(LEN(INDEX('Providers'!$N$4:$N$503,351))=0,"",INDEX('Providers'!$N$4:$N$503,351))&amp;". ")&amp;IF(LEN(IF(LEN(INDEX('Providers'!$O$4:$O$503,351))=0,"",INDEX('Providers'!$O$4:$O$503,351)))=0,"","Policy no.: "&amp;IF(LEN(INDEX('Providers'!$O$4:$O$503,351))=0,"",INDEX('Providers'!$O$4:$O$503,351))&amp;". ")&amp;IF(LEN(IF(LEN(INDEX('Providers'!$P$4:$P$503,351))=0,"",INDEX('Providers'!$P$4:$P$503,351)))=0,"","Coverage form: "&amp;IF(LEN(INDEX('Providers'!$P$4:$P$503,351))=0,"",INDEX('Providers'!$P$4:$P$503,351))&amp;". "))</f>
        <v/>
      </c>
      <c r="J2354">
        <f>IF(LEN(INDEX('Providers'!$AJ$4:$AJ$503,351))=0,"",INDEX('Providers'!$AJ$4:$AJ$503,351))</f>
        <v/>
      </c>
      <c r="K2354">
        <f>IF(LEN(INDEX('Providers'!$AI$4:$AI$503,351))=0,"",INDEX('Providers'!$AI$4:$AI$503,351))</f>
        <v/>
      </c>
    </row>
    <row r="2355">
      <c r="A2355">
        <f>IF(AND(LEN('Providers'!A355)&gt;0,ISNUMBER('Providers'!Q355)),1,0)</f>
        <v/>
      </c>
      <c r="B2355">
        <f>B2354+A2355</f>
        <v/>
      </c>
      <c r="C2355">
        <f>IF(2352&gt;$B$4503,"",MATCH(2352-0.5,$B$3:$B$4503,1))</f>
        <v/>
      </c>
      <c r="D2355">
        <f>"Malpractice insurance – "&amp;IF(LEN(INDEX('Providers'!$A$4:$A$503,352))=0,"",INDEX('Providers'!$A$4:$A$503,352))</f>
        <v/>
      </c>
      <c r="E2355">
        <f>IF(ISNUMBER(INDEX('Providers'!$Q$4:$Q$503,352)),TEXT(INDEX('Providers'!$Q$4:$Q$503,352),"yyyy-mm-dd"),"")</f>
        <v/>
      </c>
      <c r="F2355">
        <f>"Insurance"</f>
        <v/>
      </c>
      <c r="G2355">
        <f>""</f>
        <v/>
      </c>
      <c r="H2355">
        <f>"High"</f>
        <v/>
      </c>
      <c r="I2355">
        <f>TRIM(IF(LEN(IF(LEN(INDEX('Providers'!$N$4:$N$503,352))=0,"",INDEX('Providers'!$N$4:$N$503,352)))=0,"","Carrier: "&amp;IF(LEN(INDEX('Providers'!$N$4:$N$503,352))=0,"",INDEX('Providers'!$N$4:$N$503,352))&amp;". ")&amp;IF(LEN(IF(LEN(INDEX('Providers'!$O$4:$O$503,352))=0,"",INDEX('Providers'!$O$4:$O$503,352)))=0,"","Policy no.: "&amp;IF(LEN(INDEX('Providers'!$O$4:$O$503,352))=0,"",INDEX('Providers'!$O$4:$O$503,352))&amp;". ")&amp;IF(LEN(IF(LEN(INDEX('Providers'!$P$4:$P$503,352))=0,"",INDEX('Providers'!$P$4:$P$503,352)))=0,"","Coverage form: "&amp;IF(LEN(INDEX('Providers'!$P$4:$P$503,352))=0,"",INDEX('Providers'!$P$4:$P$503,352))&amp;". "))</f>
        <v/>
      </c>
      <c r="J2355">
        <f>IF(LEN(INDEX('Providers'!$AJ$4:$AJ$503,352))=0,"",INDEX('Providers'!$AJ$4:$AJ$503,352))</f>
        <v/>
      </c>
      <c r="K2355">
        <f>IF(LEN(INDEX('Providers'!$AI$4:$AI$503,352))=0,"",INDEX('Providers'!$AI$4:$AI$503,352))</f>
        <v/>
      </c>
    </row>
    <row r="2356">
      <c r="A2356">
        <f>IF(AND(LEN('Providers'!A356)&gt;0,ISNUMBER('Providers'!Q356)),1,0)</f>
        <v/>
      </c>
      <c r="B2356">
        <f>B2355+A2356</f>
        <v/>
      </c>
      <c r="C2356">
        <f>IF(2353&gt;$B$4503,"",MATCH(2353-0.5,$B$3:$B$4503,1))</f>
        <v/>
      </c>
      <c r="D2356">
        <f>"Malpractice insurance – "&amp;IF(LEN(INDEX('Providers'!$A$4:$A$503,353))=0,"",INDEX('Providers'!$A$4:$A$503,353))</f>
        <v/>
      </c>
      <c r="E2356">
        <f>IF(ISNUMBER(INDEX('Providers'!$Q$4:$Q$503,353)),TEXT(INDEX('Providers'!$Q$4:$Q$503,353),"yyyy-mm-dd"),"")</f>
        <v/>
      </c>
      <c r="F2356">
        <f>"Insurance"</f>
        <v/>
      </c>
      <c r="G2356">
        <f>""</f>
        <v/>
      </c>
      <c r="H2356">
        <f>"High"</f>
        <v/>
      </c>
      <c r="I2356">
        <f>TRIM(IF(LEN(IF(LEN(INDEX('Providers'!$N$4:$N$503,353))=0,"",INDEX('Providers'!$N$4:$N$503,353)))=0,"","Carrier: "&amp;IF(LEN(INDEX('Providers'!$N$4:$N$503,353))=0,"",INDEX('Providers'!$N$4:$N$503,353))&amp;". ")&amp;IF(LEN(IF(LEN(INDEX('Providers'!$O$4:$O$503,353))=0,"",INDEX('Providers'!$O$4:$O$503,353)))=0,"","Policy no.: "&amp;IF(LEN(INDEX('Providers'!$O$4:$O$503,353))=0,"",INDEX('Providers'!$O$4:$O$503,353))&amp;". ")&amp;IF(LEN(IF(LEN(INDEX('Providers'!$P$4:$P$503,353))=0,"",INDEX('Providers'!$P$4:$P$503,353)))=0,"","Coverage form: "&amp;IF(LEN(INDEX('Providers'!$P$4:$P$503,353))=0,"",INDEX('Providers'!$P$4:$P$503,353))&amp;". "))</f>
        <v/>
      </c>
      <c r="J2356">
        <f>IF(LEN(INDEX('Providers'!$AJ$4:$AJ$503,353))=0,"",INDEX('Providers'!$AJ$4:$AJ$503,353))</f>
        <v/>
      </c>
      <c r="K2356">
        <f>IF(LEN(INDEX('Providers'!$AI$4:$AI$503,353))=0,"",INDEX('Providers'!$AI$4:$AI$503,353))</f>
        <v/>
      </c>
    </row>
    <row r="2357">
      <c r="A2357">
        <f>IF(AND(LEN('Providers'!A357)&gt;0,ISNUMBER('Providers'!Q357)),1,0)</f>
        <v/>
      </c>
      <c r="B2357">
        <f>B2356+A2357</f>
        <v/>
      </c>
      <c r="C2357">
        <f>IF(2354&gt;$B$4503,"",MATCH(2354-0.5,$B$3:$B$4503,1))</f>
        <v/>
      </c>
      <c r="D2357">
        <f>"Malpractice insurance – "&amp;IF(LEN(INDEX('Providers'!$A$4:$A$503,354))=0,"",INDEX('Providers'!$A$4:$A$503,354))</f>
        <v/>
      </c>
      <c r="E2357">
        <f>IF(ISNUMBER(INDEX('Providers'!$Q$4:$Q$503,354)),TEXT(INDEX('Providers'!$Q$4:$Q$503,354),"yyyy-mm-dd"),"")</f>
        <v/>
      </c>
      <c r="F2357">
        <f>"Insurance"</f>
        <v/>
      </c>
      <c r="G2357">
        <f>""</f>
        <v/>
      </c>
      <c r="H2357">
        <f>"High"</f>
        <v/>
      </c>
      <c r="I2357">
        <f>TRIM(IF(LEN(IF(LEN(INDEX('Providers'!$N$4:$N$503,354))=0,"",INDEX('Providers'!$N$4:$N$503,354)))=0,"","Carrier: "&amp;IF(LEN(INDEX('Providers'!$N$4:$N$503,354))=0,"",INDEX('Providers'!$N$4:$N$503,354))&amp;". ")&amp;IF(LEN(IF(LEN(INDEX('Providers'!$O$4:$O$503,354))=0,"",INDEX('Providers'!$O$4:$O$503,354)))=0,"","Policy no.: "&amp;IF(LEN(INDEX('Providers'!$O$4:$O$503,354))=0,"",INDEX('Providers'!$O$4:$O$503,354))&amp;". ")&amp;IF(LEN(IF(LEN(INDEX('Providers'!$P$4:$P$503,354))=0,"",INDEX('Providers'!$P$4:$P$503,354)))=0,"","Coverage form: "&amp;IF(LEN(INDEX('Providers'!$P$4:$P$503,354))=0,"",INDEX('Providers'!$P$4:$P$503,354))&amp;". "))</f>
        <v/>
      </c>
      <c r="J2357">
        <f>IF(LEN(INDEX('Providers'!$AJ$4:$AJ$503,354))=0,"",INDEX('Providers'!$AJ$4:$AJ$503,354))</f>
        <v/>
      </c>
      <c r="K2357">
        <f>IF(LEN(INDEX('Providers'!$AI$4:$AI$503,354))=0,"",INDEX('Providers'!$AI$4:$AI$503,354))</f>
        <v/>
      </c>
    </row>
    <row r="2358">
      <c r="A2358">
        <f>IF(AND(LEN('Providers'!A358)&gt;0,ISNUMBER('Providers'!Q358)),1,0)</f>
        <v/>
      </c>
      <c r="B2358">
        <f>B2357+A2358</f>
        <v/>
      </c>
      <c r="C2358">
        <f>IF(2355&gt;$B$4503,"",MATCH(2355-0.5,$B$3:$B$4503,1))</f>
        <v/>
      </c>
      <c r="D2358">
        <f>"Malpractice insurance – "&amp;IF(LEN(INDEX('Providers'!$A$4:$A$503,355))=0,"",INDEX('Providers'!$A$4:$A$503,355))</f>
        <v/>
      </c>
      <c r="E2358">
        <f>IF(ISNUMBER(INDEX('Providers'!$Q$4:$Q$503,355)),TEXT(INDEX('Providers'!$Q$4:$Q$503,355),"yyyy-mm-dd"),"")</f>
        <v/>
      </c>
      <c r="F2358">
        <f>"Insurance"</f>
        <v/>
      </c>
      <c r="G2358">
        <f>""</f>
        <v/>
      </c>
      <c r="H2358">
        <f>"High"</f>
        <v/>
      </c>
      <c r="I2358">
        <f>TRIM(IF(LEN(IF(LEN(INDEX('Providers'!$N$4:$N$503,355))=0,"",INDEX('Providers'!$N$4:$N$503,355)))=0,"","Carrier: "&amp;IF(LEN(INDEX('Providers'!$N$4:$N$503,355))=0,"",INDEX('Providers'!$N$4:$N$503,355))&amp;". ")&amp;IF(LEN(IF(LEN(INDEX('Providers'!$O$4:$O$503,355))=0,"",INDEX('Providers'!$O$4:$O$503,355)))=0,"","Policy no.: "&amp;IF(LEN(INDEX('Providers'!$O$4:$O$503,355))=0,"",INDEX('Providers'!$O$4:$O$503,355))&amp;". ")&amp;IF(LEN(IF(LEN(INDEX('Providers'!$P$4:$P$503,355))=0,"",INDEX('Providers'!$P$4:$P$503,355)))=0,"","Coverage form: "&amp;IF(LEN(INDEX('Providers'!$P$4:$P$503,355))=0,"",INDEX('Providers'!$P$4:$P$503,355))&amp;". "))</f>
        <v/>
      </c>
      <c r="J2358">
        <f>IF(LEN(INDEX('Providers'!$AJ$4:$AJ$503,355))=0,"",INDEX('Providers'!$AJ$4:$AJ$503,355))</f>
        <v/>
      </c>
      <c r="K2358">
        <f>IF(LEN(INDEX('Providers'!$AI$4:$AI$503,355))=0,"",INDEX('Providers'!$AI$4:$AI$503,355))</f>
        <v/>
      </c>
    </row>
    <row r="2359">
      <c r="A2359">
        <f>IF(AND(LEN('Providers'!A359)&gt;0,ISNUMBER('Providers'!Q359)),1,0)</f>
        <v/>
      </c>
      <c r="B2359">
        <f>B2358+A2359</f>
        <v/>
      </c>
      <c r="C2359">
        <f>IF(2356&gt;$B$4503,"",MATCH(2356-0.5,$B$3:$B$4503,1))</f>
        <v/>
      </c>
      <c r="D2359">
        <f>"Malpractice insurance – "&amp;IF(LEN(INDEX('Providers'!$A$4:$A$503,356))=0,"",INDEX('Providers'!$A$4:$A$503,356))</f>
        <v/>
      </c>
      <c r="E2359">
        <f>IF(ISNUMBER(INDEX('Providers'!$Q$4:$Q$503,356)),TEXT(INDEX('Providers'!$Q$4:$Q$503,356),"yyyy-mm-dd"),"")</f>
        <v/>
      </c>
      <c r="F2359">
        <f>"Insurance"</f>
        <v/>
      </c>
      <c r="G2359">
        <f>""</f>
        <v/>
      </c>
      <c r="H2359">
        <f>"High"</f>
        <v/>
      </c>
      <c r="I2359">
        <f>TRIM(IF(LEN(IF(LEN(INDEX('Providers'!$N$4:$N$503,356))=0,"",INDEX('Providers'!$N$4:$N$503,356)))=0,"","Carrier: "&amp;IF(LEN(INDEX('Providers'!$N$4:$N$503,356))=0,"",INDEX('Providers'!$N$4:$N$503,356))&amp;". ")&amp;IF(LEN(IF(LEN(INDEX('Providers'!$O$4:$O$503,356))=0,"",INDEX('Providers'!$O$4:$O$503,356)))=0,"","Policy no.: "&amp;IF(LEN(INDEX('Providers'!$O$4:$O$503,356))=0,"",INDEX('Providers'!$O$4:$O$503,356))&amp;". ")&amp;IF(LEN(IF(LEN(INDEX('Providers'!$P$4:$P$503,356))=0,"",INDEX('Providers'!$P$4:$P$503,356)))=0,"","Coverage form: "&amp;IF(LEN(INDEX('Providers'!$P$4:$P$503,356))=0,"",INDEX('Providers'!$P$4:$P$503,356))&amp;". "))</f>
        <v/>
      </c>
      <c r="J2359">
        <f>IF(LEN(INDEX('Providers'!$AJ$4:$AJ$503,356))=0,"",INDEX('Providers'!$AJ$4:$AJ$503,356))</f>
        <v/>
      </c>
      <c r="K2359">
        <f>IF(LEN(INDEX('Providers'!$AI$4:$AI$503,356))=0,"",INDEX('Providers'!$AI$4:$AI$503,356))</f>
        <v/>
      </c>
    </row>
    <row r="2360">
      <c r="A2360">
        <f>IF(AND(LEN('Providers'!A360)&gt;0,ISNUMBER('Providers'!Q360)),1,0)</f>
        <v/>
      </c>
      <c r="B2360">
        <f>B2359+A2360</f>
        <v/>
      </c>
      <c r="C2360">
        <f>IF(2357&gt;$B$4503,"",MATCH(2357-0.5,$B$3:$B$4503,1))</f>
        <v/>
      </c>
      <c r="D2360">
        <f>"Malpractice insurance – "&amp;IF(LEN(INDEX('Providers'!$A$4:$A$503,357))=0,"",INDEX('Providers'!$A$4:$A$503,357))</f>
        <v/>
      </c>
      <c r="E2360">
        <f>IF(ISNUMBER(INDEX('Providers'!$Q$4:$Q$503,357)),TEXT(INDEX('Providers'!$Q$4:$Q$503,357),"yyyy-mm-dd"),"")</f>
        <v/>
      </c>
      <c r="F2360">
        <f>"Insurance"</f>
        <v/>
      </c>
      <c r="G2360">
        <f>""</f>
        <v/>
      </c>
      <c r="H2360">
        <f>"High"</f>
        <v/>
      </c>
      <c r="I2360">
        <f>TRIM(IF(LEN(IF(LEN(INDEX('Providers'!$N$4:$N$503,357))=0,"",INDEX('Providers'!$N$4:$N$503,357)))=0,"","Carrier: "&amp;IF(LEN(INDEX('Providers'!$N$4:$N$503,357))=0,"",INDEX('Providers'!$N$4:$N$503,357))&amp;". ")&amp;IF(LEN(IF(LEN(INDEX('Providers'!$O$4:$O$503,357))=0,"",INDEX('Providers'!$O$4:$O$503,357)))=0,"","Policy no.: "&amp;IF(LEN(INDEX('Providers'!$O$4:$O$503,357))=0,"",INDEX('Providers'!$O$4:$O$503,357))&amp;". ")&amp;IF(LEN(IF(LEN(INDEX('Providers'!$P$4:$P$503,357))=0,"",INDEX('Providers'!$P$4:$P$503,357)))=0,"","Coverage form: "&amp;IF(LEN(INDEX('Providers'!$P$4:$P$503,357))=0,"",INDEX('Providers'!$P$4:$P$503,357))&amp;". "))</f>
        <v/>
      </c>
      <c r="J2360">
        <f>IF(LEN(INDEX('Providers'!$AJ$4:$AJ$503,357))=0,"",INDEX('Providers'!$AJ$4:$AJ$503,357))</f>
        <v/>
      </c>
      <c r="K2360">
        <f>IF(LEN(INDEX('Providers'!$AI$4:$AI$503,357))=0,"",INDEX('Providers'!$AI$4:$AI$503,357))</f>
        <v/>
      </c>
    </row>
    <row r="2361">
      <c r="A2361">
        <f>IF(AND(LEN('Providers'!A361)&gt;0,ISNUMBER('Providers'!Q361)),1,0)</f>
        <v/>
      </c>
      <c r="B2361">
        <f>B2360+A2361</f>
        <v/>
      </c>
      <c r="C2361">
        <f>IF(2358&gt;$B$4503,"",MATCH(2358-0.5,$B$3:$B$4503,1))</f>
        <v/>
      </c>
      <c r="D2361">
        <f>"Malpractice insurance – "&amp;IF(LEN(INDEX('Providers'!$A$4:$A$503,358))=0,"",INDEX('Providers'!$A$4:$A$503,358))</f>
        <v/>
      </c>
      <c r="E2361">
        <f>IF(ISNUMBER(INDEX('Providers'!$Q$4:$Q$503,358)),TEXT(INDEX('Providers'!$Q$4:$Q$503,358),"yyyy-mm-dd"),"")</f>
        <v/>
      </c>
      <c r="F2361">
        <f>"Insurance"</f>
        <v/>
      </c>
      <c r="G2361">
        <f>""</f>
        <v/>
      </c>
      <c r="H2361">
        <f>"High"</f>
        <v/>
      </c>
      <c r="I2361">
        <f>TRIM(IF(LEN(IF(LEN(INDEX('Providers'!$N$4:$N$503,358))=0,"",INDEX('Providers'!$N$4:$N$503,358)))=0,"","Carrier: "&amp;IF(LEN(INDEX('Providers'!$N$4:$N$503,358))=0,"",INDEX('Providers'!$N$4:$N$503,358))&amp;". ")&amp;IF(LEN(IF(LEN(INDEX('Providers'!$O$4:$O$503,358))=0,"",INDEX('Providers'!$O$4:$O$503,358)))=0,"","Policy no.: "&amp;IF(LEN(INDEX('Providers'!$O$4:$O$503,358))=0,"",INDEX('Providers'!$O$4:$O$503,358))&amp;". ")&amp;IF(LEN(IF(LEN(INDEX('Providers'!$P$4:$P$503,358))=0,"",INDEX('Providers'!$P$4:$P$503,358)))=0,"","Coverage form: "&amp;IF(LEN(INDEX('Providers'!$P$4:$P$503,358))=0,"",INDEX('Providers'!$P$4:$P$503,358))&amp;". "))</f>
        <v/>
      </c>
      <c r="J2361">
        <f>IF(LEN(INDEX('Providers'!$AJ$4:$AJ$503,358))=0,"",INDEX('Providers'!$AJ$4:$AJ$503,358))</f>
        <v/>
      </c>
      <c r="K2361">
        <f>IF(LEN(INDEX('Providers'!$AI$4:$AI$503,358))=0,"",INDEX('Providers'!$AI$4:$AI$503,358))</f>
        <v/>
      </c>
    </row>
    <row r="2362">
      <c r="A2362">
        <f>IF(AND(LEN('Providers'!A362)&gt;0,ISNUMBER('Providers'!Q362)),1,0)</f>
        <v/>
      </c>
      <c r="B2362">
        <f>B2361+A2362</f>
        <v/>
      </c>
      <c r="C2362">
        <f>IF(2359&gt;$B$4503,"",MATCH(2359-0.5,$B$3:$B$4503,1))</f>
        <v/>
      </c>
      <c r="D2362">
        <f>"Malpractice insurance – "&amp;IF(LEN(INDEX('Providers'!$A$4:$A$503,359))=0,"",INDEX('Providers'!$A$4:$A$503,359))</f>
        <v/>
      </c>
      <c r="E2362">
        <f>IF(ISNUMBER(INDEX('Providers'!$Q$4:$Q$503,359)),TEXT(INDEX('Providers'!$Q$4:$Q$503,359),"yyyy-mm-dd"),"")</f>
        <v/>
      </c>
      <c r="F2362">
        <f>"Insurance"</f>
        <v/>
      </c>
      <c r="G2362">
        <f>""</f>
        <v/>
      </c>
      <c r="H2362">
        <f>"High"</f>
        <v/>
      </c>
      <c r="I2362">
        <f>TRIM(IF(LEN(IF(LEN(INDEX('Providers'!$N$4:$N$503,359))=0,"",INDEX('Providers'!$N$4:$N$503,359)))=0,"","Carrier: "&amp;IF(LEN(INDEX('Providers'!$N$4:$N$503,359))=0,"",INDEX('Providers'!$N$4:$N$503,359))&amp;". ")&amp;IF(LEN(IF(LEN(INDEX('Providers'!$O$4:$O$503,359))=0,"",INDEX('Providers'!$O$4:$O$503,359)))=0,"","Policy no.: "&amp;IF(LEN(INDEX('Providers'!$O$4:$O$503,359))=0,"",INDEX('Providers'!$O$4:$O$503,359))&amp;". ")&amp;IF(LEN(IF(LEN(INDEX('Providers'!$P$4:$P$503,359))=0,"",INDEX('Providers'!$P$4:$P$503,359)))=0,"","Coverage form: "&amp;IF(LEN(INDEX('Providers'!$P$4:$P$503,359))=0,"",INDEX('Providers'!$P$4:$P$503,359))&amp;". "))</f>
        <v/>
      </c>
      <c r="J2362">
        <f>IF(LEN(INDEX('Providers'!$AJ$4:$AJ$503,359))=0,"",INDEX('Providers'!$AJ$4:$AJ$503,359))</f>
        <v/>
      </c>
      <c r="K2362">
        <f>IF(LEN(INDEX('Providers'!$AI$4:$AI$503,359))=0,"",INDEX('Providers'!$AI$4:$AI$503,359))</f>
        <v/>
      </c>
    </row>
    <row r="2363">
      <c r="A2363">
        <f>IF(AND(LEN('Providers'!A363)&gt;0,ISNUMBER('Providers'!Q363)),1,0)</f>
        <v/>
      </c>
      <c r="B2363">
        <f>B2362+A2363</f>
        <v/>
      </c>
      <c r="C2363">
        <f>IF(2360&gt;$B$4503,"",MATCH(2360-0.5,$B$3:$B$4503,1))</f>
        <v/>
      </c>
      <c r="D2363">
        <f>"Malpractice insurance – "&amp;IF(LEN(INDEX('Providers'!$A$4:$A$503,360))=0,"",INDEX('Providers'!$A$4:$A$503,360))</f>
        <v/>
      </c>
      <c r="E2363">
        <f>IF(ISNUMBER(INDEX('Providers'!$Q$4:$Q$503,360)),TEXT(INDEX('Providers'!$Q$4:$Q$503,360),"yyyy-mm-dd"),"")</f>
        <v/>
      </c>
      <c r="F2363">
        <f>"Insurance"</f>
        <v/>
      </c>
      <c r="G2363">
        <f>""</f>
        <v/>
      </c>
      <c r="H2363">
        <f>"High"</f>
        <v/>
      </c>
      <c r="I2363">
        <f>TRIM(IF(LEN(IF(LEN(INDEX('Providers'!$N$4:$N$503,360))=0,"",INDEX('Providers'!$N$4:$N$503,360)))=0,"","Carrier: "&amp;IF(LEN(INDEX('Providers'!$N$4:$N$503,360))=0,"",INDEX('Providers'!$N$4:$N$503,360))&amp;". ")&amp;IF(LEN(IF(LEN(INDEX('Providers'!$O$4:$O$503,360))=0,"",INDEX('Providers'!$O$4:$O$503,360)))=0,"","Policy no.: "&amp;IF(LEN(INDEX('Providers'!$O$4:$O$503,360))=0,"",INDEX('Providers'!$O$4:$O$503,360))&amp;". ")&amp;IF(LEN(IF(LEN(INDEX('Providers'!$P$4:$P$503,360))=0,"",INDEX('Providers'!$P$4:$P$503,360)))=0,"","Coverage form: "&amp;IF(LEN(INDEX('Providers'!$P$4:$P$503,360))=0,"",INDEX('Providers'!$P$4:$P$503,360))&amp;". "))</f>
        <v/>
      </c>
      <c r="J2363">
        <f>IF(LEN(INDEX('Providers'!$AJ$4:$AJ$503,360))=0,"",INDEX('Providers'!$AJ$4:$AJ$503,360))</f>
        <v/>
      </c>
      <c r="K2363">
        <f>IF(LEN(INDEX('Providers'!$AI$4:$AI$503,360))=0,"",INDEX('Providers'!$AI$4:$AI$503,360))</f>
        <v/>
      </c>
    </row>
    <row r="2364">
      <c r="A2364">
        <f>IF(AND(LEN('Providers'!A364)&gt;0,ISNUMBER('Providers'!Q364)),1,0)</f>
        <v/>
      </c>
      <c r="B2364">
        <f>B2363+A2364</f>
        <v/>
      </c>
      <c r="C2364">
        <f>IF(2361&gt;$B$4503,"",MATCH(2361-0.5,$B$3:$B$4503,1))</f>
        <v/>
      </c>
      <c r="D2364">
        <f>"Malpractice insurance – "&amp;IF(LEN(INDEX('Providers'!$A$4:$A$503,361))=0,"",INDEX('Providers'!$A$4:$A$503,361))</f>
        <v/>
      </c>
      <c r="E2364">
        <f>IF(ISNUMBER(INDEX('Providers'!$Q$4:$Q$503,361)),TEXT(INDEX('Providers'!$Q$4:$Q$503,361),"yyyy-mm-dd"),"")</f>
        <v/>
      </c>
      <c r="F2364">
        <f>"Insurance"</f>
        <v/>
      </c>
      <c r="G2364">
        <f>""</f>
        <v/>
      </c>
      <c r="H2364">
        <f>"High"</f>
        <v/>
      </c>
      <c r="I2364">
        <f>TRIM(IF(LEN(IF(LEN(INDEX('Providers'!$N$4:$N$503,361))=0,"",INDEX('Providers'!$N$4:$N$503,361)))=0,"","Carrier: "&amp;IF(LEN(INDEX('Providers'!$N$4:$N$503,361))=0,"",INDEX('Providers'!$N$4:$N$503,361))&amp;". ")&amp;IF(LEN(IF(LEN(INDEX('Providers'!$O$4:$O$503,361))=0,"",INDEX('Providers'!$O$4:$O$503,361)))=0,"","Policy no.: "&amp;IF(LEN(INDEX('Providers'!$O$4:$O$503,361))=0,"",INDEX('Providers'!$O$4:$O$503,361))&amp;". ")&amp;IF(LEN(IF(LEN(INDEX('Providers'!$P$4:$P$503,361))=0,"",INDEX('Providers'!$P$4:$P$503,361)))=0,"","Coverage form: "&amp;IF(LEN(INDEX('Providers'!$P$4:$P$503,361))=0,"",INDEX('Providers'!$P$4:$P$503,361))&amp;". "))</f>
        <v/>
      </c>
      <c r="J2364">
        <f>IF(LEN(INDEX('Providers'!$AJ$4:$AJ$503,361))=0,"",INDEX('Providers'!$AJ$4:$AJ$503,361))</f>
        <v/>
      </c>
      <c r="K2364">
        <f>IF(LEN(INDEX('Providers'!$AI$4:$AI$503,361))=0,"",INDEX('Providers'!$AI$4:$AI$503,361))</f>
        <v/>
      </c>
    </row>
    <row r="2365">
      <c r="A2365">
        <f>IF(AND(LEN('Providers'!A365)&gt;0,ISNUMBER('Providers'!Q365)),1,0)</f>
        <v/>
      </c>
      <c r="B2365">
        <f>B2364+A2365</f>
        <v/>
      </c>
      <c r="C2365">
        <f>IF(2362&gt;$B$4503,"",MATCH(2362-0.5,$B$3:$B$4503,1))</f>
        <v/>
      </c>
      <c r="D2365">
        <f>"Malpractice insurance – "&amp;IF(LEN(INDEX('Providers'!$A$4:$A$503,362))=0,"",INDEX('Providers'!$A$4:$A$503,362))</f>
        <v/>
      </c>
      <c r="E2365">
        <f>IF(ISNUMBER(INDEX('Providers'!$Q$4:$Q$503,362)),TEXT(INDEX('Providers'!$Q$4:$Q$503,362),"yyyy-mm-dd"),"")</f>
        <v/>
      </c>
      <c r="F2365">
        <f>"Insurance"</f>
        <v/>
      </c>
      <c r="G2365">
        <f>""</f>
        <v/>
      </c>
      <c r="H2365">
        <f>"High"</f>
        <v/>
      </c>
      <c r="I2365">
        <f>TRIM(IF(LEN(IF(LEN(INDEX('Providers'!$N$4:$N$503,362))=0,"",INDEX('Providers'!$N$4:$N$503,362)))=0,"","Carrier: "&amp;IF(LEN(INDEX('Providers'!$N$4:$N$503,362))=0,"",INDEX('Providers'!$N$4:$N$503,362))&amp;". ")&amp;IF(LEN(IF(LEN(INDEX('Providers'!$O$4:$O$503,362))=0,"",INDEX('Providers'!$O$4:$O$503,362)))=0,"","Policy no.: "&amp;IF(LEN(INDEX('Providers'!$O$4:$O$503,362))=0,"",INDEX('Providers'!$O$4:$O$503,362))&amp;". ")&amp;IF(LEN(IF(LEN(INDEX('Providers'!$P$4:$P$503,362))=0,"",INDEX('Providers'!$P$4:$P$503,362)))=0,"","Coverage form: "&amp;IF(LEN(INDEX('Providers'!$P$4:$P$503,362))=0,"",INDEX('Providers'!$P$4:$P$503,362))&amp;". "))</f>
        <v/>
      </c>
      <c r="J2365">
        <f>IF(LEN(INDEX('Providers'!$AJ$4:$AJ$503,362))=0,"",INDEX('Providers'!$AJ$4:$AJ$503,362))</f>
        <v/>
      </c>
      <c r="K2365">
        <f>IF(LEN(INDEX('Providers'!$AI$4:$AI$503,362))=0,"",INDEX('Providers'!$AI$4:$AI$503,362))</f>
        <v/>
      </c>
    </row>
    <row r="2366">
      <c r="A2366">
        <f>IF(AND(LEN('Providers'!A366)&gt;0,ISNUMBER('Providers'!Q366)),1,0)</f>
        <v/>
      </c>
      <c r="B2366">
        <f>B2365+A2366</f>
        <v/>
      </c>
      <c r="C2366">
        <f>IF(2363&gt;$B$4503,"",MATCH(2363-0.5,$B$3:$B$4503,1))</f>
        <v/>
      </c>
      <c r="D2366">
        <f>"Malpractice insurance – "&amp;IF(LEN(INDEX('Providers'!$A$4:$A$503,363))=0,"",INDEX('Providers'!$A$4:$A$503,363))</f>
        <v/>
      </c>
      <c r="E2366">
        <f>IF(ISNUMBER(INDEX('Providers'!$Q$4:$Q$503,363)),TEXT(INDEX('Providers'!$Q$4:$Q$503,363),"yyyy-mm-dd"),"")</f>
        <v/>
      </c>
      <c r="F2366">
        <f>"Insurance"</f>
        <v/>
      </c>
      <c r="G2366">
        <f>""</f>
        <v/>
      </c>
      <c r="H2366">
        <f>"High"</f>
        <v/>
      </c>
      <c r="I2366">
        <f>TRIM(IF(LEN(IF(LEN(INDEX('Providers'!$N$4:$N$503,363))=0,"",INDEX('Providers'!$N$4:$N$503,363)))=0,"","Carrier: "&amp;IF(LEN(INDEX('Providers'!$N$4:$N$503,363))=0,"",INDEX('Providers'!$N$4:$N$503,363))&amp;". ")&amp;IF(LEN(IF(LEN(INDEX('Providers'!$O$4:$O$503,363))=0,"",INDEX('Providers'!$O$4:$O$503,363)))=0,"","Policy no.: "&amp;IF(LEN(INDEX('Providers'!$O$4:$O$503,363))=0,"",INDEX('Providers'!$O$4:$O$503,363))&amp;". ")&amp;IF(LEN(IF(LEN(INDEX('Providers'!$P$4:$P$503,363))=0,"",INDEX('Providers'!$P$4:$P$503,363)))=0,"","Coverage form: "&amp;IF(LEN(INDEX('Providers'!$P$4:$P$503,363))=0,"",INDEX('Providers'!$P$4:$P$503,363))&amp;". "))</f>
        <v/>
      </c>
      <c r="J2366">
        <f>IF(LEN(INDEX('Providers'!$AJ$4:$AJ$503,363))=0,"",INDEX('Providers'!$AJ$4:$AJ$503,363))</f>
        <v/>
      </c>
      <c r="K2366">
        <f>IF(LEN(INDEX('Providers'!$AI$4:$AI$503,363))=0,"",INDEX('Providers'!$AI$4:$AI$503,363))</f>
        <v/>
      </c>
    </row>
    <row r="2367">
      <c r="A2367">
        <f>IF(AND(LEN('Providers'!A367)&gt;0,ISNUMBER('Providers'!Q367)),1,0)</f>
        <v/>
      </c>
      <c r="B2367">
        <f>B2366+A2367</f>
        <v/>
      </c>
      <c r="C2367">
        <f>IF(2364&gt;$B$4503,"",MATCH(2364-0.5,$B$3:$B$4503,1))</f>
        <v/>
      </c>
      <c r="D2367">
        <f>"Malpractice insurance – "&amp;IF(LEN(INDEX('Providers'!$A$4:$A$503,364))=0,"",INDEX('Providers'!$A$4:$A$503,364))</f>
        <v/>
      </c>
      <c r="E2367">
        <f>IF(ISNUMBER(INDEX('Providers'!$Q$4:$Q$503,364)),TEXT(INDEX('Providers'!$Q$4:$Q$503,364),"yyyy-mm-dd"),"")</f>
        <v/>
      </c>
      <c r="F2367">
        <f>"Insurance"</f>
        <v/>
      </c>
      <c r="G2367">
        <f>""</f>
        <v/>
      </c>
      <c r="H2367">
        <f>"High"</f>
        <v/>
      </c>
      <c r="I2367">
        <f>TRIM(IF(LEN(IF(LEN(INDEX('Providers'!$N$4:$N$503,364))=0,"",INDEX('Providers'!$N$4:$N$503,364)))=0,"","Carrier: "&amp;IF(LEN(INDEX('Providers'!$N$4:$N$503,364))=0,"",INDEX('Providers'!$N$4:$N$503,364))&amp;". ")&amp;IF(LEN(IF(LEN(INDEX('Providers'!$O$4:$O$503,364))=0,"",INDEX('Providers'!$O$4:$O$503,364)))=0,"","Policy no.: "&amp;IF(LEN(INDEX('Providers'!$O$4:$O$503,364))=0,"",INDEX('Providers'!$O$4:$O$503,364))&amp;". ")&amp;IF(LEN(IF(LEN(INDEX('Providers'!$P$4:$P$503,364))=0,"",INDEX('Providers'!$P$4:$P$503,364)))=0,"","Coverage form: "&amp;IF(LEN(INDEX('Providers'!$P$4:$P$503,364))=0,"",INDEX('Providers'!$P$4:$P$503,364))&amp;". "))</f>
        <v/>
      </c>
      <c r="J2367">
        <f>IF(LEN(INDEX('Providers'!$AJ$4:$AJ$503,364))=0,"",INDEX('Providers'!$AJ$4:$AJ$503,364))</f>
        <v/>
      </c>
      <c r="K2367">
        <f>IF(LEN(INDEX('Providers'!$AI$4:$AI$503,364))=0,"",INDEX('Providers'!$AI$4:$AI$503,364))</f>
        <v/>
      </c>
    </row>
    <row r="2368">
      <c r="A2368">
        <f>IF(AND(LEN('Providers'!A368)&gt;0,ISNUMBER('Providers'!Q368)),1,0)</f>
        <v/>
      </c>
      <c r="B2368">
        <f>B2367+A2368</f>
        <v/>
      </c>
      <c r="C2368">
        <f>IF(2365&gt;$B$4503,"",MATCH(2365-0.5,$B$3:$B$4503,1))</f>
        <v/>
      </c>
      <c r="D2368">
        <f>"Malpractice insurance – "&amp;IF(LEN(INDEX('Providers'!$A$4:$A$503,365))=0,"",INDEX('Providers'!$A$4:$A$503,365))</f>
        <v/>
      </c>
      <c r="E2368">
        <f>IF(ISNUMBER(INDEX('Providers'!$Q$4:$Q$503,365)),TEXT(INDEX('Providers'!$Q$4:$Q$503,365),"yyyy-mm-dd"),"")</f>
        <v/>
      </c>
      <c r="F2368">
        <f>"Insurance"</f>
        <v/>
      </c>
      <c r="G2368">
        <f>""</f>
        <v/>
      </c>
      <c r="H2368">
        <f>"High"</f>
        <v/>
      </c>
      <c r="I2368">
        <f>TRIM(IF(LEN(IF(LEN(INDEX('Providers'!$N$4:$N$503,365))=0,"",INDEX('Providers'!$N$4:$N$503,365)))=0,"","Carrier: "&amp;IF(LEN(INDEX('Providers'!$N$4:$N$503,365))=0,"",INDEX('Providers'!$N$4:$N$503,365))&amp;". ")&amp;IF(LEN(IF(LEN(INDEX('Providers'!$O$4:$O$503,365))=0,"",INDEX('Providers'!$O$4:$O$503,365)))=0,"","Policy no.: "&amp;IF(LEN(INDEX('Providers'!$O$4:$O$503,365))=0,"",INDEX('Providers'!$O$4:$O$503,365))&amp;". ")&amp;IF(LEN(IF(LEN(INDEX('Providers'!$P$4:$P$503,365))=0,"",INDEX('Providers'!$P$4:$P$503,365)))=0,"","Coverage form: "&amp;IF(LEN(INDEX('Providers'!$P$4:$P$503,365))=0,"",INDEX('Providers'!$P$4:$P$503,365))&amp;". "))</f>
        <v/>
      </c>
      <c r="J2368">
        <f>IF(LEN(INDEX('Providers'!$AJ$4:$AJ$503,365))=0,"",INDEX('Providers'!$AJ$4:$AJ$503,365))</f>
        <v/>
      </c>
      <c r="K2368">
        <f>IF(LEN(INDEX('Providers'!$AI$4:$AI$503,365))=0,"",INDEX('Providers'!$AI$4:$AI$503,365))</f>
        <v/>
      </c>
    </row>
    <row r="2369">
      <c r="A2369">
        <f>IF(AND(LEN('Providers'!A369)&gt;0,ISNUMBER('Providers'!Q369)),1,0)</f>
        <v/>
      </c>
      <c r="B2369">
        <f>B2368+A2369</f>
        <v/>
      </c>
      <c r="C2369">
        <f>IF(2366&gt;$B$4503,"",MATCH(2366-0.5,$B$3:$B$4503,1))</f>
        <v/>
      </c>
      <c r="D2369">
        <f>"Malpractice insurance – "&amp;IF(LEN(INDEX('Providers'!$A$4:$A$503,366))=0,"",INDEX('Providers'!$A$4:$A$503,366))</f>
        <v/>
      </c>
      <c r="E2369">
        <f>IF(ISNUMBER(INDEX('Providers'!$Q$4:$Q$503,366)),TEXT(INDEX('Providers'!$Q$4:$Q$503,366),"yyyy-mm-dd"),"")</f>
        <v/>
      </c>
      <c r="F2369">
        <f>"Insurance"</f>
        <v/>
      </c>
      <c r="G2369">
        <f>""</f>
        <v/>
      </c>
      <c r="H2369">
        <f>"High"</f>
        <v/>
      </c>
      <c r="I2369">
        <f>TRIM(IF(LEN(IF(LEN(INDEX('Providers'!$N$4:$N$503,366))=0,"",INDEX('Providers'!$N$4:$N$503,366)))=0,"","Carrier: "&amp;IF(LEN(INDEX('Providers'!$N$4:$N$503,366))=0,"",INDEX('Providers'!$N$4:$N$503,366))&amp;". ")&amp;IF(LEN(IF(LEN(INDEX('Providers'!$O$4:$O$503,366))=0,"",INDEX('Providers'!$O$4:$O$503,366)))=0,"","Policy no.: "&amp;IF(LEN(INDEX('Providers'!$O$4:$O$503,366))=0,"",INDEX('Providers'!$O$4:$O$503,366))&amp;". ")&amp;IF(LEN(IF(LEN(INDEX('Providers'!$P$4:$P$503,366))=0,"",INDEX('Providers'!$P$4:$P$503,366)))=0,"","Coverage form: "&amp;IF(LEN(INDEX('Providers'!$P$4:$P$503,366))=0,"",INDEX('Providers'!$P$4:$P$503,366))&amp;". "))</f>
        <v/>
      </c>
      <c r="J2369">
        <f>IF(LEN(INDEX('Providers'!$AJ$4:$AJ$503,366))=0,"",INDEX('Providers'!$AJ$4:$AJ$503,366))</f>
        <v/>
      </c>
      <c r="K2369">
        <f>IF(LEN(INDEX('Providers'!$AI$4:$AI$503,366))=0,"",INDEX('Providers'!$AI$4:$AI$503,366))</f>
        <v/>
      </c>
    </row>
    <row r="2370">
      <c r="A2370">
        <f>IF(AND(LEN('Providers'!A370)&gt;0,ISNUMBER('Providers'!Q370)),1,0)</f>
        <v/>
      </c>
      <c r="B2370">
        <f>B2369+A2370</f>
        <v/>
      </c>
      <c r="C2370">
        <f>IF(2367&gt;$B$4503,"",MATCH(2367-0.5,$B$3:$B$4503,1))</f>
        <v/>
      </c>
      <c r="D2370">
        <f>"Malpractice insurance – "&amp;IF(LEN(INDEX('Providers'!$A$4:$A$503,367))=0,"",INDEX('Providers'!$A$4:$A$503,367))</f>
        <v/>
      </c>
      <c r="E2370">
        <f>IF(ISNUMBER(INDEX('Providers'!$Q$4:$Q$503,367)),TEXT(INDEX('Providers'!$Q$4:$Q$503,367),"yyyy-mm-dd"),"")</f>
        <v/>
      </c>
      <c r="F2370">
        <f>"Insurance"</f>
        <v/>
      </c>
      <c r="G2370">
        <f>""</f>
        <v/>
      </c>
      <c r="H2370">
        <f>"High"</f>
        <v/>
      </c>
      <c r="I2370">
        <f>TRIM(IF(LEN(IF(LEN(INDEX('Providers'!$N$4:$N$503,367))=0,"",INDEX('Providers'!$N$4:$N$503,367)))=0,"","Carrier: "&amp;IF(LEN(INDEX('Providers'!$N$4:$N$503,367))=0,"",INDEX('Providers'!$N$4:$N$503,367))&amp;". ")&amp;IF(LEN(IF(LEN(INDEX('Providers'!$O$4:$O$503,367))=0,"",INDEX('Providers'!$O$4:$O$503,367)))=0,"","Policy no.: "&amp;IF(LEN(INDEX('Providers'!$O$4:$O$503,367))=0,"",INDEX('Providers'!$O$4:$O$503,367))&amp;". ")&amp;IF(LEN(IF(LEN(INDEX('Providers'!$P$4:$P$503,367))=0,"",INDEX('Providers'!$P$4:$P$503,367)))=0,"","Coverage form: "&amp;IF(LEN(INDEX('Providers'!$P$4:$P$503,367))=0,"",INDEX('Providers'!$P$4:$P$503,367))&amp;". "))</f>
        <v/>
      </c>
      <c r="J2370">
        <f>IF(LEN(INDEX('Providers'!$AJ$4:$AJ$503,367))=0,"",INDEX('Providers'!$AJ$4:$AJ$503,367))</f>
        <v/>
      </c>
      <c r="K2370">
        <f>IF(LEN(INDEX('Providers'!$AI$4:$AI$503,367))=0,"",INDEX('Providers'!$AI$4:$AI$503,367))</f>
        <v/>
      </c>
    </row>
    <row r="2371">
      <c r="A2371">
        <f>IF(AND(LEN('Providers'!A371)&gt;0,ISNUMBER('Providers'!Q371)),1,0)</f>
        <v/>
      </c>
      <c r="B2371">
        <f>B2370+A2371</f>
        <v/>
      </c>
      <c r="C2371">
        <f>IF(2368&gt;$B$4503,"",MATCH(2368-0.5,$B$3:$B$4503,1))</f>
        <v/>
      </c>
      <c r="D2371">
        <f>"Malpractice insurance – "&amp;IF(LEN(INDEX('Providers'!$A$4:$A$503,368))=0,"",INDEX('Providers'!$A$4:$A$503,368))</f>
        <v/>
      </c>
      <c r="E2371">
        <f>IF(ISNUMBER(INDEX('Providers'!$Q$4:$Q$503,368)),TEXT(INDEX('Providers'!$Q$4:$Q$503,368),"yyyy-mm-dd"),"")</f>
        <v/>
      </c>
      <c r="F2371">
        <f>"Insurance"</f>
        <v/>
      </c>
      <c r="G2371">
        <f>""</f>
        <v/>
      </c>
      <c r="H2371">
        <f>"High"</f>
        <v/>
      </c>
      <c r="I2371">
        <f>TRIM(IF(LEN(IF(LEN(INDEX('Providers'!$N$4:$N$503,368))=0,"",INDEX('Providers'!$N$4:$N$503,368)))=0,"","Carrier: "&amp;IF(LEN(INDEX('Providers'!$N$4:$N$503,368))=0,"",INDEX('Providers'!$N$4:$N$503,368))&amp;". ")&amp;IF(LEN(IF(LEN(INDEX('Providers'!$O$4:$O$503,368))=0,"",INDEX('Providers'!$O$4:$O$503,368)))=0,"","Policy no.: "&amp;IF(LEN(INDEX('Providers'!$O$4:$O$503,368))=0,"",INDEX('Providers'!$O$4:$O$503,368))&amp;". ")&amp;IF(LEN(IF(LEN(INDEX('Providers'!$P$4:$P$503,368))=0,"",INDEX('Providers'!$P$4:$P$503,368)))=0,"","Coverage form: "&amp;IF(LEN(INDEX('Providers'!$P$4:$P$503,368))=0,"",INDEX('Providers'!$P$4:$P$503,368))&amp;". "))</f>
        <v/>
      </c>
      <c r="J2371">
        <f>IF(LEN(INDEX('Providers'!$AJ$4:$AJ$503,368))=0,"",INDEX('Providers'!$AJ$4:$AJ$503,368))</f>
        <v/>
      </c>
      <c r="K2371">
        <f>IF(LEN(INDEX('Providers'!$AI$4:$AI$503,368))=0,"",INDEX('Providers'!$AI$4:$AI$503,368))</f>
        <v/>
      </c>
    </row>
    <row r="2372">
      <c r="A2372">
        <f>IF(AND(LEN('Providers'!A372)&gt;0,ISNUMBER('Providers'!Q372)),1,0)</f>
        <v/>
      </c>
      <c r="B2372">
        <f>B2371+A2372</f>
        <v/>
      </c>
      <c r="C2372">
        <f>IF(2369&gt;$B$4503,"",MATCH(2369-0.5,$B$3:$B$4503,1))</f>
        <v/>
      </c>
      <c r="D2372">
        <f>"Malpractice insurance – "&amp;IF(LEN(INDEX('Providers'!$A$4:$A$503,369))=0,"",INDEX('Providers'!$A$4:$A$503,369))</f>
        <v/>
      </c>
      <c r="E2372">
        <f>IF(ISNUMBER(INDEX('Providers'!$Q$4:$Q$503,369)),TEXT(INDEX('Providers'!$Q$4:$Q$503,369),"yyyy-mm-dd"),"")</f>
        <v/>
      </c>
      <c r="F2372">
        <f>"Insurance"</f>
        <v/>
      </c>
      <c r="G2372">
        <f>""</f>
        <v/>
      </c>
      <c r="H2372">
        <f>"High"</f>
        <v/>
      </c>
      <c r="I2372">
        <f>TRIM(IF(LEN(IF(LEN(INDEX('Providers'!$N$4:$N$503,369))=0,"",INDEX('Providers'!$N$4:$N$503,369)))=0,"","Carrier: "&amp;IF(LEN(INDEX('Providers'!$N$4:$N$503,369))=0,"",INDEX('Providers'!$N$4:$N$503,369))&amp;". ")&amp;IF(LEN(IF(LEN(INDEX('Providers'!$O$4:$O$503,369))=0,"",INDEX('Providers'!$O$4:$O$503,369)))=0,"","Policy no.: "&amp;IF(LEN(INDEX('Providers'!$O$4:$O$503,369))=0,"",INDEX('Providers'!$O$4:$O$503,369))&amp;". ")&amp;IF(LEN(IF(LEN(INDEX('Providers'!$P$4:$P$503,369))=0,"",INDEX('Providers'!$P$4:$P$503,369)))=0,"","Coverage form: "&amp;IF(LEN(INDEX('Providers'!$P$4:$P$503,369))=0,"",INDEX('Providers'!$P$4:$P$503,369))&amp;". "))</f>
        <v/>
      </c>
      <c r="J2372">
        <f>IF(LEN(INDEX('Providers'!$AJ$4:$AJ$503,369))=0,"",INDEX('Providers'!$AJ$4:$AJ$503,369))</f>
        <v/>
      </c>
      <c r="K2372">
        <f>IF(LEN(INDEX('Providers'!$AI$4:$AI$503,369))=0,"",INDEX('Providers'!$AI$4:$AI$503,369))</f>
        <v/>
      </c>
    </row>
    <row r="2373">
      <c r="A2373">
        <f>IF(AND(LEN('Providers'!A373)&gt;0,ISNUMBER('Providers'!Q373)),1,0)</f>
        <v/>
      </c>
      <c r="B2373">
        <f>B2372+A2373</f>
        <v/>
      </c>
      <c r="C2373">
        <f>IF(2370&gt;$B$4503,"",MATCH(2370-0.5,$B$3:$B$4503,1))</f>
        <v/>
      </c>
      <c r="D2373">
        <f>"Malpractice insurance – "&amp;IF(LEN(INDEX('Providers'!$A$4:$A$503,370))=0,"",INDEX('Providers'!$A$4:$A$503,370))</f>
        <v/>
      </c>
      <c r="E2373">
        <f>IF(ISNUMBER(INDEX('Providers'!$Q$4:$Q$503,370)),TEXT(INDEX('Providers'!$Q$4:$Q$503,370),"yyyy-mm-dd"),"")</f>
        <v/>
      </c>
      <c r="F2373">
        <f>"Insurance"</f>
        <v/>
      </c>
      <c r="G2373">
        <f>""</f>
        <v/>
      </c>
      <c r="H2373">
        <f>"High"</f>
        <v/>
      </c>
      <c r="I2373">
        <f>TRIM(IF(LEN(IF(LEN(INDEX('Providers'!$N$4:$N$503,370))=0,"",INDEX('Providers'!$N$4:$N$503,370)))=0,"","Carrier: "&amp;IF(LEN(INDEX('Providers'!$N$4:$N$503,370))=0,"",INDEX('Providers'!$N$4:$N$503,370))&amp;". ")&amp;IF(LEN(IF(LEN(INDEX('Providers'!$O$4:$O$503,370))=0,"",INDEX('Providers'!$O$4:$O$503,370)))=0,"","Policy no.: "&amp;IF(LEN(INDEX('Providers'!$O$4:$O$503,370))=0,"",INDEX('Providers'!$O$4:$O$503,370))&amp;". ")&amp;IF(LEN(IF(LEN(INDEX('Providers'!$P$4:$P$503,370))=0,"",INDEX('Providers'!$P$4:$P$503,370)))=0,"","Coverage form: "&amp;IF(LEN(INDEX('Providers'!$P$4:$P$503,370))=0,"",INDEX('Providers'!$P$4:$P$503,370))&amp;". "))</f>
        <v/>
      </c>
      <c r="J2373">
        <f>IF(LEN(INDEX('Providers'!$AJ$4:$AJ$503,370))=0,"",INDEX('Providers'!$AJ$4:$AJ$503,370))</f>
        <v/>
      </c>
      <c r="K2373">
        <f>IF(LEN(INDEX('Providers'!$AI$4:$AI$503,370))=0,"",INDEX('Providers'!$AI$4:$AI$503,370))</f>
        <v/>
      </c>
    </row>
    <row r="2374">
      <c r="A2374">
        <f>IF(AND(LEN('Providers'!A374)&gt;0,ISNUMBER('Providers'!Q374)),1,0)</f>
        <v/>
      </c>
      <c r="B2374">
        <f>B2373+A2374</f>
        <v/>
      </c>
      <c r="C2374">
        <f>IF(2371&gt;$B$4503,"",MATCH(2371-0.5,$B$3:$B$4503,1))</f>
        <v/>
      </c>
      <c r="D2374">
        <f>"Malpractice insurance – "&amp;IF(LEN(INDEX('Providers'!$A$4:$A$503,371))=0,"",INDEX('Providers'!$A$4:$A$503,371))</f>
        <v/>
      </c>
      <c r="E2374">
        <f>IF(ISNUMBER(INDEX('Providers'!$Q$4:$Q$503,371)),TEXT(INDEX('Providers'!$Q$4:$Q$503,371),"yyyy-mm-dd"),"")</f>
        <v/>
      </c>
      <c r="F2374">
        <f>"Insurance"</f>
        <v/>
      </c>
      <c r="G2374">
        <f>""</f>
        <v/>
      </c>
      <c r="H2374">
        <f>"High"</f>
        <v/>
      </c>
      <c r="I2374">
        <f>TRIM(IF(LEN(IF(LEN(INDEX('Providers'!$N$4:$N$503,371))=0,"",INDEX('Providers'!$N$4:$N$503,371)))=0,"","Carrier: "&amp;IF(LEN(INDEX('Providers'!$N$4:$N$503,371))=0,"",INDEX('Providers'!$N$4:$N$503,371))&amp;". ")&amp;IF(LEN(IF(LEN(INDEX('Providers'!$O$4:$O$503,371))=0,"",INDEX('Providers'!$O$4:$O$503,371)))=0,"","Policy no.: "&amp;IF(LEN(INDEX('Providers'!$O$4:$O$503,371))=0,"",INDEX('Providers'!$O$4:$O$503,371))&amp;". ")&amp;IF(LEN(IF(LEN(INDEX('Providers'!$P$4:$P$503,371))=0,"",INDEX('Providers'!$P$4:$P$503,371)))=0,"","Coverage form: "&amp;IF(LEN(INDEX('Providers'!$P$4:$P$503,371))=0,"",INDEX('Providers'!$P$4:$P$503,371))&amp;". "))</f>
        <v/>
      </c>
      <c r="J2374">
        <f>IF(LEN(INDEX('Providers'!$AJ$4:$AJ$503,371))=0,"",INDEX('Providers'!$AJ$4:$AJ$503,371))</f>
        <v/>
      </c>
      <c r="K2374">
        <f>IF(LEN(INDEX('Providers'!$AI$4:$AI$503,371))=0,"",INDEX('Providers'!$AI$4:$AI$503,371))</f>
        <v/>
      </c>
    </row>
    <row r="2375">
      <c r="A2375">
        <f>IF(AND(LEN('Providers'!A375)&gt;0,ISNUMBER('Providers'!Q375)),1,0)</f>
        <v/>
      </c>
      <c r="B2375">
        <f>B2374+A2375</f>
        <v/>
      </c>
      <c r="C2375">
        <f>IF(2372&gt;$B$4503,"",MATCH(2372-0.5,$B$3:$B$4503,1))</f>
        <v/>
      </c>
      <c r="D2375">
        <f>"Malpractice insurance – "&amp;IF(LEN(INDEX('Providers'!$A$4:$A$503,372))=0,"",INDEX('Providers'!$A$4:$A$503,372))</f>
        <v/>
      </c>
      <c r="E2375">
        <f>IF(ISNUMBER(INDEX('Providers'!$Q$4:$Q$503,372)),TEXT(INDEX('Providers'!$Q$4:$Q$503,372),"yyyy-mm-dd"),"")</f>
        <v/>
      </c>
      <c r="F2375">
        <f>"Insurance"</f>
        <v/>
      </c>
      <c r="G2375">
        <f>""</f>
        <v/>
      </c>
      <c r="H2375">
        <f>"High"</f>
        <v/>
      </c>
      <c r="I2375">
        <f>TRIM(IF(LEN(IF(LEN(INDEX('Providers'!$N$4:$N$503,372))=0,"",INDEX('Providers'!$N$4:$N$503,372)))=0,"","Carrier: "&amp;IF(LEN(INDEX('Providers'!$N$4:$N$503,372))=0,"",INDEX('Providers'!$N$4:$N$503,372))&amp;". ")&amp;IF(LEN(IF(LEN(INDEX('Providers'!$O$4:$O$503,372))=0,"",INDEX('Providers'!$O$4:$O$503,372)))=0,"","Policy no.: "&amp;IF(LEN(INDEX('Providers'!$O$4:$O$503,372))=0,"",INDEX('Providers'!$O$4:$O$503,372))&amp;". ")&amp;IF(LEN(IF(LEN(INDEX('Providers'!$P$4:$P$503,372))=0,"",INDEX('Providers'!$P$4:$P$503,372)))=0,"","Coverage form: "&amp;IF(LEN(INDEX('Providers'!$P$4:$P$503,372))=0,"",INDEX('Providers'!$P$4:$P$503,372))&amp;". "))</f>
        <v/>
      </c>
      <c r="J2375">
        <f>IF(LEN(INDEX('Providers'!$AJ$4:$AJ$503,372))=0,"",INDEX('Providers'!$AJ$4:$AJ$503,372))</f>
        <v/>
      </c>
      <c r="K2375">
        <f>IF(LEN(INDEX('Providers'!$AI$4:$AI$503,372))=0,"",INDEX('Providers'!$AI$4:$AI$503,372))</f>
        <v/>
      </c>
    </row>
    <row r="2376">
      <c r="A2376">
        <f>IF(AND(LEN('Providers'!A376)&gt;0,ISNUMBER('Providers'!Q376)),1,0)</f>
        <v/>
      </c>
      <c r="B2376">
        <f>B2375+A2376</f>
        <v/>
      </c>
      <c r="C2376">
        <f>IF(2373&gt;$B$4503,"",MATCH(2373-0.5,$B$3:$B$4503,1))</f>
        <v/>
      </c>
      <c r="D2376">
        <f>"Malpractice insurance – "&amp;IF(LEN(INDEX('Providers'!$A$4:$A$503,373))=0,"",INDEX('Providers'!$A$4:$A$503,373))</f>
        <v/>
      </c>
      <c r="E2376">
        <f>IF(ISNUMBER(INDEX('Providers'!$Q$4:$Q$503,373)),TEXT(INDEX('Providers'!$Q$4:$Q$503,373),"yyyy-mm-dd"),"")</f>
        <v/>
      </c>
      <c r="F2376">
        <f>"Insurance"</f>
        <v/>
      </c>
      <c r="G2376">
        <f>""</f>
        <v/>
      </c>
      <c r="H2376">
        <f>"High"</f>
        <v/>
      </c>
      <c r="I2376">
        <f>TRIM(IF(LEN(IF(LEN(INDEX('Providers'!$N$4:$N$503,373))=0,"",INDEX('Providers'!$N$4:$N$503,373)))=0,"","Carrier: "&amp;IF(LEN(INDEX('Providers'!$N$4:$N$503,373))=0,"",INDEX('Providers'!$N$4:$N$503,373))&amp;". ")&amp;IF(LEN(IF(LEN(INDEX('Providers'!$O$4:$O$503,373))=0,"",INDEX('Providers'!$O$4:$O$503,373)))=0,"","Policy no.: "&amp;IF(LEN(INDEX('Providers'!$O$4:$O$503,373))=0,"",INDEX('Providers'!$O$4:$O$503,373))&amp;". ")&amp;IF(LEN(IF(LEN(INDEX('Providers'!$P$4:$P$503,373))=0,"",INDEX('Providers'!$P$4:$P$503,373)))=0,"","Coverage form: "&amp;IF(LEN(INDEX('Providers'!$P$4:$P$503,373))=0,"",INDEX('Providers'!$P$4:$P$503,373))&amp;". "))</f>
        <v/>
      </c>
      <c r="J2376">
        <f>IF(LEN(INDEX('Providers'!$AJ$4:$AJ$503,373))=0,"",INDEX('Providers'!$AJ$4:$AJ$503,373))</f>
        <v/>
      </c>
      <c r="K2376">
        <f>IF(LEN(INDEX('Providers'!$AI$4:$AI$503,373))=0,"",INDEX('Providers'!$AI$4:$AI$503,373))</f>
        <v/>
      </c>
    </row>
    <row r="2377">
      <c r="A2377">
        <f>IF(AND(LEN('Providers'!A377)&gt;0,ISNUMBER('Providers'!Q377)),1,0)</f>
        <v/>
      </c>
      <c r="B2377">
        <f>B2376+A2377</f>
        <v/>
      </c>
      <c r="C2377">
        <f>IF(2374&gt;$B$4503,"",MATCH(2374-0.5,$B$3:$B$4503,1))</f>
        <v/>
      </c>
      <c r="D2377">
        <f>"Malpractice insurance – "&amp;IF(LEN(INDEX('Providers'!$A$4:$A$503,374))=0,"",INDEX('Providers'!$A$4:$A$503,374))</f>
        <v/>
      </c>
      <c r="E2377">
        <f>IF(ISNUMBER(INDEX('Providers'!$Q$4:$Q$503,374)),TEXT(INDEX('Providers'!$Q$4:$Q$503,374),"yyyy-mm-dd"),"")</f>
        <v/>
      </c>
      <c r="F2377">
        <f>"Insurance"</f>
        <v/>
      </c>
      <c r="G2377">
        <f>""</f>
        <v/>
      </c>
      <c r="H2377">
        <f>"High"</f>
        <v/>
      </c>
      <c r="I2377">
        <f>TRIM(IF(LEN(IF(LEN(INDEX('Providers'!$N$4:$N$503,374))=0,"",INDEX('Providers'!$N$4:$N$503,374)))=0,"","Carrier: "&amp;IF(LEN(INDEX('Providers'!$N$4:$N$503,374))=0,"",INDEX('Providers'!$N$4:$N$503,374))&amp;". ")&amp;IF(LEN(IF(LEN(INDEX('Providers'!$O$4:$O$503,374))=0,"",INDEX('Providers'!$O$4:$O$503,374)))=0,"","Policy no.: "&amp;IF(LEN(INDEX('Providers'!$O$4:$O$503,374))=0,"",INDEX('Providers'!$O$4:$O$503,374))&amp;". ")&amp;IF(LEN(IF(LEN(INDEX('Providers'!$P$4:$P$503,374))=0,"",INDEX('Providers'!$P$4:$P$503,374)))=0,"","Coverage form: "&amp;IF(LEN(INDEX('Providers'!$P$4:$P$503,374))=0,"",INDEX('Providers'!$P$4:$P$503,374))&amp;". "))</f>
        <v/>
      </c>
      <c r="J2377">
        <f>IF(LEN(INDEX('Providers'!$AJ$4:$AJ$503,374))=0,"",INDEX('Providers'!$AJ$4:$AJ$503,374))</f>
        <v/>
      </c>
      <c r="K2377">
        <f>IF(LEN(INDEX('Providers'!$AI$4:$AI$503,374))=0,"",INDEX('Providers'!$AI$4:$AI$503,374))</f>
        <v/>
      </c>
    </row>
    <row r="2378">
      <c r="A2378">
        <f>IF(AND(LEN('Providers'!A378)&gt;0,ISNUMBER('Providers'!Q378)),1,0)</f>
        <v/>
      </c>
      <c r="B2378">
        <f>B2377+A2378</f>
        <v/>
      </c>
      <c r="C2378">
        <f>IF(2375&gt;$B$4503,"",MATCH(2375-0.5,$B$3:$B$4503,1))</f>
        <v/>
      </c>
      <c r="D2378">
        <f>"Malpractice insurance – "&amp;IF(LEN(INDEX('Providers'!$A$4:$A$503,375))=0,"",INDEX('Providers'!$A$4:$A$503,375))</f>
        <v/>
      </c>
      <c r="E2378">
        <f>IF(ISNUMBER(INDEX('Providers'!$Q$4:$Q$503,375)),TEXT(INDEX('Providers'!$Q$4:$Q$503,375),"yyyy-mm-dd"),"")</f>
        <v/>
      </c>
      <c r="F2378">
        <f>"Insurance"</f>
        <v/>
      </c>
      <c r="G2378">
        <f>""</f>
        <v/>
      </c>
      <c r="H2378">
        <f>"High"</f>
        <v/>
      </c>
      <c r="I2378">
        <f>TRIM(IF(LEN(IF(LEN(INDEX('Providers'!$N$4:$N$503,375))=0,"",INDEX('Providers'!$N$4:$N$503,375)))=0,"","Carrier: "&amp;IF(LEN(INDEX('Providers'!$N$4:$N$503,375))=0,"",INDEX('Providers'!$N$4:$N$503,375))&amp;". ")&amp;IF(LEN(IF(LEN(INDEX('Providers'!$O$4:$O$503,375))=0,"",INDEX('Providers'!$O$4:$O$503,375)))=0,"","Policy no.: "&amp;IF(LEN(INDEX('Providers'!$O$4:$O$503,375))=0,"",INDEX('Providers'!$O$4:$O$503,375))&amp;". ")&amp;IF(LEN(IF(LEN(INDEX('Providers'!$P$4:$P$503,375))=0,"",INDEX('Providers'!$P$4:$P$503,375)))=0,"","Coverage form: "&amp;IF(LEN(INDEX('Providers'!$P$4:$P$503,375))=0,"",INDEX('Providers'!$P$4:$P$503,375))&amp;". "))</f>
        <v/>
      </c>
      <c r="J2378">
        <f>IF(LEN(INDEX('Providers'!$AJ$4:$AJ$503,375))=0,"",INDEX('Providers'!$AJ$4:$AJ$503,375))</f>
        <v/>
      </c>
      <c r="K2378">
        <f>IF(LEN(INDEX('Providers'!$AI$4:$AI$503,375))=0,"",INDEX('Providers'!$AI$4:$AI$503,375))</f>
        <v/>
      </c>
    </row>
    <row r="2379">
      <c r="A2379">
        <f>IF(AND(LEN('Providers'!A379)&gt;0,ISNUMBER('Providers'!Q379)),1,0)</f>
        <v/>
      </c>
      <c r="B2379">
        <f>B2378+A2379</f>
        <v/>
      </c>
      <c r="C2379">
        <f>IF(2376&gt;$B$4503,"",MATCH(2376-0.5,$B$3:$B$4503,1))</f>
        <v/>
      </c>
      <c r="D2379">
        <f>"Malpractice insurance – "&amp;IF(LEN(INDEX('Providers'!$A$4:$A$503,376))=0,"",INDEX('Providers'!$A$4:$A$503,376))</f>
        <v/>
      </c>
      <c r="E2379">
        <f>IF(ISNUMBER(INDEX('Providers'!$Q$4:$Q$503,376)),TEXT(INDEX('Providers'!$Q$4:$Q$503,376),"yyyy-mm-dd"),"")</f>
        <v/>
      </c>
      <c r="F2379">
        <f>"Insurance"</f>
        <v/>
      </c>
      <c r="G2379">
        <f>""</f>
        <v/>
      </c>
      <c r="H2379">
        <f>"High"</f>
        <v/>
      </c>
      <c r="I2379">
        <f>TRIM(IF(LEN(IF(LEN(INDEX('Providers'!$N$4:$N$503,376))=0,"",INDEX('Providers'!$N$4:$N$503,376)))=0,"","Carrier: "&amp;IF(LEN(INDEX('Providers'!$N$4:$N$503,376))=0,"",INDEX('Providers'!$N$4:$N$503,376))&amp;". ")&amp;IF(LEN(IF(LEN(INDEX('Providers'!$O$4:$O$503,376))=0,"",INDEX('Providers'!$O$4:$O$503,376)))=0,"","Policy no.: "&amp;IF(LEN(INDEX('Providers'!$O$4:$O$503,376))=0,"",INDEX('Providers'!$O$4:$O$503,376))&amp;". ")&amp;IF(LEN(IF(LEN(INDEX('Providers'!$P$4:$P$503,376))=0,"",INDEX('Providers'!$P$4:$P$503,376)))=0,"","Coverage form: "&amp;IF(LEN(INDEX('Providers'!$P$4:$P$503,376))=0,"",INDEX('Providers'!$P$4:$P$503,376))&amp;". "))</f>
        <v/>
      </c>
      <c r="J2379">
        <f>IF(LEN(INDEX('Providers'!$AJ$4:$AJ$503,376))=0,"",INDEX('Providers'!$AJ$4:$AJ$503,376))</f>
        <v/>
      </c>
      <c r="K2379">
        <f>IF(LEN(INDEX('Providers'!$AI$4:$AI$503,376))=0,"",INDEX('Providers'!$AI$4:$AI$503,376))</f>
        <v/>
      </c>
    </row>
    <row r="2380">
      <c r="A2380">
        <f>IF(AND(LEN('Providers'!A380)&gt;0,ISNUMBER('Providers'!Q380)),1,0)</f>
        <v/>
      </c>
      <c r="B2380">
        <f>B2379+A2380</f>
        <v/>
      </c>
      <c r="C2380">
        <f>IF(2377&gt;$B$4503,"",MATCH(2377-0.5,$B$3:$B$4503,1))</f>
        <v/>
      </c>
      <c r="D2380">
        <f>"Malpractice insurance – "&amp;IF(LEN(INDEX('Providers'!$A$4:$A$503,377))=0,"",INDEX('Providers'!$A$4:$A$503,377))</f>
        <v/>
      </c>
      <c r="E2380">
        <f>IF(ISNUMBER(INDEX('Providers'!$Q$4:$Q$503,377)),TEXT(INDEX('Providers'!$Q$4:$Q$503,377),"yyyy-mm-dd"),"")</f>
        <v/>
      </c>
      <c r="F2380">
        <f>"Insurance"</f>
        <v/>
      </c>
      <c r="G2380">
        <f>""</f>
        <v/>
      </c>
      <c r="H2380">
        <f>"High"</f>
        <v/>
      </c>
      <c r="I2380">
        <f>TRIM(IF(LEN(IF(LEN(INDEX('Providers'!$N$4:$N$503,377))=0,"",INDEX('Providers'!$N$4:$N$503,377)))=0,"","Carrier: "&amp;IF(LEN(INDEX('Providers'!$N$4:$N$503,377))=0,"",INDEX('Providers'!$N$4:$N$503,377))&amp;". ")&amp;IF(LEN(IF(LEN(INDEX('Providers'!$O$4:$O$503,377))=0,"",INDEX('Providers'!$O$4:$O$503,377)))=0,"","Policy no.: "&amp;IF(LEN(INDEX('Providers'!$O$4:$O$503,377))=0,"",INDEX('Providers'!$O$4:$O$503,377))&amp;". ")&amp;IF(LEN(IF(LEN(INDEX('Providers'!$P$4:$P$503,377))=0,"",INDEX('Providers'!$P$4:$P$503,377)))=0,"","Coverage form: "&amp;IF(LEN(INDEX('Providers'!$P$4:$P$503,377))=0,"",INDEX('Providers'!$P$4:$P$503,377))&amp;". "))</f>
        <v/>
      </c>
      <c r="J2380">
        <f>IF(LEN(INDEX('Providers'!$AJ$4:$AJ$503,377))=0,"",INDEX('Providers'!$AJ$4:$AJ$503,377))</f>
        <v/>
      </c>
      <c r="K2380">
        <f>IF(LEN(INDEX('Providers'!$AI$4:$AI$503,377))=0,"",INDEX('Providers'!$AI$4:$AI$503,377))</f>
        <v/>
      </c>
    </row>
    <row r="2381">
      <c r="A2381">
        <f>IF(AND(LEN('Providers'!A381)&gt;0,ISNUMBER('Providers'!Q381)),1,0)</f>
        <v/>
      </c>
      <c r="B2381">
        <f>B2380+A2381</f>
        <v/>
      </c>
      <c r="C2381">
        <f>IF(2378&gt;$B$4503,"",MATCH(2378-0.5,$B$3:$B$4503,1))</f>
        <v/>
      </c>
      <c r="D2381">
        <f>"Malpractice insurance – "&amp;IF(LEN(INDEX('Providers'!$A$4:$A$503,378))=0,"",INDEX('Providers'!$A$4:$A$503,378))</f>
        <v/>
      </c>
      <c r="E2381">
        <f>IF(ISNUMBER(INDEX('Providers'!$Q$4:$Q$503,378)),TEXT(INDEX('Providers'!$Q$4:$Q$503,378),"yyyy-mm-dd"),"")</f>
        <v/>
      </c>
      <c r="F2381">
        <f>"Insurance"</f>
        <v/>
      </c>
      <c r="G2381">
        <f>""</f>
        <v/>
      </c>
      <c r="H2381">
        <f>"High"</f>
        <v/>
      </c>
      <c r="I2381">
        <f>TRIM(IF(LEN(IF(LEN(INDEX('Providers'!$N$4:$N$503,378))=0,"",INDEX('Providers'!$N$4:$N$503,378)))=0,"","Carrier: "&amp;IF(LEN(INDEX('Providers'!$N$4:$N$503,378))=0,"",INDEX('Providers'!$N$4:$N$503,378))&amp;". ")&amp;IF(LEN(IF(LEN(INDEX('Providers'!$O$4:$O$503,378))=0,"",INDEX('Providers'!$O$4:$O$503,378)))=0,"","Policy no.: "&amp;IF(LEN(INDEX('Providers'!$O$4:$O$503,378))=0,"",INDEX('Providers'!$O$4:$O$503,378))&amp;". ")&amp;IF(LEN(IF(LEN(INDEX('Providers'!$P$4:$P$503,378))=0,"",INDEX('Providers'!$P$4:$P$503,378)))=0,"","Coverage form: "&amp;IF(LEN(INDEX('Providers'!$P$4:$P$503,378))=0,"",INDEX('Providers'!$P$4:$P$503,378))&amp;". "))</f>
        <v/>
      </c>
      <c r="J2381">
        <f>IF(LEN(INDEX('Providers'!$AJ$4:$AJ$503,378))=0,"",INDEX('Providers'!$AJ$4:$AJ$503,378))</f>
        <v/>
      </c>
      <c r="K2381">
        <f>IF(LEN(INDEX('Providers'!$AI$4:$AI$503,378))=0,"",INDEX('Providers'!$AI$4:$AI$503,378))</f>
        <v/>
      </c>
    </row>
    <row r="2382">
      <c r="A2382">
        <f>IF(AND(LEN('Providers'!A382)&gt;0,ISNUMBER('Providers'!Q382)),1,0)</f>
        <v/>
      </c>
      <c r="B2382">
        <f>B2381+A2382</f>
        <v/>
      </c>
      <c r="C2382">
        <f>IF(2379&gt;$B$4503,"",MATCH(2379-0.5,$B$3:$B$4503,1))</f>
        <v/>
      </c>
      <c r="D2382">
        <f>"Malpractice insurance – "&amp;IF(LEN(INDEX('Providers'!$A$4:$A$503,379))=0,"",INDEX('Providers'!$A$4:$A$503,379))</f>
        <v/>
      </c>
      <c r="E2382">
        <f>IF(ISNUMBER(INDEX('Providers'!$Q$4:$Q$503,379)),TEXT(INDEX('Providers'!$Q$4:$Q$503,379),"yyyy-mm-dd"),"")</f>
        <v/>
      </c>
      <c r="F2382">
        <f>"Insurance"</f>
        <v/>
      </c>
      <c r="G2382">
        <f>""</f>
        <v/>
      </c>
      <c r="H2382">
        <f>"High"</f>
        <v/>
      </c>
      <c r="I2382">
        <f>TRIM(IF(LEN(IF(LEN(INDEX('Providers'!$N$4:$N$503,379))=0,"",INDEX('Providers'!$N$4:$N$503,379)))=0,"","Carrier: "&amp;IF(LEN(INDEX('Providers'!$N$4:$N$503,379))=0,"",INDEX('Providers'!$N$4:$N$503,379))&amp;". ")&amp;IF(LEN(IF(LEN(INDEX('Providers'!$O$4:$O$503,379))=0,"",INDEX('Providers'!$O$4:$O$503,379)))=0,"","Policy no.: "&amp;IF(LEN(INDEX('Providers'!$O$4:$O$503,379))=0,"",INDEX('Providers'!$O$4:$O$503,379))&amp;". ")&amp;IF(LEN(IF(LEN(INDEX('Providers'!$P$4:$P$503,379))=0,"",INDEX('Providers'!$P$4:$P$503,379)))=0,"","Coverage form: "&amp;IF(LEN(INDEX('Providers'!$P$4:$P$503,379))=0,"",INDEX('Providers'!$P$4:$P$503,379))&amp;". "))</f>
        <v/>
      </c>
      <c r="J2382">
        <f>IF(LEN(INDEX('Providers'!$AJ$4:$AJ$503,379))=0,"",INDEX('Providers'!$AJ$4:$AJ$503,379))</f>
        <v/>
      </c>
      <c r="K2382">
        <f>IF(LEN(INDEX('Providers'!$AI$4:$AI$503,379))=0,"",INDEX('Providers'!$AI$4:$AI$503,379))</f>
        <v/>
      </c>
    </row>
    <row r="2383">
      <c r="A2383">
        <f>IF(AND(LEN('Providers'!A383)&gt;0,ISNUMBER('Providers'!Q383)),1,0)</f>
        <v/>
      </c>
      <c r="B2383">
        <f>B2382+A2383</f>
        <v/>
      </c>
      <c r="C2383">
        <f>IF(2380&gt;$B$4503,"",MATCH(2380-0.5,$B$3:$B$4503,1))</f>
        <v/>
      </c>
      <c r="D2383">
        <f>"Malpractice insurance – "&amp;IF(LEN(INDEX('Providers'!$A$4:$A$503,380))=0,"",INDEX('Providers'!$A$4:$A$503,380))</f>
        <v/>
      </c>
      <c r="E2383">
        <f>IF(ISNUMBER(INDEX('Providers'!$Q$4:$Q$503,380)),TEXT(INDEX('Providers'!$Q$4:$Q$503,380),"yyyy-mm-dd"),"")</f>
        <v/>
      </c>
      <c r="F2383">
        <f>"Insurance"</f>
        <v/>
      </c>
      <c r="G2383">
        <f>""</f>
        <v/>
      </c>
      <c r="H2383">
        <f>"High"</f>
        <v/>
      </c>
      <c r="I2383">
        <f>TRIM(IF(LEN(IF(LEN(INDEX('Providers'!$N$4:$N$503,380))=0,"",INDEX('Providers'!$N$4:$N$503,380)))=0,"","Carrier: "&amp;IF(LEN(INDEX('Providers'!$N$4:$N$503,380))=0,"",INDEX('Providers'!$N$4:$N$503,380))&amp;". ")&amp;IF(LEN(IF(LEN(INDEX('Providers'!$O$4:$O$503,380))=0,"",INDEX('Providers'!$O$4:$O$503,380)))=0,"","Policy no.: "&amp;IF(LEN(INDEX('Providers'!$O$4:$O$503,380))=0,"",INDEX('Providers'!$O$4:$O$503,380))&amp;". ")&amp;IF(LEN(IF(LEN(INDEX('Providers'!$P$4:$P$503,380))=0,"",INDEX('Providers'!$P$4:$P$503,380)))=0,"","Coverage form: "&amp;IF(LEN(INDEX('Providers'!$P$4:$P$503,380))=0,"",INDEX('Providers'!$P$4:$P$503,380))&amp;". "))</f>
        <v/>
      </c>
      <c r="J2383">
        <f>IF(LEN(INDEX('Providers'!$AJ$4:$AJ$503,380))=0,"",INDEX('Providers'!$AJ$4:$AJ$503,380))</f>
        <v/>
      </c>
      <c r="K2383">
        <f>IF(LEN(INDEX('Providers'!$AI$4:$AI$503,380))=0,"",INDEX('Providers'!$AI$4:$AI$503,380))</f>
        <v/>
      </c>
    </row>
    <row r="2384">
      <c r="A2384">
        <f>IF(AND(LEN('Providers'!A384)&gt;0,ISNUMBER('Providers'!Q384)),1,0)</f>
        <v/>
      </c>
      <c r="B2384">
        <f>B2383+A2384</f>
        <v/>
      </c>
      <c r="C2384">
        <f>IF(2381&gt;$B$4503,"",MATCH(2381-0.5,$B$3:$B$4503,1))</f>
        <v/>
      </c>
      <c r="D2384">
        <f>"Malpractice insurance – "&amp;IF(LEN(INDEX('Providers'!$A$4:$A$503,381))=0,"",INDEX('Providers'!$A$4:$A$503,381))</f>
        <v/>
      </c>
      <c r="E2384">
        <f>IF(ISNUMBER(INDEX('Providers'!$Q$4:$Q$503,381)),TEXT(INDEX('Providers'!$Q$4:$Q$503,381),"yyyy-mm-dd"),"")</f>
        <v/>
      </c>
      <c r="F2384">
        <f>"Insurance"</f>
        <v/>
      </c>
      <c r="G2384">
        <f>""</f>
        <v/>
      </c>
      <c r="H2384">
        <f>"High"</f>
        <v/>
      </c>
      <c r="I2384">
        <f>TRIM(IF(LEN(IF(LEN(INDEX('Providers'!$N$4:$N$503,381))=0,"",INDEX('Providers'!$N$4:$N$503,381)))=0,"","Carrier: "&amp;IF(LEN(INDEX('Providers'!$N$4:$N$503,381))=0,"",INDEX('Providers'!$N$4:$N$503,381))&amp;". ")&amp;IF(LEN(IF(LEN(INDEX('Providers'!$O$4:$O$503,381))=0,"",INDEX('Providers'!$O$4:$O$503,381)))=0,"","Policy no.: "&amp;IF(LEN(INDEX('Providers'!$O$4:$O$503,381))=0,"",INDEX('Providers'!$O$4:$O$503,381))&amp;". ")&amp;IF(LEN(IF(LEN(INDEX('Providers'!$P$4:$P$503,381))=0,"",INDEX('Providers'!$P$4:$P$503,381)))=0,"","Coverage form: "&amp;IF(LEN(INDEX('Providers'!$P$4:$P$503,381))=0,"",INDEX('Providers'!$P$4:$P$503,381))&amp;". "))</f>
        <v/>
      </c>
      <c r="J2384">
        <f>IF(LEN(INDEX('Providers'!$AJ$4:$AJ$503,381))=0,"",INDEX('Providers'!$AJ$4:$AJ$503,381))</f>
        <v/>
      </c>
      <c r="K2384">
        <f>IF(LEN(INDEX('Providers'!$AI$4:$AI$503,381))=0,"",INDEX('Providers'!$AI$4:$AI$503,381))</f>
        <v/>
      </c>
    </row>
    <row r="2385">
      <c r="A2385">
        <f>IF(AND(LEN('Providers'!A385)&gt;0,ISNUMBER('Providers'!Q385)),1,0)</f>
        <v/>
      </c>
      <c r="B2385">
        <f>B2384+A2385</f>
        <v/>
      </c>
      <c r="C2385">
        <f>IF(2382&gt;$B$4503,"",MATCH(2382-0.5,$B$3:$B$4503,1))</f>
        <v/>
      </c>
      <c r="D2385">
        <f>"Malpractice insurance – "&amp;IF(LEN(INDEX('Providers'!$A$4:$A$503,382))=0,"",INDEX('Providers'!$A$4:$A$503,382))</f>
        <v/>
      </c>
      <c r="E2385">
        <f>IF(ISNUMBER(INDEX('Providers'!$Q$4:$Q$503,382)),TEXT(INDEX('Providers'!$Q$4:$Q$503,382),"yyyy-mm-dd"),"")</f>
        <v/>
      </c>
      <c r="F2385">
        <f>"Insurance"</f>
        <v/>
      </c>
      <c r="G2385">
        <f>""</f>
        <v/>
      </c>
      <c r="H2385">
        <f>"High"</f>
        <v/>
      </c>
      <c r="I2385">
        <f>TRIM(IF(LEN(IF(LEN(INDEX('Providers'!$N$4:$N$503,382))=0,"",INDEX('Providers'!$N$4:$N$503,382)))=0,"","Carrier: "&amp;IF(LEN(INDEX('Providers'!$N$4:$N$503,382))=0,"",INDEX('Providers'!$N$4:$N$503,382))&amp;". ")&amp;IF(LEN(IF(LEN(INDEX('Providers'!$O$4:$O$503,382))=0,"",INDEX('Providers'!$O$4:$O$503,382)))=0,"","Policy no.: "&amp;IF(LEN(INDEX('Providers'!$O$4:$O$503,382))=0,"",INDEX('Providers'!$O$4:$O$503,382))&amp;". ")&amp;IF(LEN(IF(LEN(INDEX('Providers'!$P$4:$P$503,382))=0,"",INDEX('Providers'!$P$4:$P$503,382)))=0,"","Coverage form: "&amp;IF(LEN(INDEX('Providers'!$P$4:$P$503,382))=0,"",INDEX('Providers'!$P$4:$P$503,382))&amp;". "))</f>
        <v/>
      </c>
      <c r="J2385">
        <f>IF(LEN(INDEX('Providers'!$AJ$4:$AJ$503,382))=0,"",INDEX('Providers'!$AJ$4:$AJ$503,382))</f>
        <v/>
      </c>
      <c r="K2385">
        <f>IF(LEN(INDEX('Providers'!$AI$4:$AI$503,382))=0,"",INDEX('Providers'!$AI$4:$AI$503,382))</f>
        <v/>
      </c>
    </row>
    <row r="2386">
      <c r="A2386">
        <f>IF(AND(LEN('Providers'!A386)&gt;0,ISNUMBER('Providers'!Q386)),1,0)</f>
        <v/>
      </c>
      <c r="B2386">
        <f>B2385+A2386</f>
        <v/>
      </c>
      <c r="C2386">
        <f>IF(2383&gt;$B$4503,"",MATCH(2383-0.5,$B$3:$B$4503,1))</f>
        <v/>
      </c>
      <c r="D2386">
        <f>"Malpractice insurance – "&amp;IF(LEN(INDEX('Providers'!$A$4:$A$503,383))=0,"",INDEX('Providers'!$A$4:$A$503,383))</f>
        <v/>
      </c>
      <c r="E2386">
        <f>IF(ISNUMBER(INDEX('Providers'!$Q$4:$Q$503,383)),TEXT(INDEX('Providers'!$Q$4:$Q$503,383),"yyyy-mm-dd"),"")</f>
        <v/>
      </c>
      <c r="F2386">
        <f>"Insurance"</f>
        <v/>
      </c>
      <c r="G2386">
        <f>""</f>
        <v/>
      </c>
      <c r="H2386">
        <f>"High"</f>
        <v/>
      </c>
      <c r="I2386">
        <f>TRIM(IF(LEN(IF(LEN(INDEX('Providers'!$N$4:$N$503,383))=0,"",INDEX('Providers'!$N$4:$N$503,383)))=0,"","Carrier: "&amp;IF(LEN(INDEX('Providers'!$N$4:$N$503,383))=0,"",INDEX('Providers'!$N$4:$N$503,383))&amp;". ")&amp;IF(LEN(IF(LEN(INDEX('Providers'!$O$4:$O$503,383))=0,"",INDEX('Providers'!$O$4:$O$503,383)))=0,"","Policy no.: "&amp;IF(LEN(INDEX('Providers'!$O$4:$O$503,383))=0,"",INDEX('Providers'!$O$4:$O$503,383))&amp;". ")&amp;IF(LEN(IF(LEN(INDEX('Providers'!$P$4:$P$503,383))=0,"",INDEX('Providers'!$P$4:$P$503,383)))=0,"","Coverage form: "&amp;IF(LEN(INDEX('Providers'!$P$4:$P$503,383))=0,"",INDEX('Providers'!$P$4:$P$503,383))&amp;". "))</f>
        <v/>
      </c>
      <c r="J2386">
        <f>IF(LEN(INDEX('Providers'!$AJ$4:$AJ$503,383))=0,"",INDEX('Providers'!$AJ$4:$AJ$503,383))</f>
        <v/>
      </c>
      <c r="K2386">
        <f>IF(LEN(INDEX('Providers'!$AI$4:$AI$503,383))=0,"",INDEX('Providers'!$AI$4:$AI$503,383))</f>
        <v/>
      </c>
    </row>
    <row r="2387">
      <c r="A2387">
        <f>IF(AND(LEN('Providers'!A387)&gt;0,ISNUMBER('Providers'!Q387)),1,0)</f>
        <v/>
      </c>
      <c r="B2387">
        <f>B2386+A2387</f>
        <v/>
      </c>
      <c r="C2387">
        <f>IF(2384&gt;$B$4503,"",MATCH(2384-0.5,$B$3:$B$4503,1))</f>
        <v/>
      </c>
      <c r="D2387">
        <f>"Malpractice insurance – "&amp;IF(LEN(INDEX('Providers'!$A$4:$A$503,384))=0,"",INDEX('Providers'!$A$4:$A$503,384))</f>
        <v/>
      </c>
      <c r="E2387">
        <f>IF(ISNUMBER(INDEX('Providers'!$Q$4:$Q$503,384)),TEXT(INDEX('Providers'!$Q$4:$Q$503,384),"yyyy-mm-dd"),"")</f>
        <v/>
      </c>
      <c r="F2387">
        <f>"Insurance"</f>
        <v/>
      </c>
      <c r="G2387">
        <f>""</f>
        <v/>
      </c>
      <c r="H2387">
        <f>"High"</f>
        <v/>
      </c>
      <c r="I2387">
        <f>TRIM(IF(LEN(IF(LEN(INDEX('Providers'!$N$4:$N$503,384))=0,"",INDEX('Providers'!$N$4:$N$503,384)))=0,"","Carrier: "&amp;IF(LEN(INDEX('Providers'!$N$4:$N$503,384))=0,"",INDEX('Providers'!$N$4:$N$503,384))&amp;". ")&amp;IF(LEN(IF(LEN(INDEX('Providers'!$O$4:$O$503,384))=0,"",INDEX('Providers'!$O$4:$O$503,384)))=0,"","Policy no.: "&amp;IF(LEN(INDEX('Providers'!$O$4:$O$503,384))=0,"",INDEX('Providers'!$O$4:$O$503,384))&amp;". ")&amp;IF(LEN(IF(LEN(INDEX('Providers'!$P$4:$P$503,384))=0,"",INDEX('Providers'!$P$4:$P$503,384)))=0,"","Coverage form: "&amp;IF(LEN(INDEX('Providers'!$P$4:$P$503,384))=0,"",INDEX('Providers'!$P$4:$P$503,384))&amp;". "))</f>
        <v/>
      </c>
      <c r="J2387">
        <f>IF(LEN(INDEX('Providers'!$AJ$4:$AJ$503,384))=0,"",INDEX('Providers'!$AJ$4:$AJ$503,384))</f>
        <v/>
      </c>
      <c r="K2387">
        <f>IF(LEN(INDEX('Providers'!$AI$4:$AI$503,384))=0,"",INDEX('Providers'!$AI$4:$AI$503,384))</f>
        <v/>
      </c>
    </row>
    <row r="2388">
      <c r="A2388">
        <f>IF(AND(LEN('Providers'!A388)&gt;0,ISNUMBER('Providers'!Q388)),1,0)</f>
        <v/>
      </c>
      <c r="B2388">
        <f>B2387+A2388</f>
        <v/>
      </c>
      <c r="C2388">
        <f>IF(2385&gt;$B$4503,"",MATCH(2385-0.5,$B$3:$B$4503,1))</f>
        <v/>
      </c>
      <c r="D2388">
        <f>"Malpractice insurance – "&amp;IF(LEN(INDEX('Providers'!$A$4:$A$503,385))=0,"",INDEX('Providers'!$A$4:$A$503,385))</f>
        <v/>
      </c>
      <c r="E2388">
        <f>IF(ISNUMBER(INDEX('Providers'!$Q$4:$Q$503,385)),TEXT(INDEX('Providers'!$Q$4:$Q$503,385),"yyyy-mm-dd"),"")</f>
        <v/>
      </c>
      <c r="F2388">
        <f>"Insurance"</f>
        <v/>
      </c>
      <c r="G2388">
        <f>""</f>
        <v/>
      </c>
      <c r="H2388">
        <f>"High"</f>
        <v/>
      </c>
      <c r="I2388">
        <f>TRIM(IF(LEN(IF(LEN(INDEX('Providers'!$N$4:$N$503,385))=0,"",INDEX('Providers'!$N$4:$N$503,385)))=0,"","Carrier: "&amp;IF(LEN(INDEX('Providers'!$N$4:$N$503,385))=0,"",INDEX('Providers'!$N$4:$N$503,385))&amp;". ")&amp;IF(LEN(IF(LEN(INDEX('Providers'!$O$4:$O$503,385))=0,"",INDEX('Providers'!$O$4:$O$503,385)))=0,"","Policy no.: "&amp;IF(LEN(INDEX('Providers'!$O$4:$O$503,385))=0,"",INDEX('Providers'!$O$4:$O$503,385))&amp;". ")&amp;IF(LEN(IF(LEN(INDEX('Providers'!$P$4:$P$503,385))=0,"",INDEX('Providers'!$P$4:$P$503,385)))=0,"","Coverage form: "&amp;IF(LEN(INDEX('Providers'!$P$4:$P$503,385))=0,"",INDEX('Providers'!$P$4:$P$503,385))&amp;". "))</f>
        <v/>
      </c>
      <c r="J2388">
        <f>IF(LEN(INDEX('Providers'!$AJ$4:$AJ$503,385))=0,"",INDEX('Providers'!$AJ$4:$AJ$503,385))</f>
        <v/>
      </c>
      <c r="K2388">
        <f>IF(LEN(INDEX('Providers'!$AI$4:$AI$503,385))=0,"",INDEX('Providers'!$AI$4:$AI$503,385))</f>
        <v/>
      </c>
    </row>
    <row r="2389">
      <c r="A2389">
        <f>IF(AND(LEN('Providers'!A389)&gt;0,ISNUMBER('Providers'!Q389)),1,0)</f>
        <v/>
      </c>
      <c r="B2389">
        <f>B2388+A2389</f>
        <v/>
      </c>
      <c r="C2389">
        <f>IF(2386&gt;$B$4503,"",MATCH(2386-0.5,$B$3:$B$4503,1))</f>
        <v/>
      </c>
      <c r="D2389">
        <f>"Malpractice insurance – "&amp;IF(LEN(INDEX('Providers'!$A$4:$A$503,386))=0,"",INDEX('Providers'!$A$4:$A$503,386))</f>
        <v/>
      </c>
      <c r="E2389">
        <f>IF(ISNUMBER(INDEX('Providers'!$Q$4:$Q$503,386)),TEXT(INDEX('Providers'!$Q$4:$Q$503,386),"yyyy-mm-dd"),"")</f>
        <v/>
      </c>
      <c r="F2389">
        <f>"Insurance"</f>
        <v/>
      </c>
      <c r="G2389">
        <f>""</f>
        <v/>
      </c>
      <c r="H2389">
        <f>"High"</f>
        <v/>
      </c>
      <c r="I2389">
        <f>TRIM(IF(LEN(IF(LEN(INDEX('Providers'!$N$4:$N$503,386))=0,"",INDEX('Providers'!$N$4:$N$503,386)))=0,"","Carrier: "&amp;IF(LEN(INDEX('Providers'!$N$4:$N$503,386))=0,"",INDEX('Providers'!$N$4:$N$503,386))&amp;". ")&amp;IF(LEN(IF(LEN(INDEX('Providers'!$O$4:$O$503,386))=0,"",INDEX('Providers'!$O$4:$O$503,386)))=0,"","Policy no.: "&amp;IF(LEN(INDEX('Providers'!$O$4:$O$503,386))=0,"",INDEX('Providers'!$O$4:$O$503,386))&amp;". ")&amp;IF(LEN(IF(LEN(INDEX('Providers'!$P$4:$P$503,386))=0,"",INDEX('Providers'!$P$4:$P$503,386)))=0,"","Coverage form: "&amp;IF(LEN(INDEX('Providers'!$P$4:$P$503,386))=0,"",INDEX('Providers'!$P$4:$P$503,386))&amp;". "))</f>
        <v/>
      </c>
      <c r="J2389">
        <f>IF(LEN(INDEX('Providers'!$AJ$4:$AJ$503,386))=0,"",INDEX('Providers'!$AJ$4:$AJ$503,386))</f>
        <v/>
      </c>
      <c r="K2389">
        <f>IF(LEN(INDEX('Providers'!$AI$4:$AI$503,386))=0,"",INDEX('Providers'!$AI$4:$AI$503,386))</f>
        <v/>
      </c>
    </row>
    <row r="2390">
      <c r="A2390">
        <f>IF(AND(LEN('Providers'!A390)&gt;0,ISNUMBER('Providers'!Q390)),1,0)</f>
        <v/>
      </c>
      <c r="B2390">
        <f>B2389+A2390</f>
        <v/>
      </c>
      <c r="C2390">
        <f>IF(2387&gt;$B$4503,"",MATCH(2387-0.5,$B$3:$B$4503,1))</f>
        <v/>
      </c>
      <c r="D2390">
        <f>"Malpractice insurance – "&amp;IF(LEN(INDEX('Providers'!$A$4:$A$503,387))=0,"",INDEX('Providers'!$A$4:$A$503,387))</f>
        <v/>
      </c>
      <c r="E2390">
        <f>IF(ISNUMBER(INDEX('Providers'!$Q$4:$Q$503,387)),TEXT(INDEX('Providers'!$Q$4:$Q$503,387),"yyyy-mm-dd"),"")</f>
        <v/>
      </c>
      <c r="F2390">
        <f>"Insurance"</f>
        <v/>
      </c>
      <c r="G2390">
        <f>""</f>
        <v/>
      </c>
      <c r="H2390">
        <f>"High"</f>
        <v/>
      </c>
      <c r="I2390">
        <f>TRIM(IF(LEN(IF(LEN(INDEX('Providers'!$N$4:$N$503,387))=0,"",INDEX('Providers'!$N$4:$N$503,387)))=0,"","Carrier: "&amp;IF(LEN(INDEX('Providers'!$N$4:$N$503,387))=0,"",INDEX('Providers'!$N$4:$N$503,387))&amp;". ")&amp;IF(LEN(IF(LEN(INDEX('Providers'!$O$4:$O$503,387))=0,"",INDEX('Providers'!$O$4:$O$503,387)))=0,"","Policy no.: "&amp;IF(LEN(INDEX('Providers'!$O$4:$O$503,387))=0,"",INDEX('Providers'!$O$4:$O$503,387))&amp;". ")&amp;IF(LEN(IF(LEN(INDEX('Providers'!$P$4:$P$503,387))=0,"",INDEX('Providers'!$P$4:$P$503,387)))=0,"","Coverage form: "&amp;IF(LEN(INDEX('Providers'!$P$4:$P$503,387))=0,"",INDEX('Providers'!$P$4:$P$503,387))&amp;". "))</f>
        <v/>
      </c>
      <c r="J2390">
        <f>IF(LEN(INDEX('Providers'!$AJ$4:$AJ$503,387))=0,"",INDEX('Providers'!$AJ$4:$AJ$503,387))</f>
        <v/>
      </c>
      <c r="K2390">
        <f>IF(LEN(INDEX('Providers'!$AI$4:$AI$503,387))=0,"",INDEX('Providers'!$AI$4:$AI$503,387))</f>
        <v/>
      </c>
    </row>
    <row r="2391">
      <c r="A2391">
        <f>IF(AND(LEN('Providers'!A391)&gt;0,ISNUMBER('Providers'!Q391)),1,0)</f>
        <v/>
      </c>
      <c r="B2391">
        <f>B2390+A2391</f>
        <v/>
      </c>
      <c r="C2391">
        <f>IF(2388&gt;$B$4503,"",MATCH(2388-0.5,$B$3:$B$4503,1))</f>
        <v/>
      </c>
      <c r="D2391">
        <f>"Malpractice insurance – "&amp;IF(LEN(INDEX('Providers'!$A$4:$A$503,388))=0,"",INDEX('Providers'!$A$4:$A$503,388))</f>
        <v/>
      </c>
      <c r="E2391">
        <f>IF(ISNUMBER(INDEX('Providers'!$Q$4:$Q$503,388)),TEXT(INDEX('Providers'!$Q$4:$Q$503,388),"yyyy-mm-dd"),"")</f>
        <v/>
      </c>
      <c r="F2391">
        <f>"Insurance"</f>
        <v/>
      </c>
      <c r="G2391">
        <f>""</f>
        <v/>
      </c>
      <c r="H2391">
        <f>"High"</f>
        <v/>
      </c>
      <c r="I2391">
        <f>TRIM(IF(LEN(IF(LEN(INDEX('Providers'!$N$4:$N$503,388))=0,"",INDEX('Providers'!$N$4:$N$503,388)))=0,"","Carrier: "&amp;IF(LEN(INDEX('Providers'!$N$4:$N$503,388))=0,"",INDEX('Providers'!$N$4:$N$503,388))&amp;". ")&amp;IF(LEN(IF(LEN(INDEX('Providers'!$O$4:$O$503,388))=0,"",INDEX('Providers'!$O$4:$O$503,388)))=0,"","Policy no.: "&amp;IF(LEN(INDEX('Providers'!$O$4:$O$503,388))=0,"",INDEX('Providers'!$O$4:$O$503,388))&amp;". ")&amp;IF(LEN(IF(LEN(INDEX('Providers'!$P$4:$P$503,388))=0,"",INDEX('Providers'!$P$4:$P$503,388)))=0,"","Coverage form: "&amp;IF(LEN(INDEX('Providers'!$P$4:$P$503,388))=0,"",INDEX('Providers'!$P$4:$P$503,388))&amp;". "))</f>
        <v/>
      </c>
      <c r="J2391">
        <f>IF(LEN(INDEX('Providers'!$AJ$4:$AJ$503,388))=0,"",INDEX('Providers'!$AJ$4:$AJ$503,388))</f>
        <v/>
      </c>
      <c r="K2391">
        <f>IF(LEN(INDEX('Providers'!$AI$4:$AI$503,388))=0,"",INDEX('Providers'!$AI$4:$AI$503,388))</f>
        <v/>
      </c>
    </row>
    <row r="2392">
      <c r="A2392">
        <f>IF(AND(LEN('Providers'!A392)&gt;0,ISNUMBER('Providers'!Q392)),1,0)</f>
        <v/>
      </c>
      <c r="B2392">
        <f>B2391+A2392</f>
        <v/>
      </c>
      <c r="C2392">
        <f>IF(2389&gt;$B$4503,"",MATCH(2389-0.5,$B$3:$B$4503,1))</f>
        <v/>
      </c>
      <c r="D2392">
        <f>"Malpractice insurance – "&amp;IF(LEN(INDEX('Providers'!$A$4:$A$503,389))=0,"",INDEX('Providers'!$A$4:$A$503,389))</f>
        <v/>
      </c>
      <c r="E2392">
        <f>IF(ISNUMBER(INDEX('Providers'!$Q$4:$Q$503,389)),TEXT(INDEX('Providers'!$Q$4:$Q$503,389),"yyyy-mm-dd"),"")</f>
        <v/>
      </c>
      <c r="F2392">
        <f>"Insurance"</f>
        <v/>
      </c>
      <c r="G2392">
        <f>""</f>
        <v/>
      </c>
      <c r="H2392">
        <f>"High"</f>
        <v/>
      </c>
      <c r="I2392">
        <f>TRIM(IF(LEN(IF(LEN(INDEX('Providers'!$N$4:$N$503,389))=0,"",INDEX('Providers'!$N$4:$N$503,389)))=0,"","Carrier: "&amp;IF(LEN(INDEX('Providers'!$N$4:$N$503,389))=0,"",INDEX('Providers'!$N$4:$N$503,389))&amp;". ")&amp;IF(LEN(IF(LEN(INDEX('Providers'!$O$4:$O$503,389))=0,"",INDEX('Providers'!$O$4:$O$503,389)))=0,"","Policy no.: "&amp;IF(LEN(INDEX('Providers'!$O$4:$O$503,389))=0,"",INDEX('Providers'!$O$4:$O$503,389))&amp;". ")&amp;IF(LEN(IF(LEN(INDEX('Providers'!$P$4:$P$503,389))=0,"",INDEX('Providers'!$P$4:$P$503,389)))=0,"","Coverage form: "&amp;IF(LEN(INDEX('Providers'!$P$4:$P$503,389))=0,"",INDEX('Providers'!$P$4:$P$503,389))&amp;". "))</f>
        <v/>
      </c>
      <c r="J2392">
        <f>IF(LEN(INDEX('Providers'!$AJ$4:$AJ$503,389))=0,"",INDEX('Providers'!$AJ$4:$AJ$503,389))</f>
        <v/>
      </c>
      <c r="K2392">
        <f>IF(LEN(INDEX('Providers'!$AI$4:$AI$503,389))=0,"",INDEX('Providers'!$AI$4:$AI$503,389))</f>
        <v/>
      </c>
    </row>
    <row r="2393">
      <c r="A2393">
        <f>IF(AND(LEN('Providers'!A393)&gt;0,ISNUMBER('Providers'!Q393)),1,0)</f>
        <v/>
      </c>
      <c r="B2393">
        <f>B2392+A2393</f>
        <v/>
      </c>
      <c r="C2393">
        <f>IF(2390&gt;$B$4503,"",MATCH(2390-0.5,$B$3:$B$4503,1))</f>
        <v/>
      </c>
      <c r="D2393">
        <f>"Malpractice insurance – "&amp;IF(LEN(INDEX('Providers'!$A$4:$A$503,390))=0,"",INDEX('Providers'!$A$4:$A$503,390))</f>
        <v/>
      </c>
      <c r="E2393">
        <f>IF(ISNUMBER(INDEX('Providers'!$Q$4:$Q$503,390)),TEXT(INDEX('Providers'!$Q$4:$Q$503,390),"yyyy-mm-dd"),"")</f>
        <v/>
      </c>
      <c r="F2393">
        <f>"Insurance"</f>
        <v/>
      </c>
      <c r="G2393">
        <f>""</f>
        <v/>
      </c>
      <c r="H2393">
        <f>"High"</f>
        <v/>
      </c>
      <c r="I2393">
        <f>TRIM(IF(LEN(IF(LEN(INDEX('Providers'!$N$4:$N$503,390))=0,"",INDEX('Providers'!$N$4:$N$503,390)))=0,"","Carrier: "&amp;IF(LEN(INDEX('Providers'!$N$4:$N$503,390))=0,"",INDEX('Providers'!$N$4:$N$503,390))&amp;". ")&amp;IF(LEN(IF(LEN(INDEX('Providers'!$O$4:$O$503,390))=0,"",INDEX('Providers'!$O$4:$O$503,390)))=0,"","Policy no.: "&amp;IF(LEN(INDEX('Providers'!$O$4:$O$503,390))=0,"",INDEX('Providers'!$O$4:$O$503,390))&amp;". ")&amp;IF(LEN(IF(LEN(INDEX('Providers'!$P$4:$P$503,390))=0,"",INDEX('Providers'!$P$4:$P$503,390)))=0,"","Coverage form: "&amp;IF(LEN(INDEX('Providers'!$P$4:$P$503,390))=0,"",INDEX('Providers'!$P$4:$P$503,390))&amp;". "))</f>
        <v/>
      </c>
      <c r="J2393">
        <f>IF(LEN(INDEX('Providers'!$AJ$4:$AJ$503,390))=0,"",INDEX('Providers'!$AJ$4:$AJ$503,390))</f>
        <v/>
      </c>
      <c r="K2393">
        <f>IF(LEN(INDEX('Providers'!$AI$4:$AI$503,390))=0,"",INDEX('Providers'!$AI$4:$AI$503,390))</f>
        <v/>
      </c>
    </row>
    <row r="2394">
      <c r="A2394">
        <f>IF(AND(LEN('Providers'!A394)&gt;0,ISNUMBER('Providers'!Q394)),1,0)</f>
        <v/>
      </c>
      <c r="B2394">
        <f>B2393+A2394</f>
        <v/>
      </c>
      <c r="C2394">
        <f>IF(2391&gt;$B$4503,"",MATCH(2391-0.5,$B$3:$B$4503,1))</f>
        <v/>
      </c>
      <c r="D2394">
        <f>"Malpractice insurance – "&amp;IF(LEN(INDEX('Providers'!$A$4:$A$503,391))=0,"",INDEX('Providers'!$A$4:$A$503,391))</f>
        <v/>
      </c>
      <c r="E2394">
        <f>IF(ISNUMBER(INDEX('Providers'!$Q$4:$Q$503,391)),TEXT(INDEX('Providers'!$Q$4:$Q$503,391),"yyyy-mm-dd"),"")</f>
        <v/>
      </c>
      <c r="F2394">
        <f>"Insurance"</f>
        <v/>
      </c>
      <c r="G2394">
        <f>""</f>
        <v/>
      </c>
      <c r="H2394">
        <f>"High"</f>
        <v/>
      </c>
      <c r="I2394">
        <f>TRIM(IF(LEN(IF(LEN(INDEX('Providers'!$N$4:$N$503,391))=0,"",INDEX('Providers'!$N$4:$N$503,391)))=0,"","Carrier: "&amp;IF(LEN(INDEX('Providers'!$N$4:$N$503,391))=0,"",INDEX('Providers'!$N$4:$N$503,391))&amp;". ")&amp;IF(LEN(IF(LEN(INDEX('Providers'!$O$4:$O$503,391))=0,"",INDEX('Providers'!$O$4:$O$503,391)))=0,"","Policy no.: "&amp;IF(LEN(INDEX('Providers'!$O$4:$O$503,391))=0,"",INDEX('Providers'!$O$4:$O$503,391))&amp;". ")&amp;IF(LEN(IF(LEN(INDEX('Providers'!$P$4:$P$503,391))=0,"",INDEX('Providers'!$P$4:$P$503,391)))=0,"","Coverage form: "&amp;IF(LEN(INDEX('Providers'!$P$4:$P$503,391))=0,"",INDEX('Providers'!$P$4:$P$503,391))&amp;". "))</f>
        <v/>
      </c>
      <c r="J2394">
        <f>IF(LEN(INDEX('Providers'!$AJ$4:$AJ$503,391))=0,"",INDEX('Providers'!$AJ$4:$AJ$503,391))</f>
        <v/>
      </c>
      <c r="K2394">
        <f>IF(LEN(INDEX('Providers'!$AI$4:$AI$503,391))=0,"",INDEX('Providers'!$AI$4:$AI$503,391))</f>
        <v/>
      </c>
    </row>
    <row r="2395">
      <c r="A2395">
        <f>IF(AND(LEN('Providers'!A395)&gt;0,ISNUMBER('Providers'!Q395)),1,0)</f>
        <v/>
      </c>
      <c r="B2395">
        <f>B2394+A2395</f>
        <v/>
      </c>
      <c r="C2395">
        <f>IF(2392&gt;$B$4503,"",MATCH(2392-0.5,$B$3:$B$4503,1))</f>
        <v/>
      </c>
      <c r="D2395">
        <f>"Malpractice insurance – "&amp;IF(LEN(INDEX('Providers'!$A$4:$A$503,392))=0,"",INDEX('Providers'!$A$4:$A$503,392))</f>
        <v/>
      </c>
      <c r="E2395">
        <f>IF(ISNUMBER(INDEX('Providers'!$Q$4:$Q$503,392)),TEXT(INDEX('Providers'!$Q$4:$Q$503,392),"yyyy-mm-dd"),"")</f>
        <v/>
      </c>
      <c r="F2395">
        <f>"Insurance"</f>
        <v/>
      </c>
      <c r="G2395">
        <f>""</f>
        <v/>
      </c>
      <c r="H2395">
        <f>"High"</f>
        <v/>
      </c>
      <c r="I2395">
        <f>TRIM(IF(LEN(IF(LEN(INDEX('Providers'!$N$4:$N$503,392))=0,"",INDEX('Providers'!$N$4:$N$503,392)))=0,"","Carrier: "&amp;IF(LEN(INDEX('Providers'!$N$4:$N$503,392))=0,"",INDEX('Providers'!$N$4:$N$503,392))&amp;". ")&amp;IF(LEN(IF(LEN(INDEX('Providers'!$O$4:$O$503,392))=0,"",INDEX('Providers'!$O$4:$O$503,392)))=0,"","Policy no.: "&amp;IF(LEN(INDEX('Providers'!$O$4:$O$503,392))=0,"",INDEX('Providers'!$O$4:$O$503,392))&amp;". ")&amp;IF(LEN(IF(LEN(INDEX('Providers'!$P$4:$P$503,392))=0,"",INDEX('Providers'!$P$4:$P$503,392)))=0,"","Coverage form: "&amp;IF(LEN(INDEX('Providers'!$P$4:$P$503,392))=0,"",INDEX('Providers'!$P$4:$P$503,392))&amp;". "))</f>
        <v/>
      </c>
      <c r="J2395">
        <f>IF(LEN(INDEX('Providers'!$AJ$4:$AJ$503,392))=0,"",INDEX('Providers'!$AJ$4:$AJ$503,392))</f>
        <v/>
      </c>
      <c r="K2395">
        <f>IF(LEN(INDEX('Providers'!$AI$4:$AI$503,392))=0,"",INDEX('Providers'!$AI$4:$AI$503,392))</f>
        <v/>
      </c>
    </row>
    <row r="2396">
      <c r="A2396">
        <f>IF(AND(LEN('Providers'!A396)&gt;0,ISNUMBER('Providers'!Q396)),1,0)</f>
        <v/>
      </c>
      <c r="B2396">
        <f>B2395+A2396</f>
        <v/>
      </c>
      <c r="C2396">
        <f>IF(2393&gt;$B$4503,"",MATCH(2393-0.5,$B$3:$B$4503,1))</f>
        <v/>
      </c>
      <c r="D2396">
        <f>"Malpractice insurance – "&amp;IF(LEN(INDEX('Providers'!$A$4:$A$503,393))=0,"",INDEX('Providers'!$A$4:$A$503,393))</f>
        <v/>
      </c>
      <c r="E2396">
        <f>IF(ISNUMBER(INDEX('Providers'!$Q$4:$Q$503,393)),TEXT(INDEX('Providers'!$Q$4:$Q$503,393),"yyyy-mm-dd"),"")</f>
        <v/>
      </c>
      <c r="F2396">
        <f>"Insurance"</f>
        <v/>
      </c>
      <c r="G2396">
        <f>""</f>
        <v/>
      </c>
      <c r="H2396">
        <f>"High"</f>
        <v/>
      </c>
      <c r="I2396">
        <f>TRIM(IF(LEN(IF(LEN(INDEX('Providers'!$N$4:$N$503,393))=0,"",INDEX('Providers'!$N$4:$N$503,393)))=0,"","Carrier: "&amp;IF(LEN(INDEX('Providers'!$N$4:$N$503,393))=0,"",INDEX('Providers'!$N$4:$N$503,393))&amp;". ")&amp;IF(LEN(IF(LEN(INDEX('Providers'!$O$4:$O$503,393))=0,"",INDEX('Providers'!$O$4:$O$503,393)))=0,"","Policy no.: "&amp;IF(LEN(INDEX('Providers'!$O$4:$O$503,393))=0,"",INDEX('Providers'!$O$4:$O$503,393))&amp;". ")&amp;IF(LEN(IF(LEN(INDEX('Providers'!$P$4:$P$503,393))=0,"",INDEX('Providers'!$P$4:$P$503,393)))=0,"","Coverage form: "&amp;IF(LEN(INDEX('Providers'!$P$4:$P$503,393))=0,"",INDEX('Providers'!$P$4:$P$503,393))&amp;". "))</f>
        <v/>
      </c>
      <c r="J2396">
        <f>IF(LEN(INDEX('Providers'!$AJ$4:$AJ$503,393))=0,"",INDEX('Providers'!$AJ$4:$AJ$503,393))</f>
        <v/>
      </c>
      <c r="K2396">
        <f>IF(LEN(INDEX('Providers'!$AI$4:$AI$503,393))=0,"",INDEX('Providers'!$AI$4:$AI$503,393))</f>
        <v/>
      </c>
    </row>
    <row r="2397">
      <c r="A2397">
        <f>IF(AND(LEN('Providers'!A397)&gt;0,ISNUMBER('Providers'!Q397)),1,0)</f>
        <v/>
      </c>
      <c r="B2397">
        <f>B2396+A2397</f>
        <v/>
      </c>
      <c r="C2397">
        <f>IF(2394&gt;$B$4503,"",MATCH(2394-0.5,$B$3:$B$4503,1))</f>
        <v/>
      </c>
      <c r="D2397">
        <f>"Malpractice insurance – "&amp;IF(LEN(INDEX('Providers'!$A$4:$A$503,394))=0,"",INDEX('Providers'!$A$4:$A$503,394))</f>
        <v/>
      </c>
      <c r="E2397">
        <f>IF(ISNUMBER(INDEX('Providers'!$Q$4:$Q$503,394)),TEXT(INDEX('Providers'!$Q$4:$Q$503,394),"yyyy-mm-dd"),"")</f>
        <v/>
      </c>
      <c r="F2397">
        <f>"Insurance"</f>
        <v/>
      </c>
      <c r="G2397">
        <f>""</f>
        <v/>
      </c>
      <c r="H2397">
        <f>"High"</f>
        <v/>
      </c>
      <c r="I2397">
        <f>TRIM(IF(LEN(IF(LEN(INDEX('Providers'!$N$4:$N$503,394))=0,"",INDEX('Providers'!$N$4:$N$503,394)))=0,"","Carrier: "&amp;IF(LEN(INDEX('Providers'!$N$4:$N$503,394))=0,"",INDEX('Providers'!$N$4:$N$503,394))&amp;". ")&amp;IF(LEN(IF(LEN(INDEX('Providers'!$O$4:$O$503,394))=0,"",INDEX('Providers'!$O$4:$O$503,394)))=0,"","Policy no.: "&amp;IF(LEN(INDEX('Providers'!$O$4:$O$503,394))=0,"",INDEX('Providers'!$O$4:$O$503,394))&amp;". ")&amp;IF(LEN(IF(LEN(INDEX('Providers'!$P$4:$P$503,394))=0,"",INDEX('Providers'!$P$4:$P$503,394)))=0,"","Coverage form: "&amp;IF(LEN(INDEX('Providers'!$P$4:$P$503,394))=0,"",INDEX('Providers'!$P$4:$P$503,394))&amp;". "))</f>
        <v/>
      </c>
      <c r="J2397">
        <f>IF(LEN(INDEX('Providers'!$AJ$4:$AJ$503,394))=0,"",INDEX('Providers'!$AJ$4:$AJ$503,394))</f>
        <v/>
      </c>
      <c r="K2397">
        <f>IF(LEN(INDEX('Providers'!$AI$4:$AI$503,394))=0,"",INDEX('Providers'!$AI$4:$AI$503,394))</f>
        <v/>
      </c>
    </row>
    <row r="2398">
      <c r="A2398">
        <f>IF(AND(LEN('Providers'!A398)&gt;0,ISNUMBER('Providers'!Q398)),1,0)</f>
        <v/>
      </c>
      <c r="B2398">
        <f>B2397+A2398</f>
        <v/>
      </c>
      <c r="C2398">
        <f>IF(2395&gt;$B$4503,"",MATCH(2395-0.5,$B$3:$B$4503,1))</f>
        <v/>
      </c>
      <c r="D2398">
        <f>"Malpractice insurance – "&amp;IF(LEN(INDEX('Providers'!$A$4:$A$503,395))=0,"",INDEX('Providers'!$A$4:$A$503,395))</f>
        <v/>
      </c>
      <c r="E2398">
        <f>IF(ISNUMBER(INDEX('Providers'!$Q$4:$Q$503,395)),TEXT(INDEX('Providers'!$Q$4:$Q$503,395),"yyyy-mm-dd"),"")</f>
        <v/>
      </c>
      <c r="F2398">
        <f>"Insurance"</f>
        <v/>
      </c>
      <c r="G2398">
        <f>""</f>
        <v/>
      </c>
      <c r="H2398">
        <f>"High"</f>
        <v/>
      </c>
      <c r="I2398">
        <f>TRIM(IF(LEN(IF(LEN(INDEX('Providers'!$N$4:$N$503,395))=0,"",INDEX('Providers'!$N$4:$N$503,395)))=0,"","Carrier: "&amp;IF(LEN(INDEX('Providers'!$N$4:$N$503,395))=0,"",INDEX('Providers'!$N$4:$N$503,395))&amp;". ")&amp;IF(LEN(IF(LEN(INDEX('Providers'!$O$4:$O$503,395))=0,"",INDEX('Providers'!$O$4:$O$503,395)))=0,"","Policy no.: "&amp;IF(LEN(INDEX('Providers'!$O$4:$O$503,395))=0,"",INDEX('Providers'!$O$4:$O$503,395))&amp;". ")&amp;IF(LEN(IF(LEN(INDEX('Providers'!$P$4:$P$503,395))=0,"",INDEX('Providers'!$P$4:$P$503,395)))=0,"","Coverage form: "&amp;IF(LEN(INDEX('Providers'!$P$4:$P$503,395))=0,"",INDEX('Providers'!$P$4:$P$503,395))&amp;". "))</f>
        <v/>
      </c>
      <c r="J2398">
        <f>IF(LEN(INDEX('Providers'!$AJ$4:$AJ$503,395))=0,"",INDEX('Providers'!$AJ$4:$AJ$503,395))</f>
        <v/>
      </c>
      <c r="K2398">
        <f>IF(LEN(INDEX('Providers'!$AI$4:$AI$503,395))=0,"",INDEX('Providers'!$AI$4:$AI$503,395))</f>
        <v/>
      </c>
    </row>
    <row r="2399">
      <c r="A2399">
        <f>IF(AND(LEN('Providers'!A399)&gt;0,ISNUMBER('Providers'!Q399)),1,0)</f>
        <v/>
      </c>
      <c r="B2399">
        <f>B2398+A2399</f>
        <v/>
      </c>
      <c r="C2399">
        <f>IF(2396&gt;$B$4503,"",MATCH(2396-0.5,$B$3:$B$4503,1))</f>
        <v/>
      </c>
      <c r="D2399">
        <f>"Malpractice insurance – "&amp;IF(LEN(INDEX('Providers'!$A$4:$A$503,396))=0,"",INDEX('Providers'!$A$4:$A$503,396))</f>
        <v/>
      </c>
      <c r="E2399">
        <f>IF(ISNUMBER(INDEX('Providers'!$Q$4:$Q$503,396)),TEXT(INDEX('Providers'!$Q$4:$Q$503,396),"yyyy-mm-dd"),"")</f>
        <v/>
      </c>
      <c r="F2399">
        <f>"Insurance"</f>
        <v/>
      </c>
      <c r="G2399">
        <f>""</f>
        <v/>
      </c>
      <c r="H2399">
        <f>"High"</f>
        <v/>
      </c>
      <c r="I2399">
        <f>TRIM(IF(LEN(IF(LEN(INDEX('Providers'!$N$4:$N$503,396))=0,"",INDEX('Providers'!$N$4:$N$503,396)))=0,"","Carrier: "&amp;IF(LEN(INDEX('Providers'!$N$4:$N$503,396))=0,"",INDEX('Providers'!$N$4:$N$503,396))&amp;". ")&amp;IF(LEN(IF(LEN(INDEX('Providers'!$O$4:$O$503,396))=0,"",INDEX('Providers'!$O$4:$O$503,396)))=0,"","Policy no.: "&amp;IF(LEN(INDEX('Providers'!$O$4:$O$503,396))=0,"",INDEX('Providers'!$O$4:$O$503,396))&amp;". ")&amp;IF(LEN(IF(LEN(INDEX('Providers'!$P$4:$P$503,396))=0,"",INDEX('Providers'!$P$4:$P$503,396)))=0,"","Coverage form: "&amp;IF(LEN(INDEX('Providers'!$P$4:$P$503,396))=0,"",INDEX('Providers'!$P$4:$P$503,396))&amp;". "))</f>
        <v/>
      </c>
      <c r="J2399">
        <f>IF(LEN(INDEX('Providers'!$AJ$4:$AJ$503,396))=0,"",INDEX('Providers'!$AJ$4:$AJ$503,396))</f>
        <v/>
      </c>
      <c r="K2399">
        <f>IF(LEN(INDEX('Providers'!$AI$4:$AI$503,396))=0,"",INDEX('Providers'!$AI$4:$AI$503,396))</f>
        <v/>
      </c>
    </row>
    <row r="2400">
      <c r="A2400">
        <f>IF(AND(LEN('Providers'!A400)&gt;0,ISNUMBER('Providers'!Q400)),1,0)</f>
        <v/>
      </c>
      <c r="B2400">
        <f>B2399+A2400</f>
        <v/>
      </c>
      <c r="C2400">
        <f>IF(2397&gt;$B$4503,"",MATCH(2397-0.5,$B$3:$B$4503,1))</f>
        <v/>
      </c>
      <c r="D2400">
        <f>"Malpractice insurance – "&amp;IF(LEN(INDEX('Providers'!$A$4:$A$503,397))=0,"",INDEX('Providers'!$A$4:$A$503,397))</f>
        <v/>
      </c>
      <c r="E2400">
        <f>IF(ISNUMBER(INDEX('Providers'!$Q$4:$Q$503,397)),TEXT(INDEX('Providers'!$Q$4:$Q$503,397),"yyyy-mm-dd"),"")</f>
        <v/>
      </c>
      <c r="F2400">
        <f>"Insurance"</f>
        <v/>
      </c>
      <c r="G2400">
        <f>""</f>
        <v/>
      </c>
      <c r="H2400">
        <f>"High"</f>
        <v/>
      </c>
      <c r="I2400">
        <f>TRIM(IF(LEN(IF(LEN(INDEX('Providers'!$N$4:$N$503,397))=0,"",INDEX('Providers'!$N$4:$N$503,397)))=0,"","Carrier: "&amp;IF(LEN(INDEX('Providers'!$N$4:$N$503,397))=0,"",INDEX('Providers'!$N$4:$N$503,397))&amp;". ")&amp;IF(LEN(IF(LEN(INDEX('Providers'!$O$4:$O$503,397))=0,"",INDEX('Providers'!$O$4:$O$503,397)))=0,"","Policy no.: "&amp;IF(LEN(INDEX('Providers'!$O$4:$O$503,397))=0,"",INDEX('Providers'!$O$4:$O$503,397))&amp;". ")&amp;IF(LEN(IF(LEN(INDEX('Providers'!$P$4:$P$503,397))=0,"",INDEX('Providers'!$P$4:$P$503,397)))=0,"","Coverage form: "&amp;IF(LEN(INDEX('Providers'!$P$4:$P$503,397))=0,"",INDEX('Providers'!$P$4:$P$503,397))&amp;". "))</f>
        <v/>
      </c>
      <c r="J2400">
        <f>IF(LEN(INDEX('Providers'!$AJ$4:$AJ$503,397))=0,"",INDEX('Providers'!$AJ$4:$AJ$503,397))</f>
        <v/>
      </c>
      <c r="K2400">
        <f>IF(LEN(INDEX('Providers'!$AI$4:$AI$503,397))=0,"",INDEX('Providers'!$AI$4:$AI$503,397))</f>
        <v/>
      </c>
    </row>
    <row r="2401">
      <c r="A2401">
        <f>IF(AND(LEN('Providers'!A401)&gt;0,ISNUMBER('Providers'!Q401)),1,0)</f>
        <v/>
      </c>
      <c r="B2401">
        <f>B2400+A2401</f>
        <v/>
      </c>
      <c r="C2401">
        <f>IF(2398&gt;$B$4503,"",MATCH(2398-0.5,$B$3:$B$4503,1))</f>
        <v/>
      </c>
      <c r="D2401">
        <f>"Malpractice insurance – "&amp;IF(LEN(INDEX('Providers'!$A$4:$A$503,398))=0,"",INDEX('Providers'!$A$4:$A$503,398))</f>
        <v/>
      </c>
      <c r="E2401">
        <f>IF(ISNUMBER(INDEX('Providers'!$Q$4:$Q$503,398)),TEXT(INDEX('Providers'!$Q$4:$Q$503,398),"yyyy-mm-dd"),"")</f>
        <v/>
      </c>
      <c r="F2401">
        <f>"Insurance"</f>
        <v/>
      </c>
      <c r="G2401">
        <f>""</f>
        <v/>
      </c>
      <c r="H2401">
        <f>"High"</f>
        <v/>
      </c>
      <c r="I2401">
        <f>TRIM(IF(LEN(IF(LEN(INDEX('Providers'!$N$4:$N$503,398))=0,"",INDEX('Providers'!$N$4:$N$503,398)))=0,"","Carrier: "&amp;IF(LEN(INDEX('Providers'!$N$4:$N$503,398))=0,"",INDEX('Providers'!$N$4:$N$503,398))&amp;". ")&amp;IF(LEN(IF(LEN(INDEX('Providers'!$O$4:$O$503,398))=0,"",INDEX('Providers'!$O$4:$O$503,398)))=0,"","Policy no.: "&amp;IF(LEN(INDEX('Providers'!$O$4:$O$503,398))=0,"",INDEX('Providers'!$O$4:$O$503,398))&amp;". ")&amp;IF(LEN(IF(LEN(INDEX('Providers'!$P$4:$P$503,398))=0,"",INDEX('Providers'!$P$4:$P$503,398)))=0,"","Coverage form: "&amp;IF(LEN(INDEX('Providers'!$P$4:$P$503,398))=0,"",INDEX('Providers'!$P$4:$P$503,398))&amp;". "))</f>
        <v/>
      </c>
      <c r="J2401">
        <f>IF(LEN(INDEX('Providers'!$AJ$4:$AJ$503,398))=0,"",INDEX('Providers'!$AJ$4:$AJ$503,398))</f>
        <v/>
      </c>
      <c r="K2401">
        <f>IF(LEN(INDEX('Providers'!$AI$4:$AI$503,398))=0,"",INDEX('Providers'!$AI$4:$AI$503,398))</f>
        <v/>
      </c>
    </row>
    <row r="2402">
      <c r="A2402">
        <f>IF(AND(LEN('Providers'!A402)&gt;0,ISNUMBER('Providers'!Q402)),1,0)</f>
        <v/>
      </c>
      <c r="B2402">
        <f>B2401+A2402</f>
        <v/>
      </c>
      <c r="C2402">
        <f>IF(2399&gt;$B$4503,"",MATCH(2399-0.5,$B$3:$B$4503,1))</f>
        <v/>
      </c>
      <c r="D2402">
        <f>"Malpractice insurance – "&amp;IF(LEN(INDEX('Providers'!$A$4:$A$503,399))=0,"",INDEX('Providers'!$A$4:$A$503,399))</f>
        <v/>
      </c>
      <c r="E2402">
        <f>IF(ISNUMBER(INDEX('Providers'!$Q$4:$Q$503,399)),TEXT(INDEX('Providers'!$Q$4:$Q$503,399),"yyyy-mm-dd"),"")</f>
        <v/>
      </c>
      <c r="F2402">
        <f>"Insurance"</f>
        <v/>
      </c>
      <c r="G2402">
        <f>""</f>
        <v/>
      </c>
      <c r="H2402">
        <f>"High"</f>
        <v/>
      </c>
      <c r="I2402">
        <f>TRIM(IF(LEN(IF(LEN(INDEX('Providers'!$N$4:$N$503,399))=0,"",INDEX('Providers'!$N$4:$N$503,399)))=0,"","Carrier: "&amp;IF(LEN(INDEX('Providers'!$N$4:$N$503,399))=0,"",INDEX('Providers'!$N$4:$N$503,399))&amp;". ")&amp;IF(LEN(IF(LEN(INDEX('Providers'!$O$4:$O$503,399))=0,"",INDEX('Providers'!$O$4:$O$503,399)))=0,"","Policy no.: "&amp;IF(LEN(INDEX('Providers'!$O$4:$O$503,399))=0,"",INDEX('Providers'!$O$4:$O$503,399))&amp;". ")&amp;IF(LEN(IF(LEN(INDEX('Providers'!$P$4:$P$503,399))=0,"",INDEX('Providers'!$P$4:$P$503,399)))=0,"","Coverage form: "&amp;IF(LEN(INDEX('Providers'!$P$4:$P$503,399))=0,"",INDEX('Providers'!$P$4:$P$503,399))&amp;". "))</f>
        <v/>
      </c>
      <c r="J2402">
        <f>IF(LEN(INDEX('Providers'!$AJ$4:$AJ$503,399))=0,"",INDEX('Providers'!$AJ$4:$AJ$503,399))</f>
        <v/>
      </c>
      <c r="K2402">
        <f>IF(LEN(INDEX('Providers'!$AI$4:$AI$503,399))=0,"",INDEX('Providers'!$AI$4:$AI$503,399))</f>
        <v/>
      </c>
    </row>
    <row r="2403">
      <c r="A2403">
        <f>IF(AND(LEN('Providers'!A403)&gt;0,ISNUMBER('Providers'!Q403)),1,0)</f>
        <v/>
      </c>
      <c r="B2403">
        <f>B2402+A2403</f>
        <v/>
      </c>
      <c r="C2403">
        <f>IF(2400&gt;$B$4503,"",MATCH(2400-0.5,$B$3:$B$4503,1))</f>
        <v/>
      </c>
      <c r="D2403">
        <f>"Malpractice insurance – "&amp;IF(LEN(INDEX('Providers'!$A$4:$A$503,400))=0,"",INDEX('Providers'!$A$4:$A$503,400))</f>
        <v/>
      </c>
      <c r="E2403">
        <f>IF(ISNUMBER(INDEX('Providers'!$Q$4:$Q$503,400)),TEXT(INDEX('Providers'!$Q$4:$Q$503,400),"yyyy-mm-dd"),"")</f>
        <v/>
      </c>
      <c r="F2403">
        <f>"Insurance"</f>
        <v/>
      </c>
      <c r="G2403">
        <f>""</f>
        <v/>
      </c>
      <c r="H2403">
        <f>"High"</f>
        <v/>
      </c>
      <c r="I2403">
        <f>TRIM(IF(LEN(IF(LEN(INDEX('Providers'!$N$4:$N$503,400))=0,"",INDEX('Providers'!$N$4:$N$503,400)))=0,"","Carrier: "&amp;IF(LEN(INDEX('Providers'!$N$4:$N$503,400))=0,"",INDEX('Providers'!$N$4:$N$503,400))&amp;". ")&amp;IF(LEN(IF(LEN(INDEX('Providers'!$O$4:$O$503,400))=0,"",INDEX('Providers'!$O$4:$O$503,400)))=0,"","Policy no.: "&amp;IF(LEN(INDEX('Providers'!$O$4:$O$503,400))=0,"",INDEX('Providers'!$O$4:$O$503,400))&amp;". ")&amp;IF(LEN(IF(LEN(INDEX('Providers'!$P$4:$P$503,400))=0,"",INDEX('Providers'!$P$4:$P$503,400)))=0,"","Coverage form: "&amp;IF(LEN(INDEX('Providers'!$P$4:$P$503,400))=0,"",INDEX('Providers'!$P$4:$P$503,400))&amp;". "))</f>
        <v/>
      </c>
      <c r="J2403">
        <f>IF(LEN(INDEX('Providers'!$AJ$4:$AJ$503,400))=0,"",INDEX('Providers'!$AJ$4:$AJ$503,400))</f>
        <v/>
      </c>
      <c r="K2403">
        <f>IF(LEN(INDEX('Providers'!$AI$4:$AI$503,400))=0,"",INDEX('Providers'!$AI$4:$AI$503,400))</f>
        <v/>
      </c>
    </row>
    <row r="2404">
      <c r="A2404">
        <f>IF(AND(LEN('Providers'!A404)&gt;0,ISNUMBER('Providers'!Q404)),1,0)</f>
        <v/>
      </c>
      <c r="B2404">
        <f>B2403+A2404</f>
        <v/>
      </c>
      <c r="C2404">
        <f>IF(2401&gt;$B$4503,"",MATCH(2401-0.5,$B$3:$B$4503,1))</f>
        <v/>
      </c>
      <c r="D2404">
        <f>"Malpractice insurance – "&amp;IF(LEN(INDEX('Providers'!$A$4:$A$503,401))=0,"",INDEX('Providers'!$A$4:$A$503,401))</f>
        <v/>
      </c>
      <c r="E2404">
        <f>IF(ISNUMBER(INDEX('Providers'!$Q$4:$Q$503,401)),TEXT(INDEX('Providers'!$Q$4:$Q$503,401),"yyyy-mm-dd"),"")</f>
        <v/>
      </c>
      <c r="F2404">
        <f>"Insurance"</f>
        <v/>
      </c>
      <c r="G2404">
        <f>""</f>
        <v/>
      </c>
      <c r="H2404">
        <f>"High"</f>
        <v/>
      </c>
      <c r="I2404">
        <f>TRIM(IF(LEN(IF(LEN(INDEX('Providers'!$N$4:$N$503,401))=0,"",INDEX('Providers'!$N$4:$N$503,401)))=0,"","Carrier: "&amp;IF(LEN(INDEX('Providers'!$N$4:$N$503,401))=0,"",INDEX('Providers'!$N$4:$N$503,401))&amp;". ")&amp;IF(LEN(IF(LEN(INDEX('Providers'!$O$4:$O$503,401))=0,"",INDEX('Providers'!$O$4:$O$503,401)))=0,"","Policy no.: "&amp;IF(LEN(INDEX('Providers'!$O$4:$O$503,401))=0,"",INDEX('Providers'!$O$4:$O$503,401))&amp;". ")&amp;IF(LEN(IF(LEN(INDEX('Providers'!$P$4:$P$503,401))=0,"",INDEX('Providers'!$P$4:$P$503,401)))=0,"","Coverage form: "&amp;IF(LEN(INDEX('Providers'!$P$4:$P$503,401))=0,"",INDEX('Providers'!$P$4:$P$503,401))&amp;". "))</f>
        <v/>
      </c>
      <c r="J2404">
        <f>IF(LEN(INDEX('Providers'!$AJ$4:$AJ$503,401))=0,"",INDEX('Providers'!$AJ$4:$AJ$503,401))</f>
        <v/>
      </c>
      <c r="K2404">
        <f>IF(LEN(INDEX('Providers'!$AI$4:$AI$503,401))=0,"",INDEX('Providers'!$AI$4:$AI$503,401))</f>
        <v/>
      </c>
    </row>
    <row r="2405">
      <c r="A2405">
        <f>IF(AND(LEN('Providers'!A405)&gt;0,ISNUMBER('Providers'!Q405)),1,0)</f>
        <v/>
      </c>
      <c r="B2405">
        <f>B2404+A2405</f>
        <v/>
      </c>
      <c r="C2405">
        <f>IF(2402&gt;$B$4503,"",MATCH(2402-0.5,$B$3:$B$4503,1))</f>
        <v/>
      </c>
      <c r="D2405">
        <f>"Malpractice insurance – "&amp;IF(LEN(INDEX('Providers'!$A$4:$A$503,402))=0,"",INDEX('Providers'!$A$4:$A$503,402))</f>
        <v/>
      </c>
      <c r="E2405">
        <f>IF(ISNUMBER(INDEX('Providers'!$Q$4:$Q$503,402)),TEXT(INDEX('Providers'!$Q$4:$Q$503,402),"yyyy-mm-dd"),"")</f>
        <v/>
      </c>
      <c r="F2405">
        <f>"Insurance"</f>
        <v/>
      </c>
      <c r="G2405">
        <f>""</f>
        <v/>
      </c>
      <c r="H2405">
        <f>"High"</f>
        <v/>
      </c>
      <c r="I2405">
        <f>TRIM(IF(LEN(IF(LEN(INDEX('Providers'!$N$4:$N$503,402))=0,"",INDEX('Providers'!$N$4:$N$503,402)))=0,"","Carrier: "&amp;IF(LEN(INDEX('Providers'!$N$4:$N$503,402))=0,"",INDEX('Providers'!$N$4:$N$503,402))&amp;". ")&amp;IF(LEN(IF(LEN(INDEX('Providers'!$O$4:$O$503,402))=0,"",INDEX('Providers'!$O$4:$O$503,402)))=0,"","Policy no.: "&amp;IF(LEN(INDEX('Providers'!$O$4:$O$503,402))=0,"",INDEX('Providers'!$O$4:$O$503,402))&amp;". ")&amp;IF(LEN(IF(LEN(INDEX('Providers'!$P$4:$P$503,402))=0,"",INDEX('Providers'!$P$4:$P$503,402)))=0,"","Coverage form: "&amp;IF(LEN(INDEX('Providers'!$P$4:$P$503,402))=0,"",INDEX('Providers'!$P$4:$P$503,402))&amp;". "))</f>
        <v/>
      </c>
      <c r="J2405">
        <f>IF(LEN(INDEX('Providers'!$AJ$4:$AJ$503,402))=0,"",INDEX('Providers'!$AJ$4:$AJ$503,402))</f>
        <v/>
      </c>
      <c r="K2405">
        <f>IF(LEN(INDEX('Providers'!$AI$4:$AI$503,402))=0,"",INDEX('Providers'!$AI$4:$AI$503,402))</f>
        <v/>
      </c>
    </row>
    <row r="2406">
      <c r="A2406">
        <f>IF(AND(LEN('Providers'!A406)&gt;0,ISNUMBER('Providers'!Q406)),1,0)</f>
        <v/>
      </c>
      <c r="B2406">
        <f>B2405+A2406</f>
        <v/>
      </c>
      <c r="C2406">
        <f>IF(2403&gt;$B$4503,"",MATCH(2403-0.5,$B$3:$B$4503,1))</f>
        <v/>
      </c>
      <c r="D2406">
        <f>"Malpractice insurance – "&amp;IF(LEN(INDEX('Providers'!$A$4:$A$503,403))=0,"",INDEX('Providers'!$A$4:$A$503,403))</f>
        <v/>
      </c>
      <c r="E2406">
        <f>IF(ISNUMBER(INDEX('Providers'!$Q$4:$Q$503,403)),TEXT(INDEX('Providers'!$Q$4:$Q$503,403),"yyyy-mm-dd"),"")</f>
        <v/>
      </c>
      <c r="F2406">
        <f>"Insurance"</f>
        <v/>
      </c>
      <c r="G2406">
        <f>""</f>
        <v/>
      </c>
      <c r="H2406">
        <f>"High"</f>
        <v/>
      </c>
      <c r="I2406">
        <f>TRIM(IF(LEN(IF(LEN(INDEX('Providers'!$N$4:$N$503,403))=0,"",INDEX('Providers'!$N$4:$N$503,403)))=0,"","Carrier: "&amp;IF(LEN(INDEX('Providers'!$N$4:$N$503,403))=0,"",INDEX('Providers'!$N$4:$N$503,403))&amp;". ")&amp;IF(LEN(IF(LEN(INDEX('Providers'!$O$4:$O$503,403))=0,"",INDEX('Providers'!$O$4:$O$503,403)))=0,"","Policy no.: "&amp;IF(LEN(INDEX('Providers'!$O$4:$O$503,403))=0,"",INDEX('Providers'!$O$4:$O$503,403))&amp;". ")&amp;IF(LEN(IF(LEN(INDEX('Providers'!$P$4:$P$503,403))=0,"",INDEX('Providers'!$P$4:$P$503,403)))=0,"","Coverage form: "&amp;IF(LEN(INDEX('Providers'!$P$4:$P$503,403))=0,"",INDEX('Providers'!$P$4:$P$503,403))&amp;". "))</f>
        <v/>
      </c>
      <c r="J2406">
        <f>IF(LEN(INDEX('Providers'!$AJ$4:$AJ$503,403))=0,"",INDEX('Providers'!$AJ$4:$AJ$503,403))</f>
        <v/>
      </c>
      <c r="K2406">
        <f>IF(LEN(INDEX('Providers'!$AI$4:$AI$503,403))=0,"",INDEX('Providers'!$AI$4:$AI$503,403))</f>
        <v/>
      </c>
    </row>
    <row r="2407">
      <c r="A2407">
        <f>IF(AND(LEN('Providers'!A407)&gt;0,ISNUMBER('Providers'!Q407)),1,0)</f>
        <v/>
      </c>
      <c r="B2407">
        <f>B2406+A2407</f>
        <v/>
      </c>
      <c r="C2407">
        <f>IF(2404&gt;$B$4503,"",MATCH(2404-0.5,$B$3:$B$4503,1))</f>
        <v/>
      </c>
      <c r="D2407">
        <f>"Malpractice insurance – "&amp;IF(LEN(INDEX('Providers'!$A$4:$A$503,404))=0,"",INDEX('Providers'!$A$4:$A$503,404))</f>
        <v/>
      </c>
      <c r="E2407">
        <f>IF(ISNUMBER(INDEX('Providers'!$Q$4:$Q$503,404)),TEXT(INDEX('Providers'!$Q$4:$Q$503,404),"yyyy-mm-dd"),"")</f>
        <v/>
      </c>
      <c r="F2407">
        <f>"Insurance"</f>
        <v/>
      </c>
      <c r="G2407">
        <f>""</f>
        <v/>
      </c>
      <c r="H2407">
        <f>"High"</f>
        <v/>
      </c>
      <c r="I2407">
        <f>TRIM(IF(LEN(IF(LEN(INDEX('Providers'!$N$4:$N$503,404))=0,"",INDEX('Providers'!$N$4:$N$503,404)))=0,"","Carrier: "&amp;IF(LEN(INDEX('Providers'!$N$4:$N$503,404))=0,"",INDEX('Providers'!$N$4:$N$503,404))&amp;". ")&amp;IF(LEN(IF(LEN(INDEX('Providers'!$O$4:$O$503,404))=0,"",INDEX('Providers'!$O$4:$O$503,404)))=0,"","Policy no.: "&amp;IF(LEN(INDEX('Providers'!$O$4:$O$503,404))=0,"",INDEX('Providers'!$O$4:$O$503,404))&amp;". ")&amp;IF(LEN(IF(LEN(INDEX('Providers'!$P$4:$P$503,404))=0,"",INDEX('Providers'!$P$4:$P$503,404)))=0,"","Coverage form: "&amp;IF(LEN(INDEX('Providers'!$P$4:$P$503,404))=0,"",INDEX('Providers'!$P$4:$P$503,404))&amp;". "))</f>
        <v/>
      </c>
      <c r="J2407">
        <f>IF(LEN(INDEX('Providers'!$AJ$4:$AJ$503,404))=0,"",INDEX('Providers'!$AJ$4:$AJ$503,404))</f>
        <v/>
      </c>
      <c r="K2407">
        <f>IF(LEN(INDEX('Providers'!$AI$4:$AI$503,404))=0,"",INDEX('Providers'!$AI$4:$AI$503,404))</f>
        <v/>
      </c>
    </row>
    <row r="2408">
      <c r="A2408">
        <f>IF(AND(LEN('Providers'!A408)&gt;0,ISNUMBER('Providers'!Q408)),1,0)</f>
        <v/>
      </c>
      <c r="B2408">
        <f>B2407+A2408</f>
        <v/>
      </c>
      <c r="C2408">
        <f>IF(2405&gt;$B$4503,"",MATCH(2405-0.5,$B$3:$B$4503,1))</f>
        <v/>
      </c>
      <c r="D2408">
        <f>"Malpractice insurance – "&amp;IF(LEN(INDEX('Providers'!$A$4:$A$503,405))=0,"",INDEX('Providers'!$A$4:$A$503,405))</f>
        <v/>
      </c>
      <c r="E2408">
        <f>IF(ISNUMBER(INDEX('Providers'!$Q$4:$Q$503,405)),TEXT(INDEX('Providers'!$Q$4:$Q$503,405),"yyyy-mm-dd"),"")</f>
        <v/>
      </c>
      <c r="F2408">
        <f>"Insurance"</f>
        <v/>
      </c>
      <c r="G2408">
        <f>""</f>
        <v/>
      </c>
      <c r="H2408">
        <f>"High"</f>
        <v/>
      </c>
      <c r="I2408">
        <f>TRIM(IF(LEN(IF(LEN(INDEX('Providers'!$N$4:$N$503,405))=0,"",INDEX('Providers'!$N$4:$N$503,405)))=0,"","Carrier: "&amp;IF(LEN(INDEX('Providers'!$N$4:$N$503,405))=0,"",INDEX('Providers'!$N$4:$N$503,405))&amp;". ")&amp;IF(LEN(IF(LEN(INDEX('Providers'!$O$4:$O$503,405))=0,"",INDEX('Providers'!$O$4:$O$503,405)))=0,"","Policy no.: "&amp;IF(LEN(INDEX('Providers'!$O$4:$O$503,405))=0,"",INDEX('Providers'!$O$4:$O$503,405))&amp;". ")&amp;IF(LEN(IF(LEN(INDEX('Providers'!$P$4:$P$503,405))=0,"",INDEX('Providers'!$P$4:$P$503,405)))=0,"","Coverage form: "&amp;IF(LEN(INDEX('Providers'!$P$4:$P$503,405))=0,"",INDEX('Providers'!$P$4:$P$503,405))&amp;". "))</f>
        <v/>
      </c>
      <c r="J2408">
        <f>IF(LEN(INDEX('Providers'!$AJ$4:$AJ$503,405))=0,"",INDEX('Providers'!$AJ$4:$AJ$503,405))</f>
        <v/>
      </c>
      <c r="K2408">
        <f>IF(LEN(INDEX('Providers'!$AI$4:$AI$503,405))=0,"",INDEX('Providers'!$AI$4:$AI$503,405))</f>
        <v/>
      </c>
    </row>
    <row r="2409">
      <c r="A2409">
        <f>IF(AND(LEN('Providers'!A409)&gt;0,ISNUMBER('Providers'!Q409)),1,0)</f>
        <v/>
      </c>
      <c r="B2409">
        <f>B2408+A2409</f>
        <v/>
      </c>
      <c r="C2409">
        <f>IF(2406&gt;$B$4503,"",MATCH(2406-0.5,$B$3:$B$4503,1))</f>
        <v/>
      </c>
      <c r="D2409">
        <f>"Malpractice insurance – "&amp;IF(LEN(INDEX('Providers'!$A$4:$A$503,406))=0,"",INDEX('Providers'!$A$4:$A$503,406))</f>
        <v/>
      </c>
      <c r="E2409">
        <f>IF(ISNUMBER(INDEX('Providers'!$Q$4:$Q$503,406)),TEXT(INDEX('Providers'!$Q$4:$Q$503,406),"yyyy-mm-dd"),"")</f>
        <v/>
      </c>
      <c r="F2409">
        <f>"Insurance"</f>
        <v/>
      </c>
      <c r="G2409">
        <f>""</f>
        <v/>
      </c>
      <c r="H2409">
        <f>"High"</f>
        <v/>
      </c>
      <c r="I2409">
        <f>TRIM(IF(LEN(IF(LEN(INDEX('Providers'!$N$4:$N$503,406))=0,"",INDEX('Providers'!$N$4:$N$503,406)))=0,"","Carrier: "&amp;IF(LEN(INDEX('Providers'!$N$4:$N$503,406))=0,"",INDEX('Providers'!$N$4:$N$503,406))&amp;". ")&amp;IF(LEN(IF(LEN(INDEX('Providers'!$O$4:$O$503,406))=0,"",INDEX('Providers'!$O$4:$O$503,406)))=0,"","Policy no.: "&amp;IF(LEN(INDEX('Providers'!$O$4:$O$503,406))=0,"",INDEX('Providers'!$O$4:$O$503,406))&amp;". ")&amp;IF(LEN(IF(LEN(INDEX('Providers'!$P$4:$P$503,406))=0,"",INDEX('Providers'!$P$4:$P$503,406)))=0,"","Coverage form: "&amp;IF(LEN(INDEX('Providers'!$P$4:$P$503,406))=0,"",INDEX('Providers'!$P$4:$P$503,406))&amp;". "))</f>
        <v/>
      </c>
      <c r="J2409">
        <f>IF(LEN(INDEX('Providers'!$AJ$4:$AJ$503,406))=0,"",INDEX('Providers'!$AJ$4:$AJ$503,406))</f>
        <v/>
      </c>
      <c r="K2409">
        <f>IF(LEN(INDEX('Providers'!$AI$4:$AI$503,406))=0,"",INDEX('Providers'!$AI$4:$AI$503,406))</f>
        <v/>
      </c>
    </row>
    <row r="2410">
      <c r="A2410">
        <f>IF(AND(LEN('Providers'!A410)&gt;0,ISNUMBER('Providers'!Q410)),1,0)</f>
        <v/>
      </c>
      <c r="B2410">
        <f>B2409+A2410</f>
        <v/>
      </c>
      <c r="C2410">
        <f>IF(2407&gt;$B$4503,"",MATCH(2407-0.5,$B$3:$B$4503,1))</f>
        <v/>
      </c>
      <c r="D2410">
        <f>"Malpractice insurance – "&amp;IF(LEN(INDEX('Providers'!$A$4:$A$503,407))=0,"",INDEX('Providers'!$A$4:$A$503,407))</f>
        <v/>
      </c>
      <c r="E2410">
        <f>IF(ISNUMBER(INDEX('Providers'!$Q$4:$Q$503,407)),TEXT(INDEX('Providers'!$Q$4:$Q$503,407),"yyyy-mm-dd"),"")</f>
        <v/>
      </c>
      <c r="F2410">
        <f>"Insurance"</f>
        <v/>
      </c>
      <c r="G2410">
        <f>""</f>
        <v/>
      </c>
      <c r="H2410">
        <f>"High"</f>
        <v/>
      </c>
      <c r="I2410">
        <f>TRIM(IF(LEN(IF(LEN(INDEX('Providers'!$N$4:$N$503,407))=0,"",INDEX('Providers'!$N$4:$N$503,407)))=0,"","Carrier: "&amp;IF(LEN(INDEX('Providers'!$N$4:$N$503,407))=0,"",INDEX('Providers'!$N$4:$N$503,407))&amp;". ")&amp;IF(LEN(IF(LEN(INDEX('Providers'!$O$4:$O$503,407))=0,"",INDEX('Providers'!$O$4:$O$503,407)))=0,"","Policy no.: "&amp;IF(LEN(INDEX('Providers'!$O$4:$O$503,407))=0,"",INDEX('Providers'!$O$4:$O$503,407))&amp;". ")&amp;IF(LEN(IF(LEN(INDEX('Providers'!$P$4:$P$503,407))=0,"",INDEX('Providers'!$P$4:$P$503,407)))=0,"","Coverage form: "&amp;IF(LEN(INDEX('Providers'!$P$4:$P$503,407))=0,"",INDEX('Providers'!$P$4:$P$503,407))&amp;". "))</f>
        <v/>
      </c>
      <c r="J2410">
        <f>IF(LEN(INDEX('Providers'!$AJ$4:$AJ$503,407))=0,"",INDEX('Providers'!$AJ$4:$AJ$503,407))</f>
        <v/>
      </c>
      <c r="K2410">
        <f>IF(LEN(INDEX('Providers'!$AI$4:$AI$503,407))=0,"",INDEX('Providers'!$AI$4:$AI$503,407))</f>
        <v/>
      </c>
    </row>
    <row r="2411">
      <c r="A2411">
        <f>IF(AND(LEN('Providers'!A411)&gt;0,ISNUMBER('Providers'!Q411)),1,0)</f>
        <v/>
      </c>
      <c r="B2411">
        <f>B2410+A2411</f>
        <v/>
      </c>
      <c r="C2411">
        <f>IF(2408&gt;$B$4503,"",MATCH(2408-0.5,$B$3:$B$4503,1))</f>
        <v/>
      </c>
      <c r="D2411">
        <f>"Malpractice insurance – "&amp;IF(LEN(INDEX('Providers'!$A$4:$A$503,408))=0,"",INDEX('Providers'!$A$4:$A$503,408))</f>
        <v/>
      </c>
      <c r="E2411">
        <f>IF(ISNUMBER(INDEX('Providers'!$Q$4:$Q$503,408)),TEXT(INDEX('Providers'!$Q$4:$Q$503,408),"yyyy-mm-dd"),"")</f>
        <v/>
      </c>
      <c r="F2411">
        <f>"Insurance"</f>
        <v/>
      </c>
      <c r="G2411">
        <f>""</f>
        <v/>
      </c>
      <c r="H2411">
        <f>"High"</f>
        <v/>
      </c>
      <c r="I2411">
        <f>TRIM(IF(LEN(IF(LEN(INDEX('Providers'!$N$4:$N$503,408))=0,"",INDEX('Providers'!$N$4:$N$503,408)))=0,"","Carrier: "&amp;IF(LEN(INDEX('Providers'!$N$4:$N$503,408))=0,"",INDEX('Providers'!$N$4:$N$503,408))&amp;". ")&amp;IF(LEN(IF(LEN(INDEX('Providers'!$O$4:$O$503,408))=0,"",INDEX('Providers'!$O$4:$O$503,408)))=0,"","Policy no.: "&amp;IF(LEN(INDEX('Providers'!$O$4:$O$503,408))=0,"",INDEX('Providers'!$O$4:$O$503,408))&amp;". ")&amp;IF(LEN(IF(LEN(INDEX('Providers'!$P$4:$P$503,408))=0,"",INDEX('Providers'!$P$4:$P$503,408)))=0,"","Coverage form: "&amp;IF(LEN(INDEX('Providers'!$P$4:$P$503,408))=0,"",INDEX('Providers'!$P$4:$P$503,408))&amp;". "))</f>
        <v/>
      </c>
      <c r="J2411">
        <f>IF(LEN(INDEX('Providers'!$AJ$4:$AJ$503,408))=0,"",INDEX('Providers'!$AJ$4:$AJ$503,408))</f>
        <v/>
      </c>
      <c r="K2411">
        <f>IF(LEN(INDEX('Providers'!$AI$4:$AI$503,408))=0,"",INDEX('Providers'!$AI$4:$AI$503,408))</f>
        <v/>
      </c>
    </row>
    <row r="2412">
      <c r="A2412">
        <f>IF(AND(LEN('Providers'!A412)&gt;0,ISNUMBER('Providers'!Q412)),1,0)</f>
        <v/>
      </c>
      <c r="B2412">
        <f>B2411+A2412</f>
        <v/>
      </c>
      <c r="C2412">
        <f>IF(2409&gt;$B$4503,"",MATCH(2409-0.5,$B$3:$B$4503,1))</f>
        <v/>
      </c>
      <c r="D2412">
        <f>"Malpractice insurance – "&amp;IF(LEN(INDEX('Providers'!$A$4:$A$503,409))=0,"",INDEX('Providers'!$A$4:$A$503,409))</f>
        <v/>
      </c>
      <c r="E2412">
        <f>IF(ISNUMBER(INDEX('Providers'!$Q$4:$Q$503,409)),TEXT(INDEX('Providers'!$Q$4:$Q$503,409),"yyyy-mm-dd"),"")</f>
        <v/>
      </c>
      <c r="F2412">
        <f>"Insurance"</f>
        <v/>
      </c>
      <c r="G2412">
        <f>""</f>
        <v/>
      </c>
      <c r="H2412">
        <f>"High"</f>
        <v/>
      </c>
      <c r="I2412">
        <f>TRIM(IF(LEN(IF(LEN(INDEX('Providers'!$N$4:$N$503,409))=0,"",INDEX('Providers'!$N$4:$N$503,409)))=0,"","Carrier: "&amp;IF(LEN(INDEX('Providers'!$N$4:$N$503,409))=0,"",INDEX('Providers'!$N$4:$N$503,409))&amp;". ")&amp;IF(LEN(IF(LEN(INDEX('Providers'!$O$4:$O$503,409))=0,"",INDEX('Providers'!$O$4:$O$503,409)))=0,"","Policy no.: "&amp;IF(LEN(INDEX('Providers'!$O$4:$O$503,409))=0,"",INDEX('Providers'!$O$4:$O$503,409))&amp;". ")&amp;IF(LEN(IF(LEN(INDEX('Providers'!$P$4:$P$503,409))=0,"",INDEX('Providers'!$P$4:$P$503,409)))=0,"","Coverage form: "&amp;IF(LEN(INDEX('Providers'!$P$4:$P$503,409))=0,"",INDEX('Providers'!$P$4:$P$503,409))&amp;". "))</f>
        <v/>
      </c>
      <c r="J2412">
        <f>IF(LEN(INDEX('Providers'!$AJ$4:$AJ$503,409))=0,"",INDEX('Providers'!$AJ$4:$AJ$503,409))</f>
        <v/>
      </c>
      <c r="K2412">
        <f>IF(LEN(INDEX('Providers'!$AI$4:$AI$503,409))=0,"",INDEX('Providers'!$AI$4:$AI$503,409))</f>
        <v/>
      </c>
    </row>
    <row r="2413">
      <c r="A2413">
        <f>IF(AND(LEN('Providers'!A413)&gt;0,ISNUMBER('Providers'!Q413)),1,0)</f>
        <v/>
      </c>
      <c r="B2413">
        <f>B2412+A2413</f>
        <v/>
      </c>
      <c r="C2413">
        <f>IF(2410&gt;$B$4503,"",MATCH(2410-0.5,$B$3:$B$4503,1))</f>
        <v/>
      </c>
      <c r="D2413">
        <f>"Malpractice insurance – "&amp;IF(LEN(INDEX('Providers'!$A$4:$A$503,410))=0,"",INDEX('Providers'!$A$4:$A$503,410))</f>
        <v/>
      </c>
      <c r="E2413">
        <f>IF(ISNUMBER(INDEX('Providers'!$Q$4:$Q$503,410)),TEXT(INDEX('Providers'!$Q$4:$Q$503,410),"yyyy-mm-dd"),"")</f>
        <v/>
      </c>
      <c r="F2413">
        <f>"Insurance"</f>
        <v/>
      </c>
      <c r="G2413">
        <f>""</f>
        <v/>
      </c>
      <c r="H2413">
        <f>"High"</f>
        <v/>
      </c>
      <c r="I2413">
        <f>TRIM(IF(LEN(IF(LEN(INDEX('Providers'!$N$4:$N$503,410))=0,"",INDEX('Providers'!$N$4:$N$503,410)))=0,"","Carrier: "&amp;IF(LEN(INDEX('Providers'!$N$4:$N$503,410))=0,"",INDEX('Providers'!$N$4:$N$503,410))&amp;". ")&amp;IF(LEN(IF(LEN(INDEX('Providers'!$O$4:$O$503,410))=0,"",INDEX('Providers'!$O$4:$O$503,410)))=0,"","Policy no.: "&amp;IF(LEN(INDEX('Providers'!$O$4:$O$503,410))=0,"",INDEX('Providers'!$O$4:$O$503,410))&amp;". ")&amp;IF(LEN(IF(LEN(INDEX('Providers'!$P$4:$P$503,410))=0,"",INDEX('Providers'!$P$4:$P$503,410)))=0,"","Coverage form: "&amp;IF(LEN(INDEX('Providers'!$P$4:$P$503,410))=0,"",INDEX('Providers'!$P$4:$P$503,410))&amp;". "))</f>
        <v/>
      </c>
      <c r="J2413">
        <f>IF(LEN(INDEX('Providers'!$AJ$4:$AJ$503,410))=0,"",INDEX('Providers'!$AJ$4:$AJ$503,410))</f>
        <v/>
      </c>
      <c r="K2413">
        <f>IF(LEN(INDEX('Providers'!$AI$4:$AI$503,410))=0,"",INDEX('Providers'!$AI$4:$AI$503,410))</f>
        <v/>
      </c>
    </row>
    <row r="2414">
      <c r="A2414">
        <f>IF(AND(LEN('Providers'!A414)&gt;0,ISNUMBER('Providers'!Q414)),1,0)</f>
        <v/>
      </c>
      <c r="B2414">
        <f>B2413+A2414</f>
        <v/>
      </c>
      <c r="C2414">
        <f>IF(2411&gt;$B$4503,"",MATCH(2411-0.5,$B$3:$B$4503,1))</f>
        <v/>
      </c>
      <c r="D2414">
        <f>"Malpractice insurance – "&amp;IF(LEN(INDEX('Providers'!$A$4:$A$503,411))=0,"",INDEX('Providers'!$A$4:$A$503,411))</f>
        <v/>
      </c>
      <c r="E2414">
        <f>IF(ISNUMBER(INDEX('Providers'!$Q$4:$Q$503,411)),TEXT(INDEX('Providers'!$Q$4:$Q$503,411),"yyyy-mm-dd"),"")</f>
        <v/>
      </c>
      <c r="F2414">
        <f>"Insurance"</f>
        <v/>
      </c>
      <c r="G2414">
        <f>""</f>
        <v/>
      </c>
      <c r="H2414">
        <f>"High"</f>
        <v/>
      </c>
      <c r="I2414">
        <f>TRIM(IF(LEN(IF(LEN(INDEX('Providers'!$N$4:$N$503,411))=0,"",INDEX('Providers'!$N$4:$N$503,411)))=0,"","Carrier: "&amp;IF(LEN(INDEX('Providers'!$N$4:$N$503,411))=0,"",INDEX('Providers'!$N$4:$N$503,411))&amp;". ")&amp;IF(LEN(IF(LEN(INDEX('Providers'!$O$4:$O$503,411))=0,"",INDEX('Providers'!$O$4:$O$503,411)))=0,"","Policy no.: "&amp;IF(LEN(INDEX('Providers'!$O$4:$O$503,411))=0,"",INDEX('Providers'!$O$4:$O$503,411))&amp;". ")&amp;IF(LEN(IF(LEN(INDEX('Providers'!$P$4:$P$503,411))=0,"",INDEX('Providers'!$P$4:$P$503,411)))=0,"","Coverage form: "&amp;IF(LEN(INDEX('Providers'!$P$4:$P$503,411))=0,"",INDEX('Providers'!$P$4:$P$503,411))&amp;". "))</f>
        <v/>
      </c>
      <c r="J2414">
        <f>IF(LEN(INDEX('Providers'!$AJ$4:$AJ$503,411))=0,"",INDEX('Providers'!$AJ$4:$AJ$503,411))</f>
        <v/>
      </c>
      <c r="K2414">
        <f>IF(LEN(INDEX('Providers'!$AI$4:$AI$503,411))=0,"",INDEX('Providers'!$AI$4:$AI$503,411))</f>
        <v/>
      </c>
    </row>
    <row r="2415">
      <c r="A2415">
        <f>IF(AND(LEN('Providers'!A415)&gt;0,ISNUMBER('Providers'!Q415)),1,0)</f>
        <v/>
      </c>
      <c r="B2415">
        <f>B2414+A2415</f>
        <v/>
      </c>
      <c r="C2415">
        <f>IF(2412&gt;$B$4503,"",MATCH(2412-0.5,$B$3:$B$4503,1))</f>
        <v/>
      </c>
      <c r="D2415">
        <f>"Malpractice insurance – "&amp;IF(LEN(INDEX('Providers'!$A$4:$A$503,412))=0,"",INDEX('Providers'!$A$4:$A$503,412))</f>
        <v/>
      </c>
      <c r="E2415">
        <f>IF(ISNUMBER(INDEX('Providers'!$Q$4:$Q$503,412)),TEXT(INDEX('Providers'!$Q$4:$Q$503,412),"yyyy-mm-dd"),"")</f>
        <v/>
      </c>
      <c r="F2415">
        <f>"Insurance"</f>
        <v/>
      </c>
      <c r="G2415">
        <f>""</f>
        <v/>
      </c>
      <c r="H2415">
        <f>"High"</f>
        <v/>
      </c>
      <c r="I2415">
        <f>TRIM(IF(LEN(IF(LEN(INDEX('Providers'!$N$4:$N$503,412))=0,"",INDEX('Providers'!$N$4:$N$503,412)))=0,"","Carrier: "&amp;IF(LEN(INDEX('Providers'!$N$4:$N$503,412))=0,"",INDEX('Providers'!$N$4:$N$503,412))&amp;". ")&amp;IF(LEN(IF(LEN(INDEX('Providers'!$O$4:$O$503,412))=0,"",INDEX('Providers'!$O$4:$O$503,412)))=0,"","Policy no.: "&amp;IF(LEN(INDEX('Providers'!$O$4:$O$503,412))=0,"",INDEX('Providers'!$O$4:$O$503,412))&amp;". ")&amp;IF(LEN(IF(LEN(INDEX('Providers'!$P$4:$P$503,412))=0,"",INDEX('Providers'!$P$4:$P$503,412)))=0,"","Coverage form: "&amp;IF(LEN(INDEX('Providers'!$P$4:$P$503,412))=0,"",INDEX('Providers'!$P$4:$P$503,412))&amp;". "))</f>
        <v/>
      </c>
      <c r="J2415">
        <f>IF(LEN(INDEX('Providers'!$AJ$4:$AJ$503,412))=0,"",INDEX('Providers'!$AJ$4:$AJ$503,412))</f>
        <v/>
      </c>
      <c r="K2415">
        <f>IF(LEN(INDEX('Providers'!$AI$4:$AI$503,412))=0,"",INDEX('Providers'!$AI$4:$AI$503,412))</f>
        <v/>
      </c>
    </row>
    <row r="2416">
      <c r="A2416">
        <f>IF(AND(LEN('Providers'!A416)&gt;0,ISNUMBER('Providers'!Q416)),1,0)</f>
        <v/>
      </c>
      <c r="B2416">
        <f>B2415+A2416</f>
        <v/>
      </c>
      <c r="C2416">
        <f>IF(2413&gt;$B$4503,"",MATCH(2413-0.5,$B$3:$B$4503,1))</f>
        <v/>
      </c>
      <c r="D2416">
        <f>"Malpractice insurance – "&amp;IF(LEN(INDEX('Providers'!$A$4:$A$503,413))=0,"",INDEX('Providers'!$A$4:$A$503,413))</f>
        <v/>
      </c>
      <c r="E2416">
        <f>IF(ISNUMBER(INDEX('Providers'!$Q$4:$Q$503,413)),TEXT(INDEX('Providers'!$Q$4:$Q$503,413),"yyyy-mm-dd"),"")</f>
        <v/>
      </c>
      <c r="F2416">
        <f>"Insurance"</f>
        <v/>
      </c>
      <c r="G2416">
        <f>""</f>
        <v/>
      </c>
      <c r="H2416">
        <f>"High"</f>
        <v/>
      </c>
      <c r="I2416">
        <f>TRIM(IF(LEN(IF(LEN(INDEX('Providers'!$N$4:$N$503,413))=0,"",INDEX('Providers'!$N$4:$N$503,413)))=0,"","Carrier: "&amp;IF(LEN(INDEX('Providers'!$N$4:$N$503,413))=0,"",INDEX('Providers'!$N$4:$N$503,413))&amp;". ")&amp;IF(LEN(IF(LEN(INDEX('Providers'!$O$4:$O$503,413))=0,"",INDEX('Providers'!$O$4:$O$503,413)))=0,"","Policy no.: "&amp;IF(LEN(INDEX('Providers'!$O$4:$O$503,413))=0,"",INDEX('Providers'!$O$4:$O$503,413))&amp;". ")&amp;IF(LEN(IF(LEN(INDEX('Providers'!$P$4:$P$503,413))=0,"",INDEX('Providers'!$P$4:$P$503,413)))=0,"","Coverage form: "&amp;IF(LEN(INDEX('Providers'!$P$4:$P$503,413))=0,"",INDEX('Providers'!$P$4:$P$503,413))&amp;". "))</f>
        <v/>
      </c>
      <c r="J2416">
        <f>IF(LEN(INDEX('Providers'!$AJ$4:$AJ$503,413))=0,"",INDEX('Providers'!$AJ$4:$AJ$503,413))</f>
        <v/>
      </c>
      <c r="K2416">
        <f>IF(LEN(INDEX('Providers'!$AI$4:$AI$503,413))=0,"",INDEX('Providers'!$AI$4:$AI$503,413))</f>
        <v/>
      </c>
    </row>
    <row r="2417">
      <c r="A2417">
        <f>IF(AND(LEN('Providers'!A417)&gt;0,ISNUMBER('Providers'!Q417)),1,0)</f>
        <v/>
      </c>
      <c r="B2417">
        <f>B2416+A2417</f>
        <v/>
      </c>
      <c r="C2417">
        <f>IF(2414&gt;$B$4503,"",MATCH(2414-0.5,$B$3:$B$4503,1))</f>
        <v/>
      </c>
      <c r="D2417">
        <f>"Malpractice insurance – "&amp;IF(LEN(INDEX('Providers'!$A$4:$A$503,414))=0,"",INDEX('Providers'!$A$4:$A$503,414))</f>
        <v/>
      </c>
      <c r="E2417">
        <f>IF(ISNUMBER(INDEX('Providers'!$Q$4:$Q$503,414)),TEXT(INDEX('Providers'!$Q$4:$Q$503,414),"yyyy-mm-dd"),"")</f>
        <v/>
      </c>
      <c r="F2417">
        <f>"Insurance"</f>
        <v/>
      </c>
      <c r="G2417">
        <f>""</f>
        <v/>
      </c>
      <c r="H2417">
        <f>"High"</f>
        <v/>
      </c>
      <c r="I2417">
        <f>TRIM(IF(LEN(IF(LEN(INDEX('Providers'!$N$4:$N$503,414))=0,"",INDEX('Providers'!$N$4:$N$503,414)))=0,"","Carrier: "&amp;IF(LEN(INDEX('Providers'!$N$4:$N$503,414))=0,"",INDEX('Providers'!$N$4:$N$503,414))&amp;". ")&amp;IF(LEN(IF(LEN(INDEX('Providers'!$O$4:$O$503,414))=0,"",INDEX('Providers'!$O$4:$O$503,414)))=0,"","Policy no.: "&amp;IF(LEN(INDEX('Providers'!$O$4:$O$503,414))=0,"",INDEX('Providers'!$O$4:$O$503,414))&amp;". ")&amp;IF(LEN(IF(LEN(INDEX('Providers'!$P$4:$P$503,414))=0,"",INDEX('Providers'!$P$4:$P$503,414)))=0,"","Coverage form: "&amp;IF(LEN(INDEX('Providers'!$P$4:$P$503,414))=0,"",INDEX('Providers'!$P$4:$P$503,414))&amp;". "))</f>
        <v/>
      </c>
      <c r="J2417">
        <f>IF(LEN(INDEX('Providers'!$AJ$4:$AJ$503,414))=0,"",INDEX('Providers'!$AJ$4:$AJ$503,414))</f>
        <v/>
      </c>
      <c r="K2417">
        <f>IF(LEN(INDEX('Providers'!$AI$4:$AI$503,414))=0,"",INDEX('Providers'!$AI$4:$AI$503,414))</f>
        <v/>
      </c>
    </row>
    <row r="2418">
      <c r="A2418">
        <f>IF(AND(LEN('Providers'!A418)&gt;0,ISNUMBER('Providers'!Q418)),1,0)</f>
        <v/>
      </c>
      <c r="B2418">
        <f>B2417+A2418</f>
        <v/>
      </c>
      <c r="C2418">
        <f>IF(2415&gt;$B$4503,"",MATCH(2415-0.5,$B$3:$B$4503,1))</f>
        <v/>
      </c>
      <c r="D2418">
        <f>"Malpractice insurance – "&amp;IF(LEN(INDEX('Providers'!$A$4:$A$503,415))=0,"",INDEX('Providers'!$A$4:$A$503,415))</f>
        <v/>
      </c>
      <c r="E2418">
        <f>IF(ISNUMBER(INDEX('Providers'!$Q$4:$Q$503,415)),TEXT(INDEX('Providers'!$Q$4:$Q$503,415),"yyyy-mm-dd"),"")</f>
        <v/>
      </c>
      <c r="F2418">
        <f>"Insurance"</f>
        <v/>
      </c>
      <c r="G2418">
        <f>""</f>
        <v/>
      </c>
      <c r="H2418">
        <f>"High"</f>
        <v/>
      </c>
      <c r="I2418">
        <f>TRIM(IF(LEN(IF(LEN(INDEX('Providers'!$N$4:$N$503,415))=0,"",INDEX('Providers'!$N$4:$N$503,415)))=0,"","Carrier: "&amp;IF(LEN(INDEX('Providers'!$N$4:$N$503,415))=0,"",INDEX('Providers'!$N$4:$N$503,415))&amp;". ")&amp;IF(LEN(IF(LEN(INDEX('Providers'!$O$4:$O$503,415))=0,"",INDEX('Providers'!$O$4:$O$503,415)))=0,"","Policy no.: "&amp;IF(LEN(INDEX('Providers'!$O$4:$O$503,415))=0,"",INDEX('Providers'!$O$4:$O$503,415))&amp;". ")&amp;IF(LEN(IF(LEN(INDEX('Providers'!$P$4:$P$503,415))=0,"",INDEX('Providers'!$P$4:$P$503,415)))=0,"","Coverage form: "&amp;IF(LEN(INDEX('Providers'!$P$4:$P$503,415))=0,"",INDEX('Providers'!$P$4:$P$503,415))&amp;". "))</f>
        <v/>
      </c>
      <c r="J2418">
        <f>IF(LEN(INDEX('Providers'!$AJ$4:$AJ$503,415))=0,"",INDEX('Providers'!$AJ$4:$AJ$503,415))</f>
        <v/>
      </c>
      <c r="K2418">
        <f>IF(LEN(INDEX('Providers'!$AI$4:$AI$503,415))=0,"",INDEX('Providers'!$AI$4:$AI$503,415))</f>
        <v/>
      </c>
    </row>
    <row r="2419">
      <c r="A2419">
        <f>IF(AND(LEN('Providers'!A419)&gt;0,ISNUMBER('Providers'!Q419)),1,0)</f>
        <v/>
      </c>
      <c r="B2419">
        <f>B2418+A2419</f>
        <v/>
      </c>
      <c r="C2419">
        <f>IF(2416&gt;$B$4503,"",MATCH(2416-0.5,$B$3:$B$4503,1))</f>
        <v/>
      </c>
      <c r="D2419">
        <f>"Malpractice insurance – "&amp;IF(LEN(INDEX('Providers'!$A$4:$A$503,416))=0,"",INDEX('Providers'!$A$4:$A$503,416))</f>
        <v/>
      </c>
      <c r="E2419">
        <f>IF(ISNUMBER(INDEX('Providers'!$Q$4:$Q$503,416)),TEXT(INDEX('Providers'!$Q$4:$Q$503,416),"yyyy-mm-dd"),"")</f>
        <v/>
      </c>
      <c r="F2419">
        <f>"Insurance"</f>
        <v/>
      </c>
      <c r="G2419">
        <f>""</f>
        <v/>
      </c>
      <c r="H2419">
        <f>"High"</f>
        <v/>
      </c>
      <c r="I2419">
        <f>TRIM(IF(LEN(IF(LEN(INDEX('Providers'!$N$4:$N$503,416))=0,"",INDEX('Providers'!$N$4:$N$503,416)))=0,"","Carrier: "&amp;IF(LEN(INDEX('Providers'!$N$4:$N$503,416))=0,"",INDEX('Providers'!$N$4:$N$503,416))&amp;". ")&amp;IF(LEN(IF(LEN(INDEX('Providers'!$O$4:$O$503,416))=0,"",INDEX('Providers'!$O$4:$O$503,416)))=0,"","Policy no.: "&amp;IF(LEN(INDEX('Providers'!$O$4:$O$503,416))=0,"",INDEX('Providers'!$O$4:$O$503,416))&amp;". ")&amp;IF(LEN(IF(LEN(INDEX('Providers'!$P$4:$P$503,416))=0,"",INDEX('Providers'!$P$4:$P$503,416)))=0,"","Coverage form: "&amp;IF(LEN(INDEX('Providers'!$P$4:$P$503,416))=0,"",INDEX('Providers'!$P$4:$P$503,416))&amp;". "))</f>
        <v/>
      </c>
      <c r="J2419">
        <f>IF(LEN(INDEX('Providers'!$AJ$4:$AJ$503,416))=0,"",INDEX('Providers'!$AJ$4:$AJ$503,416))</f>
        <v/>
      </c>
      <c r="K2419">
        <f>IF(LEN(INDEX('Providers'!$AI$4:$AI$503,416))=0,"",INDEX('Providers'!$AI$4:$AI$503,416))</f>
        <v/>
      </c>
    </row>
    <row r="2420">
      <c r="A2420">
        <f>IF(AND(LEN('Providers'!A420)&gt;0,ISNUMBER('Providers'!Q420)),1,0)</f>
        <v/>
      </c>
      <c r="B2420">
        <f>B2419+A2420</f>
        <v/>
      </c>
      <c r="C2420">
        <f>IF(2417&gt;$B$4503,"",MATCH(2417-0.5,$B$3:$B$4503,1))</f>
        <v/>
      </c>
      <c r="D2420">
        <f>"Malpractice insurance – "&amp;IF(LEN(INDEX('Providers'!$A$4:$A$503,417))=0,"",INDEX('Providers'!$A$4:$A$503,417))</f>
        <v/>
      </c>
      <c r="E2420">
        <f>IF(ISNUMBER(INDEX('Providers'!$Q$4:$Q$503,417)),TEXT(INDEX('Providers'!$Q$4:$Q$503,417),"yyyy-mm-dd"),"")</f>
        <v/>
      </c>
      <c r="F2420">
        <f>"Insurance"</f>
        <v/>
      </c>
      <c r="G2420">
        <f>""</f>
        <v/>
      </c>
      <c r="H2420">
        <f>"High"</f>
        <v/>
      </c>
      <c r="I2420">
        <f>TRIM(IF(LEN(IF(LEN(INDEX('Providers'!$N$4:$N$503,417))=0,"",INDEX('Providers'!$N$4:$N$503,417)))=0,"","Carrier: "&amp;IF(LEN(INDEX('Providers'!$N$4:$N$503,417))=0,"",INDEX('Providers'!$N$4:$N$503,417))&amp;". ")&amp;IF(LEN(IF(LEN(INDEX('Providers'!$O$4:$O$503,417))=0,"",INDEX('Providers'!$O$4:$O$503,417)))=0,"","Policy no.: "&amp;IF(LEN(INDEX('Providers'!$O$4:$O$503,417))=0,"",INDEX('Providers'!$O$4:$O$503,417))&amp;". ")&amp;IF(LEN(IF(LEN(INDEX('Providers'!$P$4:$P$503,417))=0,"",INDEX('Providers'!$P$4:$P$503,417)))=0,"","Coverage form: "&amp;IF(LEN(INDEX('Providers'!$P$4:$P$503,417))=0,"",INDEX('Providers'!$P$4:$P$503,417))&amp;". "))</f>
        <v/>
      </c>
      <c r="J2420">
        <f>IF(LEN(INDEX('Providers'!$AJ$4:$AJ$503,417))=0,"",INDEX('Providers'!$AJ$4:$AJ$503,417))</f>
        <v/>
      </c>
      <c r="K2420">
        <f>IF(LEN(INDEX('Providers'!$AI$4:$AI$503,417))=0,"",INDEX('Providers'!$AI$4:$AI$503,417))</f>
        <v/>
      </c>
    </row>
    <row r="2421">
      <c r="A2421">
        <f>IF(AND(LEN('Providers'!A421)&gt;0,ISNUMBER('Providers'!Q421)),1,0)</f>
        <v/>
      </c>
      <c r="B2421">
        <f>B2420+A2421</f>
        <v/>
      </c>
      <c r="C2421">
        <f>IF(2418&gt;$B$4503,"",MATCH(2418-0.5,$B$3:$B$4503,1))</f>
        <v/>
      </c>
      <c r="D2421">
        <f>"Malpractice insurance – "&amp;IF(LEN(INDEX('Providers'!$A$4:$A$503,418))=0,"",INDEX('Providers'!$A$4:$A$503,418))</f>
        <v/>
      </c>
      <c r="E2421">
        <f>IF(ISNUMBER(INDEX('Providers'!$Q$4:$Q$503,418)),TEXT(INDEX('Providers'!$Q$4:$Q$503,418),"yyyy-mm-dd"),"")</f>
        <v/>
      </c>
      <c r="F2421">
        <f>"Insurance"</f>
        <v/>
      </c>
      <c r="G2421">
        <f>""</f>
        <v/>
      </c>
      <c r="H2421">
        <f>"High"</f>
        <v/>
      </c>
      <c r="I2421">
        <f>TRIM(IF(LEN(IF(LEN(INDEX('Providers'!$N$4:$N$503,418))=0,"",INDEX('Providers'!$N$4:$N$503,418)))=0,"","Carrier: "&amp;IF(LEN(INDEX('Providers'!$N$4:$N$503,418))=0,"",INDEX('Providers'!$N$4:$N$503,418))&amp;". ")&amp;IF(LEN(IF(LEN(INDEX('Providers'!$O$4:$O$503,418))=0,"",INDEX('Providers'!$O$4:$O$503,418)))=0,"","Policy no.: "&amp;IF(LEN(INDEX('Providers'!$O$4:$O$503,418))=0,"",INDEX('Providers'!$O$4:$O$503,418))&amp;". ")&amp;IF(LEN(IF(LEN(INDEX('Providers'!$P$4:$P$503,418))=0,"",INDEX('Providers'!$P$4:$P$503,418)))=0,"","Coverage form: "&amp;IF(LEN(INDEX('Providers'!$P$4:$P$503,418))=0,"",INDEX('Providers'!$P$4:$P$503,418))&amp;". "))</f>
        <v/>
      </c>
      <c r="J2421">
        <f>IF(LEN(INDEX('Providers'!$AJ$4:$AJ$503,418))=0,"",INDEX('Providers'!$AJ$4:$AJ$503,418))</f>
        <v/>
      </c>
      <c r="K2421">
        <f>IF(LEN(INDEX('Providers'!$AI$4:$AI$503,418))=0,"",INDEX('Providers'!$AI$4:$AI$503,418))</f>
        <v/>
      </c>
    </row>
    <row r="2422">
      <c r="A2422">
        <f>IF(AND(LEN('Providers'!A422)&gt;0,ISNUMBER('Providers'!Q422)),1,0)</f>
        <v/>
      </c>
      <c r="B2422">
        <f>B2421+A2422</f>
        <v/>
      </c>
      <c r="C2422">
        <f>IF(2419&gt;$B$4503,"",MATCH(2419-0.5,$B$3:$B$4503,1))</f>
        <v/>
      </c>
      <c r="D2422">
        <f>"Malpractice insurance – "&amp;IF(LEN(INDEX('Providers'!$A$4:$A$503,419))=0,"",INDEX('Providers'!$A$4:$A$503,419))</f>
        <v/>
      </c>
      <c r="E2422">
        <f>IF(ISNUMBER(INDEX('Providers'!$Q$4:$Q$503,419)),TEXT(INDEX('Providers'!$Q$4:$Q$503,419),"yyyy-mm-dd"),"")</f>
        <v/>
      </c>
      <c r="F2422">
        <f>"Insurance"</f>
        <v/>
      </c>
      <c r="G2422">
        <f>""</f>
        <v/>
      </c>
      <c r="H2422">
        <f>"High"</f>
        <v/>
      </c>
      <c r="I2422">
        <f>TRIM(IF(LEN(IF(LEN(INDEX('Providers'!$N$4:$N$503,419))=0,"",INDEX('Providers'!$N$4:$N$503,419)))=0,"","Carrier: "&amp;IF(LEN(INDEX('Providers'!$N$4:$N$503,419))=0,"",INDEX('Providers'!$N$4:$N$503,419))&amp;". ")&amp;IF(LEN(IF(LEN(INDEX('Providers'!$O$4:$O$503,419))=0,"",INDEX('Providers'!$O$4:$O$503,419)))=0,"","Policy no.: "&amp;IF(LEN(INDEX('Providers'!$O$4:$O$503,419))=0,"",INDEX('Providers'!$O$4:$O$503,419))&amp;". ")&amp;IF(LEN(IF(LEN(INDEX('Providers'!$P$4:$P$503,419))=0,"",INDEX('Providers'!$P$4:$P$503,419)))=0,"","Coverage form: "&amp;IF(LEN(INDEX('Providers'!$P$4:$P$503,419))=0,"",INDEX('Providers'!$P$4:$P$503,419))&amp;". "))</f>
        <v/>
      </c>
      <c r="J2422">
        <f>IF(LEN(INDEX('Providers'!$AJ$4:$AJ$503,419))=0,"",INDEX('Providers'!$AJ$4:$AJ$503,419))</f>
        <v/>
      </c>
      <c r="K2422">
        <f>IF(LEN(INDEX('Providers'!$AI$4:$AI$503,419))=0,"",INDEX('Providers'!$AI$4:$AI$503,419))</f>
        <v/>
      </c>
    </row>
    <row r="2423">
      <c r="A2423">
        <f>IF(AND(LEN('Providers'!A423)&gt;0,ISNUMBER('Providers'!Q423)),1,0)</f>
        <v/>
      </c>
      <c r="B2423">
        <f>B2422+A2423</f>
        <v/>
      </c>
      <c r="C2423">
        <f>IF(2420&gt;$B$4503,"",MATCH(2420-0.5,$B$3:$B$4503,1))</f>
        <v/>
      </c>
      <c r="D2423">
        <f>"Malpractice insurance – "&amp;IF(LEN(INDEX('Providers'!$A$4:$A$503,420))=0,"",INDEX('Providers'!$A$4:$A$503,420))</f>
        <v/>
      </c>
      <c r="E2423">
        <f>IF(ISNUMBER(INDEX('Providers'!$Q$4:$Q$503,420)),TEXT(INDEX('Providers'!$Q$4:$Q$503,420),"yyyy-mm-dd"),"")</f>
        <v/>
      </c>
      <c r="F2423">
        <f>"Insurance"</f>
        <v/>
      </c>
      <c r="G2423">
        <f>""</f>
        <v/>
      </c>
      <c r="H2423">
        <f>"High"</f>
        <v/>
      </c>
      <c r="I2423">
        <f>TRIM(IF(LEN(IF(LEN(INDEX('Providers'!$N$4:$N$503,420))=0,"",INDEX('Providers'!$N$4:$N$503,420)))=0,"","Carrier: "&amp;IF(LEN(INDEX('Providers'!$N$4:$N$503,420))=0,"",INDEX('Providers'!$N$4:$N$503,420))&amp;". ")&amp;IF(LEN(IF(LEN(INDEX('Providers'!$O$4:$O$503,420))=0,"",INDEX('Providers'!$O$4:$O$503,420)))=0,"","Policy no.: "&amp;IF(LEN(INDEX('Providers'!$O$4:$O$503,420))=0,"",INDEX('Providers'!$O$4:$O$503,420))&amp;". ")&amp;IF(LEN(IF(LEN(INDEX('Providers'!$P$4:$P$503,420))=0,"",INDEX('Providers'!$P$4:$P$503,420)))=0,"","Coverage form: "&amp;IF(LEN(INDEX('Providers'!$P$4:$P$503,420))=0,"",INDEX('Providers'!$P$4:$P$503,420))&amp;". "))</f>
        <v/>
      </c>
      <c r="J2423">
        <f>IF(LEN(INDEX('Providers'!$AJ$4:$AJ$503,420))=0,"",INDEX('Providers'!$AJ$4:$AJ$503,420))</f>
        <v/>
      </c>
      <c r="K2423">
        <f>IF(LEN(INDEX('Providers'!$AI$4:$AI$503,420))=0,"",INDEX('Providers'!$AI$4:$AI$503,420))</f>
        <v/>
      </c>
    </row>
    <row r="2424">
      <c r="A2424">
        <f>IF(AND(LEN('Providers'!A424)&gt;0,ISNUMBER('Providers'!Q424)),1,0)</f>
        <v/>
      </c>
      <c r="B2424">
        <f>B2423+A2424</f>
        <v/>
      </c>
      <c r="C2424">
        <f>IF(2421&gt;$B$4503,"",MATCH(2421-0.5,$B$3:$B$4503,1))</f>
        <v/>
      </c>
      <c r="D2424">
        <f>"Malpractice insurance – "&amp;IF(LEN(INDEX('Providers'!$A$4:$A$503,421))=0,"",INDEX('Providers'!$A$4:$A$503,421))</f>
        <v/>
      </c>
      <c r="E2424">
        <f>IF(ISNUMBER(INDEX('Providers'!$Q$4:$Q$503,421)),TEXT(INDEX('Providers'!$Q$4:$Q$503,421),"yyyy-mm-dd"),"")</f>
        <v/>
      </c>
      <c r="F2424">
        <f>"Insurance"</f>
        <v/>
      </c>
      <c r="G2424">
        <f>""</f>
        <v/>
      </c>
      <c r="H2424">
        <f>"High"</f>
        <v/>
      </c>
      <c r="I2424">
        <f>TRIM(IF(LEN(IF(LEN(INDEX('Providers'!$N$4:$N$503,421))=0,"",INDEX('Providers'!$N$4:$N$503,421)))=0,"","Carrier: "&amp;IF(LEN(INDEX('Providers'!$N$4:$N$503,421))=0,"",INDEX('Providers'!$N$4:$N$503,421))&amp;". ")&amp;IF(LEN(IF(LEN(INDEX('Providers'!$O$4:$O$503,421))=0,"",INDEX('Providers'!$O$4:$O$503,421)))=0,"","Policy no.: "&amp;IF(LEN(INDEX('Providers'!$O$4:$O$503,421))=0,"",INDEX('Providers'!$O$4:$O$503,421))&amp;". ")&amp;IF(LEN(IF(LEN(INDEX('Providers'!$P$4:$P$503,421))=0,"",INDEX('Providers'!$P$4:$P$503,421)))=0,"","Coverage form: "&amp;IF(LEN(INDEX('Providers'!$P$4:$P$503,421))=0,"",INDEX('Providers'!$P$4:$P$503,421))&amp;". "))</f>
        <v/>
      </c>
      <c r="J2424">
        <f>IF(LEN(INDEX('Providers'!$AJ$4:$AJ$503,421))=0,"",INDEX('Providers'!$AJ$4:$AJ$503,421))</f>
        <v/>
      </c>
      <c r="K2424">
        <f>IF(LEN(INDEX('Providers'!$AI$4:$AI$503,421))=0,"",INDEX('Providers'!$AI$4:$AI$503,421))</f>
        <v/>
      </c>
    </row>
    <row r="2425">
      <c r="A2425">
        <f>IF(AND(LEN('Providers'!A425)&gt;0,ISNUMBER('Providers'!Q425)),1,0)</f>
        <v/>
      </c>
      <c r="B2425">
        <f>B2424+A2425</f>
        <v/>
      </c>
      <c r="C2425">
        <f>IF(2422&gt;$B$4503,"",MATCH(2422-0.5,$B$3:$B$4503,1))</f>
        <v/>
      </c>
      <c r="D2425">
        <f>"Malpractice insurance – "&amp;IF(LEN(INDEX('Providers'!$A$4:$A$503,422))=0,"",INDEX('Providers'!$A$4:$A$503,422))</f>
        <v/>
      </c>
      <c r="E2425">
        <f>IF(ISNUMBER(INDEX('Providers'!$Q$4:$Q$503,422)),TEXT(INDEX('Providers'!$Q$4:$Q$503,422),"yyyy-mm-dd"),"")</f>
        <v/>
      </c>
      <c r="F2425">
        <f>"Insurance"</f>
        <v/>
      </c>
      <c r="G2425">
        <f>""</f>
        <v/>
      </c>
      <c r="H2425">
        <f>"High"</f>
        <v/>
      </c>
      <c r="I2425">
        <f>TRIM(IF(LEN(IF(LEN(INDEX('Providers'!$N$4:$N$503,422))=0,"",INDEX('Providers'!$N$4:$N$503,422)))=0,"","Carrier: "&amp;IF(LEN(INDEX('Providers'!$N$4:$N$503,422))=0,"",INDEX('Providers'!$N$4:$N$503,422))&amp;". ")&amp;IF(LEN(IF(LEN(INDEX('Providers'!$O$4:$O$503,422))=0,"",INDEX('Providers'!$O$4:$O$503,422)))=0,"","Policy no.: "&amp;IF(LEN(INDEX('Providers'!$O$4:$O$503,422))=0,"",INDEX('Providers'!$O$4:$O$503,422))&amp;". ")&amp;IF(LEN(IF(LEN(INDEX('Providers'!$P$4:$P$503,422))=0,"",INDEX('Providers'!$P$4:$P$503,422)))=0,"","Coverage form: "&amp;IF(LEN(INDEX('Providers'!$P$4:$P$503,422))=0,"",INDEX('Providers'!$P$4:$P$503,422))&amp;". "))</f>
        <v/>
      </c>
      <c r="J2425">
        <f>IF(LEN(INDEX('Providers'!$AJ$4:$AJ$503,422))=0,"",INDEX('Providers'!$AJ$4:$AJ$503,422))</f>
        <v/>
      </c>
      <c r="K2425">
        <f>IF(LEN(INDEX('Providers'!$AI$4:$AI$503,422))=0,"",INDEX('Providers'!$AI$4:$AI$503,422))</f>
        <v/>
      </c>
    </row>
    <row r="2426">
      <c r="A2426">
        <f>IF(AND(LEN('Providers'!A426)&gt;0,ISNUMBER('Providers'!Q426)),1,0)</f>
        <v/>
      </c>
      <c r="B2426">
        <f>B2425+A2426</f>
        <v/>
      </c>
      <c r="C2426">
        <f>IF(2423&gt;$B$4503,"",MATCH(2423-0.5,$B$3:$B$4503,1))</f>
        <v/>
      </c>
      <c r="D2426">
        <f>"Malpractice insurance – "&amp;IF(LEN(INDEX('Providers'!$A$4:$A$503,423))=0,"",INDEX('Providers'!$A$4:$A$503,423))</f>
        <v/>
      </c>
      <c r="E2426">
        <f>IF(ISNUMBER(INDEX('Providers'!$Q$4:$Q$503,423)),TEXT(INDEX('Providers'!$Q$4:$Q$503,423),"yyyy-mm-dd"),"")</f>
        <v/>
      </c>
      <c r="F2426">
        <f>"Insurance"</f>
        <v/>
      </c>
      <c r="G2426">
        <f>""</f>
        <v/>
      </c>
      <c r="H2426">
        <f>"High"</f>
        <v/>
      </c>
      <c r="I2426">
        <f>TRIM(IF(LEN(IF(LEN(INDEX('Providers'!$N$4:$N$503,423))=0,"",INDEX('Providers'!$N$4:$N$503,423)))=0,"","Carrier: "&amp;IF(LEN(INDEX('Providers'!$N$4:$N$503,423))=0,"",INDEX('Providers'!$N$4:$N$503,423))&amp;". ")&amp;IF(LEN(IF(LEN(INDEX('Providers'!$O$4:$O$503,423))=0,"",INDEX('Providers'!$O$4:$O$503,423)))=0,"","Policy no.: "&amp;IF(LEN(INDEX('Providers'!$O$4:$O$503,423))=0,"",INDEX('Providers'!$O$4:$O$503,423))&amp;". ")&amp;IF(LEN(IF(LEN(INDEX('Providers'!$P$4:$P$503,423))=0,"",INDEX('Providers'!$P$4:$P$503,423)))=0,"","Coverage form: "&amp;IF(LEN(INDEX('Providers'!$P$4:$P$503,423))=0,"",INDEX('Providers'!$P$4:$P$503,423))&amp;". "))</f>
        <v/>
      </c>
      <c r="J2426">
        <f>IF(LEN(INDEX('Providers'!$AJ$4:$AJ$503,423))=0,"",INDEX('Providers'!$AJ$4:$AJ$503,423))</f>
        <v/>
      </c>
      <c r="K2426">
        <f>IF(LEN(INDEX('Providers'!$AI$4:$AI$503,423))=0,"",INDEX('Providers'!$AI$4:$AI$503,423))</f>
        <v/>
      </c>
    </row>
    <row r="2427">
      <c r="A2427">
        <f>IF(AND(LEN('Providers'!A427)&gt;0,ISNUMBER('Providers'!Q427)),1,0)</f>
        <v/>
      </c>
      <c r="B2427">
        <f>B2426+A2427</f>
        <v/>
      </c>
      <c r="C2427">
        <f>IF(2424&gt;$B$4503,"",MATCH(2424-0.5,$B$3:$B$4503,1))</f>
        <v/>
      </c>
      <c r="D2427">
        <f>"Malpractice insurance – "&amp;IF(LEN(INDEX('Providers'!$A$4:$A$503,424))=0,"",INDEX('Providers'!$A$4:$A$503,424))</f>
        <v/>
      </c>
      <c r="E2427">
        <f>IF(ISNUMBER(INDEX('Providers'!$Q$4:$Q$503,424)),TEXT(INDEX('Providers'!$Q$4:$Q$503,424),"yyyy-mm-dd"),"")</f>
        <v/>
      </c>
      <c r="F2427">
        <f>"Insurance"</f>
        <v/>
      </c>
      <c r="G2427">
        <f>""</f>
        <v/>
      </c>
      <c r="H2427">
        <f>"High"</f>
        <v/>
      </c>
      <c r="I2427">
        <f>TRIM(IF(LEN(IF(LEN(INDEX('Providers'!$N$4:$N$503,424))=0,"",INDEX('Providers'!$N$4:$N$503,424)))=0,"","Carrier: "&amp;IF(LEN(INDEX('Providers'!$N$4:$N$503,424))=0,"",INDEX('Providers'!$N$4:$N$503,424))&amp;". ")&amp;IF(LEN(IF(LEN(INDEX('Providers'!$O$4:$O$503,424))=0,"",INDEX('Providers'!$O$4:$O$503,424)))=0,"","Policy no.: "&amp;IF(LEN(INDEX('Providers'!$O$4:$O$503,424))=0,"",INDEX('Providers'!$O$4:$O$503,424))&amp;". ")&amp;IF(LEN(IF(LEN(INDEX('Providers'!$P$4:$P$503,424))=0,"",INDEX('Providers'!$P$4:$P$503,424)))=0,"","Coverage form: "&amp;IF(LEN(INDEX('Providers'!$P$4:$P$503,424))=0,"",INDEX('Providers'!$P$4:$P$503,424))&amp;". "))</f>
        <v/>
      </c>
      <c r="J2427">
        <f>IF(LEN(INDEX('Providers'!$AJ$4:$AJ$503,424))=0,"",INDEX('Providers'!$AJ$4:$AJ$503,424))</f>
        <v/>
      </c>
      <c r="K2427">
        <f>IF(LEN(INDEX('Providers'!$AI$4:$AI$503,424))=0,"",INDEX('Providers'!$AI$4:$AI$503,424))</f>
        <v/>
      </c>
    </row>
    <row r="2428">
      <c r="A2428">
        <f>IF(AND(LEN('Providers'!A428)&gt;0,ISNUMBER('Providers'!Q428)),1,0)</f>
        <v/>
      </c>
      <c r="B2428">
        <f>B2427+A2428</f>
        <v/>
      </c>
      <c r="C2428">
        <f>IF(2425&gt;$B$4503,"",MATCH(2425-0.5,$B$3:$B$4503,1))</f>
        <v/>
      </c>
      <c r="D2428">
        <f>"Malpractice insurance – "&amp;IF(LEN(INDEX('Providers'!$A$4:$A$503,425))=0,"",INDEX('Providers'!$A$4:$A$503,425))</f>
        <v/>
      </c>
      <c r="E2428">
        <f>IF(ISNUMBER(INDEX('Providers'!$Q$4:$Q$503,425)),TEXT(INDEX('Providers'!$Q$4:$Q$503,425),"yyyy-mm-dd"),"")</f>
        <v/>
      </c>
      <c r="F2428">
        <f>"Insurance"</f>
        <v/>
      </c>
      <c r="G2428">
        <f>""</f>
        <v/>
      </c>
      <c r="H2428">
        <f>"High"</f>
        <v/>
      </c>
      <c r="I2428">
        <f>TRIM(IF(LEN(IF(LEN(INDEX('Providers'!$N$4:$N$503,425))=0,"",INDEX('Providers'!$N$4:$N$503,425)))=0,"","Carrier: "&amp;IF(LEN(INDEX('Providers'!$N$4:$N$503,425))=0,"",INDEX('Providers'!$N$4:$N$503,425))&amp;". ")&amp;IF(LEN(IF(LEN(INDEX('Providers'!$O$4:$O$503,425))=0,"",INDEX('Providers'!$O$4:$O$503,425)))=0,"","Policy no.: "&amp;IF(LEN(INDEX('Providers'!$O$4:$O$503,425))=0,"",INDEX('Providers'!$O$4:$O$503,425))&amp;". ")&amp;IF(LEN(IF(LEN(INDEX('Providers'!$P$4:$P$503,425))=0,"",INDEX('Providers'!$P$4:$P$503,425)))=0,"","Coverage form: "&amp;IF(LEN(INDEX('Providers'!$P$4:$P$503,425))=0,"",INDEX('Providers'!$P$4:$P$503,425))&amp;". "))</f>
        <v/>
      </c>
      <c r="J2428">
        <f>IF(LEN(INDEX('Providers'!$AJ$4:$AJ$503,425))=0,"",INDEX('Providers'!$AJ$4:$AJ$503,425))</f>
        <v/>
      </c>
      <c r="K2428">
        <f>IF(LEN(INDEX('Providers'!$AI$4:$AI$503,425))=0,"",INDEX('Providers'!$AI$4:$AI$503,425))</f>
        <v/>
      </c>
    </row>
    <row r="2429">
      <c r="A2429">
        <f>IF(AND(LEN('Providers'!A429)&gt;0,ISNUMBER('Providers'!Q429)),1,0)</f>
        <v/>
      </c>
      <c r="B2429">
        <f>B2428+A2429</f>
        <v/>
      </c>
      <c r="C2429">
        <f>IF(2426&gt;$B$4503,"",MATCH(2426-0.5,$B$3:$B$4503,1))</f>
        <v/>
      </c>
      <c r="D2429">
        <f>"Malpractice insurance – "&amp;IF(LEN(INDEX('Providers'!$A$4:$A$503,426))=0,"",INDEX('Providers'!$A$4:$A$503,426))</f>
        <v/>
      </c>
      <c r="E2429">
        <f>IF(ISNUMBER(INDEX('Providers'!$Q$4:$Q$503,426)),TEXT(INDEX('Providers'!$Q$4:$Q$503,426),"yyyy-mm-dd"),"")</f>
        <v/>
      </c>
      <c r="F2429">
        <f>"Insurance"</f>
        <v/>
      </c>
      <c r="G2429">
        <f>""</f>
        <v/>
      </c>
      <c r="H2429">
        <f>"High"</f>
        <v/>
      </c>
      <c r="I2429">
        <f>TRIM(IF(LEN(IF(LEN(INDEX('Providers'!$N$4:$N$503,426))=0,"",INDEX('Providers'!$N$4:$N$503,426)))=0,"","Carrier: "&amp;IF(LEN(INDEX('Providers'!$N$4:$N$503,426))=0,"",INDEX('Providers'!$N$4:$N$503,426))&amp;". ")&amp;IF(LEN(IF(LEN(INDEX('Providers'!$O$4:$O$503,426))=0,"",INDEX('Providers'!$O$4:$O$503,426)))=0,"","Policy no.: "&amp;IF(LEN(INDEX('Providers'!$O$4:$O$503,426))=0,"",INDEX('Providers'!$O$4:$O$503,426))&amp;". ")&amp;IF(LEN(IF(LEN(INDEX('Providers'!$P$4:$P$503,426))=0,"",INDEX('Providers'!$P$4:$P$503,426)))=0,"","Coverage form: "&amp;IF(LEN(INDEX('Providers'!$P$4:$P$503,426))=0,"",INDEX('Providers'!$P$4:$P$503,426))&amp;". "))</f>
        <v/>
      </c>
      <c r="J2429">
        <f>IF(LEN(INDEX('Providers'!$AJ$4:$AJ$503,426))=0,"",INDEX('Providers'!$AJ$4:$AJ$503,426))</f>
        <v/>
      </c>
      <c r="K2429">
        <f>IF(LEN(INDEX('Providers'!$AI$4:$AI$503,426))=0,"",INDEX('Providers'!$AI$4:$AI$503,426))</f>
        <v/>
      </c>
    </row>
    <row r="2430">
      <c r="A2430">
        <f>IF(AND(LEN('Providers'!A430)&gt;0,ISNUMBER('Providers'!Q430)),1,0)</f>
        <v/>
      </c>
      <c r="B2430">
        <f>B2429+A2430</f>
        <v/>
      </c>
      <c r="C2430">
        <f>IF(2427&gt;$B$4503,"",MATCH(2427-0.5,$B$3:$B$4503,1))</f>
        <v/>
      </c>
      <c r="D2430">
        <f>"Malpractice insurance – "&amp;IF(LEN(INDEX('Providers'!$A$4:$A$503,427))=0,"",INDEX('Providers'!$A$4:$A$503,427))</f>
        <v/>
      </c>
      <c r="E2430">
        <f>IF(ISNUMBER(INDEX('Providers'!$Q$4:$Q$503,427)),TEXT(INDEX('Providers'!$Q$4:$Q$503,427),"yyyy-mm-dd"),"")</f>
        <v/>
      </c>
      <c r="F2430">
        <f>"Insurance"</f>
        <v/>
      </c>
      <c r="G2430">
        <f>""</f>
        <v/>
      </c>
      <c r="H2430">
        <f>"High"</f>
        <v/>
      </c>
      <c r="I2430">
        <f>TRIM(IF(LEN(IF(LEN(INDEX('Providers'!$N$4:$N$503,427))=0,"",INDEX('Providers'!$N$4:$N$503,427)))=0,"","Carrier: "&amp;IF(LEN(INDEX('Providers'!$N$4:$N$503,427))=0,"",INDEX('Providers'!$N$4:$N$503,427))&amp;". ")&amp;IF(LEN(IF(LEN(INDEX('Providers'!$O$4:$O$503,427))=0,"",INDEX('Providers'!$O$4:$O$503,427)))=0,"","Policy no.: "&amp;IF(LEN(INDEX('Providers'!$O$4:$O$503,427))=0,"",INDEX('Providers'!$O$4:$O$503,427))&amp;". ")&amp;IF(LEN(IF(LEN(INDEX('Providers'!$P$4:$P$503,427))=0,"",INDEX('Providers'!$P$4:$P$503,427)))=0,"","Coverage form: "&amp;IF(LEN(INDEX('Providers'!$P$4:$P$503,427))=0,"",INDEX('Providers'!$P$4:$P$503,427))&amp;". "))</f>
        <v/>
      </c>
      <c r="J2430">
        <f>IF(LEN(INDEX('Providers'!$AJ$4:$AJ$503,427))=0,"",INDEX('Providers'!$AJ$4:$AJ$503,427))</f>
        <v/>
      </c>
      <c r="K2430">
        <f>IF(LEN(INDEX('Providers'!$AI$4:$AI$503,427))=0,"",INDEX('Providers'!$AI$4:$AI$503,427))</f>
        <v/>
      </c>
    </row>
    <row r="2431">
      <c r="A2431">
        <f>IF(AND(LEN('Providers'!A431)&gt;0,ISNUMBER('Providers'!Q431)),1,0)</f>
        <v/>
      </c>
      <c r="B2431">
        <f>B2430+A2431</f>
        <v/>
      </c>
      <c r="C2431">
        <f>IF(2428&gt;$B$4503,"",MATCH(2428-0.5,$B$3:$B$4503,1))</f>
        <v/>
      </c>
      <c r="D2431">
        <f>"Malpractice insurance – "&amp;IF(LEN(INDEX('Providers'!$A$4:$A$503,428))=0,"",INDEX('Providers'!$A$4:$A$503,428))</f>
        <v/>
      </c>
      <c r="E2431">
        <f>IF(ISNUMBER(INDEX('Providers'!$Q$4:$Q$503,428)),TEXT(INDEX('Providers'!$Q$4:$Q$503,428),"yyyy-mm-dd"),"")</f>
        <v/>
      </c>
      <c r="F2431">
        <f>"Insurance"</f>
        <v/>
      </c>
      <c r="G2431">
        <f>""</f>
        <v/>
      </c>
      <c r="H2431">
        <f>"High"</f>
        <v/>
      </c>
      <c r="I2431">
        <f>TRIM(IF(LEN(IF(LEN(INDEX('Providers'!$N$4:$N$503,428))=0,"",INDEX('Providers'!$N$4:$N$503,428)))=0,"","Carrier: "&amp;IF(LEN(INDEX('Providers'!$N$4:$N$503,428))=0,"",INDEX('Providers'!$N$4:$N$503,428))&amp;". ")&amp;IF(LEN(IF(LEN(INDEX('Providers'!$O$4:$O$503,428))=0,"",INDEX('Providers'!$O$4:$O$503,428)))=0,"","Policy no.: "&amp;IF(LEN(INDEX('Providers'!$O$4:$O$503,428))=0,"",INDEX('Providers'!$O$4:$O$503,428))&amp;". ")&amp;IF(LEN(IF(LEN(INDEX('Providers'!$P$4:$P$503,428))=0,"",INDEX('Providers'!$P$4:$P$503,428)))=0,"","Coverage form: "&amp;IF(LEN(INDEX('Providers'!$P$4:$P$503,428))=0,"",INDEX('Providers'!$P$4:$P$503,428))&amp;". "))</f>
        <v/>
      </c>
      <c r="J2431">
        <f>IF(LEN(INDEX('Providers'!$AJ$4:$AJ$503,428))=0,"",INDEX('Providers'!$AJ$4:$AJ$503,428))</f>
        <v/>
      </c>
      <c r="K2431">
        <f>IF(LEN(INDEX('Providers'!$AI$4:$AI$503,428))=0,"",INDEX('Providers'!$AI$4:$AI$503,428))</f>
        <v/>
      </c>
    </row>
    <row r="2432">
      <c r="A2432">
        <f>IF(AND(LEN('Providers'!A432)&gt;0,ISNUMBER('Providers'!Q432)),1,0)</f>
        <v/>
      </c>
      <c r="B2432">
        <f>B2431+A2432</f>
        <v/>
      </c>
      <c r="C2432">
        <f>IF(2429&gt;$B$4503,"",MATCH(2429-0.5,$B$3:$B$4503,1))</f>
        <v/>
      </c>
      <c r="D2432">
        <f>"Malpractice insurance – "&amp;IF(LEN(INDEX('Providers'!$A$4:$A$503,429))=0,"",INDEX('Providers'!$A$4:$A$503,429))</f>
        <v/>
      </c>
      <c r="E2432">
        <f>IF(ISNUMBER(INDEX('Providers'!$Q$4:$Q$503,429)),TEXT(INDEX('Providers'!$Q$4:$Q$503,429),"yyyy-mm-dd"),"")</f>
        <v/>
      </c>
      <c r="F2432">
        <f>"Insurance"</f>
        <v/>
      </c>
      <c r="G2432">
        <f>""</f>
        <v/>
      </c>
      <c r="H2432">
        <f>"High"</f>
        <v/>
      </c>
      <c r="I2432">
        <f>TRIM(IF(LEN(IF(LEN(INDEX('Providers'!$N$4:$N$503,429))=0,"",INDEX('Providers'!$N$4:$N$503,429)))=0,"","Carrier: "&amp;IF(LEN(INDEX('Providers'!$N$4:$N$503,429))=0,"",INDEX('Providers'!$N$4:$N$503,429))&amp;". ")&amp;IF(LEN(IF(LEN(INDEX('Providers'!$O$4:$O$503,429))=0,"",INDEX('Providers'!$O$4:$O$503,429)))=0,"","Policy no.: "&amp;IF(LEN(INDEX('Providers'!$O$4:$O$503,429))=0,"",INDEX('Providers'!$O$4:$O$503,429))&amp;". ")&amp;IF(LEN(IF(LEN(INDEX('Providers'!$P$4:$P$503,429))=0,"",INDEX('Providers'!$P$4:$P$503,429)))=0,"","Coverage form: "&amp;IF(LEN(INDEX('Providers'!$P$4:$P$503,429))=0,"",INDEX('Providers'!$P$4:$P$503,429))&amp;". "))</f>
        <v/>
      </c>
      <c r="J2432">
        <f>IF(LEN(INDEX('Providers'!$AJ$4:$AJ$503,429))=0,"",INDEX('Providers'!$AJ$4:$AJ$503,429))</f>
        <v/>
      </c>
      <c r="K2432">
        <f>IF(LEN(INDEX('Providers'!$AI$4:$AI$503,429))=0,"",INDEX('Providers'!$AI$4:$AI$503,429))</f>
        <v/>
      </c>
    </row>
    <row r="2433">
      <c r="A2433">
        <f>IF(AND(LEN('Providers'!A433)&gt;0,ISNUMBER('Providers'!Q433)),1,0)</f>
        <v/>
      </c>
      <c r="B2433">
        <f>B2432+A2433</f>
        <v/>
      </c>
      <c r="C2433">
        <f>IF(2430&gt;$B$4503,"",MATCH(2430-0.5,$B$3:$B$4503,1))</f>
        <v/>
      </c>
      <c r="D2433">
        <f>"Malpractice insurance – "&amp;IF(LEN(INDEX('Providers'!$A$4:$A$503,430))=0,"",INDEX('Providers'!$A$4:$A$503,430))</f>
        <v/>
      </c>
      <c r="E2433">
        <f>IF(ISNUMBER(INDEX('Providers'!$Q$4:$Q$503,430)),TEXT(INDEX('Providers'!$Q$4:$Q$503,430),"yyyy-mm-dd"),"")</f>
        <v/>
      </c>
      <c r="F2433">
        <f>"Insurance"</f>
        <v/>
      </c>
      <c r="G2433">
        <f>""</f>
        <v/>
      </c>
      <c r="H2433">
        <f>"High"</f>
        <v/>
      </c>
      <c r="I2433">
        <f>TRIM(IF(LEN(IF(LEN(INDEX('Providers'!$N$4:$N$503,430))=0,"",INDEX('Providers'!$N$4:$N$503,430)))=0,"","Carrier: "&amp;IF(LEN(INDEX('Providers'!$N$4:$N$503,430))=0,"",INDEX('Providers'!$N$4:$N$503,430))&amp;". ")&amp;IF(LEN(IF(LEN(INDEX('Providers'!$O$4:$O$503,430))=0,"",INDEX('Providers'!$O$4:$O$503,430)))=0,"","Policy no.: "&amp;IF(LEN(INDEX('Providers'!$O$4:$O$503,430))=0,"",INDEX('Providers'!$O$4:$O$503,430))&amp;". ")&amp;IF(LEN(IF(LEN(INDEX('Providers'!$P$4:$P$503,430))=0,"",INDEX('Providers'!$P$4:$P$503,430)))=0,"","Coverage form: "&amp;IF(LEN(INDEX('Providers'!$P$4:$P$503,430))=0,"",INDEX('Providers'!$P$4:$P$503,430))&amp;". "))</f>
        <v/>
      </c>
      <c r="J2433">
        <f>IF(LEN(INDEX('Providers'!$AJ$4:$AJ$503,430))=0,"",INDEX('Providers'!$AJ$4:$AJ$503,430))</f>
        <v/>
      </c>
      <c r="K2433">
        <f>IF(LEN(INDEX('Providers'!$AI$4:$AI$503,430))=0,"",INDEX('Providers'!$AI$4:$AI$503,430))</f>
        <v/>
      </c>
    </row>
    <row r="2434">
      <c r="A2434">
        <f>IF(AND(LEN('Providers'!A434)&gt;0,ISNUMBER('Providers'!Q434)),1,0)</f>
        <v/>
      </c>
      <c r="B2434">
        <f>B2433+A2434</f>
        <v/>
      </c>
      <c r="C2434">
        <f>IF(2431&gt;$B$4503,"",MATCH(2431-0.5,$B$3:$B$4503,1))</f>
        <v/>
      </c>
      <c r="D2434">
        <f>"Malpractice insurance – "&amp;IF(LEN(INDEX('Providers'!$A$4:$A$503,431))=0,"",INDEX('Providers'!$A$4:$A$503,431))</f>
        <v/>
      </c>
      <c r="E2434">
        <f>IF(ISNUMBER(INDEX('Providers'!$Q$4:$Q$503,431)),TEXT(INDEX('Providers'!$Q$4:$Q$503,431),"yyyy-mm-dd"),"")</f>
        <v/>
      </c>
      <c r="F2434">
        <f>"Insurance"</f>
        <v/>
      </c>
      <c r="G2434">
        <f>""</f>
        <v/>
      </c>
      <c r="H2434">
        <f>"High"</f>
        <v/>
      </c>
      <c r="I2434">
        <f>TRIM(IF(LEN(IF(LEN(INDEX('Providers'!$N$4:$N$503,431))=0,"",INDEX('Providers'!$N$4:$N$503,431)))=0,"","Carrier: "&amp;IF(LEN(INDEX('Providers'!$N$4:$N$503,431))=0,"",INDEX('Providers'!$N$4:$N$503,431))&amp;". ")&amp;IF(LEN(IF(LEN(INDEX('Providers'!$O$4:$O$503,431))=0,"",INDEX('Providers'!$O$4:$O$503,431)))=0,"","Policy no.: "&amp;IF(LEN(INDEX('Providers'!$O$4:$O$503,431))=0,"",INDEX('Providers'!$O$4:$O$503,431))&amp;". ")&amp;IF(LEN(IF(LEN(INDEX('Providers'!$P$4:$P$503,431))=0,"",INDEX('Providers'!$P$4:$P$503,431)))=0,"","Coverage form: "&amp;IF(LEN(INDEX('Providers'!$P$4:$P$503,431))=0,"",INDEX('Providers'!$P$4:$P$503,431))&amp;". "))</f>
        <v/>
      </c>
      <c r="J2434">
        <f>IF(LEN(INDEX('Providers'!$AJ$4:$AJ$503,431))=0,"",INDEX('Providers'!$AJ$4:$AJ$503,431))</f>
        <v/>
      </c>
      <c r="K2434">
        <f>IF(LEN(INDEX('Providers'!$AI$4:$AI$503,431))=0,"",INDEX('Providers'!$AI$4:$AI$503,431))</f>
        <v/>
      </c>
    </row>
    <row r="2435">
      <c r="A2435">
        <f>IF(AND(LEN('Providers'!A435)&gt;0,ISNUMBER('Providers'!Q435)),1,0)</f>
        <v/>
      </c>
      <c r="B2435">
        <f>B2434+A2435</f>
        <v/>
      </c>
      <c r="C2435">
        <f>IF(2432&gt;$B$4503,"",MATCH(2432-0.5,$B$3:$B$4503,1))</f>
        <v/>
      </c>
      <c r="D2435">
        <f>"Malpractice insurance – "&amp;IF(LEN(INDEX('Providers'!$A$4:$A$503,432))=0,"",INDEX('Providers'!$A$4:$A$503,432))</f>
        <v/>
      </c>
      <c r="E2435">
        <f>IF(ISNUMBER(INDEX('Providers'!$Q$4:$Q$503,432)),TEXT(INDEX('Providers'!$Q$4:$Q$503,432),"yyyy-mm-dd"),"")</f>
        <v/>
      </c>
      <c r="F2435">
        <f>"Insurance"</f>
        <v/>
      </c>
      <c r="G2435">
        <f>""</f>
        <v/>
      </c>
      <c r="H2435">
        <f>"High"</f>
        <v/>
      </c>
      <c r="I2435">
        <f>TRIM(IF(LEN(IF(LEN(INDEX('Providers'!$N$4:$N$503,432))=0,"",INDEX('Providers'!$N$4:$N$503,432)))=0,"","Carrier: "&amp;IF(LEN(INDEX('Providers'!$N$4:$N$503,432))=0,"",INDEX('Providers'!$N$4:$N$503,432))&amp;". ")&amp;IF(LEN(IF(LEN(INDEX('Providers'!$O$4:$O$503,432))=0,"",INDEX('Providers'!$O$4:$O$503,432)))=0,"","Policy no.: "&amp;IF(LEN(INDEX('Providers'!$O$4:$O$503,432))=0,"",INDEX('Providers'!$O$4:$O$503,432))&amp;". ")&amp;IF(LEN(IF(LEN(INDEX('Providers'!$P$4:$P$503,432))=0,"",INDEX('Providers'!$P$4:$P$503,432)))=0,"","Coverage form: "&amp;IF(LEN(INDEX('Providers'!$P$4:$P$503,432))=0,"",INDEX('Providers'!$P$4:$P$503,432))&amp;". "))</f>
        <v/>
      </c>
      <c r="J2435">
        <f>IF(LEN(INDEX('Providers'!$AJ$4:$AJ$503,432))=0,"",INDEX('Providers'!$AJ$4:$AJ$503,432))</f>
        <v/>
      </c>
      <c r="K2435">
        <f>IF(LEN(INDEX('Providers'!$AI$4:$AI$503,432))=0,"",INDEX('Providers'!$AI$4:$AI$503,432))</f>
        <v/>
      </c>
    </row>
    <row r="2436">
      <c r="A2436">
        <f>IF(AND(LEN('Providers'!A436)&gt;0,ISNUMBER('Providers'!Q436)),1,0)</f>
        <v/>
      </c>
      <c r="B2436">
        <f>B2435+A2436</f>
        <v/>
      </c>
      <c r="C2436">
        <f>IF(2433&gt;$B$4503,"",MATCH(2433-0.5,$B$3:$B$4503,1))</f>
        <v/>
      </c>
      <c r="D2436">
        <f>"Malpractice insurance – "&amp;IF(LEN(INDEX('Providers'!$A$4:$A$503,433))=0,"",INDEX('Providers'!$A$4:$A$503,433))</f>
        <v/>
      </c>
      <c r="E2436">
        <f>IF(ISNUMBER(INDEX('Providers'!$Q$4:$Q$503,433)),TEXT(INDEX('Providers'!$Q$4:$Q$503,433),"yyyy-mm-dd"),"")</f>
        <v/>
      </c>
      <c r="F2436">
        <f>"Insurance"</f>
        <v/>
      </c>
      <c r="G2436">
        <f>""</f>
        <v/>
      </c>
      <c r="H2436">
        <f>"High"</f>
        <v/>
      </c>
      <c r="I2436">
        <f>TRIM(IF(LEN(IF(LEN(INDEX('Providers'!$N$4:$N$503,433))=0,"",INDEX('Providers'!$N$4:$N$503,433)))=0,"","Carrier: "&amp;IF(LEN(INDEX('Providers'!$N$4:$N$503,433))=0,"",INDEX('Providers'!$N$4:$N$503,433))&amp;". ")&amp;IF(LEN(IF(LEN(INDEX('Providers'!$O$4:$O$503,433))=0,"",INDEX('Providers'!$O$4:$O$503,433)))=0,"","Policy no.: "&amp;IF(LEN(INDEX('Providers'!$O$4:$O$503,433))=0,"",INDEX('Providers'!$O$4:$O$503,433))&amp;". ")&amp;IF(LEN(IF(LEN(INDEX('Providers'!$P$4:$P$503,433))=0,"",INDEX('Providers'!$P$4:$P$503,433)))=0,"","Coverage form: "&amp;IF(LEN(INDEX('Providers'!$P$4:$P$503,433))=0,"",INDEX('Providers'!$P$4:$P$503,433))&amp;". "))</f>
        <v/>
      </c>
      <c r="J2436">
        <f>IF(LEN(INDEX('Providers'!$AJ$4:$AJ$503,433))=0,"",INDEX('Providers'!$AJ$4:$AJ$503,433))</f>
        <v/>
      </c>
      <c r="K2436">
        <f>IF(LEN(INDEX('Providers'!$AI$4:$AI$503,433))=0,"",INDEX('Providers'!$AI$4:$AI$503,433))</f>
        <v/>
      </c>
    </row>
    <row r="2437">
      <c r="A2437">
        <f>IF(AND(LEN('Providers'!A437)&gt;0,ISNUMBER('Providers'!Q437)),1,0)</f>
        <v/>
      </c>
      <c r="B2437">
        <f>B2436+A2437</f>
        <v/>
      </c>
      <c r="C2437">
        <f>IF(2434&gt;$B$4503,"",MATCH(2434-0.5,$B$3:$B$4503,1))</f>
        <v/>
      </c>
      <c r="D2437">
        <f>"Malpractice insurance – "&amp;IF(LEN(INDEX('Providers'!$A$4:$A$503,434))=0,"",INDEX('Providers'!$A$4:$A$503,434))</f>
        <v/>
      </c>
      <c r="E2437">
        <f>IF(ISNUMBER(INDEX('Providers'!$Q$4:$Q$503,434)),TEXT(INDEX('Providers'!$Q$4:$Q$503,434),"yyyy-mm-dd"),"")</f>
        <v/>
      </c>
      <c r="F2437">
        <f>"Insurance"</f>
        <v/>
      </c>
      <c r="G2437">
        <f>""</f>
        <v/>
      </c>
      <c r="H2437">
        <f>"High"</f>
        <v/>
      </c>
      <c r="I2437">
        <f>TRIM(IF(LEN(IF(LEN(INDEX('Providers'!$N$4:$N$503,434))=0,"",INDEX('Providers'!$N$4:$N$503,434)))=0,"","Carrier: "&amp;IF(LEN(INDEX('Providers'!$N$4:$N$503,434))=0,"",INDEX('Providers'!$N$4:$N$503,434))&amp;". ")&amp;IF(LEN(IF(LEN(INDEX('Providers'!$O$4:$O$503,434))=0,"",INDEX('Providers'!$O$4:$O$503,434)))=0,"","Policy no.: "&amp;IF(LEN(INDEX('Providers'!$O$4:$O$503,434))=0,"",INDEX('Providers'!$O$4:$O$503,434))&amp;". ")&amp;IF(LEN(IF(LEN(INDEX('Providers'!$P$4:$P$503,434))=0,"",INDEX('Providers'!$P$4:$P$503,434)))=0,"","Coverage form: "&amp;IF(LEN(INDEX('Providers'!$P$4:$P$503,434))=0,"",INDEX('Providers'!$P$4:$P$503,434))&amp;". "))</f>
        <v/>
      </c>
      <c r="J2437">
        <f>IF(LEN(INDEX('Providers'!$AJ$4:$AJ$503,434))=0,"",INDEX('Providers'!$AJ$4:$AJ$503,434))</f>
        <v/>
      </c>
      <c r="K2437">
        <f>IF(LEN(INDEX('Providers'!$AI$4:$AI$503,434))=0,"",INDEX('Providers'!$AI$4:$AI$503,434))</f>
        <v/>
      </c>
    </row>
    <row r="2438">
      <c r="A2438">
        <f>IF(AND(LEN('Providers'!A438)&gt;0,ISNUMBER('Providers'!Q438)),1,0)</f>
        <v/>
      </c>
      <c r="B2438">
        <f>B2437+A2438</f>
        <v/>
      </c>
      <c r="C2438">
        <f>IF(2435&gt;$B$4503,"",MATCH(2435-0.5,$B$3:$B$4503,1))</f>
        <v/>
      </c>
      <c r="D2438">
        <f>"Malpractice insurance – "&amp;IF(LEN(INDEX('Providers'!$A$4:$A$503,435))=0,"",INDEX('Providers'!$A$4:$A$503,435))</f>
        <v/>
      </c>
      <c r="E2438">
        <f>IF(ISNUMBER(INDEX('Providers'!$Q$4:$Q$503,435)),TEXT(INDEX('Providers'!$Q$4:$Q$503,435),"yyyy-mm-dd"),"")</f>
        <v/>
      </c>
      <c r="F2438">
        <f>"Insurance"</f>
        <v/>
      </c>
      <c r="G2438">
        <f>""</f>
        <v/>
      </c>
      <c r="H2438">
        <f>"High"</f>
        <v/>
      </c>
      <c r="I2438">
        <f>TRIM(IF(LEN(IF(LEN(INDEX('Providers'!$N$4:$N$503,435))=0,"",INDEX('Providers'!$N$4:$N$503,435)))=0,"","Carrier: "&amp;IF(LEN(INDEX('Providers'!$N$4:$N$503,435))=0,"",INDEX('Providers'!$N$4:$N$503,435))&amp;". ")&amp;IF(LEN(IF(LEN(INDEX('Providers'!$O$4:$O$503,435))=0,"",INDEX('Providers'!$O$4:$O$503,435)))=0,"","Policy no.: "&amp;IF(LEN(INDEX('Providers'!$O$4:$O$503,435))=0,"",INDEX('Providers'!$O$4:$O$503,435))&amp;". ")&amp;IF(LEN(IF(LEN(INDEX('Providers'!$P$4:$P$503,435))=0,"",INDEX('Providers'!$P$4:$P$503,435)))=0,"","Coverage form: "&amp;IF(LEN(INDEX('Providers'!$P$4:$P$503,435))=0,"",INDEX('Providers'!$P$4:$P$503,435))&amp;". "))</f>
        <v/>
      </c>
      <c r="J2438">
        <f>IF(LEN(INDEX('Providers'!$AJ$4:$AJ$503,435))=0,"",INDEX('Providers'!$AJ$4:$AJ$503,435))</f>
        <v/>
      </c>
      <c r="K2438">
        <f>IF(LEN(INDEX('Providers'!$AI$4:$AI$503,435))=0,"",INDEX('Providers'!$AI$4:$AI$503,435))</f>
        <v/>
      </c>
    </row>
    <row r="2439">
      <c r="A2439">
        <f>IF(AND(LEN('Providers'!A439)&gt;0,ISNUMBER('Providers'!Q439)),1,0)</f>
        <v/>
      </c>
      <c r="B2439">
        <f>B2438+A2439</f>
        <v/>
      </c>
      <c r="C2439">
        <f>IF(2436&gt;$B$4503,"",MATCH(2436-0.5,$B$3:$B$4503,1))</f>
        <v/>
      </c>
      <c r="D2439">
        <f>"Malpractice insurance – "&amp;IF(LEN(INDEX('Providers'!$A$4:$A$503,436))=0,"",INDEX('Providers'!$A$4:$A$503,436))</f>
        <v/>
      </c>
      <c r="E2439">
        <f>IF(ISNUMBER(INDEX('Providers'!$Q$4:$Q$503,436)),TEXT(INDEX('Providers'!$Q$4:$Q$503,436),"yyyy-mm-dd"),"")</f>
        <v/>
      </c>
      <c r="F2439">
        <f>"Insurance"</f>
        <v/>
      </c>
      <c r="G2439">
        <f>""</f>
        <v/>
      </c>
      <c r="H2439">
        <f>"High"</f>
        <v/>
      </c>
      <c r="I2439">
        <f>TRIM(IF(LEN(IF(LEN(INDEX('Providers'!$N$4:$N$503,436))=0,"",INDEX('Providers'!$N$4:$N$503,436)))=0,"","Carrier: "&amp;IF(LEN(INDEX('Providers'!$N$4:$N$503,436))=0,"",INDEX('Providers'!$N$4:$N$503,436))&amp;". ")&amp;IF(LEN(IF(LEN(INDEX('Providers'!$O$4:$O$503,436))=0,"",INDEX('Providers'!$O$4:$O$503,436)))=0,"","Policy no.: "&amp;IF(LEN(INDEX('Providers'!$O$4:$O$503,436))=0,"",INDEX('Providers'!$O$4:$O$503,436))&amp;". ")&amp;IF(LEN(IF(LEN(INDEX('Providers'!$P$4:$P$503,436))=0,"",INDEX('Providers'!$P$4:$P$503,436)))=0,"","Coverage form: "&amp;IF(LEN(INDEX('Providers'!$P$4:$P$503,436))=0,"",INDEX('Providers'!$P$4:$P$503,436))&amp;". "))</f>
        <v/>
      </c>
      <c r="J2439">
        <f>IF(LEN(INDEX('Providers'!$AJ$4:$AJ$503,436))=0,"",INDEX('Providers'!$AJ$4:$AJ$503,436))</f>
        <v/>
      </c>
      <c r="K2439">
        <f>IF(LEN(INDEX('Providers'!$AI$4:$AI$503,436))=0,"",INDEX('Providers'!$AI$4:$AI$503,436))</f>
        <v/>
      </c>
    </row>
    <row r="2440">
      <c r="A2440">
        <f>IF(AND(LEN('Providers'!A440)&gt;0,ISNUMBER('Providers'!Q440)),1,0)</f>
        <v/>
      </c>
      <c r="B2440">
        <f>B2439+A2440</f>
        <v/>
      </c>
      <c r="C2440">
        <f>IF(2437&gt;$B$4503,"",MATCH(2437-0.5,$B$3:$B$4503,1))</f>
        <v/>
      </c>
      <c r="D2440">
        <f>"Malpractice insurance – "&amp;IF(LEN(INDEX('Providers'!$A$4:$A$503,437))=0,"",INDEX('Providers'!$A$4:$A$503,437))</f>
        <v/>
      </c>
      <c r="E2440">
        <f>IF(ISNUMBER(INDEX('Providers'!$Q$4:$Q$503,437)),TEXT(INDEX('Providers'!$Q$4:$Q$503,437),"yyyy-mm-dd"),"")</f>
        <v/>
      </c>
      <c r="F2440">
        <f>"Insurance"</f>
        <v/>
      </c>
      <c r="G2440">
        <f>""</f>
        <v/>
      </c>
      <c r="H2440">
        <f>"High"</f>
        <v/>
      </c>
      <c r="I2440">
        <f>TRIM(IF(LEN(IF(LEN(INDEX('Providers'!$N$4:$N$503,437))=0,"",INDEX('Providers'!$N$4:$N$503,437)))=0,"","Carrier: "&amp;IF(LEN(INDEX('Providers'!$N$4:$N$503,437))=0,"",INDEX('Providers'!$N$4:$N$503,437))&amp;". ")&amp;IF(LEN(IF(LEN(INDEX('Providers'!$O$4:$O$503,437))=0,"",INDEX('Providers'!$O$4:$O$503,437)))=0,"","Policy no.: "&amp;IF(LEN(INDEX('Providers'!$O$4:$O$503,437))=0,"",INDEX('Providers'!$O$4:$O$503,437))&amp;". ")&amp;IF(LEN(IF(LEN(INDEX('Providers'!$P$4:$P$503,437))=0,"",INDEX('Providers'!$P$4:$P$503,437)))=0,"","Coverage form: "&amp;IF(LEN(INDEX('Providers'!$P$4:$P$503,437))=0,"",INDEX('Providers'!$P$4:$P$503,437))&amp;". "))</f>
        <v/>
      </c>
      <c r="J2440">
        <f>IF(LEN(INDEX('Providers'!$AJ$4:$AJ$503,437))=0,"",INDEX('Providers'!$AJ$4:$AJ$503,437))</f>
        <v/>
      </c>
      <c r="K2440">
        <f>IF(LEN(INDEX('Providers'!$AI$4:$AI$503,437))=0,"",INDEX('Providers'!$AI$4:$AI$503,437))</f>
        <v/>
      </c>
    </row>
    <row r="2441">
      <c r="A2441">
        <f>IF(AND(LEN('Providers'!A441)&gt;0,ISNUMBER('Providers'!Q441)),1,0)</f>
        <v/>
      </c>
      <c r="B2441">
        <f>B2440+A2441</f>
        <v/>
      </c>
      <c r="C2441">
        <f>IF(2438&gt;$B$4503,"",MATCH(2438-0.5,$B$3:$B$4503,1))</f>
        <v/>
      </c>
      <c r="D2441">
        <f>"Malpractice insurance – "&amp;IF(LEN(INDEX('Providers'!$A$4:$A$503,438))=0,"",INDEX('Providers'!$A$4:$A$503,438))</f>
        <v/>
      </c>
      <c r="E2441">
        <f>IF(ISNUMBER(INDEX('Providers'!$Q$4:$Q$503,438)),TEXT(INDEX('Providers'!$Q$4:$Q$503,438),"yyyy-mm-dd"),"")</f>
        <v/>
      </c>
      <c r="F2441">
        <f>"Insurance"</f>
        <v/>
      </c>
      <c r="G2441">
        <f>""</f>
        <v/>
      </c>
      <c r="H2441">
        <f>"High"</f>
        <v/>
      </c>
      <c r="I2441">
        <f>TRIM(IF(LEN(IF(LEN(INDEX('Providers'!$N$4:$N$503,438))=0,"",INDEX('Providers'!$N$4:$N$503,438)))=0,"","Carrier: "&amp;IF(LEN(INDEX('Providers'!$N$4:$N$503,438))=0,"",INDEX('Providers'!$N$4:$N$503,438))&amp;". ")&amp;IF(LEN(IF(LEN(INDEX('Providers'!$O$4:$O$503,438))=0,"",INDEX('Providers'!$O$4:$O$503,438)))=0,"","Policy no.: "&amp;IF(LEN(INDEX('Providers'!$O$4:$O$503,438))=0,"",INDEX('Providers'!$O$4:$O$503,438))&amp;". ")&amp;IF(LEN(IF(LEN(INDEX('Providers'!$P$4:$P$503,438))=0,"",INDEX('Providers'!$P$4:$P$503,438)))=0,"","Coverage form: "&amp;IF(LEN(INDEX('Providers'!$P$4:$P$503,438))=0,"",INDEX('Providers'!$P$4:$P$503,438))&amp;". "))</f>
        <v/>
      </c>
      <c r="J2441">
        <f>IF(LEN(INDEX('Providers'!$AJ$4:$AJ$503,438))=0,"",INDEX('Providers'!$AJ$4:$AJ$503,438))</f>
        <v/>
      </c>
      <c r="K2441">
        <f>IF(LEN(INDEX('Providers'!$AI$4:$AI$503,438))=0,"",INDEX('Providers'!$AI$4:$AI$503,438))</f>
        <v/>
      </c>
    </row>
    <row r="2442">
      <c r="A2442">
        <f>IF(AND(LEN('Providers'!A442)&gt;0,ISNUMBER('Providers'!Q442)),1,0)</f>
        <v/>
      </c>
      <c r="B2442">
        <f>B2441+A2442</f>
        <v/>
      </c>
      <c r="C2442">
        <f>IF(2439&gt;$B$4503,"",MATCH(2439-0.5,$B$3:$B$4503,1))</f>
        <v/>
      </c>
      <c r="D2442">
        <f>"Malpractice insurance – "&amp;IF(LEN(INDEX('Providers'!$A$4:$A$503,439))=0,"",INDEX('Providers'!$A$4:$A$503,439))</f>
        <v/>
      </c>
      <c r="E2442">
        <f>IF(ISNUMBER(INDEX('Providers'!$Q$4:$Q$503,439)),TEXT(INDEX('Providers'!$Q$4:$Q$503,439),"yyyy-mm-dd"),"")</f>
        <v/>
      </c>
      <c r="F2442">
        <f>"Insurance"</f>
        <v/>
      </c>
      <c r="G2442">
        <f>""</f>
        <v/>
      </c>
      <c r="H2442">
        <f>"High"</f>
        <v/>
      </c>
      <c r="I2442">
        <f>TRIM(IF(LEN(IF(LEN(INDEX('Providers'!$N$4:$N$503,439))=0,"",INDEX('Providers'!$N$4:$N$503,439)))=0,"","Carrier: "&amp;IF(LEN(INDEX('Providers'!$N$4:$N$503,439))=0,"",INDEX('Providers'!$N$4:$N$503,439))&amp;". ")&amp;IF(LEN(IF(LEN(INDEX('Providers'!$O$4:$O$503,439))=0,"",INDEX('Providers'!$O$4:$O$503,439)))=0,"","Policy no.: "&amp;IF(LEN(INDEX('Providers'!$O$4:$O$503,439))=0,"",INDEX('Providers'!$O$4:$O$503,439))&amp;". ")&amp;IF(LEN(IF(LEN(INDEX('Providers'!$P$4:$P$503,439))=0,"",INDEX('Providers'!$P$4:$P$503,439)))=0,"","Coverage form: "&amp;IF(LEN(INDEX('Providers'!$P$4:$P$503,439))=0,"",INDEX('Providers'!$P$4:$P$503,439))&amp;". "))</f>
        <v/>
      </c>
      <c r="J2442">
        <f>IF(LEN(INDEX('Providers'!$AJ$4:$AJ$503,439))=0,"",INDEX('Providers'!$AJ$4:$AJ$503,439))</f>
        <v/>
      </c>
      <c r="K2442">
        <f>IF(LEN(INDEX('Providers'!$AI$4:$AI$503,439))=0,"",INDEX('Providers'!$AI$4:$AI$503,439))</f>
        <v/>
      </c>
    </row>
    <row r="2443">
      <c r="A2443">
        <f>IF(AND(LEN('Providers'!A443)&gt;0,ISNUMBER('Providers'!Q443)),1,0)</f>
        <v/>
      </c>
      <c r="B2443">
        <f>B2442+A2443</f>
        <v/>
      </c>
      <c r="C2443">
        <f>IF(2440&gt;$B$4503,"",MATCH(2440-0.5,$B$3:$B$4503,1))</f>
        <v/>
      </c>
      <c r="D2443">
        <f>"Malpractice insurance – "&amp;IF(LEN(INDEX('Providers'!$A$4:$A$503,440))=0,"",INDEX('Providers'!$A$4:$A$503,440))</f>
        <v/>
      </c>
      <c r="E2443">
        <f>IF(ISNUMBER(INDEX('Providers'!$Q$4:$Q$503,440)),TEXT(INDEX('Providers'!$Q$4:$Q$503,440),"yyyy-mm-dd"),"")</f>
        <v/>
      </c>
      <c r="F2443">
        <f>"Insurance"</f>
        <v/>
      </c>
      <c r="G2443">
        <f>""</f>
        <v/>
      </c>
      <c r="H2443">
        <f>"High"</f>
        <v/>
      </c>
      <c r="I2443">
        <f>TRIM(IF(LEN(IF(LEN(INDEX('Providers'!$N$4:$N$503,440))=0,"",INDEX('Providers'!$N$4:$N$503,440)))=0,"","Carrier: "&amp;IF(LEN(INDEX('Providers'!$N$4:$N$503,440))=0,"",INDEX('Providers'!$N$4:$N$503,440))&amp;". ")&amp;IF(LEN(IF(LEN(INDEX('Providers'!$O$4:$O$503,440))=0,"",INDEX('Providers'!$O$4:$O$503,440)))=0,"","Policy no.: "&amp;IF(LEN(INDEX('Providers'!$O$4:$O$503,440))=0,"",INDEX('Providers'!$O$4:$O$503,440))&amp;". ")&amp;IF(LEN(IF(LEN(INDEX('Providers'!$P$4:$P$503,440))=0,"",INDEX('Providers'!$P$4:$P$503,440)))=0,"","Coverage form: "&amp;IF(LEN(INDEX('Providers'!$P$4:$P$503,440))=0,"",INDEX('Providers'!$P$4:$P$503,440))&amp;". "))</f>
        <v/>
      </c>
      <c r="J2443">
        <f>IF(LEN(INDEX('Providers'!$AJ$4:$AJ$503,440))=0,"",INDEX('Providers'!$AJ$4:$AJ$503,440))</f>
        <v/>
      </c>
      <c r="K2443">
        <f>IF(LEN(INDEX('Providers'!$AI$4:$AI$503,440))=0,"",INDEX('Providers'!$AI$4:$AI$503,440))</f>
        <v/>
      </c>
    </row>
    <row r="2444">
      <c r="A2444">
        <f>IF(AND(LEN('Providers'!A444)&gt;0,ISNUMBER('Providers'!Q444)),1,0)</f>
        <v/>
      </c>
      <c r="B2444">
        <f>B2443+A2444</f>
        <v/>
      </c>
      <c r="C2444">
        <f>IF(2441&gt;$B$4503,"",MATCH(2441-0.5,$B$3:$B$4503,1))</f>
        <v/>
      </c>
      <c r="D2444">
        <f>"Malpractice insurance – "&amp;IF(LEN(INDEX('Providers'!$A$4:$A$503,441))=0,"",INDEX('Providers'!$A$4:$A$503,441))</f>
        <v/>
      </c>
      <c r="E2444">
        <f>IF(ISNUMBER(INDEX('Providers'!$Q$4:$Q$503,441)),TEXT(INDEX('Providers'!$Q$4:$Q$503,441),"yyyy-mm-dd"),"")</f>
        <v/>
      </c>
      <c r="F2444">
        <f>"Insurance"</f>
        <v/>
      </c>
      <c r="G2444">
        <f>""</f>
        <v/>
      </c>
      <c r="H2444">
        <f>"High"</f>
        <v/>
      </c>
      <c r="I2444">
        <f>TRIM(IF(LEN(IF(LEN(INDEX('Providers'!$N$4:$N$503,441))=0,"",INDEX('Providers'!$N$4:$N$503,441)))=0,"","Carrier: "&amp;IF(LEN(INDEX('Providers'!$N$4:$N$503,441))=0,"",INDEX('Providers'!$N$4:$N$503,441))&amp;". ")&amp;IF(LEN(IF(LEN(INDEX('Providers'!$O$4:$O$503,441))=0,"",INDEX('Providers'!$O$4:$O$503,441)))=0,"","Policy no.: "&amp;IF(LEN(INDEX('Providers'!$O$4:$O$503,441))=0,"",INDEX('Providers'!$O$4:$O$503,441))&amp;". ")&amp;IF(LEN(IF(LEN(INDEX('Providers'!$P$4:$P$503,441))=0,"",INDEX('Providers'!$P$4:$P$503,441)))=0,"","Coverage form: "&amp;IF(LEN(INDEX('Providers'!$P$4:$P$503,441))=0,"",INDEX('Providers'!$P$4:$P$503,441))&amp;". "))</f>
        <v/>
      </c>
      <c r="J2444">
        <f>IF(LEN(INDEX('Providers'!$AJ$4:$AJ$503,441))=0,"",INDEX('Providers'!$AJ$4:$AJ$503,441))</f>
        <v/>
      </c>
      <c r="K2444">
        <f>IF(LEN(INDEX('Providers'!$AI$4:$AI$503,441))=0,"",INDEX('Providers'!$AI$4:$AI$503,441))</f>
        <v/>
      </c>
    </row>
    <row r="2445">
      <c r="A2445">
        <f>IF(AND(LEN('Providers'!A445)&gt;0,ISNUMBER('Providers'!Q445)),1,0)</f>
        <v/>
      </c>
      <c r="B2445">
        <f>B2444+A2445</f>
        <v/>
      </c>
      <c r="C2445">
        <f>IF(2442&gt;$B$4503,"",MATCH(2442-0.5,$B$3:$B$4503,1))</f>
        <v/>
      </c>
      <c r="D2445">
        <f>"Malpractice insurance – "&amp;IF(LEN(INDEX('Providers'!$A$4:$A$503,442))=0,"",INDEX('Providers'!$A$4:$A$503,442))</f>
        <v/>
      </c>
      <c r="E2445">
        <f>IF(ISNUMBER(INDEX('Providers'!$Q$4:$Q$503,442)),TEXT(INDEX('Providers'!$Q$4:$Q$503,442),"yyyy-mm-dd"),"")</f>
        <v/>
      </c>
      <c r="F2445">
        <f>"Insurance"</f>
        <v/>
      </c>
      <c r="G2445">
        <f>""</f>
        <v/>
      </c>
      <c r="H2445">
        <f>"High"</f>
        <v/>
      </c>
      <c r="I2445">
        <f>TRIM(IF(LEN(IF(LEN(INDEX('Providers'!$N$4:$N$503,442))=0,"",INDEX('Providers'!$N$4:$N$503,442)))=0,"","Carrier: "&amp;IF(LEN(INDEX('Providers'!$N$4:$N$503,442))=0,"",INDEX('Providers'!$N$4:$N$503,442))&amp;". ")&amp;IF(LEN(IF(LEN(INDEX('Providers'!$O$4:$O$503,442))=0,"",INDEX('Providers'!$O$4:$O$503,442)))=0,"","Policy no.: "&amp;IF(LEN(INDEX('Providers'!$O$4:$O$503,442))=0,"",INDEX('Providers'!$O$4:$O$503,442))&amp;". ")&amp;IF(LEN(IF(LEN(INDEX('Providers'!$P$4:$P$503,442))=0,"",INDEX('Providers'!$P$4:$P$503,442)))=0,"","Coverage form: "&amp;IF(LEN(INDEX('Providers'!$P$4:$P$503,442))=0,"",INDEX('Providers'!$P$4:$P$503,442))&amp;". "))</f>
        <v/>
      </c>
      <c r="J2445">
        <f>IF(LEN(INDEX('Providers'!$AJ$4:$AJ$503,442))=0,"",INDEX('Providers'!$AJ$4:$AJ$503,442))</f>
        <v/>
      </c>
      <c r="K2445">
        <f>IF(LEN(INDEX('Providers'!$AI$4:$AI$503,442))=0,"",INDEX('Providers'!$AI$4:$AI$503,442))</f>
        <v/>
      </c>
    </row>
    <row r="2446">
      <c r="A2446">
        <f>IF(AND(LEN('Providers'!A446)&gt;0,ISNUMBER('Providers'!Q446)),1,0)</f>
        <v/>
      </c>
      <c r="B2446">
        <f>B2445+A2446</f>
        <v/>
      </c>
      <c r="C2446">
        <f>IF(2443&gt;$B$4503,"",MATCH(2443-0.5,$B$3:$B$4503,1))</f>
        <v/>
      </c>
      <c r="D2446">
        <f>"Malpractice insurance – "&amp;IF(LEN(INDEX('Providers'!$A$4:$A$503,443))=0,"",INDEX('Providers'!$A$4:$A$503,443))</f>
        <v/>
      </c>
      <c r="E2446">
        <f>IF(ISNUMBER(INDEX('Providers'!$Q$4:$Q$503,443)),TEXT(INDEX('Providers'!$Q$4:$Q$503,443),"yyyy-mm-dd"),"")</f>
        <v/>
      </c>
      <c r="F2446">
        <f>"Insurance"</f>
        <v/>
      </c>
      <c r="G2446">
        <f>""</f>
        <v/>
      </c>
      <c r="H2446">
        <f>"High"</f>
        <v/>
      </c>
      <c r="I2446">
        <f>TRIM(IF(LEN(IF(LEN(INDEX('Providers'!$N$4:$N$503,443))=0,"",INDEX('Providers'!$N$4:$N$503,443)))=0,"","Carrier: "&amp;IF(LEN(INDEX('Providers'!$N$4:$N$503,443))=0,"",INDEX('Providers'!$N$4:$N$503,443))&amp;". ")&amp;IF(LEN(IF(LEN(INDEX('Providers'!$O$4:$O$503,443))=0,"",INDEX('Providers'!$O$4:$O$503,443)))=0,"","Policy no.: "&amp;IF(LEN(INDEX('Providers'!$O$4:$O$503,443))=0,"",INDEX('Providers'!$O$4:$O$503,443))&amp;". ")&amp;IF(LEN(IF(LEN(INDEX('Providers'!$P$4:$P$503,443))=0,"",INDEX('Providers'!$P$4:$P$503,443)))=0,"","Coverage form: "&amp;IF(LEN(INDEX('Providers'!$P$4:$P$503,443))=0,"",INDEX('Providers'!$P$4:$P$503,443))&amp;". "))</f>
        <v/>
      </c>
      <c r="J2446">
        <f>IF(LEN(INDEX('Providers'!$AJ$4:$AJ$503,443))=0,"",INDEX('Providers'!$AJ$4:$AJ$503,443))</f>
        <v/>
      </c>
      <c r="K2446">
        <f>IF(LEN(INDEX('Providers'!$AI$4:$AI$503,443))=0,"",INDEX('Providers'!$AI$4:$AI$503,443))</f>
        <v/>
      </c>
    </row>
    <row r="2447">
      <c r="A2447">
        <f>IF(AND(LEN('Providers'!A447)&gt;0,ISNUMBER('Providers'!Q447)),1,0)</f>
        <v/>
      </c>
      <c r="B2447">
        <f>B2446+A2447</f>
        <v/>
      </c>
      <c r="C2447">
        <f>IF(2444&gt;$B$4503,"",MATCH(2444-0.5,$B$3:$B$4503,1))</f>
        <v/>
      </c>
      <c r="D2447">
        <f>"Malpractice insurance – "&amp;IF(LEN(INDEX('Providers'!$A$4:$A$503,444))=0,"",INDEX('Providers'!$A$4:$A$503,444))</f>
        <v/>
      </c>
      <c r="E2447">
        <f>IF(ISNUMBER(INDEX('Providers'!$Q$4:$Q$503,444)),TEXT(INDEX('Providers'!$Q$4:$Q$503,444),"yyyy-mm-dd"),"")</f>
        <v/>
      </c>
      <c r="F2447">
        <f>"Insurance"</f>
        <v/>
      </c>
      <c r="G2447">
        <f>""</f>
        <v/>
      </c>
      <c r="H2447">
        <f>"High"</f>
        <v/>
      </c>
      <c r="I2447">
        <f>TRIM(IF(LEN(IF(LEN(INDEX('Providers'!$N$4:$N$503,444))=0,"",INDEX('Providers'!$N$4:$N$503,444)))=0,"","Carrier: "&amp;IF(LEN(INDEX('Providers'!$N$4:$N$503,444))=0,"",INDEX('Providers'!$N$4:$N$503,444))&amp;". ")&amp;IF(LEN(IF(LEN(INDEX('Providers'!$O$4:$O$503,444))=0,"",INDEX('Providers'!$O$4:$O$503,444)))=0,"","Policy no.: "&amp;IF(LEN(INDEX('Providers'!$O$4:$O$503,444))=0,"",INDEX('Providers'!$O$4:$O$503,444))&amp;". ")&amp;IF(LEN(IF(LEN(INDEX('Providers'!$P$4:$P$503,444))=0,"",INDEX('Providers'!$P$4:$P$503,444)))=0,"","Coverage form: "&amp;IF(LEN(INDEX('Providers'!$P$4:$P$503,444))=0,"",INDEX('Providers'!$P$4:$P$503,444))&amp;". "))</f>
        <v/>
      </c>
      <c r="J2447">
        <f>IF(LEN(INDEX('Providers'!$AJ$4:$AJ$503,444))=0,"",INDEX('Providers'!$AJ$4:$AJ$503,444))</f>
        <v/>
      </c>
      <c r="K2447">
        <f>IF(LEN(INDEX('Providers'!$AI$4:$AI$503,444))=0,"",INDEX('Providers'!$AI$4:$AI$503,444))</f>
        <v/>
      </c>
    </row>
    <row r="2448">
      <c r="A2448">
        <f>IF(AND(LEN('Providers'!A448)&gt;0,ISNUMBER('Providers'!Q448)),1,0)</f>
        <v/>
      </c>
      <c r="B2448">
        <f>B2447+A2448</f>
        <v/>
      </c>
      <c r="C2448">
        <f>IF(2445&gt;$B$4503,"",MATCH(2445-0.5,$B$3:$B$4503,1))</f>
        <v/>
      </c>
      <c r="D2448">
        <f>"Malpractice insurance – "&amp;IF(LEN(INDEX('Providers'!$A$4:$A$503,445))=0,"",INDEX('Providers'!$A$4:$A$503,445))</f>
        <v/>
      </c>
      <c r="E2448">
        <f>IF(ISNUMBER(INDEX('Providers'!$Q$4:$Q$503,445)),TEXT(INDEX('Providers'!$Q$4:$Q$503,445),"yyyy-mm-dd"),"")</f>
        <v/>
      </c>
      <c r="F2448">
        <f>"Insurance"</f>
        <v/>
      </c>
      <c r="G2448">
        <f>""</f>
        <v/>
      </c>
      <c r="H2448">
        <f>"High"</f>
        <v/>
      </c>
      <c r="I2448">
        <f>TRIM(IF(LEN(IF(LEN(INDEX('Providers'!$N$4:$N$503,445))=0,"",INDEX('Providers'!$N$4:$N$503,445)))=0,"","Carrier: "&amp;IF(LEN(INDEX('Providers'!$N$4:$N$503,445))=0,"",INDEX('Providers'!$N$4:$N$503,445))&amp;". ")&amp;IF(LEN(IF(LEN(INDEX('Providers'!$O$4:$O$503,445))=0,"",INDEX('Providers'!$O$4:$O$503,445)))=0,"","Policy no.: "&amp;IF(LEN(INDEX('Providers'!$O$4:$O$503,445))=0,"",INDEX('Providers'!$O$4:$O$503,445))&amp;". ")&amp;IF(LEN(IF(LEN(INDEX('Providers'!$P$4:$P$503,445))=0,"",INDEX('Providers'!$P$4:$P$503,445)))=0,"","Coverage form: "&amp;IF(LEN(INDEX('Providers'!$P$4:$P$503,445))=0,"",INDEX('Providers'!$P$4:$P$503,445))&amp;". "))</f>
        <v/>
      </c>
      <c r="J2448">
        <f>IF(LEN(INDEX('Providers'!$AJ$4:$AJ$503,445))=0,"",INDEX('Providers'!$AJ$4:$AJ$503,445))</f>
        <v/>
      </c>
      <c r="K2448">
        <f>IF(LEN(INDEX('Providers'!$AI$4:$AI$503,445))=0,"",INDEX('Providers'!$AI$4:$AI$503,445))</f>
        <v/>
      </c>
    </row>
    <row r="2449">
      <c r="A2449">
        <f>IF(AND(LEN('Providers'!A449)&gt;0,ISNUMBER('Providers'!Q449)),1,0)</f>
        <v/>
      </c>
      <c r="B2449">
        <f>B2448+A2449</f>
        <v/>
      </c>
      <c r="C2449">
        <f>IF(2446&gt;$B$4503,"",MATCH(2446-0.5,$B$3:$B$4503,1))</f>
        <v/>
      </c>
      <c r="D2449">
        <f>"Malpractice insurance – "&amp;IF(LEN(INDEX('Providers'!$A$4:$A$503,446))=0,"",INDEX('Providers'!$A$4:$A$503,446))</f>
        <v/>
      </c>
      <c r="E2449">
        <f>IF(ISNUMBER(INDEX('Providers'!$Q$4:$Q$503,446)),TEXT(INDEX('Providers'!$Q$4:$Q$503,446),"yyyy-mm-dd"),"")</f>
        <v/>
      </c>
      <c r="F2449">
        <f>"Insurance"</f>
        <v/>
      </c>
      <c r="G2449">
        <f>""</f>
        <v/>
      </c>
      <c r="H2449">
        <f>"High"</f>
        <v/>
      </c>
      <c r="I2449">
        <f>TRIM(IF(LEN(IF(LEN(INDEX('Providers'!$N$4:$N$503,446))=0,"",INDEX('Providers'!$N$4:$N$503,446)))=0,"","Carrier: "&amp;IF(LEN(INDEX('Providers'!$N$4:$N$503,446))=0,"",INDEX('Providers'!$N$4:$N$503,446))&amp;". ")&amp;IF(LEN(IF(LEN(INDEX('Providers'!$O$4:$O$503,446))=0,"",INDEX('Providers'!$O$4:$O$503,446)))=0,"","Policy no.: "&amp;IF(LEN(INDEX('Providers'!$O$4:$O$503,446))=0,"",INDEX('Providers'!$O$4:$O$503,446))&amp;". ")&amp;IF(LEN(IF(LEN(INDEX('Providers'!$P$4:$P$503,446))=0,"",INDEX('Providers'!$P$4:$P$503,446)))=0,"","Coverage form: "&amp;IF(LEN(INDEX('Providers'!$P$4:$P$503,446))=0,"",INDEX('Providers'!$P$4:$P$503,446))&amp;". "))</f>
        <v/>
      </c>
      <c r="J2449">
        <f>IF(LEN(INDEX('Providers'!$AJ$4:$AJ$503,446))=0,"",INDEX('Providers'!$AJ$4:$AJ$503,446))</f>
        <v/>
      </c>
      <c r="K2449">
        <f>IF(LEN(INDEX('Providers'!$AI$4:$AI$503,446))=0,"",INDEX('Providers'!$AI$4:$AI$503,446))</f>
        <v/>
      </c>
    </row>
    <row r="2450">
      <c r="A2450">
        <f>IF(AND(LEN('Providers'!A450)&gt;0,ISNUMBER('Providers'!Q450)),1,0)</f>
        <v/>
      </c>
      <c r="B2450">
        <f>B2449+A2450</f>
        <v/>
      </c>
      <c r="C2450">
        <f>IF(2447&gt;$B$4503,"",MATCH(2447-0.5,$B$3:$B$4503,1))</f>
        <v/>
      </c>
      <c r="D2450">
        <f>"Malpractice insurance – "&amp;IF(LEN(INDEX('Providers'!$A$4:$A$503,447))=0,"",INDEX('Providers'!$A$4:$A$503,447))</f>
        <v/>
      </c>
      <c r="E2450">
        <f>IF(ISNUMBER(INDEX('Providers'!$Q$4:$Q$503,447)),TEXT(INDEX('Providers'!$Q$4:$Q$503,447),"yyyy-mm-dd"),"")</f>
        <v/>
      </c>
      <c r="F2450">
        <f>"Insurance"</f>
        <v/>
      </c>
      <c r="G2450">
        <f>""</f>
        <v/>
      </c>
      <c r="H2450">
        <f>"High"</f>
        <v/>
      </c>
      <c r="I2450">
        <f>TRIM(IF(LEN(IF(LEN(INDEX('Providers'!$N$4:$N$503,447))=0,"",INDEX('Providers'!$N$4:$N$503,447)))=0,"","Carrier: "&amp;IF(LEN(INDEX('Providers'!$N$4:$N$503,447))=0,"",INDEX('Providers'!$N$4:$N$503,447))&amp;". ")&amp;IF(LEN(IF(LEN(INDEX('Providers'!$O$4:$O$503,447))=0,"",INDEX('Providers'!$O$4:$O$503,447)))=0,"","Policy no.: "&amp;IF(LEN(INDEX('Providers'!$O$4:$O$503,447))=0,"",INDEX('Providers'!$O$4:$O$503,447))&amp;". ")&amp;IF(LEN(IF(LEN(INDEX('Providers'!$P$4:$P$503,447))=0,"",INDEX('Providers'!$P$4:$P$503,447)))=0,"","Coverage form: "&amp;IF(LEN(INDEX('Providers'!$P$4:$P$503,447))=0,"",INDEX('Providers'!$P$4:$P$503,447))&amp;". "))</f>
        <v/>
      </c>
      <c r="J2450">
        <f>IF(LEN(INDEX('Providers'!$AJ$4:$AJ$503,447))=0,"",INDEX('Providers'!$AJ$4:$AJ$503,447))</f>
        <v/>
      </c>
      <c r="K2450">
        <f>IF(LEN(INDEX('Providers'!$AI$4:$AI$503,447))=0,"",INDEX('Providers'!$AI$4:$AI$503,447))</f>
        <v/>
      </c>
    </row>
    <row r="2451">
      <c r="A2451">
        <f>IF(AND(LEN('Providers'!A451)&gt;0,ISNUMBER('Providers'!Q451)),1,0)</f>
        <v/>
      </c>
      <c r="B2451">
        <f>B2450+A2451</f>
        <v/>
      </c>
      <c r="C2451">
        <f>IF(2448&gt;$B$4503,"",MATCH(2448-0.5,$B$3:$B$4503,1))</f>
        <v/>
      </c>
      <c r="D2451">
        <f>"Malpractice insurance – "&amp;IF(LEN(INDEX('Providers'!$A$4:$A$503,448))=0,"",INDEX('Providers'!$A$4:$A$503,448))</f>
        <v/>
      </c>
      <c r="E2451">
        <f>IF(ISNUMBER(INDEX('Providers'!$Q$4:$Q$503,448)),TEXT(INDEX('Providers'!$Q$4:$Q$503,448),"yyyy-mm-dd"),"")</f>
        <v/>
      </c>
      <c r="F2451">
        <f>"Insurance"</f>
        <v/>
      </c>
      <c r="G2451">
        <f>""</f>
        <v/>
      </c>
      <c r="H2451">
        <f>"High"</f>
        <v/>
      </c>
      <c r="I2451">
        <f>TRIM(IF(LEN(IF(LEN(INDEX('Providers'!$N$4:$N$503,448))=0,"",INDEX('Providers'!$N$4:$N$503,448)))=0,"","Carrier: "&amp;IF(LEN(INDEX('Providers'!$N$4:$N$503,448))=0,"",INDEX('Providers'!$N$4:$N$503,448))&amp;". ")&amp;IF(LEN(IF(LEN(INDEX('Providers'!$O$4:$O$503,448))=0,"",INDEX('Providers'!$O$4:$O$503,448)))=0,"","Policy no.: "&amp;IF(LEN(INDEX('Providers'!$O$4:$O$503,448))=0,"",INDEX('Providers'!$O$4:$O$503,448))&amp;". ")&amp;IF(LEN(IF(LEN(INDEX('Providers'!$P$4:$P$503,448))=0,"",INDEX('Providers'!$P$4:$P$503,448)))=0,"","Coverage form: "&amp;IF(LEN(INDEX('Providers'!$P$4:$P$503,448))=0,"",INDEX('Providers'!$P$4:$P$503,448))&amp;". "))</f>
        <v/>
      </c>
      <c r="J2451">
        <f>IF(LEN(INDEX('Providers'!$AJ$4:$AJ$503,448))=0,"",INDEX('Providers'!$AJ$4:$AJ$503,448))</f>
        <v/>
      </c>
      <c r="K2451">
        <f>IF(LEN(INDEX('Providers'!$AI$4:$AI$503,448))=0,"",INDEX('Providers'!$AI$4:$AI$503,448))</f>
        <v/>
      </c>
    </row>
    <row r="2452">
      <c r="A2452">
        <f>IF(AND(LEN('Providers'!A452)&gt;0,ISNUMBER('Providers'!Q452)),1,0)</f>
        <v/>
      </c>
      <c r="B2452">
        <f>B2451+A2452</f>
        <v/>
      </c>
      <c r="C2452">
        <f>IF(2449&gt;$B$4503,"",MATCH(2449-0.5,$B$3:$B$4503,1))</f>
        <v/>
      </c>
      <c r="D2452">
        <f>"Malpractice insurance – "&amp;IF(LEN(INDEX('Providers'!$A$4:$A$503,449))=0,"",INDEX('Providers'!$A$4:$A$503,449))</f>
        <v/>
      </c>
      <c r="E2452">
        <f>IF(ISNUMBER(INDEX('Providers'!$Q$4:$Q$503,449)),TEXT(INDEX('Providers'!$Q$4:$Q$503,449),"yyyy-mm-dd"),"")</f>
        <v/>
      </c>
      <c r="F2452">
        <f>"Insurance"</f>
        <v/>
      </c>
      <c r="G2452">
        <f>""</f>
        <v/>
      </c>
      <c r="H2452">
        <f>"High"</f>
        <v/>
      </c>
      <c r="I2452">
        <f>TRIM(IF(LEN(IF(LEN(INDEX('Providers'!$N$4:$N$503,449))=0,"",INDEX('Providers'!$N$4:$N$503,449)))=0,"","Carrier: "&amp;IF(LEN(INDEX('Providers'!$N$4:$N$503,449))=0,"",INDEX('Providers'!$N$4:$N$503,449))&amp;". ")&amp;IF(LEN(IF(LEN(INDEX('Providers'!$O$4:$O$503,449))=0,"",INDEX('Providers'!$O$4:$O$503,449)))=0,"","Policy no.: "&amp;IF(LEN(INDEX('Providers'!$O$4:$O$503,449))=0,"",INDEX('Providers'!$O$4:$O$503,449))&amp;". ")&amp;IF(LEN(IF(LEN(INDEX('Providers'!$P$4:$P$503,449))=0,"",INDEX('Providers'!$P$4:$P$503,449)))=0,"","Coverage form: "&amp;IF(LEN(INDEX('Providers'!$P$4:$P$503,449))=0,"",INDEX('Providers'!$P$4:$P$503,449))&amp;". "))</f>
        <v/>
      </c>
      <c r="J2452">
        <f>IF(LEN(INDEX('Providers'!$AJ$4:$AJ$503,449))=0,"",INDEX('Providers'!$AJ$4:$AJ$503,449))</f>
        <v/>
      </c>
      <c r="K2452">
        <f>IF(LEN(INDEX('Providers'!$AI$4:$AI$503,449))=0,"",INDEX('Providers'!$AI$4:$AI$503,449))</f>
        <v/>
      </c>
    </row>
    <row r="2453">
      <c r="A2453">
        <f>IF(AND(LEN('Providers'!A453)&gt;0,ISNUMBER('Providers'!Q453)),1,0)</f>
        <v/>
      </c>
      <c r="B2453">
        <f>B2452+A2453</f>
        <v/>
      </c>
      <c r="C2453">
        <f>IF(2450&gt;$B$4503,"",MATCH(2450-0.5,$B$3:$B$4503,1))</f>
        <v/>
      </c>
      <c r="D2453">
        <f>"Malpractice insurance – "&amp;IF(LEN(INDEX('Providers'!$A$4:$A$503,450))=0,"",INDEX('Providers'!$A$4:$A$503,450))</f>
        <v/>
      </c>
      <c r="E2453">
        <f>IF(ISNUMBER(INDEX('Providers'!$Q$4:$Q$503,450)),TEXT(INDEX('Providers'!$Q$4:$Q$503,450),"yyyy-mm-dd"),"")</f>
        <v/>
      </c>
      <c r="F2453">
        <f>"Insurance"</f>
        <v/>
      </c>
      <c r="G2453">
        <f>""</f>
        <v/>
      </c>
      <c r="H2453">
        <f>"High"</f>
        <v/>
      </c>
      <c r="I2453">
        <f>TRIM(IF(LEN(IF(LEN(INDEX('Providers'!$N$4:$N$503,450))=0,"",INDEX('Providers'!$N$4:$N$503,450)))=0,"","Carrier: "&amp;IF(LEN(INDEX('Providers'!$N$4:$N$503,450))=0,"",INDEX('Providers'!$N$4:$N$503,450))&amp;". ")&amp;IF(LEN(IF(LEN(INDEX('Providers'!$O$4:$O$503,450))=0,"",INDEX('Providers'!$O$4:$O$503,450)))=0,"","Policy no.: "&amp;IF(LEN(INDEX('Providers'!$O$4:$O$503,450))=0,"",INDEX('Providers'!$O$4:$O$503,450))&amp;". ")&amp;IF(LEN(IF(LEN(INDEX('Providers'!$P$4:$P$503,450))=0,"",INDEX('Providers'!$P$4:$P$503,450)))=0,"","Coverage form: "&amp;IF(LEN(INDEX('Providers'!$P$4:$P$503,450))=0,"",INDEX('Providers'!$P$4:$P$503,450))&amp;". "))</f>
        <v/>
      </c>
      <c r="J2453">
        <f>IF(LEN(INDEX('Providers'!$AJ$4:$AJ$503,450))=0,"",INDEX('Providers'!$AJ$4:$AJ$503,450))</f>
        <v/>
      </c>
      <c r="K2453">
        <f>IF(LEN(INDEX('Providers'!$AI$4:$AI$503,450))=0,"",INDEX('Providers'!$AI$4:$AI$503,450))</f>
        <v/>
      </c>
    </row>
    <row r="2454">
      <c r="A2454">
        <f>IF(AND(LEN('Providers'!A454)&gt;0,ISNUMBER('Providers'!Q454)),1,0)</f>
        <v/>
      </c>
      <c r="B2454">
        <f>B2453+A2454</f>
        <v/>
      </c>
      <c r="C2454">
        <f>IF(2451&gt;$B$4503,"",MATCH(2451-0.5,$B$3:$B$4503,1))</f>
        <v/>
      </c>
      <c r="D2454">
        <f>"Malpractice insurance – "&amp;IF(LEN(INDEX('Providers'!$A$4:$A$503,451))=0,"",INDEX('Providers'!$A$4:$A$503,451))</f>
        <v/>
      </c>
      <c r="E2454">
        <f>IF(ISNUMBER(INDEX('Providers'!$Q$4:$Q$503,451)),TEXT(INDEX('Providers'!$Q$4:$Q$503,451),"yyyy-mm-dd"),"")</f>
        <v/>
      </c>
      <c r="F2454">
        <f>"Insurance"</f>
        <v/>
      </c>
      <c r="G2454">
        <f>""</f>
        <v/>
      </c>
      <c r="H2454">
        <f>"High"</f>
        <v/>
      </c>
      <c r="I2454">
        <f>TRIM(IF(LEN(IF(LEN(INDEX('Providers'!$N$4:$N$503,451))=0,"",INDEX('Providers'!$N$4:$N$503,451)))=0,"","Carrier: "&amp;IF(LEN(INDEX('Providers'!$N$4:$N$503,451))=0,"",INDEX('Providers'!$N$4:$N$503,451))&amp;". ")&amp;IF(LEN(IF(LEN(INDEX('Providers'!$O$4:$O$503,451))=0,"",INDEX('Providers'!$O$4:$O$503,451)))=0,"","Policy no.: "&amp;IF(LEN(INDEX('Providers'!$O$4:$O$503,451))=0,"",INDEX('Providers'!$O$4:$O$503,451))&amp;". ")&amp;IF(LEN(IF(LEN(INDEX('Providers'!$P$4:$P$503,451))=0,"",INDEX('Providers'!$P$4:$P$503,451)))=0,"","Coverage form: "&amp;IF(LEN(INDEX('Providers'!$P$4:$P$503,451))=0,"",INDEX('Providers'!$P$4:$P$503,451))&amp;". "))</f>
        <v/>
      </c>
      <c r="J2454">
        <f>IF(LEN(INDEX('Providers'!$AJ$4:$AJ$503,451))=0,"",INDEX('Providers'!$AJ$4:$AJ$503,451))</f>
        <v/>
      </c>
      <c r="K2454">
        <f>IF(LEN(INDEX('Providers'!$AI$4:$AI$503,451))=0,"",INDEX('Providers'!$AI$4:$AI$503,451))</f>
        <v/>
      </c>
    </row>
    <row r="2455">
      <c r="A2455">
        <f>IF(AND(LEN('Providers'!A455)&gt;0,ISNUMBER('Providers'!Q455)),1,0)</f>
        <v/>
      </c>
      <c r="B2455">
        <f>B2454+A2455</f>
        <v/>
      </c>
      <c r="C2455">
        <f>IF(2452&gt;$B$4503,"",MATCH(2452-0.5,$B$3:$B$4503,1))</f>
        <v/>
      </c>
      <c r="D2455">
        <f>"Malpractice insurance – "&amp;IF(LEN(INDEX('Providers'!$A$4:$A$503,452))=0,"",INDEX('Providers'!$A$4:$A$503,452))</f>
        <v/>
      </c>
      <c r="E2455">
        <f>IF(ISNUMBER(INDEX('Providers'!$Q$4:$Q$503,452)),TEXT(INDEX('Providers'!$Q$4:$Q$503,452),"yyyy-mm-dd"),"")</f>
        <v/>
      </c>
      <c r="F2455">
        <f>"Insurance"</f>
        <v/>
      </c>
      <c r="G2455">
        <f>""</f>
        <v/>
      </c>
      <c r="H2455">
        <f>"High"</f>
        <v/>
      </c>
      <c r="I2455">
        <f>TRIM(IF(LEN(IF(LEN(INDEX('Providers'!$N$4:$N$503,452))=0,"",INDEX('Providers'!$N$4:$N$503,452)))=0,"","Carrier: "&amp;IF(LEN(INDEX('Providers'!$N$4:$N$503,452))=0,"",INDEX('Providers'!$N$4:$N$503,452))&amp;". ")&amp;IF(LEN(IF(LEN(INDEX('Providers'!$O$4:$O$503,452))=0,"",INDEX('Providers'!$O$4:$O$503,452)))=0,"","Policy no.: "&amp;IF(LEN(INDEX('Providers'!$O$4:$O$503,452))=0,"",INDEX('Providers'!$O$4:$O$503,452))&amp;". ")&amp;IF(LEN(IF(LEN(INDEX('Providers'!$P$4:$P$503,452))=0,"",INDEX('Providers'!$P$4:$P$503,452)))=0,"","Coverage form: "&amp;IF(LEN(INDEX('Providers'!$P$4:$P$503,452))=0,"",INDEX('Providers'!$P$4:$P$503,452))&amp;". "))</f>
        <v/>
      </c>
      <c r="J2455">
        <f>IF(LEN(INDEX('Providers'!$AJ$4:$AJ$503,452))=0,"",INDEX('Providers'!$AJ$4:$AJ$503,452))</f>
        <v/>
      </c>
      <c r="K2455">
        <f>IF(LEN(INDEX('Providers'!$AI$4:$AI$503,452))=0,"",INDEX('Providers'!$AI$4:$AI$503,452))</f>
        <v/>
      </c>
    </row>
    <row r="2456">
      <c r="A2456">
        <f>IF(AND(LEN('Providers'!A456)&gt;0,ISNUMBER('Providers'!Q456)),1,0)</f>
        <v/>
      </c>
      <c r="B2456">
        <f>B2455+A2456</f>
        <v/>
      </c>
      <c r="C2456">
        <f>IF(2453&gt;$B$4503,"",MATCH(2453-0.5,$B$3:$B$4503,1))</f>
        <v/>
      </c>
      <c r="D2456">
        <f>"Malpractice insurance – "&amp;IF(LEN(INDEX('Providers'!$A$4:$A$503,453))=0,"",INDEX('Providers'!$A$4:$A$503,453))</f>
        <v/>
      </c>
      <c r="E2456">
        <f>IF(ISNUMBER(INDEX('Providers'!$Q$4:$Q$503,453)),TEXT(INDEX('Providers'!$Q$4:$Q$503,453),"yyyy-mm-dd"),"")</f>
        <v/>
      </c>
      <c r="F2456">
        <f>"Insurance"</f>
        <v/>
      </c>
      <c r="G2456">
        <f>""</f>
        <v/>
      </c>
      <c r="H2456">
        <f>"High"</f>
        <v/>
      </c>
      <c r="I2456">
        <f>TRIM(IF(LEN(IF(LEN(INDEX('Providers'!$N$4:$N$503,453))=0,"",INDEX('Providers'!$N$4:$N$503,453)))=0,"","Carrier: "&amp;IF(LEN(INDEX('Providers'!$N$4:$N$503,453))=0,"",INDEX('Providers'!$N$4:$N$503,453))&amp;". ")&amp;IF(LEN(IF(LEN(INDEX('Providers'!$O$4:$O$503,453))=0,"",INDEX('Providers'!$O$4:$O$503,453)))=0,"","Policy no.: "&amp;IF(LEN(INDEX('Providers'!$O$4:$O$503,453))=0,"",INDEX('Providers'!$O$4:$O$503,453))&amp;". ")&amp;IF(LEN(IF(LEN(INDEX('Providers'!$P$4:$P$503,453))=0,"",INDEX('Providers'!$P$4:$P$503,453)))=0,"","Coverage form: "&amp;IF(LEN(INDEX('Providers'!$P$4:$P$503,453))=0,"",INDEX('Providers'!$P$4:$P$503,453))&amp;". "))</f>
        <v/>
      </c>
      <c r="J2456">
        <f>IF(LEN(INDEX('Providers'!$AJ$4:$AJ$503,453))=0,"",INDEX('Providers'!$AJ$4:$AJ$503,453))</f>
        <v/>
      </c>
      <c r="K2456">
        <f>IF(LEN(INDEX('Providers'!$AI$4:$AI$503,453))=0,"",INDEX('Providers'!$AI$4:$AI$503,453))</f>
        <v/>
      </c>
    </row>
    <row r="2457">
      <c r="A2457">
        <f>IF(AND(LEN('Providers'!A457)&gt;0,ISNUMBER('Providers'!Q457)),1,0)</f>
        <v/>
      </c>
      <c r="B2457">
        <f>B2456+A2457</f>
        <v/>
      </c>
      <c r="C2457">
        <f>IF(2454&gt;$B$4503,"",MATCH(2454-0.5,$B$3:$B$4503,1))</f>
        <v/>
      </c>
      <c r="D2457">
        <f>"Malpractice insurance – "&amp;IF(LEN(INDEX('Providers'!$A$4:$A$503,454))=0,"",INDEX('Providers'!$A$4:$A$503,454))</f>
        <v/>
      </c>
      <c r="E2457">
        <f>IF(ISNUMBER(INDEX('Providers'!$Q$4:$Q$503,454)),TEXT(INDEX('Providers'!$Q$4:$Q$503,454),"yyyy-mm-dd"),"")</f>
        <v/>
      </c>
      <c r="F2457">
        <f>"Insurance"</f>
        <v/>
      </c>
      <c r="G2457">
        <f>""</f>
        <v/>
      </c>
      <c r="H2457">
        <f>"High"</f>
        <v/>
      </c>
      <c r="I2457">
        <f>TRIM(IF(LEN(IF(LEN(INDEX('Providers'!$N$4:$N$503,454))=0,"",INDEX('Providers'!$N$4:$N$503,454)))=0,"","Carrier: "&amp;IF(LEN(INDEX('Providers'!$N$4:$N$503,454))=0,"",INDEX('Providers'!$N$4:$N$503,454))&amp;". ")&amp;IF(LEN(IF(LEN(INDEX('Providers'!$O$4:$O$503,454))=0,"",INDEX('Providers'!$O$4:$O$503,454)))=0,"","Policy no.: "&amp;IF(LEN(INDEX('Providers'!$O$4:$O$503,454))=0,"",INDEX('Providers'!$O$4:$O$503,454))&amp;". ")&amp;IF(LEN(IF(LEN(INDEX('Providers'!$P$4:$P$503,454))=0,"",INDEX('Providers'!$P$4:$P$503,454)))=0,"","Coverage form: "&amp;IF(LEN(INDEX('Providers'!$P$4:$P$503,454))=0,"",INDEX('Providers'!$P$4:$P$503,454))&amp;". "))</f>
        <v/>
      </c>
      <c r="J2457">
        <f>IF(LEN(INDEX('Providers'!$AJ$4:$AJ$503,454))=0,"",INDEX('Providers'!$AJ$4:$AJ$503,454))</f>
        <v/>
      </c>
      <c r="K2457">
        <f>IF(LEN(INDEX('Providers'!$AI$4:$AI$503,454))=0,"",INDEX('Providers'!$AI$4:$AI$503,454))</f>
        <v/>
      </c>
    </row>
    <row r="2458">
      <c r="A2458">
        <f>IF(AND(LEN('Providers'!A458)&gt;0,ISNUMBER('Providers'!Q458)),1,0)</f>
        <v/>
      </c>
      <c r="B2458">
        <f>B2457+A2458</f>
        <v/>
      </c>
      <c r="C2458">
        <f>IF(2455&gt;$B$4503,"",MATCH(2455-0.5,$B$3:$B$4503,1))</f>
        <v/>
      </c>
      <c r="D2458">
        <f>"Malpractice insurance – "&amp;IF(LEN(INDEX('Providers'!$A$4:$A$503,455))=0,"",INDEX('Providers'!$A$4:$A$503,455))</f>
        <v/>
      </c>
      <c r="E2458">
        <f>IF(ISNUMBER(INDEX('Providers'!$Q$4:$Q$503,455)),TEXT(INDEX('Providers'!$Q$4:$Q$503,455),"yyyy-mm-dd"),"")</f>
        <v/>
      </c>
      <c r="F2458">
        <f>"Insurance"</f>
        <v/>
      </c>
      <c r="G2458">
        <f>""</f>
        <v/>
      </c>
      <c r="H2458">
        <f>"High"</f>
        <v/>
      </c>
      <c r="I2458">
        <f>TRIM(IF(LEN(IF(LEN(INDEX('Providers'!$N$4:$N$503,455))=0,"",INDEX('Providers'!$N$4:$N$503,455)))=0,"","Carrier: "&amp;IF(LEN(INDEX('Providers'!$N$4:$N$503,455))=0,"",INDEX('Providers'!$N$4:$N$503,455))&amp;". ")&amp;IF(LEN(IF(LEN(INDEX('Providers'!$O$4:$O$503,455))=0,"",INDEX('Providers'!$O$4:$O$503,455)))=0,"","Policy no.: "&amp;IF(LEN(INDEX('Providers'!$O$4:$O$503,455))=0,"",INDEX('Providers'!$O$4:$O$503,455))&amp;". ")&amp;IF(LEN(IF(LEN(INDEX('Providers'!$P$4:$P$503,455))=0,"",INDEX('Providers'!$P$4:$P$503,455)))=0,"","Coverage form: "&amp;IF(LEN(INDEX('Providers'!$P$4:$P$503,455))=0,"",INDEX('Providers'!$P$4:$P$503,455))&amp;". "))</f>
        <v/>
      </c>
      <c r="J2458">
        <f>IF(LEN(INDEX('Providers'!$AJ$4:$AJ$503,455))=0,"",INDEX('Providers'!$AJ$4:$AJ$503,455))</f>
        <v/>
      </c>
      <c r="K2458">
        <f>IF(LEN(INDEX('Providers'!$AI$4:$AI$503,455))=0,"",INDEX('Providers'!$AI$4:$AI$503,455))</f>
        <v/>
      </c>
    </row>
    <row r="2459">
      <c r="A2459">
        <f>IF(AND(LEN('Providers'!A459)&gt;0,ISNUMBER('Providers'!Q459)),1,0)</f>
        <v/>
      </c>
      <c r="B2459">
        <f>B2458+A2459</f>
        <v/>
      </c>
      <c r="C2459">
        <f>IF(2456&gt;$B$4503,"",MATCH(2456-0.5,$B$3:$B$4503,1))</f>
        <v/>
      </c>
      <c r="D2459">
        <f>"Malpractice insurance – "&amp;IF(LEN(INDEX('Providers'!$A$4:$A$503,456))=0,"",INDEX('Providers'!$A$4:$A$503,456))</f>
        <v/>
      </c>
      <c r="E2459">
        <f>IF(ISNUMBER(INDEX('Providers'!$Q$4:$Q$503,456)),TEXT(INDEX('Providers'!$Q$4:$Q$503,456),"yyyy-mm-dd"),"")</f>
        <v/>
      </c>
      <c r="F2459">
        <f>"Insurance"</f>
        <v/>
      </c>
      <c r="G2459">
        <f>""</f>
        <v/>
      </c>
      <c r="H2459">
        <f>"High"</f>
        <v/>
      </c>
      <c r="I2459">
        <f>TRIM(IF(LEN(IF(LEN(INDEX('Providers'!$N$4:$N$503,456))=0,"",INDEX('Providers'!$N$4:$N$503,456)))=0,"","Carrier: "&amp;IF(LEN(INDEX('Providers'!$N$4:$N$503,456))=0,"",INDEX('Providers'!$N$4:$N$503,456))&amp;". ")&amp;IF(LEN(IF(LEN(INDEX('Providers'!$O$4:$O$503,456))=0,"",INDEX('Providers'!$O$4:$O$503,456)))=0,"","Policy no.: "&amp;IF(LEN(INDEX('Providers'!$O$4:$O$503,456))=0,"",INDEX('Providers'!$O$4:$O$503,456))&amp;". ")&amp;IF(LEN(IF(LEN(INDEX('Providers'!$P$4:$P$503,456))=0,"",INDEX('Providers'!$P$4:$P$503,456)))=0,"","Coverage form: "&amp;IF(LEN(INDEX('Providers'!$P$4:$P$503,456))=0,"",INDEX('Providers'!$P$4:$P$503,456))&amp;". "))</f>
        <v/>
      </c>
      <c r="J2459">
        <f>IF(LEN(INDEX('Providers'!$AJ$4:$AJ$503,456))=0,"",INDEX('Providers'!$AJ$4:$AJ$503,456))</f>
        <v/>
      </c>
      <c r="K2459">
        <f>IF(LEN(INDEX('Providers'!$AI$4:$AI$503,456))=0,"",INDEX('Providers'!$AI$4:$AI$503,456))</f>
        <v/>
      </c>
    </row>
    <row r="2460">
      <c r="A2460">
        <f>IF(AND(LEN('Providers'!A460)&gt;0,ISNUMBER('Providers'!Q460)),1,0)</f>
        <v/>
      </c>
      <c r="B2460">
        <f>B2459+A2460</f>
        <v/>
      </c>
      <c r="C2460">
        <f>IF(2457&gt;$B$4503,"",MATCH(2457-0.5,$B$3:$B$4503,1))</f>
        <v/>
      </c>
      <c r="D2460">
        <f>"Malpractice insurance – "&amp;IF(LEN(INDEX('Providers'!$A$4:$A$503,457))=0,"",INDEX('Providers'!$A$4:$A$503,457))</f>
        <v/>
      </c>
      <c r="E2460">
        <f>IF(ISNUMBER(INDEX('Providers'!$Q$4:$Q$503,457)),TEXT(INDEX('Providers'!$Q$4:$Q$503,457),"yyyy-mm-dd"),"")</f>
        <v/>
      </c>
      <c r="F2460">
        <f>"Insurance"</f>
        <v/>
      </c>
      <c r="G2460">
        <f>""</f>
        <v/>
      </c>
      <c r="H2460">
        <f>"High"</f>
        <v/>
      </c>
      <c r="I2460">
        <f>TRIM(IF(LEN(IF(LEN(INDEX('Providers'!$N$4:$N$503,457))=0,"",INDEX('Providers'!$N$4:$N$503,457)))=0,"","Carrier: "&amp;IF(LEN(INDEX('Providers'!$N$4:$N$503,457))=0,"",INDEX('Providers'!$N$4:$N$503,457))&amp;". ")&amp;IF(LEN(IF(LEN(INDEX('Providers'!$O$4:$O$503,457))=0,"",INDEX('Providers'!$O$4:$O$503,457)))=0,"","Policy no.: "&amp;IF(LEN(INDEX('Providers'!$O$4:$O$503,457))=0,"",INDEX('Providers'!$O$4:$O$503,457))&amp;". ")&amp;IF(LEN(IF(LEN(INDEX('Providers'!$P$4:$P$503,457))=0,"",INDEX('Providers'!$P$4:$P$503,457)))=0,"","Coverage form: "&amp;IF(LEN(INDEX('Providers'!$P$4:$P$503,457))=0,"",INDEX('Providers'!$P$4:$P$503,457))&amp;". "))</f>
        <v/>
      </c>
      <c r="J2460">
        <f>IF(LEN(INDEX('Providers'!$AJ$4:$AJ$503,457))=0,"",INDEX('Providers'!$AJ$4:$AJ$503,457))</f>
        <v/>
      </c>
      <c r="K2460">
        <f>IF(LEN(INDEX('Providers'!$AI$4:$AI$503,457))=0,"",INDEX('Providers'!$AI$4:$AI$503,457))</f>
        <v/>
      </c>
    </row>
    <row r="2461">
      <c r="A2461">
        <f>IF(AND(LEN('Providers'!A461)&gt;0,ISNUMBER('Providers'!Q461)),1,0)</f>
        <v/>
      </c>
      <c r="B2461">
        <f>B2460+A2461</f>
        <v/>
      </c>
      <c r="C2461">
        <f>IF(2458&gt;$B$4503,"",MATCH(2458-0.5,$B$3:$B$4503,1))</f>
        <v/>
      </c>
      <c r="D2461">
        <f>"Malpractice insurance – "&amp;IF(LEN(INDEX('Providers'!$A$4:$A$503,458))=0,"",INDEX('Providers'!$A$4:$A$503,458))</f>
        <v/>
      </c>
      <c r="E2461">
        <f>IF(ISNUMBER(INDEX('Providers'!$Q$4:$Q$503,458)),TEXT(INDEX('Providers'!$Q$4:$Q$503,458),"yyyy-mm-dd"),"")</f>
        <v/>
      </c>
      <c r="F2461">
        <f>"Insurance"</f>
        <v/>
      </c>
      <c r="G2461">
        <f>""</f>
        <v/>
      </c>
      <c r="H2461">
        <f>"High"</f>
        <v/>
      </c>
      <c r="I2461">
        <f>TRIM(IF(LEN(IF(LEN(INDEX('Providers'!$N$4:$N$503,458))=0,"",INDEX('Providers'!$N$4:$N$503,458)))=0,"","Carrier: "&amp;IF(LEN(INDEX('Providers'!$N$4:$N$503,458))=0,"",INDEX('Providers'!$N$4:$N$503,458))&amp;". ")&amp;IF(LEN(IF(LEN(INDEX('Providers'!$O$4:$O$503,458))=0,"",INDEX('Providers'!$O$4:$O$503,458)))=0,"","Policy no.: "&amp;IF(LEN(INDEX('Providers'!$O$4:$O$503,458))=0,"",INDEX('Providers'!$O$4:$O$503,458))&amp;". ")&amp;IF(LEN(IF(LEN(INDEX('Providers'!$P$4:$P$503,458))=0,"",INDEX('Providers'!$P$4:$P$503,458)))=0,"","Coverage form: "&amp;IF(LEN(INDEX('Providers'!$P$4:$P$503,458))=0,"",INDEX('Providers'!$P$4:$P$503,458))&amp;". "))</f>
        <v/>
      </c>
      <c r="J2461">
        <f>IF(LEN(INDEX('Providers'!$AJ$4:$AJ$503,458))=0,"",INDEX('Providers'!$AJ$4:$AJ$503,458))</f>
        <v/>
      </c>
      <c r="K2461">
        <f>IF(LEN(INDEX('Providers'!$AI$4:$AI$503,458))=0,"",INDEX('Providers'!$AI$4:$AI$503,458))</f>
        <v/>
      </c>
    </row>
    <row r="2462">
      <c r="A2462">
        <f>IF(AND(LEN('Providers'!A462)&gt;0,ISNUMBER('Providers'!Q462)),1,0)</f>
        <v/>
      </c>
      <c r="B2462">
        <f>B2461+A2462</f>
        <v/>
      </c>
      <c r="C2462">
        <f>IF(2459&gt;$B$4503,"",MATCH(2459-0.5,$B$3:$B$4503,1))</f>
        <v/>
      </c>
      <c r="D2462">
        <f>"Malpractice insurance – "&amp;IF(LEN(INDEX('Providers'!$A$4:$A$503,459))=0,"",INDEX('Providers'!$A$4:$A$503,459))</f>
        <v/>
      </c>
      <c r="E2462">
        <f>IF(ISNUMBER(INDEX('Providers'!$Q$4:$Q$503,459)),TEXT(INDEX('Providers'!$Q$4:$Q$503,459),"yyyy-mm-dd"),"")</f>
        <v/>
      </c>
      <c r="F2462">
        <f>"Insurance"</f>
        <v/>
      </c>
      <c r="G2462">
        <f>""</f>
        <v/>
      </c>
      <c r="H2462">
        <f>"High"</f>
        <v/>
      </c>
      <c r="I2462">
        <f>TRIM(IF(LEN(IF(LEN(INDEX('Providers'!$N$4:$N$503,459))=0,"",INDEX('Providers'!$N$4:$N$503,459)))=0,"","Carrier: "&amp;IF(LEN(INDEX('Providers'!$N$4:$N$503,459))=0,"",INDEX('Providers'!$N$4:$N$503,459))&amp;". ")&amp;IF(LEN(IF(LEN(INDEX('Providers'!$O$4:$O$503,459))=0,"",INDEX('Providers'!$O$4:$O$503,459)))=0,"","Policy no.: "&amp;IF(LEN(INDEX('Providers'!$O$4:$O$503,459))=0,"",INDEX('Providers'!$O$4:$O$503,459))&amp;". ")&amp;IF(LEN(IF(LEN(INDEX('Providers'!$P$4:$P$503,459))=0,"",INDEX('Providers'!$P$4:$P$503,459)))=0,"","Coverage form: "&amp;IF(LEN(INDEX('Providers'!$P$4:$P$503,459))=0,"",INDEX('Providers'!$P$4:$P$503,459))&amp;". "))</f>
        <v/>
      </c>
      <c r="J2462">
        <f>IF(LEN(INDEX('Providers'!$AJ$4:$AJ$503,459))=0,"",INDEX('Providers'!$AJ$4:$AJ$503,459))</f>
        <v/>
      </c>
      <c r="K2462">
        <f>IF(LEN(INDEX('Providers'!$AI$4:$AI$503,459))=0,"",INDEX('Providers'!$AI$4:$AI$503,459))</f>
        <v/>
      </c>
    </row>
    <row r="2463">
      <c r="A2463">
        <f>IF(AND(LEN('Providers'!A463)&gt;0,ISNUMBER('Providers'!Q463)),1,0)</f>
        <v/>
      </c>
      <c r="B2463">
        <f>B2462+A2463</f>
        <v/>
      </c>
      <c r="C2463">
        <f>IF(2460&gt;$B$4503,"",MATCH(2460-0.5,$B$3:$B$4503,1))</f>
        <v/>
      </c>
      <c r="D2463">
        <f>"Malpractice insurance – "&amp;IF(LEN(INDEX('Providers'!$A$4:$A$503,460))=0,"",INDEX('Providers'!$A$4:$A$503,460))</f>
        <v/>
      </c>
      <c r="E2463">
        <f>IF(ISNUMBER(INDEX('Providers'!$Q$4:$Q$503,460)),TEXT(INDEX('Providers'!$Q$4:$Q$503,460),"yyyy-mm-dd"),"")</f>
        <v/>
      </c>
      <c r="F2463">
        <f>"Insurance"</f>
        <v/>
      </c>
      <c r="G2463">
        <f>""</f>
        <v/>
      </c>
      <c r="H2463">
        <f>"High"</f>
        <v/>
      </c>
      <c r="I2463">
        <f>TRIM(IF(LEN(IF(LEN(INDEX('Providers'!$N$4:$N$503,460))=0,"",INDEX('Providers'!$N$4:$N$503,460)))=0,"","Carrier: "&amp;IF(LEN(INDEX('Providers'!$N$4:$N$503,460))=0,"",INDEX('Providers'!$N$4:$N$503,460))&amp;". ")&amp;IF(LEN(IF(LEN(INDEX('Providers'!$O$4:$O$503,460))=0,"",INDEX('Providers'!$O$4:$O$503,460)))=0,"","Policy no.: "&amp;IF(LEN(INDEX('Providers'!$O$4:$O$503,460))=0,"",INDEX('Providers'!$O$4:$O$503,460))&amp;". ")&amp;IF(LEN(IF(LEN(INDEX('Providers'!$P$4:$P$503,460))=0,"",INDEX('Providers'!$P$4:$P$503,460)))=0,"","Coverage form: "&amp;IF(LEN(INDEX('Providers'!$P$4:$P$503,460))=0,"",INDEX('Providers'!$P$4:$P$503,460))&amp;". "))</f>
        <v/>
      </c>
      <c r="J2463">
        <f>IF(LEN(INDEX('Providers'!$AJ$4:$AJ$503,460))=0,"",INDEX('Providers'!$AJ$4:$AJ$503,460))</f>
        <v/>
      </c>
      <c r="K2463">
        <f>IF(LEN(INDEX('Providers'!$AI$4:$AI$503,460))=0,"",INDEX('Providers'!$AI$4:$AI$503,460))</f>
        <v/>
      </c>
    </row>
    <row r="2464">
      <c r="A2464">
        <f>IF(AND(LEN('Providers'!A464)&gt;0,ISNUMBER('Providers'!Q464)),1,0)</f>
        <v/>
      </c>
      <c r="B2464">
        <f>B2463+A2464</f>
        <v/>
      </c>
      <c r="C2464">
        <f>IF(2461&gt;$B$4503,"",MATCH(2461-0.5,$B$3:$B$4503,1))</f>
        <v/>
      </c>
      <c r="D2464">
        <f>"Malpractice insurance – "&amp;IF(LEN(INDEX('Providers'!$A$4:$A$503,461))=0,"",INDEX('Providers'!$A$4:$A$503,461))</f>
        <v/>
      </c>
      <c r="E2464">
        <f>IF(ISNUMBER(INDEX('Providers'!$Q$4:$Q$503,461)),TEXT(INDEX('Providers'!$Q$4:$Q$503,461),"yyyy-mm-dd"),"")</f>
        <v/>
      </c>
      <c r="F2464">
        <f>"Insurance"</f>
        <v/>
      </c>
      <c r="G2464">
        <f>""</f>
        <v/>
      </c>
      <c r="H2464">
        <f>"High"</f>
        <v/>
      </c>
      <c r="I2464">
        <f>TRIM(IF(LEN(IF(LEN(INDEX('Providers'!$N$4:$N$503,461))=0,"",INDEX('Providers'!$N$4:$N$503,461)))=0,"","Carrier: "&amp;IF(LEN(INDEX('Providers'!$N$4:$N$503,461))=0,"",INDEX('Providers'!$N$4:$N$503,461))&amp;". ")&amp;IF(LEN(IF(LEN(INDEX('Providers'!$O$4:$O$503,461))=0,"",INDEX('Providers'!$O$4:$O$503,461)))=0,"","Policy no.: "&amp;IF(LEN(INDEX('Providers'!$O$4:$O$503,461))=0,"",INDEX('Providers'!$O$4:$O$503,461))&amp;". ")&amp;IF(LEN(IF(LEN(INDEX('Providers'!$P$4:$P$503,461))=0,"",INDEX('Providers'!$P$4:$P$503,461)))=0,"","Coverage form: "&amp;IF(LEN(INDEX('Providers'!$P$4:$P$503,461))=0,"",INDEX('Providers'!$P$4:$P$503,461))&amp;". "))</f>
        <v/>
      </c>
      <c r="J2464">
        <f>IF(LEN(INDEX('Providers'!$AJ$4:$AJ$503,461))=0,"",INDEX('Providers'!$AJ$4:$AJ$503,461))</f>
        <v/>
      </c>
      <c r="K2464">
        <f>IF(LEN(INDEX('Providers'!$AI$4:$AI$503,461))=0,"",INDEX('Providers'!$AI$4:$AI$503,461))</f>
        <v/>
      </c>
    </row>
    <row r="2465">
      <c r="A2465">
        <f>IF(AND(LEN('Providers'!A465)&gt;0,ISNUMBER('Providers'!Q465)),1,0)</f>
        <v/>
      </c>
      <c r="B2465">
        <f>B2464+A2465</f>
        <v/>
      </c>
      <c r="C2465">
        <f>IF(2462&gt;$B$4503,"",MATCH(2462-0.5,$B$3:$B$4503,1))</f>
        <v/>
      </c>
      <c r="D2465">
        <f>"Malpractice insurance – "&amp;IF(LEN(INDEX('Providers'!$A$4:$A$503,462))=0,"",INDEX('Providers'!$A$4:$A$503,462))</f>
        <v/>
      </c>
      <c r="E2465">
        <f>IF(ISNUMBER(INDEX('Providers'!$Q$4:$Q$503,462)),TEXT(INDEX('Providers'!$Q$4:$Q$503,462),"yyyy-mm-dd"),"")</f>
        <v/>
      </c>
      <c r="F2465">
        <f>"Insurance"</f>
        <v/>
      </c>
      <c r="G2465">
        <f>""</f>
        <v/>
      </c>
      <c r="H2465">
        <f>"High"</f>
        <v/>
      </c>
      <c r="I2465">
        <f>TRIM(IF(LEN(IF(LEN(INDEX('Providers'!$N$4:$N$503,462))=0,"",INDEX('Providers'!$N$4:$N$503,462)))=0,"","Carrier: "&amp;IF(LEN(INDEX('Providers'!$N$4:$N$503,462))=0,"",INDEX('Providers'!$N$4:$N$503,462))&amp;". ")&amp;IF(LEN(IF(LEN(INDEX('Providers'!$O$4:$O$503,462))=0,"",INDEX('Providers'!$O$4:$O$503,462)))=0,"","Policy no.: "&amp;IF(LEN(INDEX('Providers'!$O$4:$O$503,462))=0,"",INDEX('Providers'!$O$4:$O$503,462))&amp;". ")&amp;IF(LEN(IF(LEN(INDEX('Providers'!$P$4:$P$503,462))=0,"",INDEX('Providers'!$P$4:$P$503,462)))=0,"","Coverage form: "&amp;IF(LEN(INDEX('Providers'!$P$4:$P$503,462))=0,"",INDEX('Providers'!$P$4:$P$503,462))&amp;". "))</f>
        <v/>
      </c>
      <c r="J2465">
        <f>IF(LEN(INDEX('Providers'!$AJ$4:$AJ$503,462))=0,"",INDEX('Providers'!$AJ$4:$AJ$503,462))</f>
        <v/>
      </c>
      <c r="K2465">
        <f>IF(LEN(INDEX('Providers'!$AI$4:$AI$503,462))=0,"",INDEX('Providers'!$AI$4:$AI$503,462))</f>
        <v/>
      </c>
    </row>
    <row r="2466">
      <c r="A2466">
        <f>IF(AND(LEN('Providers'!A466)&gt;0,ISNUMBER('Providers'!Q466)),1,0)</f>
        <v/>
      </c>
      <c r="B2466">
        <f>B2465+A2466</f>
        <v/>
      </c>
      <c r="C2466">
        <f>IF(2463&gt;$B$4503,"",MATCH(2463-0.5,$B$3:$B$4503,1))</f>
        <v/>
      </c>
      <c r="D2466">
        <f>"Malpractice insurance – "&amp;IF(LEN(INDEX('Providers'!$A$4:$A$503,463))=0,"",INDEX('Providers'!$A$4:$A$503,463))</f>
        <v/>
      </c>
      <c r="E2466">
        <f>IF(ISNUMBER(INDEX('Providers'!$Q$4:$Q$503,463)),TEXT(INDEX('Providers'!$Q$4:$Q$503,463),"yyyy-mm-dd"),"")</f>
        <v/>
      </c>
      <c r="F2466">
        <f>"Insurance"</f>
        <v/>
      </c>
      <c r="G2466">
        <f>""</f>
        <v/>
      </c>
      <c r="H2466">
        <f>"High"</f>
        <v/>
      </c>
      <c r="I2466">
        <f>TRIM(IF(LEN(IF(LEN(INDEX('Providers'!$N$4:$N$503,463))=0,"",INDEX('Providers'!$N$4:$N$503,463)))=0,"","Carrier: "&amp;IF(LEN(INDEX('Providers'!$N$4:$N$503,463))=0,"",INDEX('Providers'!$N$4:$N$503,463))&amp;". ")&amp;IF(LEN(IF(LEN(INDEX('Providers'!$O$4:$O$503,463))=0,"",INDEX('Providers'!$O$4:$O$503,463)))=0,"","Policy no.: "&amp;IF(LEN(INDEX('Providers'!$O$4:$O$503,463))=0,"",INDEX('Providers'!$O$4:$O$503,463))&amp;". ")&amp;IF(LEN(IF(LEN(INDEX('Providers'!$P$4:$P$503,463))=0,"",INDEX('Providers'!$P$4:$P$503,463)))=0,"","Coverage form: "&amp;IF(LEN(INDEX('Providers'!$P$4:$P$503,463))=0,"",INDEX('Providers'!$P$4:$P$503,463))&amp;". "))</f>
        <v/>
      </c>
      <c r="J2466">
        <f>IF(LEN(INDEX('Providers'!$AJ$4:$AJ$503,463))=0,"",INDEX('Providers'!$AJ$4:$AJ$503,463))</f>
        <v/>
      </c>
      <c r="K2466">
        <f>IF(LEN(INDEX('Providers'!$AI$4:$AI$503,463))=0,"",INDEX('Providers'!$AI$4:$AI$503,463))</f>
        <v/>
      </c>
    </row>
    <row r="2467">
      <c r="A2467">
        <f>IF(AND(LEN('Providers'!A467)&gt;0,ISNUMBER('Providers'!Q467)),1,0)</f>
        <v/>
      </c>
      <c r="B2467">
        <f>B2466+A2467</f>
        <v/>
      </c>
      <c r="C2467">
        <f>IF(2464&gt;$B$4503,"",MATCH(2464-0.5,$B$3:$B$4503,1))</f>
        <v/>
      </c>
      <c r="D2467">
        <f>"Malpractice insurance – "&amp;IF(LEN(INDEX('Providers'!$A$4:$A$503,464))=0,"",INDEX('Providers'!$A$4:$A$503,464))</f>
        <v/>
      </c>
      <c r="E2467">
        <f>IF(ISNUMBER(INDEX('Providers'!$Q$4:$Q$503,464)),TEXT(INDEX('Providers'!$Q$4:$Q$503,464),"yyyy-mm-dd"),"")</f>
        <v/>
      </c>
      <c r="F2467">
        <f>"Insurance"</f>
        <v/>
      </c>
      <c r="G2467">
        <f>""</f>
        <v/>
      </c>
      <c r="H2467">
        <f>"High"</f>
        <v/>
      </c>
      <c r="I2467">
        <f>TRIM(IF(LEN(IF(LEN(INDEX('Providers'!$N$4:$N$503,464))=0,"",INDEX('Providers'!$N$4:$N$503,464)))=0,"","Carrier: "&amp;IF(LEN(INDEX('Providers'!$N$4:$N$503,464))=0,"",INDEX('Providers'!$N$4:$N$503,464))&amp;". ")&amp;IF(LEN(IF(LEN(INDEX('Providers'!$O$4:$O$503,464))=0,"",INDEX('Providers'!$O$4:$O$503,464)))=0,"","Policy no.: "&amp;IF(LEN(INDEX('Providers'!$O$4:$O$503,464))=0,"",INDEX('Providers'!$O$4:$O$503,464))&amp;". ")&amp;IF(LEN(IF(LEN(INDEX('Providers'!$P$4:$P$503,464))=0,"",INDEX('Providers'!$P$4:$P$503,464)))=0,"","Coverage form: "&amp;IF(LEN(INDEX('Providers'!$P$4:$P$503,464))=0,"",INDEX('Providers'!$P$4:$P$503,464))&amp;". "))</f>
        <v/>
      </c>
      <c r="J2467">
        <f>IF(LEN(INDEX('Providers'!$AJ$4:$AJ$503,464))=0,"",INDEX('Providers'!$AJ$4:$AJ$503,464))</f>
        <v/>
      </c>
      <c r="K2467">
        <f>IF(LEN(INDEX('Providers'!$AI$4:$AI$503,464))=0,"",INDEX('Providers'!$AI$4:$AI$503,464))</f>
        <v/>
      </c>
    </row>
    <row r="2468">
      <c r="A2468">
        <f>IF(AND(LEN('Providers'!A468)&gt;0,ISNUMBER('Providers'!Q468)),1,0)</f>
        <v/>
      </c>
      <c r="B2468">
        <f>B2467+A2468</f>
        <v/>
      </c>
      <c r="C2468">
        <f>IF(2465&gt;$B$4503,"",MATCH(2465-0.5,$B$3:$B$4503,1))</f>
        <v/>
      </c>
      <c r="D2468">
        <f>"Malpractice insurance – "&amp;IF(LEN(INDEX('Providers'!$A$4:$A$503,465))=0,"",INDEX('Providers'!$A$4:$A$503,465))</f>
        <v/>
      </c>
      <c r="E2468">
        <f>IF(ISNUMBER(INDEX('Providers'!$Q$4:$Q$503,465)),TEXT(INDEX('Providers'!$Q$4:$Q$503,465),"yyyy-mm-dd"),"")</f>
        <v/>
      </c>
      <c r="F2468">
        <f>"Insurance"</f>
        <v/>
      </c>
      <c r="G2468">
        <f>""</f>
        <v/>
      </c>
      <c r="H2468">
        <f>"High"</f>
        <v/>
      </c>
      <c r="I2468">
        <f>TRIM(IF(LEN(IF(LEN(INDEX('Providers'!$N$4:$N$503,465))=0,"",INDEX('Providers'!$N$4:$N$503,465)))=0,"","Carrier: "&amp;IF(LEN(INDEX('Providers'!$N$4:$N$503,465))=0,"",INDEX('Providers'!$N$4:$N$503,465))&amp;". ")&amp;IF(LEN(IF(LEN(INDEX('Providers'!$O$4:$O$503,465))=0,"",INDEX('Providers'!$O$4:$O$503,465)))=0,"","Policy no.: "&amp;IF(LEN(INDEX('Providers'!$O$4:$O$503,465))=0,"",INDEX('Providers'!$O$4:$O$503,465))&amp;". ")&amp;IF(LEN(IF(LEN(INDEX('Providers'!$P$4:$P$503,465))=0,"",INDEX('Providers'!$P$4:$P$503,465)))=0,"","Coverage form: "&amp;IF(LEN(INDEX('Providers'!$P$4:$P$503,465))=0,"",INDEX('Providers'!$P$4:$P$503,465))&amp;". "))</f>
        <v/>
      </c>
      <c r="J2468">
        <f>IF(LEN(INDEX('Providers'!$AJ$4:$AJ$503,465))=0,"",INDEX('Providers'!$AJ$4:$AJ$503,465))</f>
        <v/>
      </c>
      <c r="K2468">
        <f>IF(LEN(INDEX('Providers'!$AI$4:$AI$503,465))=0,"",INDEX('Providers'!$AI$4:$AI$503,465))</f>
        <v/>
      </c>
    </row>
    <row r="2469">
      <c r="A2469">
        <f>IF(AND(LEN('Providers'!A469)&gt;0,ISNUMBER('Providers'!Q469)),1,0)</f>
        <v/>
      </c>
      <c r="B2469">
        <f>B2468+A2469</f>
        <v/>
      </c>
      <c r="C2469">
        <f>IF(2466&gt;$B$4503,"",MATCH(2466-0.5,$B$3:$B$4503,1))</f>
        <v/>
      </c>
      <c r="D2469">
        <f>"Malpractice insurance – "&amp;IF(LEN(INDEX('Providers'!$A$4:$A$503,466))=0,"",INDEX('Providers'!$A$4:$A$503,466))</f>
        <v/>
      </c>
      <c r="E2469">
        <f>IF(ISNUMBER(INDEX('Providers'!$Q$4:$Q$503,466)),TEXT(INDEX('Providers'!$Q$4:$Q$503,466),"yyyy-mm-dd"),"")</f>
        <v/>
      </c>
      <c r="F2469">
        <f>"Insurance"</f>
        <v/>
      </c>
      <c r="G2469">
        <f>""</f>
        <v/>
      </c>
      <c r="H2469">
        <f>"High"</f>
        <v/>
      </c>
      <c r="I2469">
        <f>TRIM(IF(LEN(IF(LEN(INDEX('Providers'!$N$4:$N$503,466))=0,"",INDEX('Providers'!$N$4:$N$503,466)))=0,"","Carrier: "&amp;IF(LEN(INDEX('Providers'!$N$4:$N$503,466))=0,"",INDEX('Providers'!$N$4:$N$503,466))&amp;". ")&amp;IF(LEN(IF(LEN(INDEX('Providers'!$O$4:$O$503,466))=0,"",INDEX('Providers'!$O$4:$O$503,466)))=0,"","Policy no.: "&amp;IF(LEN(INDEX('Providers'!$O$4:$O$503,466))=0,"",INDEX('Providers'!$O$4:$O$503,466))&amp;". ")&amp;IF(LEN(IF(LEN(INDEX('Providers'!$P$4:$P$503,466))=0,"",INDEX('Providers'!$P$4:$P$503,466)))=0,"","Coverage form: "&amp;IF(LEN(INDEX('Providers'!$P$4:$P$503,466))=0,"",INDEX('Providers'!$P$4:$P$503,466))&amp;". "))</f>
        <v/>
      </c>
      <c r="J2469">
        <f>IF(LEN(INDEX('Providers'!$AJ$4:$AJ$503,466))=0,"",INDEX('Providers'!$AJ$4:$AJ$503,466))</f>
        <v/>
      </c>
      <c r="K2469">
        <f>IF(LEN(INDEX('Providers'!$AI$4:$AI$503,466))=0,"",INDEX('Providers'!$AI$4:$AI$503,466))</f>
        <v/>
      </c>
    </row>
    <row r="2470">
      <c r="A2470">
        <f>IF(AND(LEN('Providers'!A470)&gt;0,ISNUMBER('Providers'!Q470)),1,0)</f>
        <v/>
      </c>
      <c r="B2470">
        <f>B2469+A2470</f>
        <v/>
      </c>
      <c r="C2470">
        <f>IF(2467&gt;$B$4503,"",MATCH(2467-0.5,$B$3:$B$4503,1))</f>
        <v/>
      </c>
      <c r="D2470">
        <f>"Malpractice insurance – "&amp;IF(LEN(INDEX('Providers'!$A$4:$A$503,467))=0,"",INDEX('Providers'!$A$4:$A$503,467))</f>
        <v/>
      </c>
      <c r="E2470">
        <f>IF(ISNUMBER(INDEX('Providers'!$Q$4:$Q$503,467)),TEXT(INDEX('Providers'!$Q$4:$Q$503,467),"yyyy-mm-dd"),"")</f>
        <v/>
      </c>
      <c r="F2470">
        <f>"Insurance"</f>
        <v/>
      </c>
      <c r="G2470">
        <f>""</f>
        <v/>
      </c>
      <c r="H2470">
        <f>"High"</f>
        <v/>
      </c>
      <c r="I2470">
        <f>TRIM(IF(LEN(IF(LEN(INDEX('Providers'!$N$4:$N$503,467))=0,"",INDEX('Providers'!$N$4:$N$503,467)))=0,"","Carrier: "&amp;IF(LEN(INDEX('Providers'!$N$4:$N$503,467))=0,"",INDEX('Providers'!$N$4:$N$503,467))&amp;". ")&amp;IF(LEN(IF(LEN(INDEX('Providers'!$O$4:$O$503,467))=0,"",INDEX('Providers'!$O$4:$O$503,467)))=0,"","Policy no.: "&amp;IF(LEN(INDEX('Providers'!$O$4:$O$503,467))=0,"",INDEX('Providers'!$O$4:$O$503,467))&amp;". ")&amp;IF(LEN(IF(LEN(INDEX('Providers'!$P$4:$P$503,467))=0,"",INDEX('Providers'!$P$4:$P$503,467)))=0,"","Coverage form: "&amp;IF(LEN(INDEX('Providers'!$P$4:$P$503,467))=0,"",INDEX('Providers'!$P$4:$P$503,467))&amp;". "))</f>
        <v/>
      </c>
      <c r="J2470">
        <f>IF(LEN(INDEX('Providers'!$AJ$4:$AJ$503,467))=0,"",INDEX('Providers'!$AJ$4:$AJ$503,467))</f>
        <v/>
      </c>
      <c r="K2470">
        <f>IF(LEN(INDEX('Providers'!$AI$4:$AI$503,467))=0,"",INDEX('Providers'!$AI$4:$AI$503,467))</f>
        <v/>
      </c>
    </row>
    <row r="2471">
      <c r="A2471">
        <f>IF(AND(LEN('Providers'!A471)&gt;0,ISNUMBER('Providers'!Q471)),1,0)</f>
        <v/>
      </c>
      <c r="B2471">
        <f>B2470+A2471</f>
        <v/>
      </c>
      <c r="C2471">
        <f>IF(2468&gt;$B$4503,"",MATCH(2468-0.5,$B$3:$B$4503,1))</f>
        <v/>
      </c>
      <c r="D2471">
        <f>"Malpractice insurance – "&amp;IF(LEN(INDEX('Providers'!$A$4:$A$503,468))=0,"",INDEX('Providers'!$A$4:$A$503,468))</f>
        <v/>
      </c>
      <c r="E2471">
        <f>IF(ISNUMBER(INDEX('Providers'!$Q$4:$Q$503,468)),TEXT(INDEX('Providers'!$Q$4:$Q$503,468),"yyyy-mm-dd"),"")</f>
        <v/>
      </c>
      <c r="F2471">
        <f>"Insurance"</f>
        <v/>
      </c>
      <c r="G2471">
        <f>""</f>
        <v/>
      </c>
      <c r="H2471">
        <f>"High"</f>
        <v/>
      </c>
      <c r="I2471">
        <f>TRIM(IF(LEN(IF(LEN(INDEX('Providers'!$N$4:$N$503,468))=0,"",INDEX('Providers'!$N$4:$N$503,468)))=0,"","Carrier: "&amp;IF(LEN(INDEX('Providers'!$N$4:$N$503,468))=0,"",INDEX('Providers'!$N$4:$N$503,468))&amp;". ")&amp;IF(LEN(IF(LEN(INDEX('Providers'!$O$4:$O$503,468))=0,"",INDEX('Providers'!$O$4:$O$503,468)))=0,"","Policy no.: "&amp;IF(LEN(INDEX('Providers'!$O$4:$O$503,468))=0,"",INDEX('Providers'!$O$4:$O$503,468))&amp;". ")&amp;IF(LEN(IF(LEN(INDEX('Providers'!$P$4:$P$503,468))=0,"",INDEX('Providers'!$P$4:$P$503,468)))=0,"","Coverage form: "&amp;IF(LEN(INDEX('Providers'!$P$4:$P$503,468))=0,"",INDEX('Providers'!$P$4:$P$503,468))&amp;". "))</f>
        <v/>
      </c>
      <c r="J2471">
        <f>IF(LEN(INDEX('Providers'!$AJ$4:$AJ$503,468))=0,"",INDEX('Providers'!$AJ$4:$AJ$503,468))</f>
        <v/>
      </c>
      <c r="K2471">
        <f>IF(LEN(INDEX('Providers'!$AI$4:$AI$503,468))=0,"",INDEX('Providers'!$AI$4:$AI$503,468))</f>
        <v/>
      </c>
    </row>
    <row r="2472">
      <c r="A2472">
        <f>IF(AND(LEN('Providers'!A472)&gt;0,ISNUMBER('Providers'!Q472)),1,0)</f>
        <v/>
      </c>
      <c r="B2472">
        <f>B2471+A2472</f>
        <v/>
      </c>
      <c r="C2472">
        <f>IF(2469&gt;$B$4503,"",MATCH(2469-0.5,$B$3:$B$4503,1))</f>
        <v/>
      </c>
      <c r="D2472">
        <f>"Malpractice insurance – "&amp;IF(LEN(INDEX('Providers'!$A$4:$A$503,469))=0,"",INDEX('Providers'!$A$4:$A$503,469))</f>
        <v/>
      </c>
      <c r="E2472">
        <f>IF(ISNUMBER(INDEX('Providers'!$Q$4:$Q$503,469)),TEXT(INDEX('Providers'!$Q$4:$Q$503,469),"yyyy-mm-dd"),"")</f>
        <v/>
      </c>
      <c r="F2472">
        <f>"Insurance"</f>
        <v/>
      </c>
      <c r="G2472">
        <f>""</f>
        <v/>
      </c>
      <c r="H2472">
        <f>"High"</f>
        <v/>
      </c>
      <c r="I2472">
        <f>TRIM(IF(LEN(IF(LEN(INDEX('Providers'!$N$4:$N$503,469))=0,"",INDEX('Providers'!$N$4:$N$503,469)))=0,"","Carrier: "&amp;IF(LEN(INDEX('Providers'!$N$4:$N$503,469))=0,"",INDEX('Providers'!$N$4:$N$503,469))&amp;". ")&amp;IF(LEN(IF(LEN(INDEX('Providers'!$O$4:$O$503,469))=0,"",INDEX('Providers'!$O$4:$O$503,469)))=0,"","Policy no.: "&amp;IF(LEN(INDEX('Providers'!$O$4:$O$503,469))=0,"",INDEX('Providers'!$O$4:$O$503,469))&amp;". ")&amp;IF(LEN(IF(LEN(INDEX('Providers'!$P$4:$P$503,469))=0,"",INDEX('Providers'!$P$4:$P$503,469)))=0,"","Coverage form: "&amp;IF(LEN(INDEX('Providers'!$P$4:$P$503,469))=0,"",INDEX('Providers'!$P$4:$P$503,469))&amp;". "))</f>
        <v/>
      </c>
      <c r="J2472">
        <f>IF(LEN(INDEX('Providers'!$AJ$4:$AJ$503,469))=0,"",INDEX('Providers'!$AJ$4:$AJ$503,469))</f>
        <v/>
      </c>
      <c r="K2472">
        <f>IF(LEN(INDEX('Providers'!$AI$4:$AI$503,469))=0,"",INDEX('Providers'!$AI$4:$AI$503,469))</f>
        <v/>
      </c>
    </row>
    <row r="2473">
      <c r="A2473">
        <f>IF(AND(LEN('Providers'!A473)&gt;0,ISNUMBER('Providers'!Q473)),1,0)</f>
        <v/>
      </c>
      <c r="B2473">
        <f>B2472+A2473</f>
        <v/>
      </c>
      <c r="C2473">
        <f>IF(2470&gt;$B$4503,"",MATCH(2470-0.5,$B$3:$B$4503,1))</f>
        <v/>
      </c>
      <c r="D2473">
        <f>"Malpractice insurance – "&amp;IF(LEN(INDEX('Providers'!$A$4:$A$503,470))=0,"",INDEX('Providers'!$A$4:$A$503,470))</f>
        <v/>
      </c>
      <c r="E2473">
        <f>IF(ISNUMBER(INDEX('Providers'!$Q$4:$Q$503,470)),TEXT(INDEX('Providers'!$Q$4:$Q$503,470),"yyyy-mm-dd"),"")</f>
        <v/>
      </c>
      <c r="F2473">
        <f>"Insurance"</f>
        <v/>
      </c>
      <c r="G2473">
        <f>""</f>
        <v/>
      </c>
      <c r="H2473">
        <f>"High"</f>
        <v/>
      </c>
      <c r="I2473">
        <f>TRIM(IF(LEN(IF(LEN(INDEX('Providers'!$N$4:$N$503,470))=0,"",INDEX('Providers'!$N$4:$N$503,470)))=0,"","Carrier: "&amp;IF(LEN(INDEX('Providers'!$N$4:$N$503,470))=0,"",INDEX('Providers'!$N$4:$N$503,470))&amp;". ")&amp;IF(LEN(IF(LEN(INDEX('Providers'!$O$4:$O$503,470))=0,"",INDEX('Providers'!$O$4:$O$503,470)))=0,"","Policy no.: "&amp;IF(LEN(INDEX('Providers'!$O$4:$O$503,470))=0,"",INDEX('Providers'!$O$4:$O$503,470))&amp;". ")&amp;IF(LEN(IF(LEN(INDEX('Providers'!$P$4:$P$503,470))=0,"",INDEX('Providers'!$P$4:$P$503,470)))=0,"","Coverage form: "&amp;IF(LEN(INDEX('Providers'!$P$4:$P$503,470))=0,"",INDEX('Providers'!$P$4:$P$503,470))&amp;". "))</f>
        <v/>
      </c>
      <c r="J2473">
        <f>IF(LEN(INDEX('Providers'!$AJ$4:$AJ$503,470))=0,"",INDEX('Providers'!$AJ$4:$AJ$503,470))</f>
        <v/>
      </c>
      <c r="K2473">
        <f>IF(LEN(INDEX('Providers'!$AI$4:$AI$503,470))=0,"",INDEX('Providers'!$AI$4:$AI$503,470))</f>
        <v/>
      </c>
    </row>
    <row r="2474">
      <c r="A2474">
        <f>IF(AND(LEN('Providers'!A474)&gt;0,ISNUMBER('Providers'!Q474)),1,0)</f>
        <v/>
      </c>
      <c r="B2474">
        <f>B2473+A2474</f>
        <v/>
      </c>
      <c r="C2474">
        <f>IF(2471&gt;$B$4503,"",MATCH(2471-0.5,$B$3:$B$4503,1))</f>
        <v/>
      </c>
      <c r="D2474">
        <f>"Malpractice insurance – "&amp;IF(LEN(INDEX('Providers'!$A$4:$A$503,471))=0,"",INDEX('Providers'!$A$4:$A$503,471))</f>
        <v/>
      </c>
      <c r="E2474">
        <f>IF(ISNUMBER(INDEX('Providers'!$Q$4:$Q$503,471)),TEXT(INDEX('Providers'!$Q$4:$Q$503,471),"yyyy-mm-dd"),"")</f>
        <v/>
      </c>
      <c r="F2474">
        <f>"Insurance"</f>
        <v/>
      </c>
      <c r="G2474">
        <f>""</f>
        <v/>
      </c>
      <c r="H2474">
        <f>"High"</f>
        <v/>
      </c>
      <c r="I2474">
        <f>TRIM(IF(LEN(IF(LEN(INDEX('Providers'!$N$4:$N$503,471))=0,"",INDEX('Providers'!$N$4:$N$503,471)))=0,"","Carrier: "&amp;IF(LEN(INDEX('Providers'!$N$4:$N$503,471))=0,"",INDEX('Providers'!$N$4:$N$503,471))&amp;". ")&amp;IF(LEN(IF(LEN(INDEX('Providers'!$O$4:$O$503,471))=0,"",INDEX('Providers'!$O$4:$O$503,471)))=0,"","Policy no.: "&amp;IF(LEN(INDEX('Providers'!$O$4:$O$503,471))=0,"",INDEX('Providers'!$O$4:$O$503,471))&amp;". ")&amp;IF(LEN(IF(LEN(INDEX('Providers'!$P$4:$P$503,471))=0,"",INDEX('Providers'!$P$4:$P$503,471)))=0,"","Coverage form: "&amp;IF(LEN(INDEX('Providers'!$P$4:$P$503,471))=0,"",INDEX('Providers'!$P$4:$P$503,471))&amp;". "))</f>
        <v/>
      </c>
      <c r="J2474">
        <f>IF(LEN(INDEX('Providers'!$AJ$4:$AJ$503,471))=0,"",INDEX('Providers'!$AJ$4:$AJ$503,471))</f>
        <v/>
      </c>
      <c r="K2474">
        <f>IF(LEN(INDEX('Providers'!$AI$4:$AI$503,471))=0,"",INDEX('Providers'!$AI$4:$AI$503,471))</f>
        <v/>
      </c>
    </row>
    <row r="2475">
      <c r="A2475">
        <f>IF(AND(LEN('Providers'!A475)&gt;0,ISNUMBER('Providers'!Q475)),1,0)</f>
        <v/>
      </c>
      <c r="B2475">
        <f>B2474+A2475</f>
        <v/>
      </c>
      <c r="C2475">
        <f>IF(2472&gt;$B$4503,"",MATCH(2472-0.5,$B$3:$B$4503,1))</f>
        <v/>
      </c>
      <c r="D2475">
        <f>"Malpractice insurance – "&amp;IF(LEN(INDEX('Providers'!$A$4:$A$503,472))=0,"",INDEX('Providers'!$A$4:$A$503,472))</f>
        <v/>
      </c>
      <c r="E2475">
        <f>IF(ISNUMBER(INDEX('Providers'!$Q$4:$Q$503,472)),TEXT(INDEX('Providers'!$Q$4:$Q$503,472),"yyyy-mm-dd"),"")</f>
        <v/>
      </c>
      <c r="F2475">
        <f>"Insurance"</f>
        <v/>
      </c>
      <c r="G2475">
        <f>""</f>
        <v/>
      </c>
      <c r="H2475">
        <f>"High"</f>
        <v/>
      </c>
      <c r="I2475">
        <f>TRIM(IF(LEN(IF(LEN(INDEX('Providers'!$N$4:$N$503,472))=0,"",INDEX('Providers'!$N$4:$N$503,472)))=0,"","Carrier: "&amp;IF(LEN(INDEX('Providers'!$N$4:$N$503,472))=0,"",INDEX('Providers'!$N$4:$N$503,472))&amp;". ")&amp;IF(LEN(IF(LEN(INDEX('Providers'!$O$4:$O$503,472))=0,"",INDEX('Providers'!$O$4:$O$503,472)))=0,"","Policy no.: "&amp;IF(LEN(INDEX('Providers'!$O$4:$O$503,472))=0,"",INDEX('Providers'!$O$4:$O$503,472))&amp;". ")&amp;IF(LEN(IF(LEN(INDEX('Providers'!$P$4:$P$503,472))=0,"",INDEX('Providers'!$P$4:$P$503,472)))=0,"","Coverage form: "&amp;IF(LEN(INDEX('Providers'!$P$4:$P$503,472))=0,"",INDEX('Providers'!$P$4:$P$503,472))&amp;". "))</f>
        <v/>
      </c>
      <c r="J2475">
        <f>IF(LEN(INDEX('Providers'!$AJ$4:$AJ$503,472))=0,"",INDEX('Providers'!$AJ$4:$AJ$503,472))</f>
        <v/>
      </c>
      <c r="K2475">
        <f>IF(LEN(INDEX('Providers'!$AI$4:$AI$503,472))=0,"",INDEX('Providers'!$AI$4:$AI$503,472))</f>
        <v/>
      </c>
    </row>
    <row r="2476">
      <c r="A2476">
        <f>IF(AND(LEN('Providers'!A476)&gt;0,ISNUMBER('Providers'!Q476)),1,0)</f>
        <v/>
      </c>
      <c r="B2476">
        <f>B2475+A2476</f>
        <v/>
      </c>
      <c r="C2476">
        <f>IF(2473&gt;$B$4503,"",MATCH(2473-0.5,$B$3:$B$4503,1))</f>
        <v/>
      </c>
      <c r="D2476">
        <f>"Malpractice insurance – "&amp;IF(LEN(INDEX('Providers'!$A$4:$A$503,473))=0,"",INDEX('Providers'!$A$4:$A$503,473))</f>
        <v/>
      </c>
      <c r="E2476">
        <f>IF(ISNUMBER(INDEX('Providers'!$Q$4:$Q$503,473)),TEXT(INDEX('Providers'!$Q$4:$Q$503,473),"yyyy-mm-dd"),"")</f>
        <v/>
      </c>
      <c r="F2476">
        <f>"Insurance"</f>
        <v/>
      </c>
      <c r="G2476">
        <f>""</f>
        <v/>
      </c>
      <c r="H2476">
        <f>"High"</f>
        <v/>
      </c>
      <c r="I2476">
        <f>TRIM(IF(LEN(IF(LEN(INDEX('Providers'!$N$4:$N$503,473))=0,"",INDEX('Providers'!$N$4:$N$503,473)))=0,"","Carrier: "&amp;IF(LEN(INDEX('Providers'!$N$4:$N$503,473))=0,"",INDEX('Providers'!$N$4:$N$503,473))&amp;". ")&amp;IF(LEN(IF(LEN(INDEX('Providers'!$O$4:$O$503,473))=0,"",INDEX('Providers'!$O$4:$O$503,473)))=0,"","Policy no.: "&amp;IF(LEN(INDEX('Providers'!$O$4:$O$503,473))=0,"",INDEX('Providers'!$O$4:$O$503,473))&amp;". ")&amp;IF(LEN(IF(LEN(INDEX('Providers'!$P$4:$P$503,473))=0,"",INDEX('Providers'!$P$4:$P$503,473)))=0,"","Coverage form: "&amp;IF(LEN(INDEX('Providers'!$P$4:$P$503,473))=0,"",INDEX('Providers'!$P$4:$P$503,473))&amp;". "))</f>
        <v/>
      </c>
      <c r="J2476">
        <f>IF(LEN(INDEX('Providers'!$AJ$4:$AJ$503,473))=0,"",INDEX('Providers'!$AJ$4:$AJ$503,473))</f>
        <v/>
      </c>
      <c r="K2476">
        <f>IF(LEN(INDEX('Providers'!$AI$4:$AI$503,473))=0,"",INDEX('Providers'!$AI$4:$AI$503,473))</f>
        <v/>
      </c>
    </row>
    <row r="2477">
      <c r="A2477">
        <f>IF(AND(LEN('Providers'!A477)&gt;0,ISNUMBER('Providers'!Q477)),1,0)</f>
        <v/>
      </c>
      <c r="B2477">
        <f>B2476+A2477</f>
        <v/>
      </c>
      <c r="C2477">
        <f>IF(2474&gt;$B$4503,"",MATCH(2474-0.5,$B$3:$B$4503,1))</f>
        <v/>
      </c>
      <c r="D2477">
        <f>"Malpractice insurance – "&amp;IF(LEN(INDEX('Providers'!$A$4:$A$503,474))=0,"",INDEX('Providers'!$A$4:$A$503,474))</f>
        <v/>
      </c>
      <c r="E2477">
        <f>IF(ISNUMBER(INDEX('Providers'!$Q$4:$Q$503,474)),TEXT(INDEX('Providers'!$Q$4:$Q$503,474),"yyyy-mm-dd"),"")</f>
        <v/>
      </c>
      <c r="F2477">
        <f>"Insurance"</f>
        <v/>
      </c>
      <c r="G2477">
        <f>""</f>
        <v/>
      </c>
      <c r="H2477">
        <f>"High"</f>
        <v/>
      </c>
      <c r="I2477">
        <f>TRIM(IF(LEN(IF(LEN(INDEX('Providers'!$N$4:$N$503,474))=0,"",INDEX('Providers'!$N$4:$N$503,474)))=0,"","Carrier: "&amp;IF(LEN(INDEX('Providers'!$N$4:$N$503,474))=0,"",INDEX('Providers'!$N$4:$N$503,474))&amp;". ")&amp;IF(LEN(IF(LEN(INDEX('Providers'!$O$4:$O$503,474))=0,"",INDEX('Providers'!$O$4:$O$503,474)))=0,"","Policy no.: "&amp;IF(LEN(INDEX('Providers'!$O$4:$O$503,474))=0,"",INDEX('Providers'!$O$4:$O$503,474))&amp;". ")&amp;IF(LEN(IF(LEN(INDEX('Providers'!$P$4:$P$503,474))=0,"",INDEX('Providers'!$P$4:$P$503,474)))=0,"","Coverage form: "&amp;IF(LEN(INDEX('Providers'!$P$4:$P$503,474))=0,"",INDEX('Providers'!$P$4:$P$503,474))&amp;". "))</f>
        <v/>
      </c>
      <c r="J2477">
        <f>IF(LEN(INDEX('Providers'!$AJ$4:$AJ$503,474))=0,"",INDEX('Providers'!$AJ$4:$AJ$503,474))</f>
        <v/>
      </c>
      <c r="K2477">
        <f>IF(LEN(INDEX('Providers'!$AI$4:$AI$503,474))=0,"",INDEX('Providers'!$AI$4:$AI$503,474))</f>
        <v/>
      </c>
    </row>
    <row r="2478">
      <c r="A2478">
        <f>IF(AND(LEN('Providers'!A478)&gt;0,ISNUMBER('Providers'!Q478)),1,0)</f>
        <v/>
      </c>
      <c r="B2478">
        <f>B2477+A2478</f>
        <v/>
      </c>
      <c r="C2478">
        <f>IF(2475&gt;$B$4503,"",MATCH(2475-0.5,$B$3:$B$4503,1))</f>
        <v/>
      </c>
      <c r="D2478">
        <f>"Malpractice insurance – "&amp;IF(LEN(INDEX('Providers'!$A$4:$A$503,475))=0,"",INDEX('Providers'!$A$4:$A$503,475))</f>
        <v/>
      </c>
      <c r="E2478">
        <f>IF(ISNUMBER(INDEX('Providers'!$Q$4:$Q$503,475)),TEXT(INDEX('Providers'!$Q$4:$Q$503,475),"yyyy-mm-dd"),"")</f>
        <v/>
      </c>
      <c r="F2478">
        <f>"Insurance"</f>
        <v/>
      </c>
      <c r="G2478">
        <f>""</f>
        <v/>
      </c>
      <c r="H2478">
        <f>"High"</f>
        <v/>
      </c>
      <c r="I2478">
        <f>TRIM(IF(LEN(IF(LEN(INDEX('Providers'!$N$4:$N$503,475))=0,"",INDEX('Providers'!$N$4:$N$503,475)))=0,"","Carrier: "&amp;IF(LEN(INDEX('Providers'!$N$4:$N$503,475))=0,"",INDEX('Providers'!$N$4:$N$503,475))&amp;". ")&amp;IF(LEN(IF(LEN(INDEX('Providers'!$O$4:$O$503,475))=0,"",INDEX('Providers'!$O$4:$O$503,475)))=0,"","Policy no.: "&amp;IF(LEN(INDEX('Providers'!$O$4:$O$503,475))=0,"",INDEX('Providers'!$O$4:$O$503,475))&amp;". ")&amp;IF(LEN(IF(LEN(INDEX('Providers'!$P$4:$P$503,475))=0,"",INDEX('Providers'!$P$4:$P$503,475)))=0,"","Coverage form: "&amp;IF(LEN(INDEX('Providers'!$P$4:$P$503,475))=0,"",INDEX('Providers'!$P$4:$P$503,475))&amp;". "))</f>
        <v/>
      </c>
      <c r="J2478">
        <f>IF(LEN(INDEX('Providers'!$AJ$4:$AJ$503,475))=0,"",INDEX('Providers'!$AJ$4:$AJ$503,475))</f>
        <v/>
      </c>
      <c r="K2478">
        <f>IF(LEN(INDEX('Providers'!$AI$4:$AI$503,475))=0,"",INDEX('Providers'!$AI$4:$AI$503,475))</f>
        <v/>
      </c>
    </row>
    <row r="2479">
      <c r="A2479">
        <f>IF(AND(LEN('Providers'!A479)&gt;0,ISNUMBER('Providers'!Q479)),1,0)</f>
        <v/>
      </c>
      <c r="B2479">
        <f>B2478+A2479</f>
        <v/>
      </c>
      <c r="C2479">
        <f>IF(2476&gt;$B$4503,"",MATCH(2476-0.5,$B$3:$B$4503,1))</f>
        <v/>
      </c>
      <c r="D2479">
        <f>"Malpractice insurance – "&amp;IF(LEN(INDEX('Providers'!$A$4:$A$503,476))=0,"",INDEX('Providers'!$A$4:$A$503,476))</f>
        <v/>
      </c>
      <c r="E2479">
        <f>IF(ISNUMBER(INDEX('Providers'!$Q$4:$Q$503,476)),TEXT(INDEX('Providers'!$Q$4:$Q$503,476),"yyyy-mm-dd"),"")</f>
        <v/>
      </c>
      <c r="F2479">
        <f>"Insurance"</f>
        <v/>
      </c>
      <c r="G2479">
        <f>""</f>
        <v/>
      </c>
      <c r="H2479">
        <f>"High"</f>
        <v/>
      </c>
      <c r="I2479">
        <f>TRIM(IF(LEN(IF(LEN(INDEX('Providers'!$N$4:$N$503,476))=0,"",INDEX('Providers'!$N$4:$N$503,476)))=0,"","Carrier: "&amp;IF(LEN(INDEX('Providers'!$N$4:$N$503,476))=0,"",INDEX('Providers'!$N$4:$N$503,476))&amp;". ")&amp;IF(LEN(IF(LEN(INDEX('Providers'!$O$4:$O$503,476))=0,"",INDEX('Providers'!$O$4:$O$503,476)))=0,"","Policy no.: "&amp;IF(LEN(INDEX('Providers'!$O$4:$O$503,476))=0,"",INDEX('Providers'!$O$4:$O$503,476))&amp;". ")&amp;IF(LEN(IF(LEN(INDEX('Providers'!$P$4:$P$503,476))=0,"",INDEX('Providers'!$P$4:$P$503,476)))=0,"","Coverage form: "&amp;IF(LEN(INDEX('Providers'!$P$4:$P$503,476))=0,"",INDEX('Providers'!$P$4:$P$503,476))&amp;". "))</f>
        <v/>
      </c>
      <c r="J2479">
        <f>IF(LEN(INDEX('Providers'!$AJ$4:$AJ$503,476))=0,"",INDEX('Providers'!$AJ$4:$AJ$503,476))</f>
        <v/>
      </c>
      <c r="K2479">
        <f>IF(LEN(INDEX('Providers'!$AI$4:$AI$503,476))=0,"",INDEX('Providers'!$AI$4:$AI$503,476))</f>
        <v/>
      </c>
    </row>
    <row r="2480">
      <c r="A2480">
        <f>IF(AND(LEN('Providers'!A480)&gt;0,ISNUMBER('Providers'!Q480)),1,0)</f>
        <v/>
      </c>
      <c r="B2480">
        <f>B2479+A2480</f>
        <v/>
      </c>
      <c r="C2480">
        <f>IF(2477&gt;$B$4503,"",MATCH(2477-0.5,$B$3:$B$4503,1))</f>
        <v/>
      </c>
      <c r="D2480">
        <f>"Malpractice insurance – "&amp;IF(LEN(INDEX('Providers'!$A$4:$A$503,477))=0,"",INDEX('Providers'!$A$4:$A$503,477))</f>
        <v/>
      </c>
      <c r="E2480">
        <f>IF(ISNUMBER(INDEX('Providers'!$Q$4:$Q$503,477)),TEXT(INDEX('Providers'!$Q$4:$Q$503,477),"yyyy-mm-dd"),"")</f>
        <v/>
      </c>
      <c r="F2480">
        <f>"Insurance"</f>
        <v/>
      </c>
      <c r="G2480">
        <f>""</f>
        <v/>
      </c>
      <c r="H2480">
        <f>"High"</f>
        <v/>
      </c>
      <c r="I2480">
        <f>TRIM(IF(LEN(IF(LEN(INDEX('Providers'!$N$4:$N$503,477))=0,"",INDEX('Providers'!$N$4:$N$503,477)))=0,"","Carrier: "&amp;IF(LEN(INDEX('Providers'!$N$4:$N$503,477))=0,"",INDEX('Providers'!$N$4:$N$503,477))&amp;". ")&amp;IF(LEN(IF(LEN(INDEX('Providers'!$O$4:$O$503,477))=0,"",INDEX('Providers'!$O$4:$O$503,477)))=0,"","Policy no.: "&amp;IF(LEN(INDEX('Providers'!$O$4:$O$503,477))=0,"",INDEX('Providers'!$O$4:$O$503,477))&amp;". ")&amp;IF(LEN(IF(LEN(INDEX('Providers'!$P$4:$P$503,477))=0,"",INDEX('Providers'!$P$4:$P$503,477)))=0,"","Coverage form: "&amp;IF(LEN(INDEX('Providers'!$P$4:$P$503,477))=0,"",INDEX('Providers'!$P$4:$P$503,477))&amp;". "))</f>
        <v/>
      </c>
      <c r="J2480">
        <f>IF(LEN(INDEX('Providers'!$AJ$4:$AJ$503,477))=0,"",INDEX('Providers'!$AJ$4:$AJ$503,477))</f>
        <v/>
      </c>
      <c r="K2480">
        <f>IF(LEN(INDEX('Providers'!$AI$4:$AI$503,477))=0,"",INDEX('Providers'!$AI$4:$AI$503,477))</f>
        <v/>
      </c>
    </row>
    <row r="2481">
      <c r="A2481">
        <f>IF(AND(LEN('Providers'!A481)&gt;0,ISNUMBER('Providers'!Q481)),1,0)</f>
        <v/>
      </c>
      <c r="B2481">
        <f>B2480+A2481</f>
        <v/>
      </c>
      <c r="C2481">
        <f>IF(2478&gt;$B$4503,"",MATCH(2478-0.5,$B$3:$B$4503,1))</f>
        <v/>
      </c>
      <c r="D2481">
        <f>"Malpractice insurance – "&amp;IF(LEN(INDEX('Providers'!$A$4:$A$503,478))=0,"",INDEX('Providers'!$A$4:$A$503,478))</f>
        <v/>
      </c>
      <c r="E2481">
        <f>IF(ISNUMBER(INDEX('Providers'!$Q$4:$Q$503,478)),TEXT(INDEX('Providers'!$Q$4:$Q$503,478),"yyyy-mm-dd"),"")</f>
        <v/>
      </c>
      <c r="F2481">
        <f>"Insurance"</f>
        <v/>
      </c>
      <c r="G2481">
        <f>""</f>
        <v/>
      </c>
      <c r="H2481">
        <f>"High"</f>
        <v/>
      </c>
      <c r="I2481">
        <f>TRIM(IF(LEN(IF(LEN(INDEX('Providers'!$N$4:$N$503,478))=0,"",INDEX('Providers'!$N$4:$N$503,478)))=0,"","Carrier: "&amp;IF(LEN(INDEX('Providers'!$N$4:$N$503,478))=0,"",INDEX('Providers'!$N$4:$N$503,478))&amp;". ")&amp;IF(LEN(IF(LEN(INDEX('Providers'!$O$4:$O$503,478))=0,"",INDEX('Providers'!$O$4:$O$503,478)))=0,"","Policy no.: "&amp;IF(LEN(INDEX('Providers'!$O$4:$O$503,478))=0,"",INDEX('Providers'!$O$4:$O$503,478))&amp;". ")&amp;IF(LEN(IF(LEN(INDEX('Providers'!$P$4:$P$503,478))=0,"",INDEX('Providers'!$P$4:$P$503,478)))=0,"","Coverage form: "&amp;IF(LEN(INDEX('Providers'!$P$4:$P$503,478))=0,"",INDEX('Providers'!$P$4:$P$503,478))&amp;". "))</f>
        <v/>
      </c>
      <c r="J2481">
        <f>IF(LEN(INDEX('Providers'!$AJ$4:$AJ$503,478))=0,"",INDEX('Providers'!$AJ$4:$AJ$503,478))</f>
        <v/>
      </c>
      <c r="K2481">
        <f>IF(LEN(INDEX('Providers'!$AI$4:$AI$503,478))=0,"",INDEX('Providers'!$AI$4:$AI$503,478))</f>
        <v/>
      </c>
    </row>
    <row r="2482">
      <c r="A2482">
        <f>IF(AND(LEN('Providers'!A482)&gt;0,ISNUMBER('Providers'!Q482)),1,0)</f>
        <v/>
      </c>
      <c r="B2482">
        <f>B2481+A2482</f>
        <v/>
      </c>
      <c r="C2482">
        <f>IF(2479&gt;$B$4503,"",MATCH(2479-0.5,$B$3:$B$4503,1))</f>
        <v/>
      </c>
      <c r="D2482">
        <f>"Malpractice insurance – "&amp;IF(LEN(INDEX('Providers'!$A$4:$A$503,479))=0,"",INDEX('Providers'!$A$4:$A$503,479))</f>
        <v/>
      </c>
      <c r="E2482">
        <f>IF(ISNUMBER(INDEX('Providers'!$Q$4:$Q$503,479)),TEXT(INDEX('Providers'!$Q$4:$Q$503,479),"yyyy-mm-dd"),"")</f>
        <v/>
      </c>
      <c r="F2482">
        <f>"Insurance"</f>
        <v/>
      </c>
      <c r="G2482">
        <f>""</f>
        <v/>
      </c>
      <c r="H2482">
        <f>"High"</f>
        <v/>
      </c>
      <c r="I2482">
        <f>TRIM(IF(LEN(IF(LEN(INDEX('Providers'!$N$4:$N$503,479))=0,"",INDEX('Providers'!$N$4:$N$503,479)))=0,"","Carrier: "&amp;IF(LEN(INDEX('Providers'!$N$4:$N$503,479))=0,"",INDEX('Providers'!$N$4:$N$503,479))&amp;". ")&amp;IF(LEN(IF(LEN(INDEX('Providers'!$O$4:$O$503,479))=0,"",INDEX('Providers'!$O$4:$O$503,479)))=0,"","Policy no.: "&amp;IF(LEN(INDEX('Providers'!$O$4:$O$503,479))=0,"",INDEX('Providers'!$O$4:$O$503,479))&amp;". ")&amp;IF(LEN(IF(LEN(INDEX('Providers'!$P$4:$P$503,479))=0,"",INDEX('Providers'!$P$4:$P$503,479)))=0,"","Coverage form: "&amp;IF(LEN(INDEX('Providers'!$P$4:$P$503,479))=0,"",INDEX('Providers'!$P$4:$P$503,479))&amp;". "))</f>
        <v/>
      </c>
      <c r="J2482">
        <f>IF(LEN(INDEX('Providers'!$AJ$4:$AJ$503,479))=0,"",INDEX('Providers'!$AJ$4:$AJ$503,479))</f>
        <v/>
      </c>
      <c r="K2482">
        <f>IF(LEN(INDEX('Providers'!$AI$4:$AI$503,479))=0,"",INDEX('Providers'!$AI$4:$AI$503,479))</f>
        <v/>
      </c>
    </row>
    <row r="2483">
      <c r="A2483">
        <f>IF(AND(LEN('Providers'!A483)&gt;0,ISNUMBER('Providers'!Q483)),1,0)</f>
        <v/>
      </c>
      <c r="B2483">
        <f>B2482+A2483</f>
        <v/>
      </c>
      <c r="C2483">
        <f>IF(2480&gt;$B$4503,"",MATCH(2480-0.5,$B$3:$B$4503,1))</f>
        <v/>
      </c>
      <c r="D2483">
        <f>"Malpractice insurance – "&amp;IF(LEN(INDEX('Providers'!$A$4:$A$503,480))=0,"",INDEX('Providers'!$A$4:$A$503,480))</f>
        <v/>
      </c>
      <c r="E2483">
        <f>IF(ISNUMBER(INDEX('Providers'!$Q$4:$Q$503,480)),TEXT(INDEX('Providers'!$Q$4:$Q$503,480),"yyyy-mm-dd"),"")</f>
        <v/>
      </c>
      <c r="F2483">
        <f>"Insurance"</f>
        <v/>
      </c>
      <c r="G2483">
        <f>""</f>
        <v/>
      </c>
      <c r="H2483">
        <f>"High"</f>
        <v/>
      </c>
      <c r="I2483">
        <f>TRIM(IF(LEN(IF(LEN(INDEX('Providers'!$N$4:$N$503,480))=0,"",INDEX('Providers'!$N$4:$N$503,480)))=0,"","Carrier: "&amp;IF(LEN(INDEX('Providers'!$N$4:$N$503,480))=0,"",INDEX('Providers'!$N$4:$N$503,480))&amp;". ")&amp;IF(LEN(IF(LEN(INDEX('Providers'!$O$4:$O$503,480))=0,"",INDEX('Providers'!$O$4:$O$503,480)))=0,"","Policy no.: "&amp;IF(LEN(INDEX('Providers'!$O$4:$O$503,480))=0,"",INDEX('Providers'!$O$4:$O$503,480))&amp;". ")&amp;IF(LEN(IF(LEN(INDEX('Providers'!$P$4:$P$503,480))=0,"",INDEX('Providers'!$P$4:$P$503,480)))=0,"","Coverage form: "&amp;IF(LEN(INDEX('Providers'!$P$4:$P$503,480))=0,"",INDEX('Providers'!$P$4:$P$503,480))&amp;". "))</f>
        <v/>
      </c>
      <c r="J2483">
        <f>IF(LEN(INDEX('Providers'!$AJ$4:$AJ$503,480))=0,"",INDEX('Providers'!$AJ$4:$AJ$503,480))</f>
        <v/>
      </c>
      <c r="K2483">
        <f>IF(LEN(INDEX('Providers'!$AI$4:$AI$503,480))=0,"",INDEX('Providers'!$AI$4:$AI$503,480))</f>
        <v/>
      </c>
    </row>
    <row r="2484">
      <c r="A2484">
        <f>IF(AND(LEN('Providers'!A484)&gt;0,ISNUMBER('Providers'!Q484)),1,0)</f>
        <v/>
      </c>
      <c r="B2484">
        <f>B2483+A2484</f>
        <v/>
      </c>
      <c r="C2484">
        <f>IF(2481&gt;$B$4503,"",MATCH(2481-0.5,$B$3:$B$4503,1))</f>
        <v/>
      </c>
      <c r="D2484">
        <f>"Malpractice insurance – "&amp;IF(LEN(INDEX('Providers'!$A$4:$A$503,481))=0,"",INDEX('Providers'!$A$4:$A$503,481))</f>
        <v/>
      </c>
      <c r="E2484">
        <f>IF(ISNUMBER(INDEX('Providers'!$Q$4:$Q$503,481)),TEXT(INDEX('Providers'!$Q$4:$Q$503,481),"yyyy-mm-dd"),"")</f>
        <v/>
      </c>
      <c r="F2484">
        <f>"Insurance"</f>
        <v/>
      </c>
      <c r="G2484">
        <f>""</f>
        <v/>
      </c>
      <c r="H2484">
        <f>"High"</f>
        <v/>
      </c>
      <c r="I2484">
        <f>TRIM(IF(LEN(IF(LEN(INDEX('Providers'!$N$4:$N$503,481))=0,"",INDEX('Providers'!$N$4:$N$503,481)))=0,"","Carrier: "&amp;IF(LEN(INDEX('Providers'!$N$4:$N$503,481))=0,"",INDEX('Providers'!$N$4:$N$503,481))&amp;". ")&amp;IF(LEN(IF(LEN(INDEX('Providers'!$O$4:$O$503,481))=0,"",INDEX('Providers'!$O$4:$O$503,481)))=0,"","Policy no.: "&amp;IF(LEN(INDEX('Providers'!$O$4:$O$503,481))=0,"",INDEX('Providers'!$O$4:$O$503,481))&amp;". ")&amp;IF(LEN(IF(LEN(INDEX('Providers'!$P$4:$P$503,481))=0,"",INDEX('Providers'!$P$4:$P$503,481)))=0,"","Coverage form: "&amp;IF(LEN(INDEX('Providers'!$P$4:$P$503,481))=0,"",INDEX('Providers'!$P$4:$P$503,481))&amp;". "))</f>
        <v/>
      </c>
      <c r="J2484">
        <f>IF(LEN(INDEX('Providers'!$AJ$4:$AJ$503,481))=0,"",INDEX('Providers'!$AJ$4:$AJ$503,481))</f>
        <v/>
      </c>
      <c r="K2484">
        <f>IF(LEN(INDEX('Providers'!$AI$4:$AI$503,481))=0,"",INDEX('Providers'!$AI$4:$AI$503,481))</f>
        <v/>
      </c>
    </row>
    <row r="2485">
      <c r="A2485">
        <f>IF(AND(LEN('Providers'!A485)&gt;0,ISNUMBER('Providers'!Q485)),1,0)</f>
        <v/>
      </c>
      <c r="B2485">
        <f>B2484+A2485</f>
        <v/>
      </c>
      <c r="C2485">
        <f>IF(2482&gt;$B$4503,"",MATCH(2482-0.5,$B$3:$B$4503,1))</f>
        <v/>
      </c>
      <c r="D2485">
        <f>"Malpractice insurance – "&amp;IF(LEN(INDEX('Providers'!$A$4:$A$503,482))=0,"",INDEX('Providers'!$A$4:$A$503,482))</f>
        <v/>
      </c>
      <c r="E2485">
        <f>IF(ISNUMBER(INDEX('Providers'!$Q$4:$Q$503,482)),TEXT(INDEX('Providers'!$Q$4:$Q$503,482),"yyyy-mm-dd"),"")</f>
        <v/>
      </c>
      <c r="F2485">
        <f>"Insurance"</f>
        <v/>
      </c>
      <c r="G2485">
        <f>""</f>
        <v/>
      </c>
      <c r="H2485">
        <f>"High"</f>
        <v/>
      </c>
      <c r="I2485">
        <f>TRIM(IF(LEN(IF(LEN(INDEX('Providers'!$N$4:$N$503,482))=0,"",INDEX('Providers'!$N$4:$N$503,482)))=0,"","Carrier: "&amp;IF(LEN(INDEX('Providers'!$N$4:$N$503,482))=0,"",INDEX('Providers'!$N$4:$N$503,482))&amp;". ")&amp;IF(LEN(IF(LEN(INDEX('Providers'!$O$4:$O$503,482))=0,"",INDEX('Providers'!$O$4:$O$503,482)))=0,"","Policy no.: "&amp;IF(LEN(INDEX('Providers'!$O$4:$O$503,482))=0,"",INDEX('Providers'!$O$4:$O$503,482))&amp;". ")&amp;IF(LEN(IF(LEN(INDEX('Providers'!$P$4:$P$503,482))=0,"",INDEX('Providers'!$P$4:$P$503,482)))=0,"","Coverage form: "&amp;IF(LEN(INDEX('Providers'!$P$4:$P$503,482))=0,"",INDEX('Providers'!$P$4:$P$503,482))&amp;". "))</f>
        <v/>
      </c>
      <c r="J2485">
        <f>IF(LEN(INDEX('Providers'!$AJ$4:$AJ$503,482))=0,"",INDEX('Providers'!$AJ$4:$AJ$503,482))</f>
        <v/>
      </c>
      <c r="K2485">
        <f>IF(LEN(INDEX('Providers'!$AI$4:$AI$503,482))=0,"",INDEX('Providers'!$AI$4:$AI$503,482))</f>
        <v/>
      </c>
    </row>
    <row r="2486">
      <c r="A2486">
        <f>IF(AND(LEN('Providers'!A486)&gt;0,ISNUMBER('Providers'!Q486)),1,0)</f>
        <v/>
      </c>
      <c r="B2486">
        <f>B2485+A2486</f>
        <v/>
      </c>
      <c r="C2486">
        <f>IF(2483&gt;$B$4503,"",MATCH(2483-0.5,$B$3:$B$4503,1))</f>
        <v/>
      </c>
      <c r="D2486">
        <f>"Malpractice insurance – "&amp;IF(LEN(INDEX('Providers'!$A$4:$A$503,483))=0,"",INDEX('Providers'!$A$4:$A$503,483))</f>
        <v/>
      </c>
      <c r="E2486">
        <f>IF(ISNUMBER(INDEX('Providers'!$Q$4:$Q$503,483)),TEXT(INDEX('Providers'!$Q$4:$Q$503,483),"yyyy-mm-dd"),"")</f>
        <v/>
      </c>
      <c r="F2486">
        <f>"Insurance"</f>
        <v/>
      </c>
      <c r="G2486">
        <f>""</f>
        <v/>
      </c>
      <c r="H2486">
        <f>"High"</f>
        <v/>
      </c>
      <c r="I2486">
        <f>TRIM(IF(LEN(IF(LEN(INDEX('Providers'!$N$4:$N$503,483))=0,"",INDEX('Providers'!$N$4:$N$503,483)))=0,"","Carrier: "&amp;IF(LEN(INDEX('Providers'!$N$4:$N$503,483))=0,"",INDEX('Providers'!$N$4:$N$503,483))&amp;". ")&amp;IF(LEN(IF(LEN(INDEX('Providers'!$O$4:$O$503,483))=0,"",INDEX('Providers'!$O$4:$O$503,483)))=0,"","Policy no.: "&amp;IF(LEN(INDEX('Providers'!$O$4:$O$503,483))=0,"",INDEX('Providers'!$O$4:$O$503,483))&amp;". ")&amp;IF(LEN(IF(LEN(INDEX('Providers'!$P$4:$P$503,483))=0,"",INDEX('Providers'!$P$4:$P$503,483)))=0,"","Coverage form: "&amp;IF(LEN(INDEX('Providers'!$P$4:$P$503,483))=0,"",INDEX('Providers'!$P$4:$P$503,483))&amp;". "))</f>
        <v/>
      </c>
      <c r="J2486">
        <f>IF(LEN(INDEX('Providers'!$AJ$4:$AJ$503,483))=0,"",INDEX('Providers'!$AJ$4:$AJ$503,483))</f>
        <v/>
      </c>
      <c r="K2486">
        <f>IF(LEN(INDEX('Providers'!$AI$4:$AI$503,483))=0,"",INDEX('Providers'!$AI$4:$AI$503,483))</f>
        <v/>
      </c>
    </row>
    <row r="2487">
      <c r="A2487">
        <f>IF(AND(LEN('Providers'!A487)&gt;0,ISNUMBER('Providers'!Q487)),1,0)</f>
        <v/>
      </c>
      <c r="B2487">
        <f>B2486+A2487</f>
        <v/>
      </c>
      <c r="C2487">
        <f>IF(2484&gt;$B$4503,"",MATCH(2484-0.5,$B$3:$B$4503,1))</f>
        <v/>
      </c>
      <c r="D2487">
        <f>"Malpractice insurance – "&amp;IF(LEN(INDEX('Providers'!$A$4:$A$503,484))=0,"",INDEX('Providers'!$A$4:$A$503,484))</f>
        <v/>
      </c>
      <c r="E2487">
        <f>IF(ISNUMBER(INDEX('Providers'!$Q$4:$Q$503,484)),TEXT(INDEX('Providers'!$Q$4:$Q$503,484),"yyyy-mm-dd"),"")</f>
        <v/>
      </c>
      <c r="F2487">
        <f>"Insurance"</f>
        <v/>
      </c>
      <c r="G2487">
        <f>""</f>
        <v/>
      </c>
      <c r="H2487">
        <f>"High"</f>
        <v/>
      </c>
      <c r="I2487">
        <f>TRIM(IF(LEN(IF(LEN(INDEX('Providers'!$N$4:$N$503,484))=0,"",INDEX('Providers'!$N$4:$N$503,484)))=0,"","Carrier: "&amp;IF(LEN(INDEX('Providers'!$N$4:$N$503,484))=0,"",INDEX('Providers'!$N$4:$N$503,484))&amp;". ")&amp;IF(LEN(IF(LEN(INDEX('Providers'!$O$4:$O$503,484))=0,"",INDEX('Providers'!$O$4:$O$503,484)))=0,"","Policy no.: "&amp;IF(LEN(INDEX('Providers'!$O$4:$O$503,484))=0,"",INDEX('Providers'!$O$4:$O$503,484))&amp;". ")&amp;IF(LEN(IF(LEN(INDEX('Providers'!$P$4:$P$503,484))=0,"",INDEX('Providers'!$P$4:$P$503,484)))=0,"","Coverage form: "&amp;IF(LEN(INDEX('Providers'!$P$4:$P$503,484))=0,"",INDEX('Providers'!$P$4:$P$503,484))&amp;". "))</f>
        <v/>
      </c>
      <c r="J2487">
        <f>IF(LEN(INDEX('Providers'!$AJ$4:$AJ$503,484))=0,"",INDEX('Providers'!$AJ$4:$AJ$503,484))</f>
        <v/>
      </c>
      <c r="K2487">
        <f>IF(LEN(INDEX('Providers'!$AI$4:$AI$503,484))=0,"",INDEX('Providers'!$AI$4:$AI$503,484))</f>
        <v/>
      </c>
    </row>
    <row r="2488">
      <c r="A2488">
        <f>IF(AND(LEN('Providers'!A488)&gt;0,ISNUMBER('Providers'!Q488)),1,0)</f>
        <v/>
      </c>
      <c r="B2488">
        <f>B2487+A2488</f>
        <v/>
      </c>
      <c r="C2488">
        <f>IF(2485&gt;$B$4503,"",MATCH(2485-0.5,$B$3:$B$4503,1))</f>
        <v/>
      </c>
      <c r="D2488">
        <f>"Malpractice insurance – "&amp;IF(LEN(INDEX('Providers'!$A$4:$A$503,485))=0,"",INDEX('Providers'!$A$4:$A$503,485))</f>
        <v/>
      </c>
      <c r="E2488">
        <f>IF(ISNUMBER(INDEX('Providers'!$Q$4:$Q$503,485)),TEXT(INDEX('Providers'!$Q$4:$Q$503,485),"yyyy-mm-dd"),"")</f>
        <v/>
      </c>
      <c r="F2488">
        <f>"Insurance"</f>
        <v/>
      </c>
      <c r="G2488">
        <f>""</f>
        <v/>
      </c>
      <c r="H2488">
        <f>"High"</f>
        <v/>
      </c>
      <c r="I2488">
        <f>TRIM(IF(LEN(IF(LEN(INDEX('Providers'!$N$4:$N$503,485))=0,"",INDEX('Providers'!$N$4:$N$503,485)))=0,"","Carrier: "&amp;IF(LEN(INDEX('Providers'!$N$4:$N$503,485))=0,"",INDEX('Providers'!$N$4:$N$503,485))&amp;". ")&amp;IF(LEN(IF(LEN(INDEX('Providers'!$O$4:$O$503,485))=0,"",INDEX('Providers'!$O$4:$O$503,485)))=0,"","Policy no.: "&amp;IF(LEN(INDEX('Providers'!$O$4:$O$503,485))=0,"",INDEX('Providers'!$O$4:$O$503,485))&amp;". ")&amp;IF(LEN(IF(LEN(INDEX('Providers'!$P$4:$P$503,485))=0,"",INDEX('Providers'!$P$4:$P$503,485)))=0,"","Coverage form: "&amp;IF(LEN(INDEX('Providers'!$P$4:$P$503,485))=0,"",INDEX('Providers'!$P$4:$P$503,485))&amp;". "))</f>
        <v/>
      </c>
      <c r="J2488">
        <f>IF(LEN(INDEX('Providers'!$AJ$4:$AJ$503,485))=0,"",INDEX('Providers'!$AJ$4:$AJ$503,485))</f>
        <v/>
      </c>
      <c r="K2488">
        <f>IF(LEN(INDEX('Providers'!$AI$4:$AI$503,485))=0,"",INDEX('Providers'!$AI$4:$AI$503,485))</f>
        <v/>
      </c>
    </row>
    <row r="2489">
      <c r="A2489">
        <f>IF(AND(LEN('Providers'!A489)&gt;0,ISNUMBER('Providers'!Q489)),1,0)</f>
        <v/>
      </c>
      <c r="B2489">
        <f>B2488+A2489</f>
        <v/>
      </c>
      <c r="C2489">
        <f>IF(2486&gt;$B$4503,"",MATCH(2486-0.5,$B$3:$B$4503,1))</f>
        <v/>
      </c>
      <c r="D2489">
        <f>"Malpractice insurance – "&amp;IF(LEN(INDEX('Providers'!$A$4:$A$503,486))=0,"",INDEX('Providers'!$A$4:$A$503,486))</f>
        <v/>
      </c>
      <c r="E2489">
        <f>IF(ISNUMBER(INDEX('Providers'!$Q$4:$Q$503,486)),TEXT(INDEX('Providers'!$Q$4:$Q$503,486),"yyyy-mm-dd"),"")</f>
        <v/>
      </c>
      <c r="F2489">
        <f>"Insurance"</f>
        <v/>
      </c>
      <c r="G2489">
        <f>""</f>
        <v/>
      </c>
      <c r="H2489">
        <f>"High"</f>
        <v/>
      </c>
      <c r="I2489">
        <f>TRIM(IF(LEN(IF(LEN(INDEX('Providers'!$N$4:$N$503,486))=0,"",INDEX('Providers'!$N$4:$N$503,486)))=0,"","Carrier: "&amp;IF(LEN(INDEX('Providers'!$N$4:$N$503,486))=0,"",INDEX('Providers'!$N$4:$N$503,486))&amp;". ")&amp;IF(LEN(IF(LEN(INDEX('Providers'!$O$4:$O$503,486))=0,"",INDEX('Providers'!$O$4:$O$503,486)))=0,"","Policy no.: "&amp;IF(LEN(INDEX('Providers'!$O$4:$O$503,486))=0,"",INDEX('Providers'!$O$4:$O$503,486))&amp;". ")&amp;IF(LEN(IF(LEN(INDEX('Providers'!$P$4:$P$503,486))=0,"",INDEX('Providers'!$P$4:$P$503,486)))=0,"","Coverage form: "&amp;IF(LEN(INDEX('Providers'!$P$4:$P$503,486))=0,"",INDEX('Providers'!$P$4:$P$503,486))&amp;". "))</f>
        <v/>
      </c>
      <c r="J2489">
        <f>IF(LEN(INDEX('Providers'!$AJ$4:$AJ$503,486))=0,"",INDEX('Providers'!$AJ$4:$AJ$503,486))</f>
        <v/>
      </c>
      <c r="K2489">
        <f>IF(LEN(INDEX('Providers'!$AI$4:$AI$503,486))=0,"",INDEX('Providers'!$AI$4:$AI$503,486))</f>
        <v/>
      </c>
    </row>
    <row r="2490">
      <c r="A2490">
        <f>IF(AND(LEN('Providers'!A490)&gt;0,ISNUMBER('Providers'!Q490)),1,0)</f>
        <v/>
      </c>
      <c r="B2490">
        <f>B2489+A2490</f>
        <v/>
      </c>
      <c r="C2490">
        <f>IF(2487&gt;$B$4503,"",MATCH(2487-0.5,$B$3:$B$4503,1))</f>
        <v/>
      </c>
      <c r="D2490">
        <f>"Malpractice insurance – "&amp;IF(LEN(INDEX('Providers'!$A$4:$A$503,487))=0,"",INDEX('Providers'!$A$4:$A$503,487))</f>
        <v/>
      </c>
      <c r="E2490">
        <f>IF(ISNUMBER(INDEX('Providers'!$Q$4:$Q$503,487)),TEXT(INDEX('Providers'!$Q$4:$Q$503,487),"yyyy-mm-dd"),"")</f>
        <v/>
      </c>
      <c r="F2490">
        <f>"Insurance"</f>
        <v/>
      </c>
      <c r="G2490">
        <f>""</f>
        <v/>
      </c>
      <c r="H2490">
        <f>"High"</f>
        <v/>
      </c>
      <c r="I2490">
        <f>TRIM(IF(LEN(IF(LEN(INDEX('Providers'!$N$4:$N$503,487))=0,"",INDEX('Providers'!$N$4:$N$503,487)))=0,"","Carrier: "&amp;IF(LEN(INDEX('Providers'!$N$4:$N$503,487))=0,"",INDEX('Providers'!$N$4:$N$503,487))&amp;". ")&amp;IF(LEN(IF(LEN(INDEX('Providers'!$O$4:$O$503,487))=0,"",INDEX('Providers'!$O$4:$O$503,487)))=0,"","Policy no.: "&amp;IF(LEN(INDEX('Providers'!$O$4:$O$503,487))=0,"",INDEX('Providers'!$O$4:$O$503,487))&amp;". ")&amp;IF(LEN(IF(LEN(INDEX('Providers'!$P$4:$P$503,487))=0,"",INDEX('Providers'!$P$4:$P$503,487)))=0,"","Coverage form: "&amp;IF(LEN(INDEX('Providers'!$P$4:$P$503,487))=0,"",INDEX('Providers'!$P$4:$P$503,487))&amp;". "))</f>
        <v/>
      </c>
      <c r="J2490">
        <f>IF(LEN(INDEX('Providers'!$AJ$4:$AJ$503,487))=0,"",INDEX('Providers'!$AJ$4:$AJ$503,487))</f>
        <v/>
      </c>
      <c r="K2490">
        <f>IF(LEN(INDEX('Providers'!$AI$4:$AI$503,487))=0,"",INDEX('Providers'!$AI$4:$AI$503,487))</f>
        <v/>
      </c>
    </row>
    <row r="2491">
      <c r="A2491">
        <f>IF(AND(LEN('Providers'!A491)&gt;0,ISNUMBER('Providers'!Q491)),1,0)</f>
        <v/>
      </c>
      <c r="B2491">
        <f>B2490+A2491</f>
        <v/>
      </c>
      <c r="C2491">
        <f>IF(2488&gt;$B$4503,"",MATCH(2488-0.5,$B$3:$B$4503,1))</f>
        <v/>
      </c>
      <c r="D2491">
        <f>"Malpractice insurance – "&amp;IF(LEN(INDEX('Providers'!$A$4:$A$503,488))=0,"",INDEX('Providers'!$A$4:$A$503,488))</f>
        <v/>
      </c>
      <c r="E2491">
        <f>IF(ISNUMBER(INDEX('Providers'!$Q$4:$Q$503,488)),TEXT(INDEX('Providers'!$Q$4:$Q$503,488),"yyyy-mm-dd"),"")</f>
        <v/>
      </c>
      <c r="F2491">
        <f>"Insurance"</f>
        <v/>
      </c>
      <c r="G2491">
        <f>""</f>
        <v/>
      </c>
      <c r="H2491">
        <f>"High"</f>
        <v/>
      </c>
      <c r="I2491">
        <f>TRIM(IF(LEN(IF(LEN(INDEX('Providers'!$N$4:$N$503,488))=0,"",INDEX('Providers'!$N$4:$N$503,488)))=0,"","Carrier: "&amp;IF(LEN(INDEX('Providers'!$N$4:$N$503,488))=0,"",INDEX('Providers'!$N$4:$N$503,488))&amp;". ")&amp;IF(LEN(IF(LEN(INDEX('Providers'!$O$4:$O$503,488))=0,"",INDEX('Providers'!$O$4:$O$503,488)))=0,"","Policy no.: "&amp;IF(LEN(INDEX('Providers'!$O$4:$O$503,488))=0,"",INDEX('Providers'!$O$4:$O$503,488))&amp;". ")&amp;IF(LEN(IF(LEN(INDEX('Providers'!$P$4:$P$503,488))=0,"",INDEX('Providers'!$P$4:$P$503,488)))=0,"","Coverage form: "&amp;IF(LEN(INDEX('Providers'!$P$4:$P$503,488))=0,"",INDEX('Providers'!$P$4:$P$503,488))&amp;". "))</f>
        <v/>
      </c>
      <c r="J2491">
        <f>IF(LEN(INDEX('Providers'!$AJ$4:$AJ$503,488))=0,"",INDEX('Providers'!$AJ$4:$AJ$503,488))</f>
        <v/>
      </c>
      <c r="K2491">
        <f>IF(LEN(INDEX('Providers'!$AI$4:$AI$503,488))=0,"",INDEX('Providers'!$AI$4:$AI$503,488))</f>
        <v/>
      </c>
    </row>
    <row r="2492">
      <c r="A2492">
        <f>IF(AND(LEN('Providers'!A492)&gt;0,ISNUMBER('Providers'!Q492)),1,0)</f>
        <v/>
      </c>
      <c r="B2492">
        <f>B2491+A2492</f>
        <v/>
      </c>
      <c r="C2492">
        <f>IF(2489&gt;$B$4503,"",MATCH(2489-0.5,$B$3:$B$4503,1))</f>
        <v/>
      </c>
      <c r="D2492">
        <f>"Malpractice insurance – "&amp;IF(LEN(INDEX('Providers'!$A$4:$A$503,489))=0,"",INDEX('Providers'!$A$4:$A$503,489))</f>
        <v/>
      </c>
      <c r="E2492">
        <f>IF(ISNUMBER(INDEX('Providers'!$Q$4:$Q$503,489)),TEXT(INDEX('Providers'!$Q$4:$Q$503,489),"yyyy-mm-dd"),"")</f>
        <v/>
      </c>
      <c r="F2492">
        <f>"Insurance"</f>
        <v/>
      </c>
      <c r="G2492">
        <f>""</f>
        <v/>
      </c>
      <c r="H2492">
        <f>"High"</f>
        <v/>
      </c>
      <c r="I2492">
        <f>TRIM(IF(LEN(IF(LEN(INDEX('Providers'!$N$4:$N$503,489))=0,"",INDEX('Providers'!$N$4:$N$503,489)))=0,"","Carrier: "&amp;IF(LEN(INDEX('Providers'!$N$4:$N$503,489))=0,"",INDEX('Providers'!$N$4:$N$503,489))&amp;". ")&amp;IF(LEN(IF(LEN(INDEX('Providers'!$O$4:$O$503,489))=0,"",INDEX('Providers'!$O$4:$O$503,489)))=0,"","Policy no.: "&amp;IF(LEN(INDEX('Providers'!$O$4:$O$503,489))=0,"",INDEX('Providers'!$O$4:$O$503,489))&amp;". ")&amp;IF(LEN(IF(LEN(INDEX('Providers'!$P$4:$P$503,489))=0,"",INDEX('Providers'!$P$4:$P$503,489)))=0,"","Coverage form: "&amp;IF(LEN(INDEX('Providers'!$P$4:$P$503,489))=0,"",INDEX('Providers'!$P$4:$P$503,489))&amp;". "))</f>
        <v/>
      </c>
      <c r="J2492">
        <f>IF(LEN(INDEX('Providers'!$AJ$4:$AJ$503,489))=0,"",INDEX('Providers'!$AJ$4:$AJ$503,489))</f>
        <v/>
      </c>
      <c r="K2492">
        <f>IF(LEN(INDEX('Providers'!$AI$4:$AI$503,489))=0,"",INDEX('Providers'!$AI$4:$AI$503,489))</f>
        <v/>
      </c>
    </row>
    <row r="2493">
      <c r="A2493">
        <f>IF(AND(LEN('Providers'!A493)&gt;0,ISNUMBER('Providers'!Q493)),1,0)</f>
        <v/>
      </c>
      <c r="B2493">
        <f>B2492+A2493</f>
        <v/>
      </c>
      <c r="C2493">
        <f>IF(2490&gt;$B$4503,"",MATCH(2490-0.5,$B$3:$B$4503,1))</f>
        <v/>
      </c>
      <c r="D2493">
        <f>"Malpractice insurance – "&amp;IF(LEN(INDEX('Providers'!$A$4:$A$503,490))=0,"",INDEX('Providers'!$A$4:$A$503,490))</f>
        <v/>
      </c>
      <c r="E2493">
        <f>IF(ISNUMBER(INDEX('Providers'!$Q$4:$Q$503,490)),TEXT(INDEX('Providers'!$Q$4:$Q$503,490),"yyyy-mm-dd"),"")</f>
        <v/>
      </c>
      <c r="F2493">
        <f>"Insurance"</f>
        <v/>
      </c>
      <c r="G2493">
        <f>""</f>
        <v/>
      </c>
      <c r="H2493">
        <f>"High"</f>
        <v/>
      </c>
      <c r="I2493">
        <f>TRIM(IF(LEN(IF(LEN(INDEX('Providers'!$N$4:$N$503,490))=0,"",INDEX('Providers'!$N$4:$N$503,490)))=0,"","Carrier: "&amp;IF(LEN(INDEX('Providers'!$N$4:$N$503,490))=0,"",INDEX('Providers'!$N$4:$N$503,490))&amp;". ")&amp;IF(LEN(IF(LEN(INDEX('Providers'!$O$4:$O$503,490))=0,"",INDEX('Providers'!$O$4:$O$503,490)))=0,"","Policy no.: "&amp;IF(LEN(INDEX('Providers'!$O$4:$O$503,490))=0,"",INDEX('Providers'!$O$4:$O$503,490))&amp;". ")&amp;IF(LEN(IF(LEN(INDEX('Providers'!$P$4:$P$503,490))=0,"",INDEX('Providers'!$P$4:$P$503,490)))=0,"","Coverage form: "&amp;IF(LEN(INDEX('Providers'!$P$4:$P$503,490))=0,"",INDEX('Providers'!$P$4:$P$503,490))&amp;". "))</f>
        <v/>
      </c>
      <c r="J2493">
        <f>IF(LEN(INDEX('Providers'!$AJ$4:$AJ$503,490))=0,"",INDEX('Providers'!$AJ$4:$AJ$503,490))</f>
        <v/>
      </c>
      <c r="K2493">
        <f>IF(LEN(INDEX('Providers'!$AI$4:$AI$503,490))=0,"",INDEX('Providers'!$AI$4:$AI$503,490))</f>
        <v/>
      </c>
    </row>
    <row r="2494">
      <c r="A2494">
        <f>IF(AND(LEN('Providers'!A494)&gt;0,ISNUMBER('Providers'!Q494)),1,0)</f>
        <v/>
      </c>
      <c r="B2494">
        <f>B2493+A2494</f>
        <v/>
      </c>
      <c r="C2494">
        <f>IF(2491&gt;$B$4503,"",MATCH(2491-0.5,$B$3:$B$4503,1))</f>
        <v/>
      </c>
      <c r="D2494">
        <f>"Malpractice insurance – "&amp;IF(LEN(INDEX('Providers'!$A$4:$A$503,491))=0,"",INDEX('Providers'!$A$4:$A$503,491))</f>
        <v/>
      </c>
      <c r="E2494">
        <f>IF(ISNUMBER(INDEX('Providers'!$Q$4:$Q$503,491)),TEXT(INDEX('Providers'!$Q$4:$Q$503,491),"yyyy-mm-dd"),"")</f>
        <v/>
      </c>
      <c r="F2494">
        <f>"Insurance"</f>
        <v/>
      </c>
      <c r="G2494">
        <f>""</f>
        <v/>
      </c>
      <c r="H2494">
        <f>"High"</f>
        <v/>
      </c>
      <c r="I2494">
        <f>TRIM(IF(LEN(IF(LEN(INDEX('Providers'!$N$4:$N$503,491))=0,"",INDEX('Providers'!$N$4:$N$503,491)))=0,"","Carrier: "&amp;IF(LEN(INDEX('Providers'!$N$4:$N$503,491))=0,"",INDEX('Providers'!$N$4:$N$503,491))&amp;". ")&amp;IF(LEN(IF(LEN(INDEX('Providers'!$O$4:$O$503,491))=0,"",INDEX('Providers'!$O$4:$O$503,491)))=0,"","Policy no.: "&amp;IF(LEN(INDEX('Providers'!$O$4:$O$503,491))=0,"",INDEX('Providers'!$O$4:$O$503,491))&amp;". ")&amp;IF(LEN(IF(LEN(INDEX('Providers'!$P$4:$P$503,491))=0,"",INDEX('Providers'!$P$4:$P$503,491)))=0,"","Coverage form: "&amp;IF(LEN(INDEX('Providers'!$P$4:$P$503,491))=0,"",INDEX('Providers'!$P$4:$P$503,491))&amp;". "))</f>
        <v/>
      </c>
      <c r="J2494">
        <f>IF(LEN(INDEX('Providers'!$AJ$4:$AJ$503,491))=0,"",INDEX('Providers'!$AJ$4:$AJ$503,491))</f>
        <v/>
      </c>
      <c r="K2494">
        <f>IF(LEN(INDEX('Providers'!$AI$4:$AI$503,491))=0,"",INDEX('Providers'!$AI$4:$AI$503,491))</f>
        <v/>
      </c>
    </row>
    <row r="2495">
      <c r="A2495">
        <f>IF(AND(LEN('Providers'!A495)&gt;0,ISNUMBER('Providers'!Q495)),1,0)</f>
        <v/>
      </c>
      <c r="B2495">
        <f>B2494+A2495</f>
        <v/>
      </c>
      <c r="C2495">
        <f>IF(2492&gt;$B$4503,"",MATCH(2492-0.5,$B$3:$B$4503,1))</f>
        <v/>
      </c>
      <c r="D2495">
        <f>"Malpractice insurance – "&amp;IF(LEN(INDEX('Providers'!$A$4:$A$503,492))=0,"",INDEX('Providers'!$A$4:$A$503,492))</f>
        <v/>
      </c>
      <c r="E2495">
        <f>IF(ISNUMBER(INDEX('Providers'!$Q$4:$Q$503,492)),TEXT(INDEX('Providers'!$Q$4:$Q$503,492),"yyyy-mm-dd"),"")</f>
        <v/>
      </c>
      <c r="F2495">
        <f>"Insurance"</f>
        <v/>
      </c>
      <c r="G2495">
        <f>""</f>
        <v/>
      </c>
      <c r="H2495">
        <f>"High"</f>
        <v/>
      </c>
      <c r="I2495">
        <f>TRIM(IF(LEN(IF(LEN(INDEX('Providers'!$N$4:$N$503,492))=0,"",INDEX('Providers'!$N$4:$N$503,492)))=0,"","Carrier: "&amp;IF(LEN(INDEX('Providers'!$N$4:$N$503,492))=0,"",INDEX('Providers'!$N$4:$N$503,492))&amp;". ")&amp;IF(LEN(IF(LEN(INDEX('Providers'!$O$4:$O$503,492))=0,"",INDEX('Providers'!$O$4:$O$503,492)))=0,"","Policy no.: "&amp;IF(LEN(INDEX('Providers'!$O$4:$O$503,492))=0,"",INDEX('Providers'!$O$4:$O$503,492))&amp;". ")&amp;IF(LEN(IF(LEN(INDEX('Providers'!$P$4:$P$503,492))=0,"",INDEX('Providers'!$P$4:$P$503,492)))=0,"","Coverage form: "&amp;IF(LEN(INDEX('Providers'!$P$4:$P$503,492))=0,"",INDEX('Providers'!$P$4:$P$503,492))&amp;". "))</f>
        <v/>
      </c>
      <c r="J2495">
        <f>IF(LEN(INDEX('Providers'!$AJ$4:$AJ$503,492))=0,"",INDEX('Providers'!$AJ$4:$AJ$503,492))</f>
        <v/>
      </c>
      <c r="K2495">
        <f>IF(LEN(INDEX('Providers'!$AI$4:$AI$503,492))=0,"",INDEX('Providers'!$AI$4:$AI$503,492))</f>
        <v/>
      </c>
    </row>
    <row r="2496">
      <c r="A2496">
        <f>IF(AND(LEN('Providers'!A496)&gt;0,ISNUMBER('Providers'!Q496)),1,0)</f>
        <v/>
      </c>
      <c r="B2496">
        <f>B2495+A2496</f>
        <v/>
      </c>
      <c r="C2496">
        <f>IF(2493&gt;$B$4503,"",MATCH(2493-0.5,$B$3:$B$4503,1))</f>
        <v/>
      </c>
      <c r="D2496">
        <f>"Malpractice insurance – "&amp;IF(LEN(INDEX('Providers'!$A$4:$A$503,493))=0,"",INDEX('Providers'!$A$4:$A$503,493))</f>
        <v/>
      </c>
      <c r="E2496">
        <f>IF(ISNUMBER(INDEX('Providers'!$Q$4:$Q$503,493)),TEXT(INDEX('Providers'!$Q$4:$Q$503,493),"yyyy-mm-dd"),"")</f>
        <v/>
      </c>
      <c r="F2496">
        <f>"Insurance"</f>
        <v/>
      </c>
      <c r="G2496">
        <f>""</f>
        <v/>
      </c>
      <c r="H2496">
        <f>"High"</f>
        <v/>
      </c>
      <c r="I2496">
        <f>TRIM(IF(LEN(IF(LEN(INDEX('Providers'!$N$4:$N$503,493))=0,"",INDEX('Providers'!$N$4:$N$503,493)))=0,"","Carrier: "&amp;IF(LEN(INDEX('Providers'!$N$4:$N$503,493))=0,"",INDEX('Providers'!$N$4:$N$503,493))&amp;". ")&amp;IF(LEN(IF(LEN(INDEX('Providers'!$O$4:$O$503,493))=0,"",INDEX('Providers'!$O$4:$O$503,493)))=0,"","Policy no.: "&amp;IF(LEN(INDEX('Providers'!$O$4:$O$503,493))=0,"",INDEX('Providers'!$O$4:$O$503,493))&amp;". ")&amp;IF(LEN(IF(LEN(INDEX('Providers'!$P$4:$P$503,493))=0,"",INDEX('Providers'!$P$4:$P$503,493)))=0,"","Coverage form: "&amp;IF(LEN(INDEX('Providers'!$P$4:$P$503,493))=0,"",INDEX('Providers'!$P$4:$P$503,493))&amp;". "))</f>
        <v/>
      </c>
      <c r="J2496">
        <f>IF(LEN(INDEX('Providers'!$AJ$4:$AJ$503,493))=0,"",INDEX('Providers'!$AJ$4:$AJ$503,493))</f>
        <v/>
      </c>
      <c r="K2496">
        <f>IF(LEN(INDEX('Providers'!$AI$4:$AI$503,493))=0,"",INDEX('Providers'!$AI$4:$AI$503,493))</f>
        <v/>
      </c>
    </row>
    <row r="2497">
      <c r="A2497">
        <f>IF(AND(LEN('Providers'!A497)&gt;0,ISNUMBER('Providers'!Q497)),1,0)</f>
        <v/>
      </c>
      <c r="B2497">
        <f>B2496+A2497</f>
        <v/>
      </c>
      <c r="C2497">
        <f>IF(2494&gt;$B$4503,"",MATCH(2494-0.5,$B$3:$B$4503,1))</f>
        <v/>
      </c>
      <c r="D2497">
        <f>"Malpractice insurance – "&amp;IF(LEN(INDEX('Providers'!$A$4:$A$503,494))=0,"",INDEX('Providers'!$A$4:$A$503,494))</f>
        <v/>
      </c>
      <c r="E2497">
        <f>IF(ISNUMBER(INDEX('Providers'!$Q$4:$Q$503,494)),TEXT(INDEX('Providers'!$Q$4:$Q$503,494),"yyyy-mm-dd"),"")</f>
        <v/>
      </c>
      <c r="F2497">
        <f>"Insurance"</f>
        <v/>
      </c>
      <c r="G2497">
        <f>""</f>
        <v/>
      </c>
      <c r="H2497">
        <f>"High"</f>
        <v/>
      </c>
      <c r="I2497">
        <f>TRIM(IF(LEN(IF(LEN(INDEX('Providers'!$N$4:$N$503,494))=0,"",INDEX('Providers'!$N$4:$N$503,494)))=0,"","Carrier: "&amp;IF(LEN(INDEX('Providers'!$N$4:$N$503,494))=0,"",INDEX('Providers'!$N$4:$N$503,494))&amp;". ")&amp;IF(LEN(IF(LEN(INDEX('Providers'!$O$4:$O$503,494))=0,"",INDEX('Providers'!$O$4:$O$503,494)))=0,"","Policy no.: "&amp;IF(LEN(INDEX('Providers'!$O$4:$O$503,494))=0,"",INDEX('Providers'!$O$4:$O$503,494))&amp;". ")&amp;IF(LEN(IF(LEN(INDEX('Providers'!$P$4:$P$503,494))=0,"",INDEX('Providers'!$P$4:$P$503,494)))=0,"","Coverage form: "&amp;IF(LEN(INDEX('Providers'!$P$4:$P$503,494))=0,"",INDEX('Providers'!$P$4:$P$503,494))&amp;". "))</f>
        <v/>
      </c>
      <c r="J2497">
        <f>IF(LEN(INDEX('Providers'!$AJ$4:$AJ$503,494))=0,"",INDEX('Providers'!$AJ$4:$AJ$503,494))</f>
        <v/>
      </c>
      <c r="K2497">
        <f>IF(LEN(INDEX('Providers'!$AI$4:$AI$503,494))=0,"",INDEX('Providers'!$AI$4:$AI$503,494))</f>
        <v/>
      </c>
    </row>
    <row r="2498">
      <c r="A2498">
        <f>IF(AND(LEN('Providers'!A498)&gt;0,ISNUMBER('Providers'!Q498)),1,0)</f>
        <v/>
      </c>
      <c r="B2498">
        <f>B2497+A2498</f>
        <v/>
      </c>
      <c r="C2498">
        <f>IF(2495&gt;$B$4503,"",MATCH(2495-0.5,$B$3:$B$4503,1))</f>
        <v/>
      </c>
      <c r="D2498">
        <f>"Malpractice insurance – "&amp;IF(LEN(INDEX('Providers'!$A$4:$A$503,495))=0,"",INDEX('Providers'!$A$4:$A$503,495))</f>
        <v/>
      </c>
      <c r="E2498">
        <f>IF(ISNUMBER(INDEX('Providers'!$Q$4:$Q$503,495)),TEXT(INDEX('Providers'!$Q$4:$Q$503,495),"yyyy-mm-dd"),"")</f>
        <v/>
      </c>
      <c r="F2498">
        <f>"Insurance"</f>
        <v/>
      </c>
      <c r="G2498">
        <f>""</f>
        <v/>
      </c>
      <c r="H2498">
        <f>"High"</f>
        <v/>
      </c>
      <c r="I2498">
        <f>TRIM(IF(LEN(IF(LEN(INDEX('Providers'!$N$4:$N$503,495))=0,"",INDEX('Providers'!$N$4:$N$503,495)))=0,"","Carrier: "&amp;IF(LEN(INDEX('Providers'!$N$4:$N$503,495))=0,"",INDEX('Providers'!$N$4:$N$503,495))&amp;". ")&amp;IF(LEN(IF(LEN(INDEX('Providers'!$O$4:$O$503,495))=0,"",INDEX('Providers'!$O$4:$O$503,495)))=0,"","Policy no.: "&amp;IF(LEN(INDEX('Providers'!$O$4:$O$503,495))=0,"",INDEX('Providers'!$O$4:$O$503,495))&amp;". ")&amp;IF(LEN(IF(LEN(INDEX('Providers'!$P$4:$P$503,495))=0,"",INDEX('Providers'!$P$4:$P$503,495)))=0,"","Coverage form: "&amp;IF(LEN(INDEX('Providers'!$P$4:$P$503,495))=0,"",INDEX('Providers'!$P$4:$P$503,495))&amp;". "))</f>
        <v/>
      </c>
      <c r="J2498">
        <f>IF(LEN(INDEX('Providers'!$AJ$4:$AJ$503,495))=0,"",INDEX('Providers'!$AJ$4:$AJ$503,495))</f>
        <v/>
      </c>
      <c r="K2498">
        <f>IF(LEN(INDEX('Providers'!$AI$4:$AI$503,495))=0,"",INDEX('Providers'!$AI$4:$AI$503,495))</f>
        <v/>
      </c>
    </row>
    <row r="2499">
      <c r="A2499">
        <f>IF(AND(LEN('Providers'!A499)&gt;0,ISNUMBER('Providers'!Q499)),1,0)</f>
        <v/>
      </c>
      <c r="B2499">
        <f>B2498+A2499</f>
        <v/>
      </c>
      <c r="C2499">
        <f>IF(2496&gt;$B$4503,"",MATCH(2496-0.5,$B$3:$B$4503,1))</f>
        <v/>
      </c>
      <c r="D2499">
        <f>"Malpractice insurance – "&amp;IF(LEN(INDEX('Providers'!$A$4:$A$503,496))=0,"",INDEX('Providers'!$A$4:$A$503,496))</f>
        <v/>
      </c>
      <c r="E2499">
        <f>IF(ISNUMBER(INDEX('Providers'!$Q$4:$Q$503,496)),TEXT(INDEX('Providers'!$Q$4:$Q$503,496),"yyyy-mm-dd"),"")</f>
        <v/>
      </c>
      <c r="F2499">
        <f>"Insurance"</f>
        <v/>
      </c>
      <c r="G2499">
        <f>""</f>
        <v/>
      </c>
      <c r="H2499">
        <f>"High"</f>
        <v/>
      </c>
      <c r="I2499">
        <f>TRIM(IF(LEN(IF(LEN(INDEX('Providers'!$N$4:$N$503,496))=0,"",INDEX('Providers'!$N$4:$N$503,496)))=0,"","Carrier: "&amp;IF(LEN(INDEX('Providers'!$N$4:$N$503,496))=0,"",INDEX('Providers'!$N$4:$N$503,496))&amp;". ")&amp;IF(LEN(IF(LEN(INDEX('Providers'!$O$4:$O$503,496))=0,"",INDEX('Providers'!$O$4:$O$503,496)))=0,"","Policy no.: "&amp;IF(LEN(INDEX('Providers'!$O$4:$O$503,496))=0,"",INDEX('Providers'!$O$4:$O$503,496))&amp;". ")&amp;IF(LEN(IF(LEN(INDEX('Providers'!$P$4:$P$503,496))=0,"",INDEX('Providers'!$P$4:$P$503,496)))=0,"","Coverage form: "&amp;IF(LEN(INDEX('Providers'!$P$4:$P$503,496))=0,"",INDEX('Providers'!$P$4:$P$503,496))&amp;". "))</f>
        <v/>
      </c>
      <c r="J2499">
        <f>IF(LEN(INDEX('Providers'!$AJ$4:$AJ$503,496))=0,"",INDEX('Providers'!$AJ$4:$AJ$503,496))</f>
        <v/>
      </c>
      <c r="K2499">
        <f>IF(LEN(INDEX('Providers'!$AI$4:$AI$503,496))=0,"",INDEX('Providers'!$AI$4:$AI$503,496))</f>
        <v/>
      </c>
    </row>
    <row r="2500">
      <c r="A2500">
        <f>IF(AND(LEN('Providers'!A500)&gt;0,ISNUMBER('Providers'!Q500)),1,0)</f>
        <v/>
      </c>
      <c r="B2500">
        <f>B2499+A2500</f>
        <v/>
      </c>
      <c r="C2500">
        <f>IF(2497&gt;$B$4503,"",MATCH(2497-0.5,$B$3:$B$4503,1))</f>
        <v/>
      </c>
      <c r="D2500">
        <f>"Malpractice insurance – "&amp;IF(LEN(INDEX('Providers'!$A$4:$A$503,497))=0,"",INDEX('Providers'!$A$4:$A$503,497))</f>
        <v/>
      </c>
      <c r="E2500">
        <f>IF(ISNUMBER(INDEX('Providers'!$Q$4:$Q$503,497)),TEXT(INDEX('Providers'!$Q$4:$Q$503,497),"yyyy-mm-dd"),"")</f>
        <v/>
      </c>
      <c r="F2500">
        <f>"Insurance"</f>
        <v/>
      </c>
      <c r="G2500">
        <f>""</f>
        <v/>
      </c>
      <c r="H2500">
        <f>"High"</f>
        <v/>
      </c>
      <c r="I2500">
        <f>TRIM(IF(LEN(IF(LEN(INDEX('Providers'!$N$4:$N$503,497))=0,"",INDEX('Providers'!$N$4:$N$503,497)))=0,"","Carrier: "&amp;IF(LEN(INDEX('Providers'!$N$4:$N$503,497))=0,"",INDEX('Providers'!$N$4:$N$503,497))&amp;". ")&amp;IF(LEN(IF(LEN(INDEX('Providers'!$O$4:$O$503,497))=0,"",INDEX('Providers'!$O$4:$O$503,497)))=0,"","Policy no.: "&amp;IF(LEN(INDEX('Providers'!$O$4:$O$503,497))=0,"",INDEX('Providers'!$O$4:$O$503,497))&amp;". ")&amp;IF(LEN(IF(LEN(INDEX('Providers'!$P$4:$P$503,497))=0,"",INDEX('Providers'!$P$4:$P$503,497)))=0,"","Coverage form: "&amp;IF(LEN(INDEX('Providers'!$P$4:$P$503,497))=0,"",INDEX('Providers'!$P$4:$P$503,497))&amp;". "))</f>
        <v/>
      </c>
      <c r="J2500">
        <f>IF(LEN(INDEX('Providers'!$AJ$4:$AJ$503,497))=0,"",INDEX('Providers'!$AJ$4:$AJ$503,497))</f>
        <v/>
      </c>
      <c r="K2500">
        <f>IF(LEN(INDEX('Providers'!$AI$4:$AI$503,497))=0,"",INDEX('Providers'!$AI$4:$AI$503,497))</f>
        <v/>
      </c>
    </row>
    <row r="2501">
      <c r="A2501">
        <f>IF(AND(LEN('Providers'!A501)&gt;0,ISNUMBER('Providers'!Q501)),1,0)</f>
        <v/>
      </c>
      <c r="B2501">
        <f>B2500+A2501</f>
        <v/>
      </c>
      <c r="C2501">
        <f>IF(2498&gt;$B$4503,"",MATCH(2498-0.5,$B$3:$B$4503,1))</f>
        <v/>
      </c>
      <c r="D2501">
        <f>"Malpractice insurance – "&amp;IF(LEN(INDEX('Providers'!$A$4:$A$503,498))=0,"",INDEX('Providers'!$A$4:$A$503,498))</f>
        <v/>
      </c>
      <c r="E2501">
        <f>IF(ISNUMBER(INDEX('Providers'!$Q$4:$Q$503,498)),TEXT(INDEX('Providers'!$Q$4:$Q$503,498),"yyyy-mm-dd"),"")</f>
        <v/>
      </c>
      <c r="F2501">
        <f>"Insurance"</f>
        <v/>
      </c>
      <c r="G2501">
        <f>""</f>
        <v/>
      </c>
      <c r="H2501">
        <f>"High"</f>
        <v/>
      </c>
      <c r="I2501">
        <f>TRIM(IF(LEN(IF(LEN(INDEX('Providers'!$N$4:$N$503,498))=0,"",INDEX('Providers'!$N$4:$N$503,498)))=0,"","Carrier: "&amp;IF(LEN(INDEX('Providers'!$N$4:$N$503,498))=0,"",INDEX('Providers'!$N$4:$N$503,498))&amp;". ")&amp;IF(LEN(IF(LEN(INDEX('Providers'!$O$4:$O$503,498))=0,"",INDEX('Providers'!$O$4:$O$503,498)))=0,"","Policy no.: "&amp;IF(LEN(INDEX('Providers'!$O$4:$O$503,498))=0,"",INDEX('Providers'!$O$4:$O$503,498))&amp;". ")&amp;IF(LEN(IF(LEN(INDEX('Providers'!$P$4:$P$503,498))=0,"",INDEX('Providers'!$P$4:$P$503,498)))=0,"","Coverage form: "&amp;IF(LEN(INDEX('Providers'!$P$4:$P$503,498))=0,"",INDEX('Providers'!$P$4:$P$503,498))&amp;". "))</f>
        <v/>
      </c>
      <c r="J2501">
        <f>IF(LEN(INDEX('Providers'!$AJ$4:$AJ$503,498))=0,"",INDEX('Providers'!$AJ$4:$AJ$503,498))</f>
        <v/>
      </c>
      <c r="K2501">
        <f>IF(LEN(INDEX('Providers'!$AI$4:$AI$503,498))=0,"",INDEX('Providers'!$AI$4:$AI$503,498))</f>
        <v/>
      </c>
    </row>
    <row r="2502">
      <c r="A2502">
        <f>IF(AND(LEN('Providers'!A502)&gt;0,ISNUMBER('Providers'!Q502)),1,0)</f>
        <v/>
      </c>
      <c r="B2502">
        <f>B2501+A2502</f>
        <v/>
      </c>
      <c r="C2502">
        <f>IF(2499&gt;$B$4503,"",MATCH(2499-0.5,$B$3:$B$4503,1))</f>
        <v/>
      </c>
      <c r="D2502">
        <f>"Malpractice insurance – "&amp;IF(LEN(INDEX('Providers'!$A$4:$A$503,499))=0,"",INDEX('Providers'!$A$4:$A$503,499))</f>
        <v/>
      </c>
      <c r="E2502">
        <f>IF(ISNUMBER(INDEX('Providers'!$Q$4:$Q$503,499)),TEXT(INDEX('Providers'!$Q$4:$Q$503,499),"yyyy-mm-dd"),"")</f>
        <v/>
      </c>
      <c r="F2502">
        <f>"Insurance"</f>
        <v/>
      </c>
      <c r="G2502">
        <f>""</f>
        <v/>
      </c>
      <c r="H2502">
        <f>"High"</f>
        <v/>
      </c>
      <c r="I2502">
        <f>TRIM(IF(LEN(IF(LEN(INDEX('Providers'!$N$4:$N$503,499))=0,"",INDEX('Providers'!$N$4:$N$503,499)))=0,"","Carrier: "&amp;IF(LEN(INDEX('Providers'!$N$4:$N$503,499))=0,"",INDEX('Providers'!$N$4:$N$503,499))&amp;". ")&amp;IF(LEN(IF(LEN(INDEX('Providers'!$O$4:$O$503,499))=0,"",INDEX('Providers'!$O$4:$O$503,499)))=0,"","Policy no.: "&amp;IF(LEN(INDEX('Providers'!$O$4:$O$503,499))=0,"",INDEX('Providers'!$O$4:$O$503,499))&amp;". ")&amp;IF(LEN(IF(LEN(INDEX('Providers'!$P$4:$P$503,499))=0,"",INDEX('Providers'!$P$4:$P$503,499)))=0,"","Coverage form: "&amp;IF(LEN(INDEX('Providers'!$P$4:$P$503,499))=0,"",INDEX('Providers'!$P$4:$P$503,499))&amp;". "))</f>
        <v/>
      </c>
      <c r="J2502">
        <f>IF(LEN(INDEX('Providers'!$AJ$4:$AJ$503,499))=0,"",INDEX('Providers'!$AJ$4:$AJ$503,499))</f>
        <v/>
      </c>
      <c r="K2502">
        <f>IF(LEN(INDEX('Providers'!$AI$4:$AI$503,499))=0,"",INDEX('Providers'!$AI$4:$AI$503,499))</f>
        <v/>
      </c>
    </row>
    <row r="2503">
      <c r="A2503">
        <f>IF(AND(LEN('Providers'!A503)&gt;0,ISNUMBER('Providers'!Q503)),1,0)</f>
        <v/>
      </c>
      <c r="B2503">
        <f>B2502+A2503</f>
        <v/>
      </c>
      <c r="C2503">
        <f>IF(2500&gt;$B$4503,"",MATCH(2500-0.5,$B$3:$B$4503,1))</f>
        <v/>
      </c>
      <c r="D2503">
        <f>"Malpractice insurance – "&amp;IF(LEN(INDEX('Providers'!$A$4:$A$503,500))=0,"",INDEX('Providers'!$A$4:$A$503,500))</f>
        <v/>
      </c>
      <c r="E2503">
        <f>IF(ISNUMBER(INDEX('Providers'!$Q$4:$Q$503,500)),TEXT(INDEX('Providers'!$Q$4:$Q$503,500),"yyyy-mm-dd"),"")</f>
        <v/>
      </c>
      <c r="F2503">
        <f>"Insurance"</f>
        <v/>
      </c>
      <c r="G2503">
        <f>""</f>
        <v/>
      </c>
      <c r="H2503">
        <f>"High"</f>
        <v/>
      </c>
      <c r="I2503">
        <f>TRIM(IF(LEN(IF(LEN(INDEX('Providers'!$N$4:$N$503,500))=0,"",INDEX('Providers'!$N$4:$N$503,500)))=0,"","Carrier: "&amp;IF(LEN(INDEX('Providers'!$N$4:$N$503,500))=0,"",INDEX('Providers'!$N$4:$N$503,500))&amp;". ")&amp;IF(LEN(IF(LEN(INDEX('Providers'!$O$4:$O$503,500))=0,"",INDEX('Providers'!$O$4:$O$503,500)))=0,"","Policy no.: "&amp;IF(LEN(INDEX('Providers'!$O$4:$O$503,500))=0,"",INDEX('Providers'!$O$4:$O$503,500))&amp;". ")&amp;IF(LEN(IF(LEN(INDEX('Providers'!$P$4:$P$503,500))=0,"",INDEX('Providers'!$P$4:$P$503,500)))=0,"","Coverage form: "&amp;IF(LEN(INDEX('Providers'!$P$4:$P$503,500))=0,"",INDEX('Providers'!$P$4:$P$503,500))&amp;". "))</f>
        <v/>
      </c>
      <c r="J2503">
        <f>IF(LEN(INDEX('Providers'!$AJ$4:$AJ$503,500))=0,"",INDEX('Providers'!$AJ$4:$AJ$503,500))</f>
        <v/>
      </c>
      <c r="K2503">
        <f>IF(LEN(INDEX('Providers'!$AI$4:$AI$503,500))=0,"",INDEX('Providers'!$AI$4:$AI$503,500))</f>
        <v/>
      </c>
    </row>
    <row r="2504">
      <c r="A2504">
        <f>IF(AND(LEN('Providers'!A4)&gt;0,ISNUMBER('Providers'!S4)),1,0)</f>
        <v/>
      </c>
      <c r="B2504">
        <f>B2503+A2504</f>
        <v/>
      </c>
      <c r="C2504">
        <f>IF(2501&gt;$B$4503,"",MATCH(2501-0.5,$B$3:$B$4503,1))</f>
        <v/>
      </c>
      <c r="D2504">
        <f>"Life support ("&amp;IF(LEN(INDEX('Providers'!$R$4:$R$503,1))=0,"",INDEX('Providers'!$R$4:$R$503,1))&amp;") – "&amp;IF(LEN(INDEX('Providers'!$A$4:$A$503,1))=0,"",INDEX('Providers'!$A$4:$A$503,1))</f>
        <v/>
      </c>
      <c r="E2504">
        <f>IF(ISNUMBER(INDEX('Providers'!$S$4:$S$503,1)),TEXT(INDEX('Providers'!$S$4:$S$503,1),"yyyy-mm-dd"),"")</f>
        <v/>
      </c>
      <c r="F2504">
        <f>"Certification"</f>
        <v/>
      </c>
      <c r="G2504">
        <f>""</f>
        <v/>
      </c>
      <c r="H2504">
        <f>"Medium"</f>
        <v/>
      </c>
      <c r="I2504">
        <f>TRIM(IF(LEN(IF(LEN(INDEX('Providers'!$R$4:$R$503,1))=0,"",INDEX('Providers'!$R$4:$R$503,1)))=0,"","Card: "&amp;IF(LEN(INDEX('Providers'!$R$4:$R$503,1))=0,"",INDEX('Providers'!$R$4:$R$503,1))&amp;". "))</f>
        <v/>
      </c>
      <c r="J2504">
        <f>IF(LEN(INDEX('Providers'!$AJ$4:$AJ$503,1))=0,"",INDEX('Providers'!$AJ$4:$AJ$503,1))</f>
        <v/>
      </c>
      <c r="K2504">
        <f>IF(LEN(INDEX('Providers'!$AI$4:$AI$503,1))=0,"",INDEX('Providers'!$AI$4:$AI$503,1))</f>
        <v/>
      </c>
    </row>
    <row r="2505">
      <c r="A2505">
        <f>IF(AND(LEN('Providers'!A5)&gt;0,ISNUMBER('Providers'!S5)),1,0)</f>
        <v/>
      </c>
      <c r="B2505">
        <f>B2504+A2505</f>
        <v/>
      </c>
      <c r="C2505">
        <f>IF(2502&gt;$B$4503,"",MATCH(2502-0.5,$B$3:$B$4503,1))</f>
        <v/>
      </c>
      <c r="D2505">
        <f>"Life support ("&amp;IF(LEN(INDEX('Providers'!$R$4:$R$503,2))=0,"",INDEX('Providers'!$R$4:$R$503,2))&amp;") – "&amp;IF(LEN(INDEX('Providers'!$A$4:$A$503,2))=0,"",INDEX('Providers'!$A$4:$A$503,2))</f>
        <v/>
      </c>
      <c r="E2505">
        <f>IF(ISNUMBER(INDEX('Providers'!$S$4:$S$503,2)),TEXT(INDEX('Providers'!$S$4:$S$503,2),"yyyy-mm-dd"),"")</f>
        <v/>
      </c>
      <c r="F2505">
        <f>"Certification"</f>
        <v/>
      </c>
      <c r="G2505">
        <f>""</f>
        <v/>
      </c>
      <c r="H2505">
        <f>"Medium"</f>
        <v/>
      </c>
      <c r="I2505">
        <f>TRIM(IF(LEN(IF(LEN(INDEX('Providers'!$R$4:$R$503,2))=0,"",INDEX('Providers'!$R$4:$R$503,2)))=0,"","Card: "&amp;IF(LEN(INDEX('Providers'!$R$4:$R$503,2))=0,"",INDEX('Providers'!$R$4:$R$503,2))&amp;". "))</f>
        <v/>
      </c>
      <c r="J2505">
        <f>IF(LEN(INDEX('Providers'!$AJ$4:$AJ$503,2))=0,"",INDEX('Providers'!$AJ$4:$AJ$503,2))</f>
        <v/>
      </c>
      <c r="K2505">
        <f>IF(LEN(INDEX('Providers'!$AI$4:$AI$503,2))=0,"",INDEX('Providers'!$AI$4:$AI$503,2))</f>
        <v/>
      </c>
    </row>
    <row r="2506">
      <c r="A2506">
        <f>IF(AND(LEN('Providers'!A6)&gt;0,ISNUMBER('Providers'!S6)),1,0)</f>
        <v/>
      </c>
      <c r="B2506">
        <f>B2505+A2506</f>
        <v/>
      </c>
      <c r="C2506">
        <f>IF(2503&gt;$B$4503,"",MATCH(2503-0.5,$B$3:$B$4503,1))</f>
        <v/>
      </c>
      <c r="D2506">
        <f>"Life support ("&amp;IF(LEN(INDEX('Providers'!$R$4:$R$503,3))=0,"",INDEX('Providers'!$R$4:$R$503,3))&amp;") – "&amp;IF(LEN(INDEX('Providers'!$A$4:$A$503,3))=0,"",INDEX('Providers'!$A$4:$A$503,3))</f>
        <v/>
      </c>
      <c r="E2506">
        <f>IF(ISNUMBER(INDEX('Providers'!$S$4:$S$503,3)),TEXT(INDEX('Providers'!$S$4:$S$503,3),"yyyy-mm-dd"),"")</f>
        <v/>
      </c>
      <c r="F2506">
        <f>"Certification"</f>
        <v/>
      </c>
      <c r="G2506">
        <f>""</f>
        <v/>
      </c>
      <c r="H2506">
        <f>"Medium"</f>
        <v/>
      </c>
      <c r="I2506">
        <f>TRIM(IF(LEN(IF(LEN(INDEX('Providers'!$R$4:$R$503,3))=0,"",INDEX('Providers'!$R$4:$R$503,3)))=0,"","Card: "&amp;IF(LEN(INDEX('Providers'!$R$4:$R$503,3))=0,"",INDEX('Providers'!$R$4:$R$503,3))&amp;". "))</f>
        <v/>
      </c>
      <c r="J2506">
        <f>IF(LEN(INDEX('Providers'!$AJ$4:$AJ$503,3))=0,"",INDEX('Providers'!$AJ$4:$AJ$503,3))</f>
        <v/>
      </c>
      <c r="K2506">
        <f>IF(LEN(INDEX('Providers'!$AI$4:$AI$503,3))=0,"",INDEX('Providers'!$AI$4:$AI$503,3))</f>
        <v/>
      </c>
    </row>
    <row r="2507">
      <c r="A2507">
        <f>IF(AND(LEN('Providers'!A7)&gt;0,ISNUMBER('Providers'!S7)),1,0)</f>
        <v/>
      </c>
      <c r="B2507">
        <f>B2506+A2507</f>
        <v/>
      </c>
      <c r="C2507">
        <f>IF(2504&gt;$B$4503,"",MATCH(2504-0.5,$B$3:$B$4503,1))</f>
        <v/>
      </c>
      <c r="D2507">
        <f>"Life support ("&amp;IF(LEN(INDEX('Providers'!$R$4:$R$503,4))=0,"",INDEX('Providers'!$R$4:$R$503,4))&amp;") – "&amp;IF(LEN(INDEX('Providers'!$A$4:$A$503,4))=0,"",INDEX('Providers'!$A$4:$A$503,4))</f>
        <v/>
      </c>
      <c r="E2507">
        <f>IF(ISNUMBER(INDEX('Providers'!$S$4:$S$503,4)),TEXT(INDEX('Providers'!$S$4:$S$503,4),"yyyy-mm-dd"),"")</f>
        <v/>
      </c>
      <c r="F2507">
        <f>"Certification"</f>
        <v/>
      </c>
      <c r="G2507">
        <f>""</f>
        <v/>
      </c>
      <c r="H2507">
        <f>"Medium"</f>
        <v/>
      </c>
      <c r="I2507">
        <f>TRIM(IF(LEN(IF(LEN(INDEX('Providers'!$R$4:$R$503,4))=0,"",INDEX('Providers'!$R$4:$R$503,4)))=0,"","Card: "&amp;IF(LEN(INDEX('Providers'!$R$4:$R$503,4))=0,"",INDEX('Providers'!$R$4:$R$503,4))&amp;". "))</f>
        <v/>
      </c>
      <c r="J2507">
        <f>IF(LEN(INDEX('Providers'!$AJ$4:$AJ$503,4))=0,"",INDEX('Providers'!$AJ$4:$AJ$503,4))</f>
        <v/>
      </c>
      <c r="K2507">
        <f>IF(LEN(INDEX('Providers'!$AI$4:$AI$503,4))=0,"",INDEX('Providers'!$AI$4:$AI$503,4))</f>
        <v/>
      </c>
    </row>
    <row r="2508">
      <c r="A2508">
        <f>IF(AND(LEN('Providers'!A8)&gt;0,ISNUMBER('Providers'!S8)),1,0)</f>
        <v/>
      </c>
      <c r="B2508">
        <f>B2507+A2508</f>
        <v/>
      </c>
      <c r="C2508">
        <f>IF(2505&gt;$B$4503,"",MATCH(2505-0.5,$B$3:$B$4503,1))</f>
        <v/>
      </c>
      <c r="D2508">
        <f>"Life support ("&amp;IF(LEN(INDEX('Providers'!$R$4:$R$503,5))=0,"",INDEX('Providers'!$R$4:$R$503,5))&amp;") – "&amp;IF(LEN(INDEX('Providers'!$A$4:$A$503,5))=0,"",INDEX('Providers'!$A$4:$A$503,5))</f>
        <v/>
      </c>
      <c r="E2508">
        <f>IF(ISNUMBER(INDEX('Providers'!$S$4:$S$503,5)),TEXT(INDEX('Providers'!$S$4:$S$503,5),"yyyy-mm-dd"),"")</f>
        <v/>
      </c>
      <c r="F2508">
        <f>"Certification"</f>
        <v/>
      </c>
      <c r="G2508">
        <f>""</f>
        <v/>
      </c>
      <c r="H2508">
        <f>"Medium"</f>
        <v/>
      </c>
      <c r="I2508">
        <f>TRIM(IF(LEN(IF(LEN(INDEX('Providers'!$R$4:$R$503,5))=0,"",INDEX('Providers'!$R$4:$R$503,5)))=0,"","Card: "&amp;IF(LEN(INDEX('Providers'!$R$4:$R$503,5))=0,"",INDEX('Providers'!$R$4:$R$503,5))&amp;". "))</f>
        <v/>
      </c>
      <c r="J2508">
        <f>IF(LEN(INDEX('Providers'!$AJ$4:$AJ$503,5))=0,"",INDEX('Providers'!$AJ$4:$AJ$503,5))</f>
        <v/>
      </c>
      <c r="K2508">
        <f>IF(LEN(INDEX('Providers'!$AI$4:$AI$503,5))=0,"",INDEX('Providers'!$AI$4:$AI$503,5))</f>
        <v/>
      </c>
    </row>
    <row r="2509">
      <c r="A2509">
        <f>IF(AND(LEN('Providers'!A9)&gt;0,ISNUMBER('Providers'!S9)),1,0)</f>
        <v/>
      </c>
      <c r="B2509">
        <f>B2508+A2509</f>
        <v/>
      </c>
      <c r="C2509">
        <f>IF(2506&gt;$B$4503,"",MATCH(2506-0.5,$B$3:$B$4503,1))</f>
        <v/>
      </c>
      <c r="D2509">
        <f>"Life support ("&amp;IF(LEN(INDEX('Providers'!$R$4:$R$503,6))=0,"",INDEX('Providers'!$R$4:$R$503,6))&amp;") – "&amp;IF(LEN(INDEX('Providers'!$A$4:$A$503,6))=0,"",INDEX('Providers'!$A$4:$A$503,6))</f>
        <v/>
      </c>
      <c r="E2509">
        <f>IF(ISNUMBER(INDEX('Providers'!$S$4:$S$503,6)),TEXT(INDEX('Providers'!$S$4:$S$503,6),"yyyy-mm-dd"),"")</f>
        <v/>
      </c>
      <c r="F2509">
        <f>"Certification"</f>
        <v/>
      </c>
      <c r="G2509">
        <f>""</f>
        <v/>
      </c>
      <c r="H2509">
        <f>"Medium"</f>
        <v/>
      </c>
      <c r="I2509">
        <f>TRIM(IF(LEN(IF(LEN(INDEX('Providers'!$R$4:$R$503,6))=0,"",INDEX('Providers'!$R$4:$R$503,6)))=0,"","Card: "&amp;IF(LEN(INDEX('Providers'!$R$4:$R$503,6))=0,"",INDEX('Providers'!$R$4:$R$503,6))&amp;". "))</f>
        <v/>
      </c>
      <c r="J2509">
        <f>IF(LEN(INDEX('Providers'!$AJ$4:$AJ$503,6))=0,"",INDEX('Providers'!$AJ$4:$AJ$503,6))</f>
        <v/>
      </c>
      <c r="K2509">
        <f>IF(LEN(INDEX('Providers'!$AI$4:$AI$503,6))=0,"",INDEX('Providers'!$AI$4:$AI$503,6))</f>
        <v/>
      </c>
    </row>
    <row r="2510">
      <c r="A2510">
        <f>IF(AND(LEN('Providers'!A10)&gt;0,ISNUMBER('Providers'!S10)),1,0)</f>
        <v/>
      </c>
      <c r="B2510">
        <f>B2509+A2510</f>
        <v/>
      </c>
      <c r="C2510">
        <f>IF(2507&gt;$B$4503,"",MATCH(2507-0.5,$B$3:$B$4503,1))</f>
        <v/>
      </c>
      <c r="D2510">
        <f>"Life support ("&amp;IF(LEN(INDEX('Providers'!$R$4:$R$503,7))=0,"",INDEX('Providers'!$R$4:$R$503,7))&amp;") – "&amp;IF(LEN(INDEX('Providers'!$A$4:$A$503,7))=0,"",INDEX('Providers'!$A$4:$A$503,7))</f>
        <v/>
      </c>
      <c r="E2510">
        <f>IF(ISNUMBER(INDEX('Providers'!$S$4:$S$503,7)),TEXT(INDEX('Providers'!$S$4:$S$503,7),"yyyy-mm-dd"),"")</f>
        <v/>
      </c>
      <c r="F2510">
        <f>"Certification"</f>
        <v/>
      </c>
      <c r="G2510">
        <f>""</f>
        <v/>
      </c>
      <c r="H2510">
        <f>"Medium"</f>
        <v/>
      </c>
      <c r="I2510">
        <f>TRIM(IF(LEN(IF(LEN(INDEX('Providers'!$R$4:$R$503,7))=0,"",INDEX('Providers'!$R$4:$R$503,7)))=0,"","Card: "&amp;IF(LEN(INDEX('Providers'!$R$4:$R$503,7))=0,"",INDEX('Providers'!$R$4:$R$503,7))&amp;". "))</f>
        <v/>
      </c>
      <c r="J2510">
        <f>IF(LEN(INDEX('Providers'!$AJ$4:$AJ$503,7))=0,"",INDEX('Providers'!$AJ$4:$AJ$503,7))</f>
        <v/>
      </c>
      <c r="K2510">
        <f>IF(LEN(INDEX('Providers'!$AI$4:$AI$503,7))=0,"",INDEX('Providers'!$AI$4:$AI$503,7))</f>
        <v/>
      </c>
    </row>
    <row r="2511">
      <c r="A2511">
        <f>IF(AND(LEN('Providers'!A11)&gt;0,ISNUMBER('Providers'!S11)),1,0)</f>
        <v/>
      </c>
      <c r="B2511">
        <f>B2510+A2511</f>
        <v/>
      </c>
      <c r="C2511">
        <f>IF(2508&gt;$B$4503,"",MATCH(2508-0.5,$B$3:$B$4503,1))</f>
        <v/>
      </c>
      <c r="D2511">
        <f>"Life support ("&amp;IF(LEN(INDEX('Providers'!$R$4:$R$503,8))=0,"",INDEX('Providers'!$R$4:$R$503,8))&amp;") – "&amp;IF(LEN(INDEX('Providers'!$A$4:$A$503,8))=0,"",INDEX('Providers'!$A$4:$A$503,8))</f>
        <v/>
      </c>
      <c r="E2511">
        <f>IF(ISNUMBER(INDEX('Providers'!$S$4:$S$503,8)),TEXT(INDEX('Providers'!$S$4:$S$503,8),"yyyy-mm-dd"),"")</f>
        <v/>
      </c>
      <c r="F2511">
        <f>"Certification"</f>
        <v/>
      </c>
      <c r="G2511">
        <f>""</f>
        <v/>
      </c>
      <c r="H2511">
        <f>"Medium"</f>
        <v/>
      </c>
      <c r="I2511">
        <f>TRIM(IF(LEN(IF(LEN(INDEX('Providers'!$R$4:$R$503,8))=0,"",INDEX('Providers'!$R$4:$R$503,8)))=0,"","Card: "&amp;IF(LEN(INDEX('Providers'!$R$4:$R$503,8))=0,"",INDEX('Providers'!$R$4:$R$503,8))&amp;". "))</f>
        <v/>
      </c>
      <c r="J2511">
        <f>IF(LEN(INDEX('Providers'!$AJ$4:$AJ$503,8))=0,"",INDEX('Providers'!$AJ$4:$AJ$503,8))</f>
        <v/>
      </c>
      <c r="K2511">
        <f>IF(LEN(INDEX('Providers'!$AI$4:$AI$503,8))=0,"",INDEX('Providers'!$AI$4:$AI$503,8))</f>
        <v/>
      </c>
    </row>
    <row r="2512">
      <c r="A2512">
        <f>IF(AND(LEN('Providers'!A12)&gt;0,ISNUMBER('Providers'!S12)),1,0)</f>
        <v/>
      </c>
      <c r="B2512">
        <f>B2511+A2512</f>
        <v/>
      </c>
      <c r="C2512">
        <f>IF(2509&gt;$B$4503,"",MATCH(2509-0.5,$B$3:$B$4503,1))</f>
        <v/>
      </c>
      <c r="D2512">
        <f>"Life support ("&amp;IF(LEN(INDEX('Providers'!$R$4:$R$503,9))=0,"",INDEX('Providers'!$R$4:$R$503,9))&amp;") – "&amp;IF(LEN(INDEX('Providers'!$A$4:$A$503,9))=0,"",INDEX('Providers'!$A$4:$A$503,9))</f>
        <v/>
      </c>
      <c r="E2512">
        <f>IF(ISNUMBER(INDEX('Providers'!$S$4:$S$503,9)),TEXT(INDEX('Providers'!$S$4:$S$503,9),"yyyy-mm-dd"),"")</f>
        <v/>
      </c>
      <c r="F2512">
        <f>"Certification"</f>
        <v/>
      </c>
      <c r="G2512">
        <f>""</f>
        <v/>
      </c>
      <c r="H2512">
        <f>"Medium"</f>
        <v/>
      </c>
      <c r="I2512">
        <f>TRIM(IF(LEN(IF(LEN(INDEX('Providers'!$R$4:$R$503,9))=0,"",INDEX('Providers'!$R$4:$R$503,9)))=0,"","Card: "&amp;IF(LEN(INDEX('Providers'!$R$4:$R$503,9))=0,"",INDEX('Providers'!$R$4:$R$503,9))&amp;". "))</f>
        <v/>
      </c>
      <c r="J2512">
        <f>IF(LEN(INDEX('Providers'!$AJ$4:$AJ$503,9))=0,"",INDEX('Providers'!$AJ$4:$AJ$503,9))</f>
        <v/>
      </c>
      <c r="K2512">
        <f>IF(LEN(INDEX('Providers'!$AI$4:$AI$503,9))=0,"",INDEX('Providers'!$AI$4:$AI$503,9))</f>
        <v/>
      </c>
    </row>
    <row r="2513">
      <c r="A2513">
        <f>IF(AND(LEN('Providers'!A13)&gt;0,ISNUMBER('Providers'!S13)),1,0)</f>
        <v/>
      </c>
      <c r="B2513">
        <f>B2512+A2513</f>
        <v/>
      </c>
      <c r="C2513">
        <f>IF(2510&gt;$B$4503,"",MATCH(2510-0.5,$B$3:$B$4503,1))</f>
        <v/>
      </c>
      <c r="D2513">
        <f>"Life support ("&amp;IF(LEN(INDEX('Providers'!$R$4:$R$503,10))=0,"",INDEX('Providers'!$R$4:$R$503,10))&amp;") – "&amp;IF(LEN(INDEX('Providers'!$A$4:$A$503,10))=0,"",INDEX('Providers'!$A$4:$A$503,10))</f>
        <v/>
      </c>
      <c r="E2513">
        <f>IF(ISNUMBER(INDEX('Providers'!$S$4:$S$503,10)),TEXT(INDEX('Providers'!$S$4:$S$503,10),"yyyy-mm-dd"),"")</f>
        <v/>
      </c>
      <c r="F2513">
        <f>"Certification"</f>
        <v/>
      </c>
      <c r="G2513">
        <f>""</f>
        <v/>
      </c>
      <c r="H2513">
        <f>"Medium"</f>
        <v/>
      </c>
      <c r="I2513">
        <f>TRIM(IF(LEN(IF(LEN(INDEX('Providers'!$R$4:$R$503,10))=0,"",INDEX('Providers'!$R$4:$R$503,10)))=0,"","Card: "&amp;IF(LEN(INDEX('Providers'!$R$4:$R$503,10))=0,"",INDEX('Providers'!$R$4:$R$503,10))&amp;". "))</f>
        <v/>
      </c>
      <c r="J2513">
        <f>IF(LEN(INDEX('Providers'!$AJ$4:$AJ$503,10))=0,"",INDEX('Providers'!$AJ$4:$AJ$503,10))</f>
        <v/>
      </c>
      <c r="K2513">
        <f>IF(LEN(INDEX('Providers'!$AI$4:$AI$503,10))=0,"",INDEX('Providers'!$AI$4:$AI$503,10))</f>
        <v/>
      </c>
    </row>
    <row r="2514">
      <c r="A2514">
        <f>IF(AND(LEN('Providers'!A14)&gt;0,ISNUMBER('Providers'!S14)),1,0)</f>
        <v/>
      </c>
      <c r="B2514">
        <f>B2513+A2514</f>
        <v/>
      </c>
      <c r="C2514">
        <f>IF(2511&gt;$B$4503,"",MATCH(2511-0.5,$B$3:$B$4503,1))</f>
        <v/>
      </c>
      <c r="D2514">
        <f>"Life support ("&amp;IF(LEN(INDEX('Providers'!$R$4:$R$503,11))=0,"",INDEX('Providers'!$R$4:$R$503,11))&amp;") – "&amp;IF(LEN(INDEX('Providers'!$A$4:$A$503,11))=0,"",INDEX('Providers'!$A$4:$A$503,11))</f>
        <v/>
      </c>
      <c r="E2514">
        <f>IF(ISNUMBER(INDEX('Providers'!$S$4:$S$503,11)),TEXT(INDEX('Providers'!$S$4:$S$503,11),"yyyy-mm-dd"),"")</f>
        <v/>
      </c>
      <c r="F2514">
        <f>"Certification"</f>
        <v/>
      </c>
      <c r="G2514">
        <f>""</f>
        <v/>
      </c>
      <c r="H2514">
        <f>"Medium"</f>
        <v/>
      </c>
      <c r="I2514">
        <f>TRIM(IF(LEN(IF(LEN(INDEX('Providers'!$R$4:$R$503,11))=0,"",INDEX('Providers'!$R$4:$R$503,11)))=0,"","Card: "&amp;IF(LEN(INDEX('Providers'!$R$4:$R$503,11))=0,"",INDEX('Providers'!$R$4:$R$503,11))&amp;". "))</f>
        <v/>
      </c>
      <c r="J2514">
        <f>IF(LEN(INDEX('Providers'!$AJ$4:$AJ$503,11))=0,"",INDEX('Providers'!$AJ$4:$AJ$503,11))</f>
        <v/>
      </c>
      <c r="K2514">
        <f>IF(LEN(INDEX('Providers'!$AI$4:$AI$503,11))=0,"",INDEX('Providers'!$AI$4:$AI$503,11))</f>
        <v/>
      </c>
    </row>
    <row r="2515">
      <c r="A2515">
        <f>IF(AND(LEN('Providers'!A15)&gt;0,ISNUMBER('Providers'!S15)),1,0)</f>
        <v/>
      </c>
      <c r="B2515">
        <f>B2514+A2515</f>
        <v/>
      </c>
      <c r="C2515">
        <f>IF(2512&gt;$B$4503,"",MATCH(2512-0.5,$B$3:$B$4503,1))</f>
        <v/>
      </c>
      <c r="D2515">
        <f>"Life support ("&amp;IF(LEN(INDEX('Providers'!$R$4:$R$503,12))=0,"",INDEX('Providers'!$R$4:$R$503,12))&amp;") – "&amp;IF(LEN(INDEX('Providers'!$A$4:$A$503,12))=0,"",INDEX('Providers'!$A$4:$A$503,12))</f>
        <v/>
      </c>
      <c r="E2515">
        <f>IF(ISNUMBER(INDEX('Providers'!$S$4:$S$503,12)),TEXT(INDEX('Providers'!$S$4:$S$503,12),"yyyy-mm-dd"),"")</f>
        <v/>
      </c>
      <c r="F2515">
        <f>"Certification"</f>
        <v/>
      </c>
      <c r="G2515">
        <f>""</f>
        <v/>
      </c>
      <c r="H2515">
        <f>"Medium"</f>
        <v/>
      </c>
      <c r="I2515">
        <f>TRIM(IF(LEN(IF(LEN(INDEX('Providers'!$R$4:$R$503,12))=0,"",INDEX('Providers'!$R$4:$R$503,12)))=0,"","Card: "&amp;IF(LEN(INDEX('Providers'!$R$4:$R$503,12))=0,"",INDEX('Providers'!$R$4:$R$503,12))&amp;". "))</f>
        <v/>
      </c>
      <c r="J2515">
        <f>IF(LEN(INDEX('Providers'!$AJ$4:$AJ$503,12))=0,"",INDEX('Providers'!$AJ$4:$AJ$503,12))</f>
        <v/>
      </c>
      <c r="K2515">
        <f>IF(LEN(INDEX('Providers'!$AI$4:$AI$503,12))=0,"",INDEX('Providers'!$AI$4:$AI$503,12))</f>
        <v/>
      </c>
    </row>
    <row r="2516">
      <c r="A2516">
        <f>IF(AND(LEN('Providers'!A16)&gt;0,ISNUMBER('Providers'!S16)),1,0)</f>
        <v/>
      </c>
      <c r="B2516">
        <f>B2515+A2516</f>
        <v/>
      </c>
      <c r="C2516">
        <f>IF(2513&gt;$B$4503,"",MATCH(2513-0.5,$B$3:$B$4503,1))</f>
        <v/>
      </c>
      <c r="D2516">
        <f>"Life support ("&amp;IF(LEN(INDEX('Providers'!$R$4:$R$503,13))=0,"",INDEX('Providers'!$R$4:$R$503,13))&amp;") – "&amp;IF(LEN(INDEX('Providers'!$A$4:$A$503,13))=0,"",INDEX('Providers'!$A$4:$A$503,13))</f>
        <v/>
      </c>
      <c r="E2516">
        <f>IF(ISNUMBER(INDEX('Providers'!$S$4:$S$503,13)),TEXT(INDEX('Providers'!$S$4:$S$503,13),"yyyy-mm-dd"),"")</f>
        <v/>
      </c>
      <c r="F2516">
        <f>"Certification"</f>
        <v/>
      </c>
      <c r="G2516">
        <f>""</f>
        <v/>
      </c>
      <c r="H2516">
        <f>"Medium"</f>
        <v/>
      </c>
      <c r="I2516">
        <f>TRIM(IF(LEN(IF(LEN(INDEX('Providers'!$R$4:$R$503,13))=0,"",INDEX('Providers'!$R$4:$R$503,13)))=0,"","Card: "&amp;IF(LEN(INDEX('Providers'!$R$4:$R$503,13))=0,"",INDEX('Providers'!$R$4:$R$503,13))&amp;". "))</f>
        <v/>
      </c>
      <c r="J2516">
        <f>IF(LEN(INDEX('Providers'!$AJ$4:$AJ$503,13))=0,"",INDEX('Providers'!$AJ$4:$AJ$503,13))</f>
        <v/>
      </c>
      <c r="K2516">
        <f>IF(LEN(INDEX('Providers'!$AI$4:$AI$503,13))=0,"",INDEX('Providers'!$AI$4:$AI$503,13))</f>
        <v/>
      </c>
    </row>
    <row r="2517">
      <c r="A2517">
        <f>IF(AND(LEN('Providers'!A17)&gt;0,ISNUMBER('Providers'!S17)),1,0)</f>
        <v/>
      </c>
      <c r="B2517">
        <f>B2516+A2517</f>
        <v/>
      </c>
      <c r="C2517">
        <f>IF(2514&gt;$B$4503,"",MATCH(2514-0.5,$B$3:$B$4503,1))</f>
        <v/>
      </c>
      <c r="D2517">
        <f>"Life support ("&amp;IF(LEN(INDEX('Providers'!$R$4:$R$503,14))=0,"",INDEX('Providers'!$R$4:$R$503,14))&amp;") – "&amp;IF(LEN(INDEX('Providers'!$A$4:$A$503,14))=0,"",INDEX('Providers'!$A$4:$A$503,14))</f>
        <v/>
      </c>
      <c r="E2517">
        <f>IF(ISNUMBER(INDEX('Providers'!$S$4:$S$503,14)),TEXT(INDEX('Providers'!$S$4:$S$503,14),"yyyy-mm-dd"),"")</f>
        <v/>
      </c>
      <c r="F2517">
        <f>"Certification"</f>
        <v/>
      </c>
      <c r="G2517">
        <f>""</f>
        <v/>
      </c>
      <c r="H2517">
        <f>"Medium"</f>
        <v/>
      </c>
      <c r="I2517">
        <f>TRIM(IF(LEN(IF(LEN(INDEX('Providers'!$R$4:$R$503,14))=0,"",INDEX('Providers'!$R$4:$R$503,14)))=0,"","Card: "&amp;IF(LEN(INDEX('Providers'!$R$4:$R$503,14))=0,"",INDEX('Providers'!$R$4:$R$503,14))&amp;". "))</f>
        <v/>
      </c>
      <c r="J2517">
        <f>IF(LEN(INDEX('Providers'!$AJ$4:$AJ$503,14))=0,"",INDEX('Providers'!$AJ$4:$AJ$503,14))</f>
        <v/>
      </c>
      <c r="K2517">
        <f>IF(LEN(INDEX('Providers'!$AI$4:$AI$503,14))=0,"",INDEX('Providers'!$AI$4:$AI$503,14))</f>
        <v/>
      </c>
    </row>
    <row r="2518">
      <c r="A2518">
        <f>IF(AND(LEN('Providers'!A18)&gt;0,ISNUMBER('Providers'!S18)),1,0)</f>
        <v/>
      </c>
      <c r="B2518">
        <f>B2517+A2518</f>
        <v/>
      </c>
      <c r="C2518">
        <f>IF(2515&gt;$B$4503,"",MATCH(2515-0.5,$B$3:$B$4503,1))</f>
        <v/>
      </c>
      <c r="D2518">
        <f>"Life support ("&amp;IF(LEN(INDEX('Providers'!$R$4:$R$503,15))=0,"",INDEX('Providers'!$R$4:$R$503,15))&amp;") – "&amp;IF(LEN(INDEX('Providers'!$A$4:$A$503,15))=0,"",INDEX('Providers'!$A$4:$A$503,15))</f>
        <v/>
      </c>
      <c r="E2518">
        <f>IF(ISNUMBER(INDEX('Providers'!$S$4:$S$503,15)),TEXT(INDEX('Providers'!$S$4:$S$503,15),"yyyy-mm-dd"),"")</f>
        <v/>
      </c>
      <c r="F2518">
        <f>"Certification"</f>
        <v/>
      </c>
      <c r="G2518">
        <f>""</f>
        <v/>
      </c>
      <c r="H2518">
        <f>"Medium"</f>
        <v/>
      </c>
      <c r="I2518">
        <f>TRIM(IF(LEN(IF(LEN(INDEX('Providers'!$R$4:$R$503,15))=0,"",INDEX('Providers'!$R$4:$R$503,15)))=0,"","Card: "&amp;IF(LEN(INDEX('Providers'!$R$4:$R$503,15))=0,"",INDEX('Providers'!$R$4:$R$503,15))&amp;". "))</f>
        <v/>
      </c>
      <c r="J2518">
        <f>IF(LEN(INDEX('Providers'!$AJ$4:$AJ$503,15))=0,"",INDEX('Providers'!$AJ$4:$AJ$503,15))</f>
        <v/>
      </c>
      <c r="K2518">
        <f>IF(LEN(INDEX('Providers'!$AI$4:$AI$503,15))=0,"",INDEX('Providers'!$AI$4:$AI$503,15))</f>
        <v/>
      </c>
    </row>
    <row r="2519">
      <c r="A2519">
        <f>IF(AND(LEN('Providers'!A19)&gt;0,ISNUMBER('Providers'!S19)),1,0)</f>
        <v/>
      </c>
      <c r="B2519">
        <f>B2518+A2519</f>
        <v/>
      </c>
      <c r="C2519">
        <f>IF(2516&gt;$B$4503,"",MATCH(2516-0.5,$B$3:$B$4503,1))</f>
        <v/>
      </c>
      <c r="D2519">
        <f>"Life support ("&amp;IF(LEN(INDEX('Providers'!$R$4:$R$503,16))=0,"",INDEX('Providers'!$R$4:$R$503,16))&amp;") – "&amp;IF(LEN(INDEX('Providers'!$A$4:$A$503,16))=0,"",INDEX('Providers'!$A$4:$A$503,16))</f>
        <v/>
      </c>
      <c r="E2519">
        <f>IF(ISNUMBER(INDEX('Providers'!$S$4:$S$503,16)),TEXT(INDEX('Providers'!$S$4:$S$503,16),"yyyy-mm-dd"),"")</f>
        <v/>
      </c>
      <c r="F2519">
        <f>"Certification"</f>
        <v/>
      </c>
      <c r="G2519">
        <f>""</f>
        <v/>
      </c>
      <c r="H2519">
        <f>"Medium"</f>
        <v/>
      </c>
      <c r="I2519">
        <f>TRIM(IF(LEN(IF(LEN(INDEX('Providers'!$R$4:$R$503,16))=0,"",INDEX('Providers'!$R$4:$R$503,16)))=0,"","Card: "&amp;IF(LEN(INDEX('Providers'!$R$4:$R$503,16))=0,"",INDEX('Providers'!$R$4:$R$503,16))&amp;". "))</f>
        <v/>
      </c>
      <c r="J2519">
        <f>IF(LEN(INDEX('Providers'!$AJ$4:$AJ$503,16))=0,"",INDEX('Providers'!$AJ$4:$AJ$503,16))</f>
        <v/>
      </c>
      <c r="K2519">
        <f>IF(LEN(INDEX('Providers'!$AI$4:$AI$503,16))=0,"",INDEX('Providers'!$AI$4:$AI$503,16))</f>
        <v/>
      </c>
    </row>
    <row r="2520">
      <c r="A2520">
        <f>IF(AND(LEN('Providers'!A20)&gt;0,ISNUMBER('Providers'!S20)),1,0)</f>
        <v/>
      </c>
      <c r="B2520">
        <f>B2519+A2520</f>
        <v/>
      </c>
      <c r="C2520">
        <f>IF(2517&gt;$B$4503,"",MATCH(2517-0.5,$B$3:$B$4503,1))</f>
        <v/>
      </c>
      <c r="D2520">
        <f>"Life support ("&amp;IF(LEN(INDEX('Providers'!$R$4:$R$503,17))=0,"",INDEX('Providers'!$R$4:$R$503,17))&amp;") – "&amp;IF(LEN(INDEX('Providers'!$A$4:$A$503,17))=0,"",INDEX('Providers'!$A$4:$A$503,17))</f>
        <v/>
      </c>
      <c r="E2520">
        <f>IF(ISNUMBER(INDEX('Providers'!$S$4:$S$503,17)),TEXT(INDEX('Providers'!$S$4:$S$503,17),"yyyy-mm-dd"),"")</f>
        <v/>
      </c>
      <c r="F2520">
        <f>"Certification"</f>
        <v/>
      </c>
      <c r="G2520">
        <f>""</f>
        <v/>
      </c>
      <c r="H2520">
        <f>"Medium"</f>
        <v/>
      </c>
      <c r="I2520">
        <f>TRIM(IF(LEN(IF(LEN(INDEX('Providers'!$R$4:$R$503,17))=0,"",INDEX('Providers'!$R$4:$R$503,17)))=0,"","Card: "&amp;IF(LEN(INDEX('Providers'!$R$4:$R$503,17))=0,"",INDEX('Providers'!$R$4:$R$503,17))&amp;". "))</f>
        <v/>
      </c>
      <c r="J2520">
        <f>IF(LEN(INDEX('Providers'!$AJ$4:$AJ$503,17))=0,"",INDEX('Providers'!$AJ$4:$AJ$503,17))</f>
        <v/>
      </c>
      <c r="K2520">
        <f>IF(LEN(INDEX('Providers'!$AI$4:$AI$503,17))=0,"",INDEX('Providers'!$AI$4:$AI$503,17))</f>
        <v/>
      </c>
    </row>
    <row r="2521">
      <c r="A2521">
        <f>IF(AND(LEN('Providers'!A21)&gt;0,ISNUMBER('Providers'!S21)),1,0)</f>
        <v/>
      </c>
      <c r="B2521">
        <f>B2520+A2521</f>
        <v/>
      </c>
      <c r="C2521">
        <f>IF(2518&gt;$B$4503,"",MATCH(2518-0.5,$B$3:$B$4503,1))</f>
        <v/>
      </c>
      <c r="D2521">
        <f>"Life support ("&amp;IF(LEN(INDEX('Providers'!$R$4:$R$503,18))=0,"",INDEX('Providers'!$R$4:$R$503,18))&amp;") – "&amp;IF(LEN(INDEX('Providers'!$A$4:$A$503,18))=0,"",INDEX('Providers'!$A$4:$A$503,18))</f>
        <v/>
      </c>
      <c r="E2521">
        <f>IF(ISNUMBER(INDEX('Providers'!$S$4:$S$503,18)),TEXT(INDEX('Providers'!$S$4:$S$503,18),"yyyy-mm-dd"),"")</f>
        <v/>
      </c>
      <c r="F2521">
        <f>"Certification"</f>
        <v/>
      </c>
      <c r="G2521">
        <f>""</f>
        <v/>
      </c>
      <c r="H2521">
        <f>"Medium"</f>
        <v/>
      </c>
      <c r="I2521">
        <f>TRIM(IF(LEN(IF(LEN(INDEX('Providers'!$R$4:$R$503,18))=0,"",INDEX('Providers'!$R$4:$R$503,18)))=0,"","Card: "&amp;IF(LEN(INDEX('Providers'!$R$4:$R$503,18))=0,"",INDEX('Providers'!$R$4:$R$503,18))&amp;". "))</f>
        <v/>
      </c>
      <c r="J2521">
        <f>IF(LEN(INDEX('Providers'!$AJ$4:$AJ$503,18))=0,"",INDEX('Providers'!$AJ$4:$AJ$503,18))</f>
        <v/>
      </c>
      <c r="K2521">
        <f>IF(LEN(INDEX('Providers'!$AI$4:$AI$503,18))=0,"",INDEX('Providers'!$AI$4:$AI$503,18))</f>
        <v/>
      </c>
    </row>
    <row r="2522">
      <c r="A2522">
        <f>IF(AND(LEN('Providers'!A22)&gt;0,ISNUMBER('Providers'!S22)),1,0)</f>
        <v/>
      </c>
      <c r="B2522">
        <f>B2521+A2522</f>
        <v/>
      </c>
      <c r="C2522">
        <f>IF(2519&gt;$B$4503,"",MATCH(2519-0.5,$B$3:$B$4503,1))</f>
        <v/>
      </c>
      <c r="D2522">
        <f>"Life support ("&amp;IF(LEN(INDEX('Providers'!$R$4:$R$503,19))=0,"",INDEX('Providers'!$R$4:$R$503,19))&amp;") – "&amp;IF(LEN(INDEX('Providers'!$A$4:$A$503,19))=0,"",INDEX('Providers'!$A$4:$A$503,19))</f>
        <v/>
      </c>
      <c r="E2522">
        <f>IF(ISNUMBER(INDEX('Providers'!$S$4:$S$503,19)),TEXT(INDEX('Providers'!$S$4:$S$503,19),"yyyy-mm-dd"),"")</f>
        <v/>
      </c>
      <c r="F2522">
        <f>"Certification"</f>
        <v/>
      </c>
      <c r="G2522">
        <f>""</f>
        <v/>
      </c>
      <c r="H2522">
        <f>"Medium"</f>
        <v/>
      </c>
      <c r="I2522">
        <f>TRIM(IF(LEN(IF(LEN(INDEX('Providers'!$R$4:$R$503,19))=0,"",INDEX('Providers'!$R$4:$R$503,19)))=0,"","Card: "&amp;IF(LEN(INDEX('Providers'!$R$4:$R$503,19))=0,"",INDEX('Providers'!$R$4:$R$503,19))&amp;". "))</f>
        <v/>
      </c>
      <c r="J2522">
        <f>IF(LEN(INDEX('Providers'!$AJ$4:$AJ$503,19))=0,"",INDEX('Providers'!$AJ$4:$AJ$503,19))</f>
        <v/>
      </c>
      <c r="K2522">
        <f>IF(LEN(INDEX('Providers'!$AI$4:$AI$503,19))=0,"",INDEX('Providers'!$AI$4:$AI$503,19))</f>
        <v/>
      </c>
    </row>
    <row r="2523">
      <c r="A2523">
        <f>IF(AND(LEN('Providers'!A23)&gt;0,ISNUMBER('Providers'!S23)),1,0)</f>
        <v/>
      </c>
      <c r="B2523">
        <f>B2522+A2523</f>
        <v/>
      </c>
      <c r="C2523">
        <f>IF(2520&gt;$B$4503,"",MATCH(2520-0.5,$B$3:$B$4503,1))</f>
        <v/>
      </c>
      <c r="D2523">
        <f>"Life support ("&amp;IF(LEN(INDEX('Providers'!$R$4:$R$503,20))=0,"",INDEX('Providers'!$R$4:$R$503,20))&amp;") – "&amp;IF(LEN(INDEX('Providers'!$A$4:$A$503,20))=0,"",INDEX('Providers'!$A$4:$A$503,20))</f>
        <v/>
      </c>
      <c r="E2523">
        <f>IF(ISNUMBER(INDEX('Providers'!$S$4:$S$503,20)),TEXT(INDEX('Providers'!$S$4:$S$503,20),"yyyy-mm-dd"),"")</f>
        <v/>
      </c>
      <c r="F2523">
        <f>"Certification"</f>
        <v/>
      </c>
      <c r="G2523">
        <f>""</f>
        <v/>
      </c>
      <c r="H2523">
        <f>"Medium"</f>
        <v/>
      </c>
      <c r="I2523">
        <f>TRIM(IF(LEN(IF(LEN(INDEX('Providers'!$R$4:$R$503,20))=0,"",INDEX('Providers'!$R$4:$R$503,20)))=0,"","Card: "&amp;IF(LEN(INDEX('Providers'!$R$4:$R$503,20))=0,"",INDEX('Providers'!$R$4:$R$503,20))&amp;". "))</f>
        <v/>
      </c>
      <c r="J2523">
        <f>IF(LEN(INDEX('Providers'!$AJ$4:$AJ$503,20))=0,"",INDEX('Providers'!$AJ$4:$AJ$503,20))</f>
        <v/>
      </c>
      <c r="K2523">
        <f>IF(LEN(INDEX('Providers'!$AI$4:$AI$503,20))=0,"",INDEX('Providers'!$AI$4:$AI$503,20))</f>
        <v/>
      </c>
    </row>
    <row r="2524">
      <c r="A2524">
        <f>IF(AND(LEN('Providers'!A24)&gt;0,ISNUMBER('Providers'!S24)),1,0)</f>
        <v/>
      </c>
      <c r="B2524">
        <f>B2523+A2524</f>
        <v/>
      </c>
      <c r="C2524">
        <f>IF(2521&gt;$B$4503,"",MATCH(2521-0.5,$B$3:$B$4503,1))</f>
        <v/>
      </c>
      <c r="D2524">
        <f>"Life support ("&amp;IF(LEN(INDEX('Providers'!$R$4:$R$503,21))=0,"",INDEX('Providers'!$R$4:$R$503,21))&amp;") – "&amp;IF(LEN(INDEX('Providers'!$A$4:$A$503,21))=0,"",INDEX('Providers'!$A$4:$A$503,21))</f>
        <v/>
      </c>
      <c r="E2524">
        <f>IF(ISNUMBER(INDEX('Providers'!$S$4:$S$503,21)),TEXT(INDEX('Providers'!$S$4:$S$503,21),"yyyy-mm-dd"),"")</f>
        <v/>
      </c>
      <c r="F2524">
        <f>"Certification"</f>
        <v/>
      </c>
      <c r="G2524">
        <f>""</f>
        <v/>
      </c>
      <c r="H2524">
        <f>"Medium"</f>
        <v/>
      </c>
      <c r="I2524">
        <f>TRIM(IF(LEN(IF(LEN(INDEX('Providers'!$R$4:$R$503,21))=0,"",INDEX('Providers'!$R$4:$R$503,21)))=0,"","Card: "&amp;IF(LEN(INDEX('Providers'!$R$4:$R$503,21))=0,"",INDEX('Providers'!$R$4:$R$503,21))&amp;". "))</f>
        <v/>
      </c>
      <c r="J2524">
        <f>IF(LEN(INDEX('Providers'!$AJ$4:$AJ$503,21))=0,"",INDEX('Providers'!$AJ$4:$AJ$503,21))</f>
        <v/>
      </c>
      <c r="K2524">
        <f>IF(LEN(INDEX('Providers'!$AI$4:$AI$503,21))=0,"",INDEX('Providers'!$AI$4:$AI$503,21))</f>
        <v/>
      </c>
    </row>
    <row r="2525">
      <c r="A2525">
        <f>IF(AND(LEN('Providers'!A25)&gt;0,ISNUMBER('Providers'!S25)),1,0)</f>
        <v/>
      </c>
      <c r="B2525">
        <f>B2524+A2525</f>
        <v/>
      </c>
      <c r="C2525">
        <f>IF(2522&gt;$B$4503,"",MATCH(2522-0.5,$B$3:$B$4503,1))</f>
        <v/>
      </c>
      <c r="D2525">
        <f>"Life support ("&amp;IF(LEN(INDEX('Providers'!$R$4:$R$503,22))=0,"",INDEX('Providers'!$R$4:$R$503,22))&amp;") – "&amp;IF(LEN(INDEX('Providers'!$A$4:$A$503,22))=0,"",INDEX('Providers'!$A$4:$A$503,22))</f>
        <v/>
      </c>
      <c r="E2525">
        <f>IF(ISNUMBER(INDEX('Providers'!$S$4:$S$503,22)),TEXT(INDEX('Providers'!$S$4:$S$503,22),"yyyy-mm-dd"),"")</f>
        <v/>
      </c>
      <c r="F2525">
        <f>"Certification"</f>
        <v/>
      </c>
      <c r="G2525">
        <f>""</f>
        <v/>
      </c>
      <c r="H2525">
        <f>"Medium"</f>
        <v/>
      </c>
      <c r="I2525">
        <f>TRIM(IF(LEN(IF(LEN(INDEX('Providers'!$R$4:$R$503,22))=0,"",INDEX('Providers'!$R$4:$R$503,22)))=0,"","Card: "&amp;IF(LEN(INDEX('Providers'!$R$4:$R$503,22))=0,"",INDEX('Providers'!$R$4:$R$503,22))&amp;". "))</f>
        <v/>
      </c>
      <c r="J2525">
        <f>IF(LEN(INDEX('Providers'!$AJ$4:$AJ$503,22))=0,"",INDEX('Providers'!$AJ$4:$AJ$503,22))</f>
        <v/>
      </c>
      <c r="K2525">
        <f>IF(LEN(INDEX('Providers'!$AI$4:$AI$503,22))=0,"",INDEX('Providers'!$AI$4:$AI$503,22))</f>
        <v/>
      </c>
    </row>
    <row r="2526">
      <c r="A2526">
        <f>IF(AND(LEN('Providers'!A26)&gt;0,ISNUMBER('Providers'!S26)),1,0)</f>
        <v/>
      </c>
      <c r="B2526">
        <f>B2525+A2526</f>
        <v/>
      </c>
      <c r="C2526">
        <f>IF(2523&gt;$B$4503,"",MATCH(2523-0.5,$B$3:$B$4503,1))</f>
        <v/>
      </c>
      <c r="D2526">
        <f>"Life support ("&amp;IF(LEN(INDEX('Providers'!$R$4:$R$503,23))=0,"",INDEX('Providers'!$R$4:$R$503,23))&amp;") – "&amp;IF(LEN(INDEX('Providers'!$A$4:$A$503,23))=0,"",INDEX('Providers'!$A$4:$A$503,23))</f>
        <v/>
      </c>
      <c r="E2526">
        <f>IF(ISNUMBER(INDEX('Providers'!$S$4:$S$503,23)),TEXT(INDEX('Providers'!$S$4:$S$503,23),"yyyy-mm-dd"),"")</f>
        <v/>
      </c>
      <c r="F2526">
        <f>"Certification"</f>
        <v/>
      </c>
      <c r="G2526">
        <f>""</f>
        <v/>
      </c>
      <c r="H2526">
        <f>"Medium"</f>
        <v/>
      </c>
      <c r="I2526">
        <f>TRIM(IF(LEN(IF(LEN(INDEX('Providers'!$R$4:$R$503,23))=0,"",INDEX('Providers'!$R$4:$R$503,23)))=0,"","Card: "&amp;IF(LEN(INDEX('Providers'!$R$4:$R$503,23))=0,"",INDEX('Providers'!$R$4:$R$503,23))&amp;". "))</f>
        <v/>
      </c>
      <c r="J2526">
        <f>IF(LEN(INDEX('Providers'!$AJ$4:$AJ$503,23))=0,"",INDEX('Providers'!$AJ$4:$AJ$503,23))</f>
        <v/>
      </c>
      <c r="K2526">
        <f>IF(LEN(INDEX('Providers'!$AI$4:$AI$503,23))=0,"",INDEX('Providers'!$AI$4:$AI$503,23))</f>
        <v/>
      </c>
    </row>
    <row r="2527">
      <c r="A2527">
        <f>IF(AND(LEN('Providers'!A27)&gt;0,ISNUMBER('Providers'!S27)),1,0)</f>
        <v/>
      </c>
      <c r="B2527">
        <f>B2526+A2527</f>
        <v/>
      </c>
      <c r="C2527">
        <f>IF(2524&gt;$B$4503,"",MATCH(2524-0.5,$B$3:$B$4503,1))</f>
        <v/>
      </c>
      <c r="D2527">
        <f>"Life support ("&amp;IF(LEN(INDEX('Providers'!$R$4:$R$503,24))=0,"",INDEX('Providers'!$R$4:$R$503,24))&amp;") – "&amp;IF(LEN(INDEX('Providers'!$A$4:$A$503,24))=0,"",INDEX('Providers'!$A$4:$A$503,24))</f>
        <v/>
      </c>
      <c r="E2527">
        <f>IF(ISNUMBER(INDEX('Providers'!$S$4:$S$503,24)),TEXT(INDEX('Providers'!$S$4:$S$503,24),"yyyy-mm-dd"),"")</f>
        <v/>
      </c>
      <c r="F2527">
        <f>"Certification"</f>
        <v/>
      </c>
      <c r="G2527">
        <f>""</f>
        <v/>
      </c>
      <c r="H2527">
        <f>"Medium"</f>
        <v/>
      </c>
      <c r="I2527">
        <f>TRIM(IF(LEN(IF(LEN(INDEX('Providers'!$R$4:$R$503,24))=0,"",INDEX('Providers'!$R$4:$R$503,24)))=0,"","Card: "&amp;IF(LEN(INDEX('Providers'!$R$4:$R$503,24))=0,"",INDEX('Providers'!$R$4:$R$503,24))&amp;". "))</f>
        <v/>
      </c>
      <c r="J2527">
        <f>IF(LEN(INDEX('Providers'!$AJ$4:$AJ$503,24))=0,"",INDEX('Providers'!$AJ$4:$AJ$503,24))</f>
        <v/>
      </c>
      <c r="K2527">
        <f>IF(LEN(INDEX('Providers'!$AI$4:$AI$503,24))=0,"",INDEX('Providers'!$AI$4:$AI$503,24))</f>
        <v/>
      </c>
    </row>
    <row r="2528">
      <c r="A2528">
        <f>IF(AND(LEN('Providers'!A28)&gt;0,ISNUMBER('Providers'!S28)),1,0)</f>
        <v/>
      </c>
      <c r="B2528">
        <f>B2527+A2528</f>
        <v/>
      </c>
      <c r="C2528">
        <f>IF(2525&gt;$B$4503,"",MATCH(2525-0.5,$B$3:$B$4503,1))</f>
        <v/>
      </c>
      <c r="D2528">
        <f>"Life support ("&amp;IF(LEN(INDEX('Providers'!$R$4:$R$503,25))=0,"",INDEX('Providers'!$R$4:$R$503,25))&amp;") – "&amp;IF(LEN(INDEX('Providers'!$A$4:$A$503,25))=0,"",INDEX('Providers'!$A$4:$A$503,25))</f>
        <v/>
      </c>
      <c r="E2528">
        <f>IF(ISNUMBER(INDEX('Providers'!$S$4:$S$503,25)),TEXT(INDEX('Providers'!$S$4:$S$503,25),"yyyy-mm-dd"),"")</f>
        <v/>
      </c>
      <c r="F2528">
        <f>"Certification"</f>
        <v/>
      </c>
      <c r="G2528">
        <f>""</f>
        <v/>
      </c>
      <c r="H2528">
        <f>"Medium"</f>
        <v/>
      </c>
      <c r="I2528">
        <f>TRIM(IF(LEN(IF(LEN(INDEX('Providers'!$R$4:$R$503,25))=0,"",INDEX('Providers'!$R$4:$R$503,25)))=0,"","Card: "&amp;IF(LEN(INDEX('Providers'!$R$4:$R$503,25))=0,"",INDEX('Providers'!$R$4:$R$503,25))&amp;". "))</f>
        <v/>
      </c>
      <c r="J2528">
        <f>IF(LEN(INDEX('Providers'!$AJ$4:$AJ$503,25))=0,"",INDEX('Providers'!$AJ$4:$AJ$503,25))</f>
        <v/>
      </c>
      <c r="K2528">
        <f>IF(LEN(INDEX('Providers'!$AI$4:$AI$503,25))=0,"",INDEX('Providers'!$AI$4:$AI$503,25))</f>
        <v/>
      </c>
    </row>
    <row r="2529">
      <c r="A2529">
        <f>IF(AND(LEN('Providers'!A29)&gt;0,ISNUMBER('Providers'!S29)),1,0)</f>
        <v/>
      </c>
      <c r="B2529">
        <f>B2528+A2529</f>
        <v/>
      </c>
      <c r="C2529">
        <f>IF(2526&gt;$B$4503,"",MATCH(2526-0.5,$B$3:$B$4503,1))</f>
        <v/>
      </c>
      <c r="D2529">
        <f>"Life support ("&amp;IF(LEN(INDEX('Providers'!$R$4:$R$503,26))=0,"",INDEX('Providers'!$R$4:$R$503,26))&amp;") – "&amp;IF(LEN(INDEX('Providers'!$A$4:$A$503,26))=0,"",INDEX('Providers'!$A$4:$A$503,26))</f>
        <v/>
      </c>
      <c r="E2529">
        <f>IF(ISNUMBER(INDEX('Providers'!$S$4:$S$503,26)),TEXT(INDEX('Providers'!$S$4:$S$503,26),"yyyy-mm-dd"),"")</f>
        <v/>
      </c>
      <c r="F2529">
        <f>"Certification"</f>
        <v/>
      </c>
      <c r="G2529">
        <f>""</f>
        <v/>
      </c>
      <c r="H2529">
        <f>"Medium"</f>
        <v/>
      </c>
      <c r="I2529">
        <f>TRIM(IF(LEN(IF(LEN(INDEX('Providers'!$R$4:$R$503,26))=0,"",INDEX('Providers'!$R$4:$R$503,26)))=0,"","Card: "&amp;IF(LEN(INDEX('Providers'!$R$4:$R$503,26))=0,"",INDEX('Providers'!$R$4:$R$503,26))&amp;". "))</f>
        <v/>
      </c>
      <c r="J2529">
        <f>IF(LEN(INDEX('Providers'!$AJ$4:$AJ$503,26))=0,"",INDEX('Providers'!$AJ$4:$AJ$503,26))</f>
        <v/>
      </c>
      <c r="K2529">
        <f>IF(LEN(INDEX('Providers'!$AI$4:$AI$503,26))=0,"",INDEX('Providers'!$AI$4:$AI$503,26))</f>
        <v/>
      </c>
    </row>
    <row r="2530">
      <c r="A2530">
        <f>IF(AND(LEN('Providers'!A30)&gt;0,ISNUMBER('Providers'!S30)),1,0)</f>
        <v/>
      </c>
      <c r="B2530">
        <f>B2529+A2530</f>
        <v/>
      </c>
      <c r="C2530">
        <f>IF(2527&gt;$B$4503,"",MATCH(2527-0.5,$B$3:$B$4503,1))</f>
        <v/>
      </c>
      <c r="D2530">
        <f>"Life support ("&amp;IF(LEN(INDEX('Providers'!$R$4:$R$503,27))=0,"",INDEX('Providers'!$R$4:$R$503,27))&amp;") – "&amp;IF(LEN(INDEX('Providers'!$A$4:$A$503,27))=0,"",INDEX('Providers'!$A$4:$A$503,27))</f>
        <v/>
      </c>
      <c r="E2530">
        <f>IF(ISNUMBER(INDEX('Providers'!$S$4:$S$503,27)),TEXT(INDEX('Providers'!$S$4:$S$503,27),"yyyy-mm-dd"),"")</f>
        <v/>
      </c>
      <c r="F2530">
        <f>"Certification"</f>
        <v/>
      </c>
      <c r="G2530">
        <f>""</f>
        <v/>
      </c>
      <c r="H2530">
        <f>"Medium"</f>
        <v/>
      </c>
      <c r="I2530">
        <f>TRIM(IF(LEN(IF(LEN(INDEX('Providers'!$R$4:$R$503,27))=0,"",INDEX('Providers'!$R$4:$R$503,27)))=0,"","Card: "&amp;IF(LEN(INDEX('Providers'!$R$4:$R$503,27))=0,"",INDEX('Providers'!$R$4:$R$503,27))&amp;". "))</f>
        <v/>
      </c>
      <c r="J2530">
        <f>IF(LEN(INDEX('Providers'!$AJ$4:$AJ$503,27))=0,"",INDEX('Providers'!$AJ$4:$AJ$503,27))</f>
        <v/>
      </c>
      <c r="K2530">
        <f>IF(LEN(INDEX('Providers'!$AI$4:$AI$503,27))=0,"",INDEX('Providers'!$AI$4:$AI$503,27))</f>
        <v/>
      </c>
    </row>
    <row r="2531">
      <c r="A2531">
        <f>IF(AND(LEN('Providers'!A31)&gt;0,ISNUMBER('Providers'!S31)),1,0)</f>
        <v/>
      </c>
      <c r="B2531">
        <f>B2530+A2531</f>
        <v/>
      </c>
      <c r="C2531">
        <f>IF(2528&gt;$B$4503,"",MATCH(2528-0.5,$B$3:$B$4503,1))</f>
        <v/>
      </c>
      <c r="D2531">
        <f>"Life support ("&amp;IF(LEN(INDEX('Providers'!$R$4:$R$503,28))=0,"",INDEX('Providers'!$R$4:$R$503,28))&amp;") – "&amp;IF(LEN(INDEX('Providers'!$A$4:$A$503,28))=0,"",INDEX('Providers'!$A$4:$A$503,28))</f>
        <v/>
      </c>
      <c r="E2531">
        <f>IF(ISNUMBER(INDEX('Providers'!$S$4:$S$503,28)),TEXT(INDEX('Providers'!$S$4:$S$503,28),"yyyy-mm-dd"),"")</f>
        <v/>
      </c>
      <c r="F2531">
        <f>"Certification"</f>
        <v/>
      </c>
      <c r="G2531">
        <f>""</f>
        <v/>
      </c>
      <c r="H2531">
        <f>"Medium"</f>
        <v/>
      </c>
      <c r="I2531">
        <f>TRIM(IF(LEN(IF(LEN(INDEX('Providers'!$R$4:$R$503,28))=0,"",INDEX('Providers'!$R$4:$R$503,28)))=0,"","Card: "&amp;IF(LEN(INDEX('Providers'!$R$4:$R$503,28))=0,"",INDEX('Providers'!$R$4:$R$503,28))&amp;". "))</f>
        <v/>
      </c>
      <c r="J2531">
        <f>IF(LEN(INDEX('Providers'!$AJ$4:$AJ$503,28))=0,"",INDEX('Providers'!$AJ$4:$AJ$503,28))</f>
        <v/>
      </c>
      <c r="K2531">
        <f>IF(LEN(INDEX('Providers'!$AI$4:$AI$503,28))=0,"",INDEX('Providers'!$AI$4:$AI$503,28))</f>
        <v/>
      </c>
    </row>
    <row r="2532">
      <c r="A2532">
        <f>IF(AND(LEN('Providers'!A32)&gt;0,ISNUMBER('Providers'!S32)),1,0)</f>
        <v/>
      </c>
      <c r="B2532">
        <f>B2531+A2532</f>
        <v/>
      </c>
      <c r="C2532">
        <f>IF(2529&gt;$B$4503,"",MATCH(2529-0.5,$B$3:$B$4503,1))</f>
        <v/>
      </c>
      <c r="D2532">
        <f>"Life support ("&amp;IF(LEN(INDEX('Providers'!$R$4:$R$503,29))=0,"",INDEX('Providers'!$R$4:$R$503,29))&amp;") – "&amp;IF(LEN(INDEX('Providers'!$A$4:$A$503,29))=0,"",INDEX('Providers'!$A$4:$A$503,29))</f>
        <v/>
      </c>
      <c r="E2532">
        <f>IF(ISNUMBER(INDEX('Providers'!$S$4:$S$503,29)),TEXT(INDEX('Providers'!$S$4:$S$503,29),"yyyy-mm-dd"),"")</f>
        <v/>
      </c>
      <c r="F2532">
        <f>"Certification"</f>
        <v/>
      </c>
      <c r="G2532">
        <f>""</f>
        <v/>
      </c>
      <c r="H2532">
        <f>"Medium"</f>
        <v/>
      </c>
      <c r="I2532">
        <f>TRIM(IF(LEN(IF(LEN(INDEX('Providers'!$R$4:$R$503,29))=0,"",INDEX('Providers'!$R$4:$R$503,29)))=0,"","Card: "&amp;IF(LEN(INDEX('Providers'!$R$4:$R$503,29))=0,"",INDEX('Providers'!$R$4:$R$503,29))&amp;". "))</f>
        <v/>
      </c>
      <c r="J2532">
        <f>IF(LEN(INDEX('Providers'!$AJ$4:$AJ$503,29))=0,"",INDEX('Providers'!$AJ$4:$AJ$503,29))</f>
        <v/>
      </c>
      <c r="K2532">
        <f>IF(LEN(INDEX('Providers'!$AI$4:$AI$503,29))=0,"",INDEX('Providers'!$AI$4:$AI$503,29))</f>
        <v/>
      </c>
    </row>
    <row r="2533">
      <c r="A2533">
        <f>IF(AND(LEN('Providers'!A33)&gt;0,ISNUMBER('Providers'!S33)),1,0)</f>
        <v/>
      </c>
      <c r="B2533">
        <f>B2532+A2533</f>
        <v/>
      </c>
      <c r="C2533">
        <f>IF(2530&gt;$B$4503,"",MATCH(2530-0.5,$B$3:$B$4503,1))</f>
        <v/>
      </c>
      <c r="D2533">
        <f>"Life support ("&amp;IF(LEN(INDEX('Providers'!$R$4:$R$503,30))=0,"",INDEX('Providers'!$R$4:$R$503,30))&amp;") – "&amp;IF(LEN(INDEX('Providers'!$A$4:$A$503,30))=0,"",INDEX('Providers'!$A$4:$A$503,30))</f>
        <v/>
      </c>
      <c r="E2533">
        <f>IF(ISNUMBER(INDEX('Providers'!$S$4:$S$503,30)),TEXT(INDEX('Providers'!$S$4:$S$503,30),"yyyy-mm-dd"),"")</f>
        <v/>
      </c>
      <c r="F2533">
        <f>"Certification"</f>
        <v/>
      </c>
      <c r="G2533">
        <f>""</f>
        <v/>
      </c>
      <c r="H2533">
        <f>"Medium"</f>
        <v/>
      </c>
      <c r="I2533">
        <f>TRIM(IF(LEN(IF(LEN(INDEX('Providers'!$R$4:$R$503,30))=0,"",INDEX('Providers'!$R$4:$R$503,30)))=0,"","Card: "&amp;IF(LEN(INDEX('Providers'!$R$4:$R$503,30))=0,"",INDEX('Providers'!$R$4:$R$503,30))&amp;". "))</f>
        <v/>
      </c>
      <c r="J2533">
        <f>IF(LEN(INDEX('Providers'!$AJ$4:$AJ$503,30))=0,"",INDEX('Providers'!$AJ$4:$AJ$503,30))</f>
        <v/>
      </c>
      <c r="K2533">
        <f>IF(LEN(INDEX('Providers'!$AI$4:$AI$503,30))=0,"",INDEX('Providers'!$AI$4:$AI$503,30))</f>
        <v/>
      </c>
    </row>
    <row r="2534">
      <c r="A2534">
        <f>IF(AND(LEN('Providers'!A34)&gt;0,ISNUMBER('Providers'!S34)),1,0)</f>
        <v/>
      </c>
      <c r="B2534">
        <f>B2533+A2534</f>
        <v/>
      </c>
      <c r="C2534">
        <f>IF(2531&gt;$B$4503,"",MATCH(2531-0.5,$B$3:$B$4503,1))</f>
        <v/>
      </c>
      <c r="D2534">
        <f>"Life support ("&amp;IF(LEN(INDEX('Providers'!$R$4:$R$503,31))=0,"",INDEX('Providers'!$R$4:$R$503,31))&amp;") – "&amp;IF(LEN(INDEX('Providers'!$A$4:$A$503,31))=0,"",INDEX('Providers'!$A$4:$A$503,31))</f>
        <v/>
      </c>
      <c r="E2534">
        <f>IF(ISNUMBER(INDEX('Providers'!$S$4:$S$503,31)),TEXT(INDEX('Providers'!$S$4:$S$503,31),"yyyy-mm-dd"),"")</f>
        <v/>
      </c>
      <c r="F2534">
        <f>"Certification"</f>
        <v/>
      </c>
      <c r="G2534">
        <f>""</f>
        <v/>
      </c>
      <c r="H2534">
        <f>"Medium"</f>
        <v/>
      </c>
      <c r="I2534">
        <f>TRIM(IF(LEN(IF(LEN(INDEX('Providers'!$R$4:$R$503,31))=0,"",INDEX('Providers'!$R$4:$R$503,31)))=0,"","Card: "&amp;IF(LEN(INDEX('Providers'!$R$4:$R$503,31))=0,"",INDEX('Providers'!$R$4:$R$503,31))&amp;". "))</f>
        <v/>
      </c>
      <c r="J2534">
        <f>IF(LEN(INDEX('Providers'!$AJ$4:$AJ$503,31))=0,"",INDEX('Providers'!$AJ$4:$AJ$503,31))</f>
        <v/>
      </c>
      <c r="K2534">
        <f>IF(LEN(INDEX('Providers'!$AI$4:$AI$503,31))=0,"",INDEX('Providers'!$AI$4:$AI$503,31))</f>
        <v/>
      </c>
    </row>
    <row r="2535">
      <c r="A2535">
        <f>IF(AND(LEN('Providers'!A35)&gt;0,ISNUMBER('Providers'!S35)),1,0)</f>
        <v/>
      </c>
      <c r="B2535">
        <f>B2534+A2535</f>
        <v/>
      </c>
      <c r="C2535">
        <f>IF(2532&gt;$B$4503,"",MATCH(2532-0.5,$B$3:$B$4503,1))</f>
        <v/>
      </c>
      <c r="D2535">
        <f>"Life support ("&amp;IF(LEN(INDEX('Providers'!$R$4:$R$503,32))=0,"",INDEX('Providers'!$R$4:$R$503,32))&amp;") – "&amp;IF(LEN(INDEX('Providers'!$A$4:$A$503,32))=0,"",INDEX('Providers'!$A$4:$A$503,32))</f>
        <v/>
      </c>
      <c r="E2535">
        <f>IF(ISNUMBER(INDEX('Providers'!$S$4:$S$503,32)),TEXT(INDEX('Providers'!$S$4:$S$503,32),"yyyy-mm-dd"),"")</f>
        <v/>
      </c>
      <c r="F2535">
        <f>"Certification"</f>
        <v/>
      </c>
      <c r="G2535">
        <f>""</f>
        <v/>
      </c>
      <c r="H2535">
        <f>"Medium"</f>
        <v/>
      </c>
      <c r="I2535">
        <f>TRIM(IF(LEN(IF(LEN(INDEX('Providers'!$R$4:$R$503,32))=0,"",INDEX('Providers'!$R$4:$R$503,32)))=0,"","Card: "&amp;IF(LEN(INDEX('Providers'!$R$4:$R$503,32))=0,"",INDEX('Providers'!$R$4:$R$503,32))&amp;". "))</f>
        <v/>
      </c>
      <c r="J2535">
        <f>IF(LEN(INDEX('Providers'!$AJ$4:$AJ$503,32))=0,"",INDEX('Providers'!$AJ$4:$AJ$503,32))</f>
        <v/>
      </c>
      <c r="K2535">
        <f>IF(LEN(INDEX('Providers'!$AI$4:$AI$503,32))=0,"",INDEX('Providers'!$AI$4:$AI$503,32))</f>
        <v/>
      </c>
    </row>
    <row r="2536">
      <c r="A2536">
        <f>IF(AND(LEN('Providers'!A36)&gt;0,ISNUMBER('Providers'!S36)),1,0)</f>
        <v/>
      </c>
      <c r="B2536">
        <f>B2535+A2536</f>
        <v/>
      </c>
      <c r="C2536">
        <f>IF(2533&gt;$B$4503,"",MATCH(2533-0.5,$B$3:$B$4503,1))</f>
        <v/>
      </c>
      <c r="D2536">
        <f>"Life support ("&amp;IF(LEN(INDEX('Providers'!$R$4:$R$503,33))=0,"",INDEX('Providers'!$R$4:$R$503,33))&amp;") – "&amp;IF(LEN(INDEX('Providers'!$A$4:$A$503,33))=0,"",INDEX('Providers'!$A$4:$A$503,33))</f>
        <v/>
      </c>
      <c r="E2536">
        <f>IF(ISNUMBER(INDEX('Providers'!$S$4:$S$503,33)),TEXT(INDEX('Providers'!$S$4:$S$503,33),"yyyy-mm-dd"),"")</f>
        <v/>
      </c>
      <c r="F2536">
        <f>"Certification"</f>
        <v/>
      </c>
      <c r="G2536">
        <f>""</f>
        <v/>
      </c>
      <c r="H2536">
        <f>"Medium"</f>
        <v/>
      </c>
      <c r="I2536">
        <f>TRIM(IF(LEN(IF(LEN(INDEX('Providers'!$R$4:$R$503,33))=0,"",INDEX('Providers'!$R$4:$R$503,33)))=0,"","Card: "&amp;IF(LEN(INDEX('Providers'!$R$4:$R$503,33))=0,"",INDEX('Providers'!$R$4:$R$503,33))&amp;". "))</f>
        <v/>
      </c>
      <c r="J2536">
        <f>IF(LEN(INDEX('Providers'!$AJ$4:$AJ$503,33))=0,"",INDEX('Providers'!$AJ$4:$AJ$503,33))</f>
        <v/>
      </c>
      <c r="K2536">
        <f>IF(LEN(INDEX('Providers'!$AI$4:$AI$503,33))=0,"",INDEX('Providers'!$AI$4:$AI$503,33))</f>
        <v/>
      </c>
    </row>
    <row r="2537">
      <c r="A2537">
        <f>IF(AND(LEN('Providers'!A37)&gt;0,ISNUMBER('Providers'!S37)),1,0)</f>
        <v/>
      </c>
      <c r="B2537">
        <f>B2536+A2537</f>
        <v/>
      </c>
      <c r="C2537">
        <f>IF(2534&gt;$B$4503,"",MATCH(2534-0.5,$B$3:$B$4503,1))</f>
        <v/>
      </c>
      <c r="D2537">
        <f>"Life support ("&amp;IF(LEN(INDEX('Providers'!$R$4:$R$503,34))=0,"",INDEX('Providers'!$R$4:$R$503,34))&amp;") – "&amp;IF(LEN(INDEX('Providers'!$A$4:$A$503,34))=0,"",INDEX('Providers'!$A$4:$A$503,34))</f>
        <v/>
      </c>
      <c r="E2537">
        <f>IF(ISNUMBER(INDEX('Providers'!$S$4:$S$503,34)),TEXT(INDEX('Providers'!$S$4:$S$503,34),"yyyy-mm-dd"),"")</f>
        <v/>
      </c>
      <c r="F2537">
        <f>"Certification"</f>
        <v/>
      </c>
      <c r="G2537">
        <f>""</f>
        <v/>
      </c>
      <c r="H2537">
        <f>"Medium"</f>
        <v/>
      </c>
      <c r="I2537">
        <f>TRIM(IF(LEN(IF(LEN(INDEX('Providers'!$R$4:$R$503,34))=0,"",INDEX('Providers'!$R$4:$R$503,34)))=0,"","Card: "&amp;IF(LEN(INDEX('Providers'!$R$4:$R$503,34))=0,"",INDEX('Providers'!$R$4:$R$503,34))&amp;". "))</f>
        <v/>
      </c>
      <c r="J2537">
        <f>IF(LEN(INDEX('Providers'!$AJ$4:$AJ$503,34))=0,"",INDEX('Providers'!$AJ$4:$AJ$503,34))</f>
        <v/>
      </c>
      <c r="K2537">
        <f>IF(LEN(INDEX('Providers'!$AI$4:$AI$503,34))=0,"",INDEX('Providers'!$AI$4:$AI$503,34))</f>
        <v/>
      </c>
    </row>
    <row r="2538">
      <c r="A2538">
        <f>IF(AND(LEN('Providers'!A38)&gt;0,ISNUMBER('Providers'!S38)),1,0)</f>
        <v/>
      </c>
      <c r="B2538">
        <f>B2537+A2538</f>
        <v/>
      </c>
      <c r="C2538">
        <f>IF(2535&gt;$B$4503,"",MATCH(2535-0.5,$B$3:$B$4503,1))</f>
        <v/>
      </c>
      <c r="D2538">
        <f>"Life support ("&amp;IF(LEN(INDEX('Providers'!$R$4:$R$503,35))=0,"",INDEX('Providers'!$R$4:$R$503,35))&amp;") – "&amp;IF(LEN(INDEX('Providers'!$A$4:$A$503,35))=0,"",INDEX('Providers'!$A$4:$A$503,35))</f>
        <v/>
      </c>
      <c r="E2538">
        <f>IF(ISNUMBER(INDEX('Providers'!$S$4:$S$503,35)),TEXT(INDEX('Providers'!$S$4:$S$503,35),"yyyy-mm-dd"),"")</f>
        <v/>
      </c>
      <c r="F2538">
        <f>"Certification"</f>
        <v/>
      </c>
      <c r="G2538">
        <f>""</f>
        <v/>
      </c>
      <c r="H2538">
        <f>"Medium"</f>
        <v/>
      </c>
      <c r="I2538">
        <f>TRIM(IF(LEN(IF(LEN(INDEX('Providers'!$R$4:$R$503,35))=0,"",INDEX('Providers'!$R$4:$R$503,35)))=0,"","Card: "&amp;IF(LEN(INDEX('Providers'!$R$4:$R$503,35))=0,"",INDEX('Providers'!$R$4:$R$503,35))&amp;". "))</f>
        <v/>
      </c>
      <c r="J2538">
        <f>IF(LEN(INDEX('Providers'!$AJ$4:$AJ$503,35))=0,"",INDEX('Providers'!$AJ$4:$AJ$503,35))</f>
        <v/>
      </c>
      <c r="K2538">
        <f>IF(LEN(INDEX('Providers'!$AI$4:$AI$503,35))=0,"",INDEX('Providers'!$AI$4:$AI$503,35))</f>
        <v/>
      </c>
    </row>
    <row r="2539">
      <c r="A2539">
        <f>IF(AND(LEN('Providers'!A39)&gt;0,ISNUMBER('Providers'!S39)),1,0)</f>
        <v/>
      </c>
      <c r="B2539">
        <f>B2538+A2539</f>
        <v/>
      </c>
      <c r="C2539">
        <f>IF(2536&gt;$B$4503,"",MATCH(2536-0.5,$B$3:$B$4503,1))</f>
        <v/>
      </c>
      <c r="D2539">
        <f>"Life support ("&amp;IF(LEN(INDEX('Providers'!$R$4:$R$503,36))=0,"",INDEX('Providers'!$R$4:$R$503,36))&amp;") – "&amp;IF(LEN(INDEX('Providers'!$A$4:$A$503,36))=0,"",INDEX('Providers'!$A$4:$A$503,36))</f>
        <v/>
      </c>
      <c r="E2539">
        <f>IF(ISNUMBER(INDEX('Providers'!$S$4:$S$503,36)),TEXT(INDEX('Providers'!$S$4:$S$503,36),"yyyy-mm-dd"),"")</f>
        <v/>
      </c>
      <c r="F2539">
        <f>"Certification"</f>
        <v/>
      </c>
      <c r="G2539">
        <f>""</f>
        <v/>
      </c>
      <c r="H2539">
        <f>"Medium"</f>
        <v/>
      </c>
      <c r="I2539">
        <f>TRIM(IF(LEN(IF(LEN(INDEX('Providers'!$R$4:$R$503,36))=0,"",INDEX('Providers'!$R$4:$R$503,36)))=0,"","Card: "&amp;IF(LEN(INDEX('Providers'!$R$4:$R$503,36))=0,"",INDEX('Providers'!$R$4:$R$503,36))&amp;". "))</f>
        <v/>
      </c>
      <c r="J2539">
        <f>IF(LEN(INDEX('Providers'!$AJ$4:$AJ$503,36))=0,"",INDEX('Providers'!$AJ$4:$AJ$503,36))</f>
        <v/>
      </c>
      <c r="K2539">
        <f>IF(LEN(INDEX('Providers'!$AI$4:$AI$503,36))=0,"",INDEX('Providers'!$AI$4:$AI$503,36))</f>
        <v/>
      </c>
    </row>
    <row r="2540">
      <c r="A2540">
        <f>IF(AND(LEN('Providers'!A40)&gt;0,ISNUMBER('Providers'!S40)),1,0)</f>
        <v/>
      </c>
      <c r="B2540">
        <f>B2539+A2540</f>
        <v/>
      </c>
      <c r="C2540">
        <f>IF(2537&gt;$B$4503,"",MATCH(2537-0.5,$B$3:$B$4503,1))</f>
        <v/>
      </c>
      <c r="D2540">
        <f>"Life support ("&amp;IF(LEN(INDEX('Providers'!$R$4:$R$503,37))=0,"",INDEX('Providers'!$R$4:$R$503,37))&amp;") – "&amp;IF(LEN(INDEX('Providers'!$A$4:$A$503,37))=0,"",INDEX('Providers'!$A$4:$A$503,37))</f>
        <v/>
      </c>
      <c r="E2540">
        <f>IF(ISNUMBER(INDEX('Providers'!$S$4:$S$503,37)),TEXT(INDEX('Providers'!$S$4:$S$503,37),"yyyy-mm-dd"),"")</f>
        <v/>
      </c>
      <c r="F2540">
        <f>"Certification"</f>
        <v/>
      </c>
      <c r="G2540">
        <f>""</f>
        <v/>
      </c>
      <c r="H2540">
        <f>"Medium"</f>
        <v/>
      </c>
      <c r="I2540">
        <f>TRIM(IF(LEN(IF(LEN(INDEX('Providers'!$R$4:$R$503,37))=0,"",INDEX('Providers'!$R$4:$R$503,37)))=0,"","Card: "&amp;IF(LEN(INDEX('Providers'!$R$4:$R$503,37))=0,"",INDEX('Providers'!$R$4:$R$503,37))&amp;". "))</f>
        <v/>
      </c>
      <c r="J2540">
        <f>IF(LEN(INDEX('Providers'!$AJ$4:$AJ$503,37))=0,"",INDEX('Providers'!$AJ$4:$AJ$503,37))</f>
        <v/>
      </c>
      <c r="K2540">
        <f>IF(LEN(INDEX('Providers'!$AI$4:$AI$503,37))=0,"",INDEX('Providers'!$AI$4:$AI$503,37))</f>
        <v/>
      </c>
    </row>
    <row r="2541">
      <c r="A2541">
        <f>IF(AND(LEN('Providers'!A41)&gt;0,ISNUMBER('Providers'!S41)),1,0)</f>
        <v/>
      </c>
      <c r="B2541">
        <f>B2540+A2541</f>
        <v/>
      </c>
      <c r="C2541">
        <f>IF(2538&gt;$B$4503,"",MATCH(2538-0.5,$B$3:$B$4503,1))</f>
        <v/>
      </c>
      <c r="D2541">
        <f>"Life support ("&amp;IF(LEN(INDEX('Providers'!$R$4:$R$503,38))=0,"",INDEX('Providers'!$R$4:$R$503,38))&amp;") – "&amp;IF(LEN(INDEX('Providers'!$A$4:$A$503,38))=0,"",INDEX('Providers'!$A$4:$A$503,38))</f>
        <v/>
      </c>
      <c r="E2541">
        <f>IF(ISNUMBER(INDEX('Providers'!$S$4:$S$503,38)),TEXT(INDEX('Providers'!$S$4:$S$503,38),"yyyy-mm-dd"),"")</f>
        <v/>
      </c>
      <c r="F2541">
        <f>"Certification"</f>
        <v/>
      </c>
      <c r="G2541">
        <f>""</f>
        <v/>
      </c>
      <c r="H2541">
        <f>"Medium"</f>
        <v/>
      </c>
      <c r="I2541">
        <f>TRIM(IF(LEN(IF(LEN(INDEX('Providers'!$R$4:$R$503,38))=0,"",INDEX('Providers'!$R$4:$R$503,38)))=0,"","Card: "&amp;IF(LEN(INDEX('Providers'!$R$4:$R$503,38))=0,"",INDEX('Providers'!$R$4:$R$503,38))&amp;". "))</f>
        <v/>
      </c>
      <c r="J2541">
        <f>IF(LEN(INDEX('Providers'!$AJ$4:$AJ$503,38))=0,"",INDEX('Providers'!$AJ$4:$AJ$503,38))</f>
        <v/>
      </c>
      <c r="K2541">
        <f>IF(LEN(INDEX('Providers'!$AI$4:$AI$503,38))=0,"",INDEX('Providers'!$AI$4:$AI$503,38))</f>
        <v/>
      </c>
    </row>
    <row r="2542">
      <c r="A2542">
        <f>IF(AND(LEN('Providers'!A42)&gt;0,ISNUMBER('Providers'!S42)),1,0)</f>
        <v/>
      </c>
      <c r="B2542">
        <f>B2541+A2542</f>
        <v/>
      </c>
      <c r="C2542">
        <f>IF(2539&gt;$B$4503,"",MATCH(2539-0.5,$B$3:$B$4503,1))</f>
        <v/>
      </c>
      <c r="D2542">
        <f>"Life support ("&amp;IF(LEN(INDEX('Providers'!$R$4:$R$503,39))=0,"",INDEX('Providers'!$R$4:$R$503,39))&amp;") – "&amp;IF(LEN(INDEX('Providers'!$A$4:$A$503,39))=0,"",INDEX('Providers'!$A$4:$A$503,39))</f>
        <v/>
      </c>
      <c r="E2542">
        <f>IF(ISNUMBER(INDEX('Providers'!$S$4:$S$503,39)),TEXT(INDEX('Providers'!$S$4:$S$503,39),"yyyy-mm-dd"),"")</f>
        <v/>
      </c>
      <c r="F2542">
        <f>"Certification"</f>
        <v/>
      </c>
      <c r="G2542">
        <f>""</f>
        <v/>
      </c>
      <c r="H2542">
        <f>"Medium"</f>
        <v/>
      </c>
      <c r="I2542">
        <f>TRIM(IF(LEN(IF(LEN(INDEX('Providers'!$R$4:$R$503,39))=0,"",INDEX('Providers'!$R$4:$R$503,39)))=0,"","Card: "&amp;IF(LEN(INDEX('Providers'!$R$4:$R$503,39))=0,"",INDEX('Providers'!$R$4:$R$503,39))&amp;". "))</f>
        <v/>
      </c>
      <c r="J2542">
        <f>IF(LEN(INDEX('Providers'!$AJ$4:$AJ$503,39))=0,"",INDEX('Providers'!$AJ$4:$AJ$503,39))</f>
        <v/>
      </c>
      <c r="K2542">
        <f>IF(LEN(INDEX('Providers'!$AI$4:$AI$503,39))=0,"",INDEX('Providers'!$AI$4:$AI$503,39))</f>
        <v/>
      </c>
    </row>
    <row r="2543">
      <c r="A2543">
        <f>IF(AND(LEN('Providers'!A43)&gt;0,ISNUMBER('Providers'!S43)),1,0)</f>
        <v/>
      </c>
      <c r="B2543">
        <f>B2542+A2543</f>
        <v/>
      </c>
      <c r="C2543">
        <f>IF(2540&gt;$B$4503,"",MATCH(2540-0.5,$B$3:$B$4503,1))</f>
        <v/>
      </c>
      <c r="D2543">
        <f>"Life support ("&amp;IF(LEN(INDEX('Providers'!$R$4:$R$503,40))=0,"",INDEX('Providers'!$R$4:$R$503,40))&amp;") – "&amp;IF(LEN(INDEX('Providers'!$A$4:$A$503,40))=0,"",INDEX('Providers'!$A$4:$A$503,40))</f>
        <v/>
      </c>
      <c r="E2543">
        <f>IF(ISNUMBER(INDEX('Providers'!$S$4:$S$503,40)),TEXT(INDEX('Providers'!$S$4:$S$503,40),"yyyy-mm-dd"),"")</f>
        <v/>
      </c>
      <c r="F2543">
        <f>"Certification"</f>
        <v/>
      </c>
      <c r="G2543">
        <f>""</f>
        <v/>
      </c>
      <c r="H2543">
        <f>"Medium"</f>
        <v/>
      </c>
      <c r="I2543">
        <f>TRIM(IF(LEN(IF(LEN(INDEX('Providers'!$R$4:$R$503,40))=0,"",INDEX('Providers'!$R$4:$R$503,40)))=0,"","Card: "&amp;IF(LEN(INDEX('Providers'!$R$4:$R$503,40))=0,"",INDEX('Providers'!$R$4:$R$503,40))&amp;". "))</f>
        <v/>
      </c>
      <c r="J2543">
        <f>IF(LEN(INDEX('Providers'!$AJ$4:$AJ$503,40))=0,"",INDEX('Providers'!$AJ$4:$AJ$503,40))</f>
        <v/>
      </c>
      <c r="K2543">
        <f>IF(LEN(INDEX('Providers'!$AI$4:$AI$503,40))=0,"",INDEX('Providers'!$AI$4:$AI$503,40))</f>
        <v/>
      </c>
    </row>
    <row r="2544">
      <c r="A2544">
        <f>IF(AND(LEN('Providers'!A44)&gt;0,ISNUMBER('Providers'!S44)),1,0)</f>
        <v/>
      </c>
      <c r="B2544">
        <f>B2543+A2544</f>
        <v/>
      </c>
      <c r="C2544">
        <f>IF(2541&gt;$B$4503,"",MATCH(2541-0.5,$B$3:$B$4503,1))</f>
        <v/>
      </c>
      <c r="D2544">
        <f>"Life support ("&amp;IF(LEN(INDEX('Providers'!$R$4:$R$503,41))=0,"",INDEX('Providers'!$R$4:$R$503,41))&amp;") – "&amp;IF(LEN(INDEX('Providers'!$A$4:$A$503,41))=0,"",INDEX('Providers'!$A$4:$A$503,41))</f>
        <v/>
      </c>
      <c r="E2544">
        <f>IF(ISNUMBER(INDEX('Providers'!$S$4:$S$503,41)),TEXT(INDEX('Providers'!$S$4:$S$503,41),"yyyy-mm-dd"),"")</f>
        <v/>
      </c>
      <c r="F2544">
        <f>"Certification"</f>
        <v/>
      </c>
      <c r="G2544">
        <f>""</f>
        <v/>
      </c>
      <c r="H2544">
        <f>"Medium"</f>
        <v/>
      </c>
      <c r="I2544">
        <f>TRIM(IF(LEN(IF(LEN(INDEX('Providers'!$R$4:$R$503,41))=0,"",INDEX('Providers'!$R$4:$R$503,41)))=0,"","Card: "&amp;IF(LEN(INDEX('Providers'!$R$4:$R$503,41))=0,"",INDEX('Providers'!$R$4:$R$503,41))&amp;". "))</f>
        <v/>
      </c>
      <c r="J2544">
        <f>IF(LEN(INDEX('Providers'!$AJ$4:$AJ$503,41))=0,"",INDEX('Providers'!$AJ$4:$AJ$503,41))</f>
        <v/>
      </c>
      <c r="K2544">
        <f>IF(LEN(INDEX('Providers'!$AI$4:$AI$503,41))=0,"",INDEX('Providers'!$AI$4:$AI$503,41))</f>
        <v/>
      </c>
    </row>
    <row r="2545">
      <c r="A2545">
        <f>IF(AND(LEN('Providers'!A45)&gt;0,ISNUMBER('Providers'!S45)),1,0)</f>
        <v/>
      </c>
      <c r="B2545">
        <f>B2544+A2545</f>
        <v/>
      </c>
      <c r="C2545">
        <f>IF(2542&gt;$B$4503,"",MATCH(2542-0.5,$B$3:$B$4503,1))</f>
        <v/>
      </c>
      <c r="D2545">
        <f>"Life support ("&amp;IF(LEN(INDEX('Providers'!$R$4:$R$503,42))=0,"",INDEX('Providers'!$R$4:$R$503,42))&amp;") – "&amp;IF(LEN(INDEX('Providers'!$A$4:$A$503,42))=0,"",INDEX('Providers'!$A$4:$A$503,42))</f>
        <v/>
      </c>
      <c r="E2545">
        <f>IF(ISNUMBER(INDEX('Providers'!$S$4:$S$503,42)),TEXT(INDEX('Providers'!$S$4:$S$503,42),"yyyy-mm-dd"),"")</f>
        <v/>
      </c>
      <c r="F2545">
        <f>"Certification"</f>
        <v/>
      </c>
      <c r="G2545">
        <f>""</f>
        <v/>
      </c>
      <c r="H2545">
        <f>"Medium"</f>
        <v/>
      </c>
      <c r="I2545">
        <f>TRIM(IF(LEN(IF(LEN(INDEX('Providers'!$R$4:$R$503,42))=0,"",INDEX('Providers'!$R$4:$R$503,42)))=0,"","Card: "&amp;IF(LEN(INDEX('Providers'!$R$4:$R$503,42))=0,"",INDEX('Providers'!$R$4:$R$503,42))&amp;". "))</f>
        <v/>
      </c>
      <c r="J2545">
        <f>IF(LEN(INDEX('Providers'!$AJ$4:$AJ$503,42))=0,"",INDEX('Providers'!$AJ$4:$AJ$503,42))</f>
        <v/>
      </c>
      <c r="K2545">
        <f>IF(LEN(INDEX('Providers'!$AI$4:$AI$503,42))=0,"",INDEX('Providers'!$AI$4:$AI$503,42))</f>
        <v/>
      </c>
    </row>
    <row r="2546">
      <c r="A2546">
        <f>IF(AND(LEN('Providers'!A46)&gt;0,ISNUMBER('Providers'!S46)),1,0)</f>
        <v/>
      </c>
      <c r="B2546">
        <f>B2545+A2546</f>
        <v/>
      </c>
      <c r="C2546">
        <f>IF(2543&gt;$B$4503,"",MATCH(2543-0.5,$B$3:$B$4503,1))</f>
        <v/>
      </c>
      <c r="D2546">
        <f>"Life support ("&amp;IF(LEN(INDEX('Providers'!$R$4:$R$503,43))=0,"",INDEX('Providers'!$R$4:$R$503,43))&amp;") – "&amp;IF(LEN(INDEX('Providers'!$A$4:$A$503,43))=0,"",INDEX('Providers'!$A$4:$A$503,43))</f>
        <v/>
      </c>
      <c r="E2546">
        <f>IF(ISNUMBER(INDEX('Providers'!$S$4:$S$503,43)),TEXT(INDEX('Providers'!$S$4:$S$503,43),"yyyy-mm-dd"),"")</f>
        <v/>
      </c>
      <c r="F2546">
        <f>"Certification"</f>
        <v/>
      </c>
      <c r="G2546">
        <f>""</f>
        <v/>
      </c>
      <c r="H2546">
        <f>"Medium"</f>
        <v/>
      </c>
      <c r="I2546">
        <f>TRIM(IF(LEN(IF(LEN(INDEX('Providers'!$R$4:$R$503,43))=0,"",INDEX('Providers'!$R$4:$R$503,43)))=0,"","Card: "&amp;IF(LEN(INDEX('Providers'!$R$4:$R$503,43))=0,"",INDEX('Providers'!$R$4:$R$503,43))&amp;". "))</f>
        <v/>
      </c>
      <c r="J2546">
        <f>IF(LEN(INDEX('Providers'!$AJ$4:$AJ$503,43))=0,"",INDEX('Providers'!$AJ$4:$AJ$503,43))</f>
        <v/>
      </c>
      <c r="K2546">
        <f>IF(LEN(INDEX('Providers'!$AI$4:$AI$503,43))=0,"",INDEX('Providers'!$AI$4:$AI$503,43))</f>
        <v/>
      </c>
    </row>
    <row r="2547">
      <c r="A2547">
        <f>IF(AND(LEN('Providers'!A47)&gt;0,ISNUMBER('Providers'!S47)),1,0)</f>
        <v/>
      </c>
      <c r="B2547">
        <f>B2546+A2547</f>
        <v/>
      </c>
      <c r="C2547">
        <f>IF(2544&gt;$B$4503,"",MATCH(2544-0.5,$B$3:$B$4503,1))</f>
        <v/>
      </c>
      <c r="D2547">
        <f>"Life support ("&amp;IF(LEN(INDEX('Providers'!$R$4:$R$503,44))=0,"",INDEX('Providers'!$R$4:$R$503,44))&amp;") – "&amp;IF(LEN(INDEX('Providers'!$A$4:$A$503,44))=0,"",INDEX('Providers'!$A$4:$A$503,44))</f>
        <v/>
      </c>
      <c r="E2547">
        <f>IF(ISNUMBER(INDEX('Providers'!$S$4:$S$503,44)),TEXT(INDEX('Providers'!$S$4:$S$503,44),"yyyy-mm-dd"),"")</f>
        <v/>
      </c>
      <c r="F2547">
        <f>"Certification"</f>
        <v/>
      </c>
      <c r="G2547">
        <f>""</f>
        <v/>
      </c>
      <c r="H2547">
        <f>"Medium"</f>
        <v/>
      </c>
      <c r="I2547">
        <f>TRIM(IF(LEN(IF(LEN(INDEX('Providers'!$R$4:$R$503,44))=0,"",INDEX('Providers'!$R$4:$R$503,44)))=0,"","Card: "&amp;IF(LEN(INDEX('Providers'!$R$4:$R$503,44))=0,"",INDEX('Providers'!$R$4:$R$503,44))&amp;". "))</f>
        <v/>
      </c>
      <c r="J2547">
        <f>IF(LEN(INDEX('Providers'!$AJ$4:$AJ$503,44))=0,"",INDEX('Providers'!$AJ$4:$AJ$503,44))</f>
        <v/>
      </c>
      <c r="K2547">
        <f>IF(LEN(INDEX('Providers'!$AI$4:$AI$503,44))=0,"",INDEX('Providers'!$AI$4:$AI$503,44))</f>
        <v/>
      </c>
    </row>
    <row r="2548">
      <c r="A2548">
        <f>IF(AND(LEN('Providers'!A48)&gt;0,ISNUMBER('Providers'!S48)),1,0)</f>
        <v/>
      </c>
      <c r="B2548">
        <f>B2547+A2548</f>
        <v/>
      </c>
      <c r="C2548">
        <f>IF(2545&gt;$B$4503,"",MATCH(2545-0.5,$B$3:$B$4503,1))</f>
        <v/>
      </c>
      <c r="D2548">
        <f>"Life support ("&amp;IF(LEN(INDEX('Providers'!$R$4:$R$503,45))=0,"",INDEX('Providers'!$R$4:$R$503,45))&amp;") – "&amp;IF(LEN(INDEX('Providers'!$A$4:$A$503,45))=0,"",INDEX('Providers'!$A$4:$A$503,45))</f>
        <v/>
      </c>
      <c r="E2548">
        <f>IF(ISNUMBER(INDEX('Providers'!$S$4:$S$503,45)),TEXT(INDEX('Providers'!$S$4:$S$503,45),"yyyy-mm-dd"),"")</f>
        <v/>
      </c>
      <c r="F2548">
        <f>"Certification"</f>
        <v/>
      </c>
      <c r="G2548">
        <f>""</f>
        <v/>
      </c>
      <c r="H2548">
        <f>"Medium"</f>
        <v/>
      </c>
      <c r="I2548">
        <f>TRIM(IF(LEN(IF(LEN(INDEX('Providers'!$R$4:$R$503,45))=0,"",INDEX('Providers'!$R$4:$R$503,45)))=0,"","Card: "&amp;IF(LEN(INDEX('Providers'!$R$4:$R$503,45))=0,"",INDEX('Providers'!$R$4:$R$503,45))&amp;". "))</f>
        <v/>
      </c>
      <c r="J2548">
        <f>IF(LEN(INDEX('Providers'!$AJ$4:$AJ$503,45))=0,"",INDEX('Providers'!$AJ$4:$AJ$503,45))</f>
        <v/>
      </c>
      <c r="K2548">
        <f>IF(LEN(INDEX('Providers'!$AI$4:$AI$503,45))=0,"",INDEX('Providers'!$AI$4:$AI$503,45))</f>
        <v/>
      </c>
    </row>
    <row r="2549">
      <c r="A2549">
        <f>IF(AND(LEN('Providers'!A49)&gt;0,ISNUMBER('Providers'!S49)),1,0)</f>
        <v/>
      </c>
      <c r="B2549">
        <f>B2548+A2549</f>
        <v/>
      </c>
      <c r="C2549">
        <f>IF(2546&gt;$B$4503,"",MATCH(2546-0.5,$B$3:$B$4503,1))</f>
        <v/>
      </c>
      <c r="D2549">
        <f>"Life support ("&amp;IF(LEN(INDEX('Providers'!$R$4:$R$503,46))=0,"",INDEX('Providers'!$R$4:$R$503,46))&amp;") – "&amp;IF(LEN(INDEX('Providers'!$A$4:$A$503,46))=0,"",INDEX('Providers'!$A$4:$A$503,46))</f>
        <v/>
      </c>
      <c r="E2549">
        <f>IF(ISNUMBER(INDEX('Providers'!$S$4:$S$503,46)),TEXT(INDEX('Providers'!$S$4:$S$503,46),"yyyy-mm-dd"),"")</f>
        <v/>
      </c>
      <c r="F2549">
        <f>"Certification"</f>
        <v/>
      </c>
      <c r="G2549">
        <f>""</f>
        <v/>
      </c>
      <c r="H2549">
        <f>"Medium"</f>
        <v/>
      </c>
      <c r="I2549">
        <f>TRIM(IF(LEN(IF(LEN(INDEX('Providers'!$R$4:$R$503,46))=0,"",INDEX('Providers'!$R$4:$R$503,46)))=0,"","Card: "&amp;IF(LEN(INDEX('Providers'!$R$4:$R$503,46))=0,"",INDEX('Providers'!$R$4:$R$503,46))&amp;". "))</f>
        <v/>
      </c>
      <c r="J2549">
        <f>IF(LEN(INDEX('Providers'!$AJ$4:$AJ$503,46))=0,"",INDEX('Providers'!$AJ$4:$AJ$503,46))</f>
        <v/>
      </c>
      <c r="K2549">
        <f>IF(LEN(INDEX('Providers'!$AI$4:$AI$503,46))=0,"",INDEX('Providers'!$AI$4:$AI$503,46))</f>
        <v/>
      </c>
    </row>
    <row r="2550">
      <c r="A2550">
        <f>IF(AND(LEN('Providers'!A50)&gt;0,ISNUMBER('Providers'!S50)),1,0)</f>
        <v/>
      </c>
      <c r="B2550">
        <f>B2549+A2550</f>
        <v/>
      </c>
      <c r="C2550">
        <f>IF(2547&gt;$B$4503,"",MATCH(2547-0.5,$B$3:$B$4503,1))</f>
        <v/>
      </c>
      <c r="D2550">
        <f>"Life support ("&amp;IF(LEN(INDEX('Providers'!$R$4:$R$503,47))=0,"",INDEX('Providers'!$R$4:$R$503,47))&amp;") – "&amp;IF(LEN(INDEX('Providers'!$A$4:$A$503,47))=0,"",INDEX('Providers'!$A$4:$A$503,47))</f>
        <v/>
      </c>
      <c r="E2550">
        <f>IF(ISNUMBER(INDEX('Providers'!$S$4:$S$503,47)),TEXT(INDEX('Providers'!$S$4:$S$503,47),"yyyy-mm-dd"),"")</f>
        <v/>
      </c>
      <c r="F2550">
        <f>"Certification"</f>
        <v/>
      </c>
      <c r="G2550">
        <f>""</f>
        <v/>
      </c>
      <c r="H2550">
        <f>"Medium"</f>
        <v/>
      </c>
      <c r="I2550">
        <f>TRIM(IF(LEN(IF(LEN(INDEX('Providers'!$R$4:$R$503,47))=0,"",INDEX('Providers'!$R$4:$R$503,47)))=0,"","Card: "&amp;IF(LEN(INDEX('Providers'!$R$4:$R$503,47))=0,"",INDEX('Providers'!$R$4:$R$503,47))&amp;". "))</f>
        <v/>
      </c>
      <c r="J2550">
        <f>IF(LEN(INDEX('Providers'!$AJ$4:$AJ$503,47))=0,"",INDEX('Providers'!$AJ$4:$AJ$503,47))</f>
        <v/>
      </c>
      <c r="K2550">
        <f>IF(LEN(INDEX('Providers'!$AI$4:$AI$503,47))=0,"",INDEX('Providers'!$AI$4:$AI$503,47))</f>
        <v/>
      </c>
    </row>
    <row r="2551">
      <c r="A2551">
        <f>IF(AND(LEN('Providers'!A51)&gt;0,ISNUMBER('Providers'!S51)),1,0)</f>
        <v/>
      </c>
      <c r="B2551">
        <f>B2550+A2551</f>
        <v/>
      </c>
      <c r="C2551">
        <f>IF(2548&gt;$B$4503,"",MATCH(2548-0.5,$B$3:$B$4503,1))</f>
        <v/>
      </c>
      <c r="D2551">
        <f>"Life support ("&amp;IF(LEN(INDEX('Providers'!$R$4:$R$503,48))=0,"",INDEX('Providers'!$R$4:$R$503,48))&amp;") – "&amp;IF(LEN(INDEX('Providers'!$A$4:$A$503,48))=0,"",INDEX('Providers'!$A$4:$A$503,48))</f>
        <v/>
      </c>
      <c r="E2551">
        <f>IF(ISNUMBER(INDEX('Providers'!$S$4:$S$503,48)),TEXT(INDEX('Providers'!$S$4:$S$503,48),"yyyy-mm-dd"),"")</f>
        <v/>
      </c>
      <c r="F2551">
        <f>"Certification"</f>
        <v/>
      </c>
      <c r="G2551">
        <f>""</f>
        <v/>
      </c>
      <c r="H2551">
        <f>"Medium"</f>
        <v/>
      </c>
      <c r="I2551">
        <f>TRIM(IF(LEN(IF(LEN(INDEX('Providers'!$R$4:$R$503,48))=0,"",INDEX('Providers'!$R$4:$R$503,48)))=0,"","Card: "&amp;IF(LEN(INDEX('Providers'!$R$4:$R$503,48))=0,"",INDEX('Providers'!$R$4:$R$503,48))&amp;". "))</f>
        <v/>
      </c>
      <c r="J2551">
        <f>IF(LEN(INDEX('Providers'!$AJ$4:$AJ$503,48))=0,"",INDEX('Providers'!$AJ$4:$AJ$503,48))</f>
        <v/>
      </c>
      <c r="K2551">
        <f>IF(LEN(INDEX('Providers'!$AI$4:$AI$503,48))=0,"",INDEX('Providers'!$AI$4:$AI$503,48))</f>
        <v/>
      </c>
    </row>
    <row r="2552">
      <c r="A2552">
        <f>IF(AND(LEN('Providers'!A52)&gt;0,ISNUMBER('Providers'!S52)),1,0)</f>
        <v/>
      </c>
      <c r="B2552">
        <f>B2551+A2552</f>
        <v/>
      </c>
      <c r="C2552">
        <f>IF(2549&gt;$B$4503,"",MATCH(2549-0.5,$B$3:$B$4503,1))</f>
        <v/>
      </c>
      <c r="D2552">
        <f>"Life support ("&amp;IF(LEN(INDEX('Providers'!$R$4:$R$503,49))=0,"",INDEX('Providers'!$R$4:$R$503,49))&amp;") – "&amp;IF(LEN(INDEX('Providers'!$A$4:$A$503,49))=0,"",INDEX('Providers'!$A$4:$A$503,49))</f>
        <v/>
      </c>
      <c r="E2552">
        <f>IF(ISNUMBER(INDEX('Providers'!$S$4:$S$503,49)),TEXT(INDEX('Providers'!$S$4:$S$503,49),"yyyy-mm-dd"),"")</f>
        <v/>
      </c>
      <c r="F2552">
        <f>"Certification"</f>
        <v/>
      </c>
      <c r="G2552">
        <f>""</f>
        <v/>
      </c>
      <c r="H2552">
        <f>"Medium"</f>
        <v/>
      </c>
      <c r="I2552">
        <f>TRIM(IF(LEN(IF(LEN(INDEX('Providers'!$R$4:$R$503,49))=0,"",INDEX('Providers'!$R$4:$R$503,49)))=0,"","Card: "&amp;IF(LEN(INDEX('Providers'!$R$4:$R$503,49))=0,"",INDEX('Providers'!$R$4:$R$503,49))&amp;". "))</f>
        <v/>
      </c>
      <c r="J2552">
        <f>IF(LEN(INDEX('Providers'!$AJ$4:$AJ$503,49))=0,"",INDEX('Providers'!$AJ$4:$AJ$503,49))</f>
        <v/>
      </c>
      <c r="K2552">
        <f>IF(LEN(INDEX('Providers'!$AI$4:$AI$503,49))=0,"",INDEX('Providers'!$AI$4:$AI$503,49))</f>
        <v/>
      </c>
    </row>
    <row r="2553">
      <c r="A2553">
        <f>IF(AND(LEN('Providers'!A53)&gt;0,ISNUMBER('Providers'!S53)),1,0)</f>
        <v/>
      </c>
      <c r="B2553">
        <f>B2552+A2553</f>
        <v/>
      </c>
      <c r="C2553">
        <f>IF(2550&gt;$B$4503,"",MATCH(2550-0.5,$B$3:$B$4503,1))</f>
        <v/>
      </c>
      <c r="D2553">
        <f>"Life support ("&amp;IF(LEN(INDEX('Providers'!$R$4:$R$503,50))=0,"",INDEX('Providers'!$R$4:$R$503,50))&amp;") – "&amp;IF(LEN(INDEX('Providers'!$A$4:$A$503,50))=0,"",INDEX('Providers'!$A$4:$A$503,50))</f>
        <v/>
      </c>
      <c r="E2553">
        <f>IF(ISNUMBER(INDEX('Providers'!$S$4:$S$503,50)),TEXT(INDEX('Providers'!$S$4:$S$503,50),"yyyy-mm-dd"),"")</f>
        <v/>
      </c>
      <c r="F2553">
        <f>"Certification"</f>
        <v/>
      </c>
      <c r="G2553">
        <f>""</f>
        <v/>
      </c>
      <c r="H2553">
        <f>"Medium"</f>
        <v/>
      </c>
      <c r="I2553">
        <f>TRIM(IF(LEN(IF(LEN(INDEX('Providers'!$R$4:$R$503,50))=0,"",INDEX('Providers'!$R$4:$R$503,50)))=0,"","Card: "&amp;IF(LEN(INDEX('Providers'!$R$4:$R$503,50))=0,"",INDEX('Providers'!$R$4:$R$503,50))&amp;". "))</f>
        <v/>
      </c>
      <c r="J2553">
        <f>IF(LEN(INDEX('Providers'!$AJ$4:$AJ$503,50))=0,"",INDEX('Providers'!$AJ$4:$AJ$503,50))</f>
        <v/>
      </c>
      <c r="K2553">
        <f>IF(LEN(INDEX('Providers'!$AI$4:$AI$503,50))=0,"",INDEX('Providers'!$AI$4:$AI$503,50))</f>
        <v/>
      </c>
    </row>
    <row r="2554">
      <c r="A2554">
        <f>IF(AND(LEN('Providers'!A54)&gt;0,ISNUMBER('Providers'!S54)),1,0)</f>
        <v/>
      </c>
      <c r="B2554">
        <f>B2553+A2554</f>
        <v/>
      </c>
      <c r="C2554">
        <f>IF(2551&gt;$B$4503,"",MATCH(2551-0.5,$B$3:$B$4503,1))</f>
        <v/>
      </c>
      <c r="D2554">
        <f>"Life support ("&amp;IF(LEN(INDEX('Providers'!$R$4:$R$503,51))=0,"",INDEX('Providers'!$R$4:$R$503,51))&amp;") – "&amp;IF(LEN(INDEX('Providers'!$A$4:$A$503,51))=0,"",INDEX('Providers'!$A$4:$A$503,51))</f>
        <v/>
      </c>
      <c r="E2554">
        <f>IF(ISNUMBER(INDEX('Providers'!$S$4:$S$503,51)),TEXT(INDEX('Providers'!$S$4:$S$503,51),"yyyy-mm-dd"),"")</f>
        <v/>
      </c>
      <c r="F2554">
        <f>"Certification"</f>
        <v/>
      </c>
      <c r="G2554">
        <f>""</f>
        <v/>
      </c>
      <c r="H2554">
        <f>"Medium"</f>
        <v/>
      </c>
      <c r="I2554">
        <f>TRIM(IF(LEN(IF(LEN(INDEX('Providers'!$R$4:$R$503,51))=0,"",INDEX('Providers'!$R$4:$R$503,51)))=0,"","Card: "&amp;IF(LEN(INDEX('Providers'!$R$4:$R$503,51))=0,"",INDEX('Providers'!$R$4:$R$503,51))&amp;". "))</f>
        <v/>
      </c>
      <c r="J2554">
        <f>IF(LEN(INDEX('Providers'!$AJ$4:$AJ$503,51))=0,"",INDEX('Providers'!$AJ$4:$AJ$503,51))</f>
        <v/>
      </c>
      <c r="K2554">
        <f>IF(LEN(INDEX('Providers'!$AI$4:$AI$503,51))=0,"",INDEX('Providers'!$AI$4:$AI$503,51))</f>
        <v/>
      </c>
    </row>
    <row r="2555">
      <c r="A2555">
        <f>IF(AND(LEN('Providers'!A55)&gt;0,ISNUMBER('Providers'!S55)),1,0)</f>
        <v/>
      </c>
      <c r="B2555">
        <f>B2554+A2555</f>
        <v/>
      </c>
      <c r="C2555">
        <f>IF(2552&gt;$B$4503,"",MATCH(2552-0.5,$B$3:$B$4503,1))</f>
        <v/>
      </c>
      <c r="D2555">
        <f>"Life support ("&amp;IF(LEN(INDEX('Providers'!$R$4:$R$503,52))=0,"",INDEX('Providers'!$R$4:$R$503,52))&amp;") – "&amp;IF(LEN(INDEX('Providers'!$A$4:$A$503,52))=0,"",INDEX('Providers'!$A$4:$A$503,52))</f>
        <v/>
      </c>
      <c r="E2555">
        <f>IF(ISNUMBER(INDEX('Providers'!$S$4:$S$503,52)),TEXT(INDEX('Providers'!$S$4:$S$503,52),"yyyy-mm-dd"),"")</f>
        <v/>
      </c>
      <c r="F2555">
        <f>"Certification"</f>
        <v/>
      </c>
      <c r="G2555">
        <f>""</f>
        <v/>
      </c>
      <c r="H2555">
        <f>"Medium"</f>
        <v/>
      </c>
      <c r="I2555">
        <f>TRIM(IF(LEN(IF(LEN(INDEX('Providers'!$R$4:$R$503,52))=0,"",INDEX('Providers'!$R$4:$R$503,52)))=0,"","Card: "&amp;IF(LEN(INDEX('Providers'!$R$4:$R$503,52))=0,"",INDEX('Providers'!$R$4:$R$503,52))&amp;". "))</f>
        <v/>
      </c>
      <c r="J2555">
        <f>IF(LEN(INDEX('Providers'!$AJ$4:$AJ$503,52))=0,"",INDEX('Providers'!$AJ$4:$AJ$503,52))</f>
        <v/>
      </c>
      <c r="K2555">
        <f>IF(LEN(INDEX('Providers'!$AI$4:$AI$503,52))=0,"",INDEX('Providers'!$AI$4:$AI$503,52))</f>
        <v/>
      </c>
    </row>
    <row r="2556">
      <c r="A2556">
        <f>IF(AND(LEN('Providers'!A56)&gt;0,ISNUMBER('Providers'!S56)),1,0)</f>
        <v/>
      </c>
      <c r="B2556">
        <f>B2555+A2556</f>
        <v/>
      </c>
      <c r="C2556">
        <f>IF(2553&gt;$B$4503,"",MATCH(2553-0.5,$B$3:$B$4503,1))</f>
        <v/>
      </c>
      <c r="D2556">
        <f>"Life support ("&amp;IF(LEN(INDEX('Providers'!$R$4:$R$503,53))=0,"",INDEX('Providers'!$R$4:$R$503,53))&amp;") – "&amp;IF(LEN(INDEX('Providers'!$A$4:$A$503,53))=0,"",INDEX('Providers'!$A$4:$A$503,53))</f>
        <v/>
      </c>
      <c r="E2556">
        <f>IF(ISNUMBER(INDEX('Providers'!$S$4:$S$503,53)),TEXT(INDEX('Providers'!$S$4:$S$503,53),"yyyy-mm-dd"),"")</f>
        <v/>
      </c>
      <c r="F2556">
        <f>"Certification"</f>
        <v/>
      </c>
      <c r="G2556">
        <f>""</f>
        <v/>
      </c>
      <c r="H2556">
        <f>"Medium"</f>
        <v/>
      </c>
      <c r="I2556">
        <f>TRIM(IF(LEN(IF(LEN(INDEX('Providers'!$R$4:$R$503,53))=0,"",INDEX('Providers'!$R$4:$R$503,53)))=0,"","Card: "&amp;IF(LEN(INDEX('Providers'!$R$4:$R$503,53))=0,"",INDEX('Providers'!$R$4:$R$503,53))&amp;". "))</f>
        <v/>
      </c>
      <c r="J2556">
        <f>IF(LEN(INDEX('Providers'!$AJ$4:$AJ$503,53))=0,"",INDEX('Providers'!$AJ$4:$AJ$503,53))</f>
        <v/>
      </c>
      <c r="K2556">
        <f>IF(LEN(INDEX('Providers'!$AI$4:$AI$503,53))=0,"",INDEX('Providers'!$AI$4:$AI$503,53))</f>
        <v/>
      </c>
    </row>
    <row r="2557">
      <c r="A2557">
        <f>IF(AND(LEN('Providers'!A57)&gt;0,ISNUMBER('Providers'!S57)),1,0)</f>
        <v/>
      </c>
      <c r="B2557">
        <f>B2556+A2557</f>
        <v/>
      </c>
      <c r="C2557">
        <f>IF(2554&gt;$B$4503,"",MATCH(2554-0.5,$B$3:$B$4503,1))</f>
        <v/>
      </c>
      <c r="D2557">
        <f>"Life support ("&amp;IF(LEN(INDEX('Providers'!$R$4:$R$503,54))=0,"",INDEX('Providers'!$R$4:$R$503,54))&amp;") – "&amp;IF(LEN(INDEX('Providers'!$A$4:$A$503,54))=0,"",INDEX('Providers'!$A$4:$A$503,54))</f>
        <v/>
      </c>
      <c r="E2557">
        <f>IF(ISNUMBER(INDEX('Providers'!$S$4:$S$503,54)),TEXT(INDEX('Providers'!$S$4:$S$503,54),"yyyy-mm-dd"),"")</f>
        <v/>
      </c>
      <c r="F2557">
        <f>"Certification"</f>
        <v/>
      </c>
      <c r="G2557">
        <f>""</f>
        <v/>
      </c>
      <c r="H2557">
        <f>"Medium"</f>
        <v/>
      </c>
      <c r="I2557">
        <f>TRIM(IF(LEN(IF(LEN(INDEX('Providers'!$R$4:$R$503,54))=0,"",INDEX('Providers'!$R$4:$R$503,54)))=0,"","Card: "&amp;IF(LEN(INDEX('Providers'!$R$4:$R$503,54))=0,"",INDEX('Providers'!$R$4:$R$503,54))&amp;". "))</f>
        <v/>
      </c>
      <c r="J2557">
        <f>IF(LEN(INDEX('Providers'!$AJ$4:$AJ$503,54))=0,"",INDEX('Providers'!$AJ$4:$AJ$503,54))</f>
        <v/>
      </c>
      <c r="K2557">
        <f>IF(LEN(INDEX('Providers'!$AI$4:$AI$503,54))=0,"",INDEX('Providers'!$AI$4:$AI$503,54))</f>
        <v/>
      </c>
    </row>
    <row r="2558">
      <c r="A2558">
        <f>IF(AND(LEN('Providers'!A58)&gt;0,ISNUMBER('Providers'!S58)),1,0)</f>
        <v/>
      </c>
      <c r="B2558">
        <f>B2557+A2558</f>
        <v/>
      </c>
      <c r="C2558">
        <f>IF(2555&gt;$B$4503,"",MATCH(2555-0.5,$B$3:$B$4503,1))</f>
        <v/>
      </c>
      <c r="D2558">
        <f>"Life support ("&amp;IF(LEN(INDEX('Providers'!$R$4:$R$503,55))=0,"",INDEX('Providers'!$R$4:$R$503,55))&amp;") – "&amp;IF(LEN(INDEX('Providers'!$A$4:$A$503,55))=0,"",INDEX('Providers'!$A$4:$A$503,55))</f>
        <v/>
      </c>
      <c r="E2558">
        <f>IF(ISNUMBER(INDEX('Providers'!$S$4:$S$503,55)),TEXT(INDEX('Providers'!$S$4:$S$503,55),"yyyy-mm-dd"),"")</f>
        <v/>
      </c>
      <c r="F2558">
        <f>"Certification"</f>
        <v/>
      </c>
      <c r="G2558">
        <f>""</f>
        <v/>
      </c>
      <c r="H2558">
        <f>"Medium"</f>
        <v/>
      </c>
      <c r="I2558">
        <f>TRIM(IF(LEN(IF(LEN(INDEX('Providers'!$R$4:$R$503,55))=0,"",INDEX('Providers'!$R$4:$R$503,55)))=0,"","Card: "&amp;IF(LEN(INDEX('Providers'!$R$4:$R$503,55))=0,"",INDEX('Providers'!$R$4:$R$503,55))&amp;". "))</f>
        <v/>
      </c>
      <c r="J2558">
        <f>IF(LEN(INDEX('Providers'!$AJ$4:$AJ$503,55))=0,"",INDEX('Providers'!$AJ$4:$AJ$503,55))</f>
        <v/>
      </c>
      <c r="K2558">
        <f>IF(LEN(INDEX('Providers'!$AI$4:$AI$503,55))=0,"",INDEX('Providers'!$AI$4:$AI$503,55))</f>
        <v/>
      </c>
    </row>
    <row r="2559">
      <c r="A2559">
        <f>IF(AND(LEN('Providers'!A59)&gt;0,ISNUMBER('Providers'!S59)),1,0)</f>
        <v/>
      </c>
      <c r="B2559">
        <f>B2558+A2559</f>
        <v/>
      </c>
      <c r="C2559">
        <f>IF(2556&gt;$B$4503,"",MATCH(2556-0.5,$B$3:$B$4503,1))</f>
        <v/>
      </c>
      <c r="D2559">
        <f>"Life support ("&amp;IF(LEN(INDEX('Providers'!$R$4:$R$503,56))=0,"",INDEX('Providers'!$R$4:$R$503,56))&amp;") – "&amp;IF(LEN(INDEX('Providers'!$A$4:$A$503,56))=0,"",INDEX('Providers'!$A$4:$A$503,56))</f>
        <v/>
      </c>
      <c r="E2559">
        <f>IF(ISNUMBER(INDEX('Providers'!$S$4:$S$503,56)),TEXT(INDEX('Providers'!$S$4:$S$503,56),"yyyy-mm-dd"),"")</f>
        <v/>
      </c>
      <c r="F2559">
        <f>"Certification"</f>
        <v/>
      </c>
      <c r="G2559">
        <f>""</f>
        <v/>
      </c>
      <c r="H2559">
        <f>"Medium"</f>
        <v/>
      </c>
      <c r="I2559">
        <f>TRIM(IF(LEN(IF(LEN(INDEX('Providers'!$R$4:$R$503,56))=0,"",INDEX('Providers'!$R$4:$R$503,56)))=0,"","Card: "&amp;IF(LEN(INDEX('Providers'!$R$4:$R$503,56))=0,"",INDEX('Providers'!$R$4:$R$503,56))&amp;". "))</f>
        <v/>
      </c>
      <c r="J2559">
        <f>IF(LEN(INDEX('Providers'!$AJ$4:$AJ$503,56))=0,"",INDEX('Providers'!$AJ$4:$AJ$503,56))</f>
        <v/>
      </c>
      <c r="K2559">
        <f>IF(LEN(INDEX('Providers'!$AI$4:$AI$503,56))=0,"",INDEX('Providers'!$AI$4:$AI$503,56))</f>
        <v/>
      </c>
    </row>
    <row r="2560">
      <c r="A2560">
        <f>IF(AND(LEN('Providers'!A60)&gt;0,ISNUMBER('Providers'!S60)),1,0)</f>
        <v/>
      </c>
      <c r="B2560">
        <f>B2559+A2560</f>
        <v/>
      </c>
      <c r="C2560">
        <f>IF(2557&gt;$B$4503,"",MATCH(2557-0.5,$B$3:$B$4503,1))</f>
        <v/>
      </c>
      <c r="D2560">
        <f>"Life support ("&amp;IF(LEN(INDEX('Providers'!$R$4:$R$503,57))=0,"",INDEX('Providers'!$R$4:$R$503,57))&amp;") – "&amp;IF(LEN(INDEX('Providers'!$A$4:$A$503,57))=0,"",INDEX('Providers'!$A$4:$A$503,57))</f>
        <v/>
      </c>
      <c r="E2560">
        <f>IF(ISNUMBER(INDEX('Providers'!$S$4:$S$503,57)),TEXT(INDEX('Providers'!$S$4:$S$503,57),"yyyy-mm-dd"),"")</f>
        <v/>
      </c>
      <c r="F2560">
        <f>"Certification"</f>
        <v/>
      </c>
      <c r="G2560">
        <f>""</f>
        <v/>
      </c>
      <c r="H2560">
        <f>"Medium"</f>
        <v/>
      </c>
      <c r="I2560">
        <f>TRIM(IF(LEN(IF(LEN(INDEX('Providers'!$R$4:$R$503,57))=0,"",INDEX('Providers'!$R$4:$R$503,57)))=0,"","Card: "&amp;IF(LEN(INDEX('Providers'!$R$4:$R$503,57))=0,"",INDEX('Providers'!$R$4:$R$503,57))&amp;". "))</f>
        <v/>
      </c>
      <c r="J2560">
        <f>IF(LEN(INDEX('Providers'!$AJ$4:$AJ$503,57))=0,"",INDEX('Providers'!$AJ$4:$AJ$503,57))</f>
        <v/>
      </c>
      <c r="K2560">
        <f>IF(LEN(INDEX('Providers'!$AI$4:$AI$503,57))=0,"",INDEX('Providers'!$AI$4:$AI$503,57))</f>
        <v/>
      </c>
    </row>
    <row r="2561">
      <c r="A2561">
        <f>IF(AND(LEN('Providers'!A61)&gt;0,ISNUMBER('Providers'!S61)),1,0)</f>
        <v/>
      </c>
      <c r="B2561">
        <f>B2560+A2561</f>
        <v/>
      </c>
      <c r="C2561">
        <f>IF(2558&gt;$B$4503,"",MATCH(2558-0.5,$B$3:$B$4503,1))</f>
        <v/>
      </c>
      <c r="D2561">
        <f>"Life support ("&amp;IF(LEN(INDEX('Providers'!$R$4:$R$503,58))=0,"",INDEX('Providers'!$R$4:$R$503,58))&amp;") – "&amp;IF(LEN(INDEX('Providers'!$A$4:$A$503,58))=0,"",INDEX('Providers'!$A$4:$A$503,58))</f>
        <v/>
      </c>
      <c r="E2561">
        <f>IF(ISNUMBER(INDEX('Providers'!$S$4:$S$503,58)),TEXT(INDEX('Providers'!$S$4:$S$503,58),"yyyy-mm-dd"),"")</f>
        <v/>
      </c>
      <c r="F2561">
        <f>"Certification"</f>
        <v/>
      </c>
      <c r="G2561">
        <f>""</f>
        <v/>
      </c>
      <c r="H2561">
        <f>"Medium"</f>
        <v/>
      </c>
      <c r="I2561">
        <f>TRIM(IF(LEN(IF(LEN(INDEX('Providers'!$R$4:$R$503,58))=0,"",INDEX('Providers'!$R$4:$R$503,58)))=0,"","Card: "&amp;IF(LEN(INDEX('Providers'!$R$4:$R$503,58))=0,"",INDEX('Providers'!$R$4:$R$503,58))&amp;". "))</f>
        <v/>
      </c>
      <c r="J2561">
        <f>IF(LEN(INDEX('Providers'!$AJ$4:$AJ$503,58))=0,"",INDEX('Providers'!$AJ$4:$AJ$503,58))</f>
        <v/>
      </c>
      <c r="K2561">
        <f>IF(LEN(INDEX('Providers'!$AI$4:$AI$503,58))=0,"",INDEX('Providers'!$AI$4:$AI$503,58))</f>
        <v/>
      </c>
    </row>
    <row r="2562">
      <c r="A2562">
        <f>IF(AND(LEN('Providers'!A62)&gt;0,ISNUMBER('Providers'!S62)),1,0)</f>
        <v/>
      </c>
      <c r="B2562">
        <f>B2561+A2562</f>
        <v/>
      </c>
      <c r="C2562">
        <f>IF(2559&gt;$B$4503,"",MATCH(2559-0.5,$B$3:$B$4503,1))</f>
        <v/>
      </c>
      <c r="D2562">
        <f>"Life support ("&amp;IF(LEN(INDEX('Providers'!$R$4:$R$503,59))=0,"",INDEX('Providers'!$R$4:$R$503,59))&amp;") – "&amp;IF(LEN(INDEX('Providers'!$A$4:$A$503,59))=0,"",INDEX('Providers'!$A$4:$A$503,59))</f>
        <v/>
      </c>
      <c r="E2562">
        <f>IF(ISNUMBER(INDEX('Providers'!$S$4:$S$503,59)),TEXT(INDEX('Providers'!$S$4:$S$503,59),"yyyy-mm-dd"),"")</f>
        <v/>
      </c>
      <c r="F2562">
        <f>"Certification"</f>
        <v/>
      </c>
      <c r="G2562">
        <f>""</f>
        <v/>
      </c>
      <c r="H2562">
        <f>"Medium"</f>
        <v/>
      </c>
      <c r="I2562">
        <f>TRIM(IF(LEN(IF(LEN(INDEX('Providers'!$R$4:$R$503,59))=0,"",INDEX('Providers'!$R$4:$R$503,59)))=0,"","Card: "&amp;IF(LEN(INDEX('Providers'!$R$4:$R$503,59))=0,"",INDEX('Providers'!$R$4:$R$503,59))&amp;". "))</f>
        <v/>
      </c>
      <c r="J2562">
        <f>IF(LEN(INDEX('Providers'!$AJ$4:$AJ$503,59))=0,"",INDEX('Providers'!$AJ$4:$AJ$503,59))</f>
        <v/>
      </c>
      <c r="K2562">
        <f>IF(LEN(INDEX('Providers'!$AI$4:$AI$503,59))=0,"",INDEX('Providers'!$AI$4:$AI$503,59))</f>
        <v/>
      </c>
    </row>
    <row r="2563">
      <c r="A2563">
        <f>IF(AND(LEN('Providers'!A63)&gt;0,ISNUMBER('Providers'!S63)),1,0)</f>
        <v/>
      </c>
      <c r="B2563">
        <f>B2562+A2563</f>
        <v/>
      </c>
      <c r="C2563">
        <f>IF(2560&gt;$B$4503,"",MATCH(2560-0.5,$B$3:$B$4503,1))</f>
        <v/>
      </c>
      <c r="D2563">
        <f>"Life support ("&amp;IF(LEN(INDEX('Providers'!$R$4:$R$503,60))=0,"",INDEX('Providers'!$R$4:$R$503,60))&amp;") – "&amp;IF(LEN(INDEX('Providers'!$A$4:$A$503,60))=0,"",INDEX('Providers'!$A$4:$A$503,60))</f>
        <v/>
      </c>
      <c r="E2563">
        <f>IF(ISNUMBER(INDEX('Providers'!$S$4:$S$503,60)),TEXT(INDEX('Providers'!$S$4:$S$503,60),"yyyy-mm-dd"),"")</f>
        <v/>
      </c>
      <c r="F2563">
        <f>"Certification"</f>
        <v/>
      </c>
      <c r="G2563">
        <f>""</f>
        <v/>
      </c>
      <c r="H2563">
        <f>"Medium"</f>
        <v/>
      </c>
      <c r="I2563">
        <f>TRIM(IF(LEN(IF(LEN(INDEX('Providers'!$R$4:$R$503,60))=0,"",INDEX('Providers'!$R$4:$R$503,60)))=0,"","Card: "&amp;IF(LEN(INDEX('Providers'!$R$4:$R$503,60))=0,"",INDEX('Providers'!$R$4:$R$503,60))&amp;". "))</f>
        <v/>
      </c>
      <c r="J2563">
        <f>IF(LEN(INDEX('Providers'!$AJ$4:$AJ$503,60))=0,"",INDEX('Providers'!$AJ$4:$AJ$503,60))</f>
        <v/>
      </c>
      <c r="K2563">
        <f>IF(LEN(INDEX('Providers'!$AI$4:$AI$503,60))=0,"",INDEX('Providers'!$AI$4:$AI$503,60))</f>
        <v/>
      </c>
    </row>
    <row r="2564">
      <c r="A2564">
        <f>IF(AND(LEN('Providers'!A64)&gt;0,ISNUMBER('Providers'!S64)),1,0)</f>
        <v/>
      </c>
      <c r="B2564">
        <f>B2563+A2564</f>
        <v/>
      </c>
      <c r="C2564">
        <f>IF(2561&gt;$B$4503,"",MATCH(2561-0.5,$B$3:$B$4503,1))</f>
        <v/>
      </c>
      <c r="D2564">
        <f>"Life support ("&amp;IF(LEN(INDEX('Providers'!$R$4:$R$503,61))=0,"",INDEX('Providers'!$R$4:$R$503,61))&amp;") – "&amp;IF(LEN(INDEX('Providers'!$A$4:$A$503,61))=0,"",INDEX('Providers'!$A$4:$A$503,61))</f>
        <v/>
      </c>
      <c r="E2564">
        <f>IF(ISNUMBER(INDEX('Providers'!$S$4:$S$503,61)),TEXT(INDEX('Providers'!$S$4:$S$503,61),"yyyy-mm-dd"),"")</f>
        <v/>
      </c>
      <c r="F2564">
        <f>"Certification"</f>
        <v/>
      </c>
      <c r="G2564">
        <f>""</f>
        <v/>
      </c>
      <c r="H2564">
        <f>"Medium"</f>
        <v/>
      </c>
      <c r="I2564">
        <f>TRIM(IF(LEN(IF(LEN(INDEX('Providers'!$R$4:$R$503,61))=0,"",INDEX('Providers'!$R$4:$R$503,61)))=0,"","Card: "&amp;IF(LEN(INDEX('Providers'!$R$4:$R$503,61))=0,"",INDEX('Providers'!$R$4:$R$503,61))&amp;". "))</f>
        <v/>
      </c>
      <c r="J2564">
        <f>IF(LEN(INDEX('Providers'!$AJ$4:$AJ$503,61))=0,"",INDEX('Providers'!$AJ$4:$AJ$503,61))</f>
        <v/>
      </c>
      <c r="K2564">
        <f>IF(LEN(INDEX('Providers'!$AI$4:$AI$503,61))=0,"",INDEX('Providers'!$AI$4:$AI$503,61))</f>
        <v/>
      </c>
    </row>
    <row r="2565">
      <c r="A2565">
        <f>IF(AND(LEN('Providers'!A65)&gt;0,ISNUMBER('Providers'!S65)),1,0)</f>
        <v/>
      </c>
      <c r="B2565">
        <f>B2564+A2565</f>
        <v/>
      </c>
      <c r="C2565">
        <f>IF(2562&gt;$B$4503,"",MATCH(2562-0.5,$B$3:$B$4503,1))</f>
        <v/>
      </c>
      <c r="D2565">
        <f>"Life support ("&amp;IF(LEN(INDEX('Providers'!$R$4:$R$503,62))=0,"",INDEX('Providers'!$R$4:$R$503,62))&amp;") – "&amp;IF(LEN(INDEX('Providers'!$A$4:$A$503,62))=0,"",INDEX('Providers'!$A$4:$A$503,62))</f>
        <v/>
      </c>
      <c r="E2565">
        <f>IF(ISNUMBER(INDEX('Providers'!$S$4:$S$503,62)),TEXT(INDEX('Providers'!$S$4:$S$503,62),"yyyy-mm-dd"),"")</f>
        <v/>
      </c>
      <c r="F2565">
        <f>"Certification"</f>
        <v/>
      </c>
      <c r="G2565">
        <f>""</f>
        <v/>
      </c>
      <c r="H2565">
        <f>"Medium"</f>
        <v/>
      </c>
      <c r="I2565">
        <f>TRIM(IF(LEN(IF(LEN(INDEX('Providers'!$R$4:$R$503,62))=0,"",INDEX('Providers'!$R$4:$R$503,62)))=0,"","Card: "&amp;IF(LEN(INDEX('Providers'!$R$4:$R$503,62))=0,"",INDEX('Providers'!$R$4:$R$503,62))&amp;". "))</f>
        <v/>
      </c>
      <c r="J2565">
        <f>IF(LEN(INDEX('Providers'!$AJ$4:$AJ$503,62))=0,"",INDEX('Providers'!$AJ$4:$AJ$503,62))</f>
        <v/>
      </c>
      <c r="K2565">
        <f>IF(LEN(INDEX('Providers'!$AI$4:$AI$503,62))=0,"",INDEX('Providers'!$AI$4:$AI$503,62))</f>
        <v/>
      </c>
    </row>
    <row r="2566">
      <c r="A2566">
        <f>IF(AND(LEN('Providers'!A66)&gt;0,ISNUMBER('Providers'!S66)),1,0)</f>
        <v/>
      </c>
      <c r="B2566">
        <f>B2565+A2566</f>
        <v/>
      </c>
      <c r="C2566">
        <f>IF(2563&gt;$B$4503,"",MATCH(2563-0.5,$B$3:$B$4503,1))</f>
        <v/>
      </c>
      <c r="D2566">
        <f>"Life support ("&amp;IF(LEN(INDEX('Providers'!$R$4:$R$503,63))=0,"",INDEX('Providers'!$R$4:$R$503,63))&amp;") – "&amp;IF(LEN(INDEX('Providers'!$A$4:$A$503,63))=0,"",INDEX('Providers'!$A$4:$A$503,63))</f>
        <v/>
      </c>
      <c r="E2566">
        <f>IF(ISNUMBER(INDEX('Providers'!$S$4:$S$503,63)),TEXT(INDEX('Providers'!$S$4:$S$503,63),"yyyy-mm-dd"),"")</f>
        <v/>
      </c>
      <c r="F2566">
        <f>"Certification"</f>
        <v/>
      </c>
      <c r="G2566">
        <f>""</f>
        <v/>
      </c>
      <c r="H2566">
        <f>"Medium"</f>
        <v/>
      </c>
      <c r="I2566">
        <f>TRIM(IF(LEN(IF(LEN(INDEX('Providers'!$R$4:$R$503,63))=0,"",INDEX('Providers'!$R$4:$R$503,63)))=0,"","Card: "&amp;IF(LEN(INDEX('Providers'!$R$4:$R$503,63))=0,"",INDEX('Providers'!$R$4:$R$503,63))&amp;". "))</f>
        <v/>
      </c>
      <c r="J2566">
        <f>IF(LEN(INDEX('Providers'!$AJ$4:$AJ$503,63))=0,"",INDEX('Providers'!$AJ$4:$AJ$503,63))</f>
        <v/>
      </c>
      <c r="K2566">
        <f>IF(LEN(INDEX('Providers'!$AI$4:$AI$503,63))=0,"",INDEX('Providers'!$AI$4:$AI$503,63))</f>
        <v/>
      </c>
    </row>
    <row r="2567">
      <c r="A2567">
        <f>IF(AND(LEN('Providers'!A67)&gt;0,ISNUMBER('Providers'!S67)),1,0)</f>
        <v/>
      </c>
      <c r="B2567">
        <f>B2566+A2567</f>
        <v/>
      </c>
      <c r="C2567">
        <f>IF(2564&gt;$B$4503,"",MATCH(2564-0.5,$B$3:$B$4503,1))</f>
        <v/>
      </c>
      <c r="D2567">
        <f>"Life support ("&amp;IF(LEN(INDEX('Providers'!$R$4:$R$503,64))=0,"",INDEX('Providers'!$R$4:$R$503,64))&amp;") – "&amp;IF(LEN(INDEX('Providers'!$A$4:$A$503,64))=0,"",INDEX('Providers'!$A$4:$A$503,64))</f>
        <v/>
      </c>
      <c r="E2567">
        <f>IF(ISNUMBER(INDEX('Providers'!$S$4:$S$503,64)),TEXT(INDEX('Providers'!$S$4:$S$503,64),"yyyy-mm-dd"),"")</f>
        <v/>
      </c>
      <c r="F2567">
        <f>"Certification"</f>
        <v/>
      </c>
      <c r="G2567">
        <f>""</f>
        <v/>
      </c>
      <c r="H2567">
        <f>"Medium"</f>
        <v/>
      </c>
      <c r="I2567">
        <f>TRIM(IF(LEN(IF(LEN(INDEX('Providers'!$R$4:$R$503,64))=0,"",INDEX('Providers'!$R$4:$R$503,64)))=0,"","Card: "&amp;IF(LEN(INDEX('Providers'!$R$4:$R$503,64))=0,"",INDEX('Providers'!$R$4:$R$503,64))&amp;". "))</f>
        <v/>
      </c>
      <c r="J2567">
        <f>IF(LEN(INDEX('Providers'!$AJ$4:$AJ$503,64))=0,"",INDEX('Providers'!$AJ$4:$AJ$503,64))</f>
        <v/>
      </c>
      <c r="K2567">
        <f>IF(LEN(INDEX('Providers'!$AI$4:$AI$503,64))=0,"",INDEX('Providers'!$AI$4:$AI$503,64))</f>
        <v/>
      </c>
    </row>
    <row r="2568">
      <c r="A2568">
        <f>IF(AND(LEN('Providers'!A68)&gt;0,ISNUMBER('Providers'!S68)),1,0)</f>
        <v/>
      </c>
      <c r="B2568">
        <f>B2567+A2568</f>
        <v/>
      </c>
      <c r="C2568">
        <f>IF(2565&gt;$B$4503,"",MATCH(2565-0.5,$B$3:$B$4503,1))</f>
        <v/>
      </c>
      <c r="D2568">
        <f>"Life support ("&amp;IF(LEN(INDEX('Providers'!$R$4:$R$503,65))=0,"",INDEX('Providers'!$R$4:$R$503,65))&amp;") – "&amp;IF(LEN(INDEX('Providers'!$A$4:$A$503,65))=0,"",INDEX('Providers'!$A$4:$A$503,65))</f>
        <v/>
      </c>
      <c r="E2568">
        <f>IF(ISNUMBER(INDEX('Providers'!$S$4:$S$503,65)),TEXT(INDEX('Providers'!$S$4:$S$503,65),"yyyy-mm-dd"),"")</f>
        <v/>
      </c>
      <c r="F2568">
        <f>"Certification"</f>
        <v/>
      </c>
      <c r="G2568">
        <f>""</f>
        <v/>
      </c>
      <c r="H2568">
        <f>"Medium"</f>
        <v/>
      </c>
      <c r="I2568">
        <f>TRIM(IF(LEN(IF(LEN(INDEX('Providers'!$R$4:$R$503,65))=0,"",INDEX('Providers'!$R$4:$R$503,65)))=0,"","Card: "&amp;IF(LEN(INDEX('Providers'!$R$4:$R$503,65))=0,"",INDEX('Providers'!$R$4:$R$503,65))&amp;". "))</f>
        <v/>
      </c>
      <c r="J2568">
        <f>IF(LEN(INDEX('Providers'!$AJ$4:$AJ$503,65))=0,"",INDEX('Providers'!$AJ$4:$AJ$503,65))</f>
        <v/>
      </c>
      <c r="K2568">
        <f>IF(LEN(INDEX('Providers'!$AI$4:$AI$503,65))=0,"",INDEX('Providers'!$AI$4:$AI$503,65))</f>
        <v/>
      </c>
    </row>
    <row r="2569">
      <c r="A2569">
        <f>IF(AND(LEN('Providers'!A69)&gt;0,ISNUMBER('Providers'!S69)),1,0)</f>
        <v/>
      </c>
      <c r="B2569">
        <f>B2568+A2569</f>
        <v/>
      </c>
      <c r="C2569">
        <f>IF(2566&gt;$B$4503,"",MATCH(2566-0.5,$B$3:$B$4503,1))</f>
        <v/>
      </c>
      <c r="D2569">
        <f>"Life support ("&amp;IF(LEN(INDEX('Providers'!$R$4:$R$503,66))=0,"",INDEX('Providers'!$R$4:$R$503,66))&amp;") – "&amp;IF(LEN(INDEX('Providers'!$A$4:$A$503,66))=0,"",INDEX('Providers'!$A$4:$A$503,66))</f>
        <v/>
      </c>
      <c r="E2569">
        <f>IF(ISNUMBER(INDEX('Providers'!$S$4:$S$503,66)),TEXT(INDEX('Providers'!$S$4:$S$503,66),"yyyy-mm-dd"),"")</f>
        <v/>
      </c>
      <c r="F2569">
        <f>"Certification"</f>
        <v/>
      </c>
      <c r="G2569">
        <f>""</f>
        <v/>
      </c>
      <c r="H2569">
        <f>"Medium"</f>
        <v/>
      </c>
      <c r="I2569">
        <f>TRIM(IF(LEN(IF(LEN(INDEX('Providers'!$R$4:$R$503,66))=0,"",INDEX('Providers'!$R$4:$R$503,66)))=0,"","Card: "&amp;IF(LEN(INDEX('Providers'!$R$4:$R$503,66))=0,"",INDEX('Providers'!$R$4:$R$503,66))&amp;". "))</f>
        <v/>
      </c>
      <c r="J2569">
        <f>IF(LEN(INDEX('Providers'!$AJ$4:$AJ$503,66))=0,"",INDEX('Providers'!$AJ$4:$AJ$503,66))</f>
        <v/>
      </c>
      <c r="K2569">
        <f>IF(LEN(INDEX('Providers'!$AI$4:$AI$503,66))=0,"",INDEX('Providers'!$AI$4:$AI$503,66))</f>
        <v/>
      </c>
    </row>
    <row r="2570">
      <c r="A2570">
        <f>IF(AND(LEN('Providers'!A70)&gt;0,ISNUMBER('Providers'!S70)),1,0)</f>
        <v/>
      </c>
      <c r="B2570">
        <f>B2569+A2570</f>
        <v/>
      </c>
      <c r="C2570">
        <f>IF(2567&gt;$B$4503,"",MATCH(2567-0.5,$B$3:$B$4503,1))</f>
        <v/>
      </c>
      <c r="D2570">
        <f>"Life support ("&amp;IF(LEN(INDEX('Providers'!$R$4:$R$503,67))=0,"",INDEX('Providers'!$R$4:$R$503,67))&amp;") – "&amp;IF(LEN(INDEX('Providers'!$A$4:$A$503,67))=0,"",INDEX('Providers'!$A$4:$A$503,67))</f>
        <v/>
      </c>
      <c r="E2570">
        <f>IF(ISNUMBER(INDEX('Providers'!$S$4:$S$503,67)),TEXT(INDEX('Providers'!$S$4:$S$503,67),"yyyy-mm-dd"),"")</f>
        <v/>
      </c>
      <c r="F2570">
        <f>"Certification"</f>
        <v/>
      </c>
      <c r="G2570">
        <f>""</f>
        <v/>
      </c>
      <c r="H2570">
        <f>"Medium"</f>
        <v/>
      </c>
      <c r="I2570">
        <f>TRIM(IF(LEN(IF(LEN(INDEX('Providers'!$R$4:$R$503,67))=0,"",INDEX('Providers'!$R$4:$R$503,67)))=0,"","Card: "&amp;IF(LEN(INDEX('Providers'!$R$4:$R$503,67))=0,"",INDEX('Providers'!$R$4:$R$503,67))&amp;". "))</f>
        <v/>
      </c>
      <c r="J2570">
        <f>IF(LEN(INDEX('Providers'!$AJ$4:$AJ$503,67))=0,"",INDEX('Providers'!$AJ$4:$AJ$503,67))</f>
        <v/>
      </c>
      <c r="K2570">
        <f>IF(LEN(INDEX('Providers'!$AI$4:$AI$503,67))=0,"",INDEX('Providers'!$AI$4:$AI$503,67))</f>
        <v/>
      </c>
    </row>
    <row r="2571">
      <c r="A2571">
        <f>IF(AND(LEN('Providers'!A71)&gt;0,ISNUMBER('Providers'!S71)),1,0)</f>
        <v/>
      </c>
      <c r="B2571">
        <f>B2570+A2571</f>
        <v/>
      </c>
      <c r="C2571">
        <f>IF(2568&gt;$B$4503,"",MATCH(2568-0.5,$B$3:$B$4503,1))</f>
        <v/>
      </c>
      <c r="D2571">
        <f>"Life support ("&amp;IF(LEN(INDEX('Providers'!$R$4:$R$503,68))=0,"",INDEX('Providers'!$R$4:$R$503,68))&amp;") – "&amp;IF(LEN(INDEX('Providers'!$A$4:$A$503,68))=0,"",INDEX('Providers'!$A$4:$A$503,68))</f>
        <v/>
      </c>
      <c r="E2571">
        <f>IF(ISNUMBER(INDEX('Providers'!$S$4:$S$503,68)),TEXT(INDEX('Providers'!$S$4:$S$503,68),"yyyy-mm-dd"),"")</f>
        <v/>
      </c>
      <c r="F2571">
        <f>"Certification"</f>
        <v/>
      </c>
      <c r="G2571">
        <f>""</f>
        <v/>
      </c>
      <c r="H2571">
        <f>"Medium"</f>
        <v/>
      </c>
      <c r="I2571">
        <f>TRIM(IF(LEN(IF(LEN(INDEX('Providers'!$R$4:$R$503,68))=0,"",INDEX('Providers'!$R$4:$R$503,68)))=0,"","Card: "&amp;IF(LEN(INDEX('Providers'!$R$4:$R$503,68))=0,"",INDEX('Providers'!$R$4:$R$503,68))&amp;". "))</f>
        <v/>
      </c>
      <c r="J2571">
        <f>IF(LEN(INDEX('Providers'!$AJ$4:$AJ$503,68))=0,"",INDEX('Providers'!$AJ$4:$AJ$503,68))</f>
        <v/>
      </c>
      <c r="K2571">
        <f>IF(LEN(INDEX('Providers'!$AI$4:$AI$503,68))=0,"",INDEX('Providers'!$AI$4:$AI$503,68))</f>
        <v/>
      </c>
    </row>
    <row r="2572">
      <c r="A2572">
        <f>IF(AND(LEN('Providers'!A72)&gt;0,ISNUMBER('Providers'!S72)),1,0)</f>
        <v/>
      </c>
      <c r="B2572">
        <f>B2571+A2572</f>
        <v/>
      </c>
      <c r="C2572">
        <f>IF(2569&gt;$B$4503,"",MATCH(2569-0.5,$B$3:$B$4503,1))</f>
        <v/>
      </c>
      <c r="D2572">
        <f>"Life support ("&amp;IF(LEN(INDEX('Providers'!$R$4:$R$503,69))=0,"",INDEX('Providers'!$R$4:$R$503,69))&amp;") – "&amp;IF(LEN(INDEX('Providers'!$A$4:$A$503,69))=0,"",INDEX('Providers'!$A$4:$A$503,69))</f>
        <v/>
      </c>
      <c r="E2572">
        <f>IF(ISNUMBER(INDEX('Providers'!$S$4:$S$503,69)),TEXT(INDEX('Providers'!$S$4:$S$503,69),"yyyy-mm-dd"),"")</f>
        <v/>
      </c>
      <c r="F2572">
        <f>"Certification"</f>
        <v/>
      </c>
      <c r="G2572">
        <f>""</f>
        <v/>
      </c>
      <c r="H2572">
        <f>"Medium"</f>
        <v/>
      </c>
      <c r="I2572">
        <f>TRIM(IF(LEN(IF(LEN(INDEX('Providers'!$R$4:$R$503,69))=0,"",INDEX('Providers'!$R$4:$R$503,69)))=0,"","Card: "&amp;IF(LEN(INDEX('Providers'!$R$4:$R$503,69))=0,"",INDEX('Providers'!$R$4:$R$503,69))&amp;". "))</f>
        <v/>
      </c>
      <c r="J2572">
        <f>IF(LEN(INDEX('Providers'!$AJ$4:$AJ$503,69))=0,"",INDEX('Providers'!$AJ$4:$AJ$503,69))</f>
        <v/>
      </c>
      <c r="K2572">
        <f>IF(LEN(INDEX('Providers'!$AI$4:$AI$503,69))=0,"",INDEX('Providers'!$AI$4:$AI$503,69))</f>
        <v/>
      </c>
    </row>
    <row r="2573">
      <c r="A2573">
        <f>IF(AND(LEN('Providers'!A73)&gt;0,ISNUMBER('Providers'!S73)),1,0)</f>
        <v/>
      </c>
      <c r="B2573">
        <f>B2572+A2573</f>
        <v/>
      </c>
      <c r="C2573">
        <f>IF(2570&gt;$B$4503,"",MATCH(2570-0.5,$B$3:$B$4503,1))</f>
        <v/>
      </c>
      <c r="D2573">
        <f>"Life support ("&amp;IF(LEN(INDEX('Providers'!$R$4:$R$503,70))=0,"",INDEX('Providers'!$R$4:$R$503,70))&amp;") – "&amp;IF(LEN(INDEX('Providers'!$A$4:$A$503,70))=0,"",INDEX('Providers'!$A$4:$A$503,70))</f>
        <v/>
      </c>
      <c r="E2573">
        <f>IF(ISNUMBER(INDEX('Providers'!$S$4:$S$503,70)),TEXT(INDEX('Providers'!$S$4:$S$503,70),"yyyy-mm-dd"),"")</f>
        <v/>
      </c>
      <c r="F2573">
        <f>"Certification"</f>
        <v/>
      </c>
      <c r="G2573">
        <f>""</f>
        <v/>
      </c>
      <c r="H2573">
        <f>"Medium"</f>
        <v/>
      </c>
      <c r="I2573">
        <f>TRIM(IF(LEN(IF(LEN(INDEX('Providers'!$R$4:$R$503,70))=0,"",INDEX('Providers'!$R$4:$R$503,70)))=0,"","Card: "&amp;IF(LEN(INDEX('Providers'!$R$4:$R$503,70))=0,"",INDEX('Providers'!$R$4:$R$503,70))&amp;". "))</f>
        <v/>
      </c>
      <c r="J2573">
        <f>IF(LEN(INDEX('Providers'!$AJ$4:$AJ$503,70))=0,"",INDEX('Providers'!$AJ$4:$AJ$503,70))</f>
        <v/>
      </c>
      <c r="K2573">
        <f>IF(LEN(INDEX('Providers'!$AI$4:$AI$503,70))=0,"",INDEX('Providers'!$AI$4:$AI$503,70))</f>
        <v/>
      </c>
    </row>
    <row r="2574">
      <c r="A2574">
        <f>IF(AND(LEN('Providers'!A74)&gt;0,ISNUMBER('Providers'!S74)),1,0)</f>
        <v/>
      </c>
      <c r="B2574">
        <f>B2573+A2574</f>
        <v/>
      </c>
      <c r="C2574">
        <f>IF(2571&gt;$B$4503,"",MATCH(2571-0.5,$B$3:$B$4503,1))</f>
        <v/>
      </c>
      <c r="D2574">
        <f>"Life support ("&amp;IF(LEN(INDEX('Providers'!$R$4:$R$503,71))=0,"",INDEX('Providers'!$R$4:$R$503,71))&amp;") – "&amp;IF(LEN(INDEX('Providers'!$A$4:$A$503,71))=0,"",INDEX('Providers'!$A$4:$A$503,71))</f>
        <v/>
      </c>
      <c r="E2574">
        <f>IF(ISNUMBER(INDEX('Providers'!$S$4:$S$503,71)),TEXT(INDEX('Providers'!$S$4:$S$503,71),"yyyy-mm-dd"),"")</f>
        <v/>
      </c>
      <c r="F2574">
        <f>"Certification"</f>
        <v/>
      </c>
      <c r="G2574">
        <f>""</f>
        <v/>
      </c>
      <c r="H2574">
        <f>"Medium"</f>
        <v/>
      </c>
      <c r="I2574">
        <f>TRIM(IF(LEN(IF(LEN(INDEX('Providers'!$R$4:$R$503,71))=0,"",INDEX('Providers'!$R$4:$R$503,71)))=0,"","Card: "&amp;IF(LEN(INDEX('Providers'!$R$4:$R$503,71))=0,"",INDEX('Providers'!$R$4:$R$503,71))&amp;". "))</f>
        <v/>
      </c>
      <c r="J2574">
        <f>IF(LEN(INDEX('Providers'!$AJ$4:$AJ$503,71))=0,"",INDEX('Providers'!$AJ$4:$AJ$503,71))</f>
        <v/>
      </c>
      <c r="K2574">
        <f>IF(LEN(INDEX('Providers'!$AI$4:$AI$503,71))=0,"",INDEX('Providers'!$AI$4:$AI$503,71))</f>
        <v/>
      </c>
    </row>
    <row r="2575">
      <c r="A2575">
        <f>IF(AND(LEN('Providers'!A75)&gt;0,ISNUMBER('Providers'!S75)),1,0)</f>
        <v/>
      </c>
      <c r="B2575">
        <f>B2574+A2575</f>
        <v/>
      </c>
      <c r="C2575">
        <f>IF(2572&gt;$B$4503,"",MATCH(2572-0.5,$B$3:$B$4503,1))</f>
        <v/>
      </c>
      <c r="D2575">
        <f>"Life support ("&amp;IF(LEN(INDEX('Providers'!$R$4:$R$503,72))=0,"",INDEX('Providers'!$R$4:$R$503,72))&amp;") – "&amp;IF(LEN(INDEX('Providers'!$A$4:$A$503,72))=0,"",INDEX('Providers'!$A$4:$A$503,72))</f>
        <v/>
      </c>
      <c r="E2575">
        <f>IF(ISNUMBER(INDEX('Providers'!$S$4:$S$503,72)),TEXT(INDEX('Providers'!$S$4:$S$503,72),"yyyy-mm-dd"),"")</f>
        <v/>
      </c>
      <c r="F2575">
        <f>"Certification"</f>
        <v/>
      </c>
      <c r="G2575">
        <f>""</f>
        <v/>
      </c>
      <c r="H2575">
        <f>"Medium"</f>
        <v/>
      </c>
      <c r="I2575">
        <f>TRIM(IF(LEN(IF(LEN(INDEX('Providers'!$R$4:$R$503,72))=0,"",INDEX('Providers'!$R$4:$R$503,72)))=0,"","Card: "&amp;IF(LEN(INDEX('Providers'!$R$4:$R$503,72))=0,"",INDEX('Providers'!$R$4:$R$503,72))&amp;". "))</f>
        <v/>
      </c>
      <c r="J2575">
        <f>IF(LEN(INDEX('Providers'!$AJ$4:$AJ$503,72))=0,"",INDEX('Providers'!$AJ$4:$AJ$503,72))</f>
        <v/>
      </c>
      <c r="K2575">
        <f>IF(LEN(INDEX('Providers'!$AI$4:$AI$503,72))=0,"",INDEX('Providers'!$AI$4:$AI$503,72))</f>
        <v/>
      </c>
    </row>
    <row r="2576">
      <c r="A2576">
        <f>IF(AND(LEN('Providers'!A76)&gt;0,ISNUMBER('Providers'!S76)),1,0)</f>
        <v/>
      </c>
      <c r="B2576">
        <f>B2575+A2576</f>
        <v/>
      </c>
      <c r="C2576">
        <f>IF(2573&gt;$B$4503,"",MATCH(2573-0.5,$B$3:$B$4503,1))</f>
        <v/>
      </c>
      <c r="D2576">
        <f>"Life support ("&amp;IF(LEN(INDEX('Providers'!$R$4:$R$503,73))=0,"",INDEX('Providers'!$R$4:$R$503,73))&amp;") – "&amp;IF(LEN(INDEX('Providers'!$A$4:$A$503,73))=0,"",INDEX('Providers'!$A$4:$A$503,73))</f>
        <v/>
      </c>
      <c r="E2576">
        <f>IF(ISNUMBER(INDEX('Providers'!$S$4:$S$503,73)),TEXT(INDEX('Providers'!$S$4:$S$503,73),"yyyy-mm-dd"),"")</f>
        <v/>
      </c>
      <c r="F2576">
        <f>"Certification"</f>
        <v/>
      </c>
      <c r="G2576">
        <f>""</f>
        <v/>
      </c>
      <c r="H2576">
        <f>"Medium"</f>
        <v/>
      </c>
      <c r="I2576">
        <f>TRIM(IF(LEN(IF(LEN(INDEX('Providers'!$R$4:$R$503,73))=0,"",INDEX('Providers'!$R$4:$R$503,73)))=0,"","Card: "&amp;IF(LEN(INDEX('Providers'!$R$4:$R$503,73))=0,"",INDEX('Providers'!$R$4:$R$503,73))&amp;". "))</f>
        <v/>
      </c>
      <c r="J2576">
        <f>IF(LEN(INDEX('Providers'!$AJ$4:$AJ$503,73))=0,"",INDEX('Providers'!$AJ$4:$AJ$503,73))</f>
        <v/>
      </c>
      <c r="K2576">
        <f>IF(LEN(INDEX('Providers'!$AI$4:$AI$503,73))=0,"",INDEX('Providers'!$AI$4:$AI$503,73))</f>
        <v/>
      </c>
    </row>
    <row r="2577">
      <c r="A2577">
        <f>IF(AND(LEN('Providers'!A77)&gt;0,ISNUMBER('Providers'!S77)),1,0)</f>
        <v/>
      </c>
      <c r="B2577">
        <f>B2576+A2577</f>
        <v/>
      </c>
      <c r="C2577">
        <f>IF(2574&gt;$B$4503,"",MATCH(2574-0.5,$B$3:$B$4503,1))</f>
        <v/>
      </c>
      <c r="D2577">
        <f>"Life support ("&amp;IF(LEN(INDEX('Providers'!$R$4:$R$503,74))=0,"",INDEX('Providers'!$R$4:$R$503,74))&amp;") – "&amp;IF(LEN(INDEX('Providers'!$A$4:$A$503,74))=0,"",INDEX('Providers'!$A$4:$A$503,74))</f>
        <v/>
      </c>
      <c r="E2577">
        <f>IF(ISNUMBER(INDEX('Providers'!$S$4:$S$503,74)),TEXT(INDEX('Providers'!$S$4:$S$503,74),"yyyy-mm-dd"),"")</f>
        <v/>
      </c>
      <c r="F2577">
        <f>"Certification"</f>
        <v/>
      </c>
      <c r="G2577">
        <f>""</f>
        <v/>
      </c>
      <c r="H2577">
        <f>"Medium"</f>
        <v/>
      </c>
      <c r="I2577">
        <f>TRIM(IF(LEN(IF(LEN(INDEX('Providers'!$R$4:$R$503,74))=0,"",INDEX('Providers'!$R$4:$R$503,74)))=0,"","Card: "&amp;IF(LEN(INDEX('Providers'!$R$4:$R$503,74))=0,"",INDEX('Providers'!$R$4:$R$503,74))&amp;". "))</f>
        <v/>
      </c>
      <c r="J2577">
        <f>IF(LEN(INDEX('Providers'!$AJ$4:$AJ$503,74))=0,"",INDEX('Providers'!$AJ$4:$AJ$503,74))</f>
        <v/>
      </c>
      <c r="K2577">
        <f>IF(LEN(INDEX('Providers'!$AI$4:$AI$503,74))=0,"",INDEX('Providers'!$AI$4:$AI$503,74))</f>
        <v/>
      </c>
    </row>
    <row r="2578">
      <c r="A2578">
        <f>IF(AND(LEN('Providers'!A78)&gt;0,ISNUMBER('Providers'!S78)),1,0)</f>
        <v/>
      </c>
      <c r="B2578">
        <f>B2577+A2578</f>
        <v/>
      </c>
      <c r="C2578">
        <f>IF(2575&gt;$B$4503,"",MATCH(2575-0.5,$B$3:$B$4503,1))</f>
        <v/>
      </c>
      <c r="D2578">
        <f>"Life support ("&amp;IF(LEN(INDEX('Providers'!$R$4:$R$503,75))=0,"",INDEX('Providers'!$R$4:$R$503,75))&amp;") – "&amp;IF(LEN(INDEX('Providers'!$A$4:$A$503,75))=0,"",INDEX('Providers'!$A$4:$A$503,75))</f>
        <v/>
      </c>
      <c r="E2578">
        <f>IF(ISNUMBER(INDEX('Providers'!$S$4:$S$503,75)),TEXT(INDEX('Providers'!$S$4:$S$503,75),"yyyy-mm-dd"),"")</f>
        <v/>
      </c>
      <c r="F2578">
        <f>"Certification"</f>
        <v/>
      </c>
      <c r="G2578">
        <f>""</f>
        <v/>
      </c>
      <c r="H2578">
        <f>"Medium"</f>
        <v/>
      </c>
      <c r="I2578">
        <f>TRIM(IF(LEN(IF(LEN(INDEX('Providers'!$R$4:$R$503,75))=0,"",INDEX('Providers'!$R$4:$R$503,75)))=0,"","Card: "&amp;IF(LEN(INDEX('Providers'!$R$4:$R$503,75))=0,"",INDEX('Providers'!$R$4:$R$503,75))&amp;". "))</f>
        <v/>
      </c>
      <c r="J2578">
        <f>IF(LEN(INDEX('Providers'!$AJ$4:$AJ$503,75))=0,"",INDEX('Providers'!$AJ$4:$AJ$503,75))</f>
        <v/>
      </c>
      <c r="K2578">
        <f>IF(LEN(INDEX('Providers'!$AI$4:$AI$503,75))=0,"",INDEX('Providers'!$AI$4:$AI$503,75))</f>
        <v/>
      </c>
    </row>
    <row r="2579">
      <c r="A2579">
        <f>IF(AND(LEN('Providers'!A79)&gt;0,ISNUMBER('Providers'!S79)),1,0)</f>
        <v/>
      </c>
      <c r="B2579">
        <f>B2578+A2579</f>
        <v/>
      </c>
      <c r="C2579">
        <f>IF(2576&gt;$B$4503,"",MATCH(2576-0.5,$B$3:$B$4503,1))</f>
        <v/>
      </c>
      <c r="D2579">
        <f>"Life support ("&amp;IF(LEN(INDEX('Providers'!$R$4:$R$503,76))=0,"",INDEX('Providers'!$R$4:$R$503,76))&amp;") – "&amp;IF(LEN(INDEX('Providers'!$A$4:$A$503,76))=0,"",INDEX('Providers'!$A$4:$A$503,76))</f>
        <v/>
      </c>
      <c r="E2579">
        <f>IF(ISNUMBER(INDEX('Providers'!$S$4:$S$503,76)),TEXT(INDEX('Providers'!$S$4:$S$503,76),"yyyy-mm-dd"),"")</f>
        <v/>
      </c>
      <c r="F2579">
        <f>"Certification"</f>
        <v/>
      </c>
      <c r="G2579">
        <f>""</f>
        <v/>
      </c>
      <c r="H2579">
        <f>"Medium"</f>
        <v/>
      </c>
      <c r="I2579">
        <f>TRIM(IF(LEN(IF(LEN(INDEX('Providers'!$R$4:$R$503,76))=0,"",INDEX('Providers'!$R$4:$R$503,76)))=0,"","Card: "&amp;IF(LEN(INDEX('Providers'!$R$4:$R$503,76))=0,"",INDEX('Providers'!$R$4:$R$503,76))&amp;". "))</f>
        <v/>
      </c>
      <c r="J2579">
        <f>IF(LEN(INDEX('Providers'!$AJ$4:$AJ$503,76))=0,"",INDEX('Providers'!$AJ$4:$AJ$503,76))</f>
        <v/>
      </c>
      <c r="K2579">
        <f>IF(LEN(INDEX('Providers'!$AI$4:$AI$503,76))=0,"",INDEX('Providers'!$AI$4:$AI$503,76))</f>
        <v/>
      </c>
    </row>
    <row r="2580">
      <c r="A2580">
        <f>IF(AND(LEN('Providers'!A80)&gt;0,ISNUMBER('Providers'!S80)),1,0)</f>
        <v/>
      </c>
      <c r="B2580">
        <f>B2579+A2580</f>
        <v/>
      </c>
      <c r="C2580">
        <f>IF(2577&gt;$B$4503,"",MATCH(2577-0.5,$B$3:$B$4503,1))</f>
        <v/>
      </c>
      <c r="D2580">
        <f>"Life support ("&amp;IF(LEN(INDEX('Providers'!$R$4:$R$503,77))=0,"",INDEX('Providers'!$R$4:$R$503,77))&amp;") – "&amp;IF(LEN(INDEX('Providers'!$A$4:$A$503,77))=0,"",INDEX('Providers'!$A$4:$A$503,77))</f>
        <v/>
      </c>
      <c r="E2580">
        <f>IF(ISNUMBER(INDEX('Providers'!$S$4:$S$503,77)),TEXT(INDEX('Providers'!$S$4:$S$503,77),"yyyy-mm-dd"),"")</f>
        <v/>
      </c>
      <c r="F2580">
        <f>"Certification"</f>
        <v/>
      </c>
      <c r="G2580">
        <f>""</f>
        <v/>
      </c>
      <c r="H2580">
        <f>"Medium"</f>
        <v/>
      </c>
      <c r="I2580">
        <f>TRIM(IF(LEN(IF(LEN(INDEX('Providers'!$R$4:$R$503,77))=0,"",INDEX('Providers'!$R$4:$R$503,77)))=0,"","Card: "&amp;IF(LEN(INDEX('Providers'!$R$4:$R$503,77))=0,"",INDEX('Providers'!$R$4:$R$503,77))&amp;". "))</f>
        <v/>
      </c>
      <c r="J2580">
        <f>IF(LEN(INDEX('Providers'!$AJ$4:$AJ$503,77))=0,"",INDEX('Providers'!$AJ$4:$AJ$503,77))</f>
        <v/>
      </c>
      <c r="K2580">
        <f>IF(LEN(INDEX('Providers'!$AI$4:$AI$503,77))=0,"",INDEX('Providers'!$AI$4:$AI$503,77))</f>
        <v/>
      </c>
    </row>
    <row r="2581">
      <c r="A2581">
        <f>IF(AND(LEN('Providers'!A81)&gt;0,ISNUMBER('Providers'!S81)),1,0)</f>
        <v/>
      </c>
      <c r="B2581">
        <f>B2580+A2581</f>
        <v/>
      </c>
      <c r="C2581">
        <f>IF(2578&gt;$B$4503,"",MATCH(2578-0.5,$B$3:$B$4503,1))</f>
        <v/>
      </c>
      <c r="D2581">
        <f>"Life support ("&amp;IF(LEN(INDEX('Providers'!$R$4:$R$503,78))=0,"",INDEX('Providers'!$R$4:$R$503,78))&amp;") – "&amp;IF(LEN(INDEX('Providers'!$A$4:$A$503,78))=0,"",INDEX('Providers'!$A$4:$A$503,78))</f>
        <v/>
      </c>
      <c r="E2581">
        <f>IF(ISNUMBER(INDEX('Providers'!$S$4:$S$503,78)),TEXT(INDEX('Providers'!$S$4:$S$503,78),"yyyy-mm-dd"),"")</f>
        <v/>
      </c>
      <c r="F2581">
        <f>"Certification"</f>
        <v/>
      </c>
      <c r="G2581">
        <f>""</f>
        <v/>
      </c>
      <c r="H2581">
        <f>"Medium"</f>
        <v/>
      </c>
      <c r="I2581">
        <f>TRIM(IF(LEN(IF(LEN(INDEX('Providers'!$R$4:$R$503,78))=0,"",INDEX('Providers'!$R$4:$R$503,78)))=0,"","Card: "&amp;IF(LEN(INDEX('Providers'!$R$4:$R$503,78))=0,"",INDEX('Providers'!$R$4:$R$503,78))&amp;". "))</f>
        <v/>
      </c>
      <c r="J2581">
        <f>IF(LEN(INDEX('Providers'!$AJ$4:$AJ$503,78))=0,"",INDEX('Providers'!$AJ$4:$AJ$503,78))</f>
        <v/>
      </c>
      <c r="K2581">
        <f>IF(LEN(INDEX('Providers'!$AI$4:$AI$503,78))=0,"",INDEX('Providers'!$AI$4:$AI$503,78))</f>
        <v/>
      </c>
    </row>
    <row r="2582">
      <c r="A2582">
        <f>IF(AND(LEN('Providers'!A82)&gt;0,ISNUMBER('Providers'!S82)),1,0)</f>
        <v/>
      </c>
      <c r="B2582">
        <f>B2581+A2582</f>
        <v/>
      </c>
      <c r="C2582">
        <f>IF(2579&gt;$B$4503,"",MATCH(2579-0.5,$B$3:$B$4503,1))</f>
        <v/>
      </c>
      <c r="D2582">
        <f>"Life support ("&amp;IF(LEN(INDEX('Providers'!$R$4:$R$503,79))=0,"",INDEX('Providers'!$R$4:$R$503,79))&amp;") – "&amp;IF(LEN(INDEX('Providers'!$A$4:$A$503,79))=0,"",INDEX('Providers'!$A$4:$A$503,79))</f>
        <v/>
      </c>
      <c r="E2582">
        <f>IF(ISNUMBER(INDEX('Providers'!$S$4:$S$503,79)),TEXT(INDEX('Providers'!$S$4:$S$503,79),"yyyy-mm-dd"),"")</f>
        <v/>
      </c>
      <c r="F2582">
        <f>"Certification"</f>
        <v/>
      </c>
      <c r="G2582">
        <f>""</f>
        <v/>
      </c>
      <c r="H2582">
        <f>"Medium"</f>
        <v/>
      </c>
      <c r="I2582">
        <f>TRIM(IF(LEN(IF(LEN(INDEX('Providers'!$R$4:$R$503,79))=0,"",INDEX('Providers'!$R$4:$R$503,79)))=0,"","Card: "&amp;IF(LEN(INDEX('Providers'!$R$4:$R$503,79))=0,"",INDEX('Providers'!$R$4:$R$503,79))&amp;". "))</f>
        <v/>
      </c>
      <c r="J2582">
        <f>IF(LEN(INDEX('Providers'!$AJ$4:$AJ$503,79))=0,"",INDEX('Providers'!$AJ$4:$AJ$503,79))</f>
        <v/>
      </c>
      <c r="K2582">
        <f>IF(LEN(INDEX('Providers'!$AI$4:$AI$503,79))=0,"",INDEX('Providers'!$AI$4:$AI$503,79))</f>
        <v/>
      </c>
    </row>
    <row r="2583">
      <c r="A2583">
        <f>IF(AND(LEN('Providers'!A83)&gt;0,ISNUMBER('Providers'!S83)),1,0)</f>
        <v/>
      </c>
      <c r="B2583">
        <f>B2582+A2583</f>
        <v/>
      </c>
      <c r="C2583">
        <f>IF(2580&gt;$B$4503,"",MATCH(2580-0.5,$B$3:$B$4503,1))</f>
        <v/>
      </c>
      <c r="D2583">
        <f>"Life support ("&amp;IF(LEN(INDEX('Providers'!$R$4:$R$503,80))=0,"",INDEX('Providers'!$R$4:$R$503,80))&amp;") – "&amp;IF(LEN(INDEX('Providers'!$A$4:$A$503,80))=0,"",INDEX('Providers'!$A$4:$A$503,80))</f>
        <v/>
      </c>
      <c r="E2583">
        <f>IF(ISNUMBER(INDEX('Providers'!$S$4:$S$503,80)),TEXT(INDEX('Providers'!$S$4:$S$503,80),"yyyy-mm-dd"),"")</f>
        <v/>
      </c>
      <c r="F2583">
        <f>"Certification"</f>
        <v/>
      </c>
      <c r="G2583">
        <f>""</f>
        <v/>
      </c>
      <c r="H2583">
        <f>"Medium"</f>
        <v/>
      </c>
      <c r="I2583">
        <f>TRIM(IF(LEN(IF(LEN(INDEX('Providers'!$R$4:$R$503,80))=0,"",INDEX('Providers'!$R$4:$R$503,80)))=0,"","Card: "&amp;IF(LEN(INDEX('Providers'!$R$4:$R$503,80))=0,"",INDEX('Providers'!$R$4:$R$503,80))&amp;". "))</f>
        <v/>
      </c>
      <c r="J2583">
        <f>IF(LEN(INDEX('Providers'!$AJ$4:$AJ$503,80))=0,"",INDEX('Providers'!$AJ$4:$AJ$503,80))</f>
        <v/>
      </c>
      <c r="K2583">
        <f>IF(LEN(INDEX('Providers'!$AI$4:$AI$503,80))=0,"",INDEX('Providers'!$AI$4:$AI$503,80))</f>
        <v/>
      </c>
    </row>
    <row r="2584">
      <c r="A2584">
        <f>IF(AND(LEN('Providers'!A84)&gt;0,ISNUMBER('Providers'!S84)),1,0)</f>
        <v/>
      </c>
      <c r="B2584">
        <f>B2583+A2584</f>
        <v/>
      </c>
      <c r="C2584">
        <f>IF(2581&gt;$B$4503,"",MATCH(2581-0.5,$B$3:$B$4503,1))</f>
        <v/>
      </c>
      <c r="D2584">
        <f>"Life support ("&amp;IF(LEN(INDEX('Providers'!$R$4:$R$503,81))=0,"",INDEX('Providers'!$R$4:$R$503,81))&amp;") – "&amp;IF(LEN(INDEX('Providers'!$A$4:$A$503,81))=0,"",INDEX('Providers'!$A$4:$A$503,81))</f>
        <v/>
      </c>
      <c r="E2584">
        <f>IF(ISNUMBER(INDEX('Providers'!$S$4:$S$503,81)),TEXT(INDEX('Providers'!$S$4:$S$503,81),"yyyy-mm-dd"),"")</f>
        <v/>
      </c>
      <c r="F2584">
        <f>"Certification"</f>
        <v/>
      </c>
      <c r="G2584">
        <f>""</f>
        <v/>
      </c>
      <c r="H2584">
        <f>"Medium"</f>
        <v/>
      </c>
      <c r="I2584">
        <f>TRIM(IF(LEN(IF(LEN(INDEX('Providers'!$R$4:$R$503,81))=0,"",INDEX('Providers'!$R$4:$R$503,81)))=0,"","Card: "&amp;IF(LEN(INDEX('Providers'!$R$4:$R$503,81))=0,"",INDEX('Providers'!$R$4:$R$503,81))&amp;". "))</f>
        <v/>
      </c>
      <c r="J2584">
        <f>IF(LEN(INDEX('Providers'!$AJ$4:$AJ$503,81))=0,"",INDEX('Providers'!$AJ$4:$AJ$503,81))</f>
        <v/>
      </c>
      <c r="K2584">
        <f>IF(LEN(INDEX('Providers'!$AI$4:$AI$503,81))=0,"",INDEX('Providers'!$AI$4:$AI$503,81))</f>
        <v/>
      </c>
    </row>
    <row r="2585">
      <c r="A2585">
        <f>IF(AND(LEN('Providers'!A85)&gt;0,ISNUMBER('Providers'!S85)),1,0)</f>
        <v/>
      </c>
      <c r="B2585">
        <f>B2584+A2585</f>
        <v/>
      </c>
      <c r="C2585">
        <f>IF(2582&gt;$B$4503,"",MATCH(2582-0.5,$B$3:$B$4503,1))</f>
        <v/>
      </c>
      <c r="D2585">
        <f>"Life support ("&amp;IF(LEN(INDEX('Providers'!$R$4:$R$503,82))=0,"",INDEX('Providers'!$R$4:$R$503,82))&amp;") – "&amp;IF(LEN(INDEX('Providers'!$A$4:$A$503,82))=0,"",INDEX('Providers'!$A$4:$A$503,82))</f>
        <v/>
      </c>
      <c r="E2585">
        <f>IF(ISNUMBER(INDEX('Providers'!$S$4:$S$503,82)),TEXT(INDEX('Providers'!$S$4:$S$503,82),"yyyy-mm-dd"),"")</f>
        <v/>
      </c>
      <c r="F2585">
        <f>"Certification"</f>
        <v/>
      </c>
      <c r="G2585">
        <f>""</f>
        <v/>
      </c>
      <c r="H2585">
        <f>"Medium"</f>
        <v/>
      </c>
      <c r="I2585">
        <f>TRIM(IF(LEN(IF(LEN(INDEX('Providers'!$R$4:$R$503,82))=0,"",INDEX('Providers'!$R$4:$R$503,82)))=0,"","Card: "&amp;IF(LEN(INDEX('Providers'!$R$4:$R$503,82))=0,"",INDEX('Providers'!$R$4:$R$503,82))&amp;". "))</f>
        <v/>
      </c>
      <c r="J2585">
        <f>IF(LEN(INDEX('Providers'!$AJ$4:$AJ$503,82))=0,"",INDEX('Providers'!$AJ$4:$AJ$503,82))</f>
        <v/>
      </c>
      <c r="K2585">
        <f>IF(LEN(INDEX('Providers'!$AI$4:$AI$503,82))=0,"",INDEX('Providers'!$AI$4:$AI$503,82))</f>
        <v/>
      </c>
    </row>
    <row r="2586">
      <c r="A2586">
        <f>IF(AND(LEN('Providers'!A86)&gt;0,ISNUMBER('Providers'!S86)),1,0)</f>
        <v/>
      </c>
      <c r="B2586">
        <f>B2585+A2586</f>
        <v/>
      </c>
      <c r="C2586">
        <f>IF(2583&gt;$B$4503,"",MATCH(2583-0.5,$B$3:$B$4503,1))</f>
        <v/>
      </c>
      <c r="D2586">
        <f>"Life support ("&amp;IF(LEN(INDEX('Providers'!$R$4:$R$503,83))=0,"",INDEX('Providers'!$R$4:$R$503,83))&amp;") – "&amp;IF(LEN(INDEX('Providers'!$A$4:$A$503,83))=0,"",INDEX('Providers'!$A$4:$A$503,83))</f>
        <v/>
      </c>
      <c r="E2586">
        <f>IF(ISNUMBER(INDEX('Providers'!$S$4:$S$503,83)),TEXT(INDEX('Providers'!$S$4:$S$503,83),"yyyy-mm-dd"),"")</f>
        <v/>
      </c>
      <c r="F2586">
        <f>"Certification"</f>
        <v/>
      </c>
      <c r="G2586">
        <f>""</f>
        <v/>
      </c>
      <c r="H2586">
        <f>"Medium"</f>
        <v/>
      </c>
      <c r="I2586">
        <f>TRIM(IF(LEN(IF(LEN(INDEX('Providers'!$R$4:$R$503,83))=0,"",INDEX('Providers'!$R$4:$R$503,83)))=0,"","Card: "&amp;IF(LEN(INDEX('Providers'!$R$4:$R$503,83))=0,"",INDEX('Providers'!$R$4:$R$503,83))&amp;". "))</f>
        <v/>
      </c>
      <c r="J2586">
        <f>IF(LEN(INDEX('Providers'!$AJ$4:$AJ$503,83))=0,"",INDEX('Providers'!$AJ$4:$AJ$503,83))</f>
        <v/>
      </c>
      <c r="K2586">
        <f>IF(LEN(INDEX('Providers'!$AI$4:$AI$503,83))=0,"",INDEX('Providers'!$AI$4:$AI$503,83))</f>
        <v/>
      </c>
    </row>
    <row r="2587">
      <c r="A2587">
        <f>IF(AND(LEN('Providers'!A87)&gt;0,ISNUMBER('Providers'!S87)),1,0)</f>
        <v/>
      </c>
      <c r="B2587">
        <f>B2586+A2587</f>
        <v/>
      </c>
      <c r="C2587">
        <f>IF(2584&gt;$B$4503,"",MATCH(2584-0.5,$B$3:$B$4503,1))</f>
        <v/>
      </c>
      <c r="D2587">
        <f>"Life support ("&amp;IF(LEN(INDEX('Providers'!$R$4:$R$503,84))=0,"",INDEX('Providers'!$R$4:$R$503,84))&amp;") – "&amp;IF(LEN(INDEX('Providers'!$A$4:$A$503,84))=0,"",INDEX('Providers'!$A$4:$A$503,84))</f>
        <v/>
      </c>
      <c r="E2587">
        <f>IF(ISNUMBER(INDEX('Providers'!$S$4:$S$503,84)),TEXT(INDEX('Providers'!$S$4:$S$503,84),"yyyy-mm-dd"),"")</f>
        <v/>
      </c>
      <c r="F2587">
        <f>"Certification"</f>
        <v/>
      </c>
      <c r="G2587">
        <f>""</f>
        <v/>
      </c>
      <c r="H2587">
        <f>"Medium"</f>
        <v/>
      </c>
      <c r="I2587">
        <f>TRIM(IF(LEN(IF(LEN(INDEX('Providers'!$R$4:$R$503,84))=0,"",INDEX('Providers'!$R$4:$R$503,84)))=0,"","Card: "&amp;IF(LEN(INDEX('Providers'!$R$4:$R$503,84))=0,"",INDEX('Providers'!$R$4:$R$503,84))&amp;". "))</f>
        <v/>
      </c>
      <c r="J2587">
        <f>IF(LEN(INDEX('Providers'!$AJ$4:$AJ$503,84))=0,"",INDEX('Providers'!$AJ$4:$AJ$503,84))</f>
        <v/>
      </c>
      <c r="K2587">
        <f>IF(LEN(INDEX('Providers'!$AI$4:$AI$503,84))=0,"",INDEX('Providers'!$AI$4:$AI$503,84))</f>
        <v/>
      </c>
    </row>
    <row r="2588">
      <c r="A2588">
        <f>IF(AND(LEN('Providers'!A88)&gt;0,ISNUMBER('Providers'!S88)),1,0)</f>
        <v/>
      </c>
      <c r="B2588">
        <f>B2587+A2588</f>
        <v/>
      </c>
      <c r="C2588">
        <f>IF(2585&gt;$B$4503,"",MATCH(2585-0.5,$B$3:$B$4503,1))</f>
        <v/>
      </c>
      <c r="D2588">
        <f>"Life support ("&amp;IF(LEN(INDEX('Providers'!$R$4:$R$503,85))=0,"",INDEX('Providers'!$R$4:$R$503,85))&amp;") – "&amp;IF(LEN(INDEX('Providers'!$A$4:$A$503,85))=0,"",INDEX('Providers'!$A$4:$A$503,85))</f>
        <v/>
      </c>
      <c r="E2588">
        <f>IF(ISNUMBER(INDEX('Providers'!$S$4:$S$503,85)),TEXT(INDEX('Providers'!$S$4:$S$503,85),"yyyy-mm-dd"),"")</f>
        <v/>
      </c>
      <c r="F2588">
        <f>"Certification"</f>
        <v/>
      </c>
      <c r="G2588">
        <f>""</f>
        <v/>
      </c>
      <c r="H2588">
        <f>"Medium"</f>
        <v/>
      </c>
      <c r="I2588">
        <f>TRIM(IF(LEN(IF(LEN(INDEX('Providers'!$R$4:$R$503,85))=0,"",INDEX('Providers'!$R$4:$R$503,85)))=0,"","Card: "&amp;IF(LEN(INDEX('Providers'!$R$4:$R$503,85))=0,"",INDEX('Providers'!$R$4:$R$503,85))&amp;". "))</f>
        <v/>
      </c>
      <c r="J2588">
        <f>IF(LEN(INDEX('Providers'!$AJ$4:$AJ$503,85))=0,"",INDEX('Providers'!$AJ$4:$AJ$503,85))</f>
        <v/>
      </c>
      <c r="K2588">
        <f>IF(LEN(INDEX('Providers'!$AI$4:$AI$503,85))=0,"",INDEX('Providers'!$AI$4:$AI$503,85))</f>
        <v/>
      </c>
    </row>
    <row r="2589">
      <c r="A2589">
        <f>IF(AND(LEN('Providers'!A89)&gt;0,ISNUMBER('Providers'!S89)),1,0)</f>
        <v/>
      </c>
      <c r="B2589">
        <f>B2588+A2589</f>
        <v/>
      </c>
      <c r="C2589">
        <f>IF(2586&gt;$B$4503,"",MATCH(2586-0.5,$B$3:$B$4503,1))</f>
        <v/>
      </c>
      <c r="D2589">
        <f>"Life support ("&amp;IF(LEN(INDEX('Providers'!$R$4:$R$503,86))=0,"",INDEX('Providers'!$R$4:$R$503,86))&amp;") – "&amp;IF(LEN(INDEX('Providers'!$A$4:$A$503,86))=0,"",INDEX('Providers'!$A$4:$A$503,86))</f>
        <v/>
      </c>
      <c r="E2589">
        <f>IF(ISNUMBER(INDEX('Providers'!$S$4:$S$503,86)),TEXT(INDEX('Providers'!$S$4:$S$503,86),"yyyy-mm-dd"),"")</f>
        <v/>
      </c>
      <c r="F2589">
        <f>"Certification"</f>
        <v/>
      </c>
      <c r="G2589">
        <f>""</f>
        <v/>
      </c>
      <c r="H2589">
        <f>"Medium"</f>
        <v/>
      </c>
      <c r="I2589">
        <f>TRIM(IF(LEN(IF(LEN(INDEX('Providers'!$R$4:$R$503,86))=0,"",INDEX('Providers'!$R$4:$R$503,86)))=0,"","Card: "&amp;IF(LEN(INDEX('Providers'!$R$4:$R$503,86))=0,"",INDEX('Providers'!$R$4:$R$503,86))&amp;". "))</f>
        <v/>
      </c>
      <c r="J2589">
        <f>IF(LEN(INDEX('Providers'!$AJ$4:$AJ$503,86))=0,"",INDEX('Providers'!$AJ$4:$AJ$503,86))</f>
        <v/>
      </c>
      <c r="K2589">
        <f>IF(LEN(INDEX('Providers'!$AI$4:$AI$503,86))=0,"",INDEX('Providers'!$AI$4:$AI$503,86))</f>
        <v/>
      </c>
    </row>
    <row r="2590">
      <c r="A2590">
        <f>IF(AND(LEN('Providers'!A90)&gt;0,ISNUMBER('Providers'!S90)),1,0)</f>
        <v/>
      </c>
      <c r="B2590">
        <f>B2589+A2590</f>
        <v/>
      </c>
      <c r="C2590">
        <f>IF(2587&gt;$B$4503,"",MATCH(2587-0.5,$B$3:$B$4503,1))</f>
        <v/>
      </c>
      <c r="D2590">
        <f>"Life support ("&amp;IF(LEN(INDEX('Providers'!$R$4:$R$503,87))=0,"",INDEX('Providers'!$R$4:$R$503,87))&amp;") – "&amp;IF(LEN(INDEX('Providers'!$A$4:$A$503,87))=0,"",INDEX('Providers'!$A$4:$A$503,87))</f>
        <v/>
      </c>
      <c r="E2590">
        <f>IF(ISNUMBER(INDEX('Providers'!$S$4:$S$503,87)),TEXT(INDEX('Providers'!$S$4:$S$503,87),"yyyy-mm-dd"),"")</f>
        <v/>
      </c>
      <c r="F2590">
        <f>"Certification"</f>
        <v/>
      </c>
      <c r="G2590">
        <f>""</f>
        <v/>
      </c>
      <c r="H2590">
        <f>"Medium"</f>
        <v/>
      </c>
      <c r="I2590">
        <f>TRIM(IF(LEN(IF(LEN(INDEX('Providers'!$R$4:$R$503,87))=0,"",INDEX('Providers'!$R$4:$R$503,87)))=0,"","Card: "&amp;IF(LEN(INDEX('Providers'!$R$4:$R$503,87))=0,"",INDEX('Providers'!$R$4:$R$503,87))&amp;". "))</f>
        <v/>
      </c>
      <c r="J2590">
        <f>IF(LEN(INDEX('Providers'!$AJ$4:$AJ$503,87))=0,"",INDEX('Providers'!$AJ$4:$AJ$503,87))</f>
        <v/>
      </c>
      <c r="K2590">
        <f>IF(LEN(INDEX('Providers'!$AI$4:$AI$503,87))=0,"",INDEX('Providers'!$AI$4:$AI$503,87))</f>
        <v/>
      </c>
    </row>
    <row r="2591">
      <c r="A2591">
        <f>IF(AND(LEN('Providers'!A91)&gt;0,ISNUMBER('Providers'!S91)),1,0)</f>
        <v/>
      </c>
      <c r="B2591">
        <f>B2590+A2591</f>
        <v/>
      </c>
      <c r="C2591">
        <f>IF(2588&gt;$B$4503,"",MATCH(2588-0.5,$B$3:$B$4503,1))</f>
        <v/>
      </c>
      <c r="D2591">
        <f>"Life support ("&amp;IF(LEN(INDEX('Providers'!$R$4:$R$503,88))=0,"",INDEX('Providers'!$R$4:$R$503,88))&amp;") – "&amp;IF(LEN(INDEX('Providers'!$A$4:$A$503,88))=0,"",INDEX('Providers'!$A$4:$A$503,88))</f>
        <v/>
      </c>
      <c r="E2591">
        <f>IF(ISNUMBER(INDEX('Providers'!$S$4:$S$503,88)),TEXT(INDEX('Providers'!$S$4:$S$503,88),"yyyy-mm-dd"),"")</f>
        <v/>
      </c>
      <c r="F2591">
        <f>"Certification"</f>
        <v/>
      </c>
      <c r="G2591">
        <f>""</f>
        <v/>
      </c>
      <c r="H2591">
        <f>"Medium"</f>
        <v/>
      </c>
      <c r="I2591">
        <f>TRIM(IF(LEN(IF(LEN(INDEX('Providers'!$R$4:$R$503,88))=0,"",INDEX('Providers'!$R$4:$R$503,88)))=0,"","Card: "&amp;IF(LEN(INDEX('Providers'!$R$4:$R$503,88))=0,"",INDEX('Providers'!$R$4:$R$503,88))&amp;". "))</f>
        <v/>
      </c>
      <c r="J2591">
        <f>IF(LEN(INDEX('Providers'!$AJ$4:$AJ$503,88))=0,"",INDEX('Providers'!$AJ$4:$AJ$503,88))</f>
        <v/>
      </c>
      <c r="K2591">
        <f>IF(LEN(INDEX('Providers'!$AI$4:$AI$503,88))=0,"",INDEX('Providers'!$AI$4:$AI$503,88))</f>
        <v/>
      </c>
    </row>
    <row r="2592">
      <c r="A2592">
        <f>IF(AND(LEN('Providers'!A92)&gt;0,ISNUMBER('Providers'!S92)),1,0)</f>
        <v/>
      </c>
      <c r="B2592">
        <f>B2591+A2592</f>
        <v/>
      </c>
      <c r="C2592">
        <f>IF(2589&gt;$B$4503,"",MATCH(2589-0.5,$B$3:$B$4503,1))</f>
        <v/>
      </c>
      <c r="D2592">
        <f>"Life support ("&amp;IF(LEN(INDEX('Providers'!$R$4:$R$503,89))=0,"",INDEX('Providers'!$R$4:$R$503,89))&amp;") – "&amp;IF(LEN(INDEX('Providers'!$A$4:$A$503,89))=0,"",INDEX('Providers'!$A$4:$A$503,89))</f>
        <v/>
      </c>
      <c r="E2592">
        <f>IF(ISNUMBER(INDEX('Providers'!$S$4:$S$503,89)),TEXT(INDEX('Providers'!$S$4:$S$503,89),"yyyy-mm-dd"),"")</f>
        <v/>
      </c>
      <c r="F2592">
        <f>"Certification"</f>
        <v/>
      </c>
      <c r="G2592">
        <f>""</f>
        <v/>
      </c>
      <c r="H2592">
        <f>"Medium"</f>
        <v/>
      </c>
      <c r="I2592">
        <f>TRIM(IF(LEN(IF(LEN(INDEX('Providers'!$R$4:$R$503,89))=0,"",INDEX('Providers'!$R$4:$R$503,89)))=0,"","Card: "&amp;IF(LEN(INDEX('Providers'!$R$4:$R$503,89))=0,"",INDEX('Providers'!$R$4:$R$503,89))&amp;". "))</f>
        <v/>
      </c>
      <c r="J2592">
        <f>IF(LEN(INDEX('Providers'!$AJ$4:$AJ$503,89))=0,"",INDEX('Providers'!$AJ$4:$AJ$503,89))</f>
        <v/>
      </c>
      <c r="K2592">
        <f>IF(LEN(INDEX('Providers'!$AI$4:$AI$503,89))=0,"",INDEX('Providers'!$AI$4:$AI$503,89))</f>
        <v/>
      </c>
    </row>
    <row r="2593">
      <c r="A2593">
        <f>IF(AND(LEN('Providers'!A93)&gt;0,ISNUMBER('Providers'!S93)),1,0)</f>
        <v/>
      </c>
      <c r="B2593">
        <f>B2592+A2593</f>
        <v/>
      </c>
      <c r="C2593">
        <f>IF(2590&gt;$B$4503,"",MATCH(2590-0.5,$B$3:$B$4503,1))</f>
        <v/>
      </c>
      <c r="D2593">
        <f>"Life support ("&amp;IF(LEN(INDEX('Providers'!$R$4:$R$503,90))=0,"",INDEX('Providers'!$R$4:$R$503,90))&amp;") – "&amp;IF(LEN(INDEX('Providers'!$A$4:$A$503,90))=0,"",INDEX('Providers'!$A$4:$A$503,90))</f>
        <v/>
      </c>
      <c r="E2593">
        <f>IF(ISNUMBER(INDEX('Providers'!$S$4:$S$503,90)),TEXT(INDEX('Providers'!$S$4:$S$503,90),"yyyy-mm-dd"),"")</f>
        <v/>
      </c>
      <c r="F2593">
        <f>"Certification"</f>
        <v/>
      </c>
      <c r="G2593">
        <f>""</f>
        <v/>
      </c>
      <c r="H2593">
        <f>"Medium"</f>
        <v/>
      </c>
      <c r="I2593">
        <f>TRIM(IF(LEN(IF(LEN(INDEX('Providers'!$R$4:$R$503,90))=0,"",INDEX('Providers'!$R$4:$R$503,90)))=0,"","Card: "&amp;IF(LEN(INDEX('Providers'!$R$4:$R$503,90))=0,"",INDEX('Providers'!$R$4:$R$503,90))&amp;". "))</f>
        <v/>
      </c>
      <c r="J2593">
        <f>IF(LEN(INDEX('Providers'!$AJ$4:$AJ$503,90))=0,"",INDEX('Providers'!$AJ$4:$AJ$503,90))</f>
        <v/>
      </c>
      <c r="K2593">
        <f>IF(LEN(INDEX('Providers'!$AI$4:$AI$503,90))=0,"",INDEX('Providers'!$AI$4:$AI$503,90))</f>
        <v/>
      </c>
    </row>
    <row r="2594">
      <c r="A2594">
        <f>IF(AND(LEN('Providers'!A94)&gt;0,ISNUMBER('Providers'!S94)),1,0)</f>
        <v/>
      </c>
      <c r="B2594">
        <f>B2593+A2594</f>
        <v/>
      </c>
      <c r="C2594">
        <f>IF(2591&gt;$B$4503,"",MATCH(2591-0.5,$B$3:$B$4503,1))</f>
        <v/>
      </c>
      <c r="D2594">
        <f>"Life support ("&amp;IF(LEN(INDEX('Providers'!$R$4:$R$503,91))=0,"",INDEX('Providers'!$R$4:$R$503,91))&amp;") – "&amp;IF(LEN(INDEX('Providers'!$A$4:$A$503,91))=0,"",INDEX('Providers'!$A$4:$A$503,91))</f>
        <v/>
      </c>
      <c r="E2594">
        <f>IF(ISNUMBER(INDEX('Providers'!$S$4:$S$503,91)),TEXT(INDEX('Providers'!$S$4:$S$503,91),"yyyy-mm-dd"),"")</f>
        <v/>
      </c>
      <c r="F2594">
        <f>"Certification"</f>
        <v/>
      </c>
      <c r="G2594">
        <f>""</f>
        <v/>
      </c>
      <c r="H2594">
        <f>"Medium"</f>
        <v/>
      </c>
      <c r="I2594">
        <f>TRIM(IF(LEN(IF(LEN(INDEX('Providers'!$R$4:$R$503,91))=0,"",INDEX('Providers'!$R$4:$R$503,91)))=0,"","Card: "&amp;IF(LEN(INDEX('Providers'!$R$4:$R$503,91))=0,"",INDEX('Providers'!$R$4:$R$503,91))&amp;". "))</f>
        <v/>
      </c>
      <c r="J2594">
        <f>IF(LEN(INDEX('Providers'!$AJ$4:$AJ$503,91))=0,"",INDEX('Providers'!$AJ$4:$AJ$503,91))</f>
        <v/>
      </c>
      <c r="K2594">
        <f>IF(LEN(INDEX('Providers'!$AI$4:$AI$503,91))=0,"",INDEX('Providers'!$AI$4:$AI$503,91))</f>
        <v/>
      </c>
    </row>
    <row r="2595">
      <c r="A2595">
        <f>IF(AND(LEN('Providers'!A95)&gt;0,ISNUMBER('Providers'!S95)),1,0)</f>
        <v/>
      </c>
      <c r="B2595">
        <f>B2594+A2595</f>
        <v/>
      </c>
      <c r="C2595">
        <f>IF(2592&gt;$B$4503,"",MATCH(2592-0.5,$B$3:$B$4503,1))</f>
        <v/>
      </c>
      <c r="D2595">
        <f>"Life support ("&amp;IF(LEN(INDEX('Providers'!$R$4:$R$503,92))=0,"",INDEX('Providers'!$R$4:$R$503,92))&amp;") – "&amp;IF(LEN(INDEX('Providers'!$A$4:$A$503,92))=0,"",INDEX('Providers'!$A$4:$A$503,92))</f>
        <v/>
      </c>
      <c r="E2595">
        <f>IF(ISNUMBER(INDEX('Providers'!$S$4:$S$503,92)),TEXT(INDEX('Providers'!$S$4:$S$503,92),"yyyy-mm-dd"),"")</f>
        <v/>
      </c>
      <c r="F2595">
        <f>"Certification"</f>
        <v/>
      </c>
      <c r="G2595">
        <f>""</f>
        <v/>
      </c>
      <c r="H2595">
        <f>"Medium"</f>
        <v/>
      </c>
      <c r="I2595">
        <f>TRIM(IF(LEN(IF(LEN(INDEX('Providers'!$R$4:$R$503,92))=0,"",INDEX('Providers'!$R$4:$R$503,92)))=0,"","Card: "&amp;IF(LEN(INDEX('Providers'!$R$4:$R$503,92))=0,"",INDEX('Providers'!$R$4:$R$503,92))&amp;". "))</f>
        <v/>
      </c>
      <c r="J2595">
        <f>IF(LEN(INDEX('Providers'!$AJ$4:$AJ$503,92))=0,"",INDEX('Providers'!$AJ$4:$AJ$503,92))</f>
        <v/>
      </c>
      <c r="K2595">
        <f>IF(LEN(INDEX('Providers'!$AI$4:$AI$503,92))=0,"",INDEX('Providers'!$AI$4:$AI$503,92))</f>
        <v/>
      </c>
    </row>
    <row r="2596">
      <c r="A2596">
        <f>IF(AND(LEN('Providers'!A96)&gt;0,ISNUMBER('Providers'!S96)),1,0)</f>
        <v/>
      </c>
      <c r="B2596">
        <f>B2595+A2596</f>
        <v/>
      </c>
      <c r="C2596">
        <f>IF(2593&gt;$B$4503,"",MATCH(2593-0.5,$B$3:$B$4503,1))</f>
        <v/>
      </c>
      <c r="D2596">
        <f>"Life support ("&amp;IF(LEN(INDEX('Providers'!$R$4:$R$503,93))=0,"",INDEX('Providers'!$R$4:$R$503,93))&amp;") – "&amp;IF(LEN(INDEX('Providers'!$A$4:$A$503,93))=0,"",INDEX('Providers'!$A$4:$A$503,93))</f>
        <v/>
      </c>
      <c r="E2596">
        <f>IF(ISNUMBER(INDEX('Providers'!$S$4:$S$503,93)),TEXT(INDEX('Providers'!$S$4:$S$503,93),"yyyy-mm-dd"),"")</f>
        <v/>
      </c>
      <c r="F2596">
        <f>"Certification"</f>
        <v/>
      </c>
      <c r="G2596">
        <f>""</f>
        <v/>
      </c>
      <c r="H2596">
        <f>"Medium"</f>
        <v/>
      </c>
      <c r="I2596">
        <f>TRIM(IF(LEN(IF(LEN(INDEX('Providers'!$R$4:$R$503,93))=0,"",INDEX('Providers'!$R$4:$R$503,93)))=0,"","Card: "&amp;IF(LEN(INDEX('Providers'!$R$4:$R$503,93))=0,"",INDEX('Providers'!$R$4:$R$503,93))&amp;". "))</f>
        <v/>
      </c>
      <c r="J2596">
        <f>IF(LEN(INDEX('Providers'!$AJ$4:$AJ$503,93))=0,"",INDEX('Providers'!$AJ$4:$AJ$503,93))</f>
        <v/>
      </c>
      <c r="K2596">
        <f>IF(LEN(INDEX('Providers'!$AI$4:$AI$503,93))=0,"",INDEX('Providers'!$AI$4:$AI$503,93))</f>
        <v/>
      </c>
    </row>
    <row r="2597">
      <c r="A2597">
        <f>IF(AND(LEN('Providers'!A97)&gt;0,ISNUMBER('Providers'!S97)),1,0)</f>
        <v/>
      </c>
      <c r="B2597">
        <f>B2596+A2597</f>
        <v/>
      </c>
      <c r="C2597">
        <f>IF(2594&gt;$B$4503,"",MATCH(2594-0.5,$B$3:$B$4503,1))</f>
        <v/>
      </c>
      <c r="D2597">
        <f>"Life support ("&amp;IF(LEN(INDEX('Providers'!$R$4:$R$503,94))=0,"",INDEX('Providers'!$R$4:$R$503,94))&amp;") – "&amp;IF(LEN(INDEX('Providers'!$A$4:$A$503,94))=0,"",INDEX('Providers'!$A$4:$A$503,94))</f>
        <v/>
      </c>
      <c r="E2597">
        <f>IF(ISNUMBER(INDEX('Providers'!$S$4:$S$503,94)),TEXT(INDEX('Providers'!$S$4:$S$503,94),"yyyy-mm-dd"),"")</f>
        <v/>
      </c>
      <c r="F2597">
        <f>"Certification"</f>
        <v/>
      </c>
      <c r="G2597">
        <f>""</f>
        <v/>
      </c>
      <c r="H2597">
        <f>"Medium"</f>
        <v/>
      </c>
      <c r="I2597">
        <f>TRIM(IF(LEN(IF(LEN(INDEX('Providers'!$R$4:$R$503,94))=0,"",INDEX('Providers'!$R$4:$R$503,94)))=0,"","Card: "&amp;IF(LEN(INDEX('Providers'!$R$4:$R$503,94))=0,"",INDEX('Providers'!$R$4:$R$503,94))&amp;". "))</f>
        <v/>
      </c>
      <c r="J2597">
        <f>IF(LEN(INDEX('Providers'!$AJ$4:$AJ$503,94))=0,"",INDEX('Providers'!$AJ$4:$AJ$503,94))</f>
        <v/>
      </c>
      <c r="K2597">
        <f>IF(LEN(INDEX('Providers'!$AI$4:$AI$503,94))=0,"",INDEX('Providers'!$AI$4:$AI$503,94))</f>
        <v/>
      </c>
    </row>
    <row r="2598">
      <c r="A2598">
        <f>IF(AND(LEN('Providers'!A98)&gt;0,ISNUMBER('Providers'!S98)),1,0)</f>
        <v/>
      </c>
      <c r="B2598">
        <f>B2597+A2598</f>
        <v/>
      </c>
      <c r="C2598">
        <f>IF(2595&gt;$B$4503,"",MATCH(2595-0.5,$B$3:$B$4503,1))</f>
        <v/>
      </c>
      <c r="D2598">
        <f>"Life support ("&amp;IF(LEN(INDEX('Providers'!$R$4:$R$503,95))=0,"",INDEX('Providers'!$R$4:$R$503,95))&amp;") – "&amp;IF(LEN(INDEX('Providers'!$A$4:$A$503,95))=0,"",INDEX('Providers'!$A$4:$A$503,95))</f>
        <v/>
      </c>
      <c r="E2598">
        <f>IF(ISNUMBER(INDEX('Providers'!$S$4:$S$503,95)),TEXT(INDEX('Providers'!$S$4:$S$503,95),"yyyy-mm-dd"),"")</f>
        <v/>
      </c>
      <c r="F2598">
        <f>"Certification"</f>
        <v/>
      </c>
      <c r="G2598">
        <f>""</f>
        <v/>
      </c>
      <c r="H2598">
        <f>"Medium"</f>
        <v/>
      </c>
      <c r="I2598">
        <f>TRIM(IF(LEN(IF(LEN(INDEX('Providers'!$R$4:$R$503,95))=0,"",INDEX('Providers'!$R$4:$R$503,95)))=0,"","Card: "&amp;IF(LEN(INDEX('Providers'!$R$4:$R$503,95))=0,"",INDEX('Providers'!$R$4:$R$503,95))&amp;". "))</f>
        <v/>
      </c>
      <c r="J2598">
        <f>IF(LEN(INDEX('Providers'!$AJ$4:$AJ$503,95))=0,"",INDEX('Providers'!$AJ$4:$AJ$503,95))</f>
        <v/>
      </c>
      <c r="K2598">
        <f>IF(LEN(INDEX('Providers'!$AI$4:$AI$503,95))=0,"",INDEX('Providers'!$AI$4:$AI$503,95))</f>
        <v/>
      </c>
    </row>
    <row r="2599">
      <c r="A2599">
        <f>IF(AND(LEN('Providers'!A99)&gt;0,ISNUMBER('Providers'!S99)),1,0)</f>
        <v/>
      </c>
      <c r="B2599">
        <f>B2598+A2599</f>
        <v/>
      </c>
      <c r="C2599">
        <f>IF(2596&gt;$B$4503,"",MATCH(2596-0.5,$B$3:$B$4503,1))</f>
        <v/>
      </c>
      <c r="D2599">
        <f>"Life support ("&amp;IF(LEN(INDEX('Providers'!$R$4:$R$503,96))=0,"",INDEX('Providers'!$R$4:$R$503,96))&amp;") – "&amp;IF(LEN(INDEX('Providers'!$A$4:$A$503,96))=0,"",INDEX('Providers'!$A$4:$A$503,96))</f>
        <v/>
      </c>
      <c r="E2599">
        <f>IF(ISNUMBER(INDEX('Providers'!$S$4:$S$503,96)),TEXT(INDEX('Providers'!$S$4:$S$503,96),"yyyy-mm-dd"),"")</f>
        <v/>
      </c>
      <c r="F2599">
        <f>"Certification"</f>
        <v/>
      </c>
      <c r="G2599">
        <f>""</f>
        <v/>
      </c>
      <c r="H2599">
        <f>"Medium"</f>
        <v/>
      </c>
      <c r="I2599">
        <f>TRIM(IF(LEN(IF(LEN(INDEX('Providers'!$R$4:$R$503,96))=0,"",INDEX('Providers'!$R$4:$R$503,96)))=0,"","Card: "&amp;IF(LEN(INDEX('Providers'!$R$4:$R$503,96))=0,"",INDEX('Providers'!$R$4:$R$503,96))&amp;". "))</f>
        <v/>
      </c>
      <c r="J2599">
        <f>IF(LEN(INDEX('Providers'!$AJ$4:$AJ$503,96))=0,"",INDEX('Providers'!$AJ$4:$AJ$503,96))</f>
        <v/>
      </c>
      <c r="K2599">
        <f>IF(LEN(INDEX('Providers'!$AI$4:$AI$503,96))=0,"",INDEX('Providers'!$AI$4:$AI$503,96))</f>
        <v/>
      </c>
    </row>
    <row r="2600">
      <c r="A2600">
        <f>IF(AND(LEN('Providers'!A100)&gt;0,ISNUMBER('Providers'!S100)),1,0)</f>
        <v/>
      </c>
      <c r="B2600">
        <f>B2599+A2600</f>
        <v/>
      </c>
      <c r="C2600">
        <f>IF(2597&gt;$B$4503,"",MATCH(2597-0.5,$B$3:$B$4503,1))</f>
        <v/>
      </c>
      <c r="D2600">
        <f>"Life support ("&amp;IF(LEN(INDEX('Providers'!$R$4:$R$503,97))=0,"",INDEX('Providers'!$R$4:$R$503,97))&amp;") – "&amp;IF(LEN(INDEX('Providers'!$A$4:$A$503,97))=0,"",INDEX('Providers'!$A$4:$A$503,97))</f>
        <v/>
      </c>
      <c r="E2600">
        <f>IF(ISNUMBER(INDEX('Providers'!$S$4:$S$503,97)),TEXT(INDEX('Providers'!$S$4:$S$503,97),"yyyy-mm-dd"),"")</f>
        <v/>
      </c>
      <c r="F2600">
        <f>"Certification"</f>
        <v/>
      </c>
      <c r="G2600">
        <f>""</f>
        <v/>
      </c>
      <c r="H2600">
        <f>"Medium"</f>
        <v/>
      </c>
      <c r="I2600">
        <f>TRIM(IF(LEN(IF(LEN(INDEX('Providers'!$R$4:$R$503,97))=0,"",INDEX('Providers'!$R$4:$R$503,97)))=0,"","Card: "&amp;IF(LEN(INDEX('Providers'!$R$4:$R$503,97))=0,"",INDEX('Providers'!$R$4:$R$503,97))&amp;". "))</f>
        <v/>
      </c>
      <c r="J2600">
        <f>IF(LEN(INDEX('Providers'!$AJ$4:$AJ$503,97))=0,"",INDEX('Providers'!$AJ$4:$AJ$503,97))</f>
        <v/>
      </c>
      <c r="K2600">
        <f>IF(LEN(INDEX('Providers'!$AI$4:$AI$503,97))=0,"",INDEX('Providers'!$AI$4:$AI$503,97))</f>
        <v/>
      </c>
    </row>
    <row r="2601">
      <c r="A2601">
        <f>IF(AND(LEN('Providers'!A101)&gt;0,ISNUMBER('Providers'!S101)),1,0)</f>
        <v/>
      </c>
      <c r="B2601">
        <f>B2600+A2601</f>
        <v/>
      </c>
      <c r="C2601">
        <f>IF(2598&gt;$B$4503,"",MATCH(2598-0.5,$B$3:$B$4503,1))</f>
        <v/>
      </c>
      <c r="D2601">
        <f>"Life support ("&amp;IF(LEN(INDEX('Providers'!$R$4:$R$503,98))=0,"",INDEX('Providers'!$R$4:$R$503,98))&amp;") – "&amp;IF(LEN(INDEX('Providers'!$A$4:$A$503,98))=0,"",INDEX('Providers'!$A$4:$A$503,98))</f>
        <v/>
      </c>
      <c r="E2601">
        <f>IF(ISNUMBER(INDEX('Providers'!$S$4:$S$503,98)),TEXT(INDEX('Providers'!$S$4:$S$503,98),"yyyy-mm-dd"),"")</f>
        <v/>
      </c>
      <c r="F2601">
        <f>"Certification"</f>
        <v/>
      </c>
      <c r="G2601">
        <f>""</f>
        <v/>
      </c>
      <c r="H2601">
        <f>"Medium"</f>
        <v/>
      </c>
      <c r="I2601">
        <f>TRIM(IF(LEN(IF(LEN(INDEX('Providers'!$R$4:$R$503,98))=0,"",INDEX('Providers'!$R$4:$R$503,98)))=0,"","Card: "&amp;IF(LEN(INDEX('Providers'!$R$4:$R$503,98))=0,"",INDEX('Providers'!$R$4:$R$503,98))&amp;". "))</f>
        <v/>
      </c>
      <c r="J2601">
        <f>IF(LEN(INDEX('Providers'!$AJ$4:$AJ$503,98))=0,"",INDEX('Providers'!$AJ$4:$AJ$503,98))</f>
        <v/>
      </c>
      <c r="K2601">
        <f>IF(LEN(INDEX('Providers'!$AI$4:$AI$503,98))=0,"",INDEX('Providers'!$AI$4:$AI$503,98))</f>
        <v/>
      </c>
    </row>
    <row r="2602">
      <c r="A2602">
        <f>IF(AND(LEN('Providers'!A102)&gt;0,ISNUMBER('Providers'!S102)),1,0)</f>
        <v/>
      </c>
      <c r="B2602">
        <f>B2601+A2602</f>
        <v/>
      </c>
      <c r="C2602">
        <f>IF(2599&gt;$B$4503,"",MATCH(2599-0.5,$B$3:$B$4503,1))</f>
        <v/>
      </c>
      <c r="D2602">
        <f>"Life support ("&amp;IF(LEN(INDEX('Providers'!$R$4:$R$503,99))=0,"",INDEX('Providers'!$R$4:$R$503,99))&amp;") – "&amp;IF(LEN(INDEX('Providers'!$A$4:$A$503,99))=0,"",INDEX('Providers'!$A$4:$A$503,99))</f>
        <v/>
      </c>
      <c r="E2602">
        <f>IF(ISNUMBER(INDEX('Providers'!$S$4:$S$503,99)),TEXT(INDEX('Providers'!$S$4:$S$503,99),"yyyy-mm-dd"),"")</f>
        <v/>
      </c>
      <c r="F2602">
        <f>"Certification"</f>
        <v/>
      </c>
      <c r="G2602">
        <f>""</f>
        <v/>
      </c>
      <c r="H2602">
        <f>"Medium"</f>
        <v/>
      </c>
      <c r="I2602">
        <f>TRIM(IF(LEN(IF(LEN(INDEX('Providers'!$R$4:$R$503,99))=0,"",INDEX('Providers'!$R$4:$R$503,99)))=0,"","Card: "&amp;IF(LEN(INDEX('Providers'!$R$4:$R$503,99))=0,"",INDEX('Providers'!$R$4:$R$503,99))&amp;". "))</f>
        <v/>
      </c>
      <c r="J2602">
        <f>IF(LEN(INDEX('Providers'!$AJ$4:$AJ$503,99))=0,"",INDEX('Providers'!$AJ$4:$AJ$503,99))</f>
        <v/>
      </c>
      <c r="K2602">
        <f>IF(LEN(INDEX('Providers'!$AI$4:$AI$503,99))=0,"",INDEX('Providers'!$AI$4:$AI$503,99))</f>
        <v/>
      </c>
    </row>
    <row r="2603">
      <c r="A2603">
        <f>IF(AND(LEN('Providers'!A103)&gt;0,ISNUMBER('Providers'!S103)),1,0)</f>
        <v/>
      </c>
      <c r="B2603">
        <f>B2602+A2603</f>
        <v/>
      </c>
      <c r="C2603">
        <f>IF(2600&gt;$B$4503,"",MATCH(2600-0.5,$B$3:$B$4503,1))</f>
        <v/>
      </c>
      <c r="D2603">
        <f>"Life support ("&amp;IF(LEN(INDEX('Providers'!$R$4:$R$503,100))=0,"",INDEX('Providers'!$R$4:$R$503,100))&amp;") – "&amp;IF(LEN(INDEX('Providers'!$A$4:$A$503,100))=0,"",INDEX('Providers'!$A$4:$A$503,100))</f>
        <v/>
      </c>
      <c r="E2603">
        <f>IF(ISNUMBER(INDEX('Providers'!$S$4:$S$503,100)),TEXT(INDEX('Providers'!$S$4:$S$503,100),"yyyy-mm-dd"),"")</f>
        <v/>
      </c>
      <c r="F2603">
        <f>"Certification"</f>
        <v/>
      </c>
      <c r="G2603">
        <f>""</f>
        <v/>
      </c>
      <c r="H2603">
        <f>"Medium"</f>
        <v/>
      </c>
      <c r="I2603">
        <f>TRIM(IF(LEN(IF(LEN(INDEX('Providers'!$R$4:$R$503,100))=0,"",INDEX('Providers'!$R$4:$R$503,100)))=0,"","Card: "&amp;IF(LEN(INDEX('Providers'!$R$4:$R$503,100))=0,"",INDEX('Providers'!$R$4:$R$503,100))&amp;". "))</f>
        <v/>
      </c>
      <c r="J2603">
        <f>IF(LEN(INDEX('Providers'!$AJ$4:$AJ$503,100))=0,"",INDEX('Providers'!$AJ$4:$AJ$503,100))</f>
        <v/>
      </c>
      <c r="K2603">
        <f>IF(LEN(INDEX('Providers'!$AI$4:$AI$503,100))=0,"",INDEX('Providers'!$AI$4:$AI$503,100))</f>
        <v/>
      </c>
    </row>
    <row r="2604">
      <c r="A2604">
        <f>IF(AND(LEN('Providers'!A104)&gt;0,ISNUMBER('Providers'!S104)),1,0)</f>
        <v/>
      </c>
      <c r="B2604">
        <f>B2603+A2604</f>
        <v/>
      </c>
      <c r="C2604">
        <f>IF(2601&gt;$B$4503,"",MATCH(2601-0.5,$B$3:$B$4503,1))</f>
        <v/>
      </c>
      <c r="D2604">
        <f>"Life support ("&amp;IF(LEN(INDEX('Providers'!$R$4:$R$503,101))=0,"",INDEX('Providers'!$R$4:$R$503,101))&amp;") – "&amp;IF(LEN(INDEX('Providers'!$A$4:$A$503,101))=0,"",INDEX('Providers'!$A$4:$A$503,101))</f>
        <v/>
      </c>
      <c r="E2604">
        <f>IF(ISNUMBER(INDEX('Providers'!$S$4:$S$503,101)),TEXT(INDEX('Providers'!$S$4:$S$503,101),"yyyy-mm-dd"),"")</f>
        <v/>
      </c>
      <c r="F2604">
        <f>"Certification"</f>
        <v/>
      </c>
      <c r="G2604">
        <f>""</f>
        <v/>
      </c>
      <c r="H2604">
        <f>"Medium"</f>
        <v/>
      </c>
      <c r="I2604">
        <f>TRIM(IF(LEN(IF(LEN(INDEX('Providers'!$R$4:$R$503,101))=0,"",INDEX('Providers'!$R$4:$R$503,101)))=0,"","Card: "&amp;IF(LEN(INDEX('Providers'!$R$4:$R$503,101))=0,"",INDEX('Providers'!$R$4:$R$503,101))&amp;". "))</f>
        <v/>
      </c>
      <c r="J2604">
        <f>IF(LEN(INDEX('Providers'!$AJ$4:$AJ$503,101))=0,"",INDEX('Providers'!$AJ$4:$AJ$503,101))</f>
        <v/>
      </c>
      <c r="K2604">
        <f>IF(LEN(INDEX('Providers'!$AI$4:$AI$503,101))=0,"",INDEX('Providers'!$AI$4:$AI$503,101))</f>
        <v/>
      </c>
    </row>
    <row r="2605">
      <c r="A2605">
        <f>IF(AND(LEN('Providers'!A105)&gt;0,ISNUMBER('Providers'!S105)),1,0)</f>
        <v/>
      </c>
      <c r="B2605">
        <f>B2604+A2605</f>
        <v/>
      </c>
      <c r="C2605">
        <f>IF(2602&gt;$B$4503,"",MATCH(2602-0.5,$B$3:$B$4503,1))</f>
        <v/>
      </c>
      <c r="D2605">
        <f>"Life support ("&amp;IF(LEN(INDEX('Providers'!$R$4:$R$503,102))=0,"",INDEX('Providers'!$R$4:$R$503,102))&amp;") – "&amp;IF(LEN(INDEX('Providers'!$A$4:$A$503,102))=0,"",INDEX('Providers'!$A$4:$A$503,102))</f>
        <v/>
      </c>
      <c r="E2605">
        <f>IF(ISNUMBER(INDEX('Providers'!$S$4:$S$503,102)),TEXT(INDEX('Providers'!$S$4:$S$503,102),"yyyy-mm-dd"),"")</f>
        <v/>
      </c>
      <c r="F2605">
        <f>"Certification"</f>
        <v/>
      </c>
      <c r="G2605">
        <f>""</f>
        <v/>
      </c>
      <c r="H2605">
        <f>"Medium"</f>
        <v/>
      </c>
      <c r="I2605">
        <f>TRIM(IF(LEN(IF(LEN(INDEX('Providers'!$R$4:$R$503,102))=0,"",INDEX('Providers'!$R$4:$R$503,102)))=0,"","Card: "&amp;IF(LEN(INDEX('Providers'!$R$4:$R$503,102))=0,"",INDEX('Providers'!$R$4:$R$503,102))&amp;". "))</f>
        <v/>
      </c>
      <c r="J2605">
        <f>IF(LEN(INDEX('Providers'!$AJ$4:$AJ$503,102))=0,"",INDEX('Providers'!$AJ$4:$AJ$503,102))</f>
        <v/>
      </c>
      <c r="K2605">
        <f>IF(LEN(INDEX('Providers'!$AI$4:$AI$503,102))=0,"",INDEX('Providers'!$AI$4:$AI$503,102))</f>
        <v/>
      </c>
    </row>
    <row r="2606">
      <c r="A2606">
        <f>IF(AND(LEN('Providers'!A106)&gt;0,ISNUMBER('Providers'!S106)),1,0)</f>
        <v/>
      </c>
      <c r="B2606">
        <f>B2605+A2606</f>
        <v/>
      </c>
      <c r="C2606">
        <f>IF(2603&gt;$B$4503,"",MATCH(2603-0.5,$B$3:$B$4503,1))</f>
        <v/>
      </c>
      <c r="D2606">
        <f>"Life support ("&amp;IF(LEN(INDEX('Providers'!$R$4:$R$503,103))=0,"",INDEX('Providers'!$R$4:$R$503,103))&amp;") – "&amp;IF(LEN(INDEX('Providers'!$A$4:$A$503,103))=0,"",INDEX('Providers'!$A$4:$A$503,103))</f>
        <v/>
      </c>
      <c r="E2606">
        <f>IF(ISNUMBER(INDEX('Providers'!$S$4:$S$503,103)),TEXT(INDEX('Providers'!$S$4:$S$503,103),"yyyy-mm-dd"),"")</f>
        <v/>
      </c>
      <c r="F2606">
        <f>"Certification"</f>
        <v/>
      </c>
      <c r="G2606">
        <f>""</f>
        <v/>
      </c>
      <c r="H2606">
        <f>"Medium"</f>
        <v/>
      </c>
      <c r="I2606">
        <f>TRIM(IF(LEN(IF(LEN(INDEX('Providers'!$R$4:$R$503,103))=0,"",INDEX('Providers'!$R$4:$R$503,103)))=0,"","Card: "&amp;IF(LEN(INDEX('Providers'!$R$4:$R$503,103))=0,"",INDEX('Providers'!$R$4:$R$503,103))&amp;". "))</f>
        <v/>
      </c>
      <c r="J2606">
        <f>IF(LEN(INDEX('Providers'!$AJ$4:$AJ$503,103))=0,"",INDEX('Providers'!$AJ$4:$AJ$503,103))</f>
        <v/>
      </c>
      <c r="K2606">
        <f>IF(LEN(INDEX('Providers'!$AI$4:$AI$503,103))=0,"",INDEX('Providers'!$AI$4:$AI$503,103))</f>
        <v/>
      </c>
    </row>
    <row r="2607">
      <c r="A2607">
        <f>IF(AND(LEN('Providers'!A107)&gt;0,ISNUMBER('Providers'!S107)),1,0)</f>
        <v/>
      </c>
      <c r="B2607">
        <f>B2606+A2607</f>
        <v/>
      </c>
      <c r="C2607">
        <f>IF(2604&gt;$B$4503,"",MATCH(2604-0.5,$B$3:$B$4503,1))</f>
        <v/>
      </c>
      <c r="D2607">
        <f>"Life support ("&amp;IF(LEN(INDEX('Providers'!$R$4:$R$503,104))=0,"",INDEX('Providers'!$R$4:$R$503,104))&amp;") – "&amp;IF(LEN(INDEX('Providers'!$A$4:$A$503,104))=0,"",INDEX('Providers'!$A$4:$A$503,104))</f>
        <v/>
      </c>
      <c r="E2607">
        <f>IF(ISNUMBER(INDEX('Providers'!$S$4:$S$503,104)),TEXT(INDEX('Providers'!$S$4:$S$503,104),"yyyy-mm-dd"),"")</f>
        <v/>
      </c>
      <c r="F2607">
        <f>"Certification"</f>
        <v/>
      </c>
      <c r="G2607">
        <f>""</f>
        <v/>
      </c>
      <c r="H2607">
        <f>"Medium"</f>
        <v/>
      </c>
      <c r="I2607">
        <f>TRIM(IF(LEN(IF(LEN(INDEX('Providers'!$R$4:$R$503,104))=0,"",INDEX('Providers'!$R$4:$R$503,104)))=0,"","Card: "&amp;IF(LEN(INDEX('Providers'!$R$4:$R$503,104))=0,"",INDEX('Providers'!$R$4:$R$503,104))&amp;". "))</f>
        <v/>
      </c>
      <c r="J2607">
        <f>IF(LEN(INDEX('Providers'!$AJ$4:$AJ$503,104))=0,"",INDEX('Providers'!$AJ$4:$AJ$503,104))</f>
        <v/>
      </c>
      <c r="K2607">
        <f>IF(LEN(INDEX('Providers'!$AI$4:$AI$503,104))=0,"",INDEX('Providers'!$AI$4:$AI$503,104))</f>
        <v/>
      </c>
    </row>
    <row r="2608">
      <c r="A2608">
        <f>IF(AND(LEN('Providers'!A108)&gt;0,ISNUMBER('Providers'!S108)),1,0)</f>
        <v/>
      </c>
      <c r="B2608">
        <f>B2607+A2608</f>
        <v/>
      </c>
      <c r="C2608">
        <f>IF(2605&gt;$B$4503,"",MATCH(2605-0.5,$B$3:$B$4503,1))</f>
        <v/>
      </c>
      <c r="D2608">
        <f>"Life support ("&amp;IF(LEN(INDEX('Providers'!$R$4:$R$503,105))=0,"",INDEX('Providers'!$R$4:$R$503,105))&amp;") – "&amp;IF(LEN(INDEX('Providers'!$A$4:$A$503,105))=0,"",INDEX('Providers'!$A$4:$A$503,105))</f>
        <v/>
      </c>
      <c r="E2608">
        <f>IF(ISNUMBER(INDEX('Providers'!$S$4:$S$503,105)),TEXT(INDEX('Providers'!$S$4:$S$503,105),"yyyy-mm-dd"),"")</f>
        <v/>
      </c>
      <c r="F2608">
        <f>"Certification"</f>
        <v/>
      </c>
      <c r="G2608">
        <f>""</f>
        <v/>
      </c>
      <c r="H2608">
        <f>"Medium"</f>
        <v/>
      </c>
      <c r="I2608">
        <f>TRIM(IF(LEN(IF(LEN(INDEX('Providers'!$R$4:$R$503,105))=0,"",INDEX('Providers'!$R$4:$R$503,105)))=0,"","Card: "&amp;IF(LEN(INDEX('Providers'!$R$4:$R$503,105))=0,"",INDEX('Providers'!$R$4:$R$503,105))&amp;". "))</f>
        <v/>
      </c>
      <c r="J2608">
        <f>IF(LEN(INDEX('Providers'!$AJ$4:$AJ$503,105))=0,"",INDEX('Providers'!$AJ$4:$AJ$503,105))</f>
        <v/>
      </c>
      <c r="K2608">
        <f>IF(LEN(INDEX('Providers'!$AI$4:$AI$503,105))=0,"",INDEX('Providers'!$AI$4:$AI$503,105))</f>
        <v/>
      </c>
    </row>
    <row r="2609">
      <c r="A2609">
        <f>IF(AND(LEN('Providers'!A109)&gt;0,ISNUMBER('Providers'!S109)),1,0)</f>
        <v/>
      </c>
      <c r="B2609">
        <f>B2608+A2609</f>
        <v/>
      </c>
      <c r="C2609">
        <f>IF(2606&gt;$B$4503,"",MATCH(2606-0.5,$B$3:$B$4503,1))</f>
        <v/>
      </c>
      <c r="D2609">
        <f>"Life support ("&amp;IF(LEN(INDEX('Providers'!$R$4:$R$503,106))=0,"",INDEX('Providers'!$R$4:$R$503,106))&amp;") – "&amp;IF(LEN(INDEX('Providers'!$A$4:$A$503,106))=0,"",INDEX('Providers'!$A$4:$A$503,106))</f>
        <v/>
      </c>
      <c r="E2609">
        <f>IF(ISNUMBER(INDEX('Providers'!$S$4:$S$503,106)),TEXT(INDEX('Providers'!$S$4:$S$503,106),"yyyy-mm-dd"),"")</f>
        <v/>
      </c>
      <c r="F2609">
        <f>"Certification"</f>
        <v/>
      </c>
      <c r="G2609">
        <f>""</f>
        <v/>
      </c>
      <c r="H2609">
        <f>"Medium"</f>
        <v/>
      </c>
      <c r="I2609">
        <f>TRIM(IF(LEN(IF(LEN(INDEX('Providers'!$R$4:$R$503,106))=0,"",INDEX('Providers'!$R$4:$R$503,106)))=0,"","Card: "&amp;IF(LEN(INDEX('Providers'!$R$4:$R$503,106))=0,"",INDEX('Providers'!$R$4:$R$503,106))&amp;". "))</f>
        <v/>
      </c>
      <c r="J2609">
        <f>IF(LEN(INDEX('Providers'!$AJ$4:$AJ$503,106))=0,"",INDEX('Providers'!$AJ$4:$AJ$503,106))</f>
        <v/>
      </c>
      <c r="K2609">
        <f>IF(LEN(INDEX('Providers'!$AI$4:$AI$503,106))=0,"",INDEX('Providers'!$AI$4:$AI$503,106))</f>
        <v/>
      </c>
    </row>
    <row r="2610">
      <c r="A2610">
        <f>IF(AND(LEN('Providers'!A110)&gt;0,ISNUMBER('Providers'!S110)),1,0)</f>
        <v/>
      </c>
      <c r="B2610">
        <f>B2609+A2610</f>
        <v/>
      </c>
      <c r="C2610">
        <f>IF(2607&gt;$B$4503,"",MATCH(2607-0.5,$B$3:$B$4503,1))</f>
        <v/>
      </c>
      <c r="D2610">
        <f>"Life support ("&amp;IF(LEN(INDEX('Providers'!$R$4:$R$503,107))=0,"",INDEX('Providers'!$R$4:$R$503,107))&amp;") – "&amp;IF(LEN(INDEX('Providers'!$A$4:$A$503,107))=0,"",INDEX('Providers'!$A$4:$A$503,107))</f>
        <v/>
      </c>
      <c r="E2610">
        <f>IF(ISNUMBER(INDEX('Providers'!$S$4:$S$503,107)),TEXT(INDEX('Providers'!$S$4:$S$503,107),"yyyy-mm-dd"),"")</f>
        <v/>
      </c>
      <c r="F2610">
        <f>"Certification"</f>
        <v/>
      </c>
      <c r="G2610">
        <f>""</f>
        <v/>
      </c>
      <c r="H2610">
        <f>"Medium"</f>
        <v/>
      </c>
      <c r="I2610">
        <f>TRIM(IF(LEN(IF(LEN(INDEX('Providers'!$R$4:$R$503,107))=0,"",INDEX('Providers'!$R$4:$R$503,107)))=0,"","Card: "&amp;IF(LEN(INDEX('Providers'!$R$4:$R$503,107))=0,"",INDEX('Providers'!$R$4:$R$503,107))&amp;". "))</f>
        <v/>
      </c>
      <c r="J2610">
        <f>IF(LEN(INDEX('Providers'!$AJ$4:$AJ$503,107))=0,"",INDEX('Providers'!$AJ$4:$AJ$503,107))</f>
        <v/>
      </c>
      <c r="K2610">
        <f>IF(LEN(INDEX('Providers'!$AI$4:$AI$503,107))=0,"",INDEX('Providers'!$AI$4:$AI$503,107))</f>
        <v/>
      </c>
    </row>
    <row r="2611">
      <c r="A2611">
        <f>IF(AND(LEN('Providers'!A111)&gt;0,ISNUMBER('Providers'!S111)),1,0)</f>
        <v/>
      </c>
      <c r="B2611">
        <f>B2610+A2611</f>
        <v/>
      </c>
      <c r="C2611">
        <f>IF(2608&gt;$B$4503,"",MATCH(2608-0.5,$B$3:$B$4503,1))</f>
        <v/>
      </c>
      <c r="D2611">
        <f>"Life support ("&amp;IF(LEN(INDEX('Providers'!$R$4:$R$503,108))=0,"",INDEX('Providers'!$R$4:$R$503,108))&amp;") – "&amp;IF(LEN(INDEX('Providers'!$A$4:$A$503,108))=0,"",INDEX('Providers'!$A$4:$A$503,108))</f>
        <v/>
      </c>
      <c r="E2611">
        <f>IF(ISNUMBER(INDEX('Providers'!$S$4:$S$503,108)),TEXT(INDEX('Providers'!$S$4:$S$503,108),"yyyy-mm-dd"),"")</f>
        <v/>
      </c>
      <c r="F2611">
        <f>"Certification"</f>
        <v/>
      </c>
      <c r="G2611">
        <f>""</f>
        <v/>
      </c>
      <c r="H2611">
        <f>"Medium"</f>
        <v/>
      </c>
      <c r="I2611">
        <f>TRIM(IF(LEN(IF(LEN(INDEX('Providers'!$R$4:$R$503,108))=0,"",INDEX('Providers'!$R$4:$R$503,108)))=0,"","Card: "&amp;IF(LEN(INDEX('Providers'!$R$4:$R$503,108))=0,"",INDEX('Providers'!$R$4:$R$503,108))&amp;". "))</f>
        <v/>
      </c>
      <c r="J2611">
        <f>IF(LEN(INDEX('Providers'!$AJ$4:$AJ$503,108))=0,"",INDEX('Providers'!$AJ$4:$AJ$503,108))</f>
        <v/>
      </c>
      <c r="K2611">
        <f>IF(LEN(INDEX('Providers'!$AI$4:$AI$503,108))=0,"",INDEX('Providers'!$AI$4:$AI$503,108))</f>
        <v/>
      </c>
    </row>
    <row r="2612">
      <c r="A2612">
        <f>IF(AND(LEN('Providers'!A112)&gt;0,ISNUMBER('Providers'!S112)),1,0)</f>
        <v/>
      </c>
      <c r="B2612">
        <f>B2611+A2612</f>
        <v/>
      </c>
      <c r="C2612">
        <f>IF(2609&gt;$B$4503,"",MATCH(2609-0.5,$B$3:$B$4503,1))</f>
        <v/>
      </c>
      <c r="D2612">
        <f>"Life support ("&amp;IF(LEN(INDEX('Providers'!$R$4:$R$503,109))=0,"",INDEX('Providers'!$R$4:$R$503,109))&amp;") – "&amp;IF(LEN(INDEX('Providers'!$A$4:$A$503,109))=0,"",INDEX('Providers'!$A$4:$A$503,109))</f>
        <v/>
      </c>
      <c r="E2612">
        <f>IF(ISNUMBER(INDEX('Providers'!$S$4:$S$503,109)),TEXT(INDEX('Providers'!$S$4:$S$503,109),"yyyy-mm-dd"),"")</f>
        <v/>
      </c>
      <c r="F2612">
        <f>"Certification"</f>
        <v/>
      </c>
      <c r="G2612">
        <f>""</f>
        <v/>
      </c>
      <c r="H2612">
        <f>"Medium"</f>
        <v/>
      </c>
      <c r="I2612">
        <f>TRIM(IF(LEN(IF(LEN(INDEX('Providers'!$R$4:$R$503,109))=0,"",INDEX('Providers'!$R$4:$R$503,109)))=0,"","Card: "&amp;IF(LEN(INDEX('Providers'!$R$4:$R$503,109))=0,"",INDEX('Providers'!$R$4:$R$503,109))&amp;". "))</f>
        <v/>
      </c>
      <c r="J2612">
        <f>IF(LEN(INDEX('Providers'!$AJ$4:$AJ$503,109))=0,"",INDEX('Providers'!$AJ$4:$AJ$503,109))</f>
        <v/>
      </c>
      <c r="K2612">
        <f>IF(LEN(INDEX('Providers'!$AI$4:$AI$503,109))=0,"",INDEX('Providers'!$AI$4:$AI$503,109))</f>
        <v/>
      </c>
    </row>
    <row r="2613">
      <c r="A2613">
        <f>IF(AND(LEN('Providers'!A113)&gt;0,ISNUMBER('Providers'!S113)),1,0)</f>
        <v/>
      </c>
      <c r="B2613">
        <f>B2612+A2613</f>
        <v/>
      </c>
      <c r="C2613">
        <f>IF(2610&gt;$B$4503,"",MATCH(2610-0.5,$B$3:$B$4503,1))</f>
        <v/>
      </c>
      <c r="D2613">
        <f>"Life support ("&amp;IF(LEN(INDEX('Providers'!$R$4:$R$503,110))=0,"",INDEX('Providers'!$R$4:$R$503,110))&amp;") – "&amp;IF(LEN(INDEX('Providers'!$A$4:$A$503,110))=0,"",INDEX('Providers'!$A$4:$A$503,110))</f>
        <v/>
      </c>
      <c r="E2613">
        <f>IF(ISNUMBER(INDEX('Providers'!$S$4:$S$503,110)),TEXT(INDEX('Providers'!$S$4:$S$503,110),"yyyy-mm-dd"),"")</f>
        <v/>
      </c>
      <c r="F2613">
        <f>"Certification"</f>
        <v/>
      </c>
      <c r="G2613">
        <f>""</f>
        <v/>
      </c>
      <c r="H2613">
        <f>"Medium"</f>
        <v/>
      </c>
      <c r="I2613">
        <f>TRIM(IF(LEN(IF(LEN(INDEX('Providers'!$R$4:$R$503,110))=0,"",INDEX('Providers'!$R$4:$R$503,110)))=0,"","Card: "&amp;IF(LEN(INDEX('Providers'!$R$4:$R$503,110))=0,"",INDEX('Providers'!$R$4:$R$503,110))&amp;". "))</f>
        <v/>
      </c>
      <c r="J2613">
        <f>IF(LEN(INDEX('Providers'!$AJ$4:$AJ$503,110))=0,"",INDEX('Providers'!$AJ$4:$AJ$503,110))</f>
        <v/>
      </c>
      <c r="K2613">
        <f>IF(LEN(INDEX('Providers'!$AI$4:$AI$503,110))=0,"",INDEX('Providers'!$AI$4:$AI$503,110))</f>
        <v/>
      </c>
    </row>
    <row r="2614">
      <c r="A2614">
        <f>IF(AND(LEN('Providers'!A114)&gt;0,ISNUMBER('Providers'!S114)),1,0)</f>
        <v/>
      </c>
      <c r="B2614">
        <f>B2613+A2614</f>
        <v/>
      </c>
      <c r="C2614">
        <f>IF(2611&gt;$B$4503,"",MATCH(2611-0.5,$B$3:$B$4503,1))</f>
        <v/>
      </c>
      <c r="D2614">
        <f>"Life support ("&amp;IF(LEN(INDEX('Providers'!$R$4:$R$503,111))=0,"",INDEX('Providers'!$R$4:$R$503,111))&amp;") – "&amp;IF(LEN(INDEX('Providers'!$A$4:$A$503,111))=0,"",INDEX('Providers'!$A$4:$A$503,111))</f>
        <v/>
      </c>
      <c r="E2614">
        <f>IF(ISNUMBER(INDEX('Providers'!$S$4:$S$503,111)),TEXT(INDEX('Providers'!$S$4:$S$503,111),"yyyy-mm-dd"),"")</f>
        <v/>
      </c>
      <c r="F2614">
        <f>"Certification"</f>
        <v/>
      </c>
      <c r="G2614">
        <f>""</f>
        <v/>
      </c>
      <c r="H2614">
        <f>"Medium"</f>
        <v/>
      </c>
      <c r="I2614">
        <f>TRIM(IF(LEN(IF(LEN(INDEX('Providers'!$R$4:$R$503,111))=0,"",INDEX('Providers'!$R$4:$R$503,111)))=0,"","Card: "&amp;IF(LEN(INDEX('Providers'!$R$4:$R$503,111))=0,"",INDEX('Providers'!$R$4:$R$503,111))&amp;". "))</f>
        <v/>
      </c>
      <c r="J2614">
        <f>IF(LEN(INDEX('Providers'!$AJ$4:$AJ$503,111))=0,"",INDEX('Providers'!$AJ$4:$AJ$503,111))</f>
        <v/>
      </c>
      <c r="K2614">
        <f>IF(LEN(INDEX('Providers'!$AI$4:$AI$503,111))=0,"",INDEX('Providers'!$AI$4:$AI$503,111))</f>
        <v/>
      </c>
    </row>
    <row r="2615">
      <c r="A2615">
        <f>IF(AND(LEN('Providers'!A115)&gt;0,ISNUMBER('Providers'!S115)),1,0)</f>
        <v/>
      </c>
      <c r="B2615">
        <f>B2614+A2615</f>
        <v/>
      </c>
      <c r="C2615">
        <f>IF(2612&gt;$B$4503,"",MATCH(2612-0.5,$B$3:$B$4503,1))</f>
        <v/>
      </c>
      <c r="D2615">
        <f>"Life support ("&amp;IF(LEN(INDEX('Providers'!$R$4:$R$503,112))=0,"",INDEX('Providers'!$R$4:$R$503,112))&amp;") – "&amp;IF(LEN(INDEX('Providers'!$A$4:$A$503,112))=0,"",INDEX('Providers'!$A$4:$A$503,112))</f>
        <v/>
      </c>
      <c r="E2615">
        <f>IF(ISNUMBER(INDEX('Providers'!$S$4:$S$503,112)),TEXT(INDEX('Providers'!$S$4:$S$503,112),"yyyy-mm-dd"),"")</f>
        <v/>
      </c>
      <c r="F2615">
        <f>"Certification"</f>
        <v/>
      </c>
      <c r="G2615">
        <f>""</f>
        <v/>
      </c>
      <c r="H2615">
        <f>"Medium"</f>
        <v/>
      </c>
      <c r="I2615">
        <f>TRIM(IF(LEN(IF(LEN(INDEX('Providers'!$R$4:$R$503,112))=0,"",INDEX('Providers'!$R$4:$R$503,112)))=0,"","Card: "&amp;IF(LEN(INDEX('Providers'!$R$4:$R$503,112))=0,"",INDEX('Providers'!$R$4:$R$503,112))&amp;". "))</f>
        <v/>
      </c>
      <c r="J2615">
        <f>IF(LEN(INDEX('Providers'!$AJ$4:$AJ$503,112))=0,"",INDEX('Providers'!$AJ$4:$AJ$503,112))</f>
        <v/>
      </c>
      <c r="K2615">
        <f>IF(LEN(INDEX('Providers'!$AI$4:$AI$503,112))=0,"",INDEX('Providers'!$AI$4:$AI$503,112))</f>
        <v/>
      </c>
    </row>
    <row r="2616">
      <c r="A2616">
        <f>IF(AND(LEN('Providers'!A116)&gt;0,ISNUMBER('Providers'!S116)),1,0)</f>
        <v/>
      </c>
      <c r="B2616">
        <f>B2615+A2616</f>
        <v/>
      </c>
      <c r="C2616">
        <f>IF(2613&gt;$B$4503,"",MATCH(2613-0.5,$B$3:$B$4503,1))</f>
        <v/>
      </c>
      <c r="D2616">
        <f>"Life support ("&amp;IF(LEN(INDEX('Providers'!$R$4:$R$503,113))=0,"",INDEX('Providers'!$R$4:$R$503,113))&amp;") – "&amp;IF(LEN(INDEX('Providers'!$A$4:$A$503,113))=0,"",INDEX('Providers'!$A$4:$A$503,113))</f>
        <v/>
      </c>
      <c r="E2616">
        <f>IF(ISNUMBER(INDEX('Providers'!$S$4:$S$503,113)),TEXT(INDEX('Providers'!$S$4:$S$503,113),"yyyy-mm-dd"),"")</f>
        <v/>
      </c>
      <c r="F2616">
        <f>"Certification"</f>
        <v/>
      </c>
      <c r="G2616">
        <f>""</f>
        <v/>
      </c>
      <c r="H2616">
        <f>"Medium"</f>
        <v/>
      </c>
      <c r="I2616">
        <f>TRIM(IF(LEN(IF(LEN(INDEX('Providers'!$R$4:$R$503,113))=0,"",INDEX('Providers'!$R$4:$R$503,113)))=0,"","Card: "&amp;IF(LEN(INDEX('Providers'!$R$4:$R$503,113))=0,"",INDEX('Providers'!$R$4:$R$503,113))&amp;". "))</f>
        <v/>
      </c>
      <c r="J2616">
        <f>IF(LEN(INDEX('Providers'!$AJ$4:$AJ$503,113))=0,"",INDEX('Providers'!$AJ$4:$AJ$503,113))</f>
        <v/>
      </c>
      <c r="K2616">
        <f>IF(LEN(INDEX('Providers'!$AI$4:$AI$503,113))=0,"",INDEX('Providers'!$AI$4:$AI$503,113))</f>
        <v/>
      </c>
    </row>
    <row r="2617">
      <c r="A2617">
        <f>IF(AND(LEN('Providers'!A117)&gt;0,ISNUMBER('Providers'!S117)),1,0)</f>
        <v/>
      </c>
      <c r="B2617">
        <f>B2616+A2617</f>
        <v/>
      </c>
      <c r="C2617">
        <f>IF(2614&gt;$B$4503,"",MATCH(2614-0.5,$B$3:$B$4503,1))</f>
        <v/>
      </c>
      <c r="D2617">
        <f>"Life support ("&amp;IF(LEN(INDEX('Providers'!$R$4:$R$503,114))=0,"",INDEX('Providers'!$R$4:$R$503,114))&amp;") – "&amp;IF(LEN(INDEX('Providers'!$A$4:$A$503,114))=0,"",INDEX('Providers'!$A$4:$A$503,114))</f>
        <v/>
      </c>
      <c r="E2617">
        <f>IF(ISNUMBER(INDEX('Providers'!$S$4:$S$503,114)),TEXT(INDEX('Providers'!$S$4:$S$503,114),"yyyy-mm-dd"),"")</f>
        <v/>
      </c>
      <c r="F2617">
        <f>"Certification"</f>
        <v/>
      </c>
      <c r="G2617">
        <f>""</f>
        <v/>
      </c>
      <c r="H2617">
        <f>"Medium"</f>
        <v/>
      </c>
      <c r="I2617">
        <f>TRIM(IF(LEN(IF(LEN(INDEX('Providers'!$R$4:$R$503,114))=0,"",INDEX('Providers'!$R$4:$R$503,114)))=0,"","Card: "&amp;IF(LEN(INDEX('Providers'!$R$4:$R$503,114))=0,"",INDEX('Providers'!$R$4:$R$503,114))&amp;". "))</f>
        <v/>
      </c>
      <c r="J2617">
        <f>IF(LEN(INDEX('Providers'!$AJ$4:$AJ$503,114))=0,"",INDEX('Providers'!$AJ$4:$AJ$503,114))</f>
        <v/>
      </c>
      <c r="K2617">
        <f>IF(LEN(INDEX('Providers'!$AI$4:$AI$503,114))=0,"",INDEX('Providers'!$AI$4:$AI$503,114))</f>
        <v/>
      </c>
    </row>
    <row r="2618">
      <c r="A2618">
        <f>IF(AND(LEN('Providers'!A118)&gt;0,ISNUMBER('Providers'!S118)),1,0)</f>
        <v/>
      </c>
      <c r="B2618">
        <f>B2617+A2618</f>
        <v/>
      </c>
      <c r="C2618">
        <f>IF(2615&gt;$B$4503,"",MATCH(2615-0.5,$B$3:$B$4503,1))</f>
        <v/>
      </c>
      <c r="D2618">
        <f>"Life support ("&amp;IF(LEN(INDEX('Providers'!$R$4:$R$503,115))=0,"",INDEX('Providers'!$R$4:$R$503,115))&amp;") – "&amp;IF(LEN(INDEX('Providers'!$A$4:$A$503,115))=0,"",INDEX('Providers'!$A$4:$A$503,115))</f>
        <v/>
      </c>
      <c r="E2618">
        <f>IF(ISNUMBER(INDEX('Providers'!$S$4:$S$503,115)),TEXT(INDEX('Providers'!$S$4:$S$503,115),"yyyy-mm-dd"),"")</f>
        <v/>
      </c>
      <c r="F2618">
        <f>"Certification"</f>
        <v/>
      </c>
      <c r="G2618">
        <f>""</f>
        <v/>
      </c>
      <c r="H2618">
        <f>"Medium"</f>
        <v/>
      </c>
      <c r="I2618">
        <f>TRIM(IF(LEN(IF(LEN(INDEX('Providers'!$R$4:$R$503,115))=0,"",INDEX('Providers'!$R$4:$R$503,115)))=0,"","Card: "&amp;IF(LEN(INDEX('Providers'!$R$4:$R$503,115))=0,"",INDEX('Providers'!$R$4:$R$503,115))&amp;". "))</f>
        <v/>
      </c>
      <c r="J2618">
        <f>IF(LEN(INDEX('Providers'!$AJ$4:$AJ$503,115))=0,"",INDEX('Providers'!$AJ$4:$AJ$503,115))</f>
        <v/>
      </c>
      <c r="K2618">
        <f>IF(LEN(INDEX('Providers'!$AI$4:$AI$503,115))=0,"",INDEX('Providers'!$AI$4:$AI$503,115))</f>
        <v/>
      </c>
    </row>
    <row r="2619">
      <c r="A2619">
        <f>IF(AND(LEN('Providers'!A119)&gt;0,ISNUMBER('Providers'!S119)),1,0)</f>
        <v/>
      </c>
      <c r="B2619">
        <f>B2618+A2619</f>
        <v/>
      </c>
      <c r="C2619">
        <f>IF(2616&gt;$B$4503,"",MATCH(2616-0.5,$B$3:$B$4503,1))</f>
        <v/>
      </c>
      <c r="D2619">
        <f>"Life support ("&amp;IF(LEN(INDEX('Providers'!$R$4:$R$503,116))=0,"",INDEX('Providers'!$R$4:$R$503,116))&amp;") – "&amp;IF(LEN(INDEX('Providers'!$A$4:$A$503,116))=0,"",INDEX('Providers'!$A$4:$A$503,116))</f>
        <v/>
      </c>
      <c r="E2619">
        <f>IF(ISNUMBER(INDEX('Providers'!$S$4:$S$503,116)),TEXT(INDEX('Providers'!$S$4:$S$503,116),"yyyy-mm-dd"),"")</f>
        <v/>
      </c>
      <c r="F2619">
        <f>"Certification"</f>
        <v/>
      </c>
      <c r="G2619">
        <f>""</f>
        <v/>
      </c>
      <c r="H2619">
        <f>"Medium"</f>
        <v/>
      </c>
      <c r="I2619">
        <f>TRIM(IF(LEN(IF(LEN(INDEX('Providers'!$R$4:$R$503,116))=0,"",INDEX('Providers'!$R$4:$R$503,116)))=0,"","Card: "&amp;IF(LEN(INDEX('Providers'!$R$4:$R$503,116))=0,"",INDEX('Providers'!$R$4:$R$503,116))&amp;". "))</f>
        <v/>
      </c>
      <c r="J2619">
        <f>IF(LEN(INDEX('Providers'!$AJ$4:$AJ$503,116))=0,"",INDEX('Providers'!$AJ$4:$AJ$503,116))</f>
        <v/>
      </c>
      <c r="K2619">
        <f>IF(LEN(INDEX('Providers'!$AI$4:$AI$503,116))=0,"",INDEX('Providers'!$AI$4:$AI$503,116))</f>
        <v/>
      </c>
    </row>
    <row r="2620">
      <c r="A2620">
        <f>IF(AND(LEN('Providers'!A120)&gt;0,ISNUMBER('Providers'!S120)),1,0)</f>
        <v/>
      </c>
      <c r="B2620">
        <f>B2619+A2620</f>
        <v/>
      </c>
      <c r="C2620">
        <f>IF(2617&gt;$B$4503,"",MATCH(2617-0.5,$B$3:$B$4503,1))</f>
        <v/>
      </c>
      <c r="D2620">
        <f>"Life support ("&amp;IF(LEN(INDEX('Providers'!$R$4:$R$503,117))=0,"",INDEX('Providers'!$R$4:$R$503,117))&amp;") – "&amp;IF(LEN(INDEX('Providers'!$A$4:$A$503,117))=0,"",INDEX('Providers'!$A$4:$A$503,117))</f>
        <v/>
      </c>
      <c r="E2620">
        <f>IF(ISNUMBER(INDEX('Providers'!$S$4:$S$503,117)),TEXT(INDEX('Providers'!$S$4:$S$503,117),"yyyy-mm-dd"),"")</f>
        <v/>
      </c>
      <c r="F2620">
        <f>"Certification"</f>
        <v/>
      </c>
      <c r="G2620">
        <f>""</f>
        <v/>
      </c>
      <c r="H2620">
        <f>"Medium"</f>
        <v/>
      </c>
      <c r="I2620">
        <f>TRIM(IF(LEN(IF(LEN(INDEX('Providers'!$R$4:$R$503,117))=0,"",INDEX('Providers'!$R$4:$R$503,117)))=0,"","Card: "&amp;IF(LEN(INDEX('Providers'!$R$4:$R$503,117))=0,"",INDEX('Providers'!$R$4:$R$503,117))&amp;". "))</f>
        <v/>
      </c>
      <c r="J2620">
        <f>IF(LEN(INDEX('Providers'!$AJ$4:$AJ$503,117))=0,"",INDEX('Providers'!$AJ$4:$AJ$503,117))</f>
        <v/>
      </c>
      <c r="K2620">
        <f>IF(LEN(INDEX('Providers'!$AI$4:$AI$503,117))=0,"",INDEX('Providers'!$AI$4:$AI$503,117))</f>
        <v/>
      </c>
    </row>
    <row r="2621">
      <c r="A2621">
        <f>IF(AND(LEN('Providers'!A121)&gt;0,ISNUMBER('Providers'!S121)),1,0)</f>
        <v/>
      </c>
      <c r="B2621">
        <f>B2620+A2621</f>
        <v/>
      </c>
      <c r="C2621">
        <f>IF(2618&gt;$B$4503,"",MATCH(2618-0.5,$B$3:$B$4503,1))</f>
        <v/>
      </c>
      <c r="D2621">
        <f>"Life support ("&amp;IF(LEN(INDEX('Providers'!$R$4:$R$503,118))=0,"",INDEX('Providers'!$R$4:$R$503,118))&amp;") – "&amp;IF(LEN(INDEX('Providers'!$A$4:$A$503,118))=0,"",INDEX('Providers'!$A$4:$A$503,118))</f>
        <v/>
      </c>
      <c r="E2621">
        <f>IF(ISNUMBER(INDEX('Providers'!$S$4:$S$503,118)),TEXT(INDEX('Providers'!$S$4:$S$503,118),"yyyy-mm-dd"),"")</f>
        <v/>
      </c>
      <c r="F2621">
        <f>"Certification"</f>
        <v/>
      </c>
      <c r="G2621">
        <f>""</f>
        <v/>
      </c>
      <c r="H2621">
        <f>"Medium"</f>
        <v/>
      </c>
      <c r="I2621">
        <f>TRIM(IF(LEN(IF(LEN(INDEX('Providers'!$R$4:$R$503,118))=0,"",INDEX('Providers'!$R$4:$R$503,118)))=0,"","Card: "&amp;IF(LEN(INDEX('Providers'!$R$4:$R$503,118))=0,"",INDEX('Providers'!$R$4:$R$503,118))&amp;". "))</f>
        <v/>
      </c>
      <c r="J2621">
        <f>IF(LEN(INDEX('Providers'!$AJ$4:$AJ$503,118))=0,"",INDEX('Providers'!$AJ$4:$AJ$503,118))</f>
        <v/>
      </c>
      <c r="K2621">
        <f>IF(LEN(INDEX('Providers'!$AI$4:$AI$503,118))=0,"",INDEX('Providers'!$AI$4:$AI$503,118))</f>
        <v/>
      </c>
    </row>
    <row r="2622">
      <c r="A2622">
        <f>IF(AND(LEN('Providers'!A122)&gt;0,ISNUMBER('Providers'!S122)),1,0)</f>
        <v/>
      </c>
      <c r="B2622">
        <f>B2621+A2622</f>
        <v/>
      </c>
      <c r="C2622">
        <f>IF(2619&gt;$B$4503,"",MATCH(2619-0.5,$B$3:$B$4503,1))</f>
        <v/>
      </c>
      <c r="D2622">
        <f>"Life support ("&amp;IF(LEN(INDEX('Providers'!$R$4:$R$503,119))=0,"",INDEX('Providers'!$R$4:$R$503,119))&amp;") – "&amp;IF(LEN(INDEX('Providers'!$A$4:$A$503,119))=0,"",INDEX('Providers'!$A$4:$A$503,119))</f>
        <v/>
      </c>
      <c r="E2622">
        <f>IF(ISNUMBER(INDEX('Providers'!$S$4:$S$503,119)),TEXT(INDEX('Providers'!$S$4:$S$503,119),"yyyy-mm-dd"),"")</f>
        <v/>
      </c>
      <c r="F2622">
        <f>"Certification"</f>
        <v/>
      </c>
      <c r="G2622">
        <f>""</f>
        <v/>
      </c>
      <c r="H2622">
        <f>"Medium"</f>
        <v/>
      </c>
      <c r="I2622">
        <f>TRIM(IF(LEN(IF(LEN(INDEX('Providers'!$R$4:$R$503,119))=0,"",INDEX('Providers'!$R$4:$R$503,119)))=0,"","Card: "&amp;IF(LEN(INDEX('Providers'!$R$4:$R$503,119))=0,"",INDEX('Providers'!$R$4:$R$503,119))&amp;". "))</f>
        <v/>
      </c>
      <c r="J2622">
        <f>IF(LEN(INDEX('Providers'!$AJ$4:$AJ$503,119))=0,"",INDEX('Providers'!$AJ$4:$AJ$503,119))</f>
        <v/>
      </c>
      <c r="K2622">
        <f>IF(LEN(INDEX('Providers'!$AI$4:$AI$503,119))=0,"",INDEX('Providers'!$AI$4:$AI$503,119))</f>
        <v/>
      </c>
    </row>
    <row r="2623">
      <c r="A2623">
        <f>IF(AND(LEN('Providers'!A123)&gt;0,ISNUMBER('Providers'!S123)),1,0)</f>
        <v/>
      </c>
      <c r="B2623">
        <f>B2622+A2623</f>
        <v/>
      </c>
      <c r="C2623">
        <f>IF(2620&gt;$B$4503,"",MATCH(2620-0.5,$B$3:$B$4503,1))</f>
        <v/>
      </c>
      <c r="D2623">
        <f>"Life support ("&amp;IF(LEN(INDEX('Providers'!$R$4:$R$503,120))=0,"",INDEX('Providers'!$R$4:$R$503,120))&amp;") – "&amp;IF(LEN(INDEX('Providers'!$A$4:$A$503,120))=0,"",INDEX('Providers'!$A$4:$A$503,120))</f>
        <v/>
      </c>
      <c r="E2623">
        <f>IF(ISNUMBER(INDEX('Providers'!$S$4:$S$503,120)),TEXT(INDEX('Providers'!$S$4:$S$503,120),"yyyy-mm-dd"),"")</f>
        <v/>
      </c>
      <c r="F2623">
        <f>"Certification"</f>
        <v/>
      </c>
      <c r="G2623">
        <f>""</f>
        <v/>
      </c>
      <c r="H2623">
        <f>"Medium"</f>
        <v/>
      </c>
      <c r="I2623">
        <f>TRIM(IF(LEN(IF(LEN(INDEX('Providers'!$R$4:$R$503,120))=0,"",INDEX('Providers'!$R$4:$R$503,120)))=0,"","Card: "&amp;IF(LEN(INDEX('Providers'!$R$4:$R$503,120))=0,"",INDEX('Providers'!$R$4:$R$503,120))&amp;". "))</f>
        <v/>
      </c>
      <c r="J2623">
        <f>IF(LEN(INDEX('Providers'!$AJ$4:$AJ$503,120))=0,"",INDEX('Providers'!$AJ$4:$AJ$503,120))</f>
        <v/>
      </c>
      <c r="K2623">
        <f>IF(LEN(INDEX('Providers'!$AI$4:$AI$503,120))=0,"",INDEX('Providers'!$AI$4:$AI$503,120))</f>
        <v/>
      </c>
    </row>
    <row r="2624">
      <c r="A2624">
        <f>IF(AND(LEN('Providers'!A124)&gt;0,ISNUMBER('Providers'!S124)),1,0)</f>
        <v/>
      </c>
      <c r="B2624">
        <f>B2623+A2624</f>
        <v/>
      </c>
      <c r="C2624">
        <f>IF(2621&gt;$B$4503,"",MATCH(2621-0.5,$B$3:$B$4503,1))</f>
        <v/>
      </c>
      <c r="D2624">
        <f>"Life support ("&amp;IF(LEN(INDEX('Providers'!$R$4:$R$503,121))=0,"",INDEX('Providers'!$R$4:$R$503,121))&amp;") – "&amp;IF(LEN(INDEX('Providers'!$A$4:$A$503,121))=0,"",INDEX('Providers'!$A$4:$A$503,121))</f>
        <v/>
      </c>
      <c r="E2624">
        <f>IF(ISNUMBER(INDEX('Providers'!$S$4:$S$503,121)),TEXT(INDEX('Providers'!$S$4:$S$503,121),"yyyy-mm-dd"),"")</f>
        <v/>
      </c>
      <c r="F2624">
        <f>"Certification"</f>
        <v/>
      </c>
      <c r="G2624">
        <f>""</f>
        <v/>
      </c>
      <c r="H2624">
        <f>"Medium"</f>
        <v/>
      </c>
      <c r="I2624">
        <f>TRIM(IF(LEN(IF(LEN(INDEX('Providers'!$R$4:$R$503,121))=0,"",INDEX('Providers'!$R$4:$R$503,121)))=0,"","Card: "&amp;IF(LEN(INDEX('Providers'!$R$4:$R$503,121))=0,"",INDEX('Providers'!$R$4:$R$503,121))&amp;". "))</f>
        <v/>
      </c>
      <c r="J2624">
        <f>IF(LEN(INDEX('Providers'!$AJ$4:$AJ$503,121))=0,"",INDEX('Providers'!$AJ$4:$AJ$503,121))</f>
        <v/>
      </c>
      <c r="K2624">
        <f>IF(LEN(INDEX('Providers'!$AI$4:$AI$503,121))=0,"",INDEX('Providers'!$AI$4:$AI$503,121))</f>
        <v/>
      </c>
    </row>
    <row r="2625">
      <c r="A2625">
        <f>IF(AND(LEN('Providers'!A125)&gt;0,ISNUMBER('Providers'!S125)),1,0)</f>
        <v/>
      </c>
      <c r="B2625">
        <f>B2624+A2625</f>
        <v/>
      </c>
      <c r="C2625">
        <f>IF(2622&gt;$B$4503,"",MATCH(2622-0.5,$B$3:$B$4503,1))</f>
        <v/>
      </c>
      <c r="D2625">
        <f>"Life support ("&amp;IF(LEN(INDEX('Providers'!$R$4:$R$503,122))=0,"",INDEX('Providers'!$R$4:$R$503,122))&amp;") – "&amp;IF(LEN(INDEX('Providers'!$A$4:$A$503,122))=0,"",INDEX('Providers'!$A$4:$A$503,122))</f>
        <v/>
      </c>
      <c r="E2625">
        <f>IF(ISNUMBER(INDEX('Providers'!$S$4:$S$503,122)),TEXT(INDEX('Providers'!$S$4:$S$503,122),"yyyy-mm-dd"),"")</f>
        <v/>
      </c>
      <c r="F2625">
        <f>"Certification"</f>
        <v/>
      </c>
      <c r="G2625">
        <f>""</f>
        <v/>
      </c>
      <c r="H2625">
        <f>"Medium"</f>
        <v/>
      </c>
      <c r="I2625">
        <f>TRIM(IF(LEN(IF(LEN(INDEX('Providers'!$R$4:$R$503,122))=0,"",INDEX('Providers'!$R$4:$R$503,122)))=0,"","Card: "&amp;IF(LEN(INDEX('Providers'!$R$4:$R$503,122))=0,"",INDEX('Providers'!$R$4:$R$503,122))&amp;". "))</f>
        <v/>
      </c>
      <c r="J2625">
        <f>IF(LEN(INDEX('Providers'!$AJ$4:$AJ$503,122))=0,"",INDEX('Providers'!$AJ$4:$AJ$503,122))</f>
        <v/>
      </c>
      <c r="K2625">
        <f>IF(LEN(INDEX('Providers'!$AI$4:$AI$503,122))=0,"",INDEX('Providers'!$AI$4:$AI$503,122))</f>
        <v/>
      </c>
    </row>
    <row r="2626">
      <c r="A2626">
        <f>IF(AND(LEN('Providers'!A126)&gt;0,ISNUMBER('Providers'!S126)),1,0)</f>
        <v/>
      </c>
      <c r="B2626">
        <f>B2625+A2626</f>
        <v/>
      </c>
      <c r="C2626">
        <f>IF(2623&gt;$B$4503,"",MATCH(2623-0.5,$B$3:$B$4503,1))</f>
        <v/>
      </c>
      <c r="D2626">
        <f>"Life support ("&amp;IF(LEN(INDEX('Providers'!$R$4:$R$503,123))=0,"",INDEX('Providers'!$R$4:$R$503,123))&amp;") – "&amp;IF(LEN(INDEX('Providers'!$A$4:$A$503,123))=0,"",INDEX('Providers'!$A$4:$A$503,123))</f>
        <v/>
      </c>
      <c r="E2626">
        <f>IF(ISNUMBER(INDEX('Providers'!$S$4:$S$503,123)),TEXT(INDEX('Providers'!$S$4:$S$503,123),"yyyy-mm-dd"),"")</f>
        <v/>
      </c>
      <c r="F2626">
        <f>"Certification"</f>
        <v/>
      </c>
      <c r="G2626">
        <f>""</f>
        <v/>
      </c>
      <c r="H2626">
        <f>"Medium"</f>
        <v/>
      </c>
      <c r="I2626">
        <f>TRIM(IF(LEN(IF(LEN(INDEX('Providers'!$R$4:$R$503,123))=0,"",INDEX('Providers'!$R$4:$R$503,123)))=0,"","Card: "&amp;IF(LEN(INDEX('Providers'!$R$4:$R$503,123))=0,"",INDEX('Providers'!$R$4:$R$503,123))&amp;". "))</f>
        <v/>
      </c>
      <c r="J2626">
        <f>IF(LEN(INDEX('Providers'!$AJ$4:$AJ$503,123))=0,"",INDEX('Providers'!$AJ$4:$AJ$503,123))</f>
        <v/>
      </c>
      <c r="K2626">
        <f>IF(LEN(INDEX('Providers'!$AI$4:$AI$503,123))=0,"",INDEX('Providers'!$AI$4:$AI$503,123))</f>
        <v/>
      </c>
    </row>
    <row r="2627">
      <c r="A2627">
        <f>IF(AND(LEN('Providers'!A127)&gt;0,ISNUMBER('Providers'!S127)),1,0)</f>
        <v/>
      </c>
      <c r="B2627">
        <f>B2626+A2627</f>
        <v/>
      </c>
      <c r="C2627">
        <f>IF(2624&gt;$B$4503,"",MATCH(2624-0.5,$B$3:$B$4503,1))</f>
        <v/>
      </c>
      <c r="D2627">
        <f>"Life support ("&amp;IF(LEN(INDEX('Providers'!$R$4:$R$503,124))=0,"",INDEX('Providers'!$R$4:$R$503,124))&amp;") – "&amp;IF(LEN(INDEX('Providers'!$A$4:$A$503,124))=0,"",INDEX('Providers'!$A$4:$A$503,124))</f>
        <v/>
      </c>
      <c r="E2627">
        <f>IF(ISNUMBER(INDEX('Providers'!$S$4:$S$503,124)),TEXT(INDEX('Providers'!$S$4:$S$503,124),"yyyy-mm-dd"),"")</f>
        <v/>
      </c>
      <c r="F2627">
        <f>"Certification"</f>
        <v/>
      </c>
      <c r="G2627">
        <f>""</f>
        <v/>
      </c>
      <c r="H2627">
        <f>"Medium"</f>
        <v/>
      </c>
      <c r="I2627">
        <f>TRIM(IF(LEN(IF(LEN(INDEX('Providers'!$R$4:$R$503,124))=0,"",INDEX('Providers'!$R$4:$R$503,124)))=0,"","Card: "&amp;IF(LEN(INDEX('Providers'!$R$4:$R$503,124))=0,"",INDEX('Providers'!$R$4:$R$503,124))&amp;". "))</f>
        <v/>
      </c>
      <c r="J2627">
        <f>IF(LEN(INDEX('Providers'!$AJ$4:$AJ$503,124))=0,"",INDEX('Providers'!$AJ$4:$AJ$503,124))</f>
        <v/>
      </c>
      <c r="K2627">
        <f>IF(LEN(INDEX('Providers'!$AI$4:$AI$503,124))=0,"",INDEX('Providers'!$AI$4:$AI$503,124))</f>
        <v/>
      </c>
    </row>
    <row r="2628">
      <c r="A2628">
        <f>IF(AND(LEN('Providers'!A128)&gt;0,ISNUMBER('Providers'!S128)),1,0)</f>
        <v/>
      </c>
      <c r="B2628">
        <f>B2627+A2628</f>
        <v/>
      </c>
      <c r="C2628">
        <f>IF(2625&gt;$B$4503,"",MATCH(2625-0.5,$B$3:$B$4503,1))</f>
        <v/>
      </c>
      <c r="D2628">
        <f>"Life support ("&amp;IF(LEN(INDEX('Providers'!$R$4:$R$503,125))=0,"",INDEX('Providers'!$R$4:$R$503,125))&amp;") – "&amp;IF(LEN(INDEX('Providers'!$A$4:$A$503,125))=0,"",INDEX('Providers'!$A$4:$A$503,125))</f>
        <v/>
      </c>
      <c r="E2628">
        <f>IF(ISNUMBER(INDEX('Providers'!$S$4:$S$503,125)),TEXT(INDEX('Providers'!$S$4:$S$503,125),"yyyy-mm-dd"),"")</f>
        <v/>
      </c>
      <c r="F2628">
        <f>"Certification"</f>
        <v/>
      </c>
      <c r="G2628">
        <f>""</f>
        <v/>
      </c>
      <c r="H2628">
        <f>"Medium"</f>
        <v/>
      </c>
      <c r="I2628">
        <f>TRIM(IF(LEN(IF(LEN(INDEX('Providers'!$R$4:$R$503,125))=0,"",INDEX('Providers'!$R$4:$R$503,125)))=0,"","Card: "&amp;IF(LEN(INDEX('Providers'!$R$4:$R$503,125))=0,"",INDEX('Providers'!$R$4:$R$503,125))&amp;". "))</f>
        <v/>
      </c>
      <c r="J2628">
        <f>IF(LEN(INDEX('Providers'!$AJ$4:$AJ$503,125))=0,"",INDEX('Providers'!$AJ$4:$AJ$503,125))</f>
        <v/>
      </c>
      <c r="K2628">
        <f>IF(LEN(INDEX('Providers'!$AI$4:$AI$503,125))=0,"",INDEX('Providers'!$AI$4:$AI$503,125))</f>
        <v/>
      </c>
    </row>
    <row r="2629">
      <c r="A2629">
        <f>IF(AND(LEN('Providers'!A129)&gt;0,ISNUMBER('Providers'!S129)),1,0)</f>
        <v/>
      </c>
      <c r="B2629">
        <f>B2628+A2629</f>
        <v/>
      </c>
      <c r="C2629">
        <f>IF(2626&gt;$B$4503,"",MATCH(2626-0.5,$B$3:$B$4503,1))</f>
        <v/>
      </c>
      <c r="D2629">
        <f>"Life support ("&amp;IF(LEN(INDEX('Providers'!$R$4:$R$503,126))=0,"",INDEX('Providers'!$R$4:$R$503,126))&amp;") – "&amp;IF(LEN(INDEX('Providers'!$A$4:$A$503,126))=0,"",INDEX('Providers'!$A$4:$A$503,126))</f>
        <v/>
      </c>
      <c r="E2629">
        <f>IF(ISNUMBER(INDEX('Providers'!$S$4:$S$503,126)),TEXT(INDEX('Providers'!$S$4:$S$503,126),"yyyy-mm-dd"),"")</f>
        <v/>
      </c>
      <c r="F2629">
        <f>"Certification"</f>
        <v/>
      </c>
      <c r="G2629">
        <f>""</f>
        <v/>
      </c>
      <c r="H2629">
        <f>"Medium"</f>
        <v/>
      </c>
      <c r="I2629">
        <f>TRIM(IF(LEN(IF(LEN(INDEX('Providers'!$R$4:$R$503,126))=0,"",INDEX('Providers'!$R$4:$R$503,126)))=0,"","Card: "&amp;IF(LEN(INDEX('Providers'!$R$4:$R$503,126))=0,"",INDEX('Providers'!$R$4:$R$503,126))&amp;". "))</f>
        <v/>
      </c>
      <c r="J2629">
        <f>IF(LEN(INDEX('Providers'!$AJ$4:$AJ$503,126))=0,"",INDEX('Providers'!$AJ$4:$AJ$503,126))</f>
        <v/>
      </c>
      <c r="K2629">
        <f>IF(LEN(INDEX('Providers'!$AI$4:$AI$503,126))=0,"",INDEX('Providers'!$AI$4:$AI$503,126))</f>
        <v/>
      </c>
    </row>
    <row r="2630">
      <c r="A2630">
        <f>IF(AND(LEN('Providers'!A130)&gt;0,ISNUMBER('Providers'!S130)),1,0)</f>
        <v/>
      </c>
      <c r="B2630">
        <f>B2629+A2630</f>
        <v/>
      </c>
      <c r="C2630">
        <f>IF(2627&gt;$B$4503,"",MATCH(2627-0.5,$B$3:$B$4503,1))</f>
        <v/>
      </c>
      <c r="D2630">
        <f>"Life support ("&amp;IF(LEN(INDEX('Providers'!$R$4:$R$503,127))=0,"",INDEX('Providers'!$R$4:$R$503,127))&amp;") – "&amp;IF(LEN(INDEX('Providers'!$A$4:$A$503,127))=0,"",INDEX('Providers'!$A$4:$A$503,127))</f>
        <v/>
      </c>
      <c r="E2630">
        <f>IF(ISNUMBER(INDEX('Providers'!$S$4:$S$503,127)),TEXT(INDEX('Providers'!$S$4:$S$503,127),"yyyy-mm-dd"),"")</f>
        <v/>
      </c>
      <c r="F2630">
        <f>"Certification"</f>
        <v/>
      </c>
      <c r="G2630">
        <f>""</f>
        <v/>
      </c>
      <c r="H2630">
        <f>"Medium"</f>
        <v/>
      </c>
      <c r="I2630">
        <f>TRIM(IF(LEN(IF(LEN(INDEX('Providers'!$R$4:$R$503,127))=0,"",INDEX('Providers'!$R$4:$R$503,127)))=0,"","Card: "&amp;IF(LEN(INDEX('Providers'!$R$4:$R$503,127))=0,"",INDEX('Providers'!$R$4:$R$503,127))&amp;". "))</f>
        <v/>
      </c>
      <c r="J2630">
        <f>IF(LEN(INDEX('Providers'!$AJ$4:$AJ$503,127))=0,"",INDEX('Providers'!$AJ$4:$AJ$503,127))</f>
        <v/>
      </c>
      <c r="K2630">
        <f>IF(LEN(INDEX('Providers'!$AI$4:$AI$503,127))=0,"",INDEX('Providers'!$AI$4:$AI$503,127))</f>
        <v/>
      </c>
    </row>
    <row r="2631">
      <c r="A2631">
        <f>IF(AND(LEN('Providers'!A131)&gt;0,ISNUMBER('Providers'!S131)),1,0)</f>
        <v/>
      </c>
      <c r="B2631">
        <f>B2630+A2631</f>
        <v/>
      </c>
      <c r="C2631">
        <f>IF(2628&gt;$B$4503,"",MATCH(2628-0.5,$B$3:$B$4503,1))</f>
        <v/>
      </c>
      <c r="D2631">
        <f>"Life support ("&amp;IF(LEN(INDEX('Providers'!$R$4:$R$503,128))=0,"",INDEX('Providers'!$R$4:$R$503,128))&amp;") – "&amp;IF(LEN(INDEX('Providers'!$A$4:$A$503,128))=0,"",INDEX('Providers'!$A$4:$A$503,128))</f>
        <v/>
      </c>
      <c r="E2631">
        <f>IF(ISNUMBER(INDEX('Providers'!$S$4:$S$503,128)),TEXT(INDEX('Providers'!$S$4:$S$503,128),"yyyy-mm-dd"),"")</f>
        <v/>
      </c>
      <c r="F2631">
        <f>"Certification"</f>
        <v/>
      </c>
      <c r="G2631">
        <f>""</f>
        <v/>
      </c>
      <c r="H2631">
        <f>"Medium"</f>
        <v/>
      </c>
      <c r="I2631">
        <f>TRIM(IF(LEN(IF(LEN(INDEX('Providers'!$R$4:$R$503,128))=0,"",INDEX('Providers'!$R$4:$R$503,128)))=0,"","Card: "&amp;IF(LEN(INDEX('Providers'!$R$4:$R$503,128))=0,"",INDEX('Providers'!$R$4:$R$503,128))&amp;". "))</f>
        <v/>
      </c>
      <c r="J2631">
        <f>IF(LEN(INDEX('Providers'!$AJ$4:$AJ$503,128))=0,"",INDEX('Providers'!$AJ$4:$AJ$503,128))</f>
        <v/>
      </c>
      <c r="K2631">
        <f>IF(LEN(INDEX('Providers'!$AI$4:$AI$503,128))=0,"",INDEX('Providers'!$AI$4:$AI$503,128))</f>
        <v/>
      </c>
    </row>
    <row r="2632">
      <c r="A2632">
        <f>IF(AND(LEN('Providers'!A132)&gt;0,ISNUMBER('Providers'!S132)),1,0)</f>
        <v/>
      </c>
      <c r="B2632">
        <f>B2631+A2632</f>
        <v/>
      </c>
      <c r="C2632">
        <f>IF(2629&gt;$B$4503,"",MATCH(2629-0.5,$B$3:$B$4503,1))</f>
        <v/>
      </c>
      <c r="D2632">
        <f>"Life support ("&amp;IF(LEN(INDEX('Providers'!$R$4:$R$503,129))=0,"",INDEX('Providers'!$R$4:$R$503,129))&amp;") – "&amp;IF(LEN(INDEX('Providers'!$A$4:$A$503,129))=0,"",INDEX('Providers'!$A$4:$A$503,129))</f>
        <v/>
      </c>
      <c r="E2632">
        <f>IF(ISNUMBER(INDEX('Providers'!$S$4:$S$503,129)),TEXT(INDEX('Providers'!$S$4:$S$503,129),"yyyy-mm-dd"),"")</f>
        <v/>
      </c>
      <c r="F2632">
        <f>"Certification"</f>
        <v/>
      </c>
      <c r="G2632">
        <f>""</f>
        <v/>
      </c>
      <c r="H2632">
        <f>"Medium"</f>
        <v/>
      </c>
      <c r="I2632">
        <f>TRIM(IF(LEN(IF(LEN(INDEX('Providers'!$R$4:$R$503,129))=0,"",INDEX('Providers'!$R$4:$R$503,129)))=0,"","Card: "&amp;IF(LEN(INDEX('Providers'!$R$4:$R$503,129))=0,"",INDEX('Providers'!$R$4:$R$503,129))&amp;". "))</f>
        <v/>
      </c>
      <c r="J2632">
        <f>IF(LEN(INDEX('Providers'!$AJ$4:$AJ$503,129))=0,"",INDEX('Providers'!$AJ$4:$AJ$503,129))</f>
        <v/>
      </c>
      <c r="K2632">
        <f>IF(LEN(INDEX('Providers'!$AI$4:$AI$503,129))=0,"",INDEX('Providers'!$AI$4:$AI$503,129))</f>
        <v/>
      </c>
    </row>
    <row r="2633">
      <c r="A2633">
        <f>IF(AND(LEN('Providers'!A133)&gt;0,ISNUMBER('Providers'!S133)),1,0)</f>
        <v/>
      </c>
      <c r="B2633">
        <f>B2632+A2633</f>
        <v/>
      </c>
      <c r="C2633">
        <f>IF(2630&gt;$B$4503,"",MATCH(2630-0.5,$B$3:$B$4503,1))</f>
        <v/>
      </c>
      <c r="D2633">
        <f>"Life support ("&amp;IF(LEN(INDEX('Providers'!$R$4:$R$503,130))=0,"",INDEX('Providers'!$R$4:$R$503,130))&amp;") – "&amp;IF(LEN(INDEX('Providers'!$A$4:$A$503,130))=0,"",INDEX('Providers'!$A$4:$A$503,130))</f>
        <v/>
      </c>
      <c r="E2633">
        <f>IF(ISNUMBER(INDEX('Providers'!$S$4:$S$503,130)),TEXT(INDEX('Providers'!$S$4:$S$503,130),"yyyy-mm-dd"),"")</f>
        <v/>
      </c>
      <c r="F2633">
        <f>"Certification"</f>
        <v/>
      </c>
      <c r="G2633">
        <f>""</f>
        <v/>
      </c>
      <c r="H2633">
        <f>"Medium"</f>
        <v/>
      </c>
      <c r="I2633">
        <f>TRIM(IF(LEN(IF(LEN(INDEX('Providers'!$R$4:$R$503,130))=0,"",INDEX('Providers'!$R$4:$R$503,130)))=0,"","Card: "&amp;IF(LEN(INDEX('Providers'!$R$4:$R$503,130))=0,"",INDEX('Providers'!$R$4:$R$503,130))&amp;". "))</f>
        <v/>
      </c>
      <c r="J2633">
        <f>IF(LEN(INDEX('Providers'!$AJ$4:$AJ$503,130))=0,"",INDEX('Providers'!$AJ$4:$AJ$503,130))</f>
        <v/>
      </c>
      <c r="K2633">
        <f>IF(LEN(INDEX('Providers'!$AI$4:$AI$503,130))=0,"",INDEX('Providers'!$AI$4:$AI$503,130))</f>
        <v/>
      </c>
    </row>
    <row r="2634">
      <c r="A2634">
        <f>IF(AND(LEN('Providers'!A134)&gt;0,ISNUMBER('Providers'!S134)),1,0)</f>
        <v/>
      </c>
      <c r="B2634">
        <f>B2633+A2634</f>
        <v/>
      </c>
      <c r="C2634">
        <f>IF(2631&gt;$B$4503,"",MATCH(2631-0.5,$B$3:$B$4503,1))</f>
        <v/>
      </c>
      <c r="D2634">
        <f>"Life support ("&amp;IF(LEN(INDEX('Providers'!$R$4:$R$503,131))=0,"",INDEX('Providers'!$R$4:$R$503,131))&amp;") – "&amp;IF(LEN(INDEX('Providers'!$A$4:$A$503,131))=0,"",INDEX('Providers'!$A$4:$A$503,131))</f>
        <v/>
      </c>
      <c r="E2634">
        <f>IF(ISNUMBER(INDEX('Providers'!$S$4:$S$503,131)),TEXT(INDEX('Providers'!$S$4:$S$503,131),"yyyy-mm-dd"),"")</f>
        <v/>
      </c>
      <c r="F2634">
        <f>"Certification"</f>
        <v/>
      </c>
      <c r="G2634">
        <f>""</f>
        <v/>
      </c>
      <c r="H2634">
        <f>"Medium"</f>
        <v/>
      </c>
      <c r="I2634">
        <f>TRIM(IF(LEN(IF(LEN(INDEX('Providers'!$R$4:$R$503,131))=0,"",INDEX('Providers'!$R$4:$R$503,131)))=0,"","Card: "&amp;IF(LEN(INDEX('Providers'!$R$4:$R$503,131))=0,"",INDEX('Providers'!$R$4:$R$503,131))&amp;". "))</f>
        <v/>
      </c>
      <c r="J2634">
        <f>IF(LEN(INDEX('Providers'!$AJ$4:$AJ$503,131))=0,"",INDEX('Providers'!$AJ$4:$AJ$503,131))</f>
        <v/>
      </c>
      <c r="K2634">
        <f>IF(LEN(INDEX('Providers'!$AI$4:$AI$503,131))=0,"",INDEX('Providers'!$AI$4:$AI$503,131))</f>
        <v/>
      </c>
    </row>
    <row r="2635">
      <c r="A2635">
        <f>IF(AND(LEN('Providers'!A135)&gt;0,ISNUMBER('Providers'!S135)),1,0)</f>
        <v/>
      </c>
      <c r="B2635">
        <f>B2634+A2635</f>
        <v/>
      </c>
      <c r="C2635">
        <f>IF(2632&gt;$B$4503,"",MATCH(2632-0.5,$B$3:$B$4503,1))</f>
        <v/>
      </c>
      <c r="D2635">
        <f>"Life support ("&amp;IF(LEN(INDEX('Providers'!$R$4:$R$503,132))=0,"",INDEX('Providers'!$R$4:$R$503,132))&amp;") – "&amp;IF(LEN(INDEX('Providers'!$A$4:$A$503,132))=0,"",INDEX('Providers'!$A$4:$A$503,132))</f>
        <v/>
      </c>
      <c r="E2635">
        <f>IF(ISNUMBER(INDEX('Providers'!$S$4:$S$503,132)),TEXT(INDEX('Providers'!$S$4:$S$503,132),"yyyy-mm-dd"),"")</f>
        <v/>
      </c>
      <c r="F2635">
        <f>"Certification"</f>
        <v/>
      </c>
      <c r="G2635">
        <f>""</f>
        <v/>
      </c>
      <c r="H2635">
        <f>"Medium"</f>
        <v/>
      </c>
      <c r="I2635">
        <f>TRIM(IF(LEN(IF(LEN(INDEX('Providers'!$R$4:$R$503,132))=0,"",INDEX('Providers'!$R$4:$R$503,132)))=0,"","Card: "&amp;IF(LEN(INDEX('Providers'!$R$4:$R$503,132))=0,"",INDEX('Providers'!$R$4:$R$503,132))&amp;". "))</f>
        <v/>
      </c>
      <c r="J2635">
        <f>IF(LEN(INDEX('Providers'!$AJ$4:$AJ$503,132))=0,"",INDEX('Providers'!$AJ$4:$AJ$503,132))</f>
        <v/>
      </c>
      <c r="K2635">
        <f>IF(LEN(INDEX('Providers'!$AI$4:$AI$503,132))=0,"",INDEX('Providers'!$AI$4:$AI$503,132))</f>
        <v/>
      </c>
    </row>
    <row r="2636">
      <c r="A2636">
        <f>IF(AND(LEN('Providers'!A136)&gt;0,ISNUMBER('Providers'!S136)),1,0)</f>
        <v/>
      </c>
      <c r="B2636">
        <f>B2635+A2636</f>
        <v/>
      </c>
      <c r="C2636">
        <f>IF(2633&gt;$B$4503,"",MATCH(2633-0.5,$B$3:$B$4503,1))</f>
        <v/>
      </c>
      <c r="D2636">
        <f>"Life support ("&amp;IF(LEN(INDEX('Providers'!$R$4:$R$503,133))=0,"",INDEX('Providers'!$R$4:$R$503,133))&amp;") – "&amp;IF(LEN(INDEX('Providers'!$A$4:$A$503,133))=0,"",INDEX('Providers'!$A$4:$A$503,133))</f>
        <v/>
      </c>
      <c r="E2636">
        <f>IF(ISNUMBER(INDEX('Providers'!$S$4:$S$503,133)),TEXT(INDEX('Providers'!$S$4:$S$503,133),"yyyy-mm-dd"),"")</f>
        <v/>
      </c>
      <c r="F2636">
        <f>"Certification"</f>
        <v/>
      </c>
      <c r="G2636">
        <f>""</f>
        <v/>
      </c>
      <c r="H2636">
        <f>"Medium"</f>
        <v/>
      </c>
      <c r="I2636">
        <f>TRIM(IF(LEN(IF(LEN(INDEX('Providers'!$R$4:$R$503,133))=0,"",INDEX('Providers'!$R$4:$R$503,133)))=0,"","Card: "&amp;IF(LEN(INDEX('Providers'!$R$4:$R$503,133))=0,"",INDEX('Providers'!$R$4:$R$503,133))&amp;". "))</f>
        <v/>
      </c>
      <c r="J2636">
        <f>IF(LEN(INDEX('Providers'!$AJ$4:$AJ$503,133))=0,"",INDEX('Providers'!$AJ$4:$AJ$503,133))</f>
        <v/>
      </c>
      <c r="K2636">
        <f>IF(LEN(INDEX('Providers'!$AI$4:$AI$503,133))=0,"",INDEX('Providers'!$AI$4:$AI$503,133))</f>
        <v/>
      </c>
    </row>
    <row r="2637">
      <c r="A2637">
        <f>IF(AND(LEN('Providers'!A137)&gt;0,ISNUMBER('Providers'!S137)),1,0)</f>
        <v/>
      </c>
      <c r="B2637">
        <f>B2636+A2637</f>
        <v/>
      </c>
      <c r="C2637">
        <f>IF(2634&gt;$B$4503,"",MATCH(2634-0.5,$B$3:$B$4503,1))</f>
        <v/>
      </c>
      <c r="D2637">
        <f>"Life support ("&amp;IF(LEN(INDEX('Providers'!$R$4:$R$503,134))=0,"",INDEX('Providers'!$R$4:$R$503,134))&amp;") – "&amp;IF(LEN(INDEX('Providers'!$A$4:$A$503,134))=0,"",INDEX('Providers'!$A$4:$A$503,134))</f>
        <v/>
      </c>
      <c r="E2637">
        <f>IF(ISNUMBER(INDEX('Providers'!$S$4:$S$503,134)),TEXT(INDEX('Providers'!$S$4:$S$503,134),"yyyy-mm-dd"),"")</f>
        <v/>
      </c>
      <c r="F2637">
        <f>"Certification"</f>
        <v/>
      </c>
      <c r="G2637">
        <f>""</f>
        <v/>
      </c>
      <c r="H2637">
        <f>"Medium"</f>
        <v/>
      </c>
      <c r="I2637">
        <f>TRIM(IF(LEN(IF(LEN(INDEX('Providers'!$R$4:$R$503,134))=0,"",INDEX('Providers'!$R$4:$R$503,134)))=0,"","Card: "&amp;IF(LEN(INDEX('Providers'!$R$4:$R$503,134))=0,"",INDEX('Providers'!$R$4:$R$503,134))&amp;". "))</f>
        <v/>
      </c>
      <c r="J2637">
        <f>IF(LEN(INDEX('Providers'!$AJ$4:$AJ$503,134))=0,"",INDEX('Providers'!$AJ$4:$AJ$503,134))</f>
        <v/>
      </c>
      <c r="K2637">
        <f>IF(LEN(INDEX('Providers'!$AI$4:$AI$503,134))=0,"",INDEX('Providers'!$AI$4:$AI$503,134))</f>
        <v/>
      </c>
    </row>
    <row r="2638">
      <c r="A2638">
        <f>IF(AND(LEN('Providers'!A138)&gt;0,ISNUMBER('Providers'!S138)),1,0)</f>
        <v/>
      </c>
      <c r="B2638">
        <f>B2637+A2638</f>
        <v/>
      </c>
      <c r="C2638">
        <f>IF(2635&gt;$B$4503,"",MATCH(2635-0.5,$B$3:$B$4503,1))</f>
        <v/>
      </c>
      <c r="D2638">
        <f>"Life support ("&amp;IF(LEN(INDEX('Providers'!$R$4:$R$503,135))=0,"",INDEX('Providers'!$R$4:$R$503,135))&amp;") – "&amp;IF(LEN(INDEX('Providers'!$A$4:$A$503,135))=0,"",INDEX('Providers'!$A$4:$A$503,135))</f>
        <v/>
      </c>
      <c r="E2638">
        <f>IF(ISNUMBER(INDEX('Providers'!$S$4:$S$503,135)),TEXT(INDEX('Providers'!$S$4:$S$503,135),"yyyy-mm-dd"),"")</f>
        <v/>
      </c>
      <c r="F2638">
        <f>"Certification"</f>
        <v/>
      </c>
      <c r="G2638">
        <f>""</f>
        <v/>
      </c>
      <c r="H2638">
        <f>"Medium"</f>
        <v/>
      </c>
      <c r="I2638">
        <f>TRIM(IF(LEN(IF(LEN(INDEX('Providers'!$R$4:$R$503,135))=0,"",INDEX('Providers'!$R$4:$R$503,135)))=0,"","Card: "&amp;IF(LEN(INDEX('Providers'!$R$4:$R$503,135))=0,"",INDEX('Providers'!$R$4:$R$503,135))&amp;". "))</f>
        <v/>
      </c>
      <c r="J2638">
        <f>IF(LEN(INDEX('Providers'!$AJ$4:$AJ$503,135))=0,"",INDEX('Providers'!$AJ$4:$AJ$503,135))</f>
        <v/>
      </c>
      <c r="K2638">
        <f>IF(LEN(INDEX('Providers'!$AI$4:$AI$503,135))=0,"",INDEX('Providers'!$AI$4:$AI$503,135))</f>
        <v/>
      </c>
    </row>
    <row r="2639">
      <c r="A2639">
        <f>IF(AND(LEN('Providers'!A139)&gt;0,ISNUMBER('Providers'!S139)),1,0)</f>
        <v/>
      </c>
      <c r="B2639">
        <f>B2638+A2639</f>
        <v/>
      </c>
      <c r="C2639">
        <f>IF(2636&gt;$B$4503,"",MATCH(2636-0.5,$B$3:$B$4503,1))</f>
        <v/>
      </c>
      <c r="D2639">
        <f>"Life support ("&amp;IF(LEN(INDEX('Providers'!$R$4:$R$503,136))=0,"",INDEX('Providers'!$R$4:$R$503,136))&amp;") – "&amp;IF(LEN(INDEX('Providers'!$A$4:$A$503,136))=0,"",INDEX('Providers'!$A$4:$A$503,136))</f>
        <v/>
      </c>
      <c r="E2639">
        <f>IF(ISNUMBER(INDEX('Providers'!$S$4:$S$503,136)),TEXT(INDEX('Providers'!$S$4:$S$503,136),"yyyy-mm-dd"),"")</f>
        <v/>
      </c>
      <c r="F2639">
        <f>"Certification"</f>
        <v/>
      </c>
      <c r="G2639">
        <f>""</f>
        <v/>
      </c>
      <c r="H2639">
        <f>"Medium"</f>
        <v/>
      </c>
      <c r="I2639">
        <f>TRIM(IF(LEN(IF(LEN(INDEX('Providers'!$R$4:$R$503,136))=0,"",INDEX('Providers'!$R$4:$R$503,136)))=0,"","Card: "&amp;IF(LEN(INDEX('Providers'!$R$4:$R$503,136))=0,"",INDEX('Providers'!$R$4:$R$503,136))&amp;". "))</f>
        <v/>
      </c>
      <c r="J2639">
        <f>IF(LEN(INDEX('Providers'!$AJ$4:$AJ$503,136))=0,"",INDEX('Providers'!$AJ$4:$AJ$503,136))</f>
        <v/>
      </c>
      <c r="K2639">
        <f>IF(LEN(INDEX('Providers'!$AI$4:$AI$503,136))=0,"",INDEX('Providers'!$AI$4:$AI$503,136))</f>
        <v/>
      </c>
    </row>
    <row r="2640">
      <c r="A2640">
        <f>IF(AND(LEN('Providers'!A140)&gt;0,ISNUMBER('Providers'!S140)),1,0)</f>
        <v/>
      </c>
      <c r="B2640">
        <f>B2639+A2640</f>
        <v/>
      </c>
      <c r="C2640">
        <f>IF(2637&gt;$B$4503,"",MATCH(2637-0.5,$B$3:$B$4503,1))</f>
        <v/>
      </c>
      <c r="D2640">
        <f>"Life support ("&amp;IF(LEN(INDEX('Providers'!$R$4:$R$503,137))=0,"",INDEX('Providers'!$R$4:$R$503,137))&amp;") – "&amp;IF(LEN(INDEX('Providers'!$A$4:$A$503,137))=0,"",INDEX('Providers'!$A$4:$A$503,137))</f>
        <v/>
      </c>
      <c r="E2640">
        <f>IF(ISNUMBER(INDEX('Providers'!$S$4:$S$503,137)),TEXT(INDEX('Providers'!$S$4:$S$503,137),"yyyy-mm-dd"),"")</f>
        <v/>
      </c>
      <c r="F2640">
        <f>"Certification"</f>
        <v/>
      </c>
      <c r="G2640">
        <f>""</f>
        <v/>
      </c>
      <c r="H2640">
        <f>"Medium"</f>
        <v/>
      </c>
      <c r="I2640">
        <f>TRIM(IF(LEN(IF(LEN(INDEX('Providers'!$R$4:$R$503,137))=0,"",INDEX('Providers'!$R$4:$R$503,137)))=0,"","Card: "&amp;IF(LEN(INDEX('Providers'!$R$4:$R$503,137))=0,"",INDEX('Providers'!$R$4:$R$503,137))&amp;". "))</f>
        <v/>
      </c>
      <c r="J2640">
        <f>IF(LEN(INDEX('Providers'!$AJ$4:$AJ$503,137))=0,"",INDEX('Providers'!$AJ$4:$AJ$503,137))</f>
        <v/>
      </c>
      <c r="K2640">
        <f>IF(LEN(INDEX('Providers'!$AI$4:$AI$503,137))=0,"",INDEX('Providers'!$AI$4:$AI$503,137))</f>
        <v/>
      </c>
    </row>
    <row r="2641">
      <c r="A2641">
        <f>IF(AND(LEN('Providers'!A141)&gt;0,ISNUMBER('Providers'!S141)),1,0)</f>
        <v/>
      </c>
      <c r="B2641">
        <f>B2640+A2641</f>
        <v/>
      </c>
      <c r="C2641">
        <f>IF(2638&gt;$B$4503,"",MATCH(2638-0.5,$B$3:$B$4503,1))</f>
        <v/>
      </c>
      <c r="D2641">
        <f>"Life support ("&amp;IF(LEN(INDEX('Providers'!$R$4:$R$503,138))=0,"",INDEX('Providers'!$R$4:$R$503,138))&amp;") – "&amp;IF(LEN(INDEX('Providers'!$A$4:$A$503,138))=0,"",INDEX('Providers'!$A$4:$A$503,138))</f>
        <v/>
      </c>
      <c r="E2641">
        <f>IF(ISNUMBER(INDEX('Providers'!$S$4:$S$503,138)),TEXT(INDEX('Providers'!$S$4:$S$503,138),"yyyy-mm-dd"),"")</f>
        <v/>
      </c>
      <c r="F2641">
        <f>"Certification"</f>
        <v/>
      </c>
      <c r="G2641">
        <f>""</f>
        <v/>
      </c>
      <c r="H2641">
        <f>"Medium"</f>
        <v/>
      </c>
      <c r="I2641">
        <f>TRIM(IF(LEN(IF(LEN(INDEX('Providers'!$R$4:$R$503,138))=0,"",INDEX('Providers'!$R$4:$R$503,138)))=0,"","Card: "&amp;IF(LEN(INDEX('Providers'!$R$4:$R$503,138))=0,"",INDEX('Providers'!$R$4:$R$503,138))&amp;". "))</f>
        <v/>
      </c>
      <c r="J2641">
        <f>IF(LEN(INDEX('Providers'!$AJ$4:$AJ$503,138))=0,"",INDEX('Providers'!$AJ$4:$AJ$503,138))</f>
        <v/>
      </c>
      <c r="K2641">
        <f>IF(LEN(INDEX('Providers'!$AI$4:$AI$503,138))=0,"",INDEX('Providers'!$AI$4:$AI$503,138))</f>
        <v/>
      </c>
    </row>
    <row r="2642">
      <c r="A2642">
        <f>IF(AND(LEN('Providers'!A142)&gt;0,ISNUMBER('Providers'!S142)),1,0)</f>
        <v/>
      </c>
      <c r="B2642">
        <f>B2641+A2642</f>
        <v/>
      </c>
      <c r="C2642">
        <f>IF(2639&gt;$B$4503,"",MATCH(2639-0.5,$B$3:$B$4503,1))</f>
        <v/>
      </c>
      <c r="D2642">
        <f>"Life support ("&amp;IF(LEN(INDEX('Providers'!$R$4:$R$503,139))=0,"",INDEX('Providers'!$R$4:$R$503,139))&amp;") – "&amp;IF(LEN(INDEX('Providers'!$A$4:$A$503,139))=0,"",INDEX('Providers'!$A$4:$A$503,139))</f>
        <v/>
      </c>
      <c r="E2642">
        <f>IF(ISNUMBER(INDEX('Providers'!$S$4:$S$503,139)),TEXT(INDEX('Providers'!$S$4:$S$503,139),"yyyy-mm-dd"),"")</f>
        <v/>
      </c>
      <c r="F2642">
        <f>"Certification"</f>
        <v/>
      </c>
      <c r="G2642">
        <f>""</f>
        <v/>
      </c>
      <c r="H2642">
        <f>"Medium"</f>
        <v/>
      </c>
      <c r="I2642">
        <f>TRIM(IF(LEN(IF(LEN(INDEX('Providers'!$R$4:$R$503,139))=0,"",INDEX('Providers'!$R$4:$R$503,139)))=0,"","Card: "&amp;IF(LEN(INDEX('Providers'!$R$4:$R$503,139))=0,"",INDEX('Providers'!$R$4:$R$503,139))&amp;". "))</f>
        <v/>
      </c>
      <c r="J2642">
        <f>IF(LEN(INDEX('Providers'!$AJ$4:$AJ$503,139))=0,"",INDEX('Providers'!$AJ$4:$AJ$503,139))</f>
        <v/>
      </c>
      <c r="K2642">
        <f>IF(LEN(INDEX('Providers'!$AI$4:$AI$503,139))=0,"",INDEX('Providers'!$AI$4:$AI$503,139))</f>
        <v/>
      </c>
    </row>
    <row r="2643">
      <c r="A2643">
        <f>IF(AND(LEN('Providers'!A143)&gt;0,ISNUMBER('Providers'!S143)),1,0)</f>
        <v/>
      </c>
      <c r="B2643">
        <f>B2642+A2643</f>
        <v/>
      </c>
      <c r="C2643">
        <f>IF(2640&gt;$B$4503,"",MATCH(2640-0.5,$B$3:$B$4503,1))</f>
        <v/>
      </c>
      <c r="D2643">
        <f>"Life support ("&amp;IF(LEN(INDEX('Providers'!$R$4:$R$503,140))=0,"",INDEX('Providers'!$R$4:$R$503,140))&amp;") – "&amp;IF(LEN(INDEX('Providers'!$A$4:$A$503,140))=0,"",INDEX('Providers'!$A$4:$A$503,140))</f>
        <v/>
      </c>
      <c r="E2643">
        <f>IF(ISNUMBER(INDEX('Providers'!$S$4:$S$503,140)),TEXT(INDEX('Providers'!$S$4:$S$503,140),"yyyy-mm-dd"),"")</f>
        <v/>
      </c>
      <c r="F2643">
        <f>"Certification"</f>
        <v/>
      </c>
      <c r="G2643">
        <f>""</f>
        <v/>
      </c>
      <c r="H2643">
        <f>"Medium"</f>
        <v/>
      </c>
      <c r="I2643">
        <f>TRIM(IF(LEN(IF(LEN(INDEX('Providers'!$R$4:$R$503,140))=0,"",INDEX('Providers'!$R$4:$R$503,140)))=0,"","Card: "&amp;IF(LEN(INDEX('Providers'!$R$4:$R$503,140))=0,"",INDEX('Providers'!$R$4:$R$503,140))&amp;". "))</f>
        <v/>
      </c>
      <c r="J2643">
        <f>IF(LEN(INDEX('Providers'!$AJ$4:$AJ$503,140))=0,"",INDEX('Providers'!$AJ$4:$AJ$503,140))</f>
        <v/>
      </c>
      <c r="K2643">
        <f>IF(LEN(INDEX('Providers'!$AI$4:$AI$503,140))=0,"",INDEX('Providers'!$AI$4:$AI$503,140))</f>
        <v/>
      </c>
    </row>
    <row r="2644">
      <c r="A2644">
        <f>IF(AND(LEN('Providers'!A144)&gt;0,ISNUMBER('Providers'!S144)),1,0)</f>
        <v/>
      </c>
      <c r="B2644">
        <f>B2643+A2644</f>
        <v/>
      </c>
      <c r="C2644">
        <f>IF(2641&gt;$B$4503,"",MATCH(2641-0.5,$B$3:$B$4503,1))</f>
        <v/>
      </c>
      <c r="D2644">
        <f>"Life support ("&amp;IF(LEN(INDEX('Providers'!$R$4:$R$503,141))=0,"",INDEX('Providers'!$R$4:$R$503,141))&amp;") – "&amp;IF(LEN(INDEX('Providers'!$A$4:$A$503,141))=0,"",INDEX('Providers'!$A$4:$A$503,141))</f>
        <v/>
      </c>
      <c r="E2644">
        <f>IF(ISNUMBER(INDEX('Providers'!$S$4:$S$503,141)),TEXT(INDEX('Providers'!$S$4:$S$503,141),"yyyy-mm-dd"),"")</f>
        <v/>
      </c>
      <c r="F2644">
        <f>"Certification"</f>
        <v/>
      </c>
      <c r="G2644">
        <f>""</f>
        <v/>
      </c>
      <c r="H2644">
        <f>"Medium"</f>
        <v/>
      </c>
      <c r="I2644">
        <f>TRIM(IF(LEN(IF(LEN(INDEX('Providers'!$R$4:$R$503,141))=0,"",INDEX('Providers'!$R$4:$R$503,141)))=0,"","Card: "&amp;IF(LEN(INDEX('Providers'!$R$4:$R$503,141))=0,"",INDEX('Providers'!$R$4:$R$503,141))&amp;". "))</f>
        <v/>
      </c>
      <c r="J2644">
        <f>IF(LEN(INDEX('Providers'!$AJ$4:$AJ$503,141))=0,"",INDEX('Providers'!$AJ$4:$AJ$503,141))</f>
        <v/>
      </c>
      <c r="K2644">
        <f>IF(LEN(INDEX('Providers'!$AI$4:$AI$503,141))=0,"",INDEX('Providers'!$AI$4:$AI$503,141))</f>
        <v/>
      </c>
    </row>
    <row r="2645">
      <c r="A2645">
        <f>IF(AND(LEN('Providers'!A145)&gt;0,ISNUMBER('Providers'!S145)),1,0)</f>
        <v/>
      </c>
      <c r="B2645">
        <f>B2644+A2645</f>
        <v/>
      </c>
      <c r="C2645">
        <f>IF(2642&gt;$B$4503,"",MATCH(2642-0.5,$B$3:$B$4503,1))</f>
        <v/>
      </c>
      <c r="D2645">
        <f>"Life support ("&amp;IF(LEN(INDEX('Providers'!$R$4:$R$503,142))=0,"",INDEX('Providers'!$R$4:$R$503,142))&amp;") – "&amp;IF(LEN(INDEX('Providers'!$A$4:$A$503,142))=0,"",INDEX('Providers'!$A$4:$A$503,142))</f>
        <v/>
      </c>
      <c r="E2645">
        <f>IF(ISNUMBER(INDEX('Providers'!$S$4:$S$503,142)),TEXT(INDEX('Providers'!$S$4:$S$503,142),"yyyy-mm-dd"),"")</f>
        <v/>
      </c>
      <c r="F2645">
        <f>"Certification"</f>
        <v/>
      </c>
      <c r="G2645">
        <f>""</f>
        <v/>
      </c>
      <c r="H2645">
        <f>"Medium"</f>
        <v/>
      </c>
      <c r="I2645">
        <f>TRIM(IF(LEN(IF(LEN(INDEX('Providers'!$R$4:$R$503,142))=0,"",INDEX('Providers'!$R$4:$R$503,142)))=0,"","Card: "&amp;IF(LEN(INDEX('Providers'!$R$4:$R$503,142))=0,"",INDEX('Providers'!$R$4:$R$503,142))&amp;". "))</f>
        <v/>
      </c>
      <c r="J2645">
        <f>IF(LEN(INDEX('Providers'!$AJ$4:$AJ$503,142))=0,"",INDEX('Providers'!$AJ$4:$AJ$503,142))</f>
        <v/>
      </c>
      <c r="K2645">
        <f>IF(LEN(INDEX('Providers'!$AI$4:$AI$503,142))=0,"",INDEX('Providers'!$AI$4:$AI$503,142))</f>
        <v/>
      </c>
    </row>
    <row r="2646">
      <c r="A2646">
        <f>IF(AND(LEN('Providers'!A146)&gt;0,ISNUMBER('Providers'!S146)),1,0)</f>
        <v/>
      </c>
      <c r="B2646">
        <f>B2645+A2646</f>
        <v/>
      </c>
      <c r="C2646">
        <f>IF(2643&gt;$B$4503,"",MATCH(2643-0.5,$B$3:$B$4503,1))</f>
        <v/>
      </c>
      <c r="D2646">
        <f>"Life support ("&amp;IF(LEN(INDEX('Providers'!$R$4:$R$503,143))=0,"",INDEX('Providers'!$R$4:$R$503,143))&amp;") – "&amp;IF(LEN(INDEX('Providers'!$A$4:$A$503,143))=0,"",INDEX('Providers'!$A$4:$A$503,143))</f>
        <v/>
      </c>
      <c r="E2646">
        <f>IF(ISNUMBER(INDEX('Providers'!$S$4:$S$503,143)),TEXT(INDEX('Providers'!$S$4:$S$503,143),"yyyy-mm-dd"),"")</f>
        <v/>
      </c>
      <c r="F2646">
        <f>"Certification"</f>
        <v/>
      </c>
      <c r="G2646">
        <f>""</f>
        <v/>
      </c>
      <c r="H2646">
        <f>"Medium"</f>
        <v/>
      </c>
      <c r="I2646">
        <f>TRIM(IF(LEN(IF(LEN(INDEX('Providers'!$R$4:$R$503,143))=0,"",INDEX('Providers'!$R$4:$R$503,143)))=0,"","Card: "&amp;IF(LEN(INDEX('Providers'!$R$4:$R$503,143))=0,"",INDEX('Providers'!$R$4:$R$503,143))&amp;". "))</f>
        <v/>
      </c>
      <c r="J2646">
        <f>IF(LEN(INDEX('Providers'!$AJ$4:$AJ$503,143))=0,"",INDEX('Providers'!$AJ$4:$AJ$503,143))</f>
        <v/>
      </c>
      <c r="K2646">
        <f>IF(LEN(INDEX('Providers'!$AI$4:$AI$503,143))=0,"",INDEX('Providers'!$AI$4:$AI$503,143))</f>
        <v/>
      </c>
    </row>
    <row r="2647">
      <c r="A2647">
        <f>IF(AND(LEN('Providers'!A147)&gt;0,ISNUMBER('Providers'!S147)),1,0)</f>
        <v/>
      </c>
      <c r="B2647">
        <f>B2646+A2647</f>
        <v/>
      </c>
      <c r="C2647">
        <f>IF(2644&gt;$B$4503,"",MATCH(2644-0.5,$B$3:$B$4503,1))</f>
        <v/>
      </c>
      <c r="D2647">
        <f>"Life support ("&amp;IF(LEN(INDEX('Providers'!$R$4:$R$503,144))=0,"",INDEX('Providers'!$R$4:$R$503,144))&amp;") – "&amp;IF(LEN(INDEX('Providers'!$A$4:$A$503,144))=0,"",INDEX('Providers'!$A$4:$A$503,144))</f>
        <v/>
      </c>
      <c r="E2647">
        <f>IF(ISNUMBER(INDEX('Providers'!$S$4:$S$503,144)),TEXT(INDEX('Providers'!$S$4:$S$503,144),"yyyy-mm-dd"),"")</f>
        <v/>
      </c>
      <c r="F2647">
        <f>"Certification"</f>
        <v/>
      </c>
      <c r="G2647">
        <f>""</f>
        <v/>
      </c>
      <c r="H2647">
        <f>"Medium"</f>
        <v/>
      </c>
      <c r="I2647">
        <f>TRIM(IF(LEN(IF(LEN(INDEX('Providers'!$R$4:$R$503,144))=0,"",INDEX('Providers'!$R$4:$R$503,144)))=0,"","Card: "&amp;IF(LEN(INDEX('Providers'!$R$4:$R$503,144))=0,"",INDEX('Providers'!$R$4:$R$503,144))&amp;". "))</f>
        <v/>
      </c>
      <c r="J2647">
        <f>IF(LEN(INDEX('Providers'!$AJ$4:$AJ$503,144))=0,"",INDEX('Providers'!$AJ$4:$AJ$503,144))</f>
        <v/>
      </c>
      <c r="K2647">
        <f>IF(LEN(INDEX('Providers'!$AI$4:$AI$503,144))=0,"",INDEX('Providers'!$AI$4:$AI$503,144))</f>
        <v/>
      </c>
    </row>
    <row r="2648">
      <c r="A2648">
        <f>IF(AND(LEN('Providers'!A148)&gt;0,ISNUMBER('Providers'!S148)),1,0)</f>
        <v/>
      </c>
      <c r="B2648">
        <f>B2647+A2648</f>
        <v/>
      </c>
      <c r="C2648">
        <f>IF(2645&gt;$B$4503,"",MATCH(2645-0.5,$B$3:$B$4503,1))</f>
        <v/>
      </c>
      <c r="D2648">
        <f>"Life support ("&amp;IF(LEN(INDEX('Providers'!$R$4:$R$503,145))=0,"",INDEX('Providers'!$R$4:$R$503,145))&amp;") – "&amp;IF(LEN(INDEX('Providers'!$A$4:$A$503,145))=0,"",INDEX('Providers'!$A$4:$A$503,145))</f>
        <v/>
      </c>
      <c r="E2648">
        <f>IF(ISNUMBER(INDEX('Providers'!$S$4:$S$503,145)),TEXT(INDEX('Providers'!$S$4:$S$503,145),"yyyy-mm-dd"),"")</f>
        <v/>
      </c>
      <c r="F2648">
        <f>"Certification"</f>
        <v/>
      </c>
      <c r="G2648">
        <f>""</f>
        <v/>
      </c>
      <c r="H2648">
        <f>"Medium"</f>
        <v/>
      </c>
      <c r="I2648">
        <f>TRIM(IF(LEN(IF(LEN(INDEX('Providers'!$R$4:$R$503,145))=0,"",INDEX('Providers'!$R$4:$R$503,145)))=0,"","Card: "&amp;IF(LEN(INDEX('Providers'!$R$4:$R$503,145))=0,"",INDEX('Providers'!$R$4:$R$503,145))&amp;". "))</f>
        <v/>
      </c>
      <c r="J2648">
        <f>IF(LEN(INDEX('Providers'!$AJ$4:$AJ$503,145))=0,"",INDEX('Providers'!$AJ$4:$AJ$503,145))</f>
        <v/>
      </c>
      <c r="K2648">
        <f>IF(LEN(INDEX('Providers'!$AI$4:$AI$503,145))=0,"",INDEX('Providers'!$AI$4:$AI$503,145))</f>
        <v/>
      </c>
    </row>
    <row r="2649">
      <c r="A2649">
        <f>IF(AND(LEN('Providers'!A149)&gt;0,ISNUMBER('Providers'!S149)),1,0)</f>
        <v/>
      </c>
      <c r="B2649">
        <f>B2648+A2649</f>
        <v/>
      </c>
      <c r="C2649">
        <f>IF(2646&gt;$B$4503,"",MATCH(2646-0.5,$B$3:$B$4503,1))</f>
        <v/>
      </c>
      <c r="D2649">
        <f>"Life support ("&amp;IF(LEN(INDEX('Providers'!$R$4:$R$503,146))=0,"",INDEX('Providers'!$R$4:$R$503,146))&amp;") – "&amp;IF(LEN(INDEX('Providers'!$A$4:$A$503,146))=0,"",INDEX('Providers'!$A$4:$A$503,146))</f>
        <v/>
      </c>
      <c r="E2649">
        <f>IF(ISNUMBER(INDEX('Providers'!$S$4:$S$503,146)),TEXT(INDEX('Providers'!$S$4:$S$503,146),"yyyy-mm-dd"),"")</f>
        <v/>
      </c>
      <c r="F2649">
        <f>"Certification"</f>
        <v/>
      </c>
      <c r="G2649">
        <f>""</f>
        <v/>
      </c>
      <c r="H2649">
        <f>"Medium"</f>
        <v/>
      </c>
      <c r="I2649">
        <f>TRIM(IF(LEN(IF(LEN(INDEX('Providers'!$R$4:$R$503,146))=0,"",INDEX('Providers'!$R$4:$R$503,146)))=0,"","Card: "&amp;IF(LEN(INDEX('Providers'!$R$4:$R$503,146))=0,"",INDEX('Providers'!$R$4:$R$503,146))&amp;". "))</f>
        <v/>
      </c>
      <c r="J2649">
        <f>IF(LEN(INDEX('Providers'!$AJ$4:$AJ$503,146))=0,"",INDEX('Providers'!$AJ$4:$AJ$503,146))</f>
        <v/>
      </c>
      <c r="K2649">
        <f>IF(LEN(INDEX('Providers'!$AI$4:$AI$503,146))=0,"",INDEX('Providers'!$AI$4:$AI$503,146))</f>
        <v/>
      </c>
    </row>
    <row r="2650">
      <c r="A2650">
        <f>IF(AND(LEN('Providers'!A150)&gt;0,ISNUMBER('Providers'!S150)),1,0)</f>
        <v/>
      </c>
      <c r="B2650">
        <f>B2649+A2650</f>
        <v/>
      </c>
      <c r="C2650">
        <f>IF(2647&gt;$B$4503,"",MATCH(2647-0.5,$B$3:$B$4503,1))</f>
        <v/>
      </c>
      <c r="D2650">
        <f>"Life support ("&amp;IF(LEN(INDEX('Providers'!$R$4:$R$503,147))=0,"",INDEX('Providers'!$R$4:$R$503,147))&amp;") – "&amp;IF(LEN(INDEX('Providers'!$A$4:$A$503,147))=0,"",INDEX('Providers'!$A$4:$A$503,147))</f>
        <v/>
      </c>
      <c r="E2650">
        <f>IF(ISNUMBER(INDEX('Providers'!$S$4:$S$503,147)),TEXT(INDEX('Providers'!$S$4:$S$503,147),"yyyy-mm-dd"),"")</f>
        <v/>
      </c>
      <c r="F2650">
        <f>"Certification"</f>
        <v/>
      </c>
      <c r="G2650">
        <f>""</f>
        <v/>
      </c>
      <c r="H2650">
        <f>"Medium"</f>
        <v/>
      </c>
      <c r="I2650">
        <f>TRIM(IF(LEN(IF(LEN(INDEX('Providers'!$R$4:$R$503,147))=0,"",INDEX('Providers'!$R$4:$R$503,147)))=0,"","Card: "&amp;IF(LEN(INDEX('Providers'!$R$4:$R$503,147))=0,"",INDEX('Providers'!$R$4:$R$503,147))&amp;". "))</f>
        <v/>
      </c>
      <c r="J2650">
        <f>IF(LEN(INDEX('Providers'!$AJ$4:$AJ$503,147))=0,"",INDEX('Providers'!$AJ$4:$AJ$503,147))</f>
        <v/>
      </c>
      <c r="K2650">
        <f>IF(LEN(INDEX('Providers'!$AI$4:$AI$503,147))=0,"",INDEX('Providers'!$AI$4:$AI$503,147))</f>
        <v/>
      </c>
    </row>
    <row r="2651">
      <c r="A2651">
        <f>IF(AND(LEN('Providers'!A151)&gt;0,ISNUMBER('Providers'!S151)),1,0)</f>
        <v/>
      </c>
      <c r="B2651">
        <f>B2650+A2651</f>
        <v/>
      </c>
      <c r="C2651">
        <f>IF(2648&gt;$B$4503,"",MATCH(2648-0.5,$B$3:$B$4503,1))</f>
        <v/>
      </c>
      <c r="D2651">
        <f>"Life support ("&amp;IF(LEN(INDEX('Providers'!$R$4:$R$503,148))=0,"",INDEX('Providers'!$R$4:$R$503,148))&amp;") – "&amp;IF(LEN(INDEX('Providers'!$A$4:$A$503,148))=0,"",INDEX('Providers'!$A$4:$A$503,148))</f>
        <v/>
      </c>
      <c r="E2651">
        <f>IF(ISNUMBER(INDEX('Providers'!$S$4:$S$503,148)),TEXT(INDEX('Providers'!$S$4:$S$503,148),"yyyy-mm-dd"),"")</f>
        <v/>
      </c>
      <c r="F2651">
        <f>"Certification"</f>
        <v/>
      </c>
      <c r="G2651">
        <f>""</f>
        <v/>
      </c>
      <c r="H2651">
        <f>"Medium"</f>
        <v/>
      </c>
      <c r="I2651">
        <f>TRIM(IF(LEN(IF(LEN(INDEX('Providers'!$R$4:$R$503,148))=0,"",INDEX('Providers'!$R$4:$R$503,148)))=0,"","Card: "&amp;IF(LEN(INDEX('Providers'!$R$4:$R$503,148))=0,"",INDEX('Providers'!$R$4:$R$503,148))&amp;". "))</f>
        <v/>
      </c>
      <c r="J2651">
        <f>IF(LEN(INDEX('Providers'!$AJ$4:$AJ$503,148))=0,"",INDEX('Providers'!$AJ$4:$AJ$503,148))</f>
        <v/>
      </c>
      <c r="K2651">
        <f>IF(LEN(INDEX('Providers'!$AI$4:$AI$503,148))=0,"",INDEX('Providers'!$AI$4:$AI$503,148))</f>
        <v/>
      </c>
    </row>
    <row r="2652">
      <c r="A2652">
        <f>IF(AND(LEN('Providers'!A152)&gt;0,ISNUMBER('Providers'!S152)),1,0)</f>
        <v/>
      </c>
      <c r="B2652">
        <f>B2651+A2652</f>
        <v/>
      </c>
      <c r="C2652">
        <f>IF(2649&gt;$B$4503,"",MATCH(2649-0.5,$B$3:$B$4503,1))</f>
        <v/>
      </c>
      <c r="D2652">
        <f>"Life support ("&amp;IF(LEN(INDEX('Providers'!$R$4:$R$503,149))=0,"",INDEX('Providers'!$R$4:$R$503,149))&amp;") – "&amp;IF(LEN(INDEX('Providers'!$A$4:$A$503,149))=0,"",INDEX('Providers'!$A$4:$A$503,149))</f>
        <v/>
      </c>
      <c r="E2652">
        <f>IF(ISNUMBER(INDEX('Providers'!$S$4:$S$503,149)),TEXT(INDEX('Providers'!$S$4:$S$503,149),"yyyy-mm-dd"),"")</f>
        <v/>
      </c>
      <c r="F2652">
        <f>"Certification"</f>
        <v/>
      </c>
      <c r="G2652">
        <f>""</f>
        <v/>
      </c>
      <c r="H2652">
        <f>"Medium"</f>
        <v/>
      </c>
      <c r="I2652">
        <f>TRIM(IF(LEN(IF(LEN(INDEX('Providers'!$R$4:$R$503,149))=0,"",INDEX('Providers'!$R$4:$R$503,149)))=0,"","Card: "&amp;IF(LEN(INDEX('Providers'!$R$4:$R$503,149))=0,"",INDEX('Providers'!$R$4:$R$503,149))&amp;". "))</f>
        <v/>
      </c>
      <c r="J2652">
        <f>IF(LEN(INDEX('Providers'!$AJ$4:$AJ$503,149))=0,"",INDEX('Providers'!$AJ$4:$AJ$503,149))</f>
        <v/>
      </c>
      <c r="K2652">
        <f>IF(LEN(INDEX('Providers'!$AI$4:$AI$503,149))=0,"",INDEX('Providers'!$AI$4:$AI$503,149))</f>
        <v/>
      </c>
    </row>
    <row r="2653">
      <c r="A2653">
        <f>IF(AND(LEN('Providers'!A153)&gt;0,ISNUMBER('Providers'!S153)),1,0)</f>
        <v/>
      </c>
      <c r="B2653">
        <f>B2652+A2653</f>
        <v/>
      </c>
      <c r="C2653">
        <f>IF(2650&gt;$B$4503,"",MATCH(2650-0.5,$B$3:$B$4503,1))</f>
        <v/>
      </c>
      <c r="D2653">
        <f>"Life support ("&amp;IF(LEN(INDEX('Providers'!$R$4:$R$503,150))=0,"",INDEX('Providers'!$R$4:$R$503,150))&amp;") – "&amp;IF(LEN(INDEX('Providers'!$A$4:$A$503,150))=0,"",INDEX('Providers'!$A$4:$A$503,150))</f>
        <v/>
      </c>
      <c r="E2653">
        <f>IF(ISNUMBER(INDEX('Providers'!$S$4:$S$503,150)),TEXT(INDEX('Providers'!$S$4:$S$503,150),"yyyy-mm-dd"),"")</f>
        <v/>
      </c>
      <c r="F2653">
        <f>"Certification"</f>
        <v/>
      </c>
      <c r="G2653">
        <f>""</f>
        <v/>
      </c>
      <c r="H2653">
        <f>"Medium"</f>
        <v/>
      </c>
      <c r="I2653">
        <f>TRIM(IF(LEN(IF(LEN(INDEX('Providers'!$R$4:$R$503,150))=0,"",INDEX('Providers'!$R$4:$R$503,150)))=0,"","Card: "&amp;IF(LEN(INDEX('Providers'!$R$4:$R$503,150))=0,"",INDEX('Providers'!$R$4:$R$503,150))&amp;". "))</f>
        <v/>
      </c>
      <c r="J2653">
        <f>IF(LEN(INDEX('Providers'!$AJ$4:$AJ$503,150))=0,"",INDEX('Providers'!$AJ$4:$AJ$503,150))</f>
        <v/>
      </c>
      <c r="K2653">
        <f>IF(LEN(INDEX('Providers'!$AI$4:$AI$503,150))=0,"",INDEX('Providers'!$AI$4:$AI$503,150))</f>
        <v/>
      </c>
    </row>
    <row r="2654">
      <c r="A2654">
        <f>IF(AND(LEN('Providers'!A154)&gt;0,ISNUMBER('Providers'!S154)),1,0)</f>
        <v/>
      </c>
      <c r="B2654">
        <f>B2653+A2654</f>
        <v/>
      </c>
      <c r="C2654">
        <f>IF(2651&gt;$B$4503,"",MATCH(2651-0.5,$B$3:$B$4503,1))</f>
        <v/>
      </c>
      <c r="D2654">
        <f>"Life support ("&amp;IF(LEN(INDEX('Providers'!$R$4:$R$503,151))=0,"",INDEX('Providers'!$R$4:$R$503,151))&amp;") – "&amp;IF(LEN(INDEX('Providers'!$A$4:$A$503,151))=0,"",INDEX('Providers'!$A$4:$A$503,151))</f>
        <v/>
      </c>
      <c r="E2654">
        <f>IF(ISNUMBER(INDEX('Providers'!$S$4:$S$503,151)),TEXT(INDEX('Providers'!$S$4:$S$503,151),"yyyy-mm-dd"),"")</f>
        <v/>
      </c>
      <c r="F2654">
        <f>"Certification"</f>
        <v/>
      </c>
      <c r="G2654">
        <f>""</f>
        <v/>
      </c>
      <c r="H2654">
        <f>"Medium"</f>
        <v/>
      </c>
      <c r="I2654">
        <f>TRIM(IF(LEN(IF(LEN(INDEX('Providers'!$R$4:$R$503,151))=0,"",INDEX('Providers'!$R$4:$R$503,151)))=0,"","Card: "&amp;IF(LEN(INDEX('Providers'!$R$4:$R$503,151))=0,"",INDEX('Providers'!$R$4:$R$503,151))&amp;". "))</f>
        <v/>
      </c>
      <c r="J2654">
        <f>IF(LEN(INDEX('Providers'!$AJ$4:$AJ$503,151))=0,"",INDEX('Providers'!$AJ$4:$AJ$503,151))</f>
        <v/>
      </c>
      <c r="K2654">
        <f>IF(LEN(INDEX('Providers'!$AI$4:$AI$503,151))=0,"",INDEX('Providers'!$AI$4:$AI$503,151))</f>
        <v/>
      </c>
    </row>
    <row r="2655">
      <c r="A2655">
        <f>IF(AND(LEN('Providers'!A155)&gt;0,ISNUMBER('Providers'!S155)),1,0)</f>
        <v/>
      </c>
      <c r="B2655">
        <f>B2654+A2655</f>
        <v/>
      </c>
      <c r="C2655">
        <f>IF(2652&gt;$B$4503,"",MATCH(2652-0.5,$B$3:$B$4503,1))</f>
        <v/>
      </c>
      <c r="D2655">
        <f>"Life support ("&amp;IF(LEN(INDEX('Providers'!$R$4:$R$503,152))=0,"",INDEX('Providers'!$R$4:$R$503,152))&amp;") – "&amp;IF(LEN(INDEX('Providers'!$A$4:$A$503,152))=0,"",INDEX('Providers'!$A$4:$A$503,152))</f>
        <v/>
      </c>
      <c r="E2655">
        <f>IF(ISNUMBER(INDEX('Providers'!$S$4:$S$503,152)),TEXT(INDEX('Providers'!$S$4:$S$503,152),"yyyy-mm-dd"),"")</f>
        <v/>
      </c>
      <c r="F2655">
        <f>"Certification"</f>
        <v/>
      </c>
      <c r="G2655">
        <f>""</f>
        <v/>
      </c>
      <c r="H2655">
        <f>"Medium"</f>
        <v/>
      </c>
      <c r="I2655">
        <f>TRIM(IF(LEN(IF(LEN(INDEX('Providers'!$R$4:$R$503,152))=0,"",INDEX('Providers'!$R$4:$R$503,152)))=0,"","Card: "&amp;IF(LEN(INDEX('Providers'!$R$4:$R$503,152))=0,"",INDEX('Providers'!$R$4:$R$503,152))&amp;". "))</f>
        <v/>
      </c>
      <c r="J2655">
        <f>IF(LEN(INDEX('Providers'!$AJ$4:$AJ$503,152))=0,"",INDEX('Providers'!$AJ$4:$AJ$503,152))</f>
        <v/>
      </c>
      <c r="K2655">
        <f>IF(LEN(INDEX('Providers'!$AI$4:$AI$503,152))=0,"",INDEX('Providers'!$AI$4:$AI$503,152))</f>
        <v/>
      </c>
    </row>
    <row r="2656">
      <c r="A2656">
        <f>IF(AND(LEN('Providers'!A156)&gt;0,ISNUMBER('Providers'!S156)),1,0)</f>
        <v/>
      </c>
      <c r="B2656">
        <f>B2655+A2656</f>
        <v/>
      </c>
      <c r="C2656">
        <f>IF(2653&gt;$B$4503,"",MATCH(2653-0.5,$B$3:$B$4503,1))</f>
        <v/>
      </c>
      <c r="D2656">
        <f>"Life support ("&amp;IF(LEN(INDEX('Providers'!$R$4:$R$503,153))=0,"",INDEX('Providers'!$R$4:$R$503,153))&amp;") – "&amp;IF(LEN(INDEX('Providers'!$A$4:$A$503,153))=0,"",INDEX('Providers'!$A$4:$A$503,153))</f>
        <v/>
      </c>
      <c r="E2656">
        <f>IF(ISNUMBER(INDEX('Providers'!$S$4:$S$503,153)),TEXT(INDEX('Providers'!$S$4:$S$503,153),"yyyy-mm-dd"),"")</f>
        <v/>
      </c>
      <c r="F2656">
        <f>"Certification"</f>
        <v/>
      </c>
      <c r="G2656">
        <f>""</f>
        <v/>
      </c>
      <c r="H2656">
        <f>"Medium"</f>
        <v/>
      </c>
      <c r="I2656">
        <f>TRIM(IF(LEN(IF(LEN(INDEX('Providers'!$R$4:$R$503,153))=0,"",INDEX('Providers'!$R$4:$R$503,153)))=0,"","Card: "&amp;IF(LEN(INDEX('Providers'!$R$4:$R$503,153))=0,"",INDEX('Providers'!$R$4:$R$503,153))&amp;". "))</f>
        <v/>
      </c>
      <c r="J2656">
        <f>IF(LEN(INDEX('Providers'!$AJ$4:$AJ$503,153))=0,"",INDEX('Providers'!$AJ$4:$AJ$503,153))</f>
        <v/>
      </c>
      <c r="K2656">
        <f>IF(LEN(INDEX('Providers'!$AI$4:$AI$503,153))=0,"",INDEX('Providers'!$AI$4:$AI$503,153))</f>
        <v/>
      </c>
    </row>
    <row r="2657">
      <c r="A2657">
        <f>IF(AND(LEN('Providers'!A157)&gt;0,ISNUMBER('Providers'!S157)),1,0)</f>
        <v/>
      </c>
      <c r="B2657">
        <f>B2656+A2657</f>
        <v/>
      </c>
      <c r="C2657">
        <f>IF(2654&gt;$B$4503,"",MATCH(2654-0.5,$B$3:$B$4503,1))</f>
        <v/>
      </c>
      <c r="D2657">
        <f>"Life support ("&amp;IF(LEN(INDEX('Providers'!$R$4:$R$503,154))=0,"",INDEX('Providers'!$R$4:$R$503,154))&amp;") – "&amp;IF(LEN(INDEX('Providers'!$A$4:$A$503,154))=0,"",INDEX('Providers'!$A$4:$A$503,154))</f>
        <v/>
      </c>
      <c r="E2657">
        <f>IF(ISNUMBER(INDEX('Providers'!$S$4:$S$503,154)),TEXT(INDEX('Providers'!$S$4:$S$503,154),"yyyy-mm-dd"),"")</f>
        <v/>
      </c>
      <c r="F2657">
        <f>"Certification"</f>
        <v/>
      </c>
      <c r="G2657">
        <f>""</f>
        <v/>
      </c>
      <c r="H2657">
        <f>"Medium"</f>
        <v/>
      </c>
      <c r="I2657">
        <f>TRIM(IF(LEN(IF(LEN(INDEX('Providers'!$R$4:$R$503,154))=0,"",INDEX('Providers'!$R$4:$R$503,154)))=0,"","Card: "&amp;IF(LEN(INDEX('Providers'!$R$4:$R$503,154))=0,"",INDEX('Providers'!$R$4:$R$503,154))&amp;". "))</f>
        <v/>
      </c>
      <c r="J2657">
        <f>IF(LEN(INDEX('Providers'!$AJ$4:$AJ$503,154))=0,"",INDEX('Providers'!$AJ$4:$AJ$503,154))</f>
        <v/>
      </c>
      <c r="K2657">
        <f>IF(LEN(INDEX('Providers'!$AI$4:$AI$503,154))=0,"",INDEX('Providers'!$AI$4:$AI$503,154))</f>
        <v/>
      </c>
    </row>
    <row r="2658">
      <c r="A2658">
        <f>IF(AND(LEN('Providers'!A158)&gt;0,ISNUMBER('Providers'!S158)),1,0)</f>
        <v/>
      </c>
      <c r="B2658">
        <f>B2657+A2658</f>
        <v/>
      </c>
      <c r="C2658">
        <f>IF(2655&gt;$B$4503,"",MATCH(2655-0.5,$B$3:$B$4503,1))</f>
        <v/>
      </c>
      <c r="D2658">
        <f>"Life support ("&amp;IF(LEN(INDEX('Providers'!$R$4:$R$503,155))=0,"",INDEX('Providers'!$R$4:$R$503,155))&amp;") – "&amp;IF(LEN(INDEX('Providers'!$A$4:$A$503,155))=0,"",INDEX('Providers'!$A$4:$A$503,155))</f>
        <v/>
      </c>
      <c r="E2658">
        <f>IF(ISNUMBER(INDEX('Providers'!$S$4:$S$503,155)),TEXT(INDEX('Providers'!$S$4:$S$503,155),"yyyy-mm-dd"),"")</f>
        <v/>
      </c>
      <c r="F2658">
        <f>"Certification"</f>
        <v/>
      </c>
      <c r="G2658">
        <f>""</f>
        <v/>
      </c>
      <c r="H2658">
        <f>"Medium"</f>
        <v/>
      </c>
      <c r="I2658">
        <f>TRIM(IF(LEN(IF(LEN(INDEX('Providers'!$R$4:$R$503,155))=0,"",INDEX('Providers'!$R$4:$R$503,155)))=0,"","Card: "&amp;IF(LEN(INDEX('Providers'!$R$4:$R$503,155))=0,"",INDEX('Providers'!$R$4:$R$503,155))&amp;". "))</f>
        <v/>
      </c>
      <c r="J2658">
        <f>IF(LEN(INDEX('Providers'!$AJ$4:$AJ$503,155))=0,"",INDEX('Providers'!$AJ$4:$AJ$503,155))</f>
        <v/>
      </c>
      <c r="K2658">
        <f>IF(LEN(INDEX('Providers'!$AI$4:$AI$503,155))=0,"",INDEX('Providers'!$AI$4:$AI$503,155))</f>
        <v/>
      </c>
    </row>
    <row r="2659">
      <c r="A2659">
        <f>IF(AND(LEN('Providers'!A159)&gt;0,ISNUMBER('Providers'!S159)),1,0)</f>
        <v/>
      </c>
      <c r="B2659">
        <f>B2658+A2659</f>
        <v/>
      </c>
      <c r="C2659">
        <f>IF(2656&gt;$B$4503,"",MATCH(2656-0.5,$B$3:$B$4503,1))</f>
        <v/>
      </c>
      <c r="D2659">
        <f>"Life support ("&amp;IF(LEN(INDEX('Providers'!$R$4:$R$503,156))=0,"",INDEX('Providers'!$R$4:$R$503,156))&amp;") – "&amp;IF(LEN(INDEX('Providers'!$A$4:$A$503,156))=0,"",INDEX('Providers'!$A$4:$A$503,156))</f>
        <v/>
      </c>
      <c r="E2659">
        <f>IF(ISNUMBER(INDEX('Providers'!$S$4:$S$503,156)),TEXT(INDEX('Providers'!$S$4:$S$503,156),"yyyy-mm-dd"),"")</f>
        <v/>
      </c>
      <c r="F2659">
        <f>"Certification"</f>
        <v/>
      </c>
      <c r="G2659">
        <f>""</f>
        <v/>
      </c>
      <c r="H2659">
        <f>"Medium"</f>
        <v/>
      </c>
      <c r="I2659">
        <f>TRIM(IF(LEN(IF(LEN(INDEX('Providers'!$R$4:$R$503,156))=0,"",INDEX('Providers'!$R$4:$R$503,156)))=0,"","Card: "&amp;IF(LEN(INDEX('Providers'!$R$4:$R$503,156))=0,"",INDEX('Providers'!$R$4:$R$503,156))&amp;". "))</f>
        <v/>
      </c>
      <c r="J2659">
        <f>IF(LEN(INDEX('Providers'!$AJ$4:$AJ$503,156))=0,"",INDEX('Providers'!$AJ$4:$AJ$503,156))</f>
        <v/>
      </c>
      <c r="K2659">
        <f>IF(LEN(INDEX('Providers'!$AI$4:$AI$503,156))=0,"",INDEX('Providers'!$AI$4:$AI$503,156))</f>
        <v/>
      </c>
    </row>
    <row r="2660">
      <c r="A2660">
        <f>IF(AND(LEN('Providers'!A160)&gt;0,ISNUMBER('Providers'!S160)),1,0)</f>
        <v/>
      </c>
      <c r="B2660">
        <f>B2659+A2660</f>
        <v/>
      </c>
      <c r="C2660">
        <f>IF(2657&gt;$B$4503,"",MATCH(2657-0.5,$B$3:$B$4503,1))</f>
        <v/>
      </c>
      <c r="D2660">
        <f>"Life support ("&amp;IF(LEN(INDEX('Providers'!$R$4:$R$503,157))=0,"",INDEX('Providers'!$R$4:$R$503,157))&amp;") – "&amp;IF(LEN(INDEX('Providers'!$A$4:$A$503,157))=0,"",INDEX('Providers'!$A$4:$A$503,157))</f>
        <v/>
      </c>
      <c r="E2660">
        <f>IF(ISNUMBER(INDEX('Providers'!$S$4:$S$503,157)),TEXT(INDEX('Providers'!$S$4:$S$503,157),"yyyy-mm-dd"),"")</f>
        <v/>
      </c>
      <c r="F2660">
        <f>"Certification"</f>
        <v/>
      </c>
      <c r="G2660">
        <f>""</f>
        <v/>
      </c>
      <c r="H2660">
        <f>"Medium"</f>
        <v/>
      </c>
      <c r="I2660">
        <f>TRIM(IF(LEN(IF(LEN(INDEX('Providers'!$R$4:$R$503,157))=0,"",INDEX('Providers'!$R$4:$R$503,157)))=0,"","Card: "&amp;IF(LEN(INDEX('Providers'!$R$4:$R$503,157))=0,"",INDEX('Providers'!$R$4:$R$503,157))&amp;". "))</f>
        <v/>
      </c>
      <c r="J2660">
        <f>IF(LEN(INDEX('Providers'!$AJ$4:$AJ$503,157))=0,"",INDEX('Providers'!$AJ$4:$AJ$503,157))</f>
        <v/>
      </c>
      <c r="K2660">
        <f>IF(LEN(INDEX('Providers'!$AI$4:$AI$503,157))=0,"",INDEX('Providers'!$AI$4:$AI$503,157))</f>
        <v/>
      </c>
    </row>
    <row r="2661">
      <c r="A2661">
        <f>IF(AND(LEN('Providers'!A161)&gt;0,ISNUMBER('Providers'!S161)),1,0)</f>
        <v/>
      </c>
      <c r="B2661">
        <f>B2660+A2661</f>
        <v/>
      </c>
      <c r="C2661">
        <f>IF(2658&gt;$B$4503,"",MATCH(2658-0.5,$B$3:$B$4503,1))</f>
        <v/>
      </c>
      <c r="D2661">
        <f>"Life support ("&amp;IF(LEN(INDEX('Providers'!$R$4:$R$503,158))=0,"",INDEX('Providers'!$R$4:$R$503,158))&amp;") – "&amp;IF(LEN(INDEX('Providers'!$A$4:$A$503,158))=0,"",INDEX('Providers'!$A$4:$A$503,158))</f>
        <v/>
      </c>
      <c r="E2661">
        <f>IF(ISNUMBER(INDEX('Providers'!$S$4:$S$503,158)),TEXT(INDEX('Providers'!$S$4:$S$503,158),"yyyy-mm-dd"),"")</f>
        <v/>
      </c>
      <c r="F2661">
        <f>"Certification"</f>
        <v/>
      </c>
      <c r="G2661">
        <f>""</f>
        <v/>
      </c>
      <c r="H2661">
        <f>"Medium"</f>
        <v/>
      </c>
      <c r="I2661">
        <f>TRIM(IF(LEN(IF(LEN(INDEX('Providers'!$R$4:$R$503,158))=0,"",INDEX('Providers'!$R$4:$R$503,158)))=0,"","Card: "&amp;IF(LEN(INDEX('Providers'!$R$4:$R$503,158))=0,"",INDEX('Providers'!$R$4:$R$503,158))&amp;". "))</f>
        <v/>
      </c>
      <c r="J2661">
        <f>IF(LEN(INDEX('Providers'!$AJ$4:$AJ$503,158))=0,"",INDEX('Providers'!$AJ$4:$AJ$503,158))</f>
        <v/>
      </c>
      <c r="K2661">
        <f>IF(LEN(INDEX('Providers'!$AI$4:$AI$503,158))=0,"",INDEX('Providers'!$AI$4:$AI$503,158))</f>
        <v/>
      </c>
    </row>
    <row r="2662">
      <c r="A2662">
        <f>IF(AND(LEN('Providers'!A162)&gt;0,ISNUMBER('Providers'!S162)),1,0)</f>
        <v/>
      </c>
      <c r="B2662">
        <f>B2661+A2662</f>
        <v/>
      </c>
      <c r="C2662">
        <f>IF(2659&gt;$B$4503,"",MATCH(2659-0.5,$B$3:$B$4503,1))</f>
        <v/>
      </c>
      <c r="D2662">
        <f>"Life support ("&amp;IF(LEN(INDEX('Providers'!$R$4:$R$503,159))=0,"",INDEX('Providers'!$R$4:$R$503,159))&amp;") – "&amp;IF(LEN(INDEX('Providers'!$A$4:$A$503,159))=0,"",INDEX('Providers'!$A$4:$A$503,159))</f>
        <v/>
      </c>
      <c r="E2662">
        <f>IF(ISNUMBER(INDEX('Providers'!$S$4:$S$503,159)),TEXT(INDEX('Providers'!$S$4:$S$503,159),"yyyy-mm-dd"),"")</f>
        <v/>
      </c>
      <c r="F2662">
        <f>"Certification"</f>
        <v/>
      </c>
      <c r="G2662">
        <f>""</f>
        <v/>
      </c>
      <c r="H2662">
        <f>"Medium"</f>
        <v/>
      </c>
      <c r="I2662">
        <f>TRIM(IF(LEN(IF(LEN(INDEX('Providers'!$R$4:$R$503,159))=0,"",INDEX('Providers'!$R$4:$R$503,159)))=0,"","Card: "&amp;IF(LEN(INDEX('Providers'!$R$4:$R$503,159))=0,"",INDEX('Providers'!$R$4:$R$503,159))&amp;". "))</f>
        <v/>
      </c>
      <c r="J2662">
        <f>IF(LEN(INDEX('Providers'!$AJ$4:$AJ$503,159))=0,"",INDEX('Providers'!$AJ$4:$AJ$503,159))</f>
        <v/>
      </c>
      <c r="K2662">
        <f>IF(LEN(INDEX('Providers'!$AI$4:$AI$503,159))=0,"",INDEX('Providers'!$AI$4:$AI$503,159))</f>
        <v/>
      </c>
    </row>
    <row r="2663">
      <c r="A2663">
        <f>IF(AND(LEN('Providers'!A163)&gt;0,ISNUMBER('Providers'!S163)),1,0)</f>
        <v/>
      </c>
      <c r="B2663">
        <f>B2662+A2663</f>
        <v/>
      </c>
      <c r="C2663">
        <f>IF(2660&gt;$B$4503,"",MATCH(2660-0.5,$B$3:$B$4503,1))</f>
        <v/>
      </c>
      <c r="D2663">
        <f>"Life support ("&amp;IF(LEN(INDEX('Providers'!$R$4:$R$503,160))=0,"",INDEX('Providers'!$R$4:$R$503,160))&amp;") – "&amp;IF(LEN(INDEX('Providers'!$A$4:$A$503,160))=0,"",INDEX('Providers'!$A$4:$A$503,160))</f>
        <v/>
      </c>
      <c r="E2663">
        <f>IF(ISNUMBER(INDEX('Providers'!$S$4:$S$503,160)),TEXT(INDEX('Providers'!$S$4:$S$503,160),"yyyy-mm-dd"),"")</f>
        <v/>
      </c>
      <c r="F2663">
        <f>"Certification"</f>
        <v/>
      </c>
      <c r="G2663">
        <f>""</f>
        <v/>
      </c>
      <c r="H2663">
        <f>"Medium"</f>
        <v/>
      </c>
      <c r="I2663">
        <f>TRIM(IF(LEN(IF(LEN(INDEX('Providers'!$R$4:$R$503,160))=0,"",INDEX('Providers'!$R$4:$R$503,160)))=0,"","Card: "&amp;IF(LEN(INDEX('Providers'!$R$4:$R$503,160))=0,"",INDEX('Providers'!$R$4:$R$503,160))&amp;". "))</f>
        <v/>
      </c>
      <c r="J2663">
        <f>IF(LEN(INDEX('Providers'!$AJ$4:$AJ$503,160))=0,"",INDEX('Providers'!$AJ$4:$AJ$503,160))</f>
        <v/>
      </c>
      <c r="K2663">
        <f>IF(LEN(INDEX('Providers'!$AI$4:$AI$503,160))=0,"",INDEX('Providers'!$AI$4:$AI$503,160))</f>
        <v/>
      </c>
    </row>
    <row r="2664">
      <c r="A2664">
        <f>IF(AND(LEN('Providers'!A164)&gt;0,ISNUMBER('Providers'!S164)),1,0)</f>
        <v/>
      </c>
      <c r="B2664">
        <f>B2663+A2664</f>
        <v/>
      </c>
      <c r="C2664">
        <f>IF(2661&gt;$B$4503,"",MATCH(2661-0.5,$B$3:$B$4503,1))</f>
        <v/>
      </c>
      <c r="D2664">
        <f>"Life support ("&amp;IF(LEN(INDEX('Providers'!$R$4:$R$503,161))=0,"",INDEX('Providers'!$R$4:$R$503,161))&amp;") – "&amp;IF(LEN(INDEX('Providers'!$A$4:$A$503,161))=0,"",INDEX('Providers'!$A$4:$A$503,161))</f>
        <v/>
      </c>
      <c r="E2664">
        <f>IF(ISNUMBER(INDEX('Providers'!$S$4:$S$503,161)),TEXT(INDEX('Providers'!$S$4:$S$503,161),"yyyy-mm-dd"),"")</f>
        <v/>
      </c>
      <c r="F2664">
        <f>"Certification"</f>
        <v/>
      </c>
      <c r="G2664">
        <f>""</f>
        <v/>
      </c>
      <c r="H2664">
        <f>"Medium"</f>
        <v/>
      </c>
      <c r="I2664">
        <f>TRIM(IF(LEN(IF(LEN(INDEX('Providers'!$R$4:$R$503,161))=0,"",INDEX('Providers'!$R$4:$R$503,161)))=0,"","Card: "&amp;IF(LEN(INDEX('Providers'!$R$4:$R$503,161))=0,"",INDEX('Providers'!$R$4:$R$503,161))&amp;". "))</f>
        <v/>
      </c>
      <c r="J2664">
        <f>IF(LEN(INDEX('Providers'!$AJ$4:$AJ$503,161))=0,"",INDEX('Providers'!$AJ$4:$AJ$503,161))</f>
        <v/>
      </c>
      <c r="K2664">
        <f>IF(LEN(INDEX('Providers'!$AI$4:$AI$503,161))=0,"",INDEX('Providers'!$AI$4:$AI$503,161))</f>
        <v/>
      </c>
    </row>
    <row r="2665">
      <c r="A2665">
        <f>IF(AND(LEN('Providers'!A165)&gt;0,ISNUMBER('Providers'!S165)),1,0)</f>
        <v/>
      </c>
      <c r="B2665">
        <f>B2664+A2665</f>
        <v/>
      </c>
      <c r="C2665">
        <f>IF(2662&gt;$B$4503,"",MATCH(2662-0.5,$B$3:$B$4503,1))</f>
        <v/>
      </c>
      <c r="D2665">
        <f>"Life support ("&amp;IF(LEN(INDEX('Providers'!$R$4:$R$503,162))=0,"",INDEX('Providers'!$R$4:$R$503,162))&amp;") – "&amp;IF(LEN(INDEX('Providers'!$A$4:$A$503,162))=0,"",INDEX('Providers'!$A$4:$A$503,162))</f>
        <v/>
      </c>
      <c r="E2665">
        <f>IF(ISNUMBER(INDEX('Providers'!$S$4:$S$503,162)),TEXT(INDEX('Providers'!$S$4:$S$503,162),"yyyy-mm-dd"),"")</f>
        <v/>
      </c>
      <c r="F2665">
        <f>"Certification"</f>
        <v/>
      </c>
      <c r="G2665">
        <f>""</f>
        <v/>
      </c>
      <c r="H2665">
        <f>"Medium"</f>
        <v/>
      </c>
      <c r="I2665">
        <f>TRIM(IF(LEN(IF(LEN(INDEX('Providers'!$R$4:$R$503,162))=0,"",INDEX('Providers'!$R$4:$R$503,162)))=0,"","Card: "&amp;IF(LEN(INDEX('Providers'!$R$4:$R$503,162))=0,"",INDEX('Providers'!$R$4:$R$503,162))&amp;". "))</f>
        <v/>
      </c>
      <c r="J2665">
        <f>IF(LEN(INDEX('Providers'!$AJ$4:$AJ$503,162))=0,"",INDEX('Providers'!$AJ$4:$AJ$503,162))</f>
        <v/>
      </c>
      <c r="K2665">
        <f>IF(LEN(INDEX('Providers'!$AI$4:$AI$503,162))=0,"",INDEX('Providers'!$AI$4:$AI$503,162))</f>
        <v/>
      </c>
    </row>
    <row r="2666">
      <c r="A2666">
        <f>IF(AND(LEN('Providers'!A166)&gt;0,ISNUMBER('Providers'!S166)),1,0)</f>
        <v/>
      </c>
      <c r="B2666">
        <f>B2665+A2666</f>
        <v/>
      </c>
      <c r="C2666">
        <f>IF(2663&gt;$B$4503,"",MATCH(2663-0.5,$B$3:$B$4503,1))</f>
        <v/>
      </c>
      <c r="D2666">
        <f>"Life support ("&amp;IF(LEN(INDEX('Providers'!$R$4:$R$503,163))=0,"",INDEX('Providers'!$R$4:$R$503,163))&amp;") – "&amp;IF(LEN(INDEX('Providers'!$A$4:$A$503,163))=0,"",INDEX('Providers'!$A$4:$A$503,163))</f>
        <v/>
      </c>
      <c r="E2666">
        <f>IF(ISNUMBER(INDEX('Providers'!$S$4:$S$503,163)),TEXT(INDEX('Providers'!$S$4:$S$503,163),"yyyy-mm-dd"),"")</f>
        <v/>
      </c>
      <c r="F2666">
        <f>"Certification"</f>
        <v/>
      </c>
      <c r="G2666">
        <f>""</f>
        <v/>
      </c>
      <c r="H2666">
        <f>"Medium"</f>
        <v/>
      </c>
      <c r="I2666">
        <f>TRIM(IF(LEN(IF(LEN(INDEX('Providers'!$R$4:$R$503,163))=0,"",INDEX('Providers'!$R$4:$R$503,163)))=0,"","Card: "&amp;IF(LEN(INDEX('Providers'!$R$4:$R$503,163))=0,"",INDEX('Providers'!$R$4:$R$503,163))&amp;". "))</f>
        <v/>
      </c>
      <c r="J2666">
        <f>IF(LEN(INDEX('Providers'!$AJ$4:$AJ$503,163))=0,"",INDEX('Providers'!$AJ$4:$AJ$503,163))</f>
        <v/>
      </c>
      <c r="K2666">
        <f>IF(LEN(INDEX('Providers'!$AI$4:$AI$503,163))=0,"",INDEX('Providers'!$AI$4:$AI$503,163))</f>
        <v/>
      </c>
    </row>
    <row r="2667">
      <c r="A2667">
        <f>IF(AND(LEN('Providers'!A167)&gt;0,ISNUMBER('Providers'!S167)),1,0)</f>
        <v/>
      </c>
      <c r="B2667">
        <f>B2666+A2667</f>
        <v/>
      </c>
      <c r="C2667">
        <f>IF(2664&gt;$B$4503,"",MATCH(2664-0.5,$B$3:$B$4503,1))</f>
        <v/>
      </c>
      <c r="D2667">
        <f>"Life support ("&amp;IF(LEN(INDEX('Providers'!$R$4:$R$503,164))=0,"",INDEX('Providers'!$R$4:$R$503,164))&amp;") – "&amp;IF(LEN(INDEX('Providers'!$A$4:$A$503,164))=0,"",INDEX('Providers'!$A$4:$A$503,164))</f>
        <v/>
      </c>
      <c r="E2667">
        <f>IF(ISNUMBER(INDEX('Providers'!$S$4:$S$503,164)),TEXT(INDEX('Providers'!$S$4:$S$503,164),"yyyy-mm-dd"),"")</f>
        <v/>
      </c>
      <c r="F2667">
        <f>"Certification"</f>
        <v/>
      </c>
      <c r="G2667">
        <f>""</f>
        <v/>
      </c>
      <c r="H2667">
        <f>"Medium"</f>
        <v/>
      </c>
      <c r="I2667">
        <f>TRIM(IF(LEN(IF(LEN(INDEX('Providers'!$R$4:$R$503,164))=0,"",INDEX('Providers'!$R$4:$R$503,164)))=0,"","Card: "&amp;IF(LEN(INDEX('Providers'!$R$4:$R$503,164))=0,"",INDEX('Providers'!$R$4:$R$503,164))&amp;". "))</f>
        <v/>
      </c>
      <c r="J2667">
        <f>IF(LEN(INDEX('Providers'!$AJ$4:$AJ$503,164))=0,"",INDEX('Providers'!$AJ$4:$AJ$503,164))</f>
        <v/>
      </c>
      <c r="K2667">
        <f>IF(LEN(INDEX('Providers'!$AI$4:$AI$503,164))=0,"",INDEX('Providers'!$AI$4:$AI$503,164))</f>
        <v/>
      </c>
    </row>
    <row r="2668">
      <c r="A2668">
        <f>IF(AND(LEN('Providers'!A168)&gt;0,ISNUMBER('Providers'!S168)),1,0)</f>
        <v/>
      </c>
      <c r="B2668">
        <f>B2667+A2668</f>
        <v/>
      </c>
      <c r="C2668">
        <f>IF(2665&gt;$B$4503,"",MATCH(2665-0.5,$B$3:$B$4503,1))</f>
        <v/>
      </c>
      <c r="D2668">
        <f>"Life support ("&amp;IF(LEN(INDEX('Providers'!$R$4:$R$503,165))=0,"",INDEX('Providers'!$R$4:$R$503,165))&amp;") – "&amp;IF(LEN(INDEX('Providers'!$A$4:$A$503,165))=0,"",INDEX('Providers'!$A$4:$A$503,165))</f>
        <v/>
      </c>
      <c r="E2668">
        <f>IF(ISNUMBER(INDEX('Providers'!$S$4:$S$503,165)),TEXT(INDEX('Providers'!$S$4:$S$503,165),"yyyy-mm-dd"),"")</f>
        <v/>
      </c>
      <c r="F2668">
        <f>"Certification"</f>
        <v/>
      </c>
      <c r="G2668">
        <f>""</f>
        <v/>
      </c>
      <c r="H2668">
        <f>"Medium"</f>
        <v/>
      </c>
      <c r="I2668">
        <f>TRIM(IF(LEN(IF(LEN(INDEX('Providers'!$R$4:$R$503,165))=0,"",INDEX('Providers'!$R$4:$R$503,165)))=0,"","Card: "&amp;IF(LEN(INDEX('Providers'!$R$4:$R$503,165))=0,"",INDEX('Providers'!$R$4:$R$503,165))&amp;". "))</f>
        <v/>
      </c>
      <c r="J2668">
        <f>IF(LEN(INDEX('Providers'!$AJ$4:$AJ$503,165))=0,"",INDEX('Providers'!$AJ$4:$AJ$503,165))</f>
        <v/>
      </c>
      <c r="K2668">
        <f>IF(LEN(INDEX('Providers'!$AI$4:$AI$503,165))=0,"",INDEX('Providers'!$AI$4:$AI$503,165))</f>
        <v/>
      </c>
    </row>
    <row r="2669">
      <c r="A2669">
        <f>IF(AND(LEN('Providers'!A169)&gt;0,ISNUMBER('Providers'!S169)),1,0)</f>
        <v/>
      </c>
      <c r="B2669">
        <f>B2668+A2669</f>
        <v/>
      </c>
      <c r="C2669">
        <f>IF(2666&gt;$B$4503,"",MATCH(2666-0.5,$B$3:$B$4503,1))</f>
        <v/>
      </c>
      <c r="D2669">
        <f>"Life support ("&amp;IF(LEN(INDEX('Providers'!$R$4:$R$503,166))=0,"",INDEX('Providers'!$R$4:$R$503,166))&amp;") – "&amp;IF(LEN(INDEX('Providers'!$A$4:$A$503,166))=0,"",INDEX('Providers'!$A$4:$A$503,166))</f>
        <v/>
      </c>
      <c r="E2669">
        <f>IF(ISNUMBER(INDEX('Providers'!$S$4:$S$503,166)),TEXT(INDEX('Providers'!$S$4:$S$503,166),"yyyy-mm-dd"),"")</f>
        <v/>
      </c>
      <c r="F2669">
        <f>"Certification"</f>
        <v/>
      </c>
      <c r="G2669">
        <f>""</f>
        <v/>
      </c>
      <c r="H2669">
        <f>"Medium"</f>
        <v/>
      </c>
      <c r="I2669">
        <f>TRIM(IF(LEN(IF(LEN(INDEX('Providers'!$R$4:$R$503,166))=0,"",INDEX('Providers'!$R$4:$R$503,166)))=0,"","Card: "&amp;IF(LEN(INDEX('Providers'!$R$4:$R$503,166))=0,"",INDEX('Providers'!$R$4:$R$503,166))&amp;". "))</f>
        <v/>
      </c>
      <c r="J2669">
        <f>IF(LEN(INDEX('Providers'!$AJ$4:$AJ$503,166))=0,"",INDEX('Providers'!$AJ$4:$AJ$503,166))</f>
        <v/>
      </c>
      <c r="K2669">
        <f>IF(LEN(INDEX('Providers'!$AI$4:$AI$503,166))=0,"",INDEX('Providers'!$AI$4:$AI$503,166))</f>
        <v/>
      </c>
    </row>
    <row r="2670">
      <c r="A2670">
        <f>IF(AND(LEN('Providers'!A170)&gt;0,ISNUMBER('Providers'!S170)),1,0)</f>
        <v/>
      </c>
      <c r="B2670">
        <f>B2669+A2670</f>
        <v/>
      </c>
      <c r="C2670">
        <f>IF(2667&gt;$B$4503,"",MATCH(2667-0.5,$B$3:$B$4503,1))</f>
        <v/>
      </c>
      <c r="D2670">
        <f>"Life support ("&amp;IF(LEN(INDEX('Providers'!$R$4:$R$503,167))=0,"",INDEX('Providers'!$R$4:$R$503,167))&amp;") – "&amp;IF(LEN(INDEX('Providers'!$A$4:$A$503,167))=0,"",INDEX('Providers'!$A$4:$A$503,167))</f>
        <v/>
      </c>
      <c r="E2670">
        <f>IF(ISNUMBER(INDEX('Providers'!$S$4:$S$503,167)),TEXT(INDEX('Providers'!$S$4:$S$503,167),"yyyy-mm-dd"),"")</f>
        <v/>
      </c>
      <c r="F2670">
        <f>"Certification"</f>
        <v/>
      </c>
      <c r="G2670">
        <f>""</f>
        <v/>
      </c>
      <c r="H2670">
        <f>"Medium"</f>
        <v/>
      </c>
      <c r="I2670">
        <f>TRIM(IF(LEN(IF(LEN(INDEX('Providers'!$R$4:$R$503,167))=0,"",INDEX('Providers'!$R$4:$R$503,167)))=0,"","Card: "&amp;IF(LEN(INDEX('Providers'!$R$4:$R$503,167))=0,"",INDEX('Providers'!$R$4:$R$503,167))&amp;". "))</f>
        <v/>
      </c>
      <c r="J2670">
        <f>IF(LEN(INDEX('Providers'!$AJ$4:$AJ$503,167))=0,"",INDEX('Providers'!$AJ$4:$AJ$503,167))</f>
        <v/>
      </c>
      <c r="K2670">
        <f>IF(LEN(INDEX('Providers'!$AI$4:$AI$503,167))=0,"",INDEX('Providers'!$AI$4:$AI$503,167))</f>
        <v/>
      </c>
    </row>
    <row r="2671">
      <c r="A2671">
        <f>IF(AND(LEN('Providers'!A171)&gt;0,ISNUMBER('Providers'!S171)),1,0)</f>
        <v/>
      </c>
      <c r="B2671">
        <f>B2670+A2671</f>
        <v/>
      </c>
      <c r="C2671">
        <f>IF(2668&gt;$B$4503,"",MATCH(2668-0.5,$B$3:$B$4503,1))</f>
        <v/>
      </c>
      <c r="D2671">
        <f>"Life support ("&amp;IF(LEN(INDEX('Providers'!$R$4:$R$503,168))=0,"",INDEX('Providers'!$R$4:$R$503,168))&amp;") – "&amp;IF(LEN(INDEX('Providers'!$A$4:$A$503,168))=0,"",INDEX('Providers'!$A$4:$A$503,168))</f>
        <v/>
      </c>
      <c r="E2671">
        <f>IF(ISNUMBER(INDEX('Providers'!$S$4:$S$503,168)),TEXT(INDEX('Providers'!$S$4:$S$503,168),"yyyy-mm-dd"),"")</f>
        <v/>
      </c>
      <c r="F2671">
        <f>"Certification"</f>
        <v/>
      </c>
      <c r="G2671">
        <f>""</f>
        <v/>
      </c>
      <c r="H2671">
        <f>"Medium"</f>
        <v/>
      </c>
      <c r="I2671">
        <f>TRIM(IF(LEN(IF(LEN(INDEX('Providers'!$R$4:$R$503,168))=0,"",INDEX('Providers'!$R$4:$R$503,168)))=0,"","Card: "&amp;IF(LEN(INDEX('Providers'!$R$4:$R$503,168))=0,"",INDEX('Providers'!$R$4:$R$503,168))&amp;". "))</f>
        <v/>
      </c>
      <c r="J2671">
        <f>IF(LEN(INDEX('Providers'!$AJ$4:$AJ$503,168))=0,"",INDEX('Providers'!$AJ$4:$AJ$503,168))</f>
        <v/>
      </c>
      <c r="K2671">
        <f>IF(LEN(INDEX('Providers'!$AI$4:$AI$503,168))=0,"",INDEX('Providers'!$AI$4:$AI$503,168))</f>
        <v/>
      </c>
    </row>
    <row r="2672">
      <c r="A2672">
        <f>IF(AND(LEN('Providers'!A172)&gt;0,ISNUMBER('Providers'!S172)),1,0)</f>
        <v/>
      </c>
      <c r="B2672">
        <f>B2671+A2672</f>
        <v/>
      </c>
      <c r="C2672">
        <f>IF(2669&gt;$B$4503,"",MATCH(2669-0.5,$B$3:$B$4503,1))</f>
        <v/>
      </c>
      <c r="D2672">
        <f>"Life support ("&amp;IF(LEN(INDEX('Providers'!$R$4:$R$503,169))=0,"",INDEX('Providers'!$R$4:$R$503,169))&amp;") – "&amp;IF(LEN(INDEX('Providers'!$A$4:$A$503,169))=0,"",INDEX('Providers'!$A$4:$A$503,169))</f>
        <v/>
      </c>
      <c r="E2672">
        <f>IF(ISNUMBER(INDEX('Providers'!$S$4:$S$503,169)),TEXT(INDEX('Providers'!$S$4:$S$503,169),"yyyy-mm-dd"),"")</f>
        <v/>
      </c>
      <c r="F2672">
        <f>"Certification"</f>
        <v/>
      </c>
      <c r="G2672">
        <f>""</f>
        <v/>
      </c>
      <c r="H2672">
        <f>"Medium"</f>
        <v/>
      </c>
      <c r="I2672">
        <f>TRIM(IF(LEN(IF(LEN(INDEX('Providers'!$R$4:$R$503,169))=0,"",INDEX('Providers'!$R$4:$R$503,169)))=0,"","Card: "&amp;IF(LEN(INDEX('Providers'!$R$4:$R$503,169))=0,"",INDEX('Providers'!$R$4:$R$503,169))&amp;". "))</f>
        <v/>
      </c>
      <c r="J2672">
        <f>IF(LEN(INDEX('Providers'!$AJ$4:$AJ$503,169))=0,"",INDEX('Providers'!$AJ$4:$AJ$503,169))</f>
        <v/>
      </c>
      <c r="K2672">
        <f>IF(LEN(INDEX('Providers'!$AI$4:$AI$503,169))=0,"",INDEX('Providers'!$AI$4:$AI$503,169))</f>
        <v/>
      </c>
    </row>
    <row r="2673">
      <c r="A2673">
        <f>IF(AND(LEN('Providers'!A173)&gt;0,ISNUMBER('Providers'!S173)),1,0)</f>
        <v/>
      </c>
      <c r="B2673">
        <f>B2672+A2673</f>
        <v/>
      </c>
      <c r="C2673">
        <f>IF(2670&gt;$B$4503,"",MATCH(2670-0.5,$B$3:$B$4503,1))</f>
        <v/>
      </c>
      <c r="D2673">
        <f>"Life support ("&amp;IF(LEN(INDEX('Providers'!$R$4:$R$503,170))=0,"",INDEX('Providers'!$R$4:$R$503,170))&amp;") – "&amp;IF(LEN(INDEX('Providers'!$A$4:$A$503,170))=0,"",INDEX('Providers'!$A$4:$A$503,170))</f>
        <v/>
      </c>
      <c r="E2673">
        <f>IF(ISNUMBER(INDEX('Providers'!$S$4:$S$503,170)),TEXT(INDEX('Providers'!$S$4:$S$503,170),"yyyy-mm-dd"),"")</f>
        <v/>
      </c>
      <c r="F2673">
        <f>"Certification"</f>
        <v/>
      </c>
      <c r="G2673">
        <f>""</f>
        <v/>
      </c>
      <c r="H2673">
        <f>"Medium"</f>
        <v/>
      </c>
      <c r="I2673">
        <f>TRIM(IF(LEN(IF(LEN(INDEX('Providers'!$R$4:$R$503,170))=0,"",INDEX('Providers'!$R$4:$R$503,170)))=0,"","Card: "&amp;IF(LEN(INDEX('Providers'!$R$4:$R$503,170))=0,"",INDEX('Providers'!$R$4:$R$503,170))&amp;". "))</f>
        <v/>
      </c>
      <c r="J2673">
        <f>IF(LEN(INDEX('Providers'!$AJ$4:$AJ$503,170))=0,"",INDEX('Providers'!$AJ$4:$AJ$503,170))</f>
        <v/>
      </c>
      <c r="K2673">
        <f>IF(LEN(INDEX('Providers'!$AI$4:$AI$503,170))=0,"",INDEX('Providers'!$AI$4:$AI$503,170))</f>
        <v/>
      </c>
    </row>
    <row r="2674">
      <c r="A2674">
        <f>IF(AND(LEN('Providers'!A174)&gt;0,ISNUMBER('Providers'!S174)),1,0)</f>
        <v/>
      </c>
      <c r="B2674">
        <f>B2673+A2674</f>
        <v/>
      </c>
      <c r="C2674">
        <f>IF(2671&gt;$B$4503,"",MATCH(2671-0.5,$B$3:$B$4503,1))</f>
        <v/>
      </c>
      <c r="D2674">
        <f>"Life support ("&amp;IF(LEN(INDEX('Providers'!$R$4:$R$503,171))=0,"",INDEX('Providers'!$R$4:$R$503,171))&amp;") – "&amp;IF(LEN(INDEX('Providers'!$A$4:$A$503,171))=0,"",INDEX('Providers'!$A$4:$A$503,171))</f>
        <v/>
      </c>
      <c r="E2674">
        <f>IF(ISNUMBER(INDEX('Providers'!$S$4:$S$503,171)),TEXT(INDEX('Providers'!$S$4:$S$503,171),"yyyy-mm-dd"),"")</f>
        <v/>
      </c>
      <c r="F2674">
        <f>"Certification"</f>
        <v/>
      </c>
      <c r="G2674">
        <f>""</f>
        <v/>
      </c>
      <c r="H2674">
        <f>"Medium"</f>
        <v/>
      </c>
      <c r="I2674">
        <f>TRIM(IF(LEN(IF(LEN(INDEX('Providers'!$R$4:$R$503,171))=0,"",INDEX('Providers'!$R$4:$R$503,171)))=0,"","Card: "&amp;IF(LEN(INDEX('Providers'!$R$4:$R$503,171))=0,"",INDEX('Providers'!$R$4:$R$503,171))&amp;". "))</f>
        <v/>
      </c>
      <c r="J2674">
        <f>IF(LEN(INDEX('Providers'!$AJ$4:$AJ$503,171))=0,"",INDEX('Providers'!$AJ$4:$AJ$503,171))</f>
        <v/>
      </c>
      <c r="K2674">
        <f>IF(LEN(INDEX('Providers'!$AI$4:$AI$503,171))=0,"",INDEX('Providers'!$AI$4:$AI$503,171))</f>
        <v/>
      </c>
    </row>
    <row r="2675">
      <c r="A2675">
        <f>IF(AND(LEN('Providers'!A175)&gt;0,ISNUMBER('Providers'!S175)),1,0)</f>
        <v/>
      </c>
      <c r="B2675">
        <f>B2674+A2675</f>
        <v/>
      </c>
      <c r="C2675">
        <f>IF(2672&gt;$B$4503,"",MATCH(2672-0.5,$B$3:$B$4503,1))</f>
        <v/>
      </c>
      <c r="D2675">
        <f>"Life support ("&amp;IF(LEN(INDEX('Providers'!$R$4:$R$503,172))=0,"",INDEX('Providers'!$R$4:$R$503,172))&amp;") – "&amp;IF(LEN(INDEX('Providers'!$A$4:$A$503,172))=0,"",INDEX('Providers'!$A$4:$A$503,172))</f>
        <v/>
      </c>
      <c r="E2675">
        <f>IF(ISNUMBER(INDEX('Providers'!$S$4:$S$503,172)),TEXT(INDEX('Providers'!$S$4:$S$503,172),"yyyy-mm-dd"),"")</f>
        <v/>
      </c>
      <c r="F2675">
        <f>"Certification"</f>
        <v/>
      </c>
      <c r="G2675">
        <f>""</f>
        <v/>
      </c>
      <c r="H2675">
        <f>"Medium"</f>
        <v/>
      </c>
      <c r="I2675">
        <f>TRIM(IF(LEN(IF(LEN(INDEX('Providers'!$R$4:$R$503,172))=0,"",INDEX('Providers'!$R$4:$R$503,172)))=0,"","Card: "&amp;IF(LEN(INDEX('Providers'!$R$4:$R$503,172))=0,"",INDEX('Providers'!$R$4:$R$503,172))&amp;". "))</f>
        <v/>
      </c>
      <c r="J2675">
        <f>IF(LEN(INDEX('Providers'!$AJ$4:$AJ$503,172))=0,"",INDEX('Providers'!$AJ$4:$AJ$503,172))</f>
        <v/>
      </c>
      <c r="K2675">
        <f>IF(LEN(INDEX('Providers'!$AI$4:$AI$503,172))=0,"",INDEX('Providers'!$AI$4:$AI$503,172))</f>
        <v/>
      </c>
    </row>
    <row r="2676">
      <c r="A2676">
        <f>IF(AND(LEN('Providers'!A176)&gt;0,ISNUMBER('Providers'!S176)),1,0)</f>
        <v/>
      </c>
      <c r="B2676">
        <f>B2675+A2676</f>
        <v/>
      </c>
      <c r="C2676">
        <f>IF(2673&gt;$B$4503,"",MATCH(2673-0.5,$B$3:$B$4503,1))</f>
        <v/>
      </c>
      <c r="D2676">
        <f>"Life support ("&amp;IF(LEN(INDEX('Providers'!$R$4:$R$503,173))=0,"",INDEX('Providers'!$R$4:$R$503,173))&amp;") – "&amp;IF(LEN(INDEX('Providers'!$A$4:$A$503,173))=0,"",INDEX('Providers'!$A$4:$A$503,173))</f>
        <v/>
      </c>
      <c r="E2676">
        <f>IF(ISNUMBER(INDEX('Providers'!$S$4:$S$503,173)),TEXT(INDEX('Providers'!$S$4:$S$503,173),"yyyy-mm-dd"),"")</f>
        <v/>
      </c>
      <c r="F2676">
        <f>"Certification"</f>
        <v/>
      </c>
      <c r="G2676">
        <f>""</f>
        <v/>
      </c>
      <c r="H2676">
        <f>"Medium"</f>
        <v/>
      </c>
      <c r="I2676">
        <f>TRIM(IF(LEN(IF(LEN(INDEX('Providers'!$R$4:$R$503,173))=0,"",INDEX('Providers'!$R$4:$R$503,173)))=0,"","Card: "&amp;IF(LEN(INDEX('Providers'!$R$4:$R$503,173))=0,"",INDEX('Providers'!$R$4:$R$503,173))&amp;". "))</f>
        <v/>
      </c>
      <c r="J2676">
        <f>IF(LEN(INDEX('Providers'!$AJ$4:$AJ$503,173))=0,"",INDEX('Providers'!$AJ$4:$AJ$503,173))</f>
        <v/>
      </c>
      <c r="K2676">
        <f>IF(LEN(INDEX('Providers'!$AI$4:$AI$503,173))=0,"",INDEX('Providers'!$AI$4:$AI$503,173))</f>
        <v/>
      </c>
    </row>
    <row r="2677">
      <c r="A2677">
        <f>IF(AND(LEN('Providers'!A177)&gt;0,ISNUMBER('Providers'!S177)),1,0)</f>
        <v/>
      </c>
      <c r="B2677">
        <f>B2676+A2677</f>
        <v/>
      </c>
      <c r="C2677">
        <f>IF(2674&gt;$B$4503,"",MATCH(2674-0.5,$B$3:$B$4503,1))</f>
        <v/>
      </c>
      <c r="D2677">
        <f>"Life support ("&amp;IF(LEN(INDEX('Providers'!$R$4:$R$503,174))=0,"",INDEX('Providers'!$R$4:$R$503,174))&amp;") – "&amp;IF(LEN(INDEX('Providers'!$A$4:$A$503,174))=0,"",INDEX('Providers'!$A$4:$A$503,174))</f>
        <v/>
      </c>
      <c r="E2677">
        <f>IF(ISNUMBER(INDEX('Providers'!$S$4:$S$503,174)),TEXT(INDEX('Providers'!$S$4:$S$503,174),"yyyy-mm-dd"),"")</f>
        <v/>
      </c>
      <c r="F2677">
        <f>"Certification"</f>
        <v/>
      </c>
      <c r="G2677">
        <f>""</f>
        <v/>
      </c>
      <c r="H2677">
        <f>"Medium"</f>
        <v/>
      </c>
      <c r="I2677">
        <f>TRIM(IF(LEN(IF(LEN(INDEX('Providers'!$R$4:$R$503,174))=0,"",INDEX('Providers'!$R$4:$R$503,174)))=0,"","Card: "&amp;IF(LEN(INDEX('Providers'!$R$4:$R$503,174))=0,"",INDEX('Providers'!$R$4:$R$503,174))&amp;". "))</f>
        <v/>
      </c>
      <c r="J2677">
        <f>IF(LEN(INDEX('Providers'!$AJ$4:$AJ$503,174))=0,"",INDEX('Providers'!$AJ$4:$AJ$503,174))</f>
        <v/>
      </c>
      <c r="K2677">
        <f>IF(LEN(INDEX('Providers'!$AI$4:$AI$503,174))=0,"",INDEX('Providers'!$AI$4:$AI$503,174))</f>
        <v/>
      </c>
    </row>
    <row r="2678">
      <c r="A2678">
        <f>IF(AND(LEN('Providers'!A178)&gt;0,ISNUMBER('Providers'!S178)),1,0)</f>
        <v/>
      </c>
      <c r="B2678">
        <f>B2677+A2678</f>
        <v/>
      </c>
      <c r="C2678">
        <f>IF(2675&gt;$B$4503,"",MATCH(2675-0.5,$B$3:$B$4503,1))</f>
        <v/>
      </c>
      <c r="D2678">
        <f>"Life support ("&amp;IF(LEN(INDEX('Providers'!$R$4:$R$503,175))=0,"",INDEX('Providers'!$R$4:$R$503,175))&amp;") – "&amp;IF(LEN(INDEX('Providers'!$A$4:$A$503,175))=0,"",INDEX('Providers'!$A$4:$A$503,175))</f>
        <v/>
      </c>
      <c r="E2678">
        <f>IF(ISNUMBER(INDEX('Providers'!$S$4:$S$503,175)),TEXT(INDEX('Providers'!$S$4:$S$503,175),"yyyy-mm-dd"),"")</f>
        <v/>
      </c>
      <c r="F2678">
        <f>"Certification"</f>
        <v/>
      </c>
      <c r="G2678">
        <f>""</f>
        <v/>
      </c>
      <c r="H2678">
        <f>"Medium"</f>
        <v/>
      </c>
      <c r="I2678">
        <f>TRIM(IF(LEN(IF(LEN(INDEX('Providers'!$R$4:$R$503,175))=0,"",INDEX('Providers'!$R$4:$R$503,175)))=0,"","Card: "&amp;IF(LEN(INDEX('Providers'!$R$4:$R$503,175))=0,"",INDEX('Providers'!$R$4:$R$503,175))&amp;". "))</f>
        <v/>
      </c>
      <c r="J2678">
        <f>IF(LEN(INDEX('Providers'!$AJ$4:$AJ$503,175))=0,"",INDEX('Providers'!$AJ$4:$AJ$503,175))</f>
        <v/>
      </c>
      <c r="K2678">
        <f>IF(LEN(INDEX('Providers'!$AI$4:$AI$503,175))=0,"",INDEX('Providers'!$AI$4:$AI$503,175))</f>
        <v/>
      </c>
    </row>
    <row r="2679">
      <c r="A2679">
        <f>IF(AND(LEN('Providers'!A179)&gt;0,ISNUMBER('Providers'!S179)),1,0)</f>
        <v/>
      </c>
      <c r="B2679">
        <f>B2678+A2679</f>
        <v/>
      </c>
      <c r="C2679">
        <f>IF(2676&gt;$B$4503,"",MATCH(2676-0.5,$B$3:$B$4503,1))</f>
        <v/>
      </c>
      <c r="D2679">
        <f>"Life support ("&amp;IF(LEN(INDEX('Providers'!$R$4:$R$503,176))=0,"",INDEX('Providers'!$R$4:$R$503,176))&amp;") – "&amp;IF(LEN(INDEX('Providers'!$A$4:$A$503,176))=0,"",INDEX('Providers'!$A$4:$A$503,176))</f>
        <v/>
      </c>
      <c r="E2679">
        <f>IF(ISNUMBER(INDEX('Providers'!$S$4:$S$503,176)),TEXT(INDEX('Providers'!$S$4:$S$503,176),"yyyy-mm-dd"),"")</f>
        <v/>
      </c>
      <c r="F2679">
        <f>"Certification"</f>
        <v/>
      </c>
      <c r="G2679">
        <f>""</f>
        <v/>
      </c>
      <c r="H2679">
        <f>"Medium"</f>
        <v/>
      </c>
      <c r="I2679">
        <f>TRIM(IF(LEN(IF(LEN(INDEX('Providers'!$R$4:$R$503,176))=0,"",INDEX('Providers'!$R$4:$R$503,176)))=0,"","Card: "&amp;IF(LEN(INDEX('Providers'!$R$4:$R$503,176))=0,"",INDEX('Providers'!$R$4:$R$503,176))&amp;". "))</f>
        <v/>
      </c>
      <c r="J2679">
        <f>IF(LEN(INDEX('Providers'!$AJ$4:$AJ$503,176))=0,"",INDEX('Providers'!$AJ$4:$AJ$503,176))</f>
        <v/>
      </c>
      <c r="K2679">
        <f>IF(LEN(INDEX('Providers'!$AI$4:$AI$503,176))=0,"",INDEX('Providers'!$AI$4:$AI$503,176))</f>
        <v/>
      </c>
    </row>
    <row r="2680">
      <c r="A2680">
        <f>IF(AND(LEN('Providers'!A180)&gt;0,ISNUMBER('Providers'!S180)),1,0)</f>
        <v/>
      </c>
      <c r="B2680">
        <f>B2679+A2680</f>
        <v/>
      </c>
      <c r="C2680">
        <f>IF(2677&gt;$B$4503,"",MATCH(2677-0.5,$B$3:$B$4503,1))</f>
        <v/>
      </c>
      <c r="D2680">
        <f>"Life support ("&amp;IF(LEN(INDEX('Providers'!$R$4:$R$503,177))=0,"",INDEX('Providers'!$R$4:$R$503,177))&amp;") – "&amp;IF(LEN(INDEX('Providers'!$A$4:$A$503,177))=0,"",INDEX('Providers'!$A$4:$A$503,177))</f>
        <v/>
      </c>
      <c r="E2680">
        <f>IF(ISNUMBER(INDEX('Providers'!$S$4:$S$503,177)),TEXT(INDEX('Providers'!$S$4:$S$503,177),"yyyy-mm-dd"),"")</f>
        <v/>
      </c>
      <c r="F2680">
        <f>"Certification"</f>
        <v/>
      </c>
      <c r="G2680">
        <f>""</f>
        <v/>
      </c>
      <c r="H2680">
        <f>"Medium"</f>
        <v/>
      </c>
      <c r="I2680">
        <f>TRIM(IF(LEN(IF(LEN(INDEX('Providers'!$R$4:$R$503,177))=0,"",INDEX('Providers'!$R$4:$R$503,177)))=0,"","Card: "&amp;IF(LEN(INDEX('Providers'!$R$4:$R$503,177))=0,"",INDEX('Providers'!$R$4:$R$503,177))&amp;". "))</f>
        <v/>
      </c>
      <c r="J2680">
        <f>IF(LEN(INDEX('Providers'!$AJ$4:$AJ$503,177))=0,"",INDEX('Providers'!$AJ$4:$AJ$503,177))</f>
        <v/>
      </c>
      <c r="K2680">
        <f>IF(LEN(INDEX('Providers'!$AI$4:$AI$503,177))=0,"",INDEX('Providers'!$AI$4:$AI$503,177))</f>
        <v/>
      </c>
    </row>
    <row r="2681">
      <c r="A2681">
        <f>IF(AND(LEN('Providers'!A181)&gt;0,ISNUMBER('Providers'!S181)),1,0)</f>
        <v/>
      </c>
      <c r="B2681">
        <f>B2680+A2681</f>
        <v/>
      </c>
      <c r="C2681">
        <f>IF(2678&gt;$B$4503,"",MATCH(2678-0.5,$B$3:$B$4503,1))</f>
        <v/>
      </c>
      <c r="D2681">
        <f>"Life support ("&amp;IF(LEN(INDEX('Providers'!$R$4:$R$503,178))=0,"",INDEX('Providers'!$R$4:$R$503,178))&amp;") – "&amp;IF(LEN(INDEX('Providers'!$A$4:$A$503,178))=0,"",INDEX('Providers'!$A$4:$A$503,178))</f>
        <v/>
      </c>
      <c r="E2681">
        <f>IF(ISNUMBER(INDEX('Providers'!$S$4:$S$503,178)),TEXT(INDEX('Providers'!$S$4:$S$503,178),"yyyy-mm-dd"),"")</f>
        <v/>
      </c>
      <c r="F2681">
        <f>"Certification"</f>
        <v/>
      </c>
      <c r="G2681">
        <f>""</f>
        <v/>
      </c>
      <c r="H2681">
        <f>"Medium"</f>
        <v/>
      </c>
      <c r="I2681">
        <f>TRIM(IF(LEN(IF(LEN(INDEX('Providers'!$R$4:$R$503,178))=0,"",INDEX('Providers'!$R$4:$R$503,178)))=0,"","Card: "&amp;IF(LEN(INDEX('Providers'!$R$4:$R$503,178))=0,"",INDEX('Providers'!$R$4:$R$503,178))&amp;". "))</f>
        <v/>
      </c>
      <c r="J2681">
        <f>IF(LEN(INDEX('Providers'!$AJ$4:$AJ$503,178))=0,"",INDEX('Providers'!$AJ$4:$AJ$503,178))</f>
        <v/>
      </c>
      <c r="K2681">
        <f>IF(LEN(INDEX('Providers'!$AI$4:$AI$503,178))=0,"",INDEX('Providers'!$AI$4:$AI$503,178))</f>
        <v/>
      </c>
    </row>
    <row r="2682">
      <c r="A2682">
        <f>IF(AND(LEN('Providers'!A182)&gt;0,ISNUMBER('Providers'!S182)),1,0)</f>
        <v/>
      </c>
      <c r="B2682">
        <f>B2681+A2682</f>
        <v/>
      </c>
      <c r="C2682">
        <f>IF(2679&gt;$B$4503,"",MATCH(2679-0.5,$B$3:$B$4503,1))</f>
        <v/>
      </c>
      <c r="D2682">
        <f>"Life support ("&amp;IF(LEN(INDEX('Providers'!$R$4:$R$503,179))=0,"",INDEX('Providers'!$R$4:$R$503,179))&amp;") – "&amp;IF(LEN(INDEX('Providers'!$A$4:$A$503,179))=0,"",INDEX('Providers'!$A$4:$A$503,179))</f>
        <v/>
      </c>
      <c r="E2682">
        <f>IF(ISNUMBER(INDEX('Providers'!$S$4:$S$503,179)),TEXT(INDEX('Providers'!$S$4:$S$503,179),"yyyy-mm-dd"),"")</f>
        <v/>
      </c>
      <c r="F2682">
        <f>"Certification"</f>
        <v/>
      </c>
      <c r="G2682">
        <f>""</f>
        <v/>
      </c>
      <c r="H2682">
        <f>"Medium"</f>
        <v/>
      </c>
      <c r="I2682">
        <f>TRIM(IF(LEN(IF(LEN(INDEX('Providers'!$R$4:$R$503,179))=0,"",INDEX('Providers'!$R$4:$R$503,179)))=0,"","Card: "&amp;IF(LEN(INDEX('Providers'!$R$4:$R$503,179))=0,"",INDEX('Providers'!$R$4:$R$503,179))&amp;". "))</f>
        <v/>
      </c>
      <c r="J2682">
        <f>IF(LEN(INDEX('Providers'!$AJ$4:$AJ$503,179))=0,"",INDEX('Providers'!$AJ$4:$AJ$503,179))</f>
        <v/>
      </c>
      <c r="K2682">
        <f>IF(LEN(INDEX('Providers'!$AI$4:$AI$503,179))=0,"",INDEX('Providers'!$AI$4:$AI$503,179))</f>
        <v/>
      </c>
    </row>
    <row r="2683">
      <c r="A2683">
        <f>IF(AND(LEN('Providers'!A183)&gt;0,ISNUMBER('Providers'!S183)),1,0)</f>
        <v/>
      </c>
      <c r="B2683">
        <f>B2682+A2683</f>
        <v/>
      </c>
      <c r="C2683">
        <f>IF(2680&gt;$B$4503,"",MATCH(2680-0.5,$B$3:$B$4503,1))</f>
        <v/>
      </c>
      <c r="D2683">
        <f>"Life support ("&amp;IF(LEN(INDEX('Providers'!$R$4:$R$503,180))=0,"",INDEX('Providers'!$R$4:$R$503,180))&amp;") – "&amp;IF(LEN(INDEX('Providers'!$A$4:$A$503,180))=0,"",INDEX('Providers'!$A$4:$A$503,180))</f>
        <v/>
      </c>
      <c r="E2683">
        <f>IF(ISNUMBER(INDEX('Providers'!$S$4:$S$503,180)),TEXT(INDEX('Providers'!$S$4:$S$503,180),"yyyy-mm-dd"),"")</f>
        <v/>
      </c>
      <c r="F2683">
        <f>"Certification"</f>
        <v/>
      </c>
      <c r="G2683">
        <f>""</f>
        <v/>
      </c>
      <c r="H2683">
        <f>"Medium"</f>
        <v/>
      </c>
      <c r="I2683">
        <f>TRIM(IF(LEN(IF(LEN(INDEX('Providers'!$R$4:$R$503,180))=0,"",INDEX('Providers'!$R$4:$R$503,180)))=0,"","Card: "&amp;IF(LEN(INDEX('Providers'!$R$4:$R$503,180))=0,"",INDEX('Providers'!$R$4:$R$503,180))&amp;". "))</f>
        <v/>
      </c>
      <c r="J2683">
        <f>IF(LEN(INDEX('Providers'!$AJ$4:$AJ$503,180))=0,"",INDEX('Providers'!$AJ$4:$AJ$503,180))</f>
        <v/>
      </c>
      <c r="K2683">
        <f>IF(LEN(INDEX('Providers'!$AI$4:$AI$503,180))=0,"",INDEX('Providers'!$AI$4:$AI$503,180))</f>
        <v/>
      </c>
    </row>
    <row r="2684">
      <c r="A2684">
        <f>IF(AND(LEN('Providers'!A184)&gt;0,ISNUMBER('Providers'!S184)),1,0)</f>
        <v/>
      </c>
      <c r="B2684">
        <f>B2683+A2684</f>
        <v/>
      </c>
      <c r="C2684">
        <f>IF(2681&gt;$B$4503,"",MATCH(2681-0.5,$B$3:$B$4503,1))</f>
        <v/>
      </c>
      <c r="D2684">
        <f>"Life support ("&amp;IF(LEN(INDEX('Providers'!$R$4:$R$503,181))=0,"",INDEX('Providers'!$R$4:$R$503,181))&amp;") – "&amp;IF(LEN(INDEX('Providers'!$A$4:$A$503,181))=0,"",INDEX('Providers'!$A$4:$A$503,181))</f>
        <v/>
      </c>
      <c r="E2684">
        <f>IF(ISNUMBER(INDEX('Providers'!$S$4:$S$503,181)),TEXT(INDEX('Providers'!$S$4:$S$503,181),"yyyy-mm-dd"),"")</f>
        <v/>
      </c>
      <c r="F2684">
        <f>"Certification"</f>
        <v/>
      </c>
      <c r="G2684">
        <f>""</f>
        <v/>
      </c>
      <c r="H2684">
        <f>"Medium"</f>
        <v/>
      </c>
      <c r="I2684">
        <f>TRIM(IF(LEN(IF(LEN(INDEX('Providers'!$R$4:$R$503,181))=0,"",INDEX('Providers'!$R$4:$R$503,181)))=0,"","Card: "&amp;IF(LEN(INDEX('Providers'!$R$4:$R$503,181))=0,"",INDEX('Providers'!$R$4:$R$503,181))&amp;". "))</f>
        <v/>
      </c>
      <c r="J2684">
        <f>IF(LEN(INDEX('Providers'!$AJ$4:$AJ$503,181))=0,"",INDEX('Providers'!$AJ$4:$AJ$503,181))</f>
        <v/>
      </c>
      <c r="K2684">
        <f>IF(LEN(INDEX('Providers'!$AI$4:$AI$503,181))=0,"",INDEX('Providers'!$AI$4:$AI$503,181))</f>
        <v/>
      </c>
    </row>
    <row r="2685">
      <c r="A2685">
        <f>IF(AND(LEN('Providers'!A185)&gt;0,ISNUMBER('Providers'!S185)),1,0)</f>
        <v/>
      </c>
      <c r="B2685">
        <f>B2684+A2685</f>
        <v/>
      </c>
      <c r="C2685">
        <f>IF(2682&gt;$B$4503,"",MATCH(2682-0.5,$B$3:$B$4503,1))</f>
        <v/>
      </c>
      <c r="D2685">
        <f>"Life support ("&amp;IF(LEN(INDEX('Providers'!$R$4:$R$503,182))=0,"",INDEX('Providers'!$R$4:$R$503,182))&amp;") – "&amp;IF(LEN(INDEX('Providers'!$A$4:$A$503,182))=0,"",INDEX('Providers'!$A$4:$A$503,182))</f>
        <v/>
      </c>
      <c r="E2685">
        <f>IF(ISNUMBER(INDEX('Providers'!$S$4:$S$503,182)),TEXT(INDEX('Providers'!$S$4:$S$503,182),"yyyy-mm-dd"),"")</f>
        <v/>
      </c>
      <c r="F2685">
        <f>"Certification"</f>
        <v/>
      </c>
      <c r="G2685">
        <f>""</f>
        <v/>
      </c>
      <c r="H2685">
        <f>"Medium"</f>
        <v/>
      </c>
      <c r="I2685">
        <f>TRIM(IF(LEN(IF(LEN(INDEX('Providers'!$R$4:$R$503,182))=0,"",INDEX('Providers'!$R$4:$R$503,182)))=0,"","Card: "&amp;IF(LEN(INDEX('Providers'!$R$4:$R$503,182))=0,"",INDEX('Providers'!$R$4:$R$503,182))&amp;". "))</f>
        <v/>
      </c>
      <c r="J2685">
        <f>IF(LEN(INDEX('Providers'!$AJ$4:$AJ$503,182))=0,"",INDEX('Providers'!$AJ$4:$AJ$503,182))</f>
        <v/>
      </c>
      <c r="K2685">
        <f>IF(LEN(INDEX('Providers'!$AI$4:$AI$503,182))=0,"",INDEX('Providers'!$AI$4:$AI$503,182))</f>
        <v/>
      </c>
    </row>
    <row r="2686">
      <c r="A2686">
        <f>IF(AND(LEN('Providers'!A186)&gt;0,ISNUMBER('Providers'!S186)),1,0)</f>
        <v/>
      </c>
      <c r="B2686">
        <f>B2685+A2686</f>
        <v/>
      </c>
      <c r="C2686">
        <f>IF(2683&gt;$B$4503,"",MATCH(2683-0.5,$B$3:$B$4503,1))</f>
        <v/>
      </c>
      <c r="D2686">
        <f>"Life support ("&amp;IF(LEN(INDEX('Providers'!$R$4:$R$503,183))=0,"",INDEX('Providers'!$R$4:$R$503,183))&amp;") – "&amp;IF(LEN(INDEX('Providers'!$A$4:$A$503,183))=0,"",INDEX('Providers'!$A$4:$A$503,183))</f>
        <v/>
      </c>
      <c r="E2686">
        <f>IF(ISNUMBER(INDEX('Providers'!$S$4:$S$503,183)),TEXT(INDEX('Providers'!$S$4:$S$503,183),"yyyy-mm-dd"),"")</f>
        <v/>
      </c>
      <c r="F2686">
        <f>"Certification"</f>
        <v/>
      </c>
      <c r="G2686">
        <f>""</f>
        <v/>
      </c>
      <c r="H2686">
        <f>"Medium"</f>
        <v/>
      </c>
      <c r="I2686">
        <f>TRIM(IF(LEN(IF(LEN(INDEX('Providers'!$R$4:$R$503,183))=0,"",INDEX('Providers'!$R$4:$R$503,183)))=0,"","Card: "&amp;IF(LEN(INDEX('Providers'!$R$4:$R$503,183))=0,"",INDEX('Providers'!$R$4:$R$503,183))&amp;". "))</f>
        <v/>
      </c>
      <c r="J2686">
        <f>IF(LEN(INDEX('Providers'!$AJ$4:$AJ$503,183))=0,"",INDEX('Providers'!$AJ$4:$AJ$503,183))</f>
        <v/>
      </c>
      <c r="K2686">
        <f>IF(LEN(INDEX('Providers'!$AI$4:$AI$503,183))=0,"",INDEX('Providers'!$AI$4:$AI$503,183))</f>
        <v/>
      </c>
    </row>
    <row r="2687">
      <c r="A2687">
        <f>IF(AND(LEN('Providers'!A187)&gt;0,ISNUMBER('Providers'!S187)),1,0)</f>
        <v/>
      </c>
      <c r="B2687">
        <f>B2686+A2687</f>
        <v/>
      </c>
      <c r="C2687">
        <f>IF(2684&gt;$B$4503,"",MATCH(2684-0.5,$B$3:$B$4503,1))</f>
        <v/>
      </c>
      <c r="D2687">
        <f>"Life support ("&amp;IF(LEN(INDEX('Providers'!$R$4:$R$503,184))=0,"",INDEX('Providers'!$R$4:$R$503,184))&amp;") – "&amp;IF(LEN(INDEX('Providers'!$A$4:$A$503,184))=0,"",INDEX('Providers'!$A$4:$A$503,184))</f>
        <v/>
      </c>
      <c r="E2687">
        <f>IF(ISNUMBER(INDEX('Providers'!$S$4:$S$503,184)),TEXT(INDEX('Providers'!$S$4:$S$503,184),"yyyy-mm-dd"),"")</f>
        <v/>
      </c>
      <c r="F2687">
        <f>"Certification"</f>
        <v/>
      </c>
      <c r="G2687">
        <f>""</f>
        <v/>
      </c>
      <c r="H2687">
        <f>"Medium"</f>
        <v/>
      </c>
      <c r="I2687">
        <f>TRIM(IF(LEN(IF(LEN(INDEX('Providers'!$R$4:$R$503,184))=0,"",INDEX('Providers'!$R$4:$R$503,184)))=0,"","Card: "&amp;IF(LEN(INDEX('Providers'!$R$4:$R$503,184))=0,"",INDEX('Providers'!$R$4:$R$503,184))&amp;". "))</f>
        <v/>
      </c>
      <c r="J2687">
        <f>IF(LEN(INDEX('Providers'!$AJ$4:$AJ$503,184))=0,"",INDEX('Providers'!$AJ$4:$AJ$503,184))</f>
        <v/>
      </c>
      <c r="K2687">
        <f>IF(LEN(INDEX('Providers'!$AI$4:$AI$503,184))=0,"",INDEX('Providers'!$AI$4:$AI$503,184))</f>
        <v/>
      </c>
    </row>
    <row r="2688">
      <c r="A2688">
        <f>IF(AND(LEN('Providers'!A188)&gt;0,ISNUMBER('Providers'!S188)),1,0)</f>
        <v/>
      </c>
      <c r="B2688">
        <f>B2687+A2688</f>
        <v/>
      </c>
      <c r="C2688">
        <f>IF(2685&gt;$B$4503,"",MATCH(2685-0.5,$B$3:$B$4503,1))</f>
        <v/>
      </c>
      <c r="D2688">
        <f>"Life support ("&amp;IF(LEN(INDEX('Providers'!$R$4:$R$503,185))=0,"",INDEX('Providers'!$R$4:$R$503,185))&amp;") – "&amp;IF(LEN(INDEX('Providers'!$A$4:$A$503,185))=0,"",INDEX('Providers'!$A$4:$A$503,185))</f>
        <v/>
      </c>
      <c r="E2688">
        <f>IF(ISNUMBER(INDEX('Providers'!$S$4:$S$503,185)),TEXT(INDEX('Providers'!$S$4:$S$503,185),"yyyy-mm-dd"),"")</f>
        <v/>
      </c>
      <c r="F2688">
        <f>"Certification"</f>
        <v/>
      </c>
      <c r="G2688">
        <f>""</f>
        <v/>
      </c>
      <c r="H2688">
        <f>"Medium"</f>
        <v/>
      </c>
      <c r="I2688">
        <f>TRIM(IF(LEN(IF(LEN(INDEX('Providers'!$R$4:$R$503,185))=0,"",INDEX('Providers'!$R$4:$R$503,185)))=0,"","Card: "&amp;IF(LEN(INDEX('Providers'!$R$4:$R$503,185))=0,"",INDEX('Providers'!$R$4:$R$503,185))&amp;". "))</f>
        <v/>
      </c>
      <c r="J2688">
        <f>IF(LEN(INDEX('Providers'!$AJ$4:$AJ$503,185))=0,"",INDEX('Providers'!$AJ$4:$AJ$503,185))</f>
        <v/>
      </c>
      <c r="K2688">
        <f>IF(LEN(INDEX('Providers'!$AI$4:$AI$503,185))=0,"",INDEX('Providers'!$AI$4:$AI$503,185))</f>
        <v/>
      </c>
    </row>
    <row r="2689">
      <c r="A2689">
        <f>IF(AND(LEN('Providers'!A189)&gt;0,ISNUMBER('Providers'!S189)),1,0)</f>
        <v/>
      </c>
      <c r="B2689">
        <f>B2688+A2689</f>
        <v/>
      </c>
      <c r="C2689">
        <f>IF(2686&gt;$B$4503,"",MATCH(2686-0.5,$B$3:$B$4503,1))</f>
        <v/>
      </c>
      <c r="D2689">
        <f>"Life support ("&amp;IF(LEN(INDEX('Providers'!$R$4:$R$503,186))=0,"",INDEX('Providers'!$R$4:$R$503,186))&amp;") – "&amp;IF(LEN(INDEX('Providers'!$A$4:$A$503,186))=0,"",INDEX('Providers'!$A$4:$A$503,186))</f>
        <v/>
      </c>
      <c r="E2689">
        <f>IF(ISNUMBER(INDEX('Providers'!$S$4:$S$503,186)),TEXT(INDEX('Providers'!$S$4:$S$503,186),"yyyy-mm-dd"),"")</f>
        <v/>
      </c>
      <c r="F2689">
        <f>"Certification"</f>
        <v/>
      </c>
      <c r="G2689">
        <f>""</f>
        <v/>
      </c>
      <c r="H2689">
        <f>"Medium"</f>
        <v/>
      </c>
      <c r="I2689">
        <f>TRIM(IF(LEN(IF(LEN(INDEX('Providers'!$R$4:$R$503,186))=0,"",INDEX('Providers'!$R$4:$R$503,186)))=0,"","Card: "&amp;IF(LEN(INDEX('Providers'!$R$4:$R$503,186))=0,"",INDEX('Providers'!$R$4:$R$503,186))&amp;". "))</f>
        <v/>
      </c>
      <c r="J2689">
        <f>IF(LEN(INDEX('Providers'!$AJ$4:$AJ$503,186))=0,"",INDEX('Providers'!$AJ$4:$AJ$503,186))</f>
        <v/>
      </c>
      <c r="K2689">
        <f>IF(LEN(INDEX('Providers'!$AI$4:$AI$503,186))=0,"",INDEX('Providers'!$AI$4:$AI$503,186))</f>
        <v/>
      </c>
    </row>
    <row r="2690">
      <c r="A2690">
        <f>IF(AND(LEN('Providers'!A190)&gt;0,ISNUMBER('Providers'!S190)),1,0)</f>
        <v/>
      </c>
      <c r="B2690">
        <f>B2689+A2690</f>
        <v/>
      </c>
      <c r="C2690">
        <f>IF(2687&gt;$B$4503,"",MATCH(2687-0.5,$B$3:$B$4503,1))</f>
        <v/>
      </c>
      <c r="D2690">
        <f>"Life support ("&amp;IF(LEN(INDEX('Providers'!$R$4:$R$503,187))=0,"",INDEX('Providers'!$R$4:$R$503,187))&amp;") – "&amp;IF(LEN(INDEX('Providers'!$A$4:$A$503,187))=0,"",INDEX('Providers'!$A$4:$A$503,187))</f>
        <v/>
      </c>
      <c r="E2690">
        <f>IF(ISNUMBER(INDEX('Providers'!$S$4:$S$503,187)),TEXT(INDEX('Providers'!$S$4:$S$503,187),"yyyy-mm-dd"),"")</f>
        <v/>
      </c>
      <c r="F2690">
        <f>"Certification"</f>
        <v/>
      </c>
      <c r="G2690">
        <f>""</f>
        <v/>
      </c>
      <c r="H2690">
        <f>"Medium"</f>
        <v/>
      </c>
      <c r="I2690">
        <f>TRIM(IF(LEN(IF(LEN(INDEX('Providers'!$R$4:$R$503,187))=0,"",INDEX('Providers'!$R$4:$R$503,187)))=0,"","Card: "&amp;IF(LEN(INDEX('Providers'!$R$4:$R$503,187))=0,"",INDEX('Providers'!$R$4:$R$503,187))&amp;". "))</f>
        <v/>
      </c>
      <c r="J2690">
        <f>IF(LEN(INDEX('Providers'!$AJ$4:$AJ$503,187))=0,"",INDEX('Providers'!$AJ$4:$AJ$503,187))</f>
        <v/>
      </c>
      <c r="K2690">
        <f>IF(LEN(INDEX('Providers'!$AI$4:$AI$503,187))=0,"",INDEX('Providers'!$AI$4:$AI$503,187))</f>
        <v/>
      </c>
    </row>
    <row r="2691">
      <c r="A2691">
        <f>IF(AND(LEN('Providers'!A191)&gt;0,ISNUMBER('Providers'!S191)),1,0)</f>
        <v/>
      </c>
      <c r="B2691">
        <f>B2690+A2691</f>
        <v/>
      </c>
      <c r="C2691">
        <f>IF(2688&gt;$B$4503,"",MATCH(2688-0.5,$B$3:$B$4503,1))</f>
        <v/>
      </c>
      <c r="D2691">
        <f>"Life support ("&amp;IF(LEN(INDEX('Providers'!$R$4:$R$503,188))=0,"",INDEX('Providers'!$R$4:$R$503,188))&amp;") – "&amp;IF(LEN(INDEX('Providers'!$A$4:$A$503,188))=0,"",INDEX('Providers'!$A$4:$A$503,188))</f>
        <v/>
      </c>
      <c r="E2691">
        <f>IF(ISNUMBER(INDEX('Providers'!$S$4:$S$503,188)),TEXT(INDEX('Providers'!$S$4:$S$503,188),"yyyy-mm-dd"),"")</f>
        <v/>
      </c>
      <c r="F2691">
        <f>"Certification"</f>
        <v/>
      </c>
      <c r="G2691">
        <f>""</f>
        <v/>
      </c>
      <c r="H2691">
        <f>"Medium"</f>
        <v/>
      </c>
      <c r="I2691">
        <f>TRIM(IF(LEN(IF(LEN(INDEX('Providers'!$R$4:$R$503,188))=0,"",INDEX('Providers'!$R$4:$R$503,188)))=0,"","Card: "&amp;IF(LEN(INDEX('Providers'!$R$4:$R$503,188))=0,"",INDEX('Providers'!$R$4:$R$503,188))&amp;". "))</f>
        <v/>
      </c>
      <c r="J2691">
        <f>IF(LEN(INDEX('Providers'!$AJ$4:$AJ$503,188))=0,"",INDEX('Providers'!$AJ$4:$AJ$503,188))</f>
        <v/>
      </c>
      <c r="K2691">
        <f>IF(LEN(INDEX('Providers'!$AI$4:$AI$503,188))=0,"",INDEX('Providers'!$AI$4:$AI$503,188))</f>
        <v/>
      </c>
    </row>
    <row r="2692">
      <c r="A2692">
        <f>IF(AND(LEN('Providers'!A192)&gt;0,ISNUMBER('Providers'!S192)),1,0)</f>
        <v/>
      </c>
      <c r="B2692">
        <f>B2691+A2692</f>
        <v/>
      </c>
      <c r="C2692">
        <f>IF(2689&gt;$B$4503,"",MATCH(2689-0.5,$B$3:$B$4503,1))</f>
        <v/>
      </c>
      <c r="D2692">
        <f>"Life support ("&amp;IF(LEN(INDEX('Providers'!$R$4:$R$503,189))=0,"",INDEX('Providers'!$R$4:$R$503,189))&amp;") – "&amp;IF(LEN(INDEX('Providers'!$A$4:$A$503,189))=0,"",INDEX('Providers'!$A$4:$A$503,189))</f>
        <v/>
      </c>
      <c r="E2692">
        <f>IF(ISNUMBER(INDEX('Providers'!$S$4:$S$503,189)),TEXT(INDEX('Providers'!$S$4:$S$503,189),"yyyy-mm-dd"),"")</f>
        <v/>
      </c>
      <c r="F2692">
        <f>"Certification"</f>
        <v/>
      </c>
      <c r="G2692">
        <f>""</f>
        <v/>
      </c>
      <c r="H2692">
        <f>"Medium"</f>
        <v/>
      </c>
      <c r="I2692">
        <f>TRIM(IF(LEN(IF(LEN(INDEX('Providers'!$R$4:$R$503,189))=0,"",INDEX('Providers'!$R$4:$R$503,189)))=0,"","Card: "&amp;IF(LEN(INDEX('Providers'!$R$4:$R$503,189))=0,"",INDEX('Providers'!$R$4:$R$503,189))&amp;". "))</f>
        <v/>
      </c>
      <c r="J2692">
        <f>IF(LEN(INDEX('Providers'!$AJ$4:$AJ$503,189))=0,"",INDEX('Providers'!$AJ$4:$AJ$503,189))</f>
        <v/>
      </c>
      <c r="K2692">
        <f>IF(LEN(INDEX('Providers'!$AI$4:$AI$503,189))=0,"",INDEX('Providers'!$AI$4:$AI$503,189))</f>
        <v/>
      </c>
    </row>
    <row r="2693">
      <c r="A2693">
        <f>IF(AND(LEN('Providers'!A193)&gt;0,ISNUMBER('Providers'!S193)),1,0)</f>
        <v/>
      </c>
      <c r="B2693">
        <f>B2692+A2693</f>
        <v/>
      </c>
      <c r="C2693">
        <f>IF(2690&gt;$B$4503,"",MATCH(2690-0.5,$B$3:$B$4503,1))</f>
        <v/>
      </c>
      <c r="D2693">
        <f>"Life support ("&amp;IF(LEN(INDEX('Providers'!$R$4:$R$503,190))=0,"",INDEX('Providers'!$R$4:$R$503,190))&amp;") – "&amp;IF(LEN(INDEX('Providers'!$A$4:$A$503,190))=0,"",INDEX('Providers'!$A$4:$A$503,190))</f>
        <v/>
      </c>
      <c r="E2693">
        <f>IF(ISNUMBER(INDEX('Providers'!$S$4:$S$503,190)),TEXT(INDEX('Providers'!$S$4:$S$503,190),"yyyy-mm-dd"),"")</f>
        <v/>
      </c>
      <c r="F2693">
        <f>"Certification"</f>
        <v/>
      </c>
      <c r="G2693">
        <f>""</f>
        <v/>
      </c>
      <c r="H2693">
        <f>"Medium"</f>
        <v/>
      </c>
      <c r="I2693">
        <f>TRIM(IF(LEN(IF(LEN(INDEX('Providers'!$R$4:$R$503,190))=0,"",INDEX('Providers'!$R$4:$R$503,190)))=0,"","Card: "&amp;IF(LEN(INDEX('Providers'!$R$4:$R$503,190))=0,"",INDEX('Providers'!$R$4:$R$503,190))&amp;". "))</f>
        <v/>
      </c>
      <c r="J2693">
        <f>IF(LEN(INDEX('Providers'!$AJ$4:$AJ$503,190))=0,"",INDEX('Providers'!$AJ$4:$AJ$503,190))</f>
        <v/>
      </c>
      <c r="K2693">
        <f>IF(LEN(INDEX('Providers'!$AI$4:$AI$503,190))=0,"",INDEX('Providers'!$AI$4:$AI$503,190))</f>
        <v/>
      </c>
    </row>
    <row r="2694">
      <c r="A2694">
        <f>IF(AND(LEN('Providers'!A194)&gt;0,ISNUMBER('Providers'!S194)),1,0)</f>
        <v/>
      </c>
      <c r="B2694">
        <f>B2693+A2694</f>
        <v/>
      </c>
      <c r="C2694">
        <f>IF(2691&gt;$B$4503,"",MATCH(2691-0.5,$B$3:$B$4503,1))</f>
        <v/>
      </c>
      <c r="D2694">
        <f>"Life support ("&amp;IF(LEN(INDEX('Providers'!$R$4:$R$503,191))=0,"",INDEX('Providers'!$R$4:$R$503,191))&amp;") – "&amp;IF(LEN(INDEX('Providers'!$A$4:$A$503,191))=0,"",INDEX('Providers'!$A$4:$A$503,191))</f>
        <v/>
      </c>
      <c r="E2694">
        <f>IF(ISNUMBER(INDEX('Providers'!$S$4:$S$503,191)),TEXT(INDEX('Providers'!$S$4:$S$503,191),"yyyy-mm-dd"),"")</f>
        <v/>
      </c>
      <c r="F2694">
        <f>"Certification"</f>
        <v/>
      </c>
      <c r="G2694">
        <f>""</f>
        <v/>
      </c>
      <c r="H2694">
        <f>"Medium"</f>
        <v/>
      </c>
      <c r="I2694">
        <f>TRIM(IF(LEN(IF(LEN(INDEX('Providers'!$R$4:$R$503,191))=0,"",INDEX('Providers'!$R$4:$R$503,191)))=0,"","Card: "&amp;IF(LEN(INDEX('Providers'!$R$4:$R$503,191))=0,"",INDEX('Providers'!$R$4:$R$503,191))&amp;". "))</f>
        <v/>
      </c>
      <c r="J2694">
        <f>IF(LEN(INDEX('Providers'!$AJ$4:$AJ$503,191))=0,"",INDEX('Providers'!$AJ$4:$AJ$503,191))</f>
        <v/>
      </c>
      <c r="K2694">
        <f>IF(LEN(INDEX('Providers'!$AI$4:$AI$503,191))=0,"",INDEX('Providers'!$AI$4:$AI$503,191))</f>
        <v/>
      </c>
    </row>
    <row r="2695">
      <c r="A2695">
        <f>IF(AND(LEN('Providers'!A195)&gt;0,ISNUMBER('Providers'!S195)),1,0)</f>
        <v/>
      </c>
      <c r="B2695">
        <f>B2694+A2695</f>
        <v/>
      </c>
      <c r="C2695">
        <f>IF(2692&gt;$B$4503,"",MATCH(2692-0.5,$B$3:$B$4503,1))</f>
        <v/>
      </c>
      <c r="D2695">
        <f>"Life support ("&amp;IF(LEN(INDEX('Providers'!$R$4:$R$503,192))=0,"",INDEX('Providers'!$R$4:$R$503,192))&amp;") – "&amp;IF(LEN(INDEX('Providers'!$A$4:$A$503,192))=0,"",INDEX('Providers'!$A$4:$A$503,192))</f>
        <v/>
      </c>
      <c r="E2695">
        <f>IF(ISNUMBER(INDEX('Providers'!$S$4:$S$503,192)),TEXT(INDEX('Providers'!$S$4:$S$503,192),"yyyy-mm-dd"),"")</f>
        <v/>
      </c>
      <c r="F2695">
        <f>"Certification"</f>
        <v/>
      </c>
      <c r="G2695">
        <f>""</f>
        <v/>
      </c>
      <c r="H2695">
        <f>"Medium"</f>
        <v/>
      </c>
      <c r="I2695">
        <f>TRIM(IF(LEN(IF(LEN(INDEX('Providers'!$R$4:$R$503,192))=0,"",INDEX('Providers'!$R$4:$R$503,192)))=0,"","Card: "&amp;IF(LEN(INDEX('Providers'!$R$4:$R$503,192))=0,"",INDEX('Providers'!$R$4:$R$503,192))&amp;". "))</f>
        <v/>
      </c>
      <c r="J2695">
        <f>IF(LEN(INDEX('Providers'!$AJ$4:$AJ$503,192))=0,"",INDEX('Providers'!$AJ$4:$AJ$503,192))</f>
        <v/>
      </c>
      <c r="K2695">
        <f>IF(LEN(INDEX('Providers'!$AI$4:$AI$503,192))=0,"",INDEX('Providers'!$AI$4:$AI$503,192))</f>
        <v/>
      </c>
    </row>
    <row r="2696">
      <c r="A2696">
        <f>IF(AND(LEN('Providers'!A196)&gt;0,ISNUMBER('Providers'!S196)),1,0)</f>
        <v/>
      </c>
      <c r="B2696">
        <f>B2695+A2696</f>
        <v/>
      </c>
      <c r="C2696">
        <f>IF(2693&gt;$B$4503,"",MATCH(2693-0.5,$B$3:$B$4503,1))</f>
        <v/>
      </c>
      <c r="D2696">
        <f>"Life support ("&amp;IF(LEN(INDEX('Providers'!$R$4:$R$503,193))=0,"",INDEX('Providers'!$R$4:$R$503,193))&amp;") – "&amp;IF(LEN(INDEX('Providers'!$A$4:$A$503,193))=0,"",INDEX('Providers'!$A$4:$A$503,193))</f>
        <v/>
      </c>
      <c r="E2696">
        <f>IF(ISNUMBER(INDEX('Providers'!$S$4:$S$503,193)),TEXT(INDEX('Providers'!$S$4:$S$503,193),"yyyy-mm-dd"),"")</f>
        <v/>
      </c>
      <c r="F2696">
        <f>"Certification"</f>
        <v/>
      </c>
      <c r="G2696">
        <f>""</f>
        <v/>
      </c>
      <c r="H2696">
        <f>"Medium"</f>
        <v/>
      </c>
      <c r="I2696">
        <f>TRIM(IF(LEN(IF(LEN(INDEX('Providers'!$R$4:$R$503,193))=0,"",INDEX('Providers'!$R$4:$R$503,193)))=0,"","Card: "&amp;IF(LEN(INDEX('Providers'!$R$4:$R$503,193))=0,"",INDEX('Providers'!$R$4:$R$503,193))&amp;". "))</f>
        <v/>
      </c>
      <c r="J2696">
        <f>IF(LEN(INDEX('Providers'!$AJ$4:$AJ$503,193))=0,"",INDEX('Providers'!$AJ$4:$AJ$503,193))</f>
        <v/>
      </c>
      <c r="K2696">
        <f>IF(LEN(INDEX('Providers'!$AI$4:$AI$503,193))=0,"",INDEX('Providers'!$AI$4:$AI$503,193))</f>
        <v/>
      </c>
    </row>
    <row r="2697">
      <c r="A2697">
        <f>IF(AND(LEN('Providers'!A197)&gt;0,ISNUMBER('Providers'!S197)),1,0)</f>
        <v/>
      </c>
      <c r="B2697">
        <f>B2696+A2697</f>
        <v/>
      </c>
      <c r="C2697">
        <f>IF(2694&gt;$B$4503,"",MATCH(2694-0.5,$B$3:$B$4503,1))</f>
        <v/>
      </c>
      <c r="D2697">
        <f>"Life support ("&amp;IF(LEN(INDEX('Providers'!$R$4:$R$503,194))=0,"",INDEX('Providers'!$R$4:$R$503,194))&amp;") – "&amp;IF(LEN(INDEX('Providers'!$A$4:$A$503,194))=0,"",INDEX('Providers'!$A$4:$A$503,194))</f>
        <v/>
      </c>
      <c r="E2697">
        <f>IF(ISNUMBER(INDEX('Providers'!$S$4:$S$503,194)),TEXT(INDEX('Providers'!$S$4:$S$503,194),"yyyy-mm-dd"),"")</f>
        <v/>
      </c>
      <c r="F2697">
        <f>"Certification"</f>
        <v/>
      </c>
      <c r="G2697">
        <f>""</f>
        <v/>
      </c>
      <c r="H2697">
        <f>"Medium"</f>
        <v/>
      </c>
      <c r="I2697">
        <f>TRIM(IF(LEN(IF(LEN(INDEX('Providers'!$R$4:$R$503,194))=0,"",INDEX('Providers'!$R$4:$R$503,194)))=0,"","Card: "&amp;IF(LEN(INDEX('Providers'!$R$4:$R$503,194))=0,"",INDEX('Providers'!$R$4:$R$503,194))&amp;". "))</f>
        <v/>
      </c>
      <c r="J2697">
        <f>IF(LEN(INDEX('Providers'!$AJ$4:$AJ$503,194))=0,"",INDEX('Providers'!$AJ$4:$AJ$503,194))</f>
        <v/>
      </c>
      <c r="K2697">
        <f>IF(LEN(INDEX('Providers'!$AI$4:$AI$503,194))=0,"",INDEX('Providers'!$AI$4:$AI$503,194))</f>
        <v/>
      </c>
    </row>
    <row r="2698">
      <c r="A2698">
        <f>IF(AND(LEN('Providers'!A198)&gt;0,ISNUMBER('Providers'!S198)),1,0)</f>
        <v/>
      </c>
      <c r="B2698">
        <f>B2697+A2698</f>
        <v/>
      </c>
      <c r="C2698">
        <f>IF(2695&gt;$B$4503,"",MATCH(2695-0.5,$B$3:$B$4503,1))</f>
        <v/>
      </c>
      <c r="D2698">
        <f>"Life support ("&amp;IF(LEN(INDEX('Providers'!$R$4:$R$503,195))=0,"",INDEX('Providers'!$R$4:$R$503,195))&amp;") – "&amp;IF(LEN(INDEX('Providers'!$A$4:$A$503,195))=0,"",INDEX('Providers'!$A$4:$A$503,195))</f>
        <v/>
      </c>
      <c r="E2698">
        <f>IF(ISNUMBER(INDEX('Providers'!$S$4:$S$503,195)),TEXT(INDEX('Providers'!$S$4:$S$503,195),"yyyy-mm-dd"),"")</f>
        <v/>
      </c>
      <c r="F2698">
        <f>"Certification"</f>
        <v/>
      </c>
      <c r="G2698">
        <f>""</f>
        <v/>
      </c>
      <c r="H2698">
        <f>"Medium"</f>
        <v/>
      </c>
      <c r="I2698">
        <f>TRIM(IF(LEN(IF(LEN(INDEX('Providers'!$R$4:$R$503,195))=0,"",INDEX('Providers'!$R$4:$R$503,195)))=0,"","Card: "&amp;IF(LEN(INDEX('Providers'!$R$4:$R$503,195))=0,"",INDEX('Providers'!$R$4:$R$503,195))&amp;". "))</f>
        <v/>
      </c>
      <c r="J2698">
        <f>IF(LEN(INDEX('Providers'!$AJ$4:$AJ$503,195))=0,"",INDEX('Providers'!$AJ$4:$AJ$503,195))</f>
        <v/>
      </c>
      <c r="K2698">
        <f>IF(LEN(INDEX('Providers'!$AI$4:$AI$503,195))=0,"",INDEX('Providers'!$AI$4:$AI$503,195))</f>
        <v/>
      </c>
    </row>
    <row r="2699">
      <c r="A2699">
        <f>IF(AND(LEN('Providers'!A199)&gt;0,ISNUMBER('Providers'!S199)),1,0)</f>
        <v/>
      </c>
      <c r="B2699">
        <f>B2698+A2699</f>
        <v/>
      </c>
      <c r="C2699">
        <f>IF(2696&gt;$B$4503,"",MATCH(2696-0.5,$B$3:$B$4503,1))</f>
        <v/>
      </c>
      <c r="D2699">
        <f>"Life support ("&amp;IF(LEN(INDEX('Providers'!$R$4:$R$503,196))=0,"",INDEX('Providers'!$R$4:$R$503,196))&amp;") – "&amp;IF(LEN(INDEX('Providers'!$A$4:$A$503,196))=0,"",INDEX('Providers'!$A$4:$A$503,196))</f>
        <v/>
      </c>
      <c r="E2699">
        <f>IF(ISNUMBER(INDEX('Providers'!$S$4:$S$503,196)),TEXT(INDEX('Providers'!$S$4:$S$503,196),"yyyy-mm-dd"),"")</f>
        <v/>
      </c>
      <c r="F2699">
        <f>"Certification"</f>
        <v/>
      </c>
      <c r="G2699">
        <f>""</f>
        <v/>
      </c>
      <c r="H2699">
        <f>"Medium"</f>
        <v/>
      </c>
      <c r="I2699">
        <f>TRIM(IF(LEN(IF(LEN(INDEX('Providers'!$R$4:$R$503,196))=0,"",INDEX('Providers'!$R$4:$R$503,196)))=0,"","Card: "&amp;IF(LEN(INDEX('Providers'!$R$4:$R$503,196))=0,"",INDEX('Providers'!$R$4:$R$503,196))&amp;". "))</f>
        <v/>
      </c>
      <c r="J2699">
        <f>IF(LEN(INDEX('Providers'!$AJ$4:$AJ$503,196))=0,"",INDEX('Providers'!$AJ$4:$AJ$503,196))</f>
        <v/>
      </c>
      <c r="K2699">
        <f>IF(LEN(INDEX('Providers'!$AI$4:$AI$503,196))=0,"",INDEX('Providers'!$AI$4:$AI$503,196))</f>
        <v/>
      </c>
    </row>
    <row r="2700">
      <c r="A2700">
        <f>IF(AND(LEN('Providers'!A200)&gt;0,ISNUMBER('Providers'!S200)),1,0)</f>
        <v/>
      </c>
      <c r="B2700">
        <f>B2699+A2700</f>
        <v/>
      </c>
      <c r="C2700">
        <f>IF(2697&gt;$B$4503,"",MATCH(2697-0.5,$B$3:$B$4503,1))</f>
        <v/>
      </c>
      <c r="D2700">
        <f>"Life support ("&amp;IF(LEN(INDEX('Providers'!$R$4:$R$503,197))=0,"",INDEX('Providers'!$R$4:$R$503,197))&amp;") – "&amp;IF(LEN(INDEX('Providers'!$A$4:$A$503,197))=0,"",INDEX('Providers'!$A$4:$A$503,197))</f>
        <v/>
      </c>
      <c r="E2700">
        <f>IF(ISNUMBER(INDEX('Providers'!$S$4:$S$503,197)),TEXT(INDEX('Providers'!$S$4:$S$503,197),"yyyy-mm-dd"),"")</f>
        <v/>
      </c>
      <c r="F2700">
        <f>"Certification"</f>
        <v/>
      </c>
      <c r="G2700">
        <f>""</f>
        <v/>
      </c>
      <c r="H2700">
        <f>"Medium"</f>
        <v/>
      </c>
      <c r="I2700">
        <f>TRIM(IF(LEN(IF(LEN(INDEX('Providers'!$R$4:$R$503,197))=0,"",INDEX('Providers'!$R$4:$R$503,197)))=0,"","Card: "&amp;IF(LEN(INDEX('Providers'!$R$4:$R$503,197))=0,"",INDEX('Providers'!$R$4:$R$503,197))&amp;". "))</f>
        <v/>
      </c>
      <c r="J2700">
        <f>IF(LEN(INDEX('Providers'!$AJ$4:$AJ$503,197))=0,"",INDEX('Providers'!$AJ$4:$AJ$503,197))</f>
        <v/>
      </c>
      <c r="K2700">
        <f>IF(LEN(INDEX('Providers'!$AI$4:$AI$503,197))=0,"",INDEX('Providers'!$AI$4:$AI$503,197))</f>
        <v/>
      </c>
    </row>
    <row r="2701">
      <c r="A2701">
        <f>IF(AND(LEN('Providers'!A201)&gt;0,ISNUMBER('Providers'!S201)),1,0)</f>
        <v/>
      </c>
      <c r="B2701">
        <f>B2700+A2701</f>
        <v/>
      </c>
      <c r="C2701">
        <f>IF(2698&gt;$B$4503,"",MATCH(2698-0.5,$B$3:$B$4503,1))</f>
        <v/>
      </c>
      <c r="D2701">
        <f>"Life support ("&amp;IF(LEN(INDEX('Providers'!$R$4:$R$503,198))=0,"",INDEX('Providers'!$R$4:$R$503,198))&amp;") – "&amp;IF(LEN(INDEX('Providers'!$A$4:$A$503,198))=0,"",INDEX('Providers'!$A$4:$A$503,198))</f>
        <v/>
      </c>
      <c r="E2701">
        <f>IF(ISNUMBER(INDEX('Providers'!$S$4:$S$503,198)),TEXT(INDEX('Providers'!$S$4:$S$503,198),"yyyy-mm-dd"),"")</f>
        <v/>
      </c>
      <c r="F2701">
        <f>"Certification"</f>
        <v/>
      </c>
      <c r="G2701">
        <f>""</f>
        <v/>
      </c>
      <c r="H2701">
        <f>"Medium"</f>
        <v/>
      </c>
      <c r="I2701">
        <f>TRIM(IF(LEN(IF(LEN(INDEX('Providers'!$R$4:$R$503,198))=0,"",INDEX('Providers'!$R$4:$R$503,198)))=0,"","Card: "&amp;IF(LEN(INDEX('Providers'!$R$4:$R$503,198))=0,"",INDEX('Providers'!$R$4:$R$503,198))&amp;". "))</f>
        <v/>
      </c>
      <c r="J2701">
        <f>IF(LEN(INDEX('Providers'!$AJ$4:$AJ$503,198))=0,"",INDEX('Providers'!$AJ$4:$AJ$503,198))</f>
        <v/>
      </c>
      <c r="K2701">
        <f>IF(LEN(INDEX('Providers'!$AI$4:$AI$503,198))=0,"",INDEX('Providers'!$AI$4:$AI$503,198))</f>
        <v/>
      </c>
    </row>
    <row r="2702">
      <c r="A2702">
        <f>IF(AND(LEN('Providers'!A202)&gt;0,ISNUMBER('Providers'!S202)),1,0)</f>
        <v/>
      </c>
      <c r="B2702">
        <f>B2701+A2702</f>
        <v/>
      </c>
      <c r="C2702">
        <f>IF(2699&gt;$B$4503,"",MATCH(2699-0.5,$B$3:$B$4503,1))</f>
        <v/>
      </c>
      <c r="D2702">
        <f>"Life support ("&amp;IF(LEN(INDEX('Providers'!$R$4:$R$503,199))=0,"",INDEX('Providers'!$R$4:$R$503,199))&amp;") – "&amp;IF(LEN(INDEX('Providers'!$A$4:$A$503,199))=0,"",INDEX('Providers'!$A$4:$A$503,199))</f>
        <v/>
      </c>
      <c r="E2702">
        <f>IF(ISNUMBER(INDEX('Providers'!$S$4:$S$503,199)),TEXT(INDEX('Providers'!$S$4:$S$503,199),"yyyy-mm-dd"),"")</f>
        <v/>
      </c>
      <c r="F2702">
        <f>"Certification"</f>
        <v/>
      </c>
      <c r="G2702">
        <f>""</f>
        <v/>
      </c>
      <c r="H2702">
        <f>"Medium"</f>
        <v/>
      </c>
      <c r="I2702">
        <f>TRIM(IF(LEN(IF(LEN(INDEX('Providers'!$R$4:$R$503,199))=0,"",INDEX('Providers'!$R$4:$R$503,199)))=0,"","Card: "&amp;IF(LEN(INDEX('Providers'!$R$4:$R$503,199))=0,"",INDEX('Providers'!$R$4:$R$503,199))&amp;". "))</f>
        <v/>
      </c>
      <c r="J2702">
        <f>IF(LEN(INDEX('Providers'!$AJ$4:$AJ$503,199))=0,"",INDEX('Providers'!$AJ$4:$AJ$503,199))</f>
        <v/>
      </c>
      <c r="K2702">
        <f>IF(LEN(INDEX('Providers'!$AI$4:$AI$503,199))=0,"",INDEX('Providers'!$AI$4:$AI$503,199))</f>
        <v/>
      </c>
    </row>
    <row r="2703">
      <c r="A2703">
        <f>IF(AND(LEN('Providers'!A203)&gt;0,ISNUMBER('Providers'!S203)),1,0)</f>
        <v/>
      </c>
      <c r="B2703">
        <f>B2702+A2703</f>
        <v/>
      </c>
      <c r="C2703">
        <f>IF(2700&gt;$B$4503,"",MATCH(2700-0.5,$B$3:$B$4503,1))</f>
        <v/>
      </c>
      <c r="D2703">
        <f>"Life support ("&amp;IF(LEN(INDEX('Providers'!$R$4:$R$503,200))=0,"",INDEX('Providers'!$R$4:$R$503,200))&amp;") – "&amp;IF(LEN(INDEX('Providers'!$A$4:$A$503,200))=0,"",INDEX('Providers'!$A$4:$A$503,200))</f>
        <v/>
      </c>
      <c r="E2703">
        <f>IF(ISNUMBER(INDEX('Providers'!$S$4:$S$503,200)),TEXT(INDEX('Providers'!$S$4:$S$503,200),"yyyy-mm-dd"),"")</f>
        <v/>
      </c>
      <c r="F2703">
        <f>"Certification"</f>
        <v/>
      </c>
      <c r="G2703">
        <f>""</f>
        <v/>
      </c>
      <c r="H2703">
        <f>"Medium"</f>
        <v/>
      </c>
      <c r="I2703">
        <f>TRIM(IF(LEN(IF(LEN(INDEX('Providers'!$R$4:$R$503,200))=0,"",INDEX('Providers'!$R$4:$R$503,200)))=0,"","Card: "&amp;IF(LEN(INDEX('Providers'!$R$4:$R$503,200))=0,"",INDEX('Providers'!$R$4:$R$503,200))&amp;". "))</f>
        <v/>
      </c>
      <c r="J2703">
        <f>IF(LEN(INDEX('Providers'!$AJ$4:$AJ$503,200))=0,"",INDEX('Providers'!$AJ$4:$AJ$503,200))</f>
        <v/>
      </c>
      <c r="K2703">
        <f>IF(LEN(INDEX('Providers'!$AI$4:$AI$503,200))=0,"",INDEX('Providers'!$AI$4:$AI$503,200))</f>
        <v/>
      </c>
    </row>
    <row r="2704">
      <c r="A2704">
        <f>IF(AND(LEN('Providers'!A204)&gt;0,ISNUMBER('Providers'!S204)),1,0)</f>
        <v/>
      </c>
      <c r="B2704">
        <f>B2703+A2704</f>
        <v/>
      </c>
      <c r="C2704">
        <f>IF(2701&gt;$B$4503,"",MATCH(2701-0.5,$B$3:$B$4503,1))</f>
        <v/>
      </c>
      <c r="D2704">
        <f>"Life support ("&amp;IF(LEN(INDEX('Providers'!$R$4:$R$503,201))=0,"",INDEX('Providers'!$R$4:$R$503,201))&amp;") – "&amp;IF(LEN(INDEX('Providers'!$A$4:$A$503,201))=0,"",INDEX('Providers'!$A$4:$A$503,201))</f>
        <v/>
      </c>
      <c r="E2704">
        <f>IF(ISNUMBER(INDEX('Providers'!$S$4:$S$503,201)),TEXT(INDEX('Providers'!$S$4:$S$503,201),"yyyy-mm-dd"),"")</f>
        <v/>
      </c>
      <c r="F2704">
        <f>"Certification"</f>
        <v/>
      </c>
      <c r="G2704">
        <f>""</f>
        <v/>
      </c>
      <c r="H2704">
        <f>"Medium"</f>
        <v/>
      </c>
      <c r="I2704">
        <f>TRIM(IF(LEN(IF(LEN(INDEX('Providers'!$R$4:$R$503,201))=0,"",INDEX('Providers'!$R$4:$R$503,201)))=0,"","Card: "&amp;IF(LEN(INDEX('Providers'!$R$4:$R$503,201))=0,"",INDEX('Providers'!$R$4:$R$503,201))&amp;". "))</f>
        <v/>
      </c>
      <c r="J2704">
        <f>IF(LEN(INDEX('Providers'!$AJ$4:$AJ$503,201))=0,"",INDEX('Providers'!$AJ$4:$AJ$503,201))</f>
        <v/>
      </c>
      <c r="K2704">
        <f>IF(LEN(INDEX('Providers'!$AI$4:$AI$503,201))=0,"",INDEX('Providers'!$AI$4:$AI$503,201))</f>
        <v/>
      </c>
    </row>
    <row r="2705">
      <c r="A2705">
        <f>IF(AND(LEN('Providers'!A205)&gt;0,ISNUMBER('Providers'!S205)),1,0)</f>
        <v/>
      </c>
      <c r="B2705">
        <f>B2704+A2705</f>
        <v/>
      </c>
      <c r="C2705">
        <f>IF(2702&gt;$B$4503,"",MATCH(2702-0.5,$B$3:$B$4503,1))</f>
        <v/>
      </c>
      <c r="D2705">
        <f>"Life support ("&amp;IF(LEN(INDEX('Providers'!$R$4:$R$503,202))=0,"",INDEX('Providers'!$R$4:$R$503,202))&amp;") – "&amp;IF(LEN(INDEX('Providers'!$A$4:$A$503,202))=0,"",INDEX('Providers'!$A$4:$A$503,202))</f>
        <v/>
      </c>
      <c r="E2705">
        <f>IF(ISNUMBER(INDEX('Providers'!$S$4:$S$503,202)),TEXT(INDEX('Providers'!$S$4:$S$503,202),"yyyy-mm-dd"),"")</f>
        <v/>
      </c>
      <c r="F2705">
        <f>"Certification"</f>
        <v/>
      </c>
      <c r="G2705">
        <f>""</f>
        <v/>
      </c>
      <c r="H2705">
        <f>"Medium"</f>
        <v/>
      </c>
      <c r="I2705">
        <f>TRIM(IF(LEN(IF(LEN(INDEX('Providers'!$R$4:$R$503,202))=0,"",INDEX('Providers'!$R$4:$R$503,202)))=0,"","Card: "&amp;IF(LEN(INDEX('Providers'!$R$4:$R$503,202))=0,"",INDEX('Providers'!$R$4:$R$503,202))&amp;". "))</f>
        <v/>
      </c>
      <c r="J2705">
        <f>IF(LEN(INDEX('Providers'!$AJ$4:$AJ$503,202))=0,"",INDEX('Providers'!$AJ$4:$AJ$503,202))</f>
        <v/>
      </c>
      <c r="K2705">
        <f>IF(LEN(INDEX('Providers'!$AI$4:$AI$503,202))=0,"",INDEX('Providers'!$AI$4:$AI$503,202))</f>
        <v/>
      </c>
    </row>
    <row r="2706">
      <c r="A2706">
        <f>IF(AND(LEN('Providers'!A206)&gt;0,ISNUMBER('Providers'!S206)),1,0)</f>
        <v/>
      </c>
      <c r="B2706">
        <f>B2705+A2706</f>
        <v/>
      </c>
      <c r="C2706">
        <f>IF(2703&gt;$B$4503,"",MATCH(2703-0.5,$B$3:$B$4503,1))</f>
        <v/>
      </c>
      <c r="D2706">
        <f>"Life support ("&amp;IF(LEN(INDEX('Providers'!$R$4:$R$503,203))=0,"",INDEX('Providers'!$R$4:$R$503,203))&amp;") – "&amp;IF(LEN(INDEX('Providers'!$A$4:$A$503,203))=0,"",INDEX('Providers'!$A$4:$A$503,203))</f>
        <v/>
      </c>
      <c r="E2706">
        <f>IF(ISNUMBER(INDEX('Providers'!$S$4:$S$503,203)),TEXT(INDEX('Providers'!$S$4:$S$503,203),"yyyy-mm-dd"),"")</f>
        <v/>
      </c>
      <c r="F2706">
        <f>"Certification"</f>
        <v/>
      </c>
      <c r="G2706">
        <f>""</f>
        <v/>
      </c>
      <c r="H2706">
        <f>"Medium"</f>
        <v/>
      </c>
      <c r="I2706">
        <f>TRIM(IF(LEN(IF(LEN(INDEX('Providers'!$R$4:$R$503,203))=0,"",INDEX('Providers'!$R$4:$R$503,203)))=0,"","Card: "&amp;IF(LEN(INDEX('Providers'!$R$4:$R$503,203))=0,"",INDEX('Providers'!$R$4:$R$503,203))&amp;". "))</f>
        <v/>
      </c>
      <c r="J2706">
        <f>IF(LEN(INDEX('Providers'!$AJ$4:$AJ$503,203))=0,"",INDEX('Providers'!$AJ$4:$AJ$503,203))</f>
        <v/>
      </c>
      <c r="K2706">
        <f>IF(LEN(INDEX('Providers'!$AI$4:$AI$503,203))=0,"",INDEX('Providers'!$AI$4:$AI$503,203))</f>
        <v/>
      </c>
    </row>
    <row r="2707">
      <c r="A2707">
        <f>IF(AND(LEN('Providers'!A207)&gt;0,ISNUMBER('Providers'!S207)),1,0)</f>
        <v/>
      </c>
      <c r="B2707">
        <f>B2706+A2707</f>
        <v/>
      </c>
      <c r="C2707">
        <f>IF(2704&gt;$B$4503,"",MATCH(2704-0.5,$B$3:$B$4503,1))</f>
        <v/>
      </c>
      <c r="D2707">
        <f>"Life support ("&amp;IF(LEN(INDEX('Providers'!$R$4:$R$503,204))=0,"",INDEX('Providers'!$R$4:$R$503,204))&amp;") – "&amp;IF(LEN(INDEX('Providers'!$A$4:$A$503,204))=0,"",INDEX('Providers'!$A$4:$A$503,204))</f>
        <v/>
      </c>
      <c r="E2707">
        <f>IF(ISNUMBER(INDEX('Providers'!$S$4:$S$503,204)),TEXT(INDEX('Providers'!$S$4:$S$503,204),"yyyy-mm-dd"),"")</f>
        <v/>
      </c>
      <c r="F2707">
        <f>"Certification"</f>
        <v/>
      </c>
      <c r="G2707">
        <f>""</f>
        <v/>
      </c>
      <c r="H2707">
        <f>"Medium"</f>
        <v/>
      </c>
      <c r="I2707">
        <f>TRIM(IF(LEN(IF(LEN(INDEX('Providers'!$R$4:$R$503,204))=0,"",INDEX('Providers'!$R$4:$R$503,204)))=0,"","Card: "&amp;IF(LEN(INDEX('Providers'!$R$4:$R$503,204))=0,"",INDEX('Providers'!$R$4:$R$503,204))&amp;". "))</f>
        <v/>
      </c>
      <c r="J2707">
        <f>IF(LEN(INDEX('Providers'!$AJ$4:$AJ$503,204))=0,"",INDEX('Providers'!$AJ$4:$AJ$503,204))</f>
        <v/>
      </c>
      <c r="K2707">
        <f>IF(LEN(INDEX('Providers'!$AI$4:$AI$503,204))=0,"",INDEX('Providers'!$AI$4:$AI$503,204))</f>
        <v/>
      </c>
    </row>
    <row r="2708">
      <c r="A2708">
        <f>IF(AND(LEN('Providers'!A208)&gt;0,ISNUMBER('Providers'!S208)),1,0)</f>
        <v/>
      </c>
      <c r="B2708">
        <f>B2707+A2708</f>
        <v/>
      </c>
      <c r="C2708">
        <f>IF(2705&gt;$B$4503,"",MATCH(2705-0.5,$B$3:$B$4503,1))</f>
        <v/>
      </c>
      <c r="D2708">
        <f>"Life support ("&amp;IF(LEN(INDEX('Providers'!$R$4:$R$503,205))=0,"",INDEX('Providers'!$R$4:$R$503,205))&amp;") – "&amp;IF(LEN(INDEX('Providers'!$A$4:$A$503,205))=0,"",INDEX('Providers'!$A$4:$A$503,205))</f>
        <v/>
      </c>
      <c r="E2708">
        <f>IF(ISNUMBER(INDEX('Providers'!$S$4:$S$503,205)),TEXT(INDEX('Providers'!$S$4:$S$503,205),"yyyy-mm-dd"),"")</f>
        <v/>
      </c>
      <c r="F2708">
        <f>"Certification"</f>
        <v/>
      </c>
      <c r="G2708">
        <f>""</f>
        <v/>
      </c>
      <c r="H2708">
        <f>"Medium"</f>
        <v/>
      </c>
      <c r="I2708">
        <f>TRIM(IF(LEN(IF(LEN(INDEX('Providers'!$R$4:$R$503,205))=0,"",INDEX('Providers'!$R$4:$R$503,205)))=0,"","Card: "&amp;IF(LEN(INDEX('Providers'!$R$4:$R$503,205))=0,"",INDEX('Providers'!$R$4:$R$503,205))&amp;". "))</f>
        <v/>
      </c>
      <c r="J2708">
        <f>IF(LEN(INDEX('Providers'!$AJ$4:$AJ$503,205))=0,"",INDEX('Providers'!$AJ$4:$AJ$503,205))</f>
        <v/>
      </c>
      <c r="K2708">
        <f>IF(LEN(INDEX('Providers'!$AI$4:$AI$503,205))=0,"",INDEX('Providers'!$AI$4:$AI$503,205))</f>
        <v/>
      </c>
    </row>
    <row r="2709">
      <c r="A2709">
        <f>IF(AND(LEN('Providers'!A209)&gt;0,ISNUMBER('Providers'!S209)),1,0)</f>
        <v/>
      </c>
      <c r="B2709">
        <f>B2708+A2709</f>
        <v/>
      </c>
      <c r="C2709">
        <f>IF(2706&gt;$B$4503,"",MATCH(2706-0.5,$B$3:$B$4503,1))</f>
        <v/>
      </c>
      <c r="D2709">
        <f>"Life support ("&amp;IF(LEN(INDEX('Providers'!$R$4:$R$503,206))=0,"",INDEX('Providers'!$R$4:$R$503,206))&amp;") – "&amp;IF(LEN(INDEX('Providers'!$A$4:$A$503,206))=0,"",INDEX('Providers'!$A$4:$A$503,206))</f>
        <v/>
      </c>
      <c r="E2709">
        <f>IF(ISNUMBER(INDEX('Providers'!$S$4:$S$503,206)),TEXT(INDEX('Providers'!$S$4:$S$503,206),"yyyy-mm-dd"),"")</f>
        <v/>
      </c>
      <c r="F2709">
        <f>"Certification"</f>
        <v/>
      </c>
      <c r="G2709">
        <f>""</f>
        <v/>
      </c>
      <c r="H2709">
        <f>"Medium"</f>
        <v/>
      </c>
      <c r="I2709">
        <f>TRIM(IF(LEN(IF(LEN(INDEX('Providers'!$R$4:$R$503,206))=0,"",INDEX('Providers'!$R$4:$R$503,206)))=0,"","Card: "&amp;IF(LEN(INDEX('Providers'!$R$4:$R$503,206))=0,"",INDEX('Providers'!$R$4:$R$503,206))&amp;". "))</f>
        <v/>
      </c>
      <c r="J2709">
        <f>IF(LEN(INDEX('Providers'!$AJ$4:$AJ$503,206))=0,"",INDEX('Providers'!$AJ$4:$AJ$503,206))</f>
        <v/>
      </c>
      <c r="K2709">
        <f>IF(LEN(INDEX('Providers'!$AI$4:$AI$503,206))=0,"",INDEX('Providers'!$AI$4:$AI$503,206))</f>
        <v/>
      </c>
    </row>
    <row r="2710">
      <c r="A2710">
        <f>IF(AND(LEN('Providers'!A210)&gt;0,ISNUMBER('Providers'!S210)),1,0)</f>
        <v/>
      </c>
      <c r="B2710">
        <f>B2709+A2710</f>
        <v/>
      </c>
      <c r="C2710">
        <f>IF(2707&gt;$B$4503,"",MATCH(2707-0.5,$B$3:$B$4503,1))</f>
        <v/>
      </c>
      <c r="D2710">
        <f>"Life support ("&amp;IF(LEN(INDEX('Providers'!$R$4:$R$503,207))=0,"",INDEX('Providers'!$R$4:$R$503,207))&amp;") – "&amp;IF(LEN(INDEX('Providers'!$A$4:$A$503,207))=0,"",INDEX('Providers'!$A$4:$A$503,207))</f>
        <v/>
      </c>
      <c r="E2710">
        <f>IF(ISNUMBER(INDEX('Providers'!$S$4:$S$503,207)),TEXT(INDEX('Providers'!$S$4:$S$503,207),"yyyy-mm-dd"),"")</f>
        <v/>
      </c>
      <c r="F2710">
        <f>"Certification"</f>
        <v/>
      </c>
      <c r="G2710">
        <f>""</f>
        <v/>
      </c>
      <c r="H2710">
        <f>"Medium"</f>
        <v/>
      </c>
      <c r="I2710">
        <f>TRIM(IF(LEN(IF(LEN(INDEX('Providers'!$R$4:$R$503,207))=0,"",INDEX('Providers'!$R$4:$R$503,207)))=0,"","Card: "&amp;IF(LEN(INDEX('Providers'!$R$4:$R$503,207))=0,"",INDEX('Providers'!$R$4:$R$503,207))&amp;". "))</f>
        <v/>
      </c>
      <c r="J2710">
        <f>IF(LEN(INDEX('Providers'!$AJ$4:$AJ$503,207))=0,"",INDEX('Providers'!$AJ$4:$AJ$503,207))</f>
        <v/>
      </c>
      <c r="K2710">
        <f>IF(LEN(INDEX('Providers'!$AI$4:$AI$503,207))=0,"",INDEX('Providers'!$AI$4:$AI$503,207))</f>
        <v/>
      </c>
    </row>
    <row r="2711">
      <c r="A2711">
        <f>IF(AND(LEN('Providers'!A211)&gt;0,ISNUMBER('Providers'!S211)),1,0)</f>
        <v/>
      </c>
      <c r="B2711">
        <f>B2710+A2711</f>
        <v/>
      </c>
      <c r="C2711">
        <f>IF(2708&gt;$B$4503,"",MATCH(2708-0.5,$B$3:$B$4503,1))</f>
        <v/>
      </c>
      <c r="D2711">
        <f>"Life support ("&amp;IF(LEN(INDEX('Providers'!$R$4:$R$503,208))=0,"",INDEX('Providers'!$R$4:$R$503,208))&amp;") – "&amp;IF(LEN(INDEX('Providers'!$A$4:$A$503,208))=0,"",INDEX('Providers'!$A$4:$A$503,208))</f>
        <v/>
      </c>
      <c r="E2711">
        <f>IF(ISNUMBER(INDEX('Providers'!$S$4:$S$503,208)),TEXT(INDEX('Providers'!$S$4:$S$503,208),"yyyy-mm-dd"),"")</f>
        <v/>
      </c>
      <c r="F2711">
        <f>"Certification"</f>
        <v/>
      </c>
      <c r="G2711">
        <f>""</f>
        <v/>
      </c>
      <c r="H2711">
        <f>"Medium"</f>
        <v/>
      </c>
      <c r="I2711">
        <f>TRIM(IF(LEN(IF(LEN(INDEX('Providers'!$R$4:$R$503,208))=0,"",INDEX('Providers'!$R$4:$R$503,208)))=0,"","Card: "&amp;IF(LEN(INDEX('Providers'!$R$4:$R$503,208))=0,"",INDEX('Providers'!$R$4:$R$503,208))&amp;". "))</f>
        <v/>
      </c>
      <c r="J2711">
        <f>IF(LEN(INDEX('Providers'!$AJ$4:$AJ$503,208))=0,"",INDEX('Providers'!$AJ$4:$AJ$503,208))</f>
        <v/>
      </c>
      <c r="K2711">
        <f>IF(LEN(INDEX('Providers'!$AI$4:$AI$503,208))=0,"",INDEX('Providers'!$AI$4:$AI$503,208))</f>
        <v/>
      </c>
    </row>
    <row r="2712">
      <c r="A2712">
        <f>IF(AND(LEN('Providers'!A212)&gt;0,ISNUMBER('Providers'!S212)),1,0)</f>
        <v/>
      </c>
      <c r="B2712">
        <f>B2711+A2712</f>
        <v/>
      </c>
      <c r="C2712">
        <f>IF(2709&gt;$B$4503,"",MATCH(2709-0.5,$B$3:$B$4503,1))</f>
        <v/>
      </c>
      <c r="D2712">
        <f>"Life support ("&amp;IF(LEN(INDEX('Providers'!$R$4:$R$503,209))=0,"",INDEX('Providers'!$R$4:$R$503,209))&amp;") – "&amp;IF(LEN(INDEX('Providers'!$A$4:$A$503,209))=0,"",INDEX('Providers'!$A$4:$A$503,209))</f>
        <v/>
      </c>
      <c r="E2712">
        <f>IF(ISNUMBER(INDEX('Providers'!$S$4:$S$503,209)),TEXT(INDEX('Providers'!$S$4:$S$503,209),"yyyy-mm-dd"),"")</f>
        <v/>
      </c>
      <c r="F2712">
        <f>"Certification"</f>
        <v/>
      </c>
      <c r="G2712">
        <f>""</f>
        <v/>
      </c>
      <c r="H2712">
        <f>"Medium"</f>
        <v/>
      </c>
      <c r="I2712">
        <f>TRIM(IF(LEN(IF(LEN(INDEX('Providers'!$R$4:$R$503,209))=0,"",INDEX('Providers'!$R$4:$R$503,209)))=0,"","Card: "&amp;IF(LEN(INDEX('Providers'!$R$4:$R$503,209))=0,"",INDEX('Providers'!$R$4:$R$503,209))&amp;". "))</f>
        <v/>
      </c>
      <c r="J2712">
        <f>IF(LEN(INDEX('Providers'!$AJ$4:$AJ$503,209))=0,"",INDEX('Providers'!$AJ$4:$AJ$503,209))</f>
        <v/>
      </c>
      <c r="K2712">
        <f>IF(LEN(INDEX('Providers'!$AI$4:$AI$503,209))=0,"",INDEX('Providers'!$AI$4:$AI$503,209))</f>
        <v/>
      </c>
    </row>
    <row r="2713">
      <c r="A2713">
        <f>IF(AND(LEN('Providers'!A213)&gt;0,ISNUMBER('Providers'!S213)),1,0)</f>
        <v/>
      </c>
      <c r="B2713">
        <f>B2712+A2713</f>
        <v/>
      </c>
      <c r="C2713">
        <f>IF(2710&gt;$B$4503,"",MATCH(2710-0.5,$B$3:$B$4503,1))</f>
        <v/>
      </c>
      <c r="D2713">
        <f>"Life support ("&amp;IF(LEN(INDEX('Providers'!$R$4:$R$503,210))=0,"",INDEX('Providers'!$R$4:$R$503,210))&amp;") – "&amp;IF(LEN(INDEX('Providers'!$A$4:$A$503,210))=0,"",INDEX('Providers'!$A$4:$A$503,210))</f>
        <v/>
      </c>
      <c r="E2713">
        <f>IF(ISNUMBER(INDEX('Providers'!$S$4:$S$503,210)),TEXT(INDEX('Providers'!$S$4:$S$503,210),"yyyy-mm-dd"),"")</f>
        <v/>
      </c>
      <c r="F2713">
        <f>"Certification"</f>
        <v/>
      </c>
      <c r="G2713">
        <f>""</f>
        <v/>
      </c>
      <c r="H2713">
        <f>"Medium"</f>
        <v/>
      </c>
      <c r="I2713">
        <f>TRIM(IF(LEN(IF(LEN(INDEX('Providers'!$R$4:$R$503,210))=0,"",INDEX('Providers'!$R$4:$R$503,210)))=0,"","Card: "&amp;IF(LEN(INDEX('Providers'!$R$4:$R$503,210))=0,"",INDEX('Providers'!$R$4:$R$503,210))&amp;". "))</f>
        <v/>
      </c>
      <c r="J2713">
        <f>IF(LEN(INDEX('Providers'!$AJ$4:$AJ$503,210))=0,"",INDEX('Providers'!$AJ$4:$AJ$503,210))</f>
        <v/>
      </c>
      <c r="K2713">
        <f>IF(LEN(INDEX('Providers'!$AI$4:$AI$503,210))=0,"",INDEX('Providers'!$AI$4:$AI$503,210))</f>
        <v/>
      </c>
    </row>
    <row r="2714">
      <c r="A2714">
        <f>IF(AND(LEN('Providers'!A214)&gt;0,ISNUMBER('Providers'!S214)),1,0)</f>
        <v/>
      </c>
      <c r="B2714">
        <f>B2713+A2714</f>
        <v/>
      </c>
      <c r="C2714">
        <f>IF(2711&gt;$B$4503,"",MATCH(2711-0.5,$B$3:$B$4503,1))</f>
        <v/>
      </c>
      <c r="D2714">
        <f>"Life support ("&amp;IF(LEN(INDEX('Providers'!$R$4:$R$503,211))=0,"",INDEX('Providers'!$R$4:$R$503,211))&amp;") – "&amp;IF(LEN(INDEX('Providers'!$A$4:$A$503,211))=0,"",INDEX('Providers'!$A$4:$A$503,211))</f>
        <v/>
      </c>
      <c r="E2714">
        <f>IF(ISNUMBER(INDEX('Providers'!$S$4:$S$503,211)),TEXT(INDEX('Providers'!$S$4:$S$503,211),"yyyy-mm-dd"),"")</f>
        <v/>
      </c>
      <c r="F2714">
        <f>"Certification"</f>
        <v/>
      </c>
      <c r="G2714">
        <f>""</f>
        <v/>
      </c>
      <c r="H2714">
        <f>"Medium"</f>
        <v/>
      </c>
      <c r="I2714">
        <f>TRIM(IF(LEN(IF(LEN(INDEX('Providers'!$R$4:$R$503,211))=0,"",INDEX('Providers'!$R$4:$R$503,211)))=0,"","Card: "&amp;IF(LEN(INDEX('Providers'!$R$4:$R$503,211))=0,"",INDEX('Providers'!$R$4:$R$503,211))&amp;". "))</f>
        <v/>
      </c>
      <c r="J2714">
        <f>IF(LEN(INDEX('Providers'!$AJ$4:$AJ$503,211))=0,"",INDEX('Providers'!$AJ$4:$AJ$503,211))</f>
        <v/>
      </c>
      <c r="K2714">
        <f>IF(LEN(INDEX('Providers'!$AI$4:$AI$503,211))=0,"",INDEX('Providers'!$AI$4:$AI$503,211))</f>
        <v/>
      </c>
    </row>
    <row r="2715">
      <c r="A2715">
        <f>IF(AND(LEN('Providers'!A215)&gt;0,ISNUMBER('Providers'!S215)),1,0)</f>
        <v/>
      </c>
      <c r="B2715">
        <f>B2714+A2715</f>
        <v/>
      </c>
      <c r="C2715">
        <f>IF(2712&gt;$B$4503,"",MATCH(2712-0.5,$B$3:$B$4503,1))</f>
        <v/>
      </c>
      <c r="D2715">
        <f>"Life support ("&amp;IF(LEN(INDEX('Providers'!$R$4:$R$503,212))=0,"",INDEX('Providers'!$R$4:$R$503,212))&amp;") – "&amp;IF(LEN(INDEX('Providers'!$A$4:$A$503,212))=0,"",INDEX('Providers'!$A$4:$A$503,212))</f>
        <v/>
      </c>
      <c r="E2715">
        <f>IF(ISNUMBER(INDEX('Providers'!$S$4:$S$503,212)),TEXT(INDEX('Providers'!$S$4:$S$503,212),"yyyy-mm-dd"),"")</f>
        <v/>
      </c>
      <c r="F2715">
        <f>"Certification"</f>
        <v/>
      </c>
      <c r="G2715">
        <f>""</f>
        <v/>
      </c>
      <c r="H2715">
        <f>"Medium"</f>
        <v/>
      </c>
      <c r="I2715">
        <f>TRIM(IF(LEN(IF(LEN(INDEX('Providers'!$R$4:$R$503,212))=0,"",INDEX('Providers'!$R$4:$R$503,212)))=0,"","Card: "&amp;IF(LEN(INDEX('Providers'!$R$4:$R$503,212))=0,"",INDEX('Providers'!$R$4:$R$503,212))&amp;". "))</f>
        <v/>
      </c>
      <c r="J2715">
        <f>IF(LEN(INDEX('Providers'!$AJ$4:$AJ$503,212))=0,"",INDEX('Providers'!$AJ$4:$AJ$503,212))</f>
        <v/>
      </c>
      <c r="K2715">
        <f>IF(LEN(INDEX('Providers'!$AI$4:$AI$503,212))=0,"",INDEX('Providers'!$AI$4:$AI$503,212))</f>
        <v/>
      </c>
    </row>
    <row r="2716">
      <c r="A2716">
        <f>IF(AND(LEN('Providers'!A216)&gt;0,ISNUMBER('Providers'!S216)),1,0)</f>
        <v/>
      </c>
      <c r="B2716">
        <f>B2715+A2716</f>
        <v/>
      </c>
      <c r="C2716">
        <f>IF(2713&gt;$B$4503,"",MATCH(2713-0.5,$B$3:$B$4503,1))</f>
        <v/>
      </c>
      <c r="D2716">
        <f>"Life support ("&amp;IF(LEN(INDEX('Providers'!$R$4:$R$503,213))=0,"",INDEX('Providers'!$R$4:$R$503,213))&amp;") – "&amp;IF(LEN(INDEX('Providers'!$A$4:$A$503,213))=0,"",INDEX('Providers'!$A$4:$A$503,213))</f>
        <v/>
      </c>
      <c r="E2716">
        <f>IF(ISNUMBER(INDEX('Providers'!$S$4:$S$503,213)),TEXT(INDEX('Providers'!$S$4:$S$503,213),"yyyy-mm-dd"),"")</f>
        <v/>
      </c>
      <c r="F2716">
        <f>"Certification"</f>
        <v/>
      </c>
      <c r="G2716">
        <f>""</f>
        <v/>
      </c>
      <c r="H2716">
        <f>"Medium"</f>
        <v/>
      </c>
      <c r="I2716">
        <f>TRIM(IF(LEN(IF(LEN(INDEX('Providers'!$R$4:$R$503,213))=0,"",INDEX('Providers'!$R$4:$R$503,213)))=0,"","Card: "&amp;IF(LEN(INDEX('Providers'!$R$4:$R$503,213))=0,"",INDEX('Providers'!$R$4:$R$503,213))&amp;". "))</f>
        <v/>
      </c>
      <c r="J2716">
        <f>IF(LEN(INDEX('Providers'!$AJ$4:$AJ$503,213))=0,"",INDEX('Providers'!$AJ$4:$AJ$503,213))</f>
        <v/>
      </c>
      <c r="K2716">
        <f>IF(LEN(INDEX('Providers'!$AI$4:$AI$503,213))=0,"",INDEX('Providers'!$AI$4:$AI$503,213))</f>
        <v/>
      </c>
    </row>
    <row r="2717">
      <c r="A2717">
        <f>IF(AND(LEN('Providers'!A217)&gt;0,ISNUMBER('Providers'!S217)),1,0)</f>
        <v/>
      </c>
      <c r="B2717">
        <f>B2716+A2717</f>
        <v/>
      </c>
      <c r="C2717">
        <f>IF(2714&gt;$B$4503,"",MATCH(2714-0.5,$B$3:$B$4503,1))</f>
        <v/>
      </c>
      <c r="D2717">
        <f>"Life support ("&amp;IF(LEN(INDEX('Providers'!$R$4:$R$503,214))=0,"",INDEX('Providers'!$R$4:$R$503,214))&amp;") – "&amp;IF(LEN(INDEX('Providers'!$A$4:$A$503,214))=0,"",INDEX('Providers'!$A$4:$A$503,214))</f>
        <v/>
      </c>
      <c r="E2717">
        <f>IF(ISNUMBER(INDEX('Providers'!$S$4:$S$503,214)),TEXT(INDEX('Providers'!$S$4:$S$503,214),"yyyy-mm-dd"),"")</f>
        <v/>
      </c>
      <c r="F2717">
        <f>"Certification"</f>
        <v/>
      </c>
      <c r="G2717">
        <f>""</f>
        <v/>
      </c>
      <c r="H2717">
        <f>"Medium"</f>
        <v/>
      </c>
      <c r="I2717">
        <f>TRIM(IF(LEN(IF(LEN(INDEX('Providers'!$R$4:$R$503,214))=0,"",INDEX('Providers'!$R$4:$R$503,214)))=0,"","Card: "&amp;IF(LEN(INDEX('Providers'!$R$4:$R$503,214))=0,"",INDEX('Providers'!$R$4:$R$503,214))&amp;". "))</f>
        <v/>
      </c>
      <c r="J2717">
        <f>IF(LEN(INDEX('Providers'!$AJ$4:$AJ$503,214))=0,"",INDEX('Providers'!$AJ$4:$AJ$503,214))</f>
        <v/>
      </c>
      <c r="K2717">
        <f>IF(LEN(INDEX('Providers'!$AI$4:$AI$503,214))=0,"",INDEX('Providers'!$AI$4:$AI$503,214))</f>
        <v/>
      </c>
    </row>
    <row r="2718">
      <c r="A2718">
        <f>IF(AND(LEN('Providers'!A218)&gt;0,ISNUMBER('Providers'!S218)),1,0)</f>
        <v/>
      </c>
      <c r="B2718">
        <f>B2717+A2718</f>
        <v/>
      </c>
      <c r="C2718">
        <f>IF(2715&gt;$B$4503,"",MATCH(2715-0.5,$B$3:$B$4503,1))</f>
        <v/>
      </c>
      <c r="D2718">
        <f>"Life support ("&amp;IF(LEN(INDEX('Providers'!$R$4:$R$503,215))=0,"",INDEX('Providers'!$R$4:$R$503,215))&amp;") – "&amp;IF(LEN(INDEX('Providers'!$A$4:$A$503,215))=0,"",INDEX('Providers'!$A$4:$A$503,215))</f>
        <v/>
      </c>
      <c r="E2718">
        <f>IF(ISNUMBER(INDEX('Providers'!$S$4:$S$503,215)),TEXT(INDEX('Providers'!$S$4:$S$503,215),"yyyy-mm-dd"),"")</f>
        <v/>
      </c>
      <c r="F2718">
        <f>"Certification"</f>
        <v/>
      </c>
      <c r="G2718">
        <f>""</f>
        <v/>
      </c>
      <c r="H2718">
        <f>"Medium"</f>
        <v/>
      </c>
      <c r="I2718">
        <f>TRIM(IF(LEN(IF(LEN(INDEX('Providers'!$R$4:$R$503,215))=0,"",INDEX('Providers'!$R$4:$R$503,215)))=0,"","Card: "&amp;IF(LEN(INDEX('Providers'!$R$4:$R$503,215))=0,"",INDEX('Providers'!$R$4:$R$503,215))&amp;". "))</f>
        <v/>
      </c>
      <c r="J2718">
        <f>IF(LEN(INDEX('Providers'!$AJ$4:$AJ$503,215))=0,"",INDEX('Providers'!$AJ$4:$AJ$503,215))</f>
        <v/>
      </c>
      <c r="K2718">
        <f>IF(LEN(INDEX('Providers'!$AI$4:$AI$503,215))=0,"",INDEX('Providers'!$AI$4:$AI$503,215))</f>
        <v/>
      </c>
    </row>
    <row r="2719">
      <c r="A2719">
        <f>IF(AND(LEN('Providers'!A219)&gt;0,ISNUMBER('Providers'!S219)),1,0)</f>
        <v/>
      </c>
      <c r="B2719">
        <f>B2718+A2719</f>
        <v/>
      </c>
      <c r="C2719">
        <f>IF(2716&gt;$B$4503,"",MATCH(2716-0.5,$B$3:$B$4503,1))</f>
        <v/>
      </c>
      <c r="D2719">
        <f>"Life support ("&amp;IF(LEN(INDEX('Providers'!$R$4:$R$503,216))=0,"",INDEX('Providers'!$R$4:$R$503,216))&amp;") – "&amp;IF(LEN(INDEX('Providers'!$A$4:$A$503,216))=0,"",INDEX('Providers'!$A$4:$A$503,216))</f>
        <v/>
      </c>
      <c r="E2719">
        <f>IF(ISNUMBER(INDEX('Providers'!$S$4:$S$503,216)),TEXT(INDEX('Providers'!$S$4:$S$503,216),"yyyy-mm-dd"),"")</f>
        <v/>
      </c>
      <c r="F2719">
        <f>"Certification"</f>
        <v/>
      </c>
      <c r="G2719">
        <f>""</f>
        <v/>
      </c>
      <c r="H2719">
        <f>"Medium"</f>
        <v/>
      </c>
      <c r="I2719">
        <f>TRIM(IF(LEN(IF(LEN(INDEX('Providers'!$R$4:$R$503,216))=0,"",INDEX('Providers'!$R$4:$R$503,216)))=0,"","Card: "&amp;IF(LEN(INDEX('Providers'!$R$4:$R$503,216))=0,"",INDEX('Providers'!$R$4:$R$503,216))&amp;". "))</f>
        <v/>
      </c>
      <c r="J2719">
        <f>IF(LEN(INDEX('Providers'!$AJ$4:$AJ$503,216))=0,"",INDEX('Providers'!$AJ$4:$AJ$503,216))</f>
        <v/>
      </c>
      <c r="K2719">
        <f>IF(LEN(INDEX('Providers'!$AI$4:$AI$503,216))=0,"",INDEX('Providers'!$AI$4:$AI$503,216))</f>
        <v/>
      </c>
    </row>
    <row r="2720">
      <c r="A2720">
        <f>IF(AND(LEN('Providers'!A220)&gt;0,ISNUMBER('Providers'!S220)),1,0)</f>
        <v/>
      </c>
      <c r="B2720">
        <f>B2719+A2720</f>
        <v/>
      </c>
      <c r="C2720">
        <f>IF(2717&gt;$B$4503,"",MATCH(2717-0.5,$B$3:$B$4503,1))</f>
        <v/>
      </c>
      <c r="D2720">
        <f>"Life support ("&amp;IF(LEN(INDEX('Providers'!$R$4:$R$503,217))=0,"",INDEX('Providers'!$R$4:$R$503,217))&amp;") – "&amp;IF(LEN(INDEX('Providers'!$A$4:$A$503,217))=0,"",INDEX('Providers'!$A$4:$A$503,217))</f>
        <v/>
      </c>
      <c r="E2720">
        <f>IF(ISNUMBER(INDEX('Providers'!$S$4:$S$503,217)),TEXT(INDEX('Providers'!$S$4:$S$503,217),"yyyy-mm-dd"),"")</f>
        <v/>
      </c>
      <c r="F2720">
        <f>"Certification"</f>
        <v/>
      </c>
      <c r="G2720">
        <f>""</f>
        <v/>
      </c>
      <c r="H2720">
        <f>"Medium"</f>
        <v/>
      </c>
      <c r="I2720">
        <f>TRIM(IF(LEN(IF(LEN(INDEX('Providers'!$R$4:$R$503,217))=0,"",INDEX('Providers'!$R$4:$R$503,217)))=0,"","Card: "&amp;IF(LEN(INDEX('Providers'!$R$4:$R$503,217))=0,"",INDEX('Providers'!$R$4:$R$503,217))&amp;". "))</f>
        <v/>
      </c>
      <c r="J2720">
        <f>IF(LEN(INDEX('Providers'!$AJ$4:$AJ$503,217))=0,"",INDEX('Providers'!$AJ$4:$AJ$503,217))</f>
        <v/>
      </c>
      <c r="K2720">
        <f>IF(LEN(INDEX('Providers'!$AI$4:$AI$503,217))=0,"",INDEX('Providers'!$AI$4:$AI$503,217))</f>
        <v/>
      </c>
    </row>
    <row r="2721">
      <c r="A2721">
        <f>IF(AND(LEN('Providers'!A221)&gt;0,ISNUMBER('Providers'!S221)),1,0)</f>
        <v/>
      </c>
      <c r="B2721">
        <f>B2720+A2721</f>
        <v/>
      </c>
      <c r="C2721">
        <f>IF(2718&gt;$B$4503,"",MATCH(2718-0.5,$B$3:$B$4503,1))</f>
        <v/>
      </c>
      <c r="D2721">
        <f>"Life support ("&amp;IF(LEN(INDEX('Providers'!$R$4:$R$503,218))=0,"",INDEX('Providers'!$R$4:$R$503,218))&amp;") – "&amp;IF(LEN(INDEX('Providers'!$A$4:$A$503,218))=0,"",INDEX('Providers'!$A$4:$A$503,218))</f>
        <v/>
      </c>
      <c r="E2721">
        <f>IF(ISNUMBER(INDEX('Providers'!$S$4:$S$503,218)),TEXT(INDEX('Providers'!$S$4:$S$503,218),"yyyy-mm-dd"),"")</f>
        <v/>
      </c>
      <c r="F2721">
        <f>"Certification"</f>
        <v/>
      </c>
      <c r="G2721">
        <f>""</f>
        <v/>
      </c>
      <c r="H2721">
        <f>"Medium"</f>
        <v/>
      </c>
      <c r="I2721">
        <f>TRIM(IF(LEN(IF(LEN(INDEX('Providers'!$R$4:$R$503,218))=0,"",INDEX('Providers'!$R$4:$R$503,218)))=0,"","Card: "&amp;IF(LEN(INDEX('Providers'!$R$4:$R$503,218))=0,"",INDEX('Providers'!$R$4:$R$503,218))&amp;". "))</f>
        <v/>
      </c>
      <c r="J2721">
        <f>IF(LEN(INDEX('Providers'!$AJ$4:$AJ$503,218))=0,"",INDEX('Providers'!$AJ$4:$AJ$503,218))</f>
        <v/>
      </c>
      <c r="K2721">
        <f>IF(LEN(INDEX('Providers'!$AI$4:$AI$503,218))=0,"",INDEX('Providers'!$AI$4:$AI$503,218))</f>
        <v/>
      </c>
    </row>
    <row r="2722">
      <c r="A2722">
        <f>IF(AND(LEN('Providers'!A222)&gt;0,ISNUMBER('Providers'!S222)),1,0)</f>
        <v/>
      </c>
      <c r="B2722">
        <f>B2721+A2722</f>
        <v/>
      </c>
      <c r="C2722">
        <f>IF(2719&gt;$B$4503,"",MATCH(2719-0.5,$B$3:$B$4503,1))</f>
        <v/>
      </c>
      <c r="D2722">
        <f>"Life support ("&amp;IF(LEN(INDEX('Providers'!$R$4:$R$503,219))=0,"",INDEX('Providers'!$R$4:$R$503,219))&amp;") – "&amp;IF(LEN(INDEX('Providers'!$A$4:$A$503,219))=0,"",INDEX('Providers'!$A$4:$A$503,219))</f>
        <v/>
      </c>
      <c r="E2722">
        <f>IF(ISNUMBER(INDEX('Providers'!$S$4:$S$503,219)),TEXT(INDEX('Providers'!$S$4:$S$503,219),"yyyy-mm-dd"),"")</f>
        <v/>
      </c>
      <c r="F2722">
        <f>"Certification"</f>
        <v/>
      </c>
      <c r="G2722">
        <f>""</f>
        <v/>
      </c>
      <c r="H2722">
        <f>"Medium"</f>
        <v/>
      </c>
      <c r="I2722">
        <f>TRIM(IF(LEN(IF(LEN(INDEX('Providers'!$R$4:$R$503,219))=0,"",INDEX('Providers'!$R$4:$R$503,219)))=0,"","Card: "&amp;IF(LEN(INDEX('Providers'!$R$4:$R$503,219))=0,"",INDEX('Providers'!$R$4:$R$503,219))&amp;". "))</f>
        <v/>
      </c>
      <c r="J2722">
        <f>IF(LEN(INDEX('Providers'!$AJ$4:$AJ$503,219))=0,"",INDEX('Providers'!$AJ$4:$AJ$503,219))</f>
        <v/>
      </c>
      <c r="K2722">
        <f>IF(LEN(INDEX('Providers'!$AI$4:$AI$503,219))=0,"",INDEX('Providers'!$AI$4:$AI$503,219))</f>
        <v/>
      </c>
    </row>
    <row r="2723">
      <c r="A2723">
        <f>IF(AND(LEN('Providers'!A223)&gt;0,ISNUMBER('Providers'!S223)),1,0)</f>
        <v/>
      </c>
      <c r="B2723">
        <f>B2722+A2723</f>
        <v/>
      </c>
      <c r="C2723">
        <f>IF(2720&gt;$B$4503,"",MATCH(2720-0.5,$B$3:$B$4503,1))</f>
        <v/>
      </c>
      <c r="D2723">
        <f>"Life support ("&amp;IF(LEN(INDEX('Providers'!$R$4:$R$503,220))=0,"",INDEX('Providers'!$R$4:$R$503,220))&amp;") – "&amp;IF(LEN(INDEX('Providers'!$A$4:$A$503,220))=0,"",INDEX('Providers'!$A$4:$A$503,220))</f>
        <v/>
      </c>
      <c r="E2723">
        <f>IF(ISNUMBER(INDEX('Providers'!$S$4:$S$503,220)),TEXT(INDEX('Providers'!$S$4:$S$503,220),"yyyy-mm-dd"),"")</f>
        <v/>
      </c>
      <c r="F2723">
        <f>"Certification"</f>
        <v/>
      </c>
      <c r="G2723">
        <f>""</f>
        <v/>
      </c>
      <c r="H2723">
        <f>"Medium"</f>
        <v/>
      </c>
      <c r="I2723">
        <f>TRIM(IF(LEN(IF(LEN(INDEX('Providers'!$R$4:$R$503,220))=0,"",INDEX('Providers'!$R$4:$R$503,220)))=0,"","Card: "&amp;IF(LEN(INDEX('Providers'!$R$4:$R$503,220))=0,"",INDEX('Providers'!$R$4:$R$503,220))&amp;". "))</f>
        <v/>
      </c>
      <c r="J2723">
        <f>IF(LEN(INDEX('Providers'!$AJ$4:$AJ$503,220))=0,"",INDEX('Providers'!$AJ$4:$AJ$503,220))</f>
        <v/>
      </c>
      <c r="K2723">
        <f>IF(LEN(INDEX('Providers'!$AI$4:$AI$503,220))=0,"",INDEX('Providers'!$AI$4:$AI$503,220))</f>
        <v/>
      </c>
    </row>
    <row r="2724">
      <c r="A2724">
        <f>IF(AND(LEN('Providers'!A224)&gt;0,ISNUMBER('Providers'!S224)),1,0)</f>
        <v/>
      </c>
      <c r="B2724">
        <f>B2723+A2724</f>
        <v/>
      </c>
      <c r="C2724">
        <f>IF(2721&gt;$B$4503,"",MATCH(2721-0.5,$B$3:$B$4503,1))</f>
        <v/>
      </c>
      <c r="D2724">
        <f>"Life support ("&amp;IF(LEN(INDEX('Providers'!$R$4:$R$503,221))=0,"",INDEX('Providers'!$R$4:$R$503,221))&amp;") – "&amp;IF(LEN(INDEX('Providers'!$A$4:$A$503,221))=0,"",INDEX('Providers'!$A$4:$A$503,221))</f>
        <v/>
      </c>
      <c r="E2724">
        <f>IF(ISNUMBER(INDEX('Providers'!$S$4:$S$503,221)),TEXT(INDEX('Providers'!$S$4:$S$503,221),"yyyy-mm-dd"),"")</f>
        <v/>
      </c>
      <c r="F2724">
        <f>"Certification"</f>
        <v/>
      </c>
      <c r="G2724">
        <f>""</f>
        <v/>
      </c>
      <c r="H2724">
        <f>"Medium"</f>
        <v/>
      </c>
      <c r="I2724">
        <f>TRIM(IF(LEN(IF(LEN(INDEX('Providers'!$R$4:$R$503,221))=0,"",INDEX('Providers'!$R$4:$R$503,221)))=0,"","Card: "&amp;IF(LEN(INDEX('Providers'!$R$4:$R$503,221))=0,"",INDEX('Providers'!$R$4:$R$503,221))&amp;". "))</f>
        <v/>
      </c>
      <c r="J2724">
        <f>IF(LEN(INDEX('Providers'!$AJ$4:$AJ$503,221))=0,"",INDEX('Providers'!$AJ$4:$AJ$503,221))</f>
        <v/>
      </c>
      <c r="K2724">
        <f>IF(LEN(INDEX('Providers'!$AI$4:$AI$503,221))=0,"",INDEX('Providers'!$AI$4:$AI$503,221))</f>
        <v/>
      </c>
    </row>
    <row r="2725">
      <c r="A2725">
        <f>IF(AND(LEN('Providers'!A225)&gt;0,ISNUMBER('Providers'!S225)),1,0)</f>
        <v/>
      </c>
      <c r="B2725">
        <f>B2724+A2725</f>
        <v/>
      </c>
      <c r="C2725">
        <f>IF(2722&gt;$B$4503,"",MATCH(2722-0.5,$B$3:$B$4503,1))</f>
        <v/>
      </c>
      <c r="D2725">
        <f>"Life support ("&amp;IF(LEN(INDEX('Providers'!$R$4:$R$503,222))=0,"",INDEX('Providers'!$R$4:$R$503,222))&amp;") – "&amp;IF(LEN(INDEX('Providers'!$A$4:$A$503,222))=0,"",INDEX('Providers'!$A$4:$A$503,222))</f>
        <v/>
      </c>
      <c r="E2725">
        <f>IF(ISNUMBER(INDEX('Providers'!$S$4:$S$503,222)),TEXT(INDEX('Providers'!$S$4:$S$503,222),"yyyy-mm-dd"),"")</f>
        <v/>
      </c>
      <c r="F2725">
        <f>"Certification"</f>
        <v/>
      </c>
      <c r="G2725">
        <f>""</f>
        <v/>
      </c>
      <c r="H2725">
        <f>"Medium"</f>
        <v/>
      </c>
      <c r="I2725">
        <f>TRIM(IF(LEN(IF(LEN(INDEX('Providers'!$R$4:$R$503,222))=0,"",INDEX('Providers'!$R$4:$R$503,222)))=0,"","Card: "&amp;IF(LEN(INDEX('Providers'!$R$4:$R$503,222))=0,"",INDEX('Providers'!$R$4:$R$503,222))&amp;". "))</f>
        <v/>
      </c>
      <c r="J2725">
        <f>IF(LEN(INDEX('Providers'!$AJ$4:$AJ$503,222))=0,"",INDEX('Providers'!$AJ$4:$AJ$503,222))</f>
        <v/>
      </c>
      <c r="K2725">
        <f>IF(LEN(INDEX('Providers'!$AI$4:$AI$503,222))=0,"",INDEX('Providers'!$AI$4:$AI$503,222))</f>
        <v/>
      </c>
    </row>
    <row r="2726">
      <c r="A2726">
        <f>IF(AND(LEN('Providers'!A226)&gt;0,ISNUMBER('Providers'!S226)),1,0)</f>
        <v/>
      </c>
      <c r="B2726">
        <f>B2725+A2726</f>
        <v/>
      </c>
      <c r="C2726">
        <f>IF(2723&gt;$B$4503,"",MATCH(2723-0.5,$B$3:$B$4503,1))</f>
        <v/>
      </c>
      <c r="D2726">
        <f>"Life support ("&amp;IF(LEN(INDEX('Providers'!$R$4:$R$503,223))=0,"",INDEX('Providers'!$R$4:$R$503,223))&amp;") – "&amp;IF(LEN(INDEX('Providers'!$A$4:$A$503,223))=0,"",INDEX('Providers'!$A$4:$A$503,223))</f>
        <v/>
      </c>
      <c r="E2726">
        <f>IF(ISNUMBER(INDEX('Providers'!$S$4:$S$503,223)),TEXT(INDEX('Providers'!$S$4:$S$503,223),"yyyy-mm-dd"),"")</f>
        <v/>
      </c>
      <c r="F2726">
        <f>"Certification"</f>
        <v/>
      </c>
      <c r="G2726">
        <f>""</f>
        <v/>
      </c>
      <c r="H2726">
        <f>"Medium"</f>
        <v/>
      </c>
      <c r="I2726">
        <f>TRIM(IF(LEN(IF(LEN(INDEX('Providers'!$R$4:$R$503,223))=0,"",INDEX('Providers'!$R$4:$R$503,223)))=0,"","Card: "&amp;IF(LEN(INDEX('Providers'!$R$4:$R$503,223))=0,"",INDEX('Providers'!$R$4:$R$503,223))&amp;". "))</f>
        <v/>
      </c>
      <c r="J2726">
        <f>IF(LEN(INDEX('Providers'!$AJ$4:$AJ$503,223))=0,"",INDEX('Providers'!$AJ$4:$AJ$503,223))</f>
        <v/>
      </c>
      <c r="K2726">
        <f>IF(LEN(INDEX('Providers'!$AI$4:$AI$503,223))=0,"",INDEX('Providers'!$AI$4:$AI$503,223))</f>
        <v/>
      </c>
    </row>
    <row r="2727">
      <c r="A2727">
        <f>IF(AND(LEN('Providers'!A227)&gt;0,ISNUMBER('Providers'!S227)),1,0)</f>
        <v/>
      </c>
      <c r="B2727">
        <f>B2726+A2727</f>
        <v/>
      </c>
      <c r="C2727">
        <f>IF(2724&gt;$B$4503,"",MATCH(2724-0.5,$B$3:$B$4503,1))</f>
        <v/>
      </c>
      <c r="D2727">
        <f>"Life support ("&amp;IF(LEN(INDEX('Providers'!$R$4:$R$503,224))=0,"",INDEX('Providers'!$R$4:$R$503,224))&amp;") – "&amp;IF(LEN(INDEX('Providers'!$A$4:$A$503,224))=0,"",INDEX('Providers'!$A$4:$A$503,224))</f>
        <v/>
      </c>
      <c r="E2727">
        <f>IF(ISNUMBER(INDEX('Providers'!$S$4:$S$503,224)),TEXT(INDEX('Providers'!$S$4:$S$503,224),"yyyy-mm-dd"),"")</f>
        <v/>
      </c>
      <c r="F2727">
        <f>"Certification"</f>
        <v/>
      </c>
      <c r="G2727">
        <f>""</f>
        <v/>
      </c>
      <c r="H2727">
        <f>"Medium"</f>
        <v/>
      </c>
      <c r="I2727">
        <f>TRIM(IF(LEN(IF(LEN(INDEX('Providers'!$R$4:$R$503,224))=0,"",INDEX('Providers'!$R$4:$R$503,224)))=0,"","Card: "&amp;IF(LEN(INDEX('Providers'!$R$4:$R$503,224))=0,"",INDEX('Providers'!$R$4:$R$503,224))&amp;". "))</f>
        <v/>
      </c>
      <c r="J2727">
        <f>IF(LEN(INDEX('Providers'!$AJ$4:$AJ$503,224))=0,"",INDEX('Providers'!$AJ$4:$AJ$503,224))</f>
        <v/>
      </c>
      <c r="K2727">
        <f>IF(LEN(INDEX('Providers'!$AI$4:$AI$503,224))=0,"",INDEX('Providers'!$AI$4:$AI$503,224))</f>
        <v/>
      </c>
    </row>
    <row r="2728">
      <c r="A2728">
        <f>IF(AND(LEN('Providers'!A228)&gt;0,ISNUMBER('Providers'!S228)),1,0)</f>
        <v/>
      </c>
      <c r="B2728">
        <f>B2727+A2728</f>
        <v/>
      </c>
      <c r="C2728">
        <f>IF(2725&gt;$B$4503,"",MATCH(2725-0.5,$B$3:$B$4503,1))</f>
        <v/>
      </c>
      <c r="D2728">
        <f>"Life support ("&amp;IF(LEN(INDEX('Providers'!$R$4:$R$503,225))=0,"",INDEX('Providers'!$R$4:$R$503,225))&amp;") – "&amp;IF(LEN(INDEX('Providers'!$A$4:$A$503,225))=0,"",INDEX('Providers'!$A$4:$A$503,225))</f>
        <v/>
      </c>
      <c r="E2728">
        <f>IF(ISNUMBER(INDEX('Providers'!$S$4:$S$503,225)),TEXT(INDEX('Providers'!$S$4:$S$503,225),"yyyy-mm-dd"),"")</f>
        <v/>
      </c>
      <c r="F2728">
        <f>"Certification"</f>
        <v/>
      </c>
      <c r="G2728">
        <f>""</f>
        <v/>
      </c>
      <c r="H2728">
        <f>"Medium"</f>
        <v/>
      </c>
      <c r="I2728">
        <f>TRIM(IF(LEN(IF(LEN(INDEX('Providers'!$R$4:$R$503,225))=0,"",INDEX('Providers'!$R$4:$R$503,225)))=0,"","Card: "&amp;IF(LEN(INDEX('Providers'!$R$4:$R$503,225))=0,"",INDEX('Providers'!$R$4:$R$503,225))&amp;". "))</f>
        <v/>
      </c>
      <c r="J2728">
        <f>IF(LEN(INDEX('Providers'!$AJ$4:$AJ$503,225))=0,"",INDEX('Providers'!$AJ$4:$AJ$503,225))</f>
        <v/>
      </c>
      <c r="K2728">
        <f>IF(LEN(INDEX('Providers'!$AI$4:$AI$503,225))=0,"",INDEX('Providers'!$AI$4:$AI$503,225))</f>
        <v/>
      </c>
    </row>
    <row r="2729">
      <c r="A2729">
        <f>IF(AND(LEN('Providers'!A229)&gt;0,ISNUMBER('Providers'!S229)),1,0)</f>
        <v/>
      </c>
      <c r="B2729">
        <f>B2728+A2729</f>
        <v/>
      </c>
      <c r="C2729">
        <f>IF(2726&gt;$B$4503,"",MATCH(2726-0.5,$B$3:$B$4503,1))</f>
        <v/>
      </c>
      <c r="D2729">
        <f>"Life support ("&amp;IF(LEN(INDEX('Providers'!$R$4:$R$503,226))=0,"",INDEX('Providers'!$R$4:$R$503,226))&amp;") – "&amp;IF(LEN(INDEX('Providers'!$A$4:$A$503,226))=0,"",INDEX('Providers'!$A$4:$A$503,226))</f>
        <v/>
      </c>
      <c r="E2729">
        <f>IF(ISNUMBER(INDEX('Providers'!$S$4:$S$503,226)),TEXT(INDEX('Providers'!$S$4:$S$503,226),"yyyy-mm-dd"),"")</f>
        <v/>
      </c>
      <c r="F2729">
        <f>"Certification"</f>
        <v/>
      </c>
      <c r="G2729">
        <f>""</f>
        <v/>
      </c>
      <c r="H2729">
        <f>"Medium"</f>
        <v/>
      </c>
      <c r="I2729">
        <f>TRIM(IF(LEN(IF(LEN(INDEX('Providers'!$R$4:$R$503,226))=0,"",INDEX('Providers'!$R$4:$R$503,226)))=0,"","Card: "&amp;IF(LEN(INDEX('Providers'!$R$4:$R$503,226))=0,"",INDEX('Providers'!$R$4:$R$503,226))&amp;". "))</f>
        <v/>
      </c>
      <c r="J2729">
        <f>IF(LEN(INDEX('Providers'!$AJ$4:$AJ$503,226))=0,"",INDEX('Providers'!$AJ$4:$AJ$503,226))</f>
        <v/>
      </c>
      <c r="K2729">
        <f>IF(LEN(INDEX('Providers'!$AI$4:$AI$503,226))=0,"",INDEX('Providers'!$AI$4:$AI$503,226))</f>
        <v/>
      </c>
    </row>
    <row r="2730">
      <c r="A2730">
        <f>IF(AND(LEN('Providers'!A230)&gt;0,ISNUMBER('Providers'!S230)),1,0)</f>
        <v/>
      </c>
      <c r="B2730">
        <f>B2729+A2730</f>
        <v/>
      </c>
      <c r="C2730">
        <f>IF(2727&gt;$B$4503,"",MATCH(2727-0.5,$B$3:$B$4503,1))</f>
        <v/>
      </c>
      <c r="D2730">
        <f>"Life support ("&amp;IF(LEN(INDEX('Providers'!$R$4:$R$503,227))=0,"",INDEX('Providers'!$R$4:$R$503,227))&amp;") – "&amp;IF(LEN(INDEX('Providers'!$A$4:$A$503,227))=0,"",INDEX('Providers'!$A$4:$A$503,227))</f>
        <v/>
      </c>
      <c r="E2730">
        <f>IF(ISNUMBER(INDEX('Providers'!$S$4:$S$503,227)),TEXT(INDEX('Providers'!$S$4:$S$503,227),"yyyy-mm-dd"),"")</f>
        <v/>
      </c>
      <c r="F2730">
        <f>"Certification"</f>
        <v/>
      </c>
      <c r="G2730">
        <f>""</f>
        <v/>
      </c>
      <c r="H2730">
        <f>"Medium"</f>
        <v/>
      </c>
      <c r="I2730">
        <f>TRIM(IF(LEN(IF(LEN(INDEX('Providers'!$R$4:$R$503,227))=0,"",INDEX('Providers'!$R$4:$R$503,227)))=0,"","Card: "&amp;IF(LEN(INDEX('Providers'!$R$4:$R$503,227))=0,"",INDEX('Providers'!$R$4:$R$503,227))&amp;". "))</f>
        <v/>
      </c>
      <c r="J2730">
        <f>IF(LEN(INDEX('Providers'!$AJ$4:$AJ$503,227))=0,"",INDEX('Providers'!$AJ$4:$AJ$503,227))</f>
        <v/>
      </c>
      <c r="K2730">
        <f>IF(LEN(INDEX('Providers'!$AI$4:$AI$503,227))=0,"",INDEX('Providers'!$AI$4:$AI$503,227))</f>
        <v/>
      </c>
    </row>
    <row r="2731">
      <c r="A2731">
        <f>IF(AND(LEN('Providers'!A231)&gt;0,ISNUMBER('Providers'!S231)),1,0)</f>
        <v/>
      </c>
      <c r="B2731">
        <f>B2730+A2731</f>
        <v/>
      </c>
      <c r="C2731">
        <f>IF(2728&gt;$B$4503,"",MATCH(2728-0.5,$B$3:$B$4503,1))</f>
        <v/>
      </c>
      <c r="D2731">
        <f>"Life support ("&amp;IF(LEN(INDEX('Providers'!$R$4:$R$503,228))=0,"",INDEX('Providers'!$R$4:$R$503,228))&amp;") – "&amp;IF(LEN(INDEX('Providers'!$A$4:$A$503,228))=0,"",INDEX('Providers'!$A$4:$A$503,228))</f>
        <v/>
      </c>
      <c r="E2731">
        <f>IF(ISNUMBER(INDEX('Providers'!$S$4:$S$503,228)),TEXT(INDEX('Providers'!$S$4:$S$503,228),"yyyy-mm-dd"),"")</f>
        <v/>
      </c>
      <c r="F2731">
        <f>"Certification"</f>
        <v/>
      </c>
      <c r="G2731">
        <f>""</f>
        <v/>
      </c>
      <c r="H2731">
        <f>"Medium"</f>
        <v/>
      </c>
      <c r="I2731">
        <f>TRIM(IF(LEN(IF(LEN(INDEX('Providers'!$R$4:$R$503,228))=0,"",INDEX('Providers'!$R$4:$R$503,228)))=0,"","Card: "&amp;IF(LEN(INDEX('Providers'!$R$4:$R$503,228))=0,"",INDEX('Providers'!$R$4:$R$503,228))&amp;". "))</f>
        <v/>
      </c>
      <c r="J2731">
        <f>IF(LEN(INDEX('Providers'!$AJ$4:$AJ$503,228))=0,"",INDEX('Providers'!$AJ$4:$AJ$503,228))</f>
        <v/>
      </c>
      <c r="K2731">
        <f>IF(LEN(INDEX('Providers'!$AI$4:$AI$503,228))=0,"",INDEX('Providers'!$AI$4:$AI$503,228))</f>
        <v/>
      </c>
    </row>
    <row r="2732">
      <c r="A2732">
        <f>IF(AND(LEN('Providers'!A232)&gt;0,ISNUMBER('Providers'!S232)),1,0)</f>
        <v/>
      </c>
      <c r="B2732">
        <f>B2731+A2732</f>
        <v/>
      </c>
      <c r="C2732">
        <f>IF(2729&gt;$B$4503,"",MATCH(2729-0.5,$B$3:$B$4503,1))</f>
        <v/>
      </c>
      <c r="D2732">
        <f>"Life support ("&amp;IF(LEN(INDEX('Providers'!$R$4:$R$503,229))=0,"",INDEX('Providers'!$R$4:$R$503,229))&amp;") – "&amp;IF(LEN(INDEX('Providers'!$A$4:$A$503,229))=0,"",INDEX('Providers'!$A$4:$A$503,229))</f>
        <v/>
      </c>
      <c r="E2732">
        <f>IF(ISNUMBER(INDEX('Providers'!$S$4:$S$503,229)),TEXT(INDEX('Providers'!$S$4:$S$503,229),"yyyy-mm-dd"),"")</f>
        <v/>
      </c>
      <c r="F2732">
        <f>"Certification"</f>
        <v/>
      </c>
      <c r="G2732">
        <f>""</f>
        <v/>
      </c>
      <c r="H2732">
        <f>"Medium"</f>
        <v/>
      </c>
      <c r="I2732">
        <f>TRIM(IF(LEN(IF(LEN(INDEX('Providers'!$R$4:$R$503,229))=0,"",INDEX('Providers'!$R$4:$R$503,229)))=0,"","Card: "&amp;IF(LEN(INDEX('Providers'!$R$4:$R$503,229))=0,"",INDEX('Providers'!$R$4:$R$503,229))&amp;". "))</f>
        <v/>
      </c>
      <c r="J2732">
        <f>IF(LEN(INDEX('Providers'!$AJ$4:$AJ$503,229))=0,"",INDEX('Providers'!$AJ$4:$AJ$503,229))</f>
        <v/>
      </c>
      <c r="K2732">
        <f>IF(LEN(INDEX('Providers'!$AI$4:$AI$503,229))=0,"",INDEX('Providers'!$AI$4:$AI$503,229))</f>
        <v/>
      </c>
    </row>
    <row r="2733">
      <c r="A2733">
        <f>IF(AND(LEN('Providers'!A233)&gt;0,ISNUMBER('Providers'!S233)),1,0)</f>
        <v/>
      </c>
      <c r="B2733">
        <f>B2732+A2733</f>
        <v/>
      </c>
      <c r="C2733">
        <f>IF(2730&gt;$B$4503,"",MATCH(2730-0.5,$B$3:$B$4503,1))</f>
        <v/>
      </c>
      <c r="D2733">
        <f>"Life support ("&amp;IF(LEN(INDEX('Providers'!$R$4:$R$503,230))=0,"",INDEX('Providers'!$R$4:$R$503,230))&amp;") – "&amp;IF(LEN(INDEX('Providers'!$A$4:$A$503,230))=0,"",INDEX('Providers'!$A$4:$A$503,230))</f>
        <v/>
      </c>
      <c r="E2733">
        <f>IF(ISNUMBER(INDEX('Providers'!$S$4:$S$503,230)),TEXT(INDEX('Providers'!$S$4:$S$503,230),"yyyy-mm-dd"),"")</f>
        <v/>
      </c>
      <c r="F2733">
        <f>"Certification"</f>
        <v/>
      </c>
      <c r="G2733">
        <f>""</f>
        <v/>
      </c>
      <c r="H2733">
        <f>"Medium"</f>
        <v/>
      </c>
      <c r="I2733">
        <f>TRIM(IF(LEN(IF(LEN(INDEX('Providers'!$R$4:$R$503,230))=0,"",INDEX('Providers'!$R$4:$R$503,230)))=0,"","Card: "&amp;IF(LEN(INDEX('Providers'!$R$4:$R$503,230))=0,"",INDEX('Providers'!$R$4:$R$503,230))&amp;". "))</f>
        <v/>
      </c>
      <c r="J2733">
        <f>IF(LEN(INDEX('Providers'!$AJ$4:$AJ$503,230))=0,"",INDEX('Providers'!$AJ$4:$AJ$503,230))</f>
        <v/>
      </c>
      <c r="K2733">
        <f>IF(LEN(INDEX('Providers'!$AI$4:$AI$503,230))=0,"",INDEX('Providers'!$AI$4:$AI$503,230))</f>
        <v/>
      </c>
    </row>
    <row r="2734">
      <c r="A2734">
        <f>IF(AND(LEN('Providers'!A234)&gt;0,ISNUMBER('Providers'!S234)),1,0)</f>
        <v/>
      </c>
      <c r="B2734">
        <f>B2733+A2734</f>
        <v/>
      </c>
      <c r="C2734">
        <f>IF(2731&gt;$B$4503,"",MATCH(2731-0.5,$B$3:$B$4503,1))</f>
        <v/>
      </c>
      <c r="D2734">
        <f>"Life support ("&amp;IF(LEN(INDEX('Providers'!$R$4:$R$503,231))=0,"",INDEX('Providers'!$R$4:$R$503,231))&amp;") – "&amp;IF(LEN(INDEX('Providers'!$A$4:$A$503,231))=0,"",INDEX('Providers'!$A$4:$A$503,231))</f>
        <v/>
      </c>
      <c r="E2734">
        <f>IF(ISNUMBER(INDEX('Providers'!$S$4:$S$503,231)),TEXT(INDEX('Providers'!$S$4:$S$503,231),"yyyy-mm-dd"),"")</f>
        <v/>
      </c>
      <c r="F2734">
        <f>"Certification"</f>
        <v/>
      </c>
      <c r="G2734">
        <f>""</f>
        <v/>
      </c>
      <c r="H2734">
        <f>"Medium"</f>
        <v/>
      </c>
      <c r="I2734">
        <f>TRIM(IF(LEN(IF(LEN(INDEX('Providers'!$R$4:$R$503,231))=0,"",INDEX('Providers'!$R$4:$R$503,231)))=0,"","Card: "&amp;IF(LEN(INDEX('Providers'!$R$4:$R$503,231))=0,"",INDEX('Providers'!$R$4:$R$503,231))&amp;". "))</f>
        <v/>
      </c>
      <c r="J2734">
        <f>IF(LEN(INDEX('Providers'!$AJ$4:$AJ$503,231))=0,"",INDEX('Providers'!$AJ$4:$AJ$503,231))</f>
        <v/>
      </c>
      <c r="K2734">
        <f>IF(LEN(INDEX('Providers'!$AI$4:$AI$503,231))=0,"",INDEX('Providers'!$AI$4:$AI$503,231))</f>
        <v/>
      </c>
    </row>
    <row r="2735">
      <c r="A2735">
        <f>IF(AND(LEN('Providers'!A235)&gt;0,ISNUMBER('Providers'!S235)),1,0)</f>
        <v/>
      </c>
      <c r="B2735">
        <f>B2734+A2735</f>
        <v/>
      </c>
      <c r="C2735">
        <f>IF(2732&gt;$B$4503,"",MATCH(2732-0.5,$B$3:$B$4503,1))</f>
        <v/>
      </c>
      <c r="D2735">
        <f>"Life support ("&amp;IF(LEN(INDEX('Providers'!$R$4:$R$503,232))=0,"",INDEX('Providers'!$R$4:$R$503,232))&amp;") – "&amp;IF(LEN(INDEX('Providers'!$A$4:$A$503,232))=0,"",INDEX('Providers'!$A$4:$A$503,232))</f>
        <v/>
      </c>
      <c r="E2735">
        <f>IF(ISNUMBER(INDEX('Providers'!$S$4:$S$503,232)),TEXT(INDEX('Providers'!$S$4:$S$503,232),"yyyy-mm-dd"),"")</f>
        <v/>
      </c>
      <c r="F2735">
        <f>"Certification"</f>
        <v/>
      </c>
      <c r="G2735">
        <f>""</f>
        <v/>
      </c>
      <c r="H2735">
        <f>"Medium"</f>
        <v/>
      </c>
      <c r="I2735">
        <f>TRIM(IF(LEN(IF(LEN(INDEX('Providers'!$R$4:$R$503,232))=0,"",INDEX('Providers'!$R$4:$R$503,232)))=0,"","Card: "&amp;IF(LEN(INDEX('Providers'!$R$4:$R$503,232))=0,"",INDEX('Providers'!$R$4:$R$503,232))&amp;". "))</f>
        <v/>
      </c>
      <c r="J2735">
        <f>IF(LEN(INDEX('Providers'!$AJ$4:$AJ$503,232))=0,"",INDEX('Providers'!$AJ$4:$AJ$503,232))</f>
        <v/>
      </c>
      <c r="K2735">
        <f>IF(LEN(INDEX('Providers'!$AI$4:$AI$503,232))=0,"",INDEX('Providers'!$AI$4:$AI$503,232))</f>
        <v/>
      </c>
    </row>
    <row r="2736">
      <c r="A2736">
        <f>IF(AND(LEN('Providers'!A236)&gt;0,ISNUMBER('Providers'!S236)),1,0)</f>
        <v/>
      </c>
      <c r="B2736">
        <f>B2735+A2736</f>
        <v/>
      </c>
      <c r="C2736">
        <f>IF(2733&gt;$B$4503,"",MATCH(2733-0.5,$B$3:$B$4503,1))</f>
        <v/>
      </c>
      <c r="D2736">
        <f>"Life support ("&amp;IF(LEN(INDEX('Providers'!$R$4:$R$503,233))=0,"",INDEX('Providers'!$R$4:$R$503,233))&amp;") – "&amp;IF(LEN(INDEX('Providers'!$A$4:$A$503,233))=0,"",INDEX('Providers'!$A$4:$A$503,233))</f>
        <v/>
      </c>
      <c r="E2736">
        <f>IF(ISNUMBER(INDEX('Providers'!$S$4:$S$503,233)),TEXT(INDEX('Providers'!$S$4:$S$503,233),"yyyy-mm-dd"),"")</f>
        <v/>
      </c>
      <c r="F2736">
        <f>"Certification"</f>
        <v/>
      </c>
      <c r="G2736">
        <f>""</f>
        <v/>
      </c>
      <c r="H2736">
        <f>"Medium"</f>
        <v/>
      </c>
      <c r="I2736">
        <f>TRIM(IF(LEN(IF(LEN(INDEX('Providers'!$R$4:$R$503,233))=0,"",INDEX('Providers'!$R$4:$R$503,233)))=0,"","Card: "&amp;IF(LEN(INDEX('Providers'!$R$4:$R$503,233))=0,"",INDEX('Providers'!$R$4:$R$503,233))&amp;". "))</f>
        <v/>
      </c>
      <c r="J2736">
        <f>IF(LEN(INDEX('Providers'!$AJ$4:$AJ$503,233))=0,"",INDEX('Providers'!$AJ$4:$AJ$503,233))</f>
        <v/>
      </c>
      <c r="K2736">
        <f>IF(LEN(INDEX('Providers'!$AI$4:$AI$503,233))=0,"",INDEX('Providers'!$AI$4:$AI$503,233))</f>
        <v/>
      </c>
    </row>
    <row r="2737">
      <c r="A2737">
        <f>IF(AND(LEN('Providers'!A237)&gt;0,ISNUMBER('Providers'!S237)),1,0)</f>
        <v/>
      </c>
      <c r="B2737">
        <f>B2736+A2737</f>
        <v/>
      </c>
      <c r="C2737">
        <f>IF(2734&gt;$B$4503,"",MATCH(2734-0.5,$B$3:$B$4503,1))</f>
        <v/>
      </c>
      <c r="D2737">
        <f>"Life support ("&amp;IF(LEN(INDEX('Providers'!$R$4:$R$503,234))=0,"",INDEX('Providers'!$R$4:$R$503,234))&amp;") – "&amp;IF(LEN(INDEX('Providers'!$A$4:$A$503,234))=0,"",INDEX('Providers'!$A$4:$A$503,234))</f>
        <v/>
      </c>
      <c r="E2737">
        <f>IF(ISNUMBER(INDEX('Providers'!$S$4:$S$503,234)),TEXT(INDEX('Providers'!$S$4:$S$503,234),"yyyy-mm-dd"),"")</f>
        <v/>
      </c>
      <c r="F2737">
        <f>"Certification"</f>
        <v/>
      </c>
      <c r="G2737">
        <f>""</f>
        <v/>
      </c>
      <c r="H2737">
        <f>"Medium"</f>
        <v/>
      </c>
      <c r="I2737">
        <f>TRIM(IF(LEN(IF(LEN(INDEX('Providers'!$R$4:$R$503,234))=0,"",INDEX('Providers'!$R$4:$R$503,234)))=0,"","Card: "&amp;IF(LEN(INDEX('Providers'!$R$4:$R$503,234))=0,"",INDEX('Providers'!$R$4:$R$503,234))&amp;". "))</f>
        <v/>
      </c>
      <c r="J2737">
        <f>IF(LEN(INDEX('Providers'!$AJ$4:$AJ$503,234))=0,"",INDEX('Providers'!$AJ$4:$AJ$503,234))</f>
        <v/>
      </c>
      <c r="K2737">
        <f>IF(LEN(INDEX('Providers'!$AI$4:$AI$503,234))=0,"",INDEX('Providers'!$AI$4:$AI$503,234))</f>
        <v/>
      </c>
    </row>
    <row r="2738">
      <c r="A2738">
        <f>IF(AND(LEN('Providers'!A238)&gt;0,ISNUMBER('Providers'!S238)),1,0)</f>
        <v/>
      </c>
      <c r="B2738">
        <f>B2737+A2738</f>
        <v/>
      </c>
      <c r="C2738">
        <f>IF(2735&gt;$B$4503,"",MATCH(2735-0.5,$B$3:$B$4503,1))</f>
        <v/>
      </c>
      <c r="D2738">
        <f>"Life support ("&amp;IF(LEN(INDEX('Providers'!$R$4:$R$503,235))=0,"",INDEX('Providers'!$R$4:$R$503,235))&amp;") – "&amp;IF(LEN(INDEX('Providers'!$A$4:$A$503,235))=0,"",INDEX('Providers'!$A$4:$A$503,235))</f>
        <v/>
      </c>
      <c r="E2738">
        <f>IF(ISNUMBER(INDEX('Providers'!$S$4:$S$503,235)),TEXT(INDEX('Providers'!$S$4:$S$503,235),"yyyy-mm-dd"),"")</f>
        <v/>
      </c>
      <c r="F2738">
        <f>"Certification"</f>
        <v/>
      </c>
      <c r="G2738">
        <f>""</f>
        <v/>
      </c>
      <c r="H2738">
        <f>"Medium"</f>
        <v/>
      </c>
      <c r="I2738">
        <f>TRIM(IF(LEN(IF(LEN(INDEX('Providers'!$R$4:$R$503,235))=0,"",INDEX('Providers'!$R$4:$R$503,235)))=0,"","Card: "&amp;IF(LEN(INDEX('Providers'!$R$4:$R$503,235))=0,"",INDEX('Providers'!$R$4:$R$503,235))&amp;". "))</f>
        <v/>
      </c>
      <c r="J2738">
        <f>IF(LEN(INDEX('Providers'!$AJ$4:$AJ$503,235))=0,"",INDEX('Providers'!$AJ$4:$AJ$503,235))</f>
        <v/>
      </c>
      <c r="K2738">
        <f>IF(LEN(INDEX('Providers'!$AI$4:$AI$503,235))=0,"",INDEX('Providers'!$AI$4:$AI$503,235))</f>
        <v/>
      </c>
    </row>
    <row r="2739">
      <c r="A2739">
        <f>IF(AND(LEN('Providers'!A239)&gt;0,ISNUMBER('Providers'!S239)),1,0)</f>
        <v/>
      </c>
      <c r="B2739">
        <f>B2738+A2739</f>
        <v/>
      </c>
      <c r="C2739">
        <f>IF(2736&gt;$B$4503,"",MATCH(2736-0.5,$B$3:$B$4503,1))</f>
        <v/>
      </c>
      <c r="D2739">
        <f>"Life support ("&amp;IF(LEN(INDEX('Providers'!$R$4:$R$503,236))=0,"",INDEX('Providers'!$R$4:$R$503,236))&amp;") – "&amp;IF(LEN(INDEX('Providers'!$A$4:$A$503,236))=0,"",INDEX('Providers'!$A$4:$A$503,236))</f>
        <v/>
      </c>
      <c r="E2739">
        <f>IF(ISNUMBER(INDEX('Providers'!$S$4:$S$503,236)),TEXT(INDEX('Providers'!$S$4:$S$503,236),"yyyy-mm-dd"),"")</f>
        <v/>
      </c>
      <c r="F2739">
        <f>"Certification"</f>
        <v/>
      </c>
      <c r="G2739">
        <f>""</f>
        <v/>
      </c>
      <c r="H2739">
        <f>"Medium"</f>
        <v/>
      </c>
      <c r="I2739">
        <f>TRIM(IF(LEN(IF(LEN(INDEX('Providers'!$R$4:$R$503,236))=0,"",INDEX('Providers'!$R$4:$R$503,236)))=0,"","Card: "&amp;IF(LEN(INDEX('Providers'!$R$4:$R$503,236))=0,"",INDEX('Providers'!$R$4:$R$503,236))&amp;". "))</f>
        <v/>
      </c>
      <c r="J2739">
        <f>IF(LEN(INDEX('Providers'!$AJ$4:$AJ$503,236))=0,"",INDEX('Providers'!$AJ$4:$AJ$503,236))</f>
        <v/>
      </c>
      <c r="K2739">
        <f>IF(LEN(INDEX('Providers'!$AI$4:$AI$503,236))=0,"",INDEX('Providers'!$AI$4:$AI$503,236))</f>
        <v/>
      </c>
    </row>
    <row r="2740">
      <c r="A2740">
        <f>IF(AND(LEN('Providers'!A240)&gt;0,ISNUMBER('Providers'!S240)),1,0)</f>
        <v/>
      </c>
      <c r="B2740">
        <f>B2739+A2740</f>
        <v/>
      </c>
      <c r="C2740">
        <f>IF(2737&gt;$B$4503,"",MATCH(2737-0.5,$B$3:$B$4503,1))</f>
        <v/>
      </c>
      <c r="D2740">
        <f>"Life support ("&amp;IF(LEN(INDEX('Providers'!$R$4:$R$503,237))=0,"",INDEX('Providers'!$R$4:$R$503,237))&amp;") – "&amp;IF(LEN(INDEX('Providers'!$A$4:$A$503,237))=0,"",INDEX('Providers'!$A$4:$A$503,237))</f>
        <v/>
      </c>
      <c r="E2740">
        <f>IF(ISNUMBER(INDEX('Providers'!$S$4:$S$503,237)),TEXT(INDEX('Providers'!$S$4:$S$503,237),"yyyy-mm-dd"),"")</f>
        <v/>
      </c>
      <c r="F2740">
        <f>"Certification"</f>
        <v/>
      </c>
      <c r="G2740">
        <f>""</f>
        <v/>
      </c>
      <c r="H2740">
        <f>"Medium"</f>
        <v/>
      </c>
      <c r="I2740">
        <f>TRIM(IF(LEN(IF(LEN(INDEX('Providers'!$R$4:$R$503,237))=0,"",INDEX('Providers'!$R$4:$R$503,237)))=0,"","Card: "&amp;IF(LEN(INDEX('Providers'!$R$4:$R$503,237))=0,"",INDEX('Providers'!$R$4:$R$503,237))&amp;". "))</f>
        <v/>
      </c>
      <c r="J2740">
        <f>IF(LEN(INDEX('Providers'!$AJ$4:$AJ$503,237))=0,"",INDEX('Providers'!$AJ$4:$AJ$503,237))</f>
        <v/>
      </c>
      <c r="K2740">
        <f>IF(LEN(INDEX('Providers'!$AI$4:$AI$503,237))=0,"",INDEX('Providers'!$AI$4:$AI$503,237))</f>
        <v/>
      </c>
    </row>
    <row r="2741">
      <c r="A2741">
        <f>IF(AND(LEN('Providers'!A241)&gt;0,ISNUMBER('Providers'!S241)),1,0)</f>
        <v/>
      </c>
      <c r="B2741">
        <f>B2740+A2741</f>
        <v/>
      </c>
      <c r="C2741">
        <f>IF(2738&gt;$B$4503,"",MATCH(2738-0.5,$B$3:$B$4503,1))</f>
        <v/>
      </c>
      <c r="D2741">
        <f>"Life support ("&amp;IF(LEN(INDEX('Providers'!$R$4:$R$503,238))=0,"",INDEX('Providers'!$R$4:$R$503,238))&amp;") – "&amp;IF(LEN(INDEX('Providers'!$A$4:$A$503,238))=0,"",INDEX('Providers'!$A$4:$A$503,238))</f>
        <v/>
      </c>
      <c r="E2741">
        <f>IF(ISNUMBER(INDEX('Providers'!$S$4:$S$503,238)),TEXT(INDEX('Providers'!$S$4:$S$503,238),"yyyy-mm-dd"),"")</f>
        <v/>
      </c>
      <c r="F2741">
        <f>"Certification"</f>
        <v/>
      </c>
      <c r="G2741">
        <f>""</f>
        <v/>
      </c>
      <c r="H2741">
        <f>"Medium"</f>
        <v/>
      </c>
      <c r="I2741">
        <f>TRIM(IF(LEN(IF(LEN(INDEX('Providers'!$R$4:$R$503,238))=0,"",INDEX('Providers'!$R$4:$R$503,238)))=0,"","Card: "&amp;IF(LEN(INDEX('Providers'!$R$4:$R$503,238))=0,"",INDEX('Providers'!$R$4:$R$503,238))&amp;". "))</f>
        <v/>
      </c>
      <c r="J2741">
        <f>IF(LEN(INDEX('Providers'!$AJ$4:$AJ$503,238))=0,"",INDEX('Providers'!$AJ$4:$AJ$503,238))</f>
        <v/>
      </c>
      <c r="K2741">
        <f>IF(LEN(INDEX('Providers'!$AI$4:$AI$503,238))=0,"",INDEX('Providers'!$AI$4:$AI$503,238))</f>
        <v/>
      </c>
    </row>
    <row r="2742">
      <c r="A2742">
        <f>IF(AND(LEN('Providers'!A242)&gt;0,ISNUMBER('Providers'!S242)),1,0)</f>
        <v/>
      </c>
      <c r="B2742">
        <f>B2741+A2742</f>
        <v/>
      </c>
      <c r="C2742">
        <f>IF(2739&gt;$B$4503,"",MATCH(2739-0.5,$B$3:$B$4503,1))</f>
        <v/>
      </c>
      <c r="D2742">
        <f>"Life support ("&amp;IF(LEN(INDEX('Providers'!$R$4:$R$503,239))=0,"",INDEX('Providers'!$R$4:$R$503,239))&amp;") – "&amp;IF(LEN(INDEX('Providers'!$A$4:$A$503,239))=0,"",INDEX('Providers'!$A$4:$A$503,239))</f>
        <v/>
      </c>
      <c r="E2742">
        <f>IF(ISNUMBER(INDEX('Providers'!$S$4:$S$503,239)),TEXT(INDEX('Providers'!$S$4:$S$503,239),"yyyy-mm-dd"),"")</f>
        <v/>
      </c>
      <c r="F2742">
        <f>"Certification"</f>
        <v/>
      </c>
      <c r="G2742">
        <f>""</f>
        <v/>
      </c>
      <c r="H2742">
        <f>"Medium"</f>
        <v/>
      </c>
      <c r="I2742">
        <f>TRIM(IF(LEN(IF(LEN(INDEX('Providers'!$R$4:$R$503,239))=0,"",INDEX('Providers'!$R$4:$R$503,239)))=0,"","Card: "&amp;IF(LEN(INDEX('Providers'!$R$4:$R$503,239))=0,"",INDEX('Providers'!$R$4:$R$503,239))&amp;". "))</f>
        <v/>
      </c>
      <c r="J2742">
        <f>IF(LEN(INDEX('Providers'!$AJ$4:$AJ$503,239))=0,"",INDEX('Providers'!$AJ$4:$AJ$503,239))</f>
        <v/>
      </c>
      <c r="K2742">
        <f>IF(LEN(INDEX('Providers'!$AI$4:$AI$503,239))=0,"",INDEX('Providers'!$AI$4:$AI$503,239))</f>
        <v/>
      </c>
    </row>
    <row r="2743">
      <c r="A2743">
        <f>IF(AND(LEN('Providers'!A243)&gt;0,ISNUMBER('Providers'!S243)),1,0)</f>
        <v/>
      </c>
      <c r="B2743">
        <f>B2742+A2743</f>
        <v/>
      </c>
      <c r="C2743">
        <f>IF(2740&gt;$B$4503,"",MATCH(2740-0.5,$B$3:$B$4503,1))</f>
        <v/>
      </c>
      <c r="D2743">
        <f>"Life support ("&amp;IF(LEN(INDEX('Providers'!$R$4:$R$503,240))=0,"",INDEX('Providers'!$R$4:$R$503,240))&amp;") – "&amp;IF(LEN(INDEX('Providers'!$A$4:$A$503,240))=0,"",INDEX('Providers'!$A$4:$A$503,240))</f>
        <v/>
      </c>
      <c r="E2743">
        <f>IF(ISNUMBER(INDEX('Providers'!$S$4:$S$503,240)),TEXT(INDEX('Providers'!$S$4:$S$503,240),"yyyy-mm-dd"),"")</f>
        <v/>
      </c>
      <c r="F2743">
        <f>"Certification"</f>
        <v/>
      </c>
      <c r="G2743">
        <f>""</f>
        <v/>
      </c>
      <c r="H2743">
        <f>"Medium"</f>
        <v/>
      </c>
      <c r="I2743">
        <f>TRIM(IF(LEN(IF(LEN(INDEX('Providers'!$R$4:$R$503,240))=0,"",INDEX('Providers'!$R$4:$R$503,240)))=0,"","Card: "&amp;IF(LEN(INDEX('Providers'!$R$4:$R$503,240))=0,"",INDEX('Providers'!$R$4:$R$503,240))&amp;". "))</f>
        <v/>
      </c>
      <c r="J2743">
        <f>IF(LEN(INDEX('Providers'!$AJ$4:$AJ$503,240))=0,"",INDEX('Providers'!$AJ$4:$AJ$503,240))</f>
        <v/>
      </c>
      <c r="K2743">
        <f>IF(LEN(INDEX('Providers'!$AI$4:$AI$503,240))=0,"",INDEX('Providers'!$AI$4:$AI$503,240))</f>
        <v/>
      </c>
    </row>
    <row r="2744">
      <c r="A2744">
        <f>IF(AND(LEN('Providers'!A244)&gt;0,ISNUMBER('Providers'!S244)),1,0)</f>
        <v/>
      </c>
      <c r="B2744">
        <f>B2743+A2744</f>
        <v/>
      </c>
      <c r="C2744">
        <f>IF(2741&gt;$B$4503,"",MATCH(2741-0.5,$B$3:$B$4503,1))</f>
        <v/>
      </c>
      <c r="D2744">
        <f>"Life support ("&amp;IF(LEN(INDEX('Providers'!$R$4:$R$503,241))=0,"",INDEX('Providers'!$R$4:$R$503,241))&amp;") – "&amp;IF(LEN(INDEX('Providers'!$A$4:$A$503,241))=0,"",INDEX('Providers'!$A$4:$A$503,241))</f>
        <v/>
      </c>
      <c r="E2744">
        <f>IF(ISNUMBER(INDEX('Providers'!$S$4:$S$503,241)),TEXT(INDEX('Providers'!$S$4:$S$503,241),"yyyy-mm-dd"),"")</f>
        <v/>
      </c>
      <c r="F2744">
        <f>"Certification"</f>
        <v/>
      </c>
      <c r="G2744">
        <f>""</f>
        <v/>
      </c>
      <c r="H2744">
        <f>"Medium"</f>
        <v/>
      </c>
      <c r="I2744">
        <f>TRIM(IF(LEN(IF(LEN(INDEX('Providers'!$R$4:$R$503,241))=0,"",INDEX('Providers'!$R$4:$R$503,241)))=0,"","Card: "&amp;IF(LEN(INDEX('Providers'!$R$4:$R$503,241))=0,"",INDEX('Providers'!$R$4:$R$503,241))&amp;". "))</f>
        <v/>
      </c>
      <c r="J2744">
        <f>IF(LEN(INDEX('Providers'!$AJ$4:$AJ$503,241))=0,"",INDEX('Providers'!$AJ$4:$AJ$503,241))</f>
        <v/>
      </c>
      <c r="K2744">
        <f>IF(LEN(INDEX('Providers'!$AI$4:$AI$503,241))=0,"",INDEX('Providers'!$AI$4:$AI$503,241))</f>
        <v/>
      </c>
    </row>
    <row r="2745">
      <c r="A2745">
        <f>IF(AND(LEN('Providers'!A245)&gt;0,ISNUMBER('Providers'!S245)),1,0)</f>
        <v/>
      </c>
      <c r="B2745">
        <f>B2744+A2745</f>
        <v/>
      </c>
      <c r="C2745">
        <f>IF(2742&gt;$B$4503,"",MATCH(2742-0.5,$B$3:$B$4503,1))</f>
        <v/>
      </c>
      <c r="D2745">
        <f>"Life support ("&amp;IF(LEN(INDEX('Providers'!$R$4:$R$503,242))=0,"",INDEX('Providers'!$R$4:$R$503,242))&amp;") – "&amp;IF(LEN(INDEX('Providers'!$A$4:$A$503,242))=0,"",INDEX('Providers'!$A$4:$A$503,242))</f>
        <v/>
      </c>
      <c r="E2745">
        <f>IF(ISNUMBER(INDEX('Providers'!$S$4:$S$503,242)),TEXT(INDEX('Providers'!$S$4:$S$503,242),"yyyy-mm-dd"),"")</f>
        <v/>
      </c>
      <c r="F2745">
        <f>"Certification"</f>
        <v/>
      </c>
      <c r="G2745">
        <f>""</f>
        <v/>
      </c>
      <c r="H2745">
        <f>"Medium"</f>
        <v/>
      </c>
      <c r="I2745">
        <f>TRIM(IF(LEN(IF(LEN(INDEX('Providers'!$R$4:$R$503,242))=0,"",INDEX('Providers'!$R$4:$R$503,242)))=0,"","Card: "&amp;IF(LEN(INDEX('Providers'!$R$4:$R$503,242))=0,"",INDEX('Providers'!$R$4:$R$503,242))&amp;". "))</f>
        <v/>
      </c>
      <c r="J2745">
        <f>IF(LEN(INDEX('Providers'!$AJ$4:$AJ$503,242))=0,"",INDEX('Providers'!$AJ$4:$AJ$503,242))</f>
        <v/>
      </c>
      <c r="K2745">
        <f>IF(LEN(INDEX('Providers'!$AI$4:$AI$503,242))=0,"",INDEX('Providers'!$AI$4:$AI$503,242))</f>
        <v/>
      </c>
    </row>
    <row r="2746">
      <c r="A2746">
        <f>IF(AND(LEN('Providers'!A246)&gt;0,ISNUMBER('Providers'!S246)),1,0)</f>
        <v/>
      </c>
      <c r="B2746">
        <f>B2745+A2746</f>
        <v/>
      </c>
      <c r="C2746">
        <f>IF(2743&gt;$B$4503,"",MATCH(2743-0.5,$B$3:$B$4503,1))</f>
        <v/>
      </c>
      <c r="D2746">
        <f>"Life support ("&amp;IF(LEN(INDEX('Providers'!$R$4:$R$503,243))=0,"",INDEX('Providers'!$R$4:$R$503,243))&amp;") – "&amp;IF(LEN(INDEX('Providers'!$A$4:$A$503,243))=0,"",INDEX('Providers'!$A$4:$A$503,243))</f>
        <v/>
      </c>
      <c r="E2746">
        <f>IF(ISNUMBER(INDEX('Providers'!$S$4:$S$503,243)),TEXT(INDEX('Providers'!$S$4:$S$503,243),"yyyy-mm-dd"),"")</f>
        <v/>
      </c>
      <c r="F2746">
        <f>"Certification"</f>
        <v/>
      </c>
      <c r="G2746">
        <f>""</f>
        <v/>
      </c>
      <c r="H2746">
        <f>"Medium"</f>
        <v/>
      </c>
      <c r="I2746">
        <f>TRIM(IF(LEN(IF(LEN(INDEX('Providers'!$R$4:$R$503,243))=0,"",INDEX('Providers'!$R$4:$R$503,243)))=0,"","Card: "&amp;IF(LEN(INDEX('Providers'!$R$4:$R$503,243))=0,"",INDEX('Providers'!$R$4:$R$503,243))&amp;". "))</f>
        <v/>
      </c>
      <c r="J2746">
        <f>IF(LEN(INDEX('Providers'!$AJ$4:$AJ$503,243))=0,"",INDEX('Providers'!$AJ$4:$AJ$503,243))</f>
        <v/>
      </c>
      <c r="K2746">
        <f>IF(LEN(INDEX('Providers'!$AI$4:$AI$503,243))=0,"",INDEX('Providers'!$AI$4:$AI$503,243))</f>
        <v/>
      </c>
    </row>
    <row r="2747">
      <c r="A2747">
        <f>IF(AND(LEN('Providers'!A247)&gt;0,ISNUMBER('Providers'!S247)),1,0)</f>
        <v/>
      </c>
      <c r="B2747">
        <f>B2746+A2747</f>
        <v/>
      </c>
      <c r="C2747">
        <f>IF(2744&gt;$B$4503,"",MATCH(2744-0.5,$B$3:$B$4503,1))</f>
        <v/>
      </c>
      <c r="D2747">
        <f>"Life support ("&amp;IF(LEN(INDEX('Providers'!$R$4:$R$503,244))=0,"",INDEX('Providers'!$R$4:$R$503,244))&amp;") – "&amp;IF(LEN(INDEX('Providers'!$A$4:$A$503,244))=0,"",INDEX('Providers'!$A$4:$A$503,244))</f>
        <v/>
      </c>
      <c r="E2747">
        <f>IF(ISNUMBER(INDEX('Providers'!$S$4:$S$503,244)),TEXT(INDEX('Providers'!$S$4:$S$503,244),"yyyy-mm-dd"),"")</f>
        <v/>
      </c>
      <c r="F2747">
        <f>"Certification"</f>
        <v/>
      </c>
      <c r="G2747">
        <f>""</f>
        <v/>
      </c>
      <c r="H2747">
        <f>"Medium"</f>
        <v/>
      </c>
      <c r="I2747">
        <f>TRIM(IF(LEN(IF(LEN(INDEX('Providers'!$R$4:$R$503,244))=0,"",INDEX('Providers'!$R$4:$R$503,244)))=0,"","Card: "&amp;IF(LEN(INDEX('Providers'!$R$4:$R$503,244))=0,"",INDEX('Providers'!$R$4:$R$503,244))&amp;". "))</f>
        <v/>
      </c>
      <c r="J2747">
        <f>IF(LEN(INDEX('Providers'!$AJ$4:$AJ$503,244))=0,"",INDEX('Providers'!$AJ$4:$AJ$503,244))</f>
        <v/>
      </c>
      <c r="K2747">
        <f>IF(LEN(INDEX('Providers'!$AI$4:$AI$503,244))=0,"",INDEX('Providers'!$AI$4:$AI$503,244))</f>
        <v/>
      </c>
    </row>
    <row r="2748">
      <c r="A2748">
        <f>IF(AND(LEN('Providers'!A248)&gt;0,ISNUMBER('Providers'!S248)),1,0)</f>
        <v/>
      </c>
      <c r="B2748">
        <f>B2747+A2748</f>
        <v/>
      </c>
      <c r="C2748">
        <f>IF(2745&gt;$B$4503,"",MATCH(2745-0.5,$B$3:$B$4503,1))</f>
        <v/>
      </c>
      <c r="D2748">
        <f>"Life support ("&amp;IF(LEN(INDEX('Providers'!$R$4:$R$503,245))=0,"",INDEX('Providers'!$R$4:$R$503,245))&amp;") – "&amp;IF(LEN(INDEX('Providers'!$A$4:$A$503,245))=0,"",INDEX('Providers'!$A$4:$A$503,245))</f>
        <v/>
      </c>
      <c r="E2748">
        <f>IF(ISNUMBER(INDEX('Providers'!$S$4:$S$503,245)),TEXT(INDEX('Providers'!$S$4:$S$503,245),"yyyy-mm-dd"),"")</f>
        <v/>
      </c>
      <c r="F2748">
        <f>"Certification"</f>
        <v/>
      </c>
      <c r="G2748">
        <f>""</f>
        <v/>
      </c>
      <c r="H2748">
        <f>"Medium"</f>
        <v/>
      </c>
      <c r="I2748">
        <f>TRIM(IF(LEN(IF(LEN(INDEX('Providers'!$R$4:$R$503,245))=0,"",INDEX('Providers'!$R$4:$R$503,245)))=0,"","Card: "&amp;IF(LEN(INDEX('Providers'!$R$4:$R$503,245))=0,"",INDEX('Providers'!$R$4:$R$503,245))&amp;". "))</f>
        <v/>
      </c>
      <c r="J2748">
        <f>IF(LEN(INDEX('Providers'!$AJ$4:$AJ$503,245))=0,"",INDEX('Providers'!$AJ$4:$AJ$503,245))</f>
        <v/>
      </c>
      <c r="K2748">
        <f>IF(LEN(INDEX('Providers'!$AI$4:$AI$503,245))=0,"",INDEX('Providers'!$AI$4:$AI$503,245))</f>
        <v/>
      </c>
    </row>
    <row r="2749">
      <c r="A2749">
        <f>IF(AND(LEN('Providers'!A249)&gt;0,ISNUMBER('Providers'!S249)),1,0)</f>
        <v/>
      </c>
      <c r="B2749">
        <f>B2748+A2749</f>
        <v/>
      </c>
      <c r="C2749">
        <f>IF(2746&gt;$B$4503,"",MATCH(2746-0.5,$B$3:$B$4503,1))</f>
        <v/>
      </c>
      <c r="D2749">
        <f>"Life support ("&amp;IF(LEN(INDEX('Providers'!$R$4:$R$503,246))=0,"",INDEX('Providers'!$R$4:$R$503,246))&amp;") – "&amp;IF(LEN(INDEX('Providers'!$A$4:$A$503,246))=0,"",INDEX('Providers'!$A$4:$A$503,246))</f>
        <v/>
      </c>
      <c r="E2749">
        <f>IF(ISNUMBER(INDEX('Providers'!$S$4:$S$503,246)),TEXT(INDEX('Providers'!$S$4:$S$503,246),"yyyy-mm-dd"),"")</f>
        <v/>
      </c>
      <c r="F2749">
        <f>"Certification"</f>
        <v/>
      </c>
      <c r="G2749">
        <f>""</f>
        <v/>
      </c>
      <c r="H2749">
        <f>"Medium"</f>
        <v/>
      </c>
      <c r="I2749">
        <f>TRIM(IF(LEN(IF(LEN(INDEX('Providers'!$R$4:$R$503,246))=0,"",INDEX('Providers'!$R$4:$R$503,246)))=0,"","Card: "&amp;IF(LEN(INDEX('Providers'!$R$4:$R$503,246))=0,"",INDEX('Providers'!$R$4:$R$503,246))&amp;". "))</f>
        <v/>
      </c>
      <c r="J2749">
        <f>IF(LEN(INDEX('Providers'!$AJ$4:$AJ$503,246))=0,"",INDEX('Providers'!$AJ$4:$AJ$503,246))</f>
        <v/>
      </c>
      <c r="K2749">
        <f>IF(LEN(INDEX('Providers'!$AI$4:$AI$503,246))=0,"",INDEX('Providers'!$AI$4:$AI$503,246))</f>
        <v/>
      </c>
    </row>
    <row r="2750">
      <c r="A2750">
        <f>IF(AND(LEN('Providers'!A250)&gt;0,ISNUMBER('Providers'!S250)),1,0)</f>
        <v/>
      </c>
      <c r="B2750">
        <f>B2749+A2750</f>
        <v/>
      </c>
      <c r="C2750">
        <f>IF(2747&gt;$B$4503,"",MATCH(2747-0.5,$B$3:$B$4503,1))</f>
        <v/>
      </c>
      <c r="D2750">
        <f>"Life support ("&amp;IF(LEN(INDEX('Providers'!$R$4:$R$503,247))=0,"",INDEX('Providers'!$R$4:$R$503,247))&amp;") – "&amp;IF(LEN(INDEX('Providers'!$A$4:$A$503,247))=0,"",INDEX('Providers'!$A$4:$A$503,247))</f>
        <v/>
      </c>
      <c r="E2750">
        <f>IF(ISNUMBER(INDEX('Providers'!$S$4:$S$503,247)),TEXT(INDEX('Providers'!$S$4:$S$503,247),"yyyy-mm-dd"),"")</f>
        <v/>
      </c>
      <c r="F2750">
        <f>"Certification"</f>
        <v/>
      </c>
      <c r="G2750">
        <f>""</f>
        <v/>
      </c>
      <c r="H2750">
        <f>"Medium"</f>
        <v/>
      </c>
      <c r="I2750">
        <f>TRIM(IF(LEN(IF(LEN(INDEX('Providers'!$R$4:$R$503,247))=0,"",INDEX('Providers'!$R$4:$R$503,247)))=0,"","Card: "&amp;IF(LEN(INDEX('Providers'!$R$4:$R$503,247))=0,"",INDEX('Providers'!$R$4:$R$503,247))&amp;". "))</f>
        <v/>
      </c>
      <c r="J2750">
        <f>IF(LEN(INDEX('Providers'!$AJ$4:$AJ$503,247))=0,"",INDEX('Providers'!$AJ$4:$AJ$503,247))</f>
        <v/>
      </c>
      <c r="K2750">
        <f>IF(LEN(INDEX('Providers'!$AI$4:$AI$503,247))=0,"",INDEX('Providers'!$AI$4:$AI$503,247))</f>
        <v/>
      </c>
    </row>
    <row r="2751">
      <c r="A2751">
        <f>IF(AND(LEN('Providers'!A251)&gt;0,ISNUMBER('Providers'!S251)),1,0)</f>
        <v/>
      </c>
      <c r="B2751">
        <f>B2750+A2751</f>
        <v/>
      </c>
      <c r="C2751">
        <f>IF(2748&gt;$B$4503,"",MATCH(2748-0.5,$B$3:$B$4503,1))</f>
        <v/>
      </c>
      <c r="D2751">
        <f>"Life support ("&amp;IF(LEN(INDEX('Providers'!$R$4:$R$503,248))=0,"",INDEX('Providers'!$R$4:$R$503,248))&amp;") – "&amp;IF(LEN(INDEX('Providers'!$A$4:$A$503,248))=0,"",INDEX('Providers'!$A$4:$A$503,248))</f>
        <v/>
      </c>
      <c r="E2751">
        <f>IF(ISNUMBER(INDEX('Providers'!$S$4:$S$503,248)),TEXT(INDEX('Providers'!$S$4:$S$503,248),"yyyy-mm-dd"),"")</f>
        <v/>
      </c>
      <c r="F2751">
        <f>"Certification"</f>
        <v/>
      </c>
      <c r="G2751">
        <f>""</f>
        <v/>
      </c>
      <c r="H2751">
        <f>"Medium"</f>
        <v/>
      </c>
      <c r="I2751">
        <f>TRIM(IF(LEN(IF(LEN(INDEX('Providers'!$R$4:$R$503,248))=0,"",INDEX('Providers'!$R$4:$R$503,248)))=0,"","Card: "&amp;IF(LEN(INDEX('Providers'!$R$4:$R$503,248))=0,"",INDEX('Providers'!$R$4:$R$503,248))&amp;". "))</f>
        <v/>
      </c>
      <c r="J2751">
        <f>IF(LEN(INDEX('Providers'!$AJ$4:$AJ$503,248))=0,"",INDEX('Providers'!$AJ$4:$AJ$503,248))</f>
        <v/>
      </c>
      <c r="K2751">
        <f>IF(LEN(INDEX('Providers'!$AI$4:$AI$503,248))=0,"",INDEX('Providers'!$AI$4:$AI$503,248))</f>
        <v/>
      </c>
    </row>
    <row r="2752">
      <c r="A2752">
        <f>IF(AND(LEN('Providers'!A252)&gt;0,ISNUMBER('Providers'!S252)),1,0)</f>
        <v/>
      </c>
      <c r="B2752">
        <f>B2751+A2752</f>
        <v/>
      </c>
      <c r="C2752">
        <f>IF(2749&gt;$B$4503,"",MATCH(2749-0.5,$B$3:$B$4503,1))</f>
        <v/>
      </c>
      <c r="D2752">
        <f>"Life support ("&amp;IF(LEN(INDEX('Providers'!$R$4:$R$503,249))=0,"",INDEX('Providers'!$R$4:$R$503,249))&amp;") – "&amp;IF(LEN(INDEX('Providers'!$A$4:$A$503,249))=0,"",INDEX('Providers'!$A$4:$A$503,249))</f>
        <v/>
      </c>
      <c r="E2752">
        <f>IF(ISNUMBER(INDEX('Providers'!$S$4:$S$503,249)),TEXT(INDEX('Providers'!$S$4:$S$503,249),"yyyy-mm-dd"),"")</f>
        <v/>
      </c>
      <c r="F2752">
        <f>"Certification"</f>
        <v/>
      </c>
      <c r="G2752">
        <f>""</f>
        <v/>
      </c>
      <c r="H2752">
        <f>"Medium"</f>
        <v/>
      </c>
      <c r="I2752">
        <f>TRIM(IF(LEN(IF(LEN(INDEX('Providers'!$R$4:$R$503,249))=0,"",INDEX('Providers'!$R$4:$R$503,249)))=0,"","Card: "&amp;IF(LEN(INDEX('Providers'!$R$4:$R$503,249))=0,"",INDEX('Providers'!$R$4:$R$503,249))&amp;". "))</f>
        <v/>
      </c>
      <c r="J2752">
        <f>IF(LEN(INDEX('Providers'!$AJ$4:$AJ$503,249))=0,"",INDEX('Providers'!$AJ$4:$AJ$503,249))</f>
        <v/>
      </c>
      <c r="K2752">
        <f>IF(LEN(INDEX('Providers'!$AI$4:$AI$503,249))=0,"",INDEX('Providers'!$AI$4:$AI$503,249))</f>
        <v/>
      </c>
    </row>
    <row r="2753">
      <c r="A2753">
        <f>IF(AND(LEN('Providers'!A253)&gt;0,ISNUMBER('Providers'!S253)),1,0)</f>
        <v/>
      </c>
      <c r="B2753">
        <f>B2752+A2753</f>
        <v/>
      </c>
      <c r="C2753">
        <f>IF(2750&gt;$B$4503,"",MATCH(2750-0.5,$B$3:$B$4503,1))</f>
        <v/>
      </c>
      <c r="D2753">
        <f>"Life support ("&amp;IF(LEN(INDEX('Providers'!$R$4:$R$503,250))=0,"",INDEX('Providers'!$R$4:$R$503,250))&amp;") – "&amp;IF(LEN(INDEX('Providers'!$A$4:$A$503,250))=0,"",INDEX('Providers'!$A$4:$A$503,250))</f>
        <v/>
      </c>
      <c r="E2753">
        <f>IF(ISNUMBER(INDEX('Providers'!$S$4:$S$503,250)),TEXT(INDEX('Providers'!$S$4:$S$503,250),"yyyy-mm-dd"),"")</f>
        <v/>
      </c>
      <c r="F2753">
        <f>"Certification"</f>
        <v/>
      </c>
      <c r="G2753">
        <f>""</f>
        <v/>
      </c>
      <c r="H2753">
        <f>"Medium"</f>
        <v/>
      </c>
      <c r="I2753">
        <f>TRIM(IF(LEN(IF(LEN(INDEX('Providers'!$R$4:$R$503,250))=0,"",INDEX('Providers'!$R$4:$R$503,250)))=0,"","Card: "&amp;IF(LEN(INDEX('Providers'!$R$4:$R$503,250))=0,"",INDEX('Providers'!$R$4:$R$503,250))&amp;". "))</f>
        <v/>
      </c>
      <c r="J2753">
        <f>IF(LEN(INDEX('Providers'!$AJ$4:$AJ$503,250))=0,"",INDEX('Providers'!$AJ$4:$AJ$503,250))</f>
        <v/>
      </c>
      <c r="K2753">
        <f>IF(LEN(INDEX('Providers'!$AI$4:$AI$503,250))=0,"",INDEX('Providers'!$AI$4:$AI$503,250))</f>
        <v/>
      </c>
    </row>
    <row r="2754">
      <c r="A2754">
        <f>IF(AND(LEN('Providers'!A254)&gt;0,ISNUMBER('Providers'!S254)),1,0)</f>
        <v/>
      </c>
      <c r="B2754">
        <f>B2753+A2754</f>
        <v/>
      </c>
      <c r="C2754">
        <f>IF(2751&gt;$B$4503,"",MATCH(2751-0.5,$B$3:$B$4503,1))</f>
        <v/>
      </c>
      <c r="D2754">
        <f>"Life support ("&amp;IF(LEN(INDEX('Providers'!$R$4:$R$503,251))=0,"",INDEX('Providers'!$R$4:$R$503,251))&amp;") – "&amp;IF(LEN(INDEX('Providers'!$A$4:$A$503,251))=0,"",INDEX('Providers'!$A$4:$A$503,251))</f>
        <v/>
      </c>
      <c r="E2754">
        <f>IF(ISNUMBER(INDEX('Providers'!$S$4:$S$503,251)),TEXT(INDEX('Providers'!$S$4:$S$503,251),"yyyy-mm-dd"),"")</f>
        <v/>
      </c>
      <c r="F2754">
        <f>"Certification"</f>
        <v/>
      </c>
      <c r="G2754">
        <f>""</f>
        <v/>
      </c>
      <c r="H2754">
        <f>"Medium"</f>
        <v/>
      </c>
      <c r="I2754">
        <f>TRIM(IF(LEN(IF(LEN(INDEX('Providers'!$R$4:$R$503,251))=0,"",INDEX('Providers'!$R$4:$R$503,251)))=0,"","Card: "&amp;IF(LEN(INDEX('Providers'!$R$4:$R$503,251))=0,"",INDEX('Providers'!$R$4:$R$503,251))&amp;". "))</f>
        <v/>
      </c>
      <c r="J2754">
        <f>IF(LEN(INDEX('Providers'!$AJ$4:$AJ$503,251))=0,"",INDEX('Providers'!$AJ$4:$AJ$503,251))</f>
        <v/>
      </c>
      <c r="K2754">
        <f>IF(LEN(INDEX('Providers'!$AI$4:$AI$503,251))=0,"",INDEX('Providers'!$AI$4:$AI$503,251))</f>
        <v/>
      </c>
    </row>
    <row r="2755">
      <c r="A2755">
        <f>IF(AND(LEN('Providers'!A255)&gt;0,ISNUMBER('Providers'!S255)),1,0)</f>
        <v/>
      </c>
      <c r="B2755">
        <f>B2754+A2755</f>
        <v/>
      </c>
      <c r="C2755">
        <f>IF(2752&gt;$B$4503,"",MATCH(2752-0.5,$B$3:$B$4503,1))</f>
        <v/>
      </c>
      <c r="D2755">
        <f>"Life support ("&amp;IF(LEN(INDEX('Providers'!$R$4:$R$503,252))=0,"",INDEX('Providers'!$R$4:$R$503,252))&amp;") – "&amp;IF(LEN(INDEX('Providers'!$A$4:$A$503,252))=0,"",INDEX('Providers'!$A$4:$A$503,252))</f>
        <v/>
      </c>
      <c r="E2755">
        <f>IF(ISNUMBER(INDEX('Providers'!$S$4:$S$503,252)),TEXT(INDEX('Providers'!$S$4:$S$503,252),"yyyy-mm-dd"),"")</f>
        <v/>
      </c>
      <c r="F2755">
        <f>"Certification"</f>
        <v/>
      </c>
      <c r="G2755">
        <f>""</f>
        <v/>
      </c>
      <c r="H2755">
        <f>"Medium"</f>
        <v/>
      </c>
      <c r="I2755">
        <f>TRIM(IF(LEN(IF(LEN(INDEX('Providers'!$R$4:$R$503,252))=0,"",INDEX('Providers'!$R$4:$R$503,252)))=0,"","Card: "&amp;IF(LEN(INDEX('Providers'!$R$4:$R$503,252))=0,"",INDEX('Providers'!$R$4:$R$503,252))&amp;". "))</f>
        <v/>
      </c>
      <c r="J2755">
        <f>IF(LEN(INDEX('Providers'!$AJ$4:$AJ$503,252))=0,"",INDEX('Providers'!$AJ$4:$AJ$503,252))</f>
        <v/>
      </c>
      <c r="K2755">
        <f>IF(LEN(INDEX('Providers'!$AI$4:$AI$503,252))=0,"",INDEX('Providers'!$AI$4:$AI$503,252))</f>
        <v/>
      </c>
    </row>
    <row r="2756">
      <c r="A2756">
        <f>IF(AND(LEN('Providers'!A256)&gt;0,ISNUMBER('Providers'!S256)),1,0)</f>
        <v/>
      </c>
      <c r="B2756">
        <f>B2755+A2756</f>
        <v/>
      </c>
      <c r="C2756">
        <f>IF(2753&gt;$B$4503,"",MATCH(2753-0.5,$B$3:$B$4503,1))</f>
        <v/>
      </c>
      <c r="D2756">
        <f>"Life support ("&amp;IF(LEN(INDEX('Providers'!$R$4:$R$503,253))=0,"",INDEX('Providers'!$R$4:$R$503,253))&amp;") – "&amp;IF(LEN(INDEX('Providers'!$A$4:$A$503,253))=0,"",INDEX('Providers'!$A$4:$A$503,253))</f>
        <v/>
      </c>
      <c r="E2756">
        <f>IF(ISNUMBER(INDEX('Providers'!$S$4:$S$503,253)),TEXT(INDEX('Providers'!$S$4:$S$503,253),"yyyy-mm-dd"),"")</f>
        <v/>
      </c>
      <c r="F2756">
        <f>"Certification"</f>
        <v/>
      </c>
      <c r="G2756">
        <f>""</f>
        <v/>
      </c>
      <c r="H2756">
        <f>"Medium"</f>
        <v/>
      </c>
      <c r="I2756">
        <f>TRIM(IF(LEN(IF(LEN(INDEX('Providers'!$R$4:$R$503,253))=0,"",INDEX('Providers'!$R$4:$R$503,253)))=0,"","Card: "&amp;IF(LEN(INDEX('Providers'!$R$4:$R$503,253))=0,"",INDEX('Providers'!$R$4:$R$503,253))&amp;". "))</f>
        <v/>
      </c>
      <c r="J2756">
        <f>IF(LEN(INDEX('Providers'!$AJ$4:$AJ$503,253))=0,"",INDEX('Providers'!$AJ$4:$AJ$503,253))</f>
        <v/>
      </c>
      <c r="K2756">
        <f>IF(LEN(INDEX('Providers'!$AI$4:$AI$503,253))=0,"",INDEX('Providers'!$AI$4:$AI$503,253))</f>
        <v/>
      </c>
    </row>
    <row r="2757">
      <c r="A2757">
        <f>IF(AND(LEN('Providers'!A257)&gt;0,ISNUMBER('Providers'!S257)),1,0)</f>
        <v/>
      </c>
      <c r="B2757">
        <f>B2756+A2757</f>
        <v/>
      </c>
      <c r="C2757">
        <f>IF(2754&gt;$B$4503,"",MATCH(2754-0.5,$B$3:$B$4503,1))</f>
        <v/>
      </c>
      <c r="D2757">
        <f>"Life support ("&amp;IF(LEN(INDEX('Providers'!$R$4:$R$503,254))=0,"",INDEX('Providers'!$R$4:$R$503,254))&amp;") – "&amp;IF(LEN(INDEX('Providers'!$A$4:$A$503,254))=0,"",INDEX('Providers'!$A$4:$A$503,254))</f>
        <v/>
      </c>
      <c r="E2757">
        <f>IF(ISNUMBER(INDEX('Providers'!$S$4:$S$503,254)),TEXT(INDEX('Providers'!$S$4:$S$503,254),"yyyy-mm-dd"),"")</f>
        <v/>
      </c>
      <c r="F2757">
        <f>"Certification"</f>
        <v/>
      </c>
      <c r="G2757">
        <f>""</f>
        <v/>
      </c>
      <c r="H2757">
        <f>"Medium"</f>
        <v/>
      </c>
      <c r="I2757">
        <f>TRIM(IF(LEN(IF(LEN(INDEX('Providers'!$R$4:$R$503,254))=0,"",INDEX('Providers'!$R$4:$R$503,254)))=0,"","Card: "&amp;IF(LEN(INDEX('Providers'!$R$4:$R$503,254))=0,"",INDEX('Providers'!$R$4:$R$503,254))&amp;". "))</f>
        <v/>
      </c>
      <c r="J2757">
        <f>IF(LEN(INDEX('Providers'!$AJ$4:$AJ$503,254))=0,"",INDEX('Providers'!$AJ$4:$AJ$503,254))</f>
        <v/>
      </c>
      <c r="K2757">
        <f>IF(LEN(INDEX('Providers'!$AI$4:$AI$503,254))=0,"",INDEX('Providers'!$AI$4:$AI$503,254))</f>
        <v/>
      </c>
    </row>
    <row r="2758">
      <c r="A2758">
        <f>IF(AND(LEN('Providers'!A258)&gt;0,ISNUMBER('Providers'!S258)),1,0)</f>
        <v/>
      </c>
      <c r="B2758">
        <f>B2757+A2758</f>
        <v/>
      </c>
      <c r="C2758">
        <f>IF(2755&gt;$B$4503,"",MATCH(2755-0.5,$B$3:$B$4503,1))</f>
        <v/>
      </c>
      <c r="D2758">
        <f>"Life support ("&amp;IF(LEN(INDEX('Providers'!$R$4:$R$503,255))=0,"",INDEX('Providers'!$R$4:$R$503,255))&amp;") – "&amp;IF(LEN(INDEX('Providers'!$A$4:$A$503,255))=0,"",INDEX('Providers'!$A$4:$A$503,255))</f>
        <v/>
      </c>
      <c r="E2758">
        <f>IF(ISNUMBER(INDEX('Providers'!$S$4:$S$503,255)),TEXT(INDEX('Providers'!$S$4:$S$503,255),"yyyy-mm-dd"),"")</f>
        <v/>
      </c>
      <c r="F2758">
        <f>"Certification"</f>
        <v/>
      </c>
      <c r="G2758">
        <f>""</f>
        <v/>
      </c>
      <c r="H2758">
        <f>"Medium"</f>
        <v/>
      </c>
      <c r="I2758">
        <f>TRIM(IF(LEN(IF(LEN(INDEX('Providers'!$R$4:$R$503,255))=0,"",INDEX('Providers'!$R$4:$R$503,255)))=0,"","Card: "&amp;IF(LEN(INDEX('Providers'!$R$4:$R$503,255))=0,"",INDEX('Providers'!$R$4:$R$503,255))&amp;". "))</f>
        <v/>
      </c>
      <c r="J2758">
        <f>IF(LEN(INDEX('Providers'!$AJ$4:$AJ$503,255))=0,"",INDEX('Providers'!$AJ$4:$AJ$503,255))</f>
        <v/>
      </c>
      <c r="K2758">
        <f>IF(LEN(INDEX('Providers'!$AI$4:$AI$503,255))=0,"",INDEX('Providers'!$AI$4:$AI$503,255))</f>
        <v/>
      </c>
    </row>
    <row r="2759">
      <c r="A2759">
        <f>IF(AND(LEN('Providers'!A259)&gt;0,ISNUMBER('Providers'!S259)),1,0)</f>
        <v/>
      </c>
      <c r="B2759">
        <f>B2758+A2759</f>
        <v/>
      </c>
      <c r="C2759">
        <f>IF(2756&gt;$B$4503,"",MATCH(2756-0.5,$B$3:$B$4503,1))</f>
        <v/>
      </c>
      <c r="D2759">
        <f>"Life support ("&amp;IF(LEN(INDEX('Providers'!$R$4:$R$503,256))=0,"",INDEX('Providers'!$R$4:$R$503,256))&amp;") – "&amp;IF(LEN(INDEX('Providers'!$A$4:$A$503,256))=0,"",INDEX('Providers'!$A$4:$A$503,256))</f>
        <v/>
      </c>
      <c r="E2759">
        <f>IF(ISNUMBER(INDEX('Providers'!$S$4:$S$503,256)),TEXT(INDEX('Providers'!$S$4:$S$503,256),"yyyy-mm-dd"),"")</f>
        <v/>
      </c>
      <c r="F2759">
        <f>"Certification"</f>
        <v/>
      </c>
      <c r="G2759">
        <f>""</f>
        <v/>
      </c>
      <c r="H2759">
        <f>"Medium"</f>
        <v/>
      </c>
      <c r="I2759">
        <f>TRIM(IF(LEN(IF(LEN(INDEX('Providers'!$R$4:$R$503,256))=0,"",INDEX('Providers'!$R$4:$R$503,256)))=0,"","Card: "&amp;IF(LEN(INDEX('Providers'!$R$4:$R$503,256))=0,"",INDEX('Providers'!$R$4:$R$503,256))&amp;". "))</f>
        <v/>
      </c>
      <c r="J2759">
        <f>IF(LEN(INDEX('Providers'!$AJ$4:$AJ$503,256))=0,"",INDEX('Providers'!$AJ$4:$AJ$503,256))</f>
        <v/>
      </c>
      <c r="K2759">
        <f>IF(LEN(INDEX('Providers'!$AI$4:$AI$503,256))=0,"",INDEX('Providers'!$AI$4:$AI$503,256))</f>
        <v/>
      </c>
    </row>
    <row r="2760">
      <c r="A2760">
        <f>IF(AND(LEN('Providers'!A260)&gt;0,ISNUMBER('Providers'!S260)),1,0)</f>
        <v/>
      </c>
      <c r="B2760">
        <f>B2759+A2760</f>
        <v/>
      </c>
      <c r="C2760">
        <f>IF(2757&gt;$B$4503,"",MATCH(2757-0.5,$B$3:$B$4503,1))</f>
        <v/>
      </c>
      <c r="D2760">
        <f>"Life support ("&amp;IF(LEN(INDEX('Providers'!$R$4:$R$503,257))=0,"",INDEX('Providers'!$R$4:$R$503,257))&amp;") – "&amp;IF(LEN(INDEX('Providers'!$A$4:$A$503,257))=0,"",INDEX('Providers'!$A$4:$A$503,257))</f>
        <v/>
      </c>
      <c r="E2760">
        <f>IF(ISNUMBER(INDEX('Providers'!$S$4:$S$503,257)),TEXT(INDEX('Providers'!$S$4:$S$503,257),"yyyy-mm-dd"),"")</f>
        <v/>
      </c>
      <c r="F2760">
        <f>"Certification"</f>
        <v/>
      </c>
      <c r="G2760">
        <f>""</f>
        <v/>
      </c>
      <c r="H2760">
        <f>"Medium"</f>
        <v/>
      </c>
      <c r="I2760">
        <f>TRIM(IF(LEN(IF(LEN(INDEX('Providers'!$R$4:$R$503,257))=0,"",INDEX('Providers'!$R$4:$R$503,257)))=0,"","Card: "&amp;IF(LEN(INDEX('Providers'!$R$4:$R$503,257))=0,"",INDEX('Providers'!$R$4:$R$503,257))&amp;". "))</f>
        <v/>
      </c>
      <c r="J2760">
        <f>IF(LEN(INDEX('Providers'!$AJ$4:$AJ$503,257))=0,"",INDEX('Providers'!$AJ$4:$AJ$503,257))</f>
        <v/>
      </c>
      <c r="K2760">
        <f>IF(LEN(INDEX('Providers'!$AI$4:$AI$503,257))=0,"",INDEX('Providers'!$AI$4:$AI$503,257))</f>
        <v/>
      </c>
    </row>
    <row r="2761">
      <c r="A2761">
        <f>IF(AND(LEN('Providers'!A261)&gt;0,ISNUMBER('Providers'!S261)),1,0)</f>
        <v/>
      </c>
      <c r="B2761">
        <f>B2760+A2761</f>
        <v/>
      </c>
      <c r="C2761">
        <f>IF(2758&gt;$B$4503,"",MATCH(2758-0.5,$B$3:$B$4503,1))</f>
        <v/>
      </c>
      <c r="D2761">
        <f>"Life support ("&amp;IF(LEN(INDEX('Providers'!$R$4:$R$503,258))=0,"",INDEX('Providers'!$R$4:$R$503,258))&amp;") – "&amp;IF(LEN(INDEX('Providers'!$A$4:$A$503,258))=0,"",INDEX('Providers'!$A$4:$A$503,258))</f>
        <v/>
      </c>
      <c r="E2761">
        <f>IF(ISNUMBER(INDEX('Providers'!$S$4:$S$503,258)),TEXT(INDEX('Providers'!$S$4:$S$503,258),"yyyy-mm-dd"),"")</f>
        <v/>
      </c>
      <c r="F2761">
        <f>"Certification"</f>
        <v/>
      </c>
      <c r="G2761">
        <f>""</f>
        <v/>
      </c>
      <c r="H2761">
        <f>"Medium"</f>
        <v/>
      </c>
      <c r="I2761">
        <f>TRIM(IF(LEN(IF(LEN(INDEX('Providers'!$R$4:$R$503,258))=0,"",INDEX('Providers'!$R$4:$R$503,258)))=0,"","Card: "&amp;IF(LEN(INDEX('Providers'!$R$4:$R$503,258))=0,"",INDEX('Providers'!$R$4:$R$503,258))&amp;". "))</f>
        <v/>
      </c>
      <c r="J2761">
        <f>IF(LEN(INDEX('Providers'!$AJ$4:$AJ$503,258))=0,"",INDEX('Providers'!$AJ$4:$AJ$503,258))</f>
        <v/>
      </c>
      <c r="K2761">
        <f>IF(LEN(INDEX('Providers'!$AI$4:$AI$503,258))=0,"",INDEX('Providers'!$AI$4:$AI$503,258))</f>
        <v/>
      </c>
    </row>
    <row r="2762">
      <c r="A2762">
        <f>IF(AND(LEN('Providers'!A262)&gt;0,ISNUMBER('Providers'!S262)),1,0)</f>
        <v/>
      </c>
      <c r="B2762">
        <f>B2761+A2762</f>
        <v/>
      </c>
      <c r="C2762">
        <f>IF(2759&gt;$B$4503,"",MATCH(2759-0.5,$B$3:$B$4503,1))</f>
        <v/>
      </c>
      <c r="D2762">
        <f>"Life support ("&amp;IF(LEN(INDEX('Providers'!$R$4:$R$503,259))=0,"",INDEX('Providers'!$R$4:$R$503,259))&amp;") – "&amp;IF(LEN(INDEX('Providers'!$A$4:$A$503,259))=0,"",INDEX('Providers'!$A$4:$A$503,259))</f>
        <v/>
      </c>
      <c r="E2762">
        <f>IF(ISNUMBER(INDEX('Providers'!$S$4:$S$503,259)),TEXT(INDEX('Providers'!$S$4:$S$503,259),"yyyy-mm-dd"),"")</f>
        <v/>
      </c>
      <c r="F2762">
        <f>"Certification"</f>
        <v/>
      </c>
      <c r="G2762">
        <f>""</f>
        <v/>
      </c>
      <c r="H2762">
        <f>"Medium"</f>
        <v/>
      </c>
      <c r="I2762">
        <f>TRIM(IF(LEN(IF(LEN(INDEX('Providers'!$R$4:$R$503,259))=0,"",INDEX('Providers'!$R$4:$R$503,259)))=0,"","Card: "&amp;IF(LEN(INDEX('Providers'!$R$4:$R$503,259))=0,"",INDEX('Providers'!$R$4:$R$503,259))&amp;". "))</f>
        <v/>
      </c>
      <c r="J2762">
        <f>IF(LEN(INDEX('Providers'!$AJ$4:$AJ$503,259))=0,"",INDEX('Providers'!$AJ$4:$AJ$503,259))</f>
        <v/>
      </c>
      <c r="K2762">
        <f>IF(LEN(INDEX('Providers'!$AI$4:$AI$503,259))=0,"",INDEX('Providers'!$AI$4:$AI$503,259))</f>
        <v/>
      </c>
    </row>
    <row r="2763">
      <c r="A2763">
        <f>IF(AND(LEN('Providers'!A263)&gt;0,ISNUMBER('Providers'!S263)),1,0)</f>
        <v/>
      </c>
      <c r="B2763">
        <f>B2762+A2763</f>
        <v/>
      </c>
      <c r="C2763">
        <f>IF(2760&gt;$B$4503,"",MATCH(2760-0.5,$B$3:$B$4503,1))</f>
        <v/>
      </c>
      <c r="D2763">
        <f>"Life support ("&amp;IF(LEN(INDEX('Providers'!$R$4:$R$503,260))=0,"",INDEX('Providers'!$R$4:$R$503,260))&amp;") – "&amp;IF(LEN(INDEX('Providers'!$A$4:$A$503,260))=0,"",INDEX('Providers'!$A$4:$A$503,260))</f>
        <v/>
      </c>
      <c r="E2763">
        <f>IF(ISNUMBER(INDEX('Providers'!$S$4:$S$503,260)),TEXT(INDEX('Providers'!$S$4:$S$503,260),"yyyy-mm-dd"),"")</f>
        <v/>
      </c>
      <c r="F2763">
        <f>"Certification"</f>
        <v/>
      </c>
      <c r="G2763">
        <f>""</f>
        <v/>
      </c>
      <c r="H2763">
        <f>"Medium"</f>
        <v/>
      </c>
      <c r="I2763">
        <f>TRIM(IF(LEN(IF(LEN(INDEX('Providers'!$R$4:$R$503,260))=0,"",INDEX('Providers'!$R$4:$R$503,260)))=0,"","Card: "&amp;IF(LEN(INDEX('Providers'!$R$4:$R$503,260))=0,"",INDEX('Providers'!$R$4:$R$503,260))&amp;". "))</f>
        <v/>
      </c>
      <c r="J2763">
        <f>IF(LEN(INDEX('Providers'!$AJ$4:$AJ$503,260))=0,"",INDEX('Providers'!$AJ$4:$AJ$503,260))</f>
        <v/>
      </c>
      <c r="K2763">
        <f>IF(LEN(INDEX('Providers'!$AI$4:$AI$503,260))=0,"",INDEX('Providers'!$AI$4:$AI$503,260))</f>
        <v/>
      </c>
    </row>
    <row r="2764">
      <c r="A2764">
        <f>IF(AND(LEN('Providers'!A264)&gt;0,ISNUMBER('Providers'!S264)),1,0)</f>
        <v/>
      </c>
      <c r="B2764">
        <f>B2763+A2764</f>
        <v/>
      </c>
      <c r="C2764">
        <f>IF(2761&gt;$B$4503,"",MATCH(2761-0.5,$B$3:$B$4503,1))</f>
        <v/>
      </c>
      <c r="D2764">
        <f>"Life support ("&amp;IF(LEN(INDEX('Providers'!$R$4:$R$503,261))=0,"",INDEX('Providers'!$R$4:$R$503,261))&amp;") – "&amp;IF(LEN(INDEX('Providers'!$A$4:$A$503,261))=0,"",INDEX('Providers'!$A$4:$A$503,261))</f>
        <v/>
      </c>
      <c r="E2764">
        <f>IF(ISNUMBER(INDEX('Providers'!$S$4:$S$503,261)),TEXT(INDEX('Providers'!$S$4:$S$503,261),"yyyy-mm-dd"),"")</f>
        <v/>
      </c>
      <c r="F2764">
        <f>"Certification"</f>
        <v/>
      </c>
      <c r="G2764">
        <f>""</f>
        <v/>
      </c>
      <c r="H2764">
        <f>"Medium"</f>
        <v/>
      </c>
      <c r="I2764">
        <f>TRIM(IF(LEN(IF(LEN(INDEX('Providers'!$R$4:$R$503,261))=0,"",INDEX('Providers'!$R$4:$R$503,261)))=0,"","Card: "&amp;IF(LEN(INDEX('Providers'!$R$4:$R$503,261))=0,"",INDEX('Providers'!$R$4:$R$503,261))&amp;". "))</f>
        <v/>
      </c>
      <c r="J2764">
        <f>IF(LEN(INDEX('Providers'!$AJ$4:$AJ$503,261))=0,"",INDEX('Providers'!$AJ$4:$AJ$503,261))</f>
        <v/>
      </c>
      <c r="K2764">
        <f>IF(LEN(INDEX('Providers'!$AI$4:$AI$503,261))=0,"",INDEX('Providers'!$AI$4:$AI$503,261))</f>
        <v/>
      </c>
    </row>
    <row r="2765">
      <c r="A2765">
        <f>IF(AND(LEN('Providers'!A265)&gt;0,ISNUMBER('Providers'!S265)),1,0)</f>
        <v/>
      </c>
      <c r="B2765">
        <f>B2764+A2765</f>
        <v/>
      </c>
      <c r="C2765">
        <f>IF(2762&gt;$B$4503,"",MATCH(2762-0.5,$B$3:$B$4503,1))</f>
        <v/>
      </c>
      <c r="D2765">
        <f>"Life support ("&amp;IF(LEN(INDEX('Providers'!$R$4:$R$503,262))=0,"",INDEX('Providers'!$R$4:$R$503,262))&amp;") – "&amp;IF(LEN(INDEX('Providers'!$A$4:$A$503,262))=0,"",INDEX('Providers'!$A$4:$A$503,262))</f>
        <v/>
      </c>
      <c r="E2765">
        <f>IF(ISNUMBER(INDEX('Providers'!$S$4:$S$503,262)),TEXT(INDEX('Providers'!$S$4:$S$503,262),"yyyy-mm-dd"),"")</f>
        <v/>
      </c>
      <c r="F2765">
        <f>"Certification"</f>
        <v/>
      </c>
      <c r="G2765">
        <f>""</f>
        <v/>
      </c>
      <c r="H2765">
        <f>"Medium"</f>
        <v/>
      </c>
      <c r="I2765">
        <f>TRIM(IF(LEN(IF(LEN(INDEX('Providers'!$R$4:$R$503,262))=0,"",INDEX('Providers'!$R$4:$R$503,262)))=0,"","Card: "&amp;IF(LEN(INDEX('Providers'!$R$4:$R$503,262))=0,"",INDEX('Providers'!$R$4:$R$503,262))&amp;". "))</f>
        <v/>
      </c>
      <c r="J2765">
        <f>IF(LEN(INDEX('Providers'!$AJ$4:$AJ$503,262))=0,"",INDEX('Providers'!$AJ$4:$AJ$503,262))</f>
        <v/>
      </c>
      <c r="K2765">
        <f>IF(LEN(INDEX('Providers'!$AI$4:$AI$503,262))=0,"",INDEX('Providers'!$AI$4:$AI$503,262))</f>
        <v/>
      </c>
    </row>
    <row r="2766">
      <c r="A2766">
        <f>IF(AND(LEN('Providers'!A266)&gt;0,ISNUMBER('Providers'!S266)),1,0)</f>
        <v/>
      </c>
      <c r="B2766">
        <f>B2765+A2766</f>
        <v/>
      </c>
      <c r="C2766">
        <f>IF(2763&gt;$B$4503,"",MATCH(2763-0.5,$B$3:$B$4503,1))</f>
        <v/>
      </c>
      <c r="D2766">
        <f>"Life support ("&amp;IF(LEN(INDEX('Providers'!$R$4:$R$503,263))=0,"",INDEX('Providers'!$R$4:$R$503,263))&amp;") – "&amp;IF(LEN(INDEX('Providers'!$A$4:$A$503,263))=0,"",INDEX('Providers'!$A$4:$A$503,263))</f>
        <v/>
      </c>
      <c r="E2766">
        <f>IF(ISNUMBER(INDEX('Providers'!$S$4:$S$503,263)),TEXT(INDEX('Providers'!$S$4:$S$503,263),"yyyy-mm-dd"),"")</f>
        <v/>
      </c>
      <c r="F2766">
        <f>"Certification"</f>
        <v/>
      </c>
      <c r="G2766">
        <f>""</f>
        <v/>
      </c>
      <c r="H2766">
        <f>"Medium"</f>
        <v/>
      </c>
      <c r="I2766">
        <f>TRIM(IF(LEN(IF(LEN(INDEX('Providers'!$R$4:$R$503,263))=0,"",INDEX('Providers'!$R$4:$R$503,263)))=0,"","Card: "&amp;IF(LEN(INDEX('Providers'!$R$4:$R$503,263))=0,"",INDEX('Providers'!$R$4:$R$503,263))&amp;". "))</f>
        <v/>
      </c>
      <c r="J2766">
        <f>IF(LEN(INDEX('Providers'!$AJ$4:$AJ$503,263))=0,"",INDEX('Providers'!$AJ$4:$AJ$503,263))</f>
        <v/>
      </c>
      <c r="K2766">
        <f>IF(LEN(INDEX('Providers'!$AI$4:$AI$503,263))=0,"",INDEX('Providers'!$AI$4:$AI$503,263))</f>
        <v/>
      </c>
    </row>
    <row r="2767">
      <c r="A2767">
        <f>IF(AND(LEN('Providers'!A267)&gt;0,ISNUMBER('Providers'!S267)),1,0)</f>
        <v/>
      </c>
      <c r="B2767">
        <f>B2766+A2767</f>
        <v/>
      </c>
      <c r="C2767">
        <f>IF(2764&gt;$B$4503,"",MATCH(2764-0.5,$B$3:$B$4503,1))</f>
        <v/>
      </c>
      <c r="D2767">
        <f>"Life support ("&amp;IF(LEN(INDEX('Providers'!$R$4:$R$503,264))=0,"",INDEX('Providers'!$R$4:$R$503,264))&amp;") – "&amp;IF(LEN(INDEX('Providers'!$A$4:$A$503,264))=0,"",INDEX('Providers'!$A$4:$A$503,264))</f>
        <v/>
      </c>
      <c r="E2767">
        <f>IF(ISNUMBER(INDEX('Providers'!$S$4:$S$503,264)),TEXT(INDEX('Providers'!$S$4:$S$503,264),"yyyy-mm-dd"),"")</f>
        <v/>
      </c>
      <c r="F2767">
        <f>"Certification"</f>
        <v/>
      </c>
      <c r="G2767">
        <f>""</f>
        <v/>
      </c>
      <c r="H2767">
        <f>"Medium"</f>
        <v/>
      </c>
      <c r="I2767">
        <f>TRIM(IF(LEN(IF(LEN(INDEX('Providers'!$R$4:$R$503,264))=0,"",INDEX('Providers'!$R$4:$R$503,264)))=0,"","Card: "&amp;IF(LEN(INDEX('Providers'!$R$4:$R$503,264))=0,"",INDEX('Providers'!$R$4:$R$503,264))&amp;". "))</f>
        <v/>
      </c>
      <c r="J2767">
        <f>IF(LEN(INDEX('Providers'!$AJ$4:$AJ$503,264))=0,"",INDEX('Providers'!$AJ$4:$AJ$503,264))</f>
        <v/>
      </c>
      <c r="K2767">
        <f>IF(LEN(INDEX('Providers'!$AI$4:$AI$503,264))=0,"",INDEX('Providers'!$AI$4:$AI$503,264))</f>
        <v/>
      </c>
    </row>
    <row r="2768">
      <c r="A2768">
        <f>IF(AND(LEN('Providers'!A268)&gt;0,ISNUMBER('Providers'!S268)),1,0)</f>
        <v/>
      </c>
      <c r="B2768">
        <f>B2767+A2768</f>
        <v/>
      </c>
      <c r="C2768">
        <f>IF(2765&gt;$B$4503,"",MATCH(2765-0.5,$B$3:$B$4503,1))</f>
        <v/>
      </c>
      <c r="D2768">
        <f>"Life support ("&amp;IF(LEN(INDEX('Providers'!$R$4:$R$503,265))=0,"",INDEX('Providers'!$R$4:$R$503,265))&amp;") – "&amp;IF(LEN(INDEX('Providers'!$A$4:$A$503,265))=0,"",INDEX('Providers'!$A$4:$A$503,265))</f>
        <v/>
      </c>
      <c r="E2768">
        <f>IF(ISNUMBER(INDEX('Providers'!$S$4:$S$503,265)),TEXT(INDEX('Providers'!$S$4:$S$503,265),"yyyy-mm-dd"),"")</f>
        <v/>
      </c>
      <c r="F2768">
        <f>"Certification"</f>
        <v/>
      </c>
      <c r="G2768">
        <f>""</f>
        <v/>
      </c>
      <c r="H2768">
        <f>"Medium"</f>
        <v/>
      </c>
      <c r="I2768">
        <f>TRIM(IF(LEN(IF(LEN(INDEX('Providers'!$R$4:$R$503,265))=0,"",INDEX('Providers'!$R$4:$R$503,265)))=0,"","Card: "&amp;IF(LEN(INDEX('Providers'!$R$4:$R$503,265))=0,"",INDEX('Providers'!$R$4:$R$503,265))&amp;". "))</f>
        <v/>
      </c>
      <c r="J2768">
        <f>IF(LEN(INDEX('Providers'!$AJ$4:$AJ$503,265))=0,"",INDEX('Providers'!$AJ$4:$AJ$503,265))</f>
        <v/>
      </c>
      <c r="K2768">
        <f>IF(LEN(INDEX('Providers'!$AI$4:$AI$503,265))=0,"",INDEX('Providers'!$AI$4:$AI$503,265))</f>
        <v/>
      </c>
    </row>
    <row r="2769">
      <c r="A2769">
        <f>IF(AND(LEN('Providers'!A269)&gt;0,ISNUMBER('Providers'!S269)),1,0)</f>
        <v/>
      </c>
      <c r="B2769">
        <f>B2768+A2769</f>
        <v/>
      </c>
      <c r="C2769">
        <f>IF(2766&gt;$B$4503,"",MATCH(2766-0.5,$B$3:$B$4503,1))</f>
        <v/>
      </c>
      <c r="D2769">
        <f>"Life support ("&amp;IF(LEN(INDEX('Providers'!$R$4:$R$503,266))=0,"",INDEX('Providers'!$R$4:$R$503,266))&amp;") – "&amp;IF(LEN(INDEX('Providers'!$A$4:$A$503,266))=0,"",INDEX('Providers'!$A$4:$A$503,266))</f>
        <v/>
      </c>
      <c r="E2769">
        <f>IF(ISNUMBER(INDEX('Providers'!$S$4:$S$503,266)),TEXT(INDEX('Providers'!$S$4:$S$503,266),"yyyy-mm-dd"),"")</f>
        <v/>
      </c>
      <c r="F2769">
        <f>"Certification"</f>
        <v/>
      </c>
      <c r="G2769">
        <f>""</f>
        <v/>
      </c>
      <c r="H2769">
        <f>"Medium"</f>
        <v/>
      </c>
      <c r="I2769">
        <f>TRIM(IF(LEN(IF(LEN(INDEX('Providers'!$R$4:$R$503,266))=0,"",INDEX('Providers'!$R$4:$R$503,266)))=0,"","Card: "&amp;IF(LEN(INDEX('Providers'!$R$4:$R$503,266))=0,"",INDEX('Providers'!$R$4:$R$503,266))&amp;". "))</f>
        <v/>
      </c>
      <c r="J2769">
        <f>IF(LEN(INDEX('Providers'!$AJ$4:$AJ$503,266))=0,"",INDEX('Providers'!$AJ$4:$AJ$503,266))</f>
        <v/>
      </c>
      <c r="K2769">
        <f>IF(LEN(INDEX('Providers'!$AI$4:$AI$503,266))=0,"",INDEX('Providers'!$AI$4:$AI$503,266))</f>
        <v/>
      </c>
    </row>
    <row r="2770">
      <c r="A2770">
        <f>IF(AND(LEN('Providers'!A270)&gt;0,ISNUMBER('Providers'!S270)),1,0)</f>
        <v/>
      </c>
      <c r="B2770">
        <f>B2769+A2770</f>
        <v/>
      </c>
      <c r="C2770">
        <f>IF(2767&gt;$B$4503,"",MATCH(2767-0.5,$B$3:$B$4503,1))</f>
        <v/>
      </c>
      <c r="D2770">
        <f>"Life support ("&amp;IF(LEN(INDEX('Providers'!$R$4:$R$503,267))=0,"",INDEX('Providers'!$R$4:$R$503,267))&amp;") – "&amp;IF(LEN(INDEX('Providers'!$A$4:$A$503,267))=0,"",INDEX('Providers'!$A$4:$A$503,267))</f>
        <v/>
      </c>
      <c r="E2770">
        <f>IF(ISNUMBER(INDEX('Providers'!$S$4:$S$503,267)),TEXT(INDEX('Providers'!$S$4:$S$503,267),"yyyy-mm-dd"),"")</f>
        <v/>
      </c>
      <c r="F2770">
        <f>"Certification"</f>
        <v/>
      </c>
      <c r="G2770">
        <f>""</f>
        <v/>
      </c>
      <c r="H2770">
        <f>"Medium"</f>
        <v/>
      </c>
      <c r="I2770">
        <f>TRIM(IF(LEN(IF(LEN(INDEX('Providers'!$R$4:$R$503,267))=0,"",INDEX('Providers'!$R$4:$R$503,267)))=0,"","Card: "&amp;IF(LEN(INDEX('Providers'!$R$4:$R$503,267))=0,"",INDEX('Providers'!$R$4:$R$503,267))&amp;". "))</f>
        <v/>
      </c>
      <c r="J2770">
        <f>IF(LEN(INDEX('Providers'!$AJ$4:$AJ$503,267))=0,"",INDEX('Providers'!$AJ$4:$AJ$503,267))</f>
        <v/>
      </c>
      <c r="K2770">
        <f>IF(LEN(INDEX('Providers'!$AI$4:$AI$503,267))=0,"",INDEX('Providers'!$AI$4:$AI$503,267))</f>
        <v/>
      </c>
    </row>
    <row r="2771">
      <c r="A2771">
        <f>IF(AND(LEN('Providers'!A271)&gt;0,ISNUMBER('Providers'!S271)),1,0)</f>
        <v/>
      </c>
      <c r="B2771">
        <f>B2770+A2771</f>
        <v/>
      </c>
      <c r="C2771">
        <f>IF(2768&gt;$B$4503,"",MATCH(2768-0.5,$B$3:$B$4503,1))</f>
        <v/>
      </c>
      <c r="D2771">
        <f>"Life support ("&amp;IF(LEN(INDEX('Providers'!$R$4:$R$503,268))=0,"",INDEX('Providers'!$R$4:$R$503,268))&amp;") – "&amp;IF(LEN(INDEX('Providers'!$A$4:$A$503,268))=0,"",INDEX('Providers'!$A$4:$A$503,268))</f>
        <v/>
      </c>
      <c r="E2771">
        <f>IF(ISNUMBER(INDEX('Providers'!$S$4:$S$503,268)),TEXT(INDEX('Providers'!$S$4:$S$503,268),"yyyy-mm-dd"),"")</f>
        <v/>
      </c>
      <c r="F2771">
        <f>"Certification"</f>
        <v/>
      </c>
      <c r="G2771">
        <f>""</f>
        <v/>
      </c>
      <c r="H2771">
        <f>"Medium"</f>
        <v/>
      </c>
      <c r="I2771">
        <f>TRIM(IF(LEN(IF(LEN(INDEX('Providers'!$R$4:$R$503,268))=0,"",INDEX('Providers'!$R$4:$R$503,268)))=0,"","Card: "&amp;IF(LEN(INDEX('Providers'!$R$4:$R$503,268))=0,"",INDEX('Providers'!$R$4:$R$503,268))&amp;". "))</f>
        <v/>
      </c>
      <c r="J2771">
        <f>IF(LEN(INDEX('Providers'!$AJ$4:$AJ$503,268))=0,"",INDEX('Providers'!$AJ$4:$AJ$503,268))</f>
        <v/>
      </c>
      <c r="K2771">
        <f>IF(LEN(INDEX('Providers'!$AI$4:$AI$503,268))=0,"",INDEX('Providers'!$AI$4:$AI$503,268))</f>
        <v/>
      </c>
    </row>
    <row r="2772">
      <c r="A2772">
        <f>IF(AND(LEN('Providers'!A272)&gt;0,ISNUMBER('Providers'!S272)),1,0)</f>
        <v/>
      </c>
      <c r="B2772">
        <f>B2771+A2772</f>
        <v/>
      </c>
      <c r="C2772">
        <f>IF(2769&gt;$B$4503,"",MATCH(2769-0.5,$B$3:$B$4503,1))</f>
        <v/>
      </c>
      <c r="D2772">
        <f>"Life support ("&amp;IF(LEN(INDEX('Providers'!$R$4:$R$503,269))=0,"",INDEX('Providers'!$R$4:$R$503,269))&amp;") – "&amp;IF(LEN(INDEX('Providers'!$A$4:$A$503,269))=0,"",INDEX('Providers'!$A$4:$A$503,269))</f>
        <v/>
      </c>
      <c r="E2772">
        <f>IF(ISNUMBER(INDEX('Providers'!$S$4:$S$503,269)),TEXT(INDEX('Providers'!$S$4:$S$503,269),"yyyy-mm-dd"),"")</f>
        <v/>
      </c>
      <c r="F2772">
        <f>"Certification"</f>
        <v/>
      </c>
      <c r="G2772">
        <f>""</f>
        <v/>
      </c>
      <c r="H2772">
        <f>"Medium"</f>
        <v/>
      </c>
      <c r="I2772">
        <f>TRIM(IF(LEN(IF(LEN(INDEX('Providers'!$R$4:$R$503,269))=0,"",INDEX('Providers'!$R$4:$R$503,269)))=0,"","Card: "&amp;IF(LEN(INDEX('Providers'!$R$4:$R$503,269))=0,"",INDEX('Providers'!$R$4:$R$503,269))&amp;". "))</f>
        <v/>
      </c>
      <c r="J2772">
        <f>IF(LEN(INDEX('Providers'!$AJ$4:$AJ$503,269))=0,"",INDEX('Providers'!$AJ$4:$AJ$503,269))</f>
        <v/>
      </c>
      <c r="K2772">
        <f>IF(LEN(INDEX('Providers'!$AI$4:$AI$503,269))=0,"",INDEX('Providers'!$AI$4:$AI$503,269))</f>
        <v/>
      </c>
    </row>
    <row r="2773">
      <c r="A2773">
        <f>IF(AND(LEN('Providers'!A273)&gt;0,ISNUMBER('Providers'!S273)),1,0)</f>
        <v/>
      </c>
      <c r="B2773">
        <f>B2772+A2773</f>
        <v/>
      </c>
      <c r="C2773">
        <f>IF(2770&gt;$B$4503,"",MATCH(2770-0.5,$B$3:$B$4503,1))</f>
        <v/>
      </c>
      <c r="D2773">
        <f>"Life support ("&amp;IF(LEN(INDEX('Providers'!$R$4:$R$503,270))=0,"",INDEX('Providers'!$R$4:$R$503,270))&amp;") – "&amp;IF(LEN(INDEX('Providers'!$A$4:$A$503,270))=0,"",INDEX('Providers'!$A$4:$A$503,270))</f>
        <v/>
      </c>
      <c r="E2773">
        <f>IF(ISNUMBER(INDEX('Providers'!$S$4:$S$503,270)),TEXT(INDEX('Providers'!$S$4:$S$503,270),"yyyy-mm-dd"),"")</f>
        <v/>
      </c>
      <c r="F2773">
        <f>"Certification"</f>
        <v/>
      </c>
      <c r="G2773">
        <f>""</f>
        <v/>
      </c>
      <c r="H2773">
        <f>"Medium"</f>
        <v/>
      </c>
      <c r="I2773">
        <f>TRIM(IF(LEN(IF(LEN(INDEX('Providers'!$R$4:$R$503,270))=0,"",INDEX('Providers'!$R$4:$R$503,270)))=0,"","Card: "&amp;IF(LEN(INDEX('Providers'!$R$4:$R$503,270))=0,"",INDEX('Providers'!$R$4:$R$503,270))&amp;". "))</f>
        <v/>
      </c>
      <c r="J2773">
        <f>IF(LEN(INDEX('Providers'!$AJ$4:$AJ$503,270))=0,"",INDEX('Providers'!$AJ$4:$AJ$503,270))</f>
        <v/>
      </c>
      <c r="K2773">
        <f>IF(LEN(INDEX('Providers'!$AI$4:$AI$503,270))=0,"",INDEX('Providers'!$AI$4:$AI$503,270))</f>
        <v/>
      </c>
    </row>
    <row r="2774">
      <c r="A2774">
        <f>IF(AND(LEN('Providers'!A274)&gt;0,ISNUMBER('Providers'!S274)),1,0)</f>
        <v/>
      </c>
      <c r="B2774">
        <f>B2773+A2774</f>
        <v/>
      </c>
      <c r="C2774">
        <f>IF(2771&gt;$B$4503,"",MATCH(2771-0.5,$B$3:$B$4503,1))</f>
        <v/>
      </c>
      <c r="D2774">
        <f>"Life support ("&amp;IF(LEN(INDEX('Providers'!$R$4:$R$503,271))=0,"",INDEX('Providers'!$R$4:$R$503,271))&amp;") – "&amp;IF(LEN(INDEX('Providers'!$A$4:$A$503,271))=0,"",INDEX('Providers'!$A$4:$A$503,271))</f>
        <v/>
      </c>
      <c r="E2774">
        <f>IF(ISNUMBER(INDEX('Providers'!$S$4:$S$503,271)),TEXT(INDEX('Providers'!$S$4:$S$503,271),"yyyy-mm-dd"),"")</f>
        <v/>
      </c>
      <c r="F2774">
        <f>"Certification"</f>
        <v/>
      </c>
      <c r="G2774">
        <f>""</f>
        <v/>
      </c>
      <c r="H2774">
        <f>"Medium"</f>
        <v/>
      </c>
      <c r="I2774">
        <f>TRIM(IF(LEN(IF(LEN(INDEX('Providers'!$R$4:$R$503,271))=0,"",INDEX('Providers'!$R$4:$R$503,271)))=0,"","Card: "&amp;IF(LEN(INDEX('Providers'!$R$4:$R$503,271))=0,"",INDEX('Providers'!$R$4:$R$503,271))&amp;". "))</f>
        <v/>
      </c>
      <c r="J2774">
        <f>IF(LEN(INDEX('Providers'!$AJ$4:$AJ$503,271))=0,"",INDEX('Providers'!$AJ$4:$AJ$503,271))</f>
        <v/>
      </c>
      <c r="K2774">
        <f>IF(LEN(INDEX('Providers'!$AI$4:$AI$503,271))=0,"",INDEX('Providers'!$AI$4:$AI$503,271))</f>
        <v/>
      </c>
    </row>
    <row r="2775">
      <c r="A2775">
        <f>IF(AND(LEN('Providers'!A275)&gt;0,ISNUMBER('Providers'!S275)),1,0)</f>
        <v/>
      </c>
      <c r="B2775">
        <f>B2774+A2775</f>
        <v/>
      </c>
      <c r="C2775">
        <f>IF(2772&gt;$B$4503,"",MATCH(2772-0.5,$B$3:$B$4503,1))</f>
        <v/>
      </c>
      <c r="D2775">
        <f>"Life support ("&amp;IF(LEN(INDEX('Providers'!$R$4:$R$503,272))=0,"",INDEX('Providers'!$R$4:$R$503,272))&amp;") – "&amp;IF(LEN(INDEX('Providers'!$A$4:$A$503,272))=0,"",INDEX('Providers'!$A$4:$A$503,272))</f>
        <v/>
      </c>
      <c r="E2775">
        <f>IF(ISNUMBER(INDEX('Providers'!$S$4:$S$503,272)),TEXT(INDEX('Providers'!$S$4:$S$503,272),"yyyy-mm-dd"),"")</f>
        <v/>
      </c>
      <c r="F2775">
        <f>"Certification"</f>
        <v/>
      </c>
      <c r="G2775">
        <f>""</f>
        <v/>
      </c>
      <c r="H2775">
        <f>"Medium"</f>
        <v/>
      </c>
      <c r="I2775">
        <f>TRIM(IF(LEN(IF(LEN(INDEX('Providers'!$R$4:$R$503,272))=0,"",INDEX('Providers'!$R$4:$R$503,272)))=0,"","Card: "&amp;IF(LEN(INDEX('Providers'!$R$4:$R$503,272))=0,"",INDEX('Providers'!$R$4:$R$503,272))&amp;". "))</f>
        <v/>
      </c>
      <c r="J2775">
        <f>IF(LEN(INDEX('Providers'!$AJ$4:$AJ$503,272))=0,"",INDEX('Providers'!$AJ$4:$AJ$503,272))</f>
        <v/>
      </c>
      <c r="K2775">
        <f>IF(LEN(INDEX('Providers'!$AI$4:$AI$503,272))=0,"",INDEX('Providers'!$AI$4:$AI$503,272))</f>
        <v/>
      </c>
    </row>
    <row r="2776">
      <c r="A2776">
        <f>IF(AND(LEN('Providers'!A276)&gt;0,ISNUMBER('Providers'!S276)),1,0)</f>
        <v/>
      </c>
      <c r="B2776">
        <f>B2775+A2776</f>
        <v/>
      </c>
      <c r="C2776">
        <f>IF(2773&gt;$B$4503,"",MATCH(2773-0.5,$B$3:$B$4503,1))</f>
        <v/>
      </c>
      <c r="D2776">
        <f>"Life support ("&amp;IF(LEN(INDEX('Providers'!$R$4:$R$503,273))=0,"",INDEX('Providers'!$R$4:$R$503,273))&amp;") – "&amp;IF(LEN(INDEX('Providers'!$A$4:$A$503,273))=0,"",INDEX('Providers'!$A$4:$A$503,273))</f>
        <v/>
      </c>
      <c r="E2776">
        <f>IF(ISNUMBER(INDEX('Providers'!$S$4:$S$503,273)),TEXT(INDEX('Providers'!$S$4:$S$503,273),"yyyy-mm-dd"),"")</f>
        <v/>
      </c>
      <c r="F2776">
        <f>"Certification"</f>
        <v/>
      </c>
      <c r="G2776">
        <f>""</f>
        <v/>
      </c>
      <c r="H2776">
        <f>"Medium"</f>
        <v/>
      </c>
      <c r="I2776">
        <f>TRIM(IF(LEN(IF(LEN(INDEX('Providers'!$R$4:$R$503,273))=0,"",INDEX('Providers'!$R$4:$R$503,273)))=0,"","Card: "&amp;IF(LEN(INDEX('Providers'!$R$4:$R$503,273))=0,"",INDEX('Providers'!$R$4:$R$503,273))&amp;". "))</f>
        <v/>
      </c>
      <c r="J2776">
        <f>IF(LEN(INDEX('Providers'!$AJ$4:$AJ$503,273))=0,"",INDEX('Providers'!$AJ$4:$AJ$503,273))</f>
        <v/>
      </c>
      <c r="K2776">
        <f>IF(LEN(INDEX('Providers'!$AI$4:$AI$503,273))=0,"",INDEX('Providers'!$AI$4:$AI$503,273))</f>
        <v/>
      </c>
    </row>
    <row r="2777">
      <c r="A2777">
        <f>IF(AND(LEN('Providers'!A277)&gt;0,ISNUMBER('Providers'!S277)),1,0)</f>
        <v/>
      </c>
      <c r="B2777">
        <f>B2776+A2777</f>
        <v/>
      </c>
      <c r="C2777">
        <f>IF(2774&gt;$B$4503,"",MATCH(2774-0.5,$B$3:$B$4503,1))</f>
        <v/>
      </c>
      <c r="D2777">
        <f>"Life support ("&amp;IF(LEN(INDEX('Providers'!$R$4:$R$503,274))=0,"",INDEX('Providers'!$R$4:$R$503,274))&amp;") – "&amp;IF(LEN(INDEX('Providers'!$A$4:$A$503,274))=0,"",INDEX('Providers'!$A$4:$A$503,274))</f>
        <v/>
      </c>
      <c r="E2777">
        <f>IF(ISNUMBER(INDEX('Providers'!$S$4:$S$503,274)),TEXT(INDEX('Providers'!$S$4:$S$503,274),"yyyy-mm-dd"),"")</f>
        <v/>
      </c>
      <c r="F2777">
        <f>"Certification"</f>
        <v/>
      </c>
      <c r="G2777">
        <f>""</f>
        <v/>
      </c>
      <c r="H2777">
        <f>"Medium"</f>
        <v/>
      </c>
      <c r="I2777">
        <f>TRIM(IF(LEN(IF(LEN(INDEX('Providers'!$R$4:$R$503,274))=0,"",INDEX('Providers'!$R$4:$R$503,274)))=0,"","Card: "&amp;IF(LEN(INDEX('Providers'!$R$4:$R$503,274))=0,"",INDEX('Providers'!$R$4:$R$503,274))&amp;". "))</f>
        <v/>
      </c>
      <c r="J2777">
        <f>IF(LEN(INDEX('Providers'!$AJ$4:$AJ$503,274))=0,"",INDEX('Providers'!$AJ$4:$AJ$503,274))</f>
        <v/>
      </c>
      <c r="K2777">
        <f>IF(LEN(INDEX('Providers'!$AI$4:$AI$503,274))=0,"",INDEX('Providers'!$AI$4:$AI$503,274))</f>
        <v/>
      </c>
    </row>
    <row r="2778">
      <c r="A2778">
        <f>IF(AND(LEN('Providers'!A278)&gt;0,ISNUMBER('Providers'!S278)),1,0)</f>
        <v/>
      </c>
      <c r="B2778">
        <f>B2777+A2778</f>
        <v/>
      </c>
      <c r="C2778">
        <f>IF(2775&gt;$B$4503,"",MATCH(2775-0.5,$B$3:$B$4503,1))</f>
        <v/>
      </c>
      <c r="D2778">
        <f>"Life support ("&amp;IF(LEN(INDEX('Providers'!$R$4:$R$503,275))=0,"",INDEX('Providers'!$R$4:$R$503,275))&amp;") – "&amp;IF(LEN(INDEX('Providers'!$A$4:$A$503,275))=0,"",INDEX('Providers'!$A$4:$A$503,275))</f>
        <v/>
      </c>
      <c r="E2778">
        <f>IF(ISNUMBER(INDEX('Providers'!$S$4:$S$503,275)),TEXT(INDEX('Providers'!$S$4:$S$503,275),"yyyy-mm-dd"),"")</f>
        <v/>
      </c>
      <c r="F2778">
        <f>"Certification"</f>
        <v/>
      </c>
      <c r="G2778">
        <f>""</f>
        <v/>
      </c>
      <c r="H2778">
        <f>"Medium"</f>
        <v/>
      </c>
      <c r="I2778">
        <f>TRIM(IF(LEN(IF(LEN(INDEX('Providers'!$R$4:$R$503,275))=0,"",INDEX('Providers'!$R$4:$R$503,275)))=0,"","Card: "&amp;IF(LEN(INDEX('Providers'!$R$4:$R$503,275))=0,"",INDEX('Providers'!$R$4:$R$503,275))&amp;". "))</f>
        <v/>
      </c>
      <c r="J2778">
        <f>IF(LEN(INDEX('Providers'!$AJ$4:$AJ$503,275))=0,"",INDEX('Providers'!$AJ$4:$AJ$503,275))</f>
        <v/>
      </c>
      <c r="K2778">
        <f>IF(LEN(INDEX('Providers'!$AI$4:$AI$503,275))=0,"",INDEX('Providers'!$AI$4:$AI$503,275))</f>
        <v/>
      </c>
    </row>
    <row r="2779">
      <c r="A2779">
        <f>IF(AND(LEN('Providers'!A279)&gt;0,ISNUMBER('Providers'!S279)),1,0)</f>
        <v/>
      </c>
      <c r="B2779">
        <f>B2778+A2779</f>
        <v/>
      </c>
      <c r="C2779">
        <f>IF(2776&gt;$B$4503,"",MATCH(2776-0.5,$B$3:$B$4503,1))</f>
        <v/>
      </c>
      <c r="D2779">
        <f>"Life support ("&amp;IF(LEN(INDEX('Providers'!$R$4:$R$503,276))=0,"",INDEX('Providers'!$R$4:$R$503,276))&amp;") – "&amp;IF(LEN(INDEX('Providers'!$A$4:$A$503,276))=0,"",INDEX('Providers'!$A$4:$A$503,276))</f>
        <v/>
      </c>
      <c r="E2779">
        <f>IF(ISNUMBER(INDEX('Providers'!$S$4:$S$503,276)),TEXT(INDEX('Providers'!$S$4:$S$503,276),"yyyy-mm-dd"),"")</f>
        <v/>
      </c>
      <c r="F2779">
        <f>"Certification"</f>
        <v/>
      </c>
      <c r="G2779">
        <f>""</f>
        <v/>
      </c>
      <c r="H2779">
        <f>"Medium"</f>
        <v/>
      </c>
      <c r="I2779">
        <f>TRIM(IF(LEN(IF(LEN(INDEX('Providers'!$R$4:$R$503,276))=0,"",INDEX('Providers'!$R$4:$R$503,276)))=0,"","Card: "&amp;IF(LEN(INDEX('Providers'!$R$4:$R$503,276))=0,"",INDEX('Providers'!$R$4:$R$503,276))&amp;". "))</f>
        <v/>
      </c>
      <c r="J2779">
        <f>IF(LEN(INDEX('Providers'!$AJ$4:$AJ$503,276))=0,"",INDEX('Providers'!$AJ$4:$AJ$503,276))</f>
        <v/>
      </c>
      <c r="K2779">
        <f>IF(LEN(INDEX('Providers'!$AI$4:$AI$503,276))=0,"",INDEX('Providers'!$AI$4:$AI$503,276))</f>
        <v/>
      </c>
    </row>
    <row r="2780">
      <c r="A2780">
        <f>IF(AND(LEN('Providers'!A280)&gt;0,ISNUMBER('Providers'!S280)),1,0)</f>
        <v/>
      </c>
      <c r="B2780">
        <f>B2779+A2780</f>
        <v/>
      </c>
      <c r="C2780">
        <f>IF(2777&gt;$B$4503,"",MATCH(2777-0.5,$B$3:$B$4503,1))</f>
        <v/>
      </c>
      <c r="D2780">
        <f>"Life support ("&amp;IF(LEN(INDEX('Providers'!$R$4:$R$503,277))=0,"",INDEX('Providers'!$R$4:$R$503,277))&amp;") – "&amp;IF(LEN(INDEX('Providers'!$A$4:$A$503,277))=0,"",INDEX('Providers'!$A$4:$A$503,277))</f>
        <v/>
      </c>
      <c r="E2780">
        <f>IF(ISNUMBER(INDEX('Providers'!$S$4:$S$503,277)),TEXT(INDEX('Providers'!$S$4:$S$503,277),"yyyy-mm-dd"),"")</f>
        <v/>
      </c>
      <c r="F2780">
        <f>"Certification"</f>
        <v/>
      </c>
      <c r="G2780">
        <f>""</f>
        <v/>
      </c>
      <c r="H2780">
        <f>"Medium"</f>
        <v/>
      </c>
      <c r="I2780">
        <f>TRIM(IF(LEN(IF(LEN(INDEX('Providers'!$R$4:$R$503,277))=0,"",INDEX('Providers'!$R$4:$R$503,277)))=0,"","Card: "&amp;IF(LEN(INDEX('Providers'!$R$4:$R$503,277))=0,"",INDEX('Providers'!$R$4:$R$503,277))&amp;". "))</f>
        <v/>
      </c>
      <c r="J2780">
        <f>IF(LEN(INDEX('Providers'!$AJ$4:$AJ$503,277))=0,"",INDEX('Providers'!$AJ$4:$AJ$503,277))</f>
        <v/>
      </c>
      <c r="K2780">
        <f>IF(LEN(INDEX('Providers'!$AI$4:$AI$503,277))=0,"",INDEX('Providers'!$AI$4:$AI$503,277))</f>
        <v/>
      </c>
    </row>
    <row r="2781">
      <c r="A2781">
        <f>IF(AND(LEN('Providers'!A281)&gt;0,ISNUMBER('Providers'!S281)),1,0)</f>
        <v/>
      </c>
      <c r="B2781">
        <f>B2780+A2781</f>
        <v/>
      </c>
      <c r="C2781">
        <f>IF(2778&gt;$B$4503,"",MATCH(2778-0.5,$B$3:$B$4503,1))</f>
        <v/>
      </c>
      <c r="D2781">
        <f>"Life support ("&amp;IF(LEN(INDEX('Providers'!$R$4:$R$503,278))=0,"",INDEX('Providers'!$R$4:$R$503,278))&amp;") – "&amp;IF(LEN(INDEX('Providers'!$A$4:$A$503,278))=0,"",INDEX('Providers'!$A$4:$A$503,278))</f>
        <v/>
      </c>
      <c r="E2781">
        <f>IF(ISNUMBER(INDEX('Providers'!$S$4:$S$503,278)),TEXT(INDEX('Providers'!$S$4:$S$503,278),"yyyy-mm-dd"),"")</f>
        <v/>
      </c>
      <c r="F2781">
        <f>"Certification"</f>
        <v/>
      </c>
      <c r="G2781">
        <f>""</f>
        <v/>
      </c>
      <c r="H2781">
        <f>"Medium"</f>
        <v/>
      </c>
      <c r="I2781">
        <f>TRIM(IF(LEN(IF(LEN(INDEX('Providers'!$R$4:$R$503,278))=0,"",INDEX('Providers'!$R$4:$R$503,278)))=0,"","Card: "&amp;IF(LEN(INDEX('Providers'!$R$4:$R$503,278))=0,"",INDEX('Providers'!$R$4:$R$503,278))&amp;". "))</f>
        <v/>
      </c>
      <c r="J2781">
        <f>IF(LEN(INDEX('Providers'!$AJ$4:$AJ$503,278))=0,"",INDEX('Providers'!$AJ$4:$AJ$503,278))</f>
        <v/>
      </c>
      <c r="K2781">
        <f>IF(LEN(INDEX('Providers'!$AI$4:$AI$503,278))=0,"",INDEX('Providers'!$AI$4:$AI$503,278))</f>
        <v/>
      </c>
    </row>
    <row r="2782">
      <c r="A2782">
        <f>IF(AND(LEN('Providers'!A282)&gt;0,ISNUMBER('Providers'!S282)),1,0)</f>
        <v/>
      </c>
      <c r="B2782">
        <f>B2781+A2782</f>
        <v/>
      </c>
      <c r="C2782">
        <f>IF(2779&gt;$B$4503,"",MATCH(2779-0.5,$B$3:$B$4503,1))</f>
        <v/>
      </c>
      <c r="D2782">
        <f>"Life support ("&amp;IF(LEN(INDEX('Providers'!$R$4:$R$503,279))=0,"",INDEX('Providers'!$R$4:$R$503,279))&amp;") – "&amp;IF(LEN(INDEX('Providers'!$A$4:$A$503,279))=0,"",INDEX('Providers'!$A$4:$A$503,279))</f>
        <v/>
      </c>
      <c r="E2782">
        <f>IF(ISNUMBER(INDEX('Providers'!$S$4:$S$503,279)),TEXT(INDEX('Providers'!$S$4:$S$503,279),"yyyy-mm-dd"),"")</f>
        <v/>
      </c>
      <c r="F2782">
        <f>"Certification"</f>
        <v/>
      </c>
      <c r="G2782">
        <f>""</f>
        <v/>
      </c>
      <c r="H2782">
        <f>"Medium"</f>
        <v/>
      </c>
      <c r="I2782">
        <f>TRIM(IF(LEN(IF(LEN(INDEX('Providers'!$R$4:$R$503,279))=0,"",INDEX('Providers'!$R$4:$R$503,279)))=0,"","Card: "&amp;IF(LEN(INDEX('Providers'!$R$4:$R$503,279))=0,"",INDEX('Providers'!$R$4:$R$503,279))&amp;". "))</f>
        <v/>
      </c>
      <c r="J2782">
        <f>IF(LEN(INDEX('Providers'!$AJ$4:$AJ$503,279))=0,"",INDEX('Providers'!$AJ$4:$AJ$503,279))</f>
        <v/>
      </c>
      <c r="K2782">
        <f>IF(LEN(INDEX('Providers'!$AI$4:$AI$503,279))=0,"",INDEX('Providers'!$AI$4:$AI$503,279))</f>
        <v/>
      </c>
    </row>
    <row r="2783">
      <c r="A2783">
        <f>IF(AND(LEN('Providers'!A283)&gt;0,ISNUMBER('Providers'!S283)),1,0)</f>
        <v/>
      </c>
      <c r="B2783">
        <f>B2782+A2783</f>
        <v/>
      </c>
      <c r="C2783">
        <f>IF(2780&gt;$B$4503,"",MATCH(2780-0.5,$B$3:$B$4503,1))</f>
        <v/>
      </c>
      <c r="D2783">
        <f>"Life support ("&amp;IF(LEN(INDEX('Providers'!$R$4:$R$503,280))=0,"",INDEX('Providers'!$R$4:$R$503,280))&amp;") – "&amp;IF(LEN(INDEX('Providers'!$A$4:$A$503,280))=0,"",INDEX('Providers'!$A$4:$A$503,280))</f>
        <v/>
      </c>
      <c r="E2783">
        <f>IF(ISNUMBER(INDEX('Providers'!$S$4:$S$503,280)),TEXT(INDEX('Providers'!$S$4:$S$503,280),"yyyy-mm-dd"),"")</f>
        <v/>
      </c>
      <c r="F2783">
        <f>"Certification"</f>
        <v/>
      </c>
      <c r="G2783">
        <f>""</f>
        <v/>
      </c>
      <c r="H2783">
        <f>"Medium"</f>
        <v/>
      </c>
      <c r="I2783">
        <f>TRIM(IF(LEN(IF(LEN(INDEX('Providers'!$R$4:$R$503,280))=0,"",INDEX('Providers'!$R$4:$R$503,280)))=0,"","Card: "&amp;IF(LEN(INDEX('Providers'!$R$4:$R$503,280))=0,"",INDEX('Providers'!$R$4:$R$503,280))&amp;". "))</f>
        <v/>
      </c>
      <c r="J2783">
        <f>IF(LEN(INDEX('Providers'!$AJ$4:$AJ$503,280))=0,"",INDEX('Providers'!$AJ$4:$AJ$503,280))</f>
        <v/>
      </c>
      <c r="K2783">
        <f>IF(LEN(INDEX('Providers'!$AI$4:$AI$503,280))=0,"",INDEX('Providers'!$AI$4:$AI$503,280))</f>
        <v/>
      </c>
    </row>
    <row r="2784">
      <c r="A2784">
        <f>IF(AND(LEN('Providers'!A284)&gt;0,ISNUMBER('Providers'!S284)),1,0)</f>
        <v/>
      </c>
      <c r="B2784">
        <f>B2783+A2784</f>
        <v/>
      </c>
      <c r="C2784">
        <f>IF(2781&gt;$B$4503,"",MATCH(2781-0.5,$B$3:$B$4503,1))</f>
        <v/>
      </c>
      <c r="D2784">
        <f>"Life support ("&amp;IF(LEN(INDEX('Providers'!$R$4:$R$503,281))=0,"",INDEX('Providers'!$R$4:$R$503,281))&amp;") – "&amp;IF(LEN(INDEX('Providers'!$A$4:$A$503,281))=0,"",INDEX('Providers'!$A$4:$A$503,281))</f>
        <v/>
      </c>
      <c r="E2784">
        <f>IF(ISNUMBER(INDEX('Providers'!$S$4:$S$503,281)),TEXT(INDEX('Providers'!$S$4:$S$503,281),"yyyy-mm-dd"),"")</f>
        <v/>
      </c>
      <c r="F2784">
        <f>"Certification"</f>
        <v/>
      </c>
      <c r="G2784">
        <f>""</f>
        <v/>
      </c>
      <c r="H2784">
        <f>"Medium"</f>
        <v/>
      </c>
      <c r="I2784">
        <f>TRIM(IF(LEN(IF(LEN(INDEX('Providers'!$R$4:$R$503,281))=0,"",INDEX('Providers'!$R$4:$R$503,281)))=0,"","Card: "&amp;IF(LEN(INDEX('Providers'!$R$4:$R$503,281))=0,"",INDEX('Providers'!$R$4:$R$503,281))&amp;". "))</f>
        <v/>
      </c>
      <c r="J2784">
        <f>IF(LEN(INDEX('Providers'!$AJ$4:$AJ$503,281))=0,"",INDEX('Providers'!$AJ$4:$AJ$503,281))</f>
        <v/>
      </c>
      <c r="K2784">
        <f>IF(LEN(INDEX('Providers'!$AI$4:$AI$503,281))=0,"",INDEX('Providers'!$AI$4:$AI$503,281))</f>
        <v/>
      </c>
    </row>
    <row r="2785">
      <c r="A2785">
        <f>IF(AND(LEN('Providers'!A285)&gt;0,ISNUMBER('Providers'!S285)),1,0)</f>
        <v/>
      </c>
      <c r="B2785">
        <f>B2784+A2785</f>
        <v/>
      </c>
      <c r="C2785">
        <f>IF(2782&gt;$B$4503,"",MATCH(2782-0.5,$B$3:$B$4503,1))</f>
        <v/>
      </c>
      <c r="D2785">
        <f>"Life support ("&amp;IF(LEN(INDEX('Providers'!$R$4:$R$503,282))=0,"",INDEX('Providers'!$R$4:$R$503,282))&amp;") – "&amp;IF(LEN(INDEX('Providers'!$A$4:$A$503,282))=0,"",INDEX('Providers'!$A$4:$A$503,282))</f>
        <v/>
      </c>
      <c r="E2785">
        <f>IF(ISNUMBER(INDEX('Providers'!$S$4:$S$503,282)),TEXT(INDEX('Providers'!$S$4:$S$503,282),"yyyy-mm-dd"),"")</f>
        <v/>
      </c>
      <c r="F2785">
        <f>"Certification"</f>
        <v/>
      </c>
      <c r="G2785">
        <f>""</f>
        <v/>
      </c>
      <c r="H2785">
        <f>"Medium"</f>
        <v/>
      </c>
      <c r="I2785">
        <f>TRIM(IF(LEN(IF(LEN(INDEX('Providers'!$R$4:$R$503,282))=0,"",INDEX('Providers'!$R$4:$R$503,282)))=0,"","Card: "&amp;IF(LEN(INDEX('Providers'!$R$4:$R$503,282))=0,"",INDEX('Providers'!$R$4:$R$503,282))&amp;". "))</f>
        <v/>
      </c>
      <c r="J2785">
        <f>IF(LEN(INDEX('Providers'!$AJ$4:$AJ$503,282))=0,"",INDEX('Providers'!$AJ$4:$AJ$503,282))</f>
        <v/>
      </c>
      <c r="K2785">
        <f>IF(LEN(INDEX('Providers'!$AI$4:$AI$503,282))=0,"",INDEX('Providers'!$AI$4:$AI$503,282))</f>
        <v/>
      </c>
    </row>
    <row r="2786">
      <c r="A2786">
        <f>IF(AND(LEN('Providers'!A286)&gt;0,ISNUMBER('Providers'!S286)),1,0)</f>
        <v/>
      </c>
      <c r="B2786">
        <f>B2785+A2786</f>
        <v/>
      </c>
      <c r="C2786">
        <f>IF(2783&gt;$B$4503,"",MATCH(2783-0.5,$B$3:$B$4503,1))</f>
        <v/>
      </c>
      <c r="D2786">
        <f>"Life support ("&amp;IF(LEN(INDEX('Providers'!$R$4:$R$503,283))=0,"",INDEX('Providers'!$R$4:$R$503,283))&amp;") – "&amp;IF(LEN(INDEX('Providers'!$A$4:$A$503,283))=0,"",INDEX('Providers'!$A$4:$A$503,283))</f>
        <v/>
      </c>
      <c r="E2786">
        <f>IF(ISNUMBER(INDEX('Providers'!$S$4:$S$503,283)),TEXT(INDEX('Providers'!$S$4:$S$503,283),"yyyy-mm-dd"),"")</f>
        <v/>
      </c>
      <c r="F2786">
        <f>"Certification"</f>
        <v/>
      </c>
      <c r="G2786">
        <f>""</f>
        <v/>
      </c>
      <c r="H2786">
        <f>"Medium"</f>
        <v/>
      </c>
      <c r="I2786">
        <f>TRIM(IF(LEN(IF(LEN(INDEX('Providers'!$R$4:$R$503,283))=0,"",INDEX('Providers'!$R$4:$R$503,283)))=0,"","Card: "&amp;IF(LEN(INDEX('Providers'!$R$4:$R$503,283))=0,"",INDEX('Providers'!$R$4:$R$503,283))&amp;". "))</f>
        <v/>
      </c>
      <c r="J2786">
        <f>IF(LEN(INDEX('Providers'!$AJ$4:$AJ$503,283))=0,"",INDEX('Providers'!$AJ$4:$AJ$503,283))</f>
        <v/>
      </c>
      <c r="K2786">
        <f>IF(LEN(INDEX('Providers'!$AI$4:$AI$503,283))=0,"",INDEX('Providers'!$AI$4:$AI$503,283))</f>
        <v/>
      </c>
    </row>
    <row r="2787">
      <c r="A2787">
        <f>IF(AND(LEN('Providers'!A287)&gt;0,ISNUMBER('Providers'!S287)),1,0)</f>
        <v/>
      </c>
      <c r="B2787">
        <f>B2786+A2787</f>
        <v/>
      </c>
      <c r="C2787">
        <f>IF(2784&gt;$B$4503,"",MATCH(2784-0.5,$B$3:$B$4503,1))</f>
        <v/>
      </c>
      <c r="D2787">
        <f>"Life support ("&amp;IF(LEN(INDEX('Providers'!$R$4:$R$503,284))=0,"",INDEX('Providers'!$R$4:$R$503,284))&amp;") – "&amp;IF(LEN(INDEX('Providers'!$A$4:$A$503,284))=0,"",INDEX('Providers'!$A$4:$A$503,284))</f>
        <v/>
      </c>
      <c r="E2787">
        <f>IF(ISNUMBER(INDEX('Providers'!$S$4:$S$503,284)),TEXT(INDEX('Providers'!$S$4:$S$503,284),"yyyy-mm-dd"),"")</f>
        <v/>
      </c>
      <c r="F2787">
        <f>"Certification"</f>
        <v/>
      </c>
      <c r="G2787">
        <f>""</f>
        <v/>
      </c>
      <c r="H2787">
        <f>"Medium"</f>
        <v/>
      </c>
      <c r="I2787">
        <f>TRIM(IF(LEN(IF(LEN(INDEX('Providers'!$R$4:$R$503,284))=0,"",INDEX('Providers'!$R$4:$R$503,284)))=0,"","Card: "&amp;IF(LEN(INDEX('Providers'!$R$4:$R$503,284))=0,"",INDEX('Providers'!$R$4:$R$503,284))&amp;". "))</f>
        <v/>
      </c>
      <c r="J2787">
        <f>IF(LEN(INDEX('Providers'!$AJ$4:$AJ$503,284))=0,"",INDEX('Providers'!$AJ$4:$AJ$503,284))</f>
        <v/>
      </c>
      <c r="K2787">
        <f>IF(LEN(INDEX('Providers'!$AI$4:$AI$503,284))=0,"",INDEX('Providers'!$AI$4:$AI$503,284))</f>
        <v/>
      </c>
    </row>
    <row r="2788">
      <c r="A2788">
        <f>IF(AND(LEN('Providers'!A288)&gt;0,ISNUMBER('Providers'!S288)),1,0)</f>
        <v/>
      </c>
      <c r="B2788">
        <f>B2787+A2788</f>
        <v/>
      </c>
      <c r="C2788">
        <f>IF(2785&gt;$B$4503,"",MATCH(2785-0.5,$B$3:$B$4503,1))</f>
        <v/>
      </c>
      <c r="D2788">
        <f>"Life support ("&amp;IF(LEN(INDEX('Providers'!$R$4:$R$503,285))=0,"",INDEX('Providers'!$R$4:$R$503,285))&amp;") – "&amp;IF(LEN(INDEX('Providers'!$A$4:$A$503,285))=0,"",INDEX('Providers'!$A$4:$A$503,285))</f>
        <v/>
      </c>
      <c r="E2788">
        <f>IF(ISNUMBER(INDEX('Providers'!$S$4:$S$503,285)),TEXT(INDEX('Providers'!$S$4:$S$503,285),"yyyy-mm-dd"),"")</f>
        <v/>
      </c>
      <c r="F2788">
        <f>"Certification"</f>
        <v/>
      </c>
      <c r="G2788">
        <f>""</f>
        <v/>
      </c>
      <c r="H2788">
        <f>"Medium"</f>
        <v/>
      </c>
      <c r="I2788">
        <f>TRIM(IF(LEN(IF(LEN(INDEX('Providers'!$R$4:$R$503,285))=0,"",INDEX('Providers'!$R$4:$R$503,285)))=0,"","Card: "&amp;IF(LEN(INDEX('Providers'!$R$4:$R$503,285))=0,"",INDEX('Providers'!$R$4:$R$503,285))&amp;". "))</f>
        <v/>
      </c>
      <c r="J2788">
        <f>IF(LEN(INDEX('Providers'!$AJ$4:$AJ$503,285))=0,"",INDEX('Providers'!$AJ$4:$AJ$503,285))</f>
        <v/>
      </c>
      <c r="K2788">
        <f>IF(LEN(INDEX('Providers'!$AI$4:$AI$503,285))=0,"",INDEX('Providers'!$AI$4:$AI$503,285))</f>
        <v/>
      </c>
    </row>
    <row r="2789">
      <c r="A2789">
        <f>IF(AND(LEN('Providers'!A289)&gt;0,ISNUMBER('Providers'!S289)),1,0)</f>
        <v/>
      </c>
      <c r="B2789">
        <f>B2788+A2789</f>
        <v/>
      </c>
      <c r="C2789">
        <f>IF(2786&gt;$B$4503,"",MATCH(2786-0.5,$B$3:$B$4503,1))</f>
        <v/>
      </c>
      <c r="D2789">
        <f>"Life support ("&amp;IF(LEN(INDEX('Providers'!$R$4:$R$503,286))=0,"",INDEX('Providers'!$R$4:$R$503,286))&amp;") – "&amp;IF(LEN(INDEX('Providers'!$A$4:$A$503,286))=0,"",INDEX('Providers'!$A$4:$A$503,286))</f>
        <v/>
      </c>
      <c r="E2789">
        <f>IF(ISNUMBER(INDEX('Providers'!$S$4:$S$503,286)),TEXT(INDEX('Providers'!$S$4:$S$503,286),"yyyy-mm-dd"),"")</f>
        <v/>
      </c>
      <c r="F2789">
        <f>"Certification"</f>
        <v/>
      </c>
      <c r="G2789">
        <f>""</f>
        <v/>
      </c>
      <c r="H2789">
        <f>"Medium"</f>
        <v/>
      </c>
      <c r="I2789">
        <f>TRIM(IF(LEN(IF(LEN(INDEX('Providers'!$R$4:$R$503,286))=0,"",INDEX('Providers'!$R$4:$R$503,286)))=0,"","Card: "&amp;IF(LEN(INDEX('Providers'!$R$4:$R$503,286))=0,"",INDEX('Providers'!$R$4:$R$503,286))&amp;". "))</f>
        <v/>
      </c>
      <c r="J2789">
        <f>IF(LEN(INDEX('Providers'!$AJ$4:$AJ$503,286))=0,"",INDEX('Providers'!$AJ$4:$AJ$503,286))</f>
        <v/>
      </c>
      <c r="K2789">
        <f>IF(LEN(INDEX('Providers'!$AI$4:$AI$503,286))=0,"",INDEX('Providers'!$AI$4:$AI$503,286))</f>
        <v/>
      </c>
    </row>
    <row r="2790">
      <c r="A2790">
        <f>IF(AND(LEN('Providers'!A290)&gt;0,ISNUMBER('Providers'!S290)),1,0)</f>
        <v/>
      </c>
      <c r="B2790">
        <f>B2789+A2790</f>
        <v/>
      </c>
      <c r="C2790">
        <f>IF(2787&gt;$B$4503,"",MATCH(2787-0.5,$B$3:$B$4503,1))</f>
        <v/>
      </c>
      <c r="D2790">
        <f>"Life support ("&amp;IF(LEN(INDEX('Providers'!$R$4:$R$503,287))=0,"",INDEX('Providers'!$R$4:$R$503,287))&amp;") – "&amp;IF(LEN(INDEX('Providers'!$A$4:$A$503,287))=0,"",INDEX('Providers'!$A$4:$A$503,287))</f>
        <v/>
      </c>
      <c r="E2790">
        <f>IF(ISNUMBER(INDEX('Providers'!$S$4:$S$503,287)),TEXT(INDEX('Providers'!$S$4:$S$503,287),"yyyy-mm-dd"),"")</f>
        <v/>
      </c>
      <c r="F2790">
        <f>"Certification"</f>
        <v/>
      </c>
      <c r="G2790">
        <f>""</f>
        <v/>
      </c>
      <c r="H2790">
        <f>"Medium"</f>
        <v/>
      </c>
      <c r="I2790">
        <f>TRIM(IF(LEN(IF(LEN(INDEX('Providers'!$R$4:$R$503,287))=0,"",INDEX('Providers'!$R$4:$R$503,287)))=0,"","Card: "&amp;IF(LEN(INDEX('Providers'!$R$4:$R$503,287))=0,"",INDEX('Providers'!$R$4:$R$503,287))&amp;". "))</f>
        <v/>
      </c>
      <c r="J2790">
        <f>IF(LEN(INDEX('Providers'!$AJ$4:$AJ$503,287))=0,"",INDEX('Providers'!$AJ$4:$AJ$503,287))</f>
        <v/>
      </c>
      <c r="K2790">
        <f>IF(LEN(INDEX('Providers'!$AI$4:$AI$503,287))=0,"",INDEX('Providers'!$AI$4:$AI$503,287))</f>
        <v/>
      </c>
    </row>
    <row r="2791">
      <c r="A2791">
        <f>IF(AND(LEN('Providers'!A291)&gt;0,ISNUMBER('Providers'!S291)),1,0)</f>
        <v/>
      </c>
      <c r="B2791">
        <f>B2790+A2791</f>
        <v/>
      </c>
      <c r="C2791">
        <f>IF(2788&gt;$B$4503,"",MATCH(2788-0.5,$B$3:$B$4503,1))</f>
        <v/>
      </c>
      <c r="D2791">
        <f>"Life support ("&amp;IF(LEN(INDEX('Providers'!$R$4:$R$503,288))=0,"",INDEX('Providers'!$R$4:$R$503,288))&amp;") – "&amp;IF(LEN(INDEX('Providers'!$A$4:$A$503,288))=0,"",INDEX('Providers'!$A$4:$A$503,288))</f>
        <v/>
      </c>
      <c r="E2791">
        <f>IF(ISNUMBER(INDEX('Providers'!$S$4:$S$503,288)),TEXT(INDEX('Providers'!$S$4:$S$503,288),"yyyy-mm-dd"),"")</f>
        <v/>
      </c>
      <c r="F2791">
        <f>"Certification"</f>
        <v/>
      </c>
      <c r="G2791">
        <f>""</f>
        <v/>
      </c>
      <c r="H2791">
        <f>"Medium"</f>
        <v/>
      </c>
      <c r="I2791">
        <f>TRIM(IF(LEN(IF(LEN(INDEX('Providers'!$R$4:$R$503,288))=0,"",INDEX('Providers'!$R$4:$R$503,288)))=0,"","Card: "&amp;IF(LEN(INDEX('Providers'!$R$4:$R$503,288))=0,"",INDEX('Providers'!$R$4:$R$503,288))&amp;". "))</f>
        <v/>
      </c>
      <c r="J2791">
        <f>IF(LEN(INDEX('Providers'!$AJ$4:$AJ$503,288))=0,"",INDEX('Providers'!$AJ$4:$AJ$503,288))</f>
        <v/>
      </c>
      <c r="K2791">
        <f>IF(LEN(INDEX('Providers'!$AI$4:$AI$503,288))=0,"",INDEX('Providers'!$AI$4:$AI$503,288))</f>
        <v/>
      </c>
    </row>
    <row r="2792">
      <c r="A2792">
        <f>IF(AND(LEN('Providers'!A292)&gt;0,ISNUMBER('Providers'!S292)),1,0)</f>
        <v/>
      </c>
      <c r="B2792">
        <f>B2791+A2792</f>
        <v/>
      </c>
      <c r="C2792">
        <f>IF(2789&gt;$B$4503,"",MATCH(2789-0.5,$B$3:$B$4503,1))</f>
        <v/>
      </c>
      <c r="D2792">
        <f>"Life support ("&amp;IF(LEN(INDEX('Providers'!$R$4:$R$503,289))=0,"",INDEX('Providers'!$R$4:$R$503,289))&amp;") – "&amp;IF(LEN(INDEX('Providers'!$A$4:$A$503,289))=0,"",INDEX('Providers'!$A$4:$A$503,289))</f>
        <v/>
      </c>
      <c r="E2792">
        <f>IF(ISNUMBER(INDEX('Providers'!$S$4:$S$503,289)),TEXT(INDEX('Providers'!$S$4:$S$503,289),"yyyy-mm-dd"),"")</f>
        <v/>
      </c>
      <c r="F2792">
        <f>"Certification"</f>
        <v/>
      </c>
      <c r="G2792">
        <f>""</f>
        <v/>
      </c>
      <c r="H2792">
        <f>"Medium"</f>
        <v/>
      </c>
      <c r="I2792">
        <f>TRIM(IF(LEN(IF(LEN(INDEX('Providers'!$R$4:$R$503,289))=0,"",INDEX('Providers'!$R$4:$R$503,289)))=0,"","Card: "&amp;IF(LEN(INDEX('Providers'!$R$4:$R$503,289))=0,"",INDEX('Providers'!$R$4:$R$503,289))&amp;". "))</f>
        <v/>
      </c>
      <c r="J2792">
        <f>IF(LEN(INDEX('Providers'!$AJ$4:$AJ$503,289))=0,"",INDEX('Providers'!$AJ$4:$AJ$503,289))</f>
        <v/>
      </c>
      <c r="K2792">
        <f>IF(LEN(INDEX('Providers'!$AI$4:$AI$503,289))=0,"",INDEX('Providers'!$AI$4:$AI$503,289))</f>
        <v/>
      </c>
    </row>
    <row r="2793">
      <c r="A2793">
        <f>IF(AND(LEN('Providers'!A293)&gt;0,ISNUMBER('Providers'!S293)),1,0)</f>
        <v/>
      </c>
      <c r="B2793">
        <f>B2792+A2793</f>
        <v/>
      </c>
      <c r="C2793">
        <f>IF(2790&gt;$B$4503,"",MATCH(2790-0.5,$B$3:$B$4503,1))</f>
        <v/>
      </c>
      <c r="D2793">
        <f>"Life support ("&amp;IF(LEN(INDEX('Providers'!$R$4:$R$503,290))=0,"",INDEX('Providers'!$R$4:$R$503,290))&amp;") – "&amp;IF(LEN(INDEX('Providers'!$A$4:$A$503,290))=0,"",INDEX('Providers'!$A$4:$A$503,290))</f>
        <v/>
      </c>
      <c r="E2793">
        <f>IF(ISNUMBER(INDEX('Providers'!$S$4:$S$503,290)),TEXT(INDEX('Providers'!$S$4:$S$503,290),"yyyy-mm-dd"),"")</f>
        <v/>
      </c>
      <c r="F2793">
        <f>"Certification"</f>
        <v/>
      </c>
      <c r="G2793">
        <f>""</f>
        <v/>
      </c>
      <c r="H2793">
        <f>"Medium"</f>
        <v/>
      </c>
      <c r="I2793">
        <f>TRIM(IF(LEN(IF(LEN(INDEX('Providers'!$R$4:$R$503,290))=0,"",INDEX('Providers'!$R$4:$R$503,290)))=0,"","Card: "&amp;IF(LEN(INDEX('Providers'!$R$4:$R$503,290))=0,"",INDEX('Providers'!$R$4:$R$503,290))&amp;". "))</f>
        <v/>
      </c>
      <c r="J2793">
        <f>IF(LEN(INDEX('Providers'!$AJ$4:$AJ$503,290))=0,"",INDEX('Providers'!$AJ$4:$AJ$503,290))</f>
        <v/>
      </c>
      <c r="K2793">
        <f>IF(LEN(INDEX('Providers'!$AI$4:$AI$503,290))=0,"",INDEX('Providers'!$AI$4:$AI$503,290))</f>
        <v/>
      </c>
    </row>
    <row r="2794">
      <c r="A2794">
        <f>IF(AND(LEN('Providers'!A294)&gt;0,ISNUMBER('Providers'!S294)),1,0)</f>
        <v/>
      </c>
      <c r="B2794">
        <f>B2793+A2794</f>
        <v/>
      </c>
      <c r="C2794">
        <f>IF(2791&gt;$B$4503,"",MATCH(2791-0.5,$B$3:$B$4503,1))</f>
        <v/>
      </c>
      <c r="D2794">
        <f>"Life support ("&amp;IF(LEN(INDEX('Providers'!$R$4:$R$503,291))=0,"",INDEX('Providers'!$R$4:$R$503,291))&amp;") – "&amp;IF(LEN(INDEX('Providers'!$A$4:$A$503,291))=0,"",INDEX('Providers'!$A$4:$A$503,291))</f>
        <v/>
      </c>
      <c r="E2794">
        <f>IF(ISNUMBER(INDEX('Providers'!$S$4:$S$503,291)),TEXT(INDEX('Providers'!$S$4:$S$503,291),"yyyy-mm-dd"),"")</f>
        <v/>
      </c>
      <c r="F2794">
        <f>"Certification"</f>
        <v/>
      </c>
      <c r="G2794">
        <f>""</f>
        <v/>
      </c>
      <c r="H2794">
        <f>"Medium"</f>
        <v/>
      </c>
      <c r="I2794">
        <f>TRIM(IF(LEN(IF(LEN(INDEX('Providers'!$R$4:$R$503,291))=0,"",INDEX('Providers'!$R$4:$R$503,291)))=0,"","Card: "&amp;IF(LEN(INDEX('Providers'!$R$4:$R$503,291))=0,"",INDEX('Providers'!$R$4:$R$503,291))&amp;". "))</f>
        <v/>
      </c>
      <c r="J2794">
        <f>IF(LEN(INDEX('Providers'!$AJ$4:$AJ$503,291))=0,"",INDEX('Providers'!$AJ$4:$AJ$503,291))</f>
        <v/>
      </c>
      <c r="K2794">
        <f>IF(LEN(INDEX('Providers'!$AI$4:$AI$503,291))=0,"",INDEX('Providers'!$AI$4:$AI$503,291))</f>
        <v/>
      </c>
    </row>
    <row r="2795">
      <c r="A2795">
        <f>IF(AND(LEN('Providers'!A295)&gt;0,ISNUMBER('Providers'!S295)),1,0)</f>
        <v/>
      </c>
      <c r="B2795">
        <f>B2794+A2795</f>
        <v/>
      </c>
      <c r="C2795">
        <f>IF(2792&gt;$B$4503,"",MATCH(2792-0.5,$B$3:$B$4503,1))</f>
        <v/>
      </c>
      <c r="D2795">
        <f>"Life support ("&amp;IF(LEN(INDEX('Providers'!$R$4:$R$503,292))=0,"",INDEX('Providers'!$R$4:$R$503,292))&amp;") – "&amp;IF(LEN(INDEX('Providers'!$A$4:$A$503,292))=0,"",INDEX('Providers'!$A$4:$A$503,292))</f>
        <v/>
      </c>
      <c r="E2795">
        <f>IF(ISNUMBER(INDEX('Providers'!$S$4:$S$503,292)),TEXT(INDEX('Providers'!$S$4:$S$503,292),"yyyy-mm-dd"),"")</f>
        <v/>
      </c>
      <c r="F2795">
        <f>"Certification"</f>
        <v/>
      </c>
      <c r="G2795">
        <f>""</f>
        <v/>
      </c>
      <c r="H2795">
        <f>"Medium"</f>
        <v/>
      </c>
      <c r="I2795">
        <f>TRIM(IF(LEN(IF(LEN(INDEX('Providers'!$R$4:$R$503,292))=0,"",INDEX('Providers'!$R$4:$R$503,292)))=0,"","Card: "&amp;IF(LEN(INDEX('Providers'!$R$4:$R$503,292))=0,"",INDEX('Providers'!$R$4:$R$503,292))&amp;". "))</f>
        <v/>
      </c>
      <c r="J2795">
        <f>IF(LEN(INDEX('Providers'!$AJ$4:$AJ$503,292))=0,"",INDEX('Providers'!$AJ$4:$AJ$503,292))</f>
        <v/>
      </c>
      <c r="K2795">
        <f>IF(LEN(INDEX('Providers'!$AI$4:$AI$503,292))=0,"",INDEX('Providers'!$AI$4:$AI$503,292))</f>
        <v/>
      </c>
    </row>
    <row r="2796">
      <c r="A2796">
        <f>IF(AND(LEN('Providers'!A296)&gt;0,ISNUMBER('Providers'!S296)),1,0)</f>
        <v/>
      </c>
      <c r="B2796">
        <f>B2795+A2796</f>
        <v/>
      </c>
      <c r="C2796">
        <f>IF(2793&gt;$B$4503,"",MATCH(2793-0.5,$B$3:$B$4503,1))</f>
        <v/>
      </c>
      <c r="D2796">
        <f>"Life support ("&amp;IF(LEN(INDEX('Providers'!$R$4:$R$503,293))=0,"",INDEX('Providers'!$R$4:$R$503,293))&amp;") – "&amp;IF(LEN(INDEX('Providers'!$A$4:$A$503,293))=0,"",INDEX('Providers'!$A$4:$A$503,293))</f>
        <v/>
      </c>
      <c r="E2796">
        <f>IF(ISNUMBER(INDEX('Providers'!$S$4:$S$503,293)),TEXT(INDEX('Providers'!$S$4:$S$503,293),"yyyy-mm-dd"),"")</f>
        <v/>
      </c>
      <c r="F2796">
        <f>"Certification"</f>
        <v/>
      </c>
      <c r="G2796">
        <f>""</f>
        <v/>
      </c>
      <c r="H2796">
        <f>"Medium"</f>
        <v/>
      </c>
      <c r="I2796">
        <f>TRIM(IF(LEN(IF(LEN(INDEX('Providers'!$R$4:$R$503,293))=0,"",INDEX('Providers'!$R$4:$R$503,293)))=0,"","Card: "&amp;IF(LEN(INDEX('Providers'!$R$4:$R$503,293))=0,"",INDEX('Providers'!$R$4:$R$503,293))&amp;". "))</f>
        <v/>
      </c>
      <c r="J2796">
        <f>IF(LEN(INDEX('Providers'!$AJ$4:$AJ$503,293))=0,"",INDEX('Providers'!$AJ$4:$AJ$503,293))</f>
        <v/>
      </c>
      <c r="K2796">
        <f>IF(LEN(INDEX('Providers'!$AI$4:$AI$503,293))=0,"",INDEX('Providers'!$AI$4:$AI$503,293))</f>
        <v/>
      </c>
    </row>
    <row r="2797">
      <c r="A2797">
        <f>IF(AND(LEN('Providers'!A297)&gt;0,ISNUMBER('Providers'!S297)),1,0)</f>
        <v/>
      </c>
      <c r="B2797">
        <f>B2796+A2797</f>
        <v/>
      </c>
      <c r="C2797">
        <f>IF(2794&gt;$B$4503,"",MATCH(2794-0.5,$B$3:$B$4503,1))</f>
        <v/>
      </c>
      <c r="D2797">
        <f>"Life support ("&amp;IF(LEN(INDEX('Providers'!$R$4:$R$503,294))=0,"",INDEX('Providers'!$R$4:$R$503,294))&amp;") – "&amp;IF(LEN(INDEX('Providers'!$A$4:$A$503,294))=0,"",INDEX('Providers'!$A$4:$A$503,294))</f>
        <v/>
      </c>
      <c r="E2797">
        <f>IF(ISNUMBER(INDEX('Providers'!$S$4:$S$503,294)),TEXT(INDEX('Providers'!$S$4:$S$503,294),"yyyy-mm-dd"),"")</f>
        <v/>
      </c>
      <c r="F2797">
        <f>"Certification"</f>
        <v/>
      </c>
      <c r="G2797">
        <f>""</f>
        <v/>
      </c>
      <c r="H2797">
        <f>"Medium"</f>
        <v/>
      </c>
      <c r="I2797">
        <f>TRIM(IF(LEN(IF(LEN(INDEX('Providers'!$R$4:$R$503,294))=0,"",INDEX('Providers'!$R$4:$R$503,294)))=0,"","Card: "&amp;IF(LEN(INDEX('Providers'!$R$4:$R$503,294))=0,"",INDEX('Providers'!$R$4:$R$503,294))&amp;". "))</f>
        <v/>
      </c>
      <c r="J2797">
        <f>IF(LEN(INDEX('Providers'!$AJ$4:$AJ$503,294))=0,"",INDEX('Providers'!$AJ$4:$AJ$503,294))</f>
        <v/>
      </c>
      <c r="K2797">
        <f>IF(LEN(INDEX('Providers'!$AI$4:$AI$503,294))=0,"",INDEX('Providers'!$AI$4:$AI$503,294))</f>
        <v/>
      </c>
    </row>
    <row r="2798">
      <c r="A2798">
        <f>IF(AND(LEN('Providers'!A298)&gt;0,ISNUMBER('Providers'!S298)),1,0)</f>
        <v/>
      </c>
      <c r="B2798">
        <f>B2797+A2798</f>
        <v/>
      </c>
      <c r="C2798">
        <f>IF(2795&gt;$B$4503,"",MATCH(2795-0.5,$B$3:$B$4503,1))</f>
        <v/>
      </c>
      <c r="D2798">
        <f>"Life support ("&amp;IF(LEN(INDEX('Providers'!$R$4:$R$503,295))=0,"",INDEX('Providers'!$R$4:$R$503,295))&amp;") – "&amp;IF(LEN(INDEX('Providers'!$A$4:$A$503,295))=0,"",INDEX('Providers'!$A$4:$A$503,295))</f>
        <v/>
      </c>
      <c r="E2798">
        <f>IF(ISNUMBER(INDEX('Providers'!$S$4:$S$503,295)),TEXT(INDEX('Providers'!$S$4:$S$503,295),"yyyy-mm-dd"),"")</f>
        <v/>
      </c>
      <c r="F2798">
        <f>"Certification"</f>
        <v/>
      </c>
      <c r="G2798">
        <f>""</f>
        <v/>
      </c>
      <c r="H2798">
        <f>"Medium"</f>
        <v/>
      </c>
      <c r="I2798">
        <f>TRIM(IF(LEN(IF(LEN(INDEX('Providers'!$R$4:$R$503,295))=0,"",INDEX('Providers'!$R$4:$R$503,295)))=0,"","Card: "&amp;IF(LEN(INDEX('Providers'!$R$4:$R$503,295))=0,"",INDEX('Providers'!$R$4:$R$503,295))&amp;". "))</f>
        <v/>
      </c>
      <c r="J2798">
        <f>IF(LEN(INDEX('Providers'!$AJ$4:$AJ$503,295))=0,"",INDEX('Providers'!$AJ$4:$AJ$503,295))</f>
        <v/>
      </c>
      <c r="K2798">
        <f>IF(LEN(INDEX('Providers'!$AI$4:$AI$503,295))=0,"",INDEX('Providers'!$AI$4:$AI$503,295))</f>
        <v/>
      </c>
    </row>
    <row r="2799">
      <c r="A2799">
        <f>IF(AND(LEN('Providers'!A299)&gt;0,ISNUMBER('Providers'!S299)),1,0)</f>
        <v/>
      </c>
      <c r="B2799">
        <f>B2798+A2799</f>
        <v/>
      </c>
      <c r="C2799">
        <f>IF(2796&gt;$B$4503,"",MATCH(2796-0.5,$B$3:$B$4503,1))</f>
        <v/>
      </c>
      <c r="D2799">
        <f>"Life support ("&amp;IF(LEN(INDEX('Providers'!$R$4:$R$503,296))=0,"",INDEX('Providers'!$R$4:$R$503,296))&amp;") – "&amp;IF(LEN(INDEX('Providers'!$A$4:$A$503,296))=0,"",INDEX('Providers'!$A$4:$A$503,296))</f>
        <v/>
      </c>
      <c r="E2799">
        <f>IF(ISNUMBER(INDEX('Providers'!$S$4:$S$503,296)),TEXT(INDEX('Providers'!$S$4:$S$503,296),"yyyy-mm-dd"),"")</f>
        <v/>
      </c>
      <c r="F2799">
        <f>"Certification"</f>
        <v/>
      </c>
      <c r="G2799">
        <f>""</f>
        <v/>
      </c>
      <c r="H2799">
        <f>"Medium"</f>
        <v/>
      </c>
      <c r="I2799">
        <f>TRIM(IF(LEN(IF(LEN(INDEX('Providers'!$R$4:$R$503,296))=0,"",INDEX('Providers'!$R$4:$R$503,296)))=0,"","Card: "&amp;IF(LEN(INDEX('Providers'!$R$4:$R$503,296))=0,"",INDEX('Providers'!$R$4:$R$503,296))&amp;". "))</f>
        <v/>
      </c>
      <c r="J2799">
        <f>IF(LEN(INDEX('Providers'!$AJ$4:$AJ$503,296))=0,"",INDEX('Providers'!$AJ$4:$AJ$503,296))</f>
        <v/>
      </c>
      <c r="K2799">
        <f>IF(LEN(INDEX('Providers'!$AI$4:$AI$503,296))=0,"",INDEX('Providers'!$AI$4:$AI$503,296))</f>
        <v/>
      </c>
    </row>
    <row r="2800">
      <c r="A2800">
        <f>IF(AND(LEN('Providers'!A300)&gt;0,ISNUMBER('Providers'!S300)),1,0)</f>
        <v/>
      </c>
      <c r="B2800">
        <f>B2799+A2800</f>
        <v/>
      </c>
      <c r="C2800">
        <f>IF(2797&gt;$B$4503,"",MATCH(2797-0.5,$B$3:$B$4503,1))</f>
        <v/>
      </c>
      <c r="D2800">
        <f>"Life support ("&amp;IF(LEN(INDEX('Providers'!$R$4:$R$503,297))=0,"",INDEX('Providers'!$R$4:$R$503,297))&amp;") – "&amp;IF(LEN(INDEX('Providers'!$A$4:$A$503,297))=0,"",INDEX('Providers'!$A$4:$A$503,297))</f>
        <v/>
      </c>
      <c r="E2800">
        <f>IF(ISNUMBER(INDEX('Providers'!$S$4:$S$503,297)),TEXT(INDEX('Providers'!$S$4:$S$503,297),"yyyy-mm-dd"),"")</f>
        <v/>
      </c>
      <c r="F2800">
        <f>"Certification"</f>
        <v/>
      </c>
      <c r="G2800">
        <f>""</f>
        <v/>
      </c>
      <c r="H2800">
        <f>"Medium"</f>
        <v/>
      </c>
      <c r="I2800">
        <f>TRIM(IF(LEN(IF(LEN(INDEX('Providers'!$R$4:$R$503,297))=0,"",INDEX('Providers'!$R$4:$R$503,297)))=0,"","Card: "&amp;IF(LEN(INDEX('Providers'!$R$4:$R$503,297))=0,"",INDEX('Providers'!$R$4:$R$503,297))&amp;". "))</f>
        <v/>
      </c>
      <c r="J2800">
        <f>IF(LEN(INDEX('Providers'!$AJ$4:$AJ$503,297))=0,"",INDEX('Providers'!$AJ$4:$AJ$503,297))</f>
        <v/>
      </c>
      <c r="K2800">
        <f>IF(LEN(INDEX('Providers'!$AI$4:$AI$503,297))=0,"",INDEX('Providers'!$AI$4:$AI$503,297))</f>
        <v/>
      </c>
    </row>
    <row r="2801">
      <c r="A2801">
        <f>IF(AND(LEN('Providers'!A301)&gt;0,ISNUMBER('Providers'!S301)),1,0)</f>
        <v/>
      </c>
      <c r="B2801">
        <f>B2800+A2801</f>
        <v/>
      </c>
      <c r="C2801">
        <f>IF(2798&gt;$B$4503,"",MATCH(2798-0.5,$B$3:$B$4503,1))</f>
        <v/>
      </c>
      <c r="D2801">
        <f>"Life support ("&amp;IF(LEN(INDEX('Providers'!$R$4:$R$503,298))=0,"",INDEX('Providers'!$R$4:$R$503,298))&amp;") – "&amp;IF(LEN(INDEX('Providers'!$A$4:$A$503,298))=0,"",INDEX('Providers'!$A$4:$A$503,298))</f>
        <v/>
      </c>
      <c r="E2801">
        <f>IF(ISNUMBER(INDEX('Providers'!$S$4:$S$503,298)),TEXT(INDEX('Providers'!$S$4:$S$503,298),"yyyy-mm-dd"),"")</f>
        <v/>
      </c>
      <c r="F2801">
        <f>"Certification"</f>
        <v/>
      </c>
      <c r="G2801">
        <f>""</f>
        <v/>
      </c>
      <c r="H2801">
        <f>"Medium"</f>
        <v/>
      </c>
      <c r="I2801">
        <f>TRIM(IF(LEN(IF(LEN(INDEX('Providers'!$R$4:$R$503,298))=0,"",INDEX('Providers'!$R$4:$R$503,298)))=0,"","Card: "&amp;IF(LEN(INDEX('Providers'!$R$4:$R$503,298))=0,"",INDEX('Providers'!$R$4:$R$503,298))&amp;". "))</f>
        <v/>
      </c>
      <c r="J2801">
        <f>IF(LEN(INDEX('Providers'!$AJ$4:$AJ$503,298))=0,"",INDEX('Providers'!$AJ$4:$AJ$503,298))</f>
        <v/>
      </c>
      <c r="K2801">
        <f>IF(LEN(INDEX('Providers'!$AI$4:$AI$503,298))=0,"",INDEX('Providers'!$AI$4:$AI$503,298))</f>
        <v/>
      </c>
    </row>
    <row r="2802">
      <c r="A2802">
        <f>IF(AND(LEN('Providers'!A302)&gt;0,ISNUMBER('Providers'!S302)),1,0)</f>
        <v/>
      </c>
      <c r="B2802">
        <f>B2801+A2802</f>
        <v/>
      </c>
      <c r="C2802">
        <f>IF(2799&gt;$B$4503,"",MATCH(2799-0.5,$B$3:$B$4503,1))</f>
        <v/>
      </c>
      <c r="D2802">
        <f>"Life support ("&amp;IF(LEN(INDEX('Providers'!$R$4:$R$503,299))=0,"",INDEX('Providers'!$R$4:$R$503,299))&amp;") – "&amp;IF(LEN(INDEX('Providers'!$A$4:$A$503,299))=0,"",INDEX('Providers'!$A$4:$A$503,299))</f>
        <v/>
      </c>
      <c r="E2802">
        <f>IF(ISNUMBER(INDEX('Providers'!$S$4:$S$503,299)),TEXT(INDEX('Providers'!$S$4:$S$503,299),"yyyy-mm-dd"),"")</f>
        <v/>
      </c>
      <c r="F2802">
        <f>"Certification"</f>
        <v/>
      </c>
      <c r="G2802">
        <f>""</f>
        <v/>
      </c>
      <c r="H2802">
        <f>"Medium"</f>
        <v/>
      </c>
      <c r="I2802">
        <f>TRIM(IF(LEN(IF(LEN(INDEX('Providers'!$R$4:$R$503,299))=0,"",INDEX('Providers'!$R$4:$R$503,299)))=0,"","Card: "&amp;IF(LEN(INDEX('Providers'!$R$4:$R$503,299))=0,"",INDEX('Providers'!$R$4:$R$503,299))&amp;". "))</f>
        <v/>
      </c>
      <c r="J2802">
        <f>IF(LEN(INDEX('Providers'!$AJ$4:$AJ$503,299))=0,"",INDEX('Providers'!$AJ$4:$AJ$503,299))</f>
        <v/>
      </c>
      <c r="K2802">
        <f>IF(LEN(INDEX('Providers'!$AI$4:$AI$503,299))=0,"",INDEX('Providers'!$AI$4:$AI$503,299))</f>
        <v/>
      </c>
    </row>
    <row r="2803">
      <c r="A2803">
        <f>IF(AND(LEN('Providers'!A303)&gt;0,ISNUMBER('Providers'!S303)),1,0)</f>
        <v/>
      </c>
      <c r="B2803">
        <f>B2802+A2803</f>
        <v/>
      </c>
      <c r="C2803">
        <f>IF(2800&gt;$B$4503,"",MATCH(2800-0.5,$B$3:$B$4503,1))</f>
        <v/>
      </c>
      <c r="D2803">
        <f>"Life support ("&amp;IF(LEN(INDEX('Providers'!$R$4:$R$503,300))=0,"",INDEX('Providers'!$R$4:$R$503,300))&amp;") – "&amp;IF(LEN(INDEX('Providers'!$A$4:$A$503,300))=0,"",INDEX('Providers'!$A$4:$A$503,300))</f>
        <v/>
      </c>
      <c r="E2803">
        <f>IF(ISNUMBER(INDEX('Providers'!$S$4:$S$503,300)),TEXT(INDEX('Providers'!$S$4:$S$503,300),"yyyy-mm-dd"),"")</f>
        <v/>
      </c>
      <c r="F2803">
        <f>"Certification"</f>
        <v/>
      </c>
      <c r="G2803">
        <f>""</f>
        <v/>
      </c>
      <c r="H2803">
        <f>"Medium"</f>
        <v/>
      </c>
      <c r="I2803">
        <f>TRIM(IF(LEN(IF(LEN(INDEX('Providers'!$R$4:$R$503,300))=0,"",INDEX('Providers'!$R$4:$R$503,300)))=0,"","Card: "&amp;IF(LEN(INDEX('Providers'!$R$4:$R$503,300))=0,"",INDEX('Providers'!$R$4:$R$503,300))&amp;". "))</f>
        <v/>
      </c>
      <c r="J2803">
        <f>IF(LEN(INDEX('Providers'!$AJ$4:$AJ$503,300))=0,"",INDEX('Providers'!$AJ$4:$AJ$503,300))</f>
        <v/>
      </c>
      <c r="K2803">
        <f>IF(LEN(INDEX('Providers'!$AI$4:$AI$503,300))=0,"",INDEX('Providers'!$AI$4:$AI$503,300))</f>
        <v/>
      </c>
    </row>
    <row r="2804">
      <c r="A2804">
        <f>IF(AND(LEN('Providers'!A304)&gt;0,ISNUMBER('Providers'!S304)),1,0)</f>
        <v/>
      </c>
      <c r="B2804">
        <f>B2803+A2804</f>
        <v/>
      </c>
      <c r="C2804">
        <f>IF(2801&gt;$B$4503,"",MATCH(2801-0.5,$B$3:$B$4503,1))</f>
        <v/>
      </c>
      <c r="D2804">
        <f>"Life support ("&amp;IF(LEN(INDEX('Providers'!$R$4:$R$503,301))=0,"",INDEX('Providers'!$R$4:$R$503,301))&amp;") – "&amp;IF(LEN(INDEX('Providers'!$A$4:$A$503,301))=0,"",INDEX('Providers'!$A$4:$A$503,301))</f>
        <v/>
      </c>
      <c r="E2804">
        <f>IF(ISNUMBER(INDEX('Providers'!$S$4:$S$503,301)),TEXT(INDEX('Providers'!$S$4:$S$503,301),"yyyy-mm-dd"),"")</f>
        <v/>
      </c>
      <c r="F2804">
        <f>"Certification"</f>
        <v/>
      </c>
      <c r="G2804">
        <f>""</f>
        <v/>
      </c>
      <c r="H2804">
        <f>"Medium"</f>
        <v/>
      </c>
      <c r="I2804">
        <f>TRIM(IF(LEN(IF(LEN(INDEX('Providers'!$R$4:$R$503,301))=0,"",INDEX('Providers'!$R$4:$R$503,301)))=0,"","Card: "&amp;IF(LEN(INDEX('Providers'!$R$4:$R$503,301))=0,"",INDEX('Providers'!$R$4:$R$503,301))&amp;". "))</f>
        <v/>
      </c>
      <c r="J2804">
        <f>IF(LEN(INDEX('Providers'!$AJ$4:$AJ$503,301))=0,"",INDEX('Providers'!$AJ$4:$AJ$503,301))</f>
        <v/>
      </c>
      <c r="K2804">
        <f>IF(LEN(INDEX('Providers'!$AI$4:$AI$503,301))=0,"",INDEX('Providers'!$AI$4:$AI$503,301))</f>
        <v/>
      </c>
    </row>
    <row r="2805">
      <c r="A2805">
        <f>IF(AND(LEN('Providers'!A305)&gt;0,ISNUMBER('Providers'!S305)),1,0)</f>
        <v/>
      </c>
      <c r="B2805">
        <f>B2804+A2805</f>
        <v/>
      </c>
      <c r="C2805">
        <f>IF(2802&gt;$B$4503,"",MATCH(2802-0.5,$B$3:$B$4503,1))</f>
        <v/>
      </c>
      <c r="D2805">
        <f>"Life support ("&amp;IF(LEN(INDEX('Providers'!$R$4:$R$503,302))=0,"",INDEX('Providers'!$R$4:$R$503,302))&amp;") – "&amp;IF(LEN(INDEX('Providers'!$A$4:$A$503,302))=0,"",INDEX('Providers'!$A$4:$A$503,302))</f>
        <v/>
      </c>
      <c r="E2805">
        <f>IF(ISNUMBER(INDEX('Providers'!$S$4:$S$503,302)),TEXT(INDEX('Providers'!$S$4:$S$503,302),"yyyy-mm-dd"),"")</f>
        <v/>
      </c>
      <c r="F2805">
        <f>"Certification"</f>
        <v/>
      </c>
      <c r="G2805">
        <f>""</f>
        <v/>
      </c>
      <c r="H2805">
        <f>"Medium"</f>
        <v/>
      </c>
      <c r="I2805">
        <f>TRIM(IF(LEN(IF(LEN(INDEX('Providers'!$R$4:$R$503,302))=0,"",INDEX('Providers'!$R$4:$R$503,302)))=0,"","Card: "&amp;IF(LEN(INDEX('Providers'!$R$4:$R$503,302))=0,"",INDEX('Providers'!$R$4:$R$503,302))&amp;". "))</f>
        <v/>
      </c>
      <c r="J2805">
        <f>IF(LEN(INDEX('Providers'!$AJ$4:$AJ$503,302))=0,"",INDEX('Providers'!$AJ$4:$AJ$503,302))</f>
        <v/>
      </c>
      <c r="K2805">
        <f>IF(LEN(INDEX('Providers'!$AI$4:$AI$503,302))=0,"",INDEX('Providers'!$AI$4:$AI$503,302))</f>
        <v/>
      </c>
    </row>
    <row r="2806">
      <c r="A2806">
        <f>IF(AND(LEN('Providers'!A306)&gt;0,ISNUMBER('Providers'!S306)),1,0)</f>
        <v/>
      </c>
      <c r="B2806">
        <f>B2805+A2806</f>
        <v/>
      </c>
      <c r="C2806">
        <f>IF(2803&gt;$B$4503,"",MATCH(2803-0.5,$B$3:$B$4503,1))</f>
        <v/>
      </c>
      <c r="D2806">
        <f>"Life support ("&amp;IF(LEN(INDEX('Providers'!$R$4:$R$503,303))=0,"",INDEX('Providers'!$R$4:$R$503,303))&amp;") – "&amp;IF(LEN(INDEX('Providers'!$A$4:$A$503,303))=0,"",INDEX('Providers'!$A$4:$A$503,303))</f>
        <v/>
      </c>
      <c r="E2806">
        <f>IF(ISNUMBER(INDEX('Providers'!$S$4:$S$503,303)),TEXT(INDEX('Providers'!$S$4:$S$503,303),"yyyy-mm-dd"),"")</f>
        <v/>
      </c>
      <c r="F2806">
        <f>"Certification"</f>
        <v/>
      </c>
      <c r="G2806">
        <f>""</f>
        <v/>
      </c>
      <c r="H2806">
        <f>"Medium"</f>
        <v/>
      </c>
      <c r="I2806">
        <f>TRIM(IF(LEN(IF(LEN(INDEX('Providers'!$R$4:$R$503,303))=0,"",INDEX('Providers'!$R$4:$R$503,303)))=0,"","Card: "&amp;IF(LEN(INDEX('Providers'!$R$4:$R$503,303))=0,"",INDEX('Providers'!$R$4:$R$503,303))&amp;". "))</f>
        <v/>
      </c>
      <c r="J2806">
        <f>IF(LEN(INDEX('Providers'!$AJ$4:$AJ$503,303))=0,"",INDEX('Providers'!$AJ$4:$AJ$503,303))</f>
        <v/>
      </c>
      <c r="K2806">
        <f>IF(LEN(INDEX('Providers'!$AI$4:$AI$503,303))=0,"",INDEX('Providers'!$AI$4:$AI$503,303))</f>
        <v/>
      </c>
    </row>
    <row r="2807">
      <c r="A2807">
        <f>IF(AND(LEN('Providers'!A307)&gt;0,ISNUMBER('Providers'!S307)),1,0)</f>
        <v/>
      </c>
      <c r="B2807">
        <f>B2806+A2807</f>
        <v/>
      </c>
      <c r="C2807">
        <f>IF(2804&gt;$B$4503,"",MATCH(2804-0.5,$B$3:$B$4503,1))</f>
        <v/>
      </c>
      <c r="D2807">
        <f>"Life support ("&amp;IF(LEN(INDEX('Providers'!$R$4:$R$503,304))=0,"",INDEX('Providers'!$R$4:$R$503,304))&amp;") – "&amp;IF(LEN(INDEX('Providers'!$A$4:$A$503,304))=0,"",INDEX('Providers'!$A$4:$A$503,304))</f>
        <v/>
      </c>
      <c r="E2807">
        <f>IF(ISNUMBER(INDEX('Providers'!$S$4:$S$503,304)),TEXT(INDEX('Providers'!$S$4:$S$503,304),"yyyy-mm-dd"),"")</f>
        <v/>
      </c>
      <c r="F2807">
        <f>"Certification"</f>
        <v/>
      </c>
      <c r="G2807">
        <f>""</f>
        <v/>
      </c>
      <c r="H2807">
        <f>"Medium"</f>
        <v/>
      </c>
      <c r="I2807">
        <f>TRIM(IF(LEN(IF(LEN(INDEX('Providers'!$R$4:$R$503,304))=0,"",INDEX('Providers'!$R$4:$R$503,304)))=0,"","Card: "&amp;IF(LEN(INDEX('Providers'!$R$4:$R$503,304))=0,"",INDEX('Providers'!$R$4:$R$503,304))&amp;". "))</f>
        <v/>
      </c>
      <c r="J2807">
        <f>IF(LEN(INDEX('Providers'!$AJ$4:$AJ$503,304))=0,"",INDEX('Providers'!$AJ$4:$AJ$503,304))</f>
        <v/>
      </c>
      <c r="K2807">
        <f>IF(LEN(INDEX('Providers'!$AI$4:$AI$503,304))=0,"",INDEX('Providers'!$AI$4:$AI$503,304))</f>
        <v/>
      </c>
    </row>
    <row r="2808">
      <c r="A2808">
        <f>IF(AND(LEN('Providers'!A308)&gt;0,ISNUMBER('Providers'!S308)),1,0)</f>
        <v/>
      </c>
      <c r="B2808">
        <f>B2807+A2808</f>
        <v/>
      </c>
      <c r="C2808">
        <f>IF(2805&gt;$B$4503,"",MATCH(2805-0.5,$B$3:$B$4503,1))</f>
        <v/>
      </c>
      <c r="D2808">
        <f>"Life support ("&amp;IF(LEN(INDEX('Providers'!$R$4:$R$503,305))=0,"",INDEX('Providers'!$R$4:$R$503,305))&amp;") – "&amp;IF(LEN(INDEX('Providers'!$A$4:$A$503,305))=0,"",INDEX('Providers'!$A$4:$A$503,305))</f>
        <v/>
      </c>
      <c r="E2808">
        <f>IF(ISNUMBER(INDEX('Providers'!$S$4:$S$503,305)),TEXT(INDEX('Providers'!$S$4:$S$503,305),"yyyy-mm-dd"),"")</f>
        <v/>
      </c>
      <c r="F2808">
        <f>"Certification"</f>
        <v/>
      </c>
      <c r="G2808">
        <f>""</f>
        <v/>
      </c>
      <c r="H2808">
        <f>"Medium"</f>
        <v/>
      </c>
      <c r="I2808">
        <f>TRIM(IF(LEN(IF(LEN(INDEX('Providers'!$R$4:$R$503,305))=0,"",INDEX('Providers'!$R$4:$R$503,305)))=0,"","Card: "&amp;IF(LEN(INDEX('Providers'!$R$4:$R$503,305))=0,"",INDEX('Providers'!$R$4:$R$503,305))&amp;". "))</f>
        <v/>
      </c>
      <c r="J2808">
        <f>IF(LEN(INDEX('Providers'!$AJ$4:$AJ$503,305))=0,"",INDEX('Providers'!$AJ$4:$AJ$503,305))</f>
        <v/>
      </c>
      <c r="K2808">
        <f>IF(LEN(INDEX('Providers'!$AI$4:$AI$503,305))=0,"",INDEX('Providers'!$AI$4:$AI$503,305))</f>
        <v/>
      </c>
    </row>
    <row r="2809">
      <c r="A2809">
        <f>IF(AND(LEN('Providers'!A309)&gt;0,ISNUMBER('Providers'!S309)),1,0)</f>
        <v/>
      </c>
      <c r="B2809">
        <f>B2808+A2809</f>
        <v/>
      </c>
      <c r="C2809">
        <f>IF(2806&gt;$B$4503,"",MATCH(2806-0.5,$B$3:$B$4503,1))</f>
        <v/>
      </c>
      <c r="D2809">
        <f>"Life support ("&amp;IF(LEN(INDEX('Providers'!$R$4:$R$503,306))=0,"",INDEX('Providers'!$R$4:$R$503,306))&amp;") – "&amp;IF(LEN(INDEX('Providers'!$A$4:$A$503,306))=0,"",INDEX('Providers'!$A$4:$A$503,306))</f>
        <v/>
      </c>
      <c r="E2809">
        <f>IF(ISNUMBER(INDEX('Providers'!$S$4:$S$503,306)),TEXT(INDEX('Providers'!$S$4:$S$503,306),"yyyy-mm-dd"),"")</f>
        <v/>
      </c>
      <c r="F2809">
        <f>"Certification"</f>
        <v/>
      </c>
      <c r="G2809">
        <f>""</f>
        <v/>
      </c>
      <c r="H2809">
        <f>"Medium"</f>
        <v/>
      </c>
      <c r="I2809">
        <f>TRIM(IF(LEN(IF(LEN(INDEX('Providers'!$R$4:$R$503,306))=0,"",INDEX('Providers'!$R$4:$R$503,306)))=0,"","Card: "&amp;IF(LEN(INDEX('Providers'!$R$4:$R$503,306))=0,"",INDEX('Providers'!$R$4:$R$503,306))&amp;". "))</f>
        <v/>
      </c>
      <c r="J2809">
        <f>IF(LEN(INDEX('Providers'!$AJ$4:$AJ$503,306))=0,"",INDEX('Providers'!$AJ$4:$AJ$503,306))</f>
        <v/>
      </c>
      <c r="K2809">
        <f>IF(LEN(INDEX('Providers'!$AI$4:$AI$503,306))=0,"",INDEX('Providers'!$AI$4:$AI$503,306))</f>
        <v/>
      </c>
    </row>
    <row r="2810">
      <c r="A2810">
        <f>IF(AND(LEN('Providers'!A310)&gt;0,ISNUMBER('Providers'!S310)),1,0)</f>
        <v/>
      </c>
      <c r="B2810">
        <f>B2809+A2810</f>
        <v/>
      </c>
      <c r="C2810">
        <f>IF(2807&gt;$B$4503,"",MATCH(2807-0.5,$B$3:$B$4503,1))</f>
        <v/>
      </c>
      <c r="D2810">
        <f>"Life support ("&amp;IF(LEN(INDEX('Providers'!$R$4:$R$503,307))=0,"",INDEX('Providers'!$R$4:$R$503,307))&amp;") – "&amp;IF(LEN(INDEX('Providers'!$A$4:$A$503,307))=0,"",INDEX('Providers'!$A$4:$A$503,307))</f>
        <v/>
      </c>
      <c r="E2810">
        <f>IF(ISNUMBER(INDEX('Providers'!$S$4:$S$503,307)),TEXT(INDEX('Providers'!$S$4:$S$503,307),"yyyy-mm-dd"),"")</f>
        <v/>
      </c>
      <c r="F2810">
        <f>"Certification"</f>
        <v/>
      </c>
      <c r="G2810">
        <f>""</f>
        <v/>
      </c>
      <c r="H2810">
        <f>"Medium"</f>
        <v/>
      </c>
      <c r="I2810">
        <f>TRIM(IF(LEN(IF(LEN(INDEX('Providers'!$R$4:$R$503,307))=0,"",INDEX('Providers'!$R$4:$R$503,307)))=0,"","Card: "&amp;IF(LEN(INDEX('Providers'!$R$4:$R$503,307))=0,"",INDEX('Providers'!$R$4:$R$503,307))&amp;". "))</f>
        <v/>
      </c>
      <c r="J2810">
        <f>IF(LEN(INDEX('Providers'!$AJ$4:$AJ$503,307))=0,"",INDEX('Providers'!$AJ$4:$AJ$503,307))</f>
        <v/>
      </c>
      <c r="K2810">
        <f>IF(LEN(INDEX('Providers'!$AI$4:$AI$503,307))=0,"",INDEX('Providers'!$AI$4:$AI$503,307))</f>
        <v/>
      </c>
    </row>
    <row r="2811">
      <c r="A2811">
        <f>IF(AND(LEN('Providers'!A311)&gt;0,ISNUMBER('Providers'!S311)),1,0)</f>
        <v/>
      </c>
      <c r="B2811">
        <f>B2810+A2811</f>
        <v/>
      </c>
      <c r="C2811">
        <f>IF(2808&gt;$B$4503,"",MATCH(2808-0.5,$B$3:$B$4503,1))</f>
        <v/>
      </c>
      <c r="D2811">
        <f>"Life support ("&amp;IF(LEN(INDEX('Providers'!$R$4:$R$503,308))=0,"",INDEX('Providers'!$R$4:$R$503,308))&amp;") – "&amp;IF(LEN(INDEX('Providers'!$A$4:$A$503,308))=0,"",INDEX('Providers'!$A$4:$A$503,308))</f>
        <v/>
      </c>
      <c r="E2811">
        <f>IF(ISNUMBER(INDEX('Providers'!$S$4:$S$503,308)),TEXT(INDEX('Providers'!$S$4:$S$503,308),"yyyy-mm-dd"),"")</f>
        <v/>
      </c>
      <c r="F2811">
        <f>"Certification"</f>
        <v/>
      </c>
      <c r="G2811">
        <f>""</f>
        <v/>
      </c>
      <c r="H2811">
        <f>"Medium"</f>
        <v/>
      </c>
      <c r="I2811">
        <f>TRIM(IF(LEN(IF(LEN(INDEX('Providers'!$R$4:$R$503,308))=0,"",INDEX('Providers'!$R$4:$R$503,308)))=0,"","Card: "&amp;IF(LEN(INDEX('Providers'!$R$4:$R$503,308))=0,"",INDEX('Providers'!$R$4:$R$503,308))&amp;". "))</f>
        <v/>
      </c>
      <c r="J2811">
        <f>IF(LEN(INDEX('Providers'!$AJ$4:$AJ$503,308))=0,"",INDEX('Providers'!$AJ$4:$AJ$503,308))</f>
        <v/>
      </c>
      <c r="K2811">
        <f>IF(LEN(INDEX('Providers'!$AI$4:$AI$503,308))=0,"",INDEX('Providers'!$AI$4:$AI$503,308))</f>
        <v/>
      </c>
    </row>
    <row r="2812">
      <c r="A2812">
        <f>IF(AND(LEN('Providers'!A312)&gt;0,ISNUMBER('Providers'!S312)),1,0)</f>
        <v/>
      </c>
      <c r="B2812">
        <f>B2811+A2812</f>
        <v/>
      </c>
      <c r="C2812">
        <f>IF(2809&gt;$B$4503,"",MATCH(2809-0.5,$B$3:$B$4503,1))</f>
        <v/>
      </c>
      <c r="D2812">
        <f>"Life support ("&amp;IF(LEN(INDEX('Providers'!$R$4:$R$503,309))=0,"",INDEX('Providers'!$R$4:$R$503,309))&amp;") – "&amp;IF(LEN(INDEX('Providers'!$A$4:$A$503,309))=0,"",INDEX('Providers'!$A$4:$A$503,309))</f>
        <v/>
      </c>
      <c r="E2812">
        <f>IF(ISNUMBER(INDEX('Providers'!$S$4:$S$503,309)),TEXT(INDEX('Providers'!$S$4:$S$503,309),"yyyy-mm-dd"),"")</f>
        <v/>
      </c>
      <c r="F2812">
        <f>"Certification"</f>
        <v/>
      </c>
      <c r="G2812">
        <f>""</f>
        <v/>
      </c>
      <c r="H2812">
        <f>"Medium"</f>
        <v/>
      </c>
      <c r="I2812">
        <f>TRIM(IF(LEN(IF(LEN(INDEX('Providers'!$R$4:$R$503,309))=0,"",INDEX('Providers'!$R$4:$R$503,309)))=0,"","Card: "&amp;IF(LEN(INDEX('Providers'!$R$4:$R$503,309))=0,"",INDEX('Providers'!$R$4:$R$503,309))&amp;". "))</f>
        <v/>
      </c>
      <c r="J2812">
        <f>IF(LEN(INDEX('Providers'!$AJ$4:$AJ$503,309))=0,"",INDEX('Providers'!$AJ$4:$AJ$503,309))</f>
        <v/>
      </c>
      <c r="K2812">
        <f>IF(LEN(INDEX('Providers'!$AI$4:$AI$503,309))=0,"",INDEX('Providers'!$AI$4:$AI$503,309))</f>
        <v/>
      </c>
    </row>
    <row r="2813">
      <c r="A2813">
        <f>IF(AND(LEN('Providers'!A313)&gt;0,ISNUMBER('Providers'!S313)),1,0)</f>
        <v/>
      </c>
      <c r="B2813">
        <f>B2812+A2813</f>
        <v/>
      </c>
      <c r="C2813">
        <f>IF(2810&gt;$B$4503,"",MATCH(2810-0.5,$B$3:$B$4503,1))</f>
        <v/>
      </c>
      <c r="D2813">
        <f>"Life support ("&amp;IF(LEN(INDEX('Providers'!$R$4:$R$503,310))=0,"",INDEX('Providers'!$R$4:$R$503,310))&amp;") – "&amp;IF(LEN(INDEX('Providers'!$A$4:$A$503,310))=0,"",INDEX('Providers'!$A$4:$A$503,310))</f>
        <v/>
      </c>
      <c r="E2813">
        <f>IF(ISNUMBER(INDEX('Providers'!$S$4:$S$503,310)),TEXT(INDEX('Providers'!$S$4:$S$503,310),"yyyy-mm-dd"),"")</f>
        <v/>
      </c>
      <c r="F2813">
        <f>"Certification"</f>
        <v/>
      </c>
      <c r="G2813">
        <f>""</f>
        <v/>
      </c>
      <c r="H2813">
        <f>"Medium"</f>
        <v/>
      </c>
      <c r="I2813">
        <f>TRIM(IF(LEN(IF(LEN(INDEX('Providers'!$R$4:$R$503,310))=0,"",INDEX('Providers'!$R$4:$R$503,310)))=0,"","Card: "&amp;IF(LEN(INDEX('Providers'!$R$4:$R$503,310))=0,"",INDEX('Providers'!$R$4:$R$503,310))&amp;". "))</f>
        <v/>
      </c>
      <c r="J2813">
        <f>IF(LEN(INDEX('Providers'!$AJ$4:$AJ$503,310))=0,"",INDEX('Providers'!$AJ$4:$AJ$503,310))</f>
        <v/>
      </c>
      <c r="K2813">
        <f>IF(LEN(INDEX('Providers'!$AI$4:$AI$503,310))=0,"",INDEX('Providers'!$AI$4:$AI$503,310))</f>
        <v/>
      </c>
    </row>
    <row r="2814">
      <c r="A2814">
        <f>IF(AND(LEN('Providers'!A314)&gt;0,ISNUMBER('Providers'!S314)),1,0)</f>
        <v/>
      </c>
      <c r="B2814">
        <f>B2813+A2814</f>
        <v/>
      </c>
      <c r="C2814">
        <f>IF(2811&gt;$B$4503,"",MATCH(2811-0.5,$B$3:$B$4503,1))</f>
        <v/>
      </c>
      <c r="D2814">
        <f>"Life support ("&amp;IF(LEN(INDEX('Providers'!$R$4:$R$503,311))=0,"",INDEX('Providers'!$R$4:$R$503,311))&amp;") – "&amp;IF(LEN(INDEX('Providers'!$A$4:$A$503,311))=0,"",INDEX('Providers'!$A$4:$A$503,311))</f>
        <v/>
      </c>
      <c r="E2814">
        <f>IF(ISNUMBER(INDEX('Providers'!$S$4:$S$503,311)),TEXT(INDEX('Providers'!$S$4:$S$503,311),"yyyy-mm-dd"),"")</f>
        <v/>
      </c>
      <c r="F2814">
        <f>"Certification"</f>
        <v/>
      </c>
      <c r="G2814">
        <f>""</f>
        <v/>
      </c>
      <c r="H2814">
        <f>"Medium"</f>
        <v/>
      </c>
      <c r="I2814">
        <f>TRIM(IF(LEN(IF(LEN(INDEX('Providers'!$R$4:$R$503,311))=0,"",INDEX('Providers'!$R$4:$R$503,311)))=0,"","Card: "&amp;IF(LEN(INDEX('Providers'!$R$4:$R$503,311))=0,"",INDEX('Providers'!$R$4:$R$503,311))&amp;". "))</f>
        <v/>
      </c>
      <c r="J2814">
        <f>IF(LEN(INDEX('Providers'!$AJ$4:$AJ$503,311))=0,"",INDEX('Providers'!$AJ$4:$AJ$503,311))</f>
        <v/>
      </c>
      <c r="K2814">
        <f>IF(LEN(INDEX('Providers'!$AI$4:$AI$503,311))=0,"",INDEX('Providers'!$AI$4:$AI$503,311))</f>
        <v/>
      </c>
    </row>
    <row r="2815">
      <c r="A2815">
        <f>IF(AND(LEN('Providers'!A315)&gt;0,ISNUMBER('Providers'!S315)),1,0)</f>
        <v/>
      </c>
      <c r="B2815">
        <f>B2814+A2815</f>
        <v/>
      </c>
      <c r="C2815">
        <f>IF(2812&gt;$B$4503,"",MATCH(2812-0.5,$B$3:$B$4503,1))</f>
        <v/>
      </c>
      <c r="D2815">
        <f>"Life support ("&amp;IF(LEN(INDEX('Providers'!$R$4:$R$503,312))=0,"",INDEX('Providers'!$R$4:$R$503,312))&amp;") – "&amp;IF(LEN(INDEX('Providers'!$A$4:$A$503,312))=0,"",INDEX('Providers'!$A$4:$A$503,312))</f>
        <v/>
      </c>
      <c r="E2815">
        <f>IF(ISNUMBER(INDEX('Providers'!$S$4:$S$503,312)),TEXT(INDEX('Providers'!$S$4:$S$503,312),"yyyy-mm-dd"),"")</f>
        <v/>
      </c>
      <c r="F2815">
        <f>"Certification"</f>
        <v/>
      </c>
      <c r="G2815">
        <f>""</f>
        <v/>
      </c>
      <c r="H2815">
        <f>"Medium"</f>
        <v/>
      </c>
      <c r="I2815">
        <f>TRIM(IF(LEN(IF(LEN(INDEX('Providers'!$R$4:$R$503,312))=0,"",INDEX('Providers'!$R$4:$R$503,312)))=0,"","Card: "&amp;IF(LEN(INDEX('Providers'!$R$4:$R$503,312))=0,"",INDEX('Providers'!$R$4:$R$503,312))&amp;". "))</f>
        <v/>
      </c>
      <c r="J2815">
        <f>IF(LEN(INDEX('Providers'!$AJ$4:$AJ$503,312))=0,"",INDEX('Providers'!$AJ$4:$AJ$503,312))</f>
        <v/>
      </c>
      <c r="K2815">
        <f>IF(LEN(INDEX('Providers'!$AI$4:$AI$503,312))=0,"",INDEX('Providers'!$AI$4:$AI$503,312))</f>
        <v/>
      </c>
    </row>
    <row r="2816">
      <c r="A2816">
        <f>IF(AND(LEN('Providers'!A316)&gt;0,ISNUMBER('Providers'!S316)),1,0)</f>
        <v/>
      </c>
      <c r="B2816">
        <f>B2815+A2816</f>
        <v/>
      </c>
      <c r="C2816">
        <f>IF(2813&gt;$B$4503,"",MATCH(2813-0.5,$B$3:$B$4503,1))</f>
        <v/>
      </c>
      <c r="D2816">
        <f>"Life support ("&amp;IF(LEN(INDEX('Providers'!$R$4:$R$503,313))=0,"",INDEX('Providers'!$R$4:$R$503,313))&amp;") – "&amp;IF(LEN(INDEX('Providers'!$A$4:$A$503,313))=0,"",INDEX('Providers'!$A$4:$A$503,313))</f>
        <v/>
      </c>
      <c r="E2816">
        <f>IF(ISNUMBER(INDEX('Providers'!$S$4:$S$503,313)),TEXT(INDEX('Providers'!$S$4:$S$503,313),"yyyy-mm-dd"),"")</f>
        <v/>
      </c>
      <c r="F2816">
        <f>"Certification"</f>
        <v/>
      </c>
      <c r="G2816">
        <f>""</f>
        <v/>
      </c>
      <c r="H2816">
        <f>"Medium"</f>
        <v/>
      </c>
      <c r="I2816">
        <f>TRIM(IF(LEN(IF(LEN(INDEX('Providers'!$R$4:$R$503,313))=0,"",INDEX('Providers'!$R$4:$R$503,313)))=0,"","Card: "&amp;IF(LEN(INDEX('Providers'!$R$4:$R$503,313))=0,"",INDEX('Providers'!$R$4:$R$503,313))&amp;". "))</f>
        <v/>
      </c>
      <c r="J2816">
        <f>IF(LEN(INDEX('Providers'!$AJ$4:$AJ$503,313))=0,"",INDEX('Providers'!$AJ$4:$AJ$503,313))</f>
        <v/>
      </c>
      <c r="K2816">
        <f>IF(LEN(INDEX('Providers'!$AI$4:$AI$503,313))=0,"",INDEX('Providers'!$AI$4:$AI$503,313))</f>
        <v/>
      </c>
    </row>
    <row r="2817">
      <c r="A2817">
        <f>IF(AND(LEN('Providers'!A317)&gt;0,ISNUMBER('Providers'!S317)),1,0)</f>
        <v/>
      </c>
      <c r="B2817">
        <f>B2816+A2817</f>
        <v/>
      </c>
      <c r="C2817">
        <f>IF(2814&gt;$B$4503,"",MATCH(2814-0.5,$B$3:$B$4503,1))</f>
        <v/>
      </c>
      <c r="D2817">
        <f>"Life support ("&amp;IF(LEN(INDEX('Providers'!$R$4:$R$503,314))=0,"",INDEX('Providers'!$R$4:$R$503,314))&amp;") – "&amp;IF(LEN(INDEX('Providers'!$A$4:$A$503,314))=0,"",INDEX('Providers'!$A$4:$A$503,314))</f>
        <v/>
      </c>
      <c r="E2817">
        <f>IF(ISNUMBER(INDEX('Providers'!$S$4:$S$503,314)),TEXT(INDEX('Providers'!$S$4:$S$503,314),"yyyy-mm-dd"),"")</f>
        <v/>
      </c>
      <c r="F2817">
        <f>"Certification"</f>
        <v/>
      </c>
      <c r="G2817">
        <f>""</f>
        <v/>
      </c>
      <c r="H2817">
        <f>"Medium"</f>
        <v/>
      </c>
      <c r="I2817">
        <f>TRIM(IF(LEN(IF(LEN(INDEX('Providers'!$R$4:$R$503,314))=0,"",INDEX('Providers'!$R$4:$R$503,314)))=0,"","Card: "&amp;IF(LEN(INDEX('Providers'!$R$4:$R$503,314))=0,"",INDEX('Providers'!$R$4:$R$503,314))&amp;". "))</f>
        <v/>
      </c>
      <c r="J2817">
        <f>IF(LEN(INDEX('Providers'!$AJ$4:$AJ$503,314))=0,"",INDEX('Providers'!$AJ$4:$AJ$503,314))</f>
        <v/>
      </c>
      <c r="K2817">
        <f>IF(LEN(INDEX('Providers'!$AI$4:$AI$503,314))=0,"",INDEX('Providers'!$AI$4:$AI$503,314))</f>
        <v/>
      </c>
    </row>
    <row r="2818">
      <c r="A2818">
        <f>IF(AND(LEN('Providers'!A318)&gt;0,ISNUMBER('Providers'!S318)),1,0)</f>
        <v/>
      </c>
      <c r="B2818">
        <f>B2817+A2818</f>
        <v/>
      </c>
      <c r="C2818">
        <f>IF(2815&gt;$B$4503,"",MATCH(2815-0.5,$B$3:$B$4503,1))</f>
        <v/>
      </c>
      <c r="D2818">
        <f>"Life support ("&amp;IF(LEN(INDEX('Providers'!$R$4:$R$503,315))=0,"",INDEX('Providers'!$R$4:$R$503,315))&amp;") – "&amp;IF(LEN(INDEX('Providers'!$A$4:$A$503,315))=0,"",INDEX('Providers'!$A$4:$A$503,315))</f>
        <v/>
      </c>
      <c r="E2818">
        <f>IF(ISNUMBER(INDEX('Providers'!$S$4:$S$503,315)),TEXT(INDEX('Providers'!$S$4:$S$503,315),"yyyy-mm-dd"),"")</f>
        <v/>
      </c>
      <c r="F2818">
        <f>"Certification"</f>
        <v/>
      </c>
      <c r="G2818">
        <f>""</f>
        <v/>
      </c>
      <c r="H2818">
        <f>"Medium"</f>
        <v/>
      </c>
      <c r="I2818">
        <f>TRIM(IF(LEN(IF(LEN(INDEX('Providers'!$R$4:$R$503,315))=0,"",INDEX('Providers'!$R$4:$R$503,315)))=0,"","Card: "&amp;IF(LEN(INDEX('Providers'!$R$4:$R$503,315))=0,"",INDEX('Providers'!$R$4:$R$503,315))&amp;". "))</f>
        <v/>
      </c>
      <c r="J2818">
        <f>IF(LEN(INDEX('Providers'!$AJ$4:$AJ$503,315))=0,"",INDEX('Providers'!$AJ$4:$AJ$503,315))</f>
        <v/>
      </c>
      <c r="K2818">
        <f>IF(LEN(INDEX('Providers'!$AI$4:$AI$503,315))=0,"",INDEX('Providers'!$AI$4:$AI$503,315))</f>
        <v/>
      </c>
    </row>
    <row r="2819">
      <c r="A2819">
        <f>IF(AND(LEN('Providers'!A319)&gt;0,ISNUMBER('Providers'!S319)),1,0)</f>
        <v/>
      </c>
      <c r="B2819">
        <f>B2818+A2819</f>
        <v/>
      </c>
      <c r="C2819">
        <f>IF(2816&gt;$B$4503,"",MATCH(2816-0.5,$B$3:$B$4503,1))</f>
        <v/>
      </c>
      <c r="D2819">
        <f>"Life support ("&amp;IF(LEN(INDEX('Providers'!$R$4:$R$503,316))=0,"",INDEX('Providers'!$R$4:$R$503,316))&amp;") – "&amp;IF(LEN(INDEX('Providers'!$A$4:$A$503,316))=0,"",INDEX('Providers'!$A$4:$A$503,316))</f>
        <v/>
      </c>
      <c r="E2819">
        <f>IF(ISNUMBER(INDEX('Providers'!$S$4:$S$503,316)),TEXT(INDEX('Providers'!$S$4:$S$503,316),"yyyy-mm-dd"),"")</f>
        <v/>
      </c>
      <c r="F2819">
        <f>"Certification"</f>
        <v/>
      </c>
      <c r="G2819">
        <f>""</f>
        <v/>
      </c>
      <c r="H2819">
        <f>"Medium"</f>
        <v/>
      </c>
      <c r="I2819">
        <f>TRIM(IF(LEN(IF(LEN(INDEX('Providers'!$R$4:$R$503,316))=0,"",INDEX('Providers'!$R$4:$R$503,316)))=0,"","Card: "&amp;IF(LEN(INDEX('Providers'!$R$4:$R$503,316))=0,"",INDEX('Providers'!$R$4:$R$503,316))&amp;". "))</f>
        <v/>
      </c>
      <c r="J2819">
        <f>IF(LEN(INDEX('Providers'!$AJ$4:$AJ$503,316))=0,"",INDEX('Providers'!$AJ$4:$AJ$503,316))</f>
        <v/>
      </c>
      <c r="K2819">
        <f>IF(LEN(INDEX('Providers'!$AI$4:$AI$503,316))=0,"",INDEX('Providers'!$AI$4:$AI$503,316))</f>
        <v/>
      </c>
    </row>
    <row r="2820">
      <c r="A2820">
        <f>IF(AND(LEN('Providers'!A320)&gt;0,ISNUMBER('Providers'!S320)),1,0)</f>
        <v/>
      </c>
      <c r="B2820">
        <f>B2819+A2820</f>
        <v/>
      </c>
      <c r="C2820">
        <f>IF(2817&gt;$B$4503,"",MATCH(2817-0.5,$B$3:$B$4503,1))</f>
        <v/>
      </c>
      <c r="D2820">
        <f>"Life support ("&amp;IF(LEN(INDEX('Providers'!$R$4:$R$503,317))=0,"",INDEX('Providers'!$R$4:$R$503,317))&amp;") – "&amp;IF(LEN(INDEX('Providers'!$A$4:$A$503,317))=0,"",INDEX('Providers'!$A$4:$A$503,317))</f>
        <v/>
      </c>
      <c r="E2820">
        <f>IF(ISNUMBER(INDEX('Providers'!$S$4:$S$503,317)),TEXT(INDEX('Providers'!$S$4:$S$503,317),"yyyy-mm-dd"),"")</f>
        <v/>
      </c>
      <c r="F2820">
        <f>"Certification"</f>
        <v/>
      </c>
      <c r="G2820">
        <f>""</f>
        <v/>
      </c>
      <c r="H2820">
        <f>"Medium"</f>
        <v/>
      </c>
      <c r="I2820">
        <f>TRIM(IF(LEN(IF(LEN(INDEX('Providers'!$R$4:$R$503,317))=0,"",INDEX('Providers'!$R$4:$R$503,317)))=0,"","Card: "&amp;IF(LEN(INDEX('Providers'!$R$4:$R$503,317))=0,"",INDEX('Providers'!$R$4:$R$503,317))&amp;". "))</f>
        <v/>
      </c>
      <c r="J2820">
        <f>IF(LEN(INDEX('Providers'!$AJ$4:$AJ$503,317))=0,"",INDEX('Providers'!$AJ$4:$AJ$503,317))</f>
        <v/>
      </c>
      <c r="K2820">
        <f>IF(LEN(INDEX('Providers'!$AI$4:$AI$503,317))=0,"",INDEX('Providers'!$AI$4:$AI$503,317))</f>
        <v/>
      </c>
    </row>
    <row r="2821">
      <c r="A2821">
        <f>IF(AND(LEN('Providers'!A321)&gt;0,ISNUMBER('Providers'!S321)),1,0)</f>
        <v/>
      </c>
      <c r="B2821">
        <f>B2820+A2821</f>
        <v/>
      </c>
      <c r="C2821">
        <f>IF(2818&gt;$B$4503,"",MATCH(2818-0.5,$B$3:$B$4503,1))</f>
        <v/>
      </c>
      <c r="D2821">
        <f>"Life support ("&amp;IF(LEN(INDEX('Providers'!$R$4:$R$503,318))=0,"",INDEX('Providers'!$R$4:$R$503,318))&amp;") – "&amp;IF(LEN(INDEX('Providers'!$A$4:$A$503,318))=0,"",INDEX('Providers'!$A$4:$A$503,318))</f>
        <v/>
      </c>
      <c r="E2821">
        <f>IF(ISNUMBER(INDEX('Providers'!$S$4:$S$503,318)),TEXT(INDEX('Providers'!$S$4:$S$503,318),"yyyy-mm-dd"),"")</f>
        <v/>
      </c>
      <c r="F2821">
        <f>"Certification"</f>
        <v/>
      </c>
      <c r="G2821">
        <f>""</f>
        <v/>
      </c>
      <c r="H2821">
        <f>"Medium"</f>
        <v/>
      </c>
      <c r="I2821">
        <f>TRIM(IF(LEN(IF(LEN(INDEX('Providers'!$R$4:$R$503,318))=0,"",INDEX('Providers'!$R$4:$R$503,318)))=0,"","Card: "&amp;IF(LEN(INDEX('Providers'!$R$4:$R$503,318))=0,"",INDEX('Providers'!$R$4:$R$503,318))&amp;". "))</f>
        <v/>
      </c>
      <c r="J2821">
        <f>IF(LEN(INDEX('Providers'!$AJ$4:$AJ$503,318))=0,"",INDEX('Providers'!$AJ$4:$AJ$503,318))</f>
        <v/>
      </c>
      <c r="K2821">
        <f>IF(LEN(INDEX('Providers'!$AI$4:$AI$503,318))=0,"",INDEX('Providers'!$AI$4:$AI$503,318))</f>
        <v/>
      </c>
    </row>
    <row r="2822">
      <c r="A2822">
        <f>IF(AND(LEN('Providers'!A322)&gt;0,ISNUMBER('Providers'!S322)),1,0)</f>
        <v/>
      </c>
      <c r="B2822">
        <f>B2821+A2822</f>
        <v/>
      </c>
      <c r="C2822">
        <f>IF(2819&gt;$B$4503,"",MATCH(2819-0.5,$B$3:$B$4503,1))</f>
        <v/>
      </c>
      <c r="D2822">
        <f>"Life support ("&amp;IF(LEN(INDEX('Providers'!$R$4:$R$503,319))=0,"",INDEX('Providers'!$R$4:$R$503,319))&amp;") – "&amp;IF(LEN(INDEX('Providers'!$A$4:$A$503,319))=0,"",INDEX('Providers'!$A$4:$A$503,319))</f>
        <v/>
      </c>
      <c r="E2822">
        <f>IF(ISNUMBER(INDEX('Providers'!$S$4:$S$503,319)),TEXT(INDEX('Providers'!$S$4:$S$503,319),"yyyy-mm-dd"),"")</f>
        <v/>
      </c>
      <c r="F2822">
        <f>"Certification"</f>
        <v/>
      </c>
      <c r="G2822">
        <f>""</f>
        <v/>
      </c>
      <c r="H2822">
        <f>"Medium"</f>
        <v/>
      </c>
      <c r="I2822">
        <f>TRIM(IF(LEN(IF(LEN(INDEX('Providers'!$R$4:$R$503,319))=0,"",INDEX('Providers'!$R$4:$R$503,319)))=0,"","Card: "&amp;IF(LEN(INDEX('Providers'!$R$4:$R$503,319))=0,"",INDEX('Providers'!$R$4:$R$503,319))&amp;". "))</f>
        <v/>
      </c>
      <c r="J2822">
        <f>IF(LEN(INDEX('Providers'!$AJ$4:$AJ$503,319))=0,"",INDEX('Providers'!$AJ$4:$AJ$503,319))</f>
        <v/>
      </c>
      <c r="K2822">
        <f>IF(LEN(INDEX('Providers'!$AI$4:$AI$503,319))=0,"",INDEX('Providers'!$AI$4:$AI$503,319))</f>
        <v/>
      </c>
    </row>
    <row r="2823">
      <c r="A2823">
        <f>IF(AND(LEN('Providers'!A323)&gt;0,ISNUMBER('Providers'!S323)),1,0)</f>
        <v/>
      </c>
      <c r="B2823">
        <f>B2822+A2823</f>
        <v/>
      </c>
      <c r="C2823">
        <f>IF(2820&gt;$B$4503,"",MATCH(2820-0.5,$B$3:$B$4503,1))</f>
        <v/>
      </c>
      <c r="D2823">
        <f>"Life support ("&amp;IF(LEN(INDEX('Providers'!$R$4:$R$503,320))=0,"",INDEX('Providers'!$R$4:$R$503,320))&amp;") – "&amp;IF(LEN(INDEX('Providers'!$A$4:$A$503,320))=0,"",INDEX('Providers'!$A$4:$A$503,320))</f>
        <v/>
      </c>
      <c r="E2823">
        <f>IF(ISNUMBER(INDEX('Providers'!$S$4:$S$503,320)),TEXT(INDEX('Providers'!$S$4:$S$503,320),"yyyy-mm-dd"),"")</f>
        <v/>
      </c>
      <c r="F2823">
        <f>"Certification"</f>
        <v/>
      </c>
      <c r="G2823">
        <f>""</f>
        <v/>
      </c>
      <c r="H2823">
        <f>"Medium"</f>
        <v/>
      </c>
      <c r="I2823">
        <f>TRIM(IF(LEN(IF(LEN(INDEX('Providers'!$R$4:$R$503,320))=0,"",INDEX('Providers'!$R$4:$R$503,320)))=0,"","Card: "&amp;IF(LEN(INDEX('Providers'!$R$4:$R$503,320))=0,"",INDEX('Providers'!$R$4:$R$503,320))&amp;". "))</f>
        <v/>
      </c>
      <c r="J2823">
        <f>IF(LEN(INDEX('Providers'!$AJ$4:$AJ$503,320))=0,"",INDEX('Providers'!$AJ$4:$AJ$503,320))</f>
        <v/>
      </c>
      <c r="K2823">
        <f>IF(LEN(INDEX('Providers'!$AI$4:$AI$503,320))=0,"",INDEX('Providers'!$AI$4:$AI$503,320))</f>
        <v/>
      </c>
    </row>
    <row r="2824">
      <c r="A2824">
        <f>IF(AND(LEN('Providers'!A324)&gt;0,ISNUMBER('Providers'!S324)),1,0)</f>
        <v/>
      </c>
      <c r="B2824">
        <f>B2823+A2824</f>
        <v/>
      </c>
      <c r="C2824">
        <f>IF(2821&gt;$B$4503,"",MATCH(2821-0.5,$B$3:$B$4503,1))</f>
        <v/>
      </c>
      <c r="D2824">
        <f>"Life support ("&amp;IF(LEN(INDEX('Providers'!$R$4:$R$503,321))=0,"",INDEX('Providers'!$R$4:$R$503,321))&amp;") – "&amp;IF(LEN(INDEX('Providers'!$A$4:$A$503,321))=0,"",INDEX('Providers'!$A$4:$A$503,321))</f>
        <v/>
      </c>
      <c r="E2824">
        <f>IF(ISNUMBER(INDEX('Providers'!$S$4:$S$503,321)),TEXT(INDEX('Providers'!$S$4:$S$503,321),"yyyy-mm-dd"),"")</f>
        <v/>
      </c>
      <c r="F2824">
        <f>"Certification"</f>
        <v/>
      </c>
      <c r="G2824">
        <f>""</f>
        <v/>
      </c>
      <c r="H2824">
        <f>"Medium"</f>
        <v/>
      </c>
      <c r="I2824">
        <f>TRIM(IF(LEN(IF(LEN(INDEX('Providers'!$R$4:$R$503,321))=0,"",INDEX('Providers'!$R$4:$R$503,321)))=0,"","Card: "&amp;IF(LEN(INDEX('Providers'!$R$4:$R$503,321))=0,"",INDEX('Providers'!$R$4:$R$503,321))&amp;". "))</f>
        <v/>
      </c>
      <c r="J2824">
        <f>IF(LEN(INDEX('Providers'!$AJ$4:$AJ$503,321))=0,"",INDEX('Providers'!$AJ$4:$AJ$503,321))</f>
        <v/>
      </c>
      <c r="K2824">
        <f>IF(LEN(INDEX('Providers'!$AI$4:$AI$503,321))=0,"",INDEX('Providers'!$AI$4:$AI$503,321))</f>
        <v/>
      </c>
    </row>
    <row r="2825">
      <c r="A2825">
        <f>IF(AND(LEN('Providers'!A325)&gt;0,ISNUMBER('Providers'!S325)),1,0)</f>
        <v/>
      </c>
      <c r="B2825">
        <f>B2824+A2825</f>
        <v/>
      </c>
      <c r="C2825">
        <f>IF(2822&gt;$B$4503,"",MATCH(2822-0.5,$B$3:$B$4503,1))</f>
        <v/>
      </c>
      <c r="D2825">
        <f>"Life support ("&amp;IF(LEN(INDEX('Providers'!$R$4:$R$503,322))=0,"",INDEX('Providers'!$R$4:$R$503,322))&amp;") – "&amp;IF(LEN(INDEX('Providers'!$A$4:$A$503,322))=0,"",INDEX('Providers'!$A$4:$A$503,322))</f>
        <v/>
      </c>
      <c r="E2825">
        <f>IF(ISNUMBER(INDEX('Providers'!$S$4:$S$503,322)),TEXT(INDEX('Providers'!$S$4:$S$503,322),"yyyy-mm-dd"),"")</f>
        <v/>
      </c>
      <c r="F2825">
        <f>"Certification"</f>
        <v/>
      </c>
      <c r="G2825">
        <f>""</f>
        <v/>
      </c>
      <c r="H2825">
        <f>"Medium"</f>
        <v/>
      </c>
      <c r="I2825">
        <f>TRIM(IF(LEN(IF(LEN(INDEX('Providers'!$R$4:$R$503,322))=0,"",INDEX('Providers'!$R$4:$R$503,322)))=0,"","Card: "&amp;IF(LEN(INDEX('Providers'!$R$4:$R$503,322))=0,"",INDEX('Providers'!$R$4:$R$503,322))&amp;". "))</f>
        <v/>
      </c>
      <c r="J2825">
        <f>IF(LEN(INDEX('Providers'!$AJ$4:$AJ$503,322))=0,"",INDEX('Providers'!$AJ$4:$AJ$503,322))</f>
        <v/>
      </c>
      <c r="K2825">
        <f>IF(LEN(INDEX('Providers'!$AI$4:$AI$503,322))=0,"",INDEX('Providers'!$AI$4:$AI$503,322))</f>
        <v/>
      </c>
    </row>
    <row r="2826">
      <c r="A2826">
        <f>IF(AND(LEN('Providers'!A326)&gt;0,ISNUMBER('Providers'!S326)),1,0)</f>
        <v/>
      </c>
      <c r="B2826">
        <f>B2825+A2826</f>
        <v/>
      </c>
      <c r="C2826">
        <f>IF(2823&gt;$B$4503,"",MATCH(2823-0.5,$B$3:$B$4503,1))</f>
        <v/>
      </c>
      <c r="D2826">
        <f>"Life support ("&amp;IF(LEN(INDEX('Providers'!$R$4:$R$503,323))=0,"",INDEX('Providers'!$R$4:$R$503,323))&amp;") – "&amp;IF(LEN(INDEX('Providers'!$A$4:$A$503,323))=0,"",INDEX('Providers'!$A$4:$A$503,323))</f>
        <v/>
      </c>
      <c r="E2826">
        <f>IF(ISNUMBER(INDEX('Providers'!$S$4:$S$503,323)),TEXT(INDEX('Providers'!$S$4:$S$503,323),"yyyy-mm-dd"),"")</f>
        <v/>
      </c>
      <c r="F2826">
        <f>"Certification"</f>
        <v/>
      </c>
      <c r="G2826">
        <f>""</f>
        <v/>
      </c>
      <c r="H2826">
        <f>"Medium"</f>
        <v/>
      </c>
      <c r="I2826">
        <f>TRIM(IF(LEN(IF(LEN(INDEX('Providers'!$R$4:$R$503,323))=0,"",INDEX('Providers'!$R$4:$R$503,323)))=0,"","Card: "&amp;IF(LEN(INDEX('Providers'!$R$4:$R$503,323))=0,"",INDEX('Providers'!$R$4:$R$503,323))&amp;". "))</f>
        <v/>
      </c>
      <c r="J2826">
        <f>IF(LEN(INDEX('Providers'!$AJ$4:$AJ$503,323))=0,"",INDEX('Providers'!$AJ$4:$AJ$503,323))</f>
        <v/>
      </c>
      <c r="K2826">
        <f>IF(LEN(INDEX('Providers'!$AI$4:$AI$503,323))=0,"",INDEX('Providers'!$AI$4:$AI$503,323))</f>
        <v/>
      </c>
    </row>
    <row r="2827">
      <c r="A2827">
        <f>IF(AND(LEN('Providers'!A327)&gt;0,ISNUMBER('Providers'!S327)),1,0)</f>
        <v/>
      </c>
      <c r="B2827">
        <f>B2826+A2827</f>
        <v/>
      </c>
      <c r="C2827">
        <f>IF(2824&gt;$B$4503,"",MATCH(2824-0.5,$B$3:$B$4503,1))</f>
        <v/>
      </c>
      <c r="D2827">
        <f>"Life support ("&amp;IF(LEN(INDEX('Providers'!$R$4:$R$503,324))=0,"",INDEX('Providers'!$R$4:$R$503,324))&amp;") – "&amp;IF(LEN(INDEX('Providers'!$A$4:$A$503,324))=0,"",INDEX('Providers'!$A$4:$A$503,324))</f>
        <v/>
      </c>
      <c r="E2827">
        <f>IF(ISNUMBER(INDEX('Providers'!$S$4:$S$503,324)),TEXT(INDEX('Providers'!$S$4:$S$503,324),"yyyy-mm-dd"),"")</f>
        <v/>
      </c>
      <c r="F2827">
        <f>"Certification"</f>
        <v/>
      </c>
      <c r="G2827">
        <f>""</f>
        <v/>
      </c>
      <c r="H2827">
        <f>"Medium"</f>
        <v/>
      </c>
      <c r="I2827">
        <f>TRIM(IF(LEN(IF(LEN(INDEX('Providers'!$R$4:$R$503,324))=0,"",INDEX('Providers'!$R$4:$R$503,324)))=0,"","Card: "&amp;IF(LEN(INDEX('Providers'!$R$4:$R$503,324))=0,"",INDEX('Providers'!$R$4:$R$503,324))&amp;". "))</f>
        <v/>
      </c>
      <c r="J2827">
        <f>IF(LEN(INDEX('Providers'!$AJ$4:$AJ$503,324))=0,"",INDEX('Providers'!$AJ$4:$AJ$503,324))</f>
        <v/>
      </c>
      <c r="K2827">
        <f>IF(LEN(INDEX('Providers'!$AI$4:$AI$503,324))=0,"",INDEX('Providers'!$AI$4:$AI$503,324))</f>
        <v/>
      </c>
    </row>
    <row r="2828">
      <c r="A2828">
        <f>IF(AND(LEN('Providers'!A328)&gt;0,ISNUMBER('Providers'!S328)),1,0)</f>
        <v/>
      </c>
      <c r="B2828">
        <f>B2827+A2828</f>
        <v/>
      </c>
      <c r="C2828">
        <f>IF(2825&gt;$B$4503,"",MATCH(2825-0.5,$B$3:$B$4503,1))</f>
        <v/>
      </c>
      <c r="D2828">
        <f>"Life support ("&amp;IF(LEN(INDEX('Providers'!$R$4:$R$503,325))=0,"",INDEX('Providers'!$R$4:$R$503,325))&amp;") – "&amp;IF(LEN(INDEX('Providers'!$A$4:$A$503,325))=0,"",INDEX('Providers'!$A$4:$A$503,325))</f>
        <v/>
      </c>
      <c r="E2828">
        <f>IF(ISNUMBER(INDEX('Providers'!$S$4:$S$503,325)),TEXT(INDEX('Providers'!$S$4:$S$503,325),"yyyy-mm-dd"),"")</f>
        <v/>
      </c>
      <c r="F2828">
        <f>"Certification"</f>
        <v/>
      </c>
      <c r="G2828">
        <f>""</f>
        <v/>
      </c>
      <c r="H2828">
        <f>"Medium"</f>
        <v/>
      </c>
      <c r="I2828">
        <f>TRIM(IF(LEN(IF(LEN(INDEX('Providers'!$R$4:$R$503,325))=0,"",INDEX('Providers'!$R$4:$R$503,325)))=0,"","Card: "&amp;IF(LEN(INDEX('Providers'!$R$4:$R$503,325))=0,"",INDEX('Providers'!$R$4:$R$503,325))&amp;". "))</f>
        <v/>
      </c>
      <c r="J2828">
        <f>IF(LEN(INDEX('Providers'!$AJ$4:$AJ$503,325))=0,"",INDEX('Providers'!$AJ$4:$AJ$503,325))</f>
        <v/>
      </c>
      <c r="K2828">
        <f>IF(LEN(INDEX('Providers'!$AI$4:$AI$503,325))=0,"",INDEX('Providers'!$AI$4:$AI$503,325))</f>
        <v/>
      </c>
    </row>
    <row r="2829">
      <c r="A2829">
        <f>IF(AND(LEN('Providers'!A329)&gt;0,ISNUMBER('Providers'!S329)),1,0)</f>
        <v/>
      </c>
      <c r="B2829">
        <f>B2828+A2829</f>
        <v/>
      </c>
      <c r="C2829">
        <f>IF(2826&gt;$B$4503,"",MATCH(2826-0.5,$B$3:$B$4503,1))</f>
        <v/>
      </c>
      <c r="D2829">
        <f>"Life support ("&amp;IF(LEN(INDEX('Providers'!$R$4:$R$503,326))=0,"",INDEX('Providers'!$R$4:$R$503,326))&amp;") – "&amp;IF(LEN(INDEX('Providers'!$A$4:$A$503,326))=0,"",INDEX('Providers'!$A$4:$A$503,326))</f>
        <v/>
      </c>
      <c r="E2829">
        <f>IF(ISNUMBER(INDEX('Providers'!$S$4:$S$503,326)),TEXT(INDEX('Providers'!$S$4:$S$503,326),"yyyy-mm-dd"),"")</f>
        <v/>
      </c>
      <c r="F2829">
        <f>"Certification"</f>
        <v/>
      </c>
      <c r="G2829">
        <f>""</f>
        <v/>
      </c>
      <c r="H2829">
        <f>"Medium"</f>
        <v/>
      </c>
      <c r="I2829">
        <f>TRIM(IF(LEN(IF(LEN(INDEX('Providers'!$R$4:$R$503,326))=0,"",INDEX('Providers'!$R$4:$R$503,326)))=0,"","Card: "&amp;IF(LEN(INDEX('Providers'!$R$4:$R$503,326))=0,"",INDEX('Providers'!$R$4:$R$503,326))&amp;". "))</f>
        <v/>
      </c>
      <c r="J2829">
        <f>IF(LEN(INDEX('Providers'!$AJ$4:$AJ$503,326))=0,"",INDEX('Providers'!$AJ$4:$AJ$503,326))</f>
        <v/>
      </c>
      <c r="K2829">
        <f>IF(LEN(INDEX('Providers'!$AI$4:$AI$503,326))=0,"",INDEX('Providers'!$AI$4:$AI$503,326))</f>
        <v/>
      </c>
    </row>
    <row r="2830">
      <c r="A2830">
        <f>IF(AND(LEN('Providers'!A330)&gt;0,ISNUMBER('Providers'!S330)),1,0)</f>
        <v/>
      </c>
      <c r="B2830">
        <f>B2829+A2830</f>
        <v/>
      </c>
      <c r="C2830">
        <f>IF(2827&gt;$B$4503,"",MATCH(2827-0.5,$B$3:$B$4503,1))</f>
        <v/>
      </c>
      <c r="D2830">
        <f>"Life support ("&amp;IF(LEN(INDEX('Providers'!$R$4:$R$503,327))=0,"",INDEX('Providers'!$R$4:$R$503,327))&amp;") – "&amp;IF(LEN(INDEX('Providers'!$A$4:$A$503,327))=0,"",INDEX('Providers'!$A$4:$A$503,327))</f>
        <v/>
      </c>
      <c r="E2830">
        <f>IF(ISNUMBER(INDEX('Providers'!$S$4:$S$503,327)),TEXT(INDEX('Providers'!$S$4:$S$503,327),"yyyy-mm-dd"),"")</f>
        <v/>
      </c>
      <c r="F2830">
        <f>"Certification"</f>
        <v/>
      </c>
      <c r="G2830">
        <f>""</f>
        <v/>
      </c>
      <c r="H2830">
        <f>"Medium"</f>
        <v/>
      </c>
      <c r="I2830">
        <f>TRIM(IF(LEN(IF(LEN(INDEX('Providers'!$R$4:$R$503,327))=0,"",INDEX('Providers'!$R$4:$R$503,327)))=0,"","Card: "&amp;IF(LEN(INDEX('Providers'!$R$4:$R$503,327))=0,"",INDEX('Providers'!$R$4:$R$503,327))&amp;". "))</f>
        <v/>
      </c>
      <c r="J2830">
        <f>IF(LEN(INDEX('Providers'!$AJ$4:$AJ$503,327))=0,"",INDEX('Providers'!$AJ$4:$AJ$503,327))</f>
        <v/>
      </c>
      <c r="K2830">
        <f>IF(LEN(INDEX('Providers'!$AI$4:$AI$503,327))=0,"",INDEX('Providers'!$AI$4:$AI$503,327))</f>
        <v/>
      </c>
    </row>
    <row r="2831">
      <c r="A2831">
        <f>IF(AND(LEN('Providers'!A331)&gt;0,ISNUMBER('Providers'!S331)),1,0)</f>
        <v/>
      </c>
      <c r="B2831">
        <f>B2830+A2831</f>
        <v/>
      </c>
      <c r="C2831">
        <f>IF(2828&gt;$B$4503,"",MATCH(2828-0.5,$B$3:$B$4503,1))</f>
        <v/>
      </c>
      <c r="D2831">
        <f>"Life support ("&amp;IF(LEN(INDEX('Providers'!$R$4:$R$503,328))=0,"",INDEX('Providers'!$R$4:$R$503,328))&amp;") – "&amp;IF(LEN(INDEX('Providers'!$A$4:$A$503,328))=0,"",INDEX('Providers'!$A$4:$A$503,328))</f>
        <v/>
      </c>
      <c r="E2831">
        <f>IF(ISNUMBER(INDEX('Providers'!$S$4:$S$503,328)),TEXT(INDEX('Providers'!$S$4:$S$503,328),"yyyy-mm-dd"),"")</f>
        <v/>
      </c>
      <c r="F2831">
        <f>"Certification"</f>
        <v/>
      </c>
      <c r="G2831">
        <f>""</f>
        <v/>
      </c>
      <c r="H2831">
        <f>"Medium"</f>
        <v/>
      </c>
      <c r="I2831">
        <f>TRIM(IF(LEN(IF(LEN(INDEX('Providers'!$R$4:$R$503,328))=0,"",INDEX('Providers'!$R$4:$R$503,328)))=0,"","Card: "&amp;IF(LEN(INDEX('Providers'!$R$4:$R$503,328))=0,"",INDEX('Providers'!$R$4:$R$503,328))&amp;". "))</f>
        <v/>
      </c>
      <c r="J2831">
        <f>IF(LEN(INDEX('Providers'!$AJ$4:$AJ$503,328))=0,"",INDEX('Providers'!$AJ$4:$AJ$503,328))</f>
        <v/>
      </c>
      <c r="K2831">
        <f>IF(LEN(INDEX('Providers'!$AI$4:$AI$503,328))=0,"",INDEX('Providers'!$AI$4:$AI$503,328))</f>
        <v/>
      </c>
    </row>
    <row r="2832">
      <c r="A2832">
        <f>IF(AND(LEN('Providers'!A332)&gt;0,ISNUMBER('Providers'!S332)),1,0)</f>
        <v/>
      </c>
      <c r="B2832">
        <f>B2831+A2832</f>
        <v/>
      </c>
      <c r="C2832">
        <f>IF(2829&gt;$B$4503,"",MATCH(2829-0.5,$B$3:$B$4503,1))</f>
        <v/>
      </c>
      <c r="D2832">
        <f>"Life support ("&amp;IF(LEN(INDEX('Providers'!$R$4:$R$503,329))=0,"",INDEX('Providers'!$R$4:$R$503,329))&amp;") – "&amp;IF(LEN(INDEX('Providers'!$A$4:$A$503,329))=0,"",INDEX('Providers'!$A$4:$A$503,329))</f>
        <v/>
      </c>
      <c r="E2832">
        <f>IF(ISNUMBER(INDEX('Providers'!$S$4:$S$503,329)),TEXT(INDEX('Providers'!$S$4:$S$503,329),"yyyy-mm-dd"),"")</f>
        <v/>
      </c>
      <c r="F2832">
        <f>"Certification"</f>
        <v/>
      </c>
      <c r="G2832">
        <f>""</f>
        <v/>
      </c>
      <c r="H2832">
        <f>"Medium"</f>
        <v/>
      </c>
      <c r="I2832">
        <f>TRIM(IF(LEN(IF(LEN(INDEX('Providers'!$R$4:$R$503,329))=0,"",INDEX('Providers'!$R$4:$R$503,329)))=0,"","Card: "&amp;IF(LEN(INDEX('Providers'!$R$4:$R$503,329))=0,"",INDEX('Providers'!$R$4:$R$503,329))&amp;". "))</f>
        <v/>
      </c>
      <c r="J2832">
        <f>IF(LEN(INDEX('Providers'!$AJ$4:$AJ$503,329))=0,"",INDEX('Providers'!$AJ$4:$AJ$503,329))</f>
        <v/>
      </c>
      <c r="K2832">
        <f>IF(LEN(INDEX('Providers'!$AI$4:$AI$503,329))=0,"",INDEX('Providers'!$AI$4:$AI$503,329))</f>
        <v/>
      </c>
    </row>
    <row r="2833">
      <c r="A2833">
        <f>IF(AND(LEN('Providers'!A333)&gt;0,ISNUMBER('Providers'!S333)),1,0)</f>
        <v/>
      </c>
      <c r="B2833">
        <f>B2832+A2833</f>
        <v/>
      </c>
      <c r="C2833">
        <f>IF(2830&gt;$B$4503,"",MATCH(2830-0.5,$B$3:$B$4503,1))</f>
        <v/>
      </c>
      <c r="D2833">
        <f>"Life support ("&amp;IF(LEN(INDEX('Providers'!$R$4:$R$503,330))=0,"",INDEX('Providers'!$R$4:$R$503,330))&amp;") – "&amp;IF(LEN(INDEX('Providers'!$A$4:$A$503,330))=0,"",INDEX('Providers'!$A$4:$A$503,330))</f>
        <v/>
      </c>
      <c r="E2833">
        <f>IF(ISNUMBER(INDEX('Providers'!$S$4:$S$503,330)),TEXT(INDEX('Providers'!$S$4:$S$503,330),"yyyy-mm-dd"),"")</f>
        <v/>
      </c>
      <c r="F2833">
        <f>"Certification"</f>
        <v/>
      </c>
      <c r="G2833">
        <f>""</f>
        <v/>
      </c>
      <c r="H2833">
        <f>"Medium"</f>
        <v/>
      </c>
      <c r="I2833">
        <f>TRIM(IF(LEN(IF(LEN(INDEX('Providers'!$R$4:$R$503,330))=0,"",INDEX('Providers'!$R$4:$R$503,330)))=0,"","Card: "&amp;IF(LEN(INDEX('Providers'!$R$4:$R$503,330))=0,"",INDEX('Providers'!$R$4:$R$503,330))&amp;". "))</f>
        <v/>
      </c>
      <c r="J2833">
        <f>IF(LEN(INDEX('Providers'!$AJ$4:$AJ$503,330))=0,"",INDEX('Providers'!$AJ$4:$AJ$503,330))</f>
        <v/>
      </c>
      <c r="K2833">
        <f>IF(LEN(INDEX('Providers'!$AI$4:$AI$503,330))=0,"",INDEX('Providers'!$AI$4:$AI$503,330))</f>
        <v/>
      </c>
    </row>
    <row r="2834">
      <c r="A2834">
        <f>IF(AND(LEN('Providers'!A334)&gt;0,ISNUMBER('Providers'!S334)),1,0)</f>
        <v/>
      </c>
      <c r="B2834">
        <f>B2833+A2834</f>
        <v/>
      </c>
      <c r="C2834">
        <f>IF(2831&gt;$B$4503,"",MATCH(2831-0.5,$B$3:$B$4503,1))</f>
        <v/>
      </c>
      <c r="D2834">
        <f>"Life support ("&amp;IF(LEN(INDEX('Providers'!$R$4:$R$503,331))=0,"",INDEX('Providers'!$R$4:$R$503,331))&amp;") – "&amp;IF(LEN(INDEX('Providers'!$A$4:$A$503,331))=0,"",INDEX('Providers'!$A$4:$A$503,331))</f>
        <v/>
      </c>
      <c r="E2834">
        <f>IF(ISNUMBER(INDEX('Providers'!$S$4:$S$503,331)),TEXT(INDEX('Providers'!$S$4:$S$503,331),"yyyy-mm-dd"),"")</f>
        <v/>
      </c>
      <c r="F2834">
        <f>"Certification"</f>
        <v/>
      </c>
      <c r="G2834">
        <f>""</f>
        <v/>
      </c>
      <c r="H2834">
        <f>"Medium"</f>
        <v/>
      </c>
      <c r="I2834">
        <f>TRIM(IF(LEN(IF(LEN(INDEX('Providers'!$R$4:$R$503,331))=0,"",INDEX('Providers'!$R$4:$R$503,331)))=0,"","Card: "&amp;IF(LEN(INDEX('Providers'!$R$4:$R$503,331))=0,"",INDEX('Providers'!$R$4:$R$503,331))&amp;". "))</f>
        <v/>
      </c>
      <c r="J2834">
        <f>IF(LEN(INDEX('Providers'!$AJ$4:$AJ$503,331))=0,"",INDEX('Providers'!$AJ$4:$AJ$503,331))</f>
        <v/>
      </c>
      <c r="K2834">
        <f>IF(LEN(INDEX('Providers'!$AI$4:$AI$503,331))=0,"",INDEX('Providers'!$AI$4:$AI$503,331))</f>
        <v/>
      </c>
    </row>
    <row r="2835">
      <c r="A2835">
        <f>IF(AND(LEN('Providers'!A335)&gt;0,ISNUMBER('Providers'!S335)),1,0)</f>
        <v/>
      </c>
      <c r="B2835">
        <f>B2834+A2835</f>
        <v/>
      </c>
      <c r="C2835">
        <f>IF(2832&gt;$B$4503,"",MATCH(2832-0.5,$B$3:$B$4503,1))</f>
        <v/>
      </c>
      <c r="D2835">
        <f>"Life support ("&amp;IF(LEN(INDEX('Providers'!$R$4:$R$503,332))=0,"",INDEX('Providers'!$R$4:$R$503,332))&amp;") – "&amp;IF(LEN(INDEX('Providers'!$A$4:$A$503,332))=0,"",INDEX('Providers'!$A$4:$A$503,332))</f>
        <v/>
      </c>
      <c r="E2835">
        <f>IF(ISNUMBER(INDEX('Providers'!$S$4:$S$503,332)),TEXT(INDEX('Providers'!$S$4:$S$503,332),"yyyy-mm-dd"),"")</f>
        <v/>
      </c>
      <c r="F2835">
        <f>"Certification"</f>
        <v/>
      </c>
      <c r="G2835">
        <f>""</f>
        <v/>
      </c>
      <c r="H2835">
        <f>"Medium"</f>
        <v/>
      </c>
      <c r="I2835">
        <f>TRIM(IF(LEN(IF(LEN(INDEX('Providers'!$R$4:$R$503,332))=0,"",INDEX('Providers'!$R$4:$R$503,332)))=0,"","Card: "&amp;IF(LEN(INDEX('Providers'!$R$4:$R$503,332))=0,"",INDEX('Providers'!$R$4:$R$503,332))&amp;". "))</f>
        <v/>
      </c>
      <c r="J2835">
        <f>IF(LEN(INDEX('Providers'!$AJ$4:$AJ$503,332))=0,"",INDEX('Providers'!$AJ$4:$AJ$503,332))</f>
        <v/>
      </c>
      <c r="K2835">
        <f>IF(LEN(INDEX('Providers'!$AI$4:$AI$503,332))=0,"",INDEX('Providers'!$AI$4:$AI$503,332))</f>
        <v/>
      </c>
    </row>
    <row r="2836">
      <c r="A2836">
        <f>IF(AND(LEN('Providers'!A336)&gt;0,ISNUMBER('Providers'!S336)),1,0)</f>
        <v/>
      </c>
      <c r="B2836">
        <f>B2835+A2836</f>
        <v/>
      </c>
      <c r="C2836">
        <f>IF(2833&gt;$B$4503,"",MATCH(2833-0.5,$B$3:$B$4503,1))</f>
        <v/>
      </c>
      <c r="D2836">
        <f>"Life support ("&amp;IF(LEN(INDEX('Providers'!$R$4:$R$503,333))=0,"",INDEX('Providers'!$R$4:$R$503,333))&amp;") – "&amp;IF(LEN(INDEX('Providers'!$A$4:$A$503,333))=0,"",INDEX('Providers'!$A$4:$A$503,333))</f>
        <v/>
      </c>
      <c r="E2836">
        <f>IF(ISNUMBER(INDEX('Providers'!$S$4:$S$503,333)),TEXT(INDEX('Providers'!$S$4:$S$503,333),"yyyy-mm-dd"),"")</f>
        <v/>
      </c>
      <c r="F2836">
        <f>"Certification"</f>
        <v/>
      </c>
      <c r="G2836">
        <f>""</f>
        <v/>
      </c>
      <c r="H2836">
        <f>"Medium"</f>
        <v/>
      </c>
      <c r="I2836">
        <f>TRIM(IF(LEN(IF(LEN(INDEX('Providers'!$R$4:$R$503,333))=0,"",INDEX('Providers'!$R$4:$R$503,333)))=0,"","Card: "&amp;IF(LEN(INDEX('Providers'!$R$4:$R$503,333))=0,"",INDEX('Providers'!$R$4:$R$503,333))&amp;". "))</f>
        <v/>
      </c>
      <c r="J2836">
        <f>IF(LEN(INDEX('Providers'!$AJ$4:$AJ$503,333))=0,"",INDEX('Providers'!$AJ$4:$AJ$503,333))</f>
        <v/>
      </c>
      <c r="K2836">
        <f>IF(LEN(INDEX('Providers'!$AI$4:$AI$503,333))=0,"",INDEX('Providers'!$AI$4:$AI$503,333))</f>
        <v/>
      </c>
    </row>
    <row r="2837">
      <c r="A2837">
        <f>IF(AND(LEN('Providers'!A337)&gt;0,ISNUMBER('Providers'!S337)),1,0)</f>
        <v/>
      </c>
      <c r="B2837">
        <f>B2836+A2837</f>
        <v/>
      </c>
      <c r="C2837">
        <f>IF(2834&gt;$B$4503,"",MATCH(2834-0.5,$B$3:$B$4503,1))</f>
        <v/>
      </c>
      <c r="D2837">
        <f>"Life support ("&amp;IF(LEN(INDEX('Providers'!$R$4:$R$503,334))=0,"",INDEX('Providers'!$R$4:$R$503,334))&amp;") – "&amp;IF(LEN(INDEX('Providers'!$A$4:$A$503,334))=0,"",INDEX('Providers'!$A$4:$A$503,334))</f>
        <v/>
      </c>
      <c r="E2837">
        <f>IF(ISNUMBER(INDEX('Providers'!$S$4:$S$503,334)),TEXT(INDEX('Providers'!$S$4:$S$503,334),"yyyy-mm-dd"),"")</f>
        <v/>
      </c>
      <c r="F2837">
        <f>"Certification"</f>
        <v/>
      </c>
      <c r="G2837">
        <f>""</f>
        <v/>
      </c>
      <c r="H2837">
        <f>"Medium"</f>
        <v/>
      </c>
      <c r="I2837">
        <f>TRIM(IF(LEN(IF(LEN(INDEX('Providers'!$R$4:$R$503,334))=0,"",INDEX('Providers'!$R$4:$R$503,334)))=0,"","Card: "&amp;IF(LEN(INDEX('Providers'!$R$4:$R$503,334))=0,"",INDEX('Providers'!$R$4:$R$503,334))&amp;". "))</f>
        <v/>
      </c>
      <c r="J2837">
        <f>IF(LEN(INDEX('Providers'!$AJ$4:$AJ$503,334))=0,"",INDEX('Providers'!$AJ$4:$AJ$503,334))</f>
        <v/>
      </c>
      <c r="K2837">
        <f>IF(LEN(INDEX('Providers'!$AI$4:$AI$503,334))=0,"",INDEX('Providers'!$AI$4:$AI$503,334))</f>
        <v/>
      </c>
    </row>
    <row r="2838">
      <c r="A2838">
        <f>IF(AND(LEN('Providers'!A338)&gt;0,ISNUMBER('Providers'!S338)),1,0)</f>
        <v/>
      </c>
      <c r="B2838">
        <f>B2837+A2838</f>
        <v/>
      </c>
      <c r="C2838">
        <f>IF(2835&gt;$B$4503,"",MATCH(2835-0.5,$B$3:$B$4503,1))</f>
        <v/>
      </c>
      <c r="D2838">
        <f>"Life support ("&amp;IF(LEN(INDEX('Providers'!$R$4:$R$503,335))=0,"",INDEX('Providers'!$R$4:$R$503,335))&amp;") – "&amp;IF(LEN(INDEX('Providers'!$A$4:$A$503,335))=0,"",INDEX('Providers'!$A$4:$A$503,335))</f>
        <v/>
      </c>
      <c r="E2838">
        <f>IF(ISNUMBER(INDEX('Providers'!$S$4:$S$503,335)),TEXT(INDEX('Providers'!$S$4:$S$503,335),"yyyy-mm-dd"),"")</f>
        <v/>
      </c>
      <c r="F2838">
        <f>"Certification"</f>
        <v/>
      </c>
      <c r="G2838">
        <f>""</f>
        <v/>
      </c>
      <c r="H2838">
        <f>"Medium"</f>
        <v/>
      </c>
      <c r="I2838">
        <f>TRIM(IF(LEN(IF(LEN(INDEX('Providers'!$R$4:$R$503,335))=0,"",INDEX('Providers'!$R$4:$R$503,335)))=0,"","Card: "&amp;IF(LEN(INDEX('Providers'!$R$4:$R$503,335))=0,"",INDEX('Providers'!$R$4:$R$503,335))&amp;". "))</f>
        <v/>
      </c>
      <c r="J2838">
        <f>IF(LEN(INDEX('Providers'!$AJ$4:$AJ$503,335))=0,"",INDEX('Providers'!$AJ$4:$AJ$503,335))</f>
        <v/>
      </c>
      <c r="K2838">
        <f>IF(LEN(INDEX('Providers'!$AI$4:$AI$503,335))=0,"",INDEX('Providers'!$AI$4:$AI$503,335))</f>
        <v/>
      </c>
    </row>
    <row r="2839">
      <c r="A2839">
        <f>IF(AND(LEN('Providers'!A339)&gt;0,ISNUMBER('Providers'!S339)),1,0)</f>
        <v/>
      </c>
      <c r="B2839">
        <f>B2838+A2839</f>
        <v/>
      </c>
      <c r="C2839">
        <f>IF(2836&gt;$B$4503,"",MATCH(2836-0.5,$B$3:$B$4503,1))</f>
        <v/>
      </c>
      <c r="D2839">
        <f>"Life support ("&amp;IF(LEN(INDEX('Providers'!$R$4:$R$503,336))=0,"",INDEX('Providers'!$R$4:$R$503,336))&amp;") – "&amp;IF(LEN(INDEX('Providers'!$A$4:$A$503,336))=0,"",INDEX('Providers'!$A$4:$A$503,336))</f>
        <v/>
      </c>
      <c r="E2839">
        <f>IF(ISNUMBER(INDEX('Providers'!$S$4:$S$503,336)),TEXT(INDEX('Providers'!$S$4:$S$503,336),"yyyy-mm-dd"),"")</f>
        <v/>
      </c>
      <c r="F2839">
        <f>"Certification"</f>
        <v/>
      </c>
      <c r="G2839">
        <f>""</f>
        <v/>
      </c>
      <c r="H2839">
        <f>"Medium"</f>
        <v/>
      </c>
      <c r="I2839">
        <f>TRIM(IF(LEN(IF(LEN(INDEX('Providers'!$R$4:$R$503,336))=0,"",INDEX('Providers'!$R$4:$R$503,336)))=0,"","Card: "&amp;IF(LEN(INDEX('Providers'!$R$4:$R$503,336))=0,"",INDEX('Providers'!$R$4:$R$503,336))&amp;". "))</f>
        <v/>
      </c>
      <c r="J2839">
        <f>IF(LEN(INDEX('Providers'!$AJ$4:$AJ$503,336))=0,"",INDEX('Providers'!$AJ$4:$AJ$503,336))</f>
        <v/>
      </c>
      <c r="K2839">
        <f>IF(LEN(INDEX('Providers'!$AI$4:$AI$503,336))=0,"",INDEX('Providers'!$AI$4:$AI$503,336))</f>
        <v/>
      </c>
    </row>
    <row r="2840">
      <c r="A2840">
        <f>IF(AND(LEN('Providers'!A340)&gt;0,ISNUMBER('Providers'!S340)),1,0)</f>
        <v/>
      </c>
      <c r="B2840">
        <f>B2839+A2840</f>
        <v/>
      </c>
      <c r="C2840">
        <f>IF(2837&gt;$B$4503,"",MATCH(2837-0.5,$B$3:$B$4503,1))</f>
        <v/>
      </c>
      <c r="D2840">
        <f>"Life support ("&amp;IF(LEN(INDEX('Providers'!$R$4:$R$503,337))=0,"",INDEX('Providers'!$R$4:$R$503,337))&amp;") – "&amp;IF(LEN(INDEX('Providers'!$A$4:$A$503,337))=0,"",INDEX('Providers'!$A$4:$A$503,337))</f>
        <v/>
      </c>
      <c r="E2840">
        <f>IF(ISNUMBER(INDEX('Providers'!$S$4:$S$503,337)),TEXT(INDEX('Providers'!$S$4:$S$503,337),"yyyy-mm-dd"),"")</f>
        <v/>
      </c>
      <c r="F2840">
        <f>"Certification"</f>
        <v/>
      </c>
      <c r="G2840">
        <f>""</f>
        <v/>
      </c>
      <c r="H2840">
        <f>"Medium"</f>
        <v/>
      </c>
      <c r="I2840">
        <f>TRIM(IF(LEN(IF(LEN(INDEX('Providers'!$R$4:$R$503,337))=0,"",INDEX('Providers'!$R$4:$R$503,337)))=0,"","Card: "&amp;IF(LEN(INDEX('Providers'!$R$4:$R$503,337))=0,"",INDEX('Providers'!$R$4:$R$503,337))&amp;". "))</f>
        <v/>
      </c>
      <c r="J2840">
        <f>IF(LEN(INDEX('Providers'!$AJ$4:$AJ$503,337))=0,"",INDEX('Providers'!$AJ$4:$AJ$503,337))</f>
        <v/>
      </c>
      <c r="K2840">
        <f>IF(LEN(INDEX('Providers'!$AI$4:$AI$503,337))=0,"",INDEX('Providers'!$AI$4:$AI$503,337))</f>
        <v/>
      </c>
    </row>
    <row r="2841">
      <c r="A2841">
        <f>IF(AND(LEN('Providers'!A341)&gt;0,ISNUMBER('Providers'!S341)),1,0)</f>
        <v/>
      </c>
      <c r="B2841">
        <f>B2840+A2841</f>
        <v/>
      </c>
      <c r="C2841">
        <f>IF(2838&gt;$B$4503,"",MATCH(2838-0.5,$B$3:$B$4503,1))</f>
        <v/>
      </c>
      <c r="D2841">
        <f>"Life support ("&amp;IF(LEN(INDEX('Providers'!$R$4:$R$503,338))=0,"",INDEX('Providers'!$R$4:$R$503,338))&amp;") – "&amp;IF(LEN(INDEX('Providers'!$A$4:$A$503,338))=0,"",INDEX('Providers'!$A$4:$A$503,338))</f>
        <v/>
      </c>
      <c r="E2841">
        <f>IF(ISNUMBER(INDEX('Providers'!$S$4:$S$503,338)),TEXT(INDEX('Providers'!$S$4:$S$503,338),"yyyy-mm-dd"),"")</f>
        <v/>
      </c>
      <c r="F2841">
        <f>"Certification"</f>
        <v/>
      </c>
      <c r="G2841">
        <f>""</f>
        <v/>
      </c>
      <c r="H2841">
        <f>"Medium"</f>
        <v/>
      </c>
      <c r="I2841">
        <f>TRIM(IF(LEN(IF(LEN(INDEX('Providers'!$R$4:$R$503,338))=0,"",INDEX('Providers'!$R$4:$R$503,338)))=0,"","Card: "&amp;IF(LEN(INDEX('Providers'!$R$4:$R$503,338))=0,"",INDEX('Providers'!$R$4:$R$503,338))&amp;". "))</f>
        <v/>
      </c>
      <c r="J2841">
        <f>IF(LEN(INDEX('Providers'!$AJ$4:$AJ$503,338))=0,"",INDEX('Providers'!$AJ$4:$AJ$503,338))</f>
        <v/>
      </c>
      <c r="K2841">
        <f>IF(LEN(INDEX('Providers'!$AI$4:$AI$503,338))=0,"",INDEX('Providers'!$AI$4:$AI$503,338))</f>
        <v/>
      </c>
    </row>
    <row r="2842">
      <c r="A2842">
        <f>IF(AND(LEN('Providers'!A342)&gt;0,ISNUMBER('Providers'!S342)),1,0)</f>
        <v/>
      </c>
      <c r="B2842">
        <f>B2841+A2842</f>
        <v/>
      </c>
      <c r="C2842">
        <f>IF(2839&gt;$B$4503,"",MATCH(2839-0.5,$B$3:$B$4503,1))</f>
        <v/>
      </c>
      <c r="D2842">
        <f>"Life support ("&amp;IF(LEN(INDEX('Providers'!$R$4:$R$503,339))=0,"",INDEX('Providers'!$R$4:$R$503,339))&amp;") – "&amp;IF(LEN(INDEX('Providers'!$A$4:$A$503,339))=0,"",INDEX('Providers'!$A$4:$A$503,339))</f>
        <v/>
      </c>
      <c r="E2842">
        <f>IF(ISNUMBER(INDEX('Providers'!$S$4:$S$503,339)),TEXT(INDEX('Providers'!$S$4:$S$503,339),"yyyy-mm-dd"),"")</f>
        <v/>
      </c>
      <c r="F2842">
        <f>"Certification"</f>
        <v/>
      </c>
      <c r="G2842">
        <f>""</f>
        <v/>
      </c>
      <c r="H2842">
        <f>"Medium"</f>
        <v/>
      </c>
      <c r="I2842">
        <f>TRIM(IF(LEN(IF(LEN(INDEX('Providers'!$R$4:$R$503,339))=0,"",INDEX('Providers'!$R$4:$R$503,339)))=0,"","Card: "&amp;IF(LEN(INDEX('Providers'!$R$4:$R$503,339))=0,"",INDEX('Providers'!$R$4:$R$503,339))&amp;". "))</f>
        <v/>
      </c>
      <c r="J2842">
        <f>IF(LEN(INDEX('Providers'!$AJ$4:$AJ$503,339))=0,"",INDEX('Providers'!$AJ$4:$AJ$503,339))</f>
        <v/>
      </c>
      <c r="K2842">
        <f>IF(LEN(INDEX('Providers'!$AI$4:$AI$503,339))=0,"",INDEX('Providers'!$AI$4:$AI$503,339))</f>
        <v/>
      </c>
    </row>
    <row r="2843">
      <c r="A2843">
        <f>IF(AND(LEN('Providers'!A343)&gt;0,ISNUMBER('Providers'!S343)),1,0)</f>
        <v/>
      </c>
      <c r="B2843">
        <f>B2842+A2843</f>
        <v/>
      </c>
      <c r="C2843">
        <f>IF(2840&gt;$B$4503,"",MATCH(2840-0.5,$B$3:$B$4503,1))</f>
        <v/>
      </c>
      <c r="D2843">
        <f>"Life support ("&amp;IF(LEN(INDEX('Providers'!$R$4:$R$503,340))=0,"",INDEX('Providers'!$R$4:$R$503,340))&amp;") – "&amp;IF(LEN(INDEX('Providers'!$A$4:$A$503,340))=0,"",INDEX('Providers'!$A$4:$A$503,340))</f>
        <v/>
      </c>
      <c r="E2843">
        <f>IF(ISNUMBER(INDEX('Providers'!$S$4:$S$503,340)),TEXT(INDEX('Providers'!$S$4:$S$503,340),"yyyy-mm-dd"),"")</f>
        <v/>
      </c>
      <c r="F2843">
        <f>"Certification"</f>
        <v/>
      </c>
      <c r="G2843">
        <f>""</f>
        <v/>
      </c>
      <c r="H2843">
        <f>"Medium"</f>
        <v/>
      </c>
      <c r="I2843">
        <f>TRIM(IF(LEN(IF(LEN(INDEX('Providers'!$R$4:$R$503,340))=0,"",INDEX('Providers'!$R$4:$R$503,340)))=0,"","Card: "&amp;IF(LEN(INDEX('Providers'!$R$4:$R$503,340))=0,"",INDEX('Providers'!$R$4:$R$503,340))&amp;". "))</f>
        <v/>
      </c>
      <c r="J2843">
        <f>IF(LEN(INDEX('Providers'!$AJ$4:$AJ$503,340))=0,"",INDEX('Providers'!$AJ$4:$AJ$503,340))</f>
        <v/>
      </c>
      <c r="K2843">
        <f>IF(LEN(INDEX('Providers'!$AI$4:$AI$503,340))=0,"",INDEX('Providers'!$AI$4:$AI$503,340))</f>
        <v/>
      </c>
    </row>
    <row r="2844">
      <c r="A2844">
        <f>IF(AND(LEN('Providers'!A344)&gt;0,ISNUMBER('Providers'!S344)),1,0)</f>
        <v/>
      </c>
      <c r="B2844">
        <f>B2843+A2844</f>
        <v/>
      </c>
      <c r="C2844">
        <f>IF(2841&gt;$B$4503,"",MATCH(2841-0.5,$B$3:$B$4503,1))</f>
        <v/>
      </c>
      <c r="D2844">
        <f>"Life support ("&amp;IF(LEN(INDEX('Providers'!$R$4:$R$503,341))=0,"",INDEX('Providers'!$R$4:$R$503,341))&amp;") – "&amp;IF(LEN(INDEX('Providers'!$A$4:$A$503,341))=0,"",INDEX('Providers'!$A$4:$A$503,341))</f>
        <v/>
      </c>
      <c r="E2844">
        <f>IF(ISNUMBER(INDEX('Providers'!$S$4:$S$503,341)),TEXT(INDEX('Providers'!$S$4:$S$503,341),"yyyy-mm-dd"),"")</f>
        <v/>
      </c>
      <c r="F2844">
        <f>"Certification"</f>
        <v/>
      </c>
      <c r="G2844">
        <f>""</f>
        <v/>
      </c>
      <c r="H2844">
        <f>"Medium"</f>
        <v/>
      </c>
      <c r="I2844">
        <f>TRIM(IF(LEN(IF(LEN(INDEX('Providers'!$R$4:$R$503,341))=0,"",INDEX('Providers'!$R$4:$R$503,341)))=0,"","Card: "&amp;IF(LEN(INDEX('Providers'!$R$4:$R$503,341))=0,"",INDEX('Providers'!$R$4:$R$503,341))&amp;". "))</f>
        <v/>
      </c>
      <c r="J2844">
        <f>IF(LEN(INDEX('Providers'!$AJ$4:$AJ$503,341))=0,"",INDEX('Providers'!$AJ$4:$AJ$503,341))</f>
        <v/>
      </c>
      <c r="K2844">
        <f>IF(LEN(INDEX('Providers'!$AI$4:$AI$503,341))=0,"",INDEX('Providers'!$AI$4:$AI$503,341))</f>
        <v/>
      </c>
    </row>
    <row r="2845">
      <c r="A2845">
        <f>IF(AND(LEN('Providers'!A345)&gt;0,ISNUMBER('Providers'!S345)),1,0)</f>
        <v/>
      </c>
      <c r="B2845">
        <f>B2844+A2845</f>
        <v/>
      </c>
      <c r="C2845">
        <f>IF(2842&gt;$B$4503,"",MATCH(2842-0.5,$B$3:$B$4503,1))</f>
        <v/>
      </c>
      <c r="D2845">
        <f>"Life support ("&amp;IF(LEN(INDEX('Providers'!$R$4:$R$503,342))=0,"",INDEX('Providers'!$R$4:$R$503,342))&amp;") – "&amp;IF(LEN(INDEX('Providers'!$A$4:$A$503,342))=0,"",INDEX('Providers'!$A$4:$A$503,342))</f>
        <v/>
      </c>
      <c r="E2845">
        <f>IF(ISNUMBER(INDEX('Providers'!$S$4:$S$503,342)),TEXT(INDEX('Providers'!$S$4:$S$503,342),"yyyy-mm-dd"),"")</f>
        <v/>
      </c>
      <c r="F2845">
        <f>"Certification"</f>
        <v/>
      </c>
      <c r="G2845">
        <f>""</f>
        <v/>
      </c>
      <c r="H2845">
        <f>"Medium"</f>
        <v/>
      </c>
      <c r="I2845">
        <f>TRIM(IF(LEN(IF(LEN(INDEX('Providers'!$R$4:$R$503,342))=0,"",INDEX('Providers'!$R$4:$R$503,342)))=0,"","Card: "&amp;IF(LEN(INDEX('Providers'!$R$4:$R$503,342))=0,"",INDEX('Providers'!$R$4:$R$503,342))&amp;". "))</f>
        <v/>
      </c>
      <c r="J2845">
        <f>IF(LEN(INDEX('Providers'!$AJ$4:$AJ$503,342))=0,"",INDEX('Providers'!$AJ$4:$AJ$503,342))</f>
        <v/>
      </c>
      <c r="K2845">
        <f>IF(LEN(INDEX('Providers'!$AI$4:$AI$503,342))=0,"",INDEX('Providers'!$AI$4:$AI$503,342))</f>
        <v/>
      </c>
    </row>
    <row r="2846">
      <c r="A2846">
        <f>IF(AND(LEN('Providers'!A346)&gt;0,ISNUMBER('Providers'!S346)),1,0)</f>
        <v/>
      </c>
      <c r="B2846">
        <f>B2845+A2846</f>
        <v/>
      </c>
      <c r="C2846">
        <f>IF(2843&gt;$B$4503,"",MATCH(2843-0.5,$B$3:$B$4503,1))</f>
        <v/>
      </c>
      <c r="D2846">
        <f>"Life support ("&amp;IF(LEN(INDEX('Providers'!$R$4:$R$503,343))=0,"",INDEX('Providers'!$R$4:$R$503,343))&amp;") – "&amp;IF(LEN(INDEX('Providers'!$A$4:$A$503,343))=0,"",INDEX('Providers'!$A$4:$A$503,343))</f>
        <v/>
      </c>
      <c r="E2846">
        <f>IF(ISNUMBER(INDEX('Providers'!$S$4:$S$503,343)),TEXT(INDEX('Providers'!$S$4:$S$503,343),"yyyy-mm-dd"),"")</f>
        <v/>
      </c>
      <c r="F2846">
        <f>"Certification"</f>
        <v/>
      </c>
      <c r="G2846">
        <f>""</f>
        <v/>
      </c>
      <c r="H2846">
        <f>"Medium"</f>
        <v/>
      </c>
      <c r="I2846">
        <f>TRIM(IF(LEN(IF(LEN(INDEX('Providers'!$R$4:$R$503,343))=0,"",INDEX('Providers'!$R$4:$R$503,343)))=0,"","Card: "&amp;IF(LEN(INDEX('Providers'!$R$4:$R$503,343))=0,"",INDEX('Providers'!$R$4:$R$503,343))&amp;". "))</f>
        <v/>
      </c>
      <c r="J2846">
        <f>IF(LEN(INDEX('Providers'!$AJ$4:$AJ$503,343))=0,"",INDEX('Providers'!$AJ$4:$AJ$503,343))</f>
        <v/>
      </c>
      <c r="K2846">
        <f>IF(LEN(INDEX('Providers'!$AI$4:$AI$503,343))=0,"",INDEX('Providers'!$AI$4:$AI$503,343))</f>
        <v/>
      </c>
    </row>
    <row r="2847">
      <c r="A2847">
        <f>IF(AND(LEN('Providers'!A347)&gt;0,ISNUMBER('Providers'!S347)),1,0)</f>
        <v/>
      </c>
      <c r="B2847">
        <f>B2846+A2847</f>
        <v/>
      </c>
      <c r="C2847">
        <f>IF(2844&gt;$B$4503,"",MATCH(2844-0.5,$B$3:$B$4503,1))</f>
        <v/>
      </c>
      <c r="D2847">
        <f>"Life support ("&amp;IF(LEN(INDEX('Providers'!$R$4:$R$503,344))=0,"",INDEX('Providers'!$R$4:$R$503,344))&amp;") – "&amp;IF(LEN(INDEX('Providers'!$A$4:$A$503,344))=0,"",INDEX('Providers'!$A$4:$A$503,344))</f>
        <v/>
      </c>
      <c r="E2847">
        <f>IF(ISNUMBER(INDEX('Providers'!$S$4:$S$503,344)),TEXT(INDEX('Providers'!$S$4:$S$503,344),"yyyy-mm-dd"),"")</f>
        <v/>
      </c>
      <c r="F2847">
        <f>"Certification"</f>
        <v/>
      </c>
      <c r="G2847">
        <f>""</f>
        <v/>
      </c>
      <c r="H2847">
        <f>"Medium"</f>
        <v/>
      </c>
      <c r="I2847">
        <f>TRIM(IF(LEN(IF(LEN(INDEX('Providers'!$R$4:$R$503,344))=0,"",INDEX('Providers'!$R$4:$R$503,344)))=0,"","Card: "&amp;IF(LEN(INDEX('Providers'!$R$4:$R$503,344))=0,"",INDEX('Providers'!$R$4:$R$503,344))&amp;". "))</f>
        <v/>
      </c>
      <c r="J2847">
        <f>IF(LEN(INDEX('Providers'!$AJ$4:$AJ$503,344))=0,"",INDEX('Providers'!$AJ$4:$AJ$503,344))</f>
        <v/>
      </c>
      <c r="K2847">
        <f>IF(LEN(INDEX('Providers'!$AI$4:$AI$503,344))=0,"",INDEX('Providers'!$AI$4:$AI$503,344))</f>
        <v/>
      </c>
    </row>
    <row r="2848">
      <c r="A2848">
        <f>IF(AND(LEN('Providers'!A348)&gt;0,ISNUMBER('Providers'!S348)),1,0)</f>
        <v/>
      </c>
      <c r="B2848">
        <f>B2847+A2848</f>
        <v/>
      </c>
      <c r="C2848">
        <f>IF(2845&gt;$B$4503,"",MATCH(2845-0.5,$B$3:$B$4503,1))</f>
        <v/>
      </c>
      <c r="D2848">
        <f>"Life support ("&amp;IF(LEN(INDEX('Providers'!$R$4:$R$503,345))=0,"",INDEX('Providers'!$R$4:$R$503,345))&amp;") – "&amp;IF(LEN(INDEX('Providers'!$A$4:$A$503,345))=0,"",INDEX('Providers'!$A$4:$A$503,345))</f>
        <v/>
      </c>
      <c r="E2848">
        <f>IF(ISNUMBER(INDEX('Providers'!$S$4:$S$503,345)),TEXT(INDEX('Providers'!$S$4:$S$503,345),"yyyy-mm-dd"),"")</f>
        <v/>
      </c>
      <c r="F2848">
        <f>"Certification"</f>
        <v/>
      </c>
      <c r="G2848">
        <f>""</f>
        <v/>
      </c>
      <c r="H2848">
        <f>"Medium"</f>
        <v/>
      </c>
      <c r="I2848">
        <f>TRIM(IF(LEN(IF(LEN(INDEX('Providers'!$R$4:$R$503,345))=0,"",INDEX('Providers'!$R$4:$R$503,345)))=0,"","Card: "&amp;IF(LEN(INDEX('Providers'!$R$4:$R$503,345))=0,"",INDEX('Providers'!$R$4:$R$503,345))&amp;". "))</f>
        <v/>
      </c>
      <c r="J2848">
        <f>IF(LEN(INDEX('Providers'!$AJ$4:$AJ$503,345))=0,"",INDEX('Providers'!$AJ$4:$AJ$503,345))</f>
        <v/>
      </c>
      <c r="K2848">
        <f>IF(LEN(INDEX('Providers'!$AI$4:$AI$503,345))=0,"",INDEX('Providers'!$AI$4:$AI$503,345))</f>
        <v/>
      </c>
    </row>
    <row r="2849">
      <c r="A2849">
        <f>IF(AND(LEN('Providers'!A349)&gt;0,ISNUMBER('Providers'!S349)),1,0)</f>
        <v/>
      </c>
      <c r="B2849">
        <f>B2848+A2849</f>
        <v/>
      </c>
      <c r="C2849">
        <f>IF(2846&gt;$B$4503,"",MATCH(2846-0.5,$B$3:$B$4503,1))</f>
        <v/>
      </c>
      <c r="D2849">
        <f>"Life support ("&amp;IF(LEN(INDEX('Providers'!$R$4:$R$503,346))=0,"",INDEX('Providers'!$R$4:$R$503,346))&amp;") – "&amp;IF(LEN(INDEX('Providers'!$A$4:$A$503,346))=0,"",INDEX('Providers'!$A$4:$A$503,346))</f>
        <v/>
      </c>
      <c r="E2849">
        <f>IF(ISNUMBER(INDEX('Providers'!$S$4:$S$503,346)),TEXT(INDEX('Providers'!$S$4:$S$503,346),"yyyy-mm-dd"),"")</f>
        <v/>
      </c>
      <c r="F2849">
        <f>"Certification"</f>
        <v/>
      </c>
      <c r="G2849">
        <f>""</f>
        <v/>
      </c>
      <c r="H2849">
        <f>"Medium"</f>
        <v/>
      </c>
      <c r="I2849">
        <f>TRIM(IF(LEN(IF(LEN(INDEX('Providers'!$R$4:$R$503,346))=0,"",INDEX('Providers'!$R$4:$R$503,346)))=0,"","Card: "&amp;IF(LEN(INDEX('Providers'!$R$4:$R$503,346))=0,"",INDEX('Providers'!$R$4:$R$503,346))&amp;". "))</f>
        <v/>
      </c>
      <c r="J2849">
        <f>IF(LEN(INDEX('Providers'!$AJ$4:$AJ$503,346))=0,"",INDEX('Providers'!$AJ$4:$AJ$503,346))</f>
        <v/>
      </c>
      <c r="K2849">
        <f>IF(LEN(INDEX('Providers'!$AI$4:$AI$503,346))=0,"",INDEX('Providers'!$AI$4:$AI$503,346))</f>
        <v/>
      </c>
    </row>
    <row r="2850">
      <c r="A2850">
        <f>IF(AND(LEN('Providers'!A350)&gt;0,ISNUMBER('Providers'!S350)),1,0)</f>
        <v/>
      </c>
      <c r="B2850">
        <f>B2849+A2850</f>
        <v/>
      </c>
      <c r="C2850">
        <f>IF(2847&gt;$B$4503,"",MATCH(2847-0.5,$B$3:$B$4503,1))</f>
        <v/>
      </c>
      <c r="D2850">
        <f>"Life support ("&amp;IF(LEN(INDEX('Providers'!$R$4:$R$503,347))=0,"",INDEX('Providers'!$R$4:$R$503,347))&amp;") – "&amp;IF(LEN(INDEX('Providers'!$A$4:$A$503,347))=0,"",INDEX('Providers'!$A$4:$A$503,347))</f>
        <v/>
      </c>
      <c r="E2850">
        <f>IF(ISNUMBER(INDEX('Providers'!$S$4:$S$503,347)),TEXT(INDEX('Providers'!$S$4:$S$503,347),"yyyy-mm-dd"),"")</f>
        <v/>
      </c>
      <c r="F2850">
        <f>"Certification"</f>
        <v/>
      </c>
      <c r="G2850">
        <f>""</f>
        <v/>
      </c>
      <c r="H2850">
        <f>"Medium"</f>
        <v/>
      </c>
      <c r="I2850">
        <f>TRIM(IF(LEN(IF(LEN(INDEX('Providers'!$R$4:$R$503,347))=0,"",INDEX('Providers'!$R$4:$R$503,347)))=0,"","Card: "&amp;IF(LEN(INDEX('Providers'!$R$4:$R$503,347))=0,"",INDEX('Providers'!$R$4:$R$503,347))&amp;". "))</f>
        <v/>
      </c>
      <c r="J2850">
        <f>IF(LEN(INDEX('Providers'!$AJ$4:$AJ$503,347))=0,"",INDEX('Providers'!$AJ$4:$AJ$503,347))</f>
        <v/>
      </c>
      <c r="K2850">
        <f>IF(LEN(INDEX('Providers'!$AI$4:$AI$503,347))=0,"",INDEX('Providers'!$AI$4:$AI$503,347))</f>
        <v/>
      </c>
    </row>
    <row r="2851">
      <c r="A2851">
        <f>IF(AND(LEN('Providers'!A351)&gt;0,ISNUMBER('Providers'!S351)),1,0)</f>
        <v/>
      </c>
      <c r="B2851">
        <f>B2850+A2851</f>
        <v/>
      </c>
      <c r="C2851">
        <f>IF(2848&gt;$B$4503,"",MATCH(2848-0.5,$B$3:$B$4503,1))</f>
        <v/>
      </c>
      <c r="D2851">
        <f>"Life support ("&amp;IF(LEN(INDEX('Providers'!$R$4:$R$503,348))=0,"",INDEX('Providers'!$R$4:$R$503,348))&amp;") – "&amp;IF(LEN(INDEX('Providers'!$A$4:$A$503,348))=0,"",INDEX('Providers'!$A$4:$A$503,348))</f>
        <v/>
      </c>
      <c r="E2851">
        <f>IF(ISNUMBER(INDEX('Providers'!$S$4:$S$503,348)),TEXT(INDEX('Providers'!$S$4:$S$503,348),"yyyy-mm-dd"),"")</f>
        <v/>
      </c>
      <c r="F2851">
        <f>"Certification"</f>
        <v/>
      </c>
      <c r="G2851">
        <f>""</f>
        <v/>
      </c>
      <c r="H2851">
        <f>"Medium"</f>
        <v/>
      </c>
      <c r="I2851">
        <f>TRIM(IF(LEN(IF(LEN(INDEX('Providers'!$R$4:$R$503,348))=0,"",INDEX('Providers'!$R$4:$R$503,348)))=0,"","Card: "&amp;IF(LEN(INDEX('Providers'!$R$4:$R$503,348))=0,"",INDEX('Providers'!$R$4:$R$503,348))&amp;". "))</f>
        <v/>
      </c>
      <c r="J2851">
        <f>IF(LEN(INDEX('Providers'!$AJ$4:$AJ$503,348))=0,"",INDEX('Providers'!$AJ$4:$AJ$503,348))</f>
        <v/>
      </c>
      <c r="K2851">
        <f>IF(LEN(INDEX('Providers'!$AI$4:$AI$503,348))=0,"",INDEX('Providers'!$AI$4:$AI$503,348))</f>
        <v/>
      </c>
    </row>
    <row r="2852">
      <c r="A2852">
        <f>IF(AND(LEN('Providers'!A352)&gt;0,ISNUMBER('Providers'!S352)),1,0)</f>
        <v/>
      </c>
      <c r="B2852">
        <f>B2851+A2852</f>
        <v/>
      </c>
      <c r="C2852">
        <f>IF(2849&gt;$B$4503,"",MATCH(2849-0.5,$B$3:$B$4503,1))</f>
        <v/>
      </c>
      <c r="D2852">
        <f>"Life support ("&amp;IF(LEN(INDEX('Providers'!$R$4:$R$503,349))=0,"",INDEX('Providers'!$R$4:$R$503,349))&amp;") – "&amp;IF(LEN(INDEX('Providers'!$A$4:$A$503,349))=0,"",INDEX('Providers'!$A$4:$A$503,349))</f>
        <v/>
      </c>
      <c r="E2852">
        <f>IF(ISNUMBER(INDEX('Providers'!$S$4:$S$503,349)),TEXT(INDEX('Providers'!$S$4:$S$503,349),"yyyy-mm-dd"),"")</f>
        <v/>
      </c>
      <c r="F2852">
        <f>"Certification"</f>
        <v/>
      </c>
      <c r="G2852">
        <f>""</f>
        <v/>
      </c>
      <c r="H2852">
        <f>"Medium"</f>
        <v/>
      </c>
      <c r="I2852">
        <f>TRIM(IF(LEN(IF(LEN(INDEX('Providers'!$R$4:$R$503,349))=0,"",INDEX('Providers'!$R$4:$R$503,349)))=0,"","Card: "&amp;IF(LEN(INDEX('Providers'!$R$4:$R$503,349))=0,"",INDEX('Providers'!$R$4:$R$503,349))&amp;". "))</f>
        <v/>
      </c>
      <c r="J2852">
        <f>IF(LEN(INDEX('Providers'!$AJ$4:$AJ$503,349))=0,"",INDEX('Providers'!$AJ$4:$AJ$503,349))</f>
        <v/>
      </c>
      <c r="K2852">
        <f>IF(LEN(INDEX('Providers'!$AI$4:$AI$503,349))=0,"",INDEX('Providers'!$AI$4:$AI$503,349))</f>
        <v/>
      </c>
    </row>
    <row r="2853">
      <c r="A2853">
        <f>IF(AND(LEN('Providers'!A353)&gt;0,ISNUMBER('Providers'!S353)),1,0)</f>
        <v/>
      </c>
      <c r="B2853">
        <f>B2852+A2853</f>
        <v/>
      </c>
      <c r="C2853">
        <f>IF(2850&gt;$B$4503,"",MATCH(2850-0.5,$B$3:$B$4503,1))</f>
        <v/>
      </c>
      <c r="D2853">
        <f>"Life support ("&amp;IF(LEN(INDEX('Providers'!$R$4:$R$503,350))=0,"",INDEX('Providers'!$R$4:$R$503,350))&amp;") – "&amp;IF(LEN(INDEX('Providers'!$A$4:$A$503,350))=0,"",INDEX('Providers'!$A$4:$A$503,350))</f>
        <v/>
      </c>
      <c r="E2853">
        <f>IF(ISNUMBER(INDEX('Providers'!$S$4:$S$503,350)),TEXT(INDEX('Providers'!$S$4:$S$503,350),"yyyy-mm-dd"),"")</f>
        <v/>
      </c>
      <c r="F2853">
        <f>"Certification"</f>
        <v/>
      </c>
      <c r="G2853">
        <f>""</f>
        <v/>
      </c>
      <c r="H2853">
        <f>"Medium"</f>
        <v/>
      </c>
      <c r="I2853">
        <f>TRIM(IF(LEN(IF(LEN(INDEX('Providers'!$R$4:$R$503,350))=0,"",INDEX('Providers'!$R$4:$R$503,350)))=0,"","Card: "&amp;IF(LEN(INDEX('Providers'!$R$4:$R$503,350))=0,"",INDEX('Providers'!$R$4:$R$503,350))&amp;". "))</f>
        <v/>
      </c>
      <c r="J2853">
        <f>IF(LEN(INDEX('Providers'!$AJ$4:$AJ$503,350))=0,"",INDEX('Providers'!$AJ$4:$AJ$503,350))</f>
        <v/>
      </c>
      <c r="K2853">
        <f>IF(LEN(INDEX('Providers'!$AI$4:$AI$503,350))=0,"",INDEX('Providers'!$AI$4:$AI$503,350))</f>
        <v/>
      </c>
    </row>
    <row r="2854">
      <c r="A2854">
        <f>IF(AND(LEN('Providers'!A354)&gt;0,ISNUMBER('Providers'!S354)),1,0)</f>
        <v/>
      </c>
      <c r="B2854">
        <f>B2853+A2854</f>
        <v/>
      </c>
      <c r="C2854">
        <f>IF(2851&gt;$B$4503,"",MATCH(2851-0.5,$B$3:$B$4503,1))</f>
        <v/>
      </c>
      <c r="D2854">
        <f>"Life support ("&amp;IF(LEN(INDEX('Providers'!$R$4:$R$503,351))=0,"",INDEX('Providers'!$R$4:$R$503,351))&amp;") – "&amp;IF(LEN(INDEX('Providers'!$A$4:$A$503,351))=0,"",INDEX('Providers'!$A$4:$A$503,351))</f>
        <v/>
      </c>
      <c r="E2854">
        <f>IF(ISNUMBER(INDEX('Providers'!$S$4:$S$503,351)),TEXT(INDEX('Providers'!$S$4:$S$503,351),"yyyy-mm-dd"),"")</f>
        <v/>
      </c>
      <c r="F2854">
        <f>"Certification"</f>
        <v/>
      </c>
      <c r="G2854">
        <f>""</f>
        <v/>
      </c>
      <c r="H2854">
        <f>"Medium"</f>
        <v/>
      </c>
      <c r="I2854">
        <f>TRIM(IF(LEN(IF(LEN(INDEX('Providers'!$R$4:$R$503,351))=0,"",INDEX('Providers'!$R$4:$R$503,351)))=0,"","Card: "&amp;IF(LEN(INDEX('Providers'!$R$4:$R$503,351))=0,"",INDEX('Providers'!$R$4:$R$503,351))&amp;". "))</f>
        <v/>
      </c>
      <c r="J2854">
        <f>IF(LEN(INDEX('Providers'!$AJ$4:$AJ$503,351))=0,"",INDEX('Providers'!$AJ$4:$AJ$503,351))</f>
        <v/>
      </c>
      <c r="K2854">
        <f>IF(LEN(INDEX('Providers'!$AI$4:$AI$503,351))=0,"",INDEX('Providers'!$AI$4:$AI$503,351))</f>
        <v/>
      </c>
    </row>
    <row r="2855">
      <c r="A2855">
        <f>IF(AND(LEN('Providers'!A355)&gt;0,ISNUMBER('Providers'!S355)),1,0)</f>
        <v/>
      </c>
      <c r="B2855">
        <f>B2854+A2855</f>
        <v/>
      </c>
      <c r="C2855">
        <f>IF(2852&gt;$B$4503,"",MATCH(2852-0.5,$B$3:$B$4503,1))</f>
        <v/>
      </c>
      <c r="D2855">
        <f>"Life support ("&amp;IF(LEN(INDEX('Providers'!$R$4:$R$503,352))=0,"",INDEX('Providers'!$R$4:$R$503,352))&amp;") – "&amp;IF(LEN(INDEX('Providers'!$A$4:$A$503,352))=0,"",INDEX('Providers'!$A$4:$A$503,352))</f>
        <v/>
      </c>
      <c r="E2855">
        <f>IF(ISNUMBER(INDEX('Providers'!$S$4:$S$503,352)),TEXT(INDEX('Providers'!$S$4:$S$503,352),"yyyy-mm-dd"),"")</f>
        <v/>
      </c>
      <c r="F2855">
        <f>"Certification"</f>
        <v/>
      </c>
      <c r="G2855">
        <f>""</f>
        <v/>
      </c>
      <c r="H2855">
        <f>"Medium"</f>
        <v/>
      </c>
      <c r="I2855">
        <f>TRIM(IF(LEN(IF(LEN(INDEX('Providers'!$R$4:$R$503,352))=0,"",INDEX('Providers'!$R$4:$R$503,352)))=0,"","Card: "&amp;IF(LEN(INDEX('Providers'!$R$4:$R$503,352))=0,"",INDEX('Providers'!$R$4:$R$503,352))&amp;". "))</f>
        <v/>
      </c>
      <c r="J2855">
        <f>IF(LEN(INDEX('Providers'!$AJ$4:$AJ$503,352))=0,"",INDEX('Providers'!$AJ$4:$AJ$503,352))</f>
        <v/>
      </c>
      <c r="K2855">
        <f>IF(LEN(INDEX('Providers'!$AI$4:$AI$503,352))=0,"",INDEX('Providers'!$AI$4:$AI$503,352))</f>
        <v/>
      </c>
    </row>
    <row r="2856">
      <c r="A2856">
        <f>IF(AND(LEN('Providers'!A356)&gt;0,ISNUMBER('Providers'!S356)),1,0)</f>
        <v/>
      </c>
      <c r="B2856">
        <f>B2855+A2856</f>
        <v/>
      </c>
      <c r="C2856">
        <f>IF(2853&gt;$B$4503,"",MATCH(2853-0.5,$B$3:$B$4503,1))</f>
        <v/>
      </c>
      <c r="D2856">
        <f>"Life support ("&amp;IF(LEN(INDEX('Providers'!$R$4:$R$503,353))=0,"",INDEX('Providers'!$R$4:$R$503,353))&amp;") – "&amp;IF(LEN(INDEX('Providers'!$A$4:$A$503,353))=0,"",INDEX('Providers'!$A$4:$A$503,353))</f>
        <v/>
      </c>
      <c r="E2856">
        <f>IF(ISNUMBER(INDEX('Providers'!$S$4:$S$503,353)),TEXT(INDEX('Providers'!$S$4:$S$503,353),"yyyy-mm-dd"),"")</f>
        <v/>
      </c>
      <c r="F2856">
        <f>"Certification"</f>
        <v/>
      </c>
      <c r="G2856">
        <f>""</f>
        <v/>
      </c>
      <c r="H2856">
        <f>"Medium"</f>
        <v/>
      </c>
      <c r="I2856">
        <f>TRIM(IF(LEN(IF(LEN(INDEX('Providers'!$R$4:$R$503,353))=0,"",INDEX('Providers'!$R$4:$R$503,353)))=0,"","Card: "&amp;IF(LEN(INDEX('Providers'!$R$4:$R$503,353))=0,"",INDEX('Providers'!$R$4:$R$503,353))&amp;". "))</f>
        <v/>
      </c>
      <c r="J2856">
        <f>IF(LEN(INDEX('Providers'!$AJ$4:$AJ$503,353))=0,"",INDEX('Providers'!$AJ$4:$AJ$503,353))</f>
        <v/>
      </c>
      <c r="K2856">
        <f>IF(LEN(INDEX('Providers'!$AI$4:$AI$503,353))=0,"",INDEX('Providers'!$AI$4:$AI$503,353))</f>
        <v/>
      </c>
    </row>
    <row r="2857">
      <c r="A2857">
        <f>IF(AND(LEN('Providers'!A357)&gt;0,ISNUMBER('Providers'!S357)),1,0)</f>
        <v/>
      </c>
      <c r="B2857">
        <f>B2856+A2857</f>
        <v/>
      </c>
      <c r="C2857">
        <f>IF(2854&gt;$B$4503,"",MATCH(2854-0.5,$B$3:$B$4503,1))</f>
        <v/>
      </c>
      <c r="D2857">
        <f>"Life support ("&amp;IF(LEN(INDEX('Providers'!$R$4:$R$503,354))=0,"",INDEX('Providers'!$R$4:$R$503,354))&amp;") – "&amp;IF(LEN(INDEX('Providers'!$A$4:$A$503,354))=0,"",INDEX('Providers'!$A$4:$A$503,354))</f>
        <v/>
      </c>
      <c r="E2857">
        <f>IF(ISNUMBER(INDEX('Providers'!$S$4:$S$503,354)),TEXT(INDEX('Providers'!$S$4:$S$503,354),"yyyy-mm-dd"),"")</f>
        <v/>
      </c>
      <c r="F2857">
        <f>"Certification"</f>
        <v/>
      </c>
      <c r="G2857">
        <f>""</f>
        <v/>
      </c>
      <c r="H2857">
        <f>"Medium"</f>
        <v/>
      </c>
      <c r="I2857">
        <f>TRIM(IF(LEN(IF(LEN(INDEX('Providers'!$R$4:$R$503,354))=0,"",INDEX('Providers'!$R$4:$R$503,354)))=0,"","Card: "&amp;IF(LEN(INDEX('Providers'!$R$4:$R$503,354))=0,"",INDEX('Providers'!$R$4:$R$503,354))&amp;". "))</f>
        <v/>
      </c>
      <c r="J2857">
        <f>IF(LEN(INDEX('Providers'!$AJ$4:$AJ$503,354))=0,"",INDEX('Providers'!$AJ$4:$AJ$503,354))</f>
        <v/>
      </c>
      <c r="K2857">
        <f>IF(LEN(INDEX('Providers'!$AI$4:$AI$503,354))=0,"",INDEX('Providers'!$AI$4:$AI$503,354))</f>
        <v/>
      </c>
    </row>
    <row r="2858">
      <c r="A2858">
        <f>IF(AND(LEN('Providers'!A358)&gt;0,ISNUMBER('Providers'!S358)),1,0)</f>
        <v/>
      </c>
      <c r="B2858">
        <f>B2857+A2858</f>
        <v/>
      </c>
      <c r="C2858">
        <f>IF(2855&gt;$B$4503,"",MATCH(2855-0.5,$B$3:$B$4503,1))</f>
        <v/>
      </c>
      <c r="D2858">
        <f>"Life support ("&amp;IF(LEN(INDEX('Providers'!$R$4:$R$503,355))=0,"",INDEX('Providers'!$R$4:$R$503,355))&amp;") – "&amp;IF(LEN(INDEX('Providers'!$A$4:$A$503,355))=0,"",INDEX('Providers'!$A$4:$A$503,355))</f>
        <v/>
      </c>
      <c r="E2858">
        <f>IF(ISNUMBER(INDEX('Providers'!$S$4:$S$503,355)),TEXT(INDEX('Providers'!$S$4:$S$503,355),"yyyy-mm-dd"),"")</f>
        <v/>
      </c>
      <c r="F2858">
        <f>"Certification"</f>
        <v/>
      </c>
      <c r="G2858">
        <f>""</f>
        <v/>
      </c>
      <c r="H2858">
        <f>"Medium"</f>
        <v/>
      </c>
      <c r="I2858">
        <f>TRIM(IF(LEN(IF(LEN(INDEX('Providers'!$R$4:$R$503,355))=0,"",INDEX('Providers'!$R$4:$R$503,355)))=0,"","Card: "&amp;IF(LEN(INDEX('Providers'!$R$4:$R$503,355))=0,"",INDEX('Providers'!$R$4:$R$503,355))&amp;". "))</f>
        <v/>
      </c>
      <c r="J2858">
        <f>IF(LEN(INDEX('Providers'!$AJ$4:$AJ$503,355))=0,"",INDEX('Providers'!$AJ$4:$AJ$503,355))</f>
        <v/>
      </c>
      <c r="K2858">
        <f>IF(LEN(INDEX('Providers'!$AI$4:$AI$503,355))=0,"",INDEX('Providers'!$AI$4:$AI$503,355))</f>
        <v/>
      </c>
    </row>
    <row r="2859">
      <c r="A2859">
        <f>IF(AND(LEN('Providers'!A359)&gt;0,ISNUMBER('Providers'!S359)),1,0)</f>
        <v/>
      </c>
      <c r="B2859">
        <f>B2858+A2859</f>
        <v/>
      </c>
      <c r="C2859">
        <f>IF(2856&gt;$B$4503,"",MATCH(2856-0.5,$B$3:$B$4503,1))</f>
        <v/>
      </c>
      <c r="D2859">
        <f>"Life support ("&amp;IF(LEN(INDEX('Providers'!$R$4:$R$503,356))=0,"",INDEX('Providers'!$R$4:$R$503,356))&amp;") – "&amp;IF(LEN(INDEX('Providers'!$A$4:$A$503,356))=0,"",INDEX('Providers'!$A$4:$A$503,356))</f>
        <v/>
      </c>
      <c r="E2859">
        <f>IF(ISNUMBER(INDEX('Providers'!$S$4:$S$503,356)),TEXT(INDEX('Providers'!$S$4:$S$503,356),"yyyy-mm-dd"),"")</f>
        <v/>
      </c>
      <c r="F2859">
        <f>"Certification"</f>
        <v/>
      </c>
      <c r="G2859">
        <f>""</f>
        <v/>
      </c>
      <c r="H2859">
        <f>"Medium"</f>
        <v/>
      </c>
      <c r="I2859">
        <f>TRIM(IF(LEN(IF(LEN(INDEX('Providers'!$R$4:$R$503,356))=0,"",INDEX('Providers'!$R$4:$R$503,356)))=0,"","Card: "&amp;IF(LEN(INDEX('Providers'!$R$4:$R$503,356))=0,"",INDEX('Providers'!$R$4:$R$503,356))&amp;". "))</f>
        <v/>
      </c>
      <c r="J2859">
        <f>IF(LEN(INDEX('Providers'!$AJ$4:$AJ$503,356))=0,"",INDEX('Providers'!$AJ$4:$AJ$503,356))</f>
        <v/>
      </c>
      <c r="K2859">
        <f>IF(LEN(INDEX('Providers'!$AI$4:$AI$503,356))=0,"",INDEX('Providers'!$AI$4:$AI$503,356))</f>
        <v/>
      </c>
    </row>
    <row r="2860">
      <c r="A2860">
        <f>IF(AND(LEN('Providers'!A360)&gt;0,ISNUMBER('Providers'!S360)),1,0)</f>
        <v/>
      </c>
      <c r="B2860">
        <f>B2859+A2860</f>
        <v/>
      </c>
      <c r="C2860">
        <f>IF(2857&gt;$B$4503,"",MATCH(2857-0.5,$B$3:$B$4503,1))</f>
        <v/>
      </c>
      <c r="D2860">
        <f>"Life support ("&amp;IF(LEN(INDEX('Providers'!$R$4:$R$503,357))=0,"",INDEX('Providers'!$R$4:$R$503,357))&amp;") – "&amp;IF(LEN(INDEX('Providers'!$A$4:$A$503,357))=0,"",INDEX('Providers'!$A$4:$A$503,357))</f>
        <v/>
      </c>
      <c r="E2860">
        <f>IF(ISNUMBER(INDEX('Providers'!$S$4:$S$503,357)),TEXT(INDEX('Providers'!$S$4:$S$503,357),"yyyy-mm-dd"),"")</f>
        <v/>
      </c>
      <c r="F2860">
        <f>"Certification"</f>
        <v/>
      </c>
      <c r="G2860">
        <f>""</f>
        <v/>
      </c>
      <c r="H2860">
        <f>"Medium"</f>
        <v/>
      </c>
      <c r="I2860">
        <f>TRIM(IF(LEN(IF(LEN(INDEX('Providers'!$R$4:$R$503,357))=0,"",INDEX('Providers'!$R$4:$R$503,357)))=0,"","Card: "&amp;IF(LEN(INDEX('Providers'!$R$4:$R$503,357))=0,"",INDEX('Providers'!$R$4:$R$503,357))&amp;". "))</f>
        <v/>
      </c>
      <c r="J2860">
        <f>IF(LEN(INDEX('Providers'!$AJ$4:$AJ$503,357))=0,"",INDEX('Providers'!$AJ$4:$AJ$503,357))</f>
        <v/>
      </c>
      <c r="K2860">
        <f>IF(LEN(INDEX('Providers'!$AI$4:$AI$503,357))=0,"",INDEX('Providers'!$AI$4:$AI$503,357))</f>
        <v/>
      </c>
    </row>
    <row r="2861">
      <c r="A2861">
        <f>IF(AND(LEN('Providers'!A361)&gt;0,ISNUMBER('Providers'!S361)),1,0)</f>
        <v/>
      </c>
      <c r="B2861">
        <f>B2860+A2861</f>
        <v/>
      </c>
      <c r="C2861">
        <f>IF(2858&gt;$B$4503,"",MATCH(2858-0.5,$B$3:$B$4503,1))</f>
        <v/>
      </c>
      <c r="D2861">
        <f>"Life support ("&amp;IF(LEN(INDEX('Providers'!$R$4:$R$503,358))=0,"",INDEX('Providers'!$R$4:$R$503,358))&amp;") – "&amp;IF(LEN(INDEX('Providers'!$A$4:$A$503,358))=0,"",INDEX('Providers'!$A$4:$A$503,358))</f>
        <v/>
      </c>
      <c r="E2861">
        <f>IF(ISNUMBER(INDEX('Providers'!$S$4:$S$503,358)),TEXT(INDEX('Providers'!$S$4:$S$503,358),"yyyy-mm-dd"),"")</f>
        <v/>
      </c>
      <c r="F2861">
        <f>"Certification"</f>
        <v/>
      </c>
      <c r="G2861">
        <f>""</f>
        <v/>
      </c>
      <c r="H2861">
        <f>"Medium"</f>
        <v/>
      </c>
      <c r="I2861">
        <f>TRIM(IF(LEN(IF(LEN(INDEX('Providers'!$R$4:$R$503,358))=0,"",INDEX('Providers'!$R$4:$R$503,358)))=0,"","Card: "&amp;IF(LEN(INDEX('Providers'!$R$4:$R$503,358))=0,"",INDEX('Providers'!$R$4:$R$503,358))&amp;". "))</f>
        <v/>
      </c>
      <c r="J2861">
        <f>IF(LEN(INDEX('Providers'!$AJ$4:$AJ$503,358))=0,"",INDEX('Providers'!$AJ$4:$AJ$503,358))</f>
        <v/>
      </c>
      <c r="K2861">
        <f>IF(LEN(INDEX('Providers'!$AI$4:$AI$503,358))=0,"",INDEX('Providers'!$AI$4:$AI$503,358))</f>
        <v/>
      </c>
    </row>
    <row r="2862">
      <c r="A2862">
        <f>IF(AND(LEN('Providers'!A362)&gt;0,ISNUMBER('Providers'!S362)),1,0)</f>
        <v/>
      </c>
      <c r="B2862">
        <f>B2861+A2862</f>
        <v/>
      </c>
      <c r="C2862">
        <f>IF(2859&gt;$B$4503,"",MATCH(2859-0.5,$B$3:$B$4503,1))</f>
        <v/>
      </c>
      <c r="D2862">
        <f>"Life support ("&amp;IF(LEN(INDEX('Providers'!$R$4:$R$503,359))=0,"",INDEX('Providers'!$R$4:$R$503,359))&amp;") – "&amp;IF(LEN(INDEX('Providers'!$A$4:$A$503,359))=0,"",INDEX('Providers'!$A$4:$A$503,359))</f>
        <v/>
      </c>
      <c r="E2862">
        <f>IF(ISNUMBER(INDEX('Providers'!$S$4:$S$503,359)),TEXT(INDEX('Providers'!$S$4:$S$503,359),"yyyy-mm-dd"),"")</f>
        <v/>
      </c>
      <c r="F2862">
        <f>"Certification"</f>
        <v/>
      </c>
      <c r="G2862">
        <f>""</f>
        <v/>
      </c>
      <c r="H2862">
        <f>"Medium"</f>
        <v/>
      </c>
      <c r="I2862">
        <f>TRIM(IF(LEN(IF(LEN(INDEX('Providers'!$R$4:$R$503,359))=0,"",INDEX('Providers'!$R$4:$R$503,359)))=0,"","Card: "&amp;IF(LEN(INDEX('Providers'!$R$4:$R$503,359))=0,"",INDEX('Providers'!$R$4:$R$503,359))&amp;". "))</f>
        <v/>
      </c>
      <c r="J2862">
        <f>IF(LEN(INDEX('Providers'!$AJ$4:$AJ$503,359))=0,"",INDEX('Providers'!$AJ$4:$AJ$503,359))</f>
        <v/>
      </c>
      <c r="K2862">
        <f>IF(LEN(INDEX('Providers'!$AI$4:$AI$503,359))=0,"",INDEX('Providers'!$AI$4:$AI$503,359))</f>
        <v/>
      </c>
    </row>
    <row r="2863">
      <c r="A2863">
        <f>IF(AND(LEN('Providers'!A363)&gt;0,ISNUMBER('Providers'!S363)),1,0)</f>
        <v/>
      </c>
      <c r="B2863">
        <f>B2862+A2863</f>
        <v/>
      </c>
      <c r="C2863">
        <f>IF(2860&gt;$B$4503,"",MATCH(2860-0.5,$B$3:$B$4503,1))</f>
        <v/>
      </c>
      <c r="D2863">
        <f>"Life support ("&amp;IF(LEN(INDEX('Providers'!$R$4:$R$503,360))=0,"",INDEX('Providers'!$R$4:$R$503,360))&amp;") – "&amp;IF(LEN(INDEX('Providers'!$A$4:$A$503,360))=0,"",INDEX('Providers'!$A$4:$A$503,360))</f>
        <v/>
      </c>
      <c r="E2863">
        <f>IF(ISNUMBER(INDEX('Providers'!$S$4:$S$503,360)),TEXT(INDEX('Providers'!$S$4:$S$503,360),"yyyy-mm-dd"),"")</f>
        <v/>
      </c>
      <c r="F2863">
        <f>"Certification"</f>
        <v/>
      </c>
      <c r="G2863">
        <f>""</f>
        <v/>
      </c>
      <c r="H2863">
        <f>"Medium"</f>
        <v/>
      </c>
      <c r="I2863">
        <f>TRIM(IF(LEN(IF(LEN(INDEX('Providers'!$R$4:$R$503,360))=0,"",INDEX('Providers'!$R$4:$R$503,360)))=0,"","Card: "&amp;IF(LEN(INDEX('Providers'!$R$4:$R$503,360))=0,"",INDEX('Providers'!$R$4:$R$503,360))&amp;". "))</f>
        <v/>
      </c>
      <c r="J2863">
        <f>IF(LEN(INDEX('Providers'!$AJ$4:$AJ$503,360))=0,"",INDEX('Providers'!$AJ$4:$AJ$503,360))</f>
        <v/>
      </c>
      <c r="K2863">
        <f>IF(LEN(INDEX('Providers'!$AI$4:$AI$503,360))=0,"",INDEX('Providers'!$AI$4:$AI$503,360))</f>
        <v/>
      </c>
    </row>
    <row r="2864">
      <c r="A2864">
        <f>IF(AND(LEN('Providers'!A364)&gt;0,ISNUMBER('Providers'!S364)),1,0)</f>
        <v/>
      </c>
      <c r="B2864">
        <f>B2863+A2864</f>
        <v/>
      </c>
      <c r="C2864">
        <f>IF(2861&gt;$B$4503,"",MATCH(2861-0.5,$B$3:$B$4503,1))</f>
        <v/>
      </c>
      <c r="D2864">
        <f>"Life support ("&amp;IF(LEN(INDEX('Providers'!$R$4:$R$503,361))=0,"",INDEX('Providers'!$R$4:$R$503,361))&amp;") – "&amp;IF(LEN(INDEX('Providers'!$A$4:$A$503,361))=0,"",INDEX('Providers'!$A$4:$A$503,361))</f>
        <v/>
      </c>
      <c r="E2864">
        <f>IF(ISNUMBER(INDEX('Providers'!$S$4:$S$503,361)),TEXT(INDEX('Providers'!$S$4:$S$503,361),"yyyy-mm-dd"),"")</f>
        <v/>
      </c>
      <c r="F2864">
        <f>"Certification"</f>
        <v/>
      </c>
      <c r="G2864">
        <f>""</f>
        <v/>
      </c>
      <c r="H2864">
        <f>"Medium"</f>
        <v/>
      </c>
      <c r="I2864">
        <f>TRIM(IF(LEN(IF(LEN(INDEX('Providers'!$R$4:$R$503,361))=0,"",INDEX('Providers'!$R$4:$R$503,361)))=0,"","Card: "&amp;IF(LEN(INDEX('Providers'!$R$4:$R$503,361))=0,"",INDEX('Providers'!$R$4:$R$503,361))&amp;". "))</f>
        <v/>
      </c>
      <c r="J2864">
        <f>IF(LEN(INDEX('Providers'!$AJ$4:$AJ$503,361))=0,"",INDEX('Providers'!$AJ$4:$AJ$503,361))</f>
        <v/>
      </c>
      <c r="K2864">
        <f>IF(LEN(INDEX('Providers'!$AI$4:$AI$503,361))=0,"",INDEX('Providers'!$AI$4:$AI$503,361))</f>
        <v/>
      </c>
    </row>
    <row r="2865">
      <c r="A2865">
        <f>IF(AND(LEN('Providers'!A365)&gt;0,ISNUMBER('Providers'!S365)),1,0)</f>
        <v/>
      </c>
      <c r="B2865">
        <f>B2864+A2865</f>
        <v/>
      </c>
      <c r="C2865">
        <f>IF(2862&gt;$B$4503,"",MATCH(2862-0.5,$B$3:$B$4503,1))</f>
        <v/>
      </c>
      <c r="D2865">
        <f>"Life support ("&amp;IF(LEN(INDEX('Providers'!$R$4:$R$503,362))=0,"",INDEX('Providers'!$R$4:$R$503,362))&amp;") – "&amp;IF(LEN(INDEX('Providers'!$A$4:$A$503,362))=0,"",INDEX('Providers'!$A$4:$A$503,362))</f>
        <v/>
      </c>
      <c r="E2865">
        <f>IF(ISNUMBER(INDEX('Providers'!$S$4:$S$503,362)),TEXT(INDEX('Providers'!$S$4:$S$503,362),"yyyy-mm-dd"),"")</f>
        <v/>
      </c>
      <c r="F2865">
        <f>"Certification"</f>
        <v/>
      </c>
      <c r="G2865">
        <f>""</f>
        <v/>
      </c>
      <c r="H2865">
        <f>"Medium"</f>
        <v/>
      </c>
      <c r="I2865">
        <f>TRIM(IF(LEN(IF(LEN(INDEX('Providers'!$R$4:$R$503,362))=0,"",INDEX('Providers'!$R$4:$R$503,362)))=0,"","Card: "&amp;IF(LEN(INDEX('Providers'!$R$4:$R$503,362))=0,"",INDEX('Providers'!$R$4:$R$503,362))&amp;". "))</f>
        <v/>
      </c>
      <c r="J2865">
        <f>IF(LEN(INDEX('Providers'!$AJ$4:$AJ$503,362))=0,"",INDEX('Providers'!$AJ$4:$AJ$503,362))</f>
        <v/>
      </c>
      <c r="K2865">
        <f>IF(LEN(INDEX('Providers'!$AI$4:$AI$503,362))=0,"",INDEX('Providers'!$AI$4:$AI$503,362))</f>
        <v/>
      </c>
    </row>
    <row r="2866">
      <c r="A2866">
        <f>IF(AND(LEN('Providers'!A366)&gt;0,ISNUMBER('Providers'!S366)),1,0)</f>
        <v/>
      </c>
      <c r="B2866">
        <f>B2865+A2866</f>
        <v/>
      </c>
      <c r="C2866">
        <f>IF(2863&gt;$B$4503,"",MATCH(2863-0.5,$B$3:$B$4503,1))</f>
        <v/>
      </c>
      <c r="D2866">
        <f>"Life support ("&amp;IF(LEN(INDEX('Providers'!$R$4:$R$503,363))=0,"",INDEX('Providers'!$R$4:$R$503,363))&amp;") – "&amp;IF(LEN(INDEX('Providers'!$A$4:$A$503,363))=0,"",INDEX('Providers'!$A$4:$A$503,363))</f>
        <v/>
      </c>
      <c r="E2866">
        <f>IF(ISNUMBER(INDEX('Providers'!$S$4:$S$503,363)),TEXT(INDEX('Providers'!$S$4:$S$503,363),"yyyy-mm-dd"),"")</f>
        <v/>
      </c>
      <c r="F2866">
        <f>"Certification"</f>
        <v/>
      </c>
      <c r="G2866">
        <f>""</f>
        <v/>
      </c>
      <c r="H2866">
        <f>"Medium"</f>
        <v/>
      </c>
      <c r="I2866">
        <f>TRIM(IF(LEN(IF(LEN(INDEX('Providers'!$R$4:$R$503,363))=0,"",INDEX('Providers'!$R$4:$R$503,363)))=0,"","Card: "&amp;IF(LEN(INDEX('Providers'!$R$4:$R$503,363))=0,"",INDEX('Providers'!$R$4:$R$503,363))&amp;". "))</f>
        <v/>
      </c>
      <c r="J2866">
        <f>IF(LEN(INDEX('Providers'!$AJ$4:$AJ$503,363))=0,"",INDEX('Providers'!$AJ$4:$AJ$503,363))</f>
        <v/>
      </c>
      <c r="K2866">
        <f>IF(LEN(INDEX('Providers'!$AI$4:$AI$503,363))=0,"",INDEX('Providers'!$AI$4:$AI$503,363))</f>
        <v/>
      </c>
    </row>
    <row r="2867">
      <c r="A2867">
        <f>IF(AND(LEN('Providers'!A367)&gt;0,ISNUMBER('Providers'!S367)),1,0)</f>
        <v/>
      </c>
      <c r="B2867">
        <f>B2866+A2867</f>
        <v/>
      </c>
      <c r="C2867">
        <f>IF(2864&gt;$B$4503,"",MATCH(2864-0.5,$B$3:$B$4503,1))</f>
        <v/>
      </c>
      <c r="D2867">
        <f>"Life support ("&amp;IF(LEN(INDEX('Providers'!$R$4:$R$503,364))=0,"",INDEX('Providers'!$R$4:$R$503,364))&amp;") – "&amp;IF(LEN(INDEX('Providers'!$A$4:$A$503,364))=0,"",INDEX('Providers'!$A$4:$A$503,364))</f>
        <v/>
      </c>
      <c r="E2867">
        <f>IF(ISNUMBER(INDEX('Providers'!$S$4:$S$503,364)),TEXT(INDEX('Providers'!$S$4:$S$503,364),"yyyy-mm-dd"),"")</f>
        <v/>
      </c>
      <c r="F2867">
        <f>"Certification"</f>
        <v/>
      </c>
      <c r="G2867">
        <f>""</f>
        <v/>
      </c>
      <c r="H2867">
        <f>"Medium"</f>
        <v/>
      </c>
      <c r="I2867">
        <f>TRIM(IF(LEN(IF(LEN(INDEX('Providers'!$R$4:$R$503,364))=0,"",INDEX('Providers'!$R$4:$R$503,364)))=0,"","Card: "&amp;IF(LEN(INDEX('Providers'!$R$4:$R$503,364))=0,"",INDEX('Providers'!$R$4:$R$503,364))&amp;". "))</f>
        <v/>
      </c>
      <c r="J2867">
        <f>IF(LEN(INDEX('Providers'!$AJ$4:$AJ$503,364))=0,"",INDEX('Providers'!$AJ$4:$AJ$503,364))</f>
        <v/>
      </c>
      <c r="K2867">
        <f>IF(LEN(INDEX('Providers'!$AI$4:$AI$503,364))=0,"",INDEX('Providers'!$AI$4:$AI$503,364))</f>
        <v/>
      </c>
    </row>
    <row r="2868">
      <c r="A2868">
        <f>IF(AND(LEN('Providers'!A368)&gt;0,ISNUMBER('Providers'!S368)),1,0)</f>
        <v/>
      </c>
      <c r="B2868">
        <f>B2867+A2868</f>
        <v/>
      </c>
      <c r="C2868">
        <f>IF(2865&gt;$B$4503,"",MATCH(2865-0.5,$B$3:$B$4503,1))</f>
        <v/>
      </c>
      <c r="D2868">
        <f>"Life support ("&amp;IF(LEN(INDEX('Providers'!$R$4:$R$503,365))=0,"",INDEX('Providers'!$R$4:$R$503,365))&amp;") – "&amp;IF(LEN(INDEX('Providers'!$A$4:$A$503,365))=0,"",INDEX('Providers'!$A$4:$A$503,365))</f>
        <v/>
      </c>
      <c r="E2868">
        <f>IF(ISNUMBER(INDEX('Providers'!$S$4:$S$503,365)),TEXT(INDEX('Providers'!$S$4:$S$503,365),"yyyy-mm-dd"),"")</f>
        <v/>
      </c>
      <c r="F2868">
        <f>"Certification"</f>
        <v/>
      </c>
      <c r="G2868">
        <f>""</f>
        <v/>
      </c>
      <c r="H2868">
        <f>"Medium"</f>
        <v/>
      </c>
      <c r="I2868">
        <f>TRIM(IF(LEN(IF(LEN(INDEX('Providers'!$R$4:$R$503,365))=0,"",INDEX('Providers'!$R$4:$R$503,365)))=0,"","Card: "&amp;IF(LEN(INDEX('Providers'!$R$4:$R$503,365))=0,"",INDEX('Providers'!$R$4:$R$503,365))&amp;". "))</f>
        <v/>
      </c>
      <c r="J2868">
        <f>IF(LEN(INDEX('Providers'!$AJ$4:$AJ$503,365))=0,"",INDEX('Providers'!$AJ$4:$AJ$503,365))</f>
        <v/>
      </c>
      <c r="K2868">
        <f>IF(LEN(INDEX('Providers'!$AI$4:$AI$503,365))=0,"",INDEX('Providers'!$AI$4:$AI$503,365))</f>
        <v/>
      </c>
    </row>
    <row r="2869">
      <c r="A2869">
        <f>IF(AND(LEN('Providers'!A369)&gt;0,ISNUMBER('Providers'!S369)),1,0)</f>
        <v/>
      </c>
      <c r="B2869">
        <f>B2868+A2869</f>
        <v/>
      </c>
      <c r="C2869">
        <f>IF(2866&gt;$B$4503,"",MATCH(2866-0.5,$B$3:$B$4503,1))</f>
        <v/>
      </c>
      <c r="D2869">
        <f>"Life support ("&amp;IF(LEN(INDEX('Providers'!$R$4:$R$503,366))=0,"",INDEX('Providers'!$R$4:$R$503,366))&amp;") – "&amp;IF(LEN(INDEX('Providers'!$A$4:$A$503,366))=0,"",INDEX('Providers'!$A$4:$A$503,366))</f>
        <v/>
      </c>
      <c r="E2869">
        <f>IF(ISNUMBER(INDEX('Providers'!$S$4:$S$503,366)),TEXT(INDEX('Providers'!$S$4:$S$503,366),"yyyy-mm-dd"),"")</f>
        <v/>
      </c>
      <c r="F2869">
        <f>"Certification"</f>
        <v/>
      </c>
      <c r="G2869">
        <f>""</f>
        <v/>
      </c>
      <c r="H2869">
        <f>"Medium"</f>
        <v/>
      </c>
      <c r="I2869">
        <f>TRIM(IF(LEN(IF(LEN(INDEX('Providers'!$R$4:$R$503,366))=0,"",INDEX('Providers'!$R$4:$R$503,366)))=0,"","Card: "&amp;IF(LEN(INDEX('Providers'!$R$4:$R$503,366))=0,"",INDEX('Providers'!$R$4:$R$503,366))&amp;". "))</f>
        <v/>
      </c>
      <c r="J2869">
        <f>IF(LEN(INDEX('Providers'!$AJ$4:$AJ$503,366))=0,"",INDEX('Providers'!$AJ$4:$AJ$503,366))</f>
        <v/>
      </c>
      <c r="K2869">
        <f>IF(LEN(INDEX('Providers'!$AI$4:$AI$503,366))=0,"",INDEX('Providers'!$AI$4:$AI$503,366))</f>
        <v/>
      </c>
    </row>
    <row r="2870">
      <c r="A2870">
        <f>IF(AND(LEN('Providers'!A370)&gt;0,ISNUMBER('Providers'!S370)),1,0)</f>
        <v/>
      </c>
      <c r="B2870">
        <f>B2869+A2870</f>
        <v/>
      </c>
      <c r="C2870">
        <f>IF(2867&gt;$B$4503,"",MATCH(2867-0.5,$B$3:$B$4503,1))</f>
        <v/>
      </c>
      <c r="D2870">
        <f>"Life support ("&amp;IF(LEN(INDEX('Providers'!$R$4:$R$503,367))=0,"",INDEX('Providers'!$R$4:$R$503,367))&amp;") – "&amp;IF(LEN(INDEX('Providers'!$A$4:$A$503,367))=0,"",INDEX('Providers'!$A$4:$A$503,367))</f>
        <v/>
      </c>
      <c r="E2870">
        <f>IF(ISNUMBER(INDEX('Providers'!$S$4:$S$503,367)),TEXT(INDEX('Providers'!$S$4:$S$503,367),"yyyy-mm-dd"),"")</f>
        <v/>
      </c>
      <c r="F2870">
        <f>"Certification"</f>
        <v/>
      </c>
      <c r="G2870">
        <f>""</f>
        <v/>
      </c>
      <c r="H2870">
        <f>"Medium"</f>
        <v/>
      </c>
      <c r="I2870">
        <f>TRIM(IF(LEN(IF(LEN(INDEX('Providers'!$R$4:$R$503,367))=0,"",INDEX('Providers'!$R$4:$R$503,367)))=0,"","Card: "&amp;IF(LEN(INDEX('Providers'!$R$4:$R$503,367))=0,"",INDEX('Providers'!$R$4:$R$503,367))&amp;". "))</f>
        <v/>
      </c>
      <c r="J2870">
        <f>IF(LEN(INDEX('Providers'!$AJ$4:$AJ$503,367))=0,"",INDEX('Providers'!$AJ$4:$AJ$503,367))</f>
        <v/>
      </c>
      <c r="K2870">
        <f>IF(LEN(INDEX('Providers'!$AI$4:$AI$503,367))=0,"",INDEX('Providers'!$AI$4:$AI$503,367))</f>
        <v/>
      </c>
    </row>
    <row r="2871">
      <c r="A2871">
        <f>IF(AND(LEN('Providers'!A371)&gt;0,ISNUMBER('Providers'!S371)),1,0)</f>
        <v/>
      </c>
      <c r="B2871">
        <f>B2870+A2871</f>
        <v/>
      </c>
      <c r="C2871">
        <f>IF(2868&gt;$B$4503,"",MATCH(2868-0.5,$B$3:$B$4503,1))</f>
        <v/>
      </c>
      <c r="D2871">
        <f>"Life support ("&amp;IF(LEN(INDEX('Providers'!$R$4:$R$503,368))=0,"",INDEX('Providers'!$R$4:$R$503,368))&amp;") – "&amp;IF(LEN(INDEX('Providers'!$A$4:$A$503,368))=0,"",INDEX('Providers'!$A$4:$A$503,368))</f>
        <v/>
      </c>
      <c r="E2871">
        <f>IF(ISNUMBER(INDEX('Providers'!$S$4:$S$503,368)),TEXT(INDEX('Providers'!$S$4:$S$503,368),"yyyy-mm-dd"),"")</f>
        <v/>
      </c>
      <c r="F2871">
        <f>"Certification"</f>
        <v/>
      </c>
      <c r="G2871">
        <f>""</f>
        <v/>
      </c>
      <c r="H2871">
        <f>"Medium"</f>
        <v/>
      </c>
      <c r="I2871">
        <f>TRIM(IF(LEN(IF(LEN(INDEX('Providers'!$R$4:$R$503,368))=0,"",INDEX('Providers'!$R$4:$R$503,368)))=0,"","Card: "&amp;IF(LEN(INDEX('Providers'!$R$4:$R$503,368))=0,"",INDEX('Providers'!$R$4:$R$503,368))&amp;". "))</f>
        <v/>
      </c>
      <c r="J2871">
        <f>IF(LEN(INDEX('Providers'!$AJ$4:$AJ$503,368))=0,"",INDEX('Providers'!$AJ$4:$AJ$503,368))</f>
        <v/>
      </c>
      <c r="K2871">
        <f>IF(LEN(INDEX('Providers'!$AI$4:$AI$503,368))=0,"",INDEX('Providers'!$AI$4:$AI$503,368))</f>
        <v/>
      </c>
    </row>
    <row r="2872">
      <c r="A2872">
        <f>IF(AND(LEN('Providers'!A372)&gt;0,ISNUMBER('Providers'!S372)),1,0)</f>
        <v/>
      </c>
      <c r="B2872">
        <f>B2871+A2872</f>
        <v/>
      </c>
      <c r="C2872">
        <f>IF(2869&gt;$B$4503,"",MATCH(2869-0.5,$B$3:$B$4503,1))</f>
        <v/>
      </c>
      <c r="D2872">
        <f>"Life support ("&amp;IF(LEN(INDEX('Providers'!$R$4:$R$503,369))=0,"",INDEX('Providers'!$R$4:$R$503,369))&amp;") – "&amp;IF(LEN(INDEX('Providers'!$A$4:$A$503,369))=0,"",INDEX('Providers'!$A$4:$A$503,369))</f>
        <v/>
      </c>
      <c r="E2872">
        <f>IF(ISNUMBER(INDEX('Providers'!$S$4:$S$503,369)),TEXT(INDEX('Providers'!$S$4:$S$503,369),"yyyy-mm-dd"),"")</f>
        <v/>
      </c>
      <c r="F2872">
        <f>"Certification"</f>
        <v/>
      </c>
      <c r="G2872">
        <f>""</f>
        <v/>
      </c>
      <c r="H2872">
        <f>"Medium"</f>
        <v/>
      </c>
      <c r="I2872">
        <f>TRIM(IF(LEN(IF(LEN(INDEX('Providers'!$R$4:$R$503,369))=0,"",INDEX('Providers'!$R$4:$R$503,369)))=0,"","Card: "&amp;IF(LEN(INDEX('Providers'!$R$4:$R$503,369))=0,"",INDEX('Providers'!$R$4:$R$503,369))&amp;". "))</f>
        <v/>
      </c>
      <c r="J2872">
        <f>IF(LEN(INDEX('Providers'!$AJ$4:$AJ$503,369))=0,"",INDEX('Providers'!$AJ$4:$AJ$503,369))</f>
        <v/>
      </c>
      <c r="K2872">
        <f>IF(LEN(INDEX('Providers'!$AI$4:$AI$503,369))=0,"",INDEX('Providers'!$AI$4:$AI$503,369))</f>
        <v/>
      </c>
    </row>
    <row r="2873">
      <c r="A2873">
        <f>IF(AND(LEN('Providers'!A373)&gt;0,ISNUMBER('Providers'!S373)),1,0)</f>
        <v/>
      </c>
      <c r="B2873">
        <f>B2872+A2873</f>
        <v/>
      </c>
      <c r="C2873">
        <f>IF(2870&gt;$B$4503,"",MATCH(2870-0.5,$B$3:$B$4503,1))</f>
        <v/>
      </c>
      <c r="D2873">
        <f>"Life support ("&amp;IF(LEN(INDEX('Providers'!$R$4:$R$503,370))=0,"",INDEX('Providers'!$R$4:$R$503,370))&amp;") – "&amp;IF(LEN(INDEX('Providers'!$A$4:$A$503,370))=0,"",INDEX('Providers'!$A$4:$A$503,370))</f>
        <v/>
      </c>
      <c r="E2873">
        <f>IF(ISNUMBER(INDEX('Providers'!$S$4:$S$503,370)),TEXT(INDEX('Providers'!$S$4:$S$503,370),"yyyy-mm-dd"),"")</f>
        <v/>
      </c>
      <c r="F2873">
        <f>"Certification"</f>
        <v/>
      </c>
      <c r="G2873">
        <f>""</f>
        <v/>
      </c>
      <c r="H2873">
        <f>"Medium"</f>
        <v/>
      </c>
      <c r="I2873">
        <f>TRIM(IF(LEN(IF(LEN(INDEX('Providers'!$R$4:$R$503,370))=0,"",INDEX('Providers'!$R$4:$R$503,370)))=0,"","Card: "&amp;IF(LEN(INDEX('Providers'!$R$4:$R$503,370))=0,"",INDEX('Providers'!$R$4:$R$503,370))&amp;". "))</f>
        <v/>
      </c>
      <c r="J2873">
        <f>IF(LEN(INDEX('Providers'!$AJ$4:$AJ$503,370))=0,"",INDEX('Providers'!$AJ$4:$AJ$503,370))</f>
        <v/>
      </c>
      <c r="K2873">
        <f>IF(LEN(INDEX('Providers'!$AI$4:$AI$503,370))=0,"",INDEX('Providers'!$AI$4:$AI$503,370))</f>
        <v/>
      </c>
    </row>
    <row r="2874">
      <c r="A2874">
        <f>IF(AND(LEN('Providers'!A374)&gt;0,ISNUMBER('Providers'!S374)),1,0)</f>
        <v/>
      </c>
      <c r="B2874">
        <f>B2873+A2874</f>
        <v/>
      </c>
      <c r="C2874">
        <f>IF(2871&gt;$B$4503,"",MATCH(2871-0.5,$B$3:$B$4503,1))</f>
        <v/>
      </c>
      <c r="D2874">
        <f>"Life support ("&amp;IF(LEN(INDEX('Providers'!$R$4:$R$503,371))=0,"",INDEX('Providers'!$R$4:$R$503,371))&amp;") – "&amp;IF(LEN(INDEX('Providers'!$A$4:$A$503,371))=0,"",INDEX('Providers'!$A$4:$A$503,371))</f>
        <v/>
      </c>
      <c r="E2874">
        <f>IF(ISNUMBER(INDEX('Providers'!$S$4:$S$503,371)),TEXT(INDEX('Providers'!$S$4:$S$503,371),"yyyy-mm-dd"),"")</f>
        <v/>
      </c>
      <c r="F2874">
        <f>"Certification"</f>
        <v/>
      </c>
      <c r="G2874">
        <f>""</f>
        <v/>
      </c>
      <c r="H2874">
        <f>"Medium"</f>
        <v/>
      </c>
      <c r="I2874">
        <f>TRIM(IF(LEN(IF(LEN(INDEX('Providers'!$R$4:$R$503,371))=0,"",INDEX('Providers'!$R$4:$R$503,371)))=0,"","Card: "&amp;IF(LEN(INDEX('Providers'!$R$4:$R$503,371))=0,"",INDEX('Providers'!$R$4:$R$503,371))&amp;". "))</f>
        <v/>
      </c>
      <c r="J2874">
        <f>IF(LEN(INDEX('Providers'!$AJ$4:$AJ$503,371))=0,"",INDEX('Providers'!$AJ$4:$AJ$503,371))</f>
        <v/>
      </c>
      <c r="K2874">
        <f>IF(LEN(INDEX('Providers'!$AI$4:$AI$503,371))=0,"",INDEX('Providers'!$AI$4:$AI$503,371))</f>
        <v/>
      </c>
    </row>
    <row r="2875">
      <c r="A2875">
        <f>IF(AND(LEN('Providers'!A375)&gt;0,ISNUMBER('Providers'!S375)),1,0)</f>
        <v/>
      </c>
      <c r="B2875">
        <f>B2874+A2875</f>
        <v/>
      </c>
      <c r="C2875">
        <f>IF(2872&gt;$B$4503,"",MATCH(2872-0.5,$B$3:$B$4503,1))</f>
        <v/>
      </c>
      <c r="D2875">
        <f>"Life support ("&amp;IF(LEN(INDEX('Providers'!$R$4:$R$503,372))=0,"",INDEX('Providers'!$R$4:$R$503,372))&amp;") – "&amp;IF(LEN(INDEX('Providers'!$A$4:$A$503,372))=0,"",INDEX('Providers'!$A$4:$A$503,372))</f>
        <v/>
      </c>
      <c r="E2875">
        <f>IF(ISNUMBER(INDEX('Providers'!$S$4:$S$503,372)),TEXT(INDEX('Providers'!$S$4:$S$503,372),"yyyy-mm-dd"),"")</f>
        <v/>
      </c>
      <c r="F2875">
        <f>"Certification"</f>
        <v/>
      </c>
      <c r="G2875">
        <f>""</f>
        <v/>
      </c>
      <c r="H2875">
        <f>"Medium"</f>
        <v/>
      </c>
      <c r="I2875">
        <f>TRIM(IF(LEN(IF(LEN(INDEX('Providers'!$R$4:$R$503,372))=0,"",INDEX('Providers'!$R$4:$R$503,372)))=0,"","Card: "&amp;IF(LEN(INDEX('Providers'!$R$4:$R$503,372))=0,"",INDEX('Providers'!$R$4:$R$503,372))&amp;". "))</f>
        <v/>
      </c>
      <c r="J2875">
        <f>IF(LEN(INDEX('Providers'!$AJ$4:$AJ$503,372))=0,"",INDEX('Providers'!$AJ$4:$AJ$503,372))</f>
        <v/>
      </c>
      <c r="K2875">
        <f>IF(LEN(INDEX('Providers'!$AI$4:$AI$503,372))=0,"",INDEX('Providers'!$AI$4:$AI$503,372))</f>
        <v/>
      </c>
    </row>
    <row r="2876">
      <c r="A2876">
        <f>IF(AND(LEN('Providers'!A376)&gt;0,ISNUMBER('Providers'!S376)),1,0)</f>
        <v/>
      </c>
      <c r="B2876">
        <f>B2875+A2876</f>
        <v/>
      </c>
      <c r="C2876">
        <f>IF(2873&gt;$B$4503,"",MATCH(2873-0.5,$B$3:$B$4503,1))</f>
        <v/>
      </c>
      <c r="D2876">
        <f>"Life support ("&amp;IF(LEN(INDEX('Providers'!$R$4:$R$503,373))=0,"",INDEX('Providers'!$R$4:$R$503,373))&amp;") – "&amp;IF(LEN(INDEX('Providers'!$A$4:$A$503,373))=0,"",INDEX('Providers'!$A$4:$A$503,373))</f>
        <v/>
      </c>
      <c r="E2876">
        <f>IF(ISNUMBER(INDEX('Providers'!$S$4:$S$503,373)),TEXT(INDEX('Providers'!$S$4:$S$503,373),"yyyy-mm-dd"),"")</f>
        <v/>
      </c>
      <c r="F2876">
        <f>"Certification"</f>
        <v/>
      </c>
      <c r="G2876">
        <f>""</f>
        <v/>
      </c>
      <c r="H2876">
        <f>"Medium"</f>
        <v/>
      </c>
      <c r="I2876">
        <f>TRIM(IF(LEN(IF(LEN(INDEX('Providers'!$R$4:$R$503,373))=0,"",INDEX('Providers'!$R$4:$R$503,373)))=0,"","Card: "&amp;IF(LEN(INDEX('Providers'!$R$4:$R$503,373))=0,"",INDEX('Providers'!$R$4:$R$503,373))&amp;". "))</f>
        <v/>
      </c>
      <c r="J2876">
        <f>IF(LEN(INDEX('Providers'!$AJ$4:$AJ$503,373))=0,"",INDEX('Providers'!$AJ$4:$AJ$503,373))</f>
        <v/>
      </c>
      <c r="K2876">
        <f>IF(LEN(INDEX('Providers'!$AI$4:$AI$503,373))=0,"",INDEX('Providers'!$AI$4:$AI$503,373))</f>
        <v/>
      </c>
    </row>
    <row r="2877">
      <c r="A2877">
        <f>IF(AND(LEN('Providers'!A377)&gt;0,ISNUMBER('Providers'!S377)),1,0)</f>
        <v/>
      </c>
      <c r="B2877">
        <f>B2876+A2877</f>
        <v/>
      </c>
      <c r="C2877">
        <f>IF(2874&gt;$B$4503,"",MATCH(2874-0.5,$B$3:$B$4503,1))</f>
        <v/>
      </c>
      <c r="D2877">
        <f>"Life support ("&amp;IF(LEN(INDEX('Providers'!$R$4:$R$503,374))=0,"",INDEX('Providers'!$R$4:$R$503,374))&amp;") – "&amp;IF(LEN(INDEX('Providers'!$A$4:$A$503,374))=0,"",INDEX('Providers'!$A$4:$A$503,374))</f>
        <v/>
      </c>
      <c r="E2877">
        <f>IF(ISNUMBER(INDEX('Providers'!$S$4:$S$503,374)),TEXT(INDEX('Providers'!$S$4:$S$503,374),"yyyy-mm-dd"),"")</f>
        <v/>
      </c>
      <c r="F2877">
        <f>"Certification"</f>
        <v/>
      </c>
      <c r="G2877">
        <f>""</f>
        <v/>
      </c>
      <c r="H2877">
        <f>"Medium"</f>
        <v/>
      </c>
      <c r="I2877">
        <f>TRIM(IF(LEN(IF(LEN(INDEX('Providers'!$R$4:$R$503,374))=0,"",INDEX('Providers'!$R$4:$R$503,374)))=0,"","Card: "&amp;IF(LEN(INDEX('Providers'!$R$4:$R$503,374))=0,"",INDEX('Providers'!$R$4:$R$503,374))&amp;". "))</f>
        <v/>
      </c>
      <c r="J2877">
        <f>IF(LEN(INDEX('Providers'!$AJ$4:$AJ$503,374))=0,"",INDEX('Providers'!$AJ$4:$AJ$503,374))</f>
        <v/>
      </c>
      <c r="K2877">
        <f>IF(LEN(INDEX('Providers'!$AI$4:$AI$503,374))=0,"",INDEX('Providers'!$AI$4:$AI$503,374))</f>
        <v/>
      </c>
    </row>
    <row r="2878">
      <c r="A2878">
        <f>IF(AND(LEN('Providers'!A378)&gt;0,ISNUMBER('Providers'!S378)),1,0)</f>
        <v/>
      </c>
      <c r="B2878">
        <f>B2877+A2878</f>
        <v/>
      </c>
      <c r="C2878">
        <f>IF(2875&gt;$B$4503,"",MATCH(2875-0.5,$B$3:$B$4503,1))</f>
        <v/>
      </c>
      <c r="D2878">
        <f>"Life support ("&amp;IF(LEN(INDEX('Providers'!$R$4:$R$503,375))=0,"",INDEX('Providers'!$R$4:$R$503,375))&amp;") – "&amp;IF(LEN(INDEX('Providers'!$A$4:$A$503,375))=0,"",INDEX('Providers'!$A$4:$A$503,375))</f>
        <v/>
      </c>
      <c r="E2878">
        <f>IF(ISNUMBER(INDEX('Providers'!$S$4:$S$503,375)),TEXT(INDEX('Providers'!$S$4:$S$503,375),"yyyy-mm-dd"),"")</f>
        <v/>
      </c>
      <c r="F2878">
        <f>"Certification"</f>
        <v/>
      </c>
      <c r="G2878">
        <f>""</f>
        <v/>
      </c>
      <c r="H2878">
        <f>"Medium"</f>
        <v/>
      </c>
      <c r="I2878">
        <f>TRIM(IF(LEN(IF(LEN(INDEX('Providers'!$R$4:$R$503,375))=0,"",INDEX('Providers'!$R$4:$R$503,375)))=0,"","Card: "&amp;IF(LEN(INDEX('Providers'!$R$4:$R$503,375))=0,"",INDEX('Providers'!$R$4:$R$503,375))&amp;". "))</f>
        <v/>
      </c>
      <c r="J2878">
        <f>IF(LEN(INDEX('Providers'!$AJ$4:$AJ$503,375))=0,"",INDEX('Providers'!$AJ$4:$AJ$503,375))</f>
        <v/>
      </c>
      <c r="K2878">
        <f>IF(LEN(INDEX('Providers'!$AI$4:$AI$503,375))=0,"",INDEX('Providers'!$AI$4:$AI$503,375))</f>
        <v/>
      </c>
    </row>
    <row r="2879">
      <c r="A2879">
        <f>IF(AND(LEN('Providers'!A379)&gt;0,ISNUMBER('Providers'!S379)),1,0)</f>
        <v/>
      </c>
      <c r="B2879">
        <f>B2878+A2879</f>
        <v/>
      </c>
      <c r="C2879">
        <f>IF(2876&gt;$B$4503,"",MATCH(2876-0.5,$B$3:$B$4503,1))</f>
        <v/>
      </c>
      <c r="D2879">
        <f>"Life support ("&amp;IF(LEN(INDEX('Providers'!$R$4:$R$503,376))=0,"",INDEX('Providers'!$R$4:$R$503,376))&amp;") – "&amp;IF(LEN(INDEX('Providers'!$A$4:$A$503,376))=0,"",INDEX('Providers'!$A$4:$A$503,376))</f>
        <v/>
      </c>
      <c r="E2879">
        <f>IF(ISNUMBER(INDEX('Providers'!$S$4:$S$503,376)),TEXT(INDEX('Providers'!$S$4:$S$503,376),"yyyy-mm-dd"),"")</f>
        <v/>
      </c>
      <c r="F2879">
        <f>"Certification"</f>
        <v/>
      </c>
      <c r="G2879">
        <f>""</f>
        <v/>
      </c>
      <c r="H2879">
        <f>"Medium"</f>
        <v/>
      </c>
      <c r="I2879">
        <f>TRIM(IF(LEN(IF(LEN(INDEX('Providers'!$R$4:$R$503,376))=0,"",INDEX('Providers'!$R$4:$R$503,376)))=0,"","Card: "&amp;IF(LEN(INDEX('Providers'!$R$4:$R$503,376))=0,"",INDEX('Providers'!$R$4:$R$503,376))&amp;". "))</f>
        <v/>
      </c>
      <c r="J2879">
        <f>IF(LEN(INDEX('Providers'!$AJ$4:$AJ$503,376))=0,"",INDEX('Providers'!$AJ$4:$AJ$503,376))</f>
        <v/>
      </c>
      <c r="K2879">
        <f>IF(LEN(INDEX('Providers'!$AI$4:$AI$503,376))=0,"",INDEX('Providers'!$AI$4:$AI$503,376))</f>
        <v/>
      </c>
    </row>
    <row r="2880">
      <c r="A2880">
        <f>IF(AND(LEN('Providers'!A380)&gt;0,ISNUMBER('Providers'!S380)),1,0)</f>
        <v/>
      </c>
      <c r="B2880">
        <f>B2879+A2880</f>
        <v/>
      </c>
      <c r="C2880">
        <f>IF(2877&gt;$B$4503,"",MATCH(2877-0.5,$B$3:$B$4503,1))</f>
        <v/>
      </c>
      <c r="D2880">
        <f>"Life support ("&amp;IF(LEN(INDEX('Providers'!$R$4:$R$503,377))=0,"",INDEX('Providers'!$R$4:$R$503,377))&amp;") – "&amp;IF(LEN(INDEX('Providers'!$A$4:$A$503,377))=0,"",INDEX('Providers'!$A$4:$A$503,377))</f>
        <v/>
      </c>
      <c r="E2880">
        <f>IF(ISNUMBER(INDEX('Providers'!$S$4:$S$503,377)),TEXT(INDEX('Providers'!$S$4:$S$503,377),"yyyy-mm-dd"),"")</f>
        <v/>
      </c>
      <c r="F2880">
        <f>"Certification"</f>
        <v/>
      </c>
      <c r="G2880">
        <f>""</f>
        <v/>
      </c>
      <c r="H2880">
        <f>"Medium"</f>
        <v/>
      </c>
      <c r="I2880">
        <f>TRIM(IF(LEN(IF(LEN(INDEX('Providers'!$R$4:$R$503,377))=0,"",INDEX('Providers'!$R$4:$R$503,377)))=0,"","Card: "&amp;IF(LEN(INDEX('Providers'!$R$4:$R$503,377))=0,"",INDEX('Providers'!$R$4:$R$503,377))&amp;". "))</f>
        <v/>
      </c>
      <c r="J2880">
        <f>IF(LEN(INDEX('Providers'!$AJ$4:$AJ$503,377))=0,"",INDEX('Providers'!$AJ$4:$AJ$503,377))</f>
        <v/>
      </c>
      <c r="K2880">
        <f>IF(LEN(INDEX('Providers'!$AI$4:$AI$503,377))=0,"",INDEX('Providers'!$AI$4:$AI$503,377))</f>
        <v/>
      </c>
    </row>
    <row r="2881">
      <c r="A2881">
        <f>IF(AND(LEN('Providers'!A381)&gt;0,ISNUMBER('Providers'!S381)),1,0)</f>
        <v/>
      </c>
      <c r="B2881">
        <f>B2880+A2881</f>
        <v/>
      </c>
      <c r="C2881">
        <f>IF(2878&gt;$B$4503,"",MATCH(2878-0.5,$B$3:$B$4503,1))</f>
        <v/>
      </c>
      <c r="D2881">
        <f>"Life support ("&amp;IF(LEN(INDEX('Providers'!$R$4:$R$503,378))=0,"",INDEX('Providers'!$R$4:$R$503,378))&amp;") – "&amp;IF(LEN(INDEX('Providers'!$A$4:$A$503,378))=0,"",INDEX('Providers'!$A$4:$A$503,378))</f>
        <v/>
      </c>
      <c r="E2881">
        <f>IF(ISNUMBER(INDEX('Providers'!$S$4:$S$503,378)),TEXT(INDEX('Providers'!$S$4:$S$503,378),"yyyy-mm-dd"),"")</f>
        <v/>
      </c>
      <c r="F2881">
        <f>"Certification"</f>
        <v/>
      </c>
      <c r="G2881">
        <f>""</f>
        <v/>
      </c>
      <c r="H2881">
        <f>"Medium"</f>
        <v/>
      </c>
      <c r="I2881">
        <f>TRIM(IF(LEN(IF(LEN(INDEX('Providers'!$R$4:$R$503,378))=0,"",INDEX('Providers'!$R$4:$R$503,378)))=0,"","Card: "&amp;IF(LEN(INDEX('Providers'!$R$4:$R$503,378))=0,"",INDEX('Providers'!$R$4:$R$503,378))&amp;". "))</f>
        <v/>
      </c>
      <c r="J2881">
        <f>IF(LEN(INDEX('Providers'!$AJ$4:$AJ$503,378))=0,"",INDEX('Providers'!$AJ$4:$AJ$503,378))</f>
        <v/>
      </c>
      <c r="K2881">
        <f>IF(LEN(INDEX('Providers'!$AI$4:$AI$503,378))=0,"",INDEX('Providers'!$AI$4:$AI$503,378))</f>
        <v/>
      </c>
    </row>
    <row r="2882">
      <c r="A2882">
        <f>IF(AND(LEN('Providers'!A382)&gt;0,ISNUMBER('Providers'!S382)),1,0)</f>
        <v/>
      </c>
      <c r="B2882">
        <f>B2881+A2882</f>
        <v/>
      </c>
      <c r="C2882">
        <f>IF(2879&gt;$B$4503,"",MATCH(2879-0.5,$B$3:$B$4503,1))</f>
        <v/>
      </c>
      <c r="D2882">
        <f>"Life support ("&amp;IF(LEN(INDEX('Providers'!$R$4:$R$503,379))=0,"",INDEX('Providers'!$R$4:$R$503,379))&amp;") – "&amp;IF(LEN(INDEX('Providers'!$A$4:$A$503,379))=0,"",INDEX('Providers'!$A$4:$A$503,379))</f>
        <v/>
      </c>
      <c r="E2882">
        <f>IF(ISNUMBER(INDEX('Providers'!$S$4:$S$503,379)),TEXT(INDEX('Providers'!$S$4:$S$503,379),"yyyy-mm-dd"),"")</f>
        <v/>
      </c>
      <c r="F2882">
        <f>"Certification"</f>
        <v/>
      </c>
      <c r="G2882">
        <f>""</f>
        <v/>
      </c>
      <c r="H2882">
        <f>"Medium"</f>
        <v/>
      </c>
      <c r="I2882">
        <f>TRIM(IF(LEN(IF(LEN(INDEX('Providers'!$R$4:$R$503,379))=0,"",INDEX('Providers'!$R$4:$R$503,379)))=0,"","Card: "&amp;IF(LEN(INDEX('Providers'!$R$4:$R$503,379))=0,"",INDEX('Providers'!$R$4:$R$503,379))&amp;". "))</f>
        <v/>
      </c>
      <c r="J2882">
        <f>IF(LEN(INDEX('Providers'!$AJ$4:$AJ$503,379))=0,"",INDEX('Providers'!$AJ$4:$AJ$503,379))</f>
        <v/>
      </c>
      <c r="K2882">
        <f>IF(LEN(INDEX('Providers'!$AI$4:$AI$503,379))=0,"",INDEX('Providers'!$AI$4:$AI$503,379))</f>
        <v/>
      </c>
    </row>
    <row r="2883">
      <c r="A2883">
        <f>IF(AND(LEN('Providers'!A383)&gt;0,ISNUMBER('Providers'!S383)),1,0)</f>
        <v/>
      </c>
      <c r="B2883">
        <f>B2882+A2883</f>
        <v/>
      </c>
      <c r="C2883">
        <f>IF(2880&gt;$B$4503,"",MATCH(2880-0.5,$B$3:$B$4503,1))</f>
        <v/>
      </c>
      <c r="D2883">
        <f>"Life support ("&amp;IF(LEN(INDEX('Providers'!$R$4:$R$503,380))=0,"",INDEX('Providers'!$R$4:$R$503,380))&amp;") – "&amp;IF(LEN(INDEX('Providers'!$A$4:$A$503,380))=0,"",INDEX('Providers'!$A$4:$A$503,380))</f>
        <v/>
      </c>
      <c r="E2883">
        <f>IF(ISNUMBER(INDEX('Providers'!$S$4:$S$503,380)),TEXT(INDEX('Providers'!$S$4:$S$503,380),"yyyy-mm-dd"),"")</f>
        <v/>
      </c>
      <c r="F2883">
        <f>"Certification"</f>
        <v/>
      </c>
      <c r="G2883">
        <f>""</f>
        <v/>
      </c>
      <c r="H2883">
        <f>"Medium"</f>
        <v/>
      </c>
      <c r="I2883">
        <f>TRIM(IF(LEN(IF(LEN(INDEX('Providers'!$R$4:$R$503,380))=0,"",INDEX('Providers'!$R$4:$R$503,380)))=0,"","Card: "&amp;IF(LEN(INDEX('Providers'!$R$4:$R$503,380))=0,"",INDEX('Providers'!$R$4:$R$503,380))&amp;". "))</f>
        <v/>
      </c>
      <c r="J2883">
        <f>IF(LEN(INDEX('Providers'!$AJ$4:$AJ$503,380))=0,"",INDEX('Providers'!$AJ$4:$AJ$503,380))</f>
        <v/>
      </c>
      <c r="K2883">
        <f>IF(LEN(INDEX('Providers'!$AI$4:$AI$503,380))=0,"",INDEX('Providers'!$AI$4:$AI$503,380))</f>
        <v/>
      </c>
    </row>
    <row r="2884">
      <c r="A2884">
        <f>IF(AND(LEN('Providers'!A384)&gt;0,ISNUMBER('Providers'!S384)),1,0)</f>
        <v/>
      </c>
      <c r="B2884">
        <f>B2883+A2884</f>
        <v/>
      </c>
      <c r="C2884">
        <f>IF(2881&gt;$B$4503,"",MATCH(2881-0.5,$B$3:$B$4503,1))</f>
        <v/>
      </c>
      <c r="D2884">
        <f>"Life support ("&amp;IF(LEN(INDEX('Providers'!$R$4:$R$503,381))=0,"",INDEX('Providers'!$R$4:$R$503,381))&amp;") – "&amp;IF(LEN(INDEX('Providers'!$A$4:$A$503,381))=0,"",INDEX('Providers'!$A$4:$A$503,381))</f>
        <v/>
      </c>
      <c r="E2884">
        <f>IF(ISNUMBER(INDEX('Providers'!$S$4:$S$503,381)),TEXT(INDEX('Providers'!$S$4:$S$503,381),"yyyy-mm-dd"),"")</f>
        <v/>
      </c>
      <c r="F2884">
        <f>"Certification"</f>
        <v/>
      </c>
      <c r="G2884">
        <f>""</f>
        <v/>
      </c>
      <c r="H2884">
        <f>"Medium"</f>
        <v/>
      </c>
      <c r="I2884">
        <f>TRIM(IF(LEN(IF(LEN(INDEX('Providers'!$R$4:$R$503,381))=0,"",INDEX('Providers'!$R$4:$R$503,381)))=0,"","Card: "&amp;IF(LEN(INDEX('Providers'!$R$4:$R$503,381))=0,"",INDEX('Providers'!$R$4:$R$503,381))&amp;". "))</f>
        <v/>
      </c>
      <c r="J2884">
        <f>IF(LEN(INDEX('Providers'!$AJ$4:$AJ$503,381))=0,"",INDEX('Providers'!$AJ$4:$AJ$503,381))</f>
        <v/>
      </c>
      <c r="K2884">
        <f>IF(LEN(INDEX('Providers'!$AI$4:$AI$503,381))=0,"",INDEX('Providers'!$AI$4:$AI$503,381))</f>
        <v/>
      </c>
    </row>
    <row r="2885">
      <c r="A2885">
        <f>IF(AND(LEN('Providers'!A385)&gt;0,ISNUMBER('Providers'!S385)),1,0)</f>
        <v/>
      </c>
      <c r="B2885">
        <f>B2884+A2885</f>
        <v/>
      </c>
      <c r="C2885">
        <f>IF(2882&gt;$B$4503,"",MATCH(2882-0.5,$B$3:$B$4503,1))</f>
        <v/>
      </c>
      <c r="D2885">
        <f>"Life support ("&amp;IF(LEN(INDEX('Providers'!$R$4:$R$503,382))=0,"",INDEX('Providers'!$R$4:$R$503,382))&amp;") – "&amp;IF(LEN(INDEX('Providers'!$A$4:$A$503,382))=0,"",INDEX('Providers'!$A$4:$A$503,382))</f>
        <v/>
      </c>
      <c r="E2885">
        <f>IF(ISNUMBER(INDEX('Providers'!$S$4:$S$503,382)),TEXT(INDEX('Providers'!$S$4:$S$503,382),"yyyy-mm-dd"),"")</f>
        <v/>
      </c>
      <c r="F2885">
        <f>"Certification"</f>
        <v/>
      </c>
      <c r="G2885">
        <f>""</f>
        <v/>
      </c>
      <c r="H2885">
        <f>"Medium"</f>
        <v/>
      </c>
      <c r="I2885">
        <f>TRIM(IF(LEN(IF(LEN(INDEX('Providers'!$R$4:$R$503,382))=0,"",INDEX('Providers'!$R$4:$R$503,382)))=0,"","Card: "&amp;IF(LEN(INDEX('Providers'!$R$4:$R$503,382))=0,"",INDEX('Providers'!$R$4:$R$503,382))&amp;". "))</f>
        <v/>
      </c>
      <c r="J2885">
        <f>IF(LEN(INDEX('Providers'!$AJ$4:$AJ$503,382))=0,"",INDEX('Providers'!$AJ$4:$AJ$503,382))</f>
        <v/>
      </c>
      <c r="K2885">
        <f>IF(LEN(INDEX('Providers'!$AI$4:$AI$503,382))=0,"",INDEX('Providers'!$AI$4:$AI$503,382))</f>
        <v/>
      </c>
    </row>
    <row r="2886">
      <c r="A2886">
        <f>IF(AND(LEN('Providers'!A386)&gt;0,ISNUMBER('Providers'!S386)),1,0)</f>
        <v/>
      </c>
      <c r="B2886">
        <f>B2885+A2886</f>
        <v/>
      </c>
      <c r="C2886">
        <f>IF(2883&gt;$B$4503,"",MATCH(2883-0.5,$B$3:$B$4503,1))</f>
        <v/>
      </c>
      <c r="D2886">
        <f>"Life support ("&amp;IF(LEN(INDEX('Providers'!$R$4:$R$503,383))=0,"",INDEX('Providers'!$R$4:$R$503,383))&amp;") – "&amp;IF(LEN(INDEX('Providers'!$A$4:$A$503,383))=0,"",INDEX('Providers'!$A$4:$A$503,383))</f>
        <v/>
      </c>
      <c r="E2886">
        <f>IF(ISNUMBER(INDEX('Providers'!$S$4:$S$503,383)),TEXT(INDEX('Providers'!$S$4:$S$503,383),"yyyy-mm-dd"),"")</f>
        <v/>
      </c>
      <c r="F2886">
        <f>"Certification"</f>
        <v/>
      </c>
      <c r="G2886">
        <f>""</f>
        <v/>
      </c>
      <c r="H2886">
        <f>"Medium"</f>
        <v/>
      </c>
      <c r="I2886">
        <f>TRIM(IF(LEN(IF(LEN(INDEX('Providers'!$R$4:$R$503,383))=0,"",INDEX('Providers'!$R$4:$R$503,383)))=0,"","Card: "&amp;IF(LEN(INDEX('Providers'!$R$4:$R$503,383))=0,"",INDEX('Providers'!$R$4:$R$503,383))&amp;". "))</f>
        <v/>
      </c>
      <c r="J2886">
        <f>IF(LEN(INDEX('Providers'!$AJ$4:$AJ$503,383))=0,"",INDEX('Providers'!$AJ$4:$AJ$503,383))</f>
        <v/>
      </c>
      <c r="K2886">
        <f>IF(LEN(INDEX('Providers'!$AI$4:$AI$503,383))=0,"",INDEX('Providers'!$AI$4:$AI$503,383))</f>
        <v/>
      </c>
    </row>
    <row r="2887">
      <c r="A2887">
        <f>IF(AND(LEN('Providers'!A387)&gt;0,ISNUMBER('Providers'!S387)),1,0)</f>
        <v/>
      </c>
      <c r="B2887">
        <f>B2886+A2887</f>
        <v/>
      </c>
      <c r="C2887">
        <f>IF(2884&gt;$B$4503,"",MATCH(2884-0.5,$B$3:$B$4503,1))</f>
        <v/>
      </c>
      <c r="D2887">
        <f>"Life support ("&amp;IF(LEN(INDEX('Providers'!$R$4:$R$503,384))=0,"",INDEX('Providers'!$R$4:$R$503,384))&amp;") – "&amp;IF(LEN(INDEX('Providers'!$A$4:$A$503,384))=0,"",INDEX('Providers'!$A$4:$A$503,384))</f>
        <v/>
      </c>
      <c r="E2887">
        <f>IF(ISNUMBER(INDEX('Providers'!$S$4:$S$503,384)),TEXT(INDEX('Providers'!$S$4:$S$503,384),"yyyy-mm-dd"),"")</f>
        <v/>
      </c>
      <c r="F2887">
        <f>"Certification"</f>
        <v/>
      </c>
      <c r="G2887">
        <f>""</f>
        <v/>
      </c>
      <c r="H2887">
        <f>"Medium"</f>
        <v/>
      </c>
      <c r="I2887">
        <f>TRIM(IF(LEN(IF(LEN(INDEX('Providers'!$R$4:$R$503,384))=0,"",INDEX('Providers'!$R$4:$R$503,384)))=0,"","Card: "&amp;IF(LEN(INDEX('Providers'!$R$4:$R$503,384))=0,"",INDEX('Providers'!$R$4:$R$503,384))&amp;". "))</f>
        <v/>
      </c>
      <c r="J2887">
        <f>IF(LEN(INDEX('Providers'!$AJ$4:$AJ$503,384))=0,"",INDEX('Providers'!$AJ$4:$AJ$503,384))</f>
        <v/>
      </c>
      <c r="K2887">
        <f>IF(LEN(INDEX('Providers'!$AI$4:$AI$503,384))=0,"",INDEX('Providers'!$AI$4:$AI$503,384))</f>
        <v/>
      </c>
    </row>
    <row r="2888">
      <c r="A2888">
        <f>IF(AND(LEN('Providers'!A388)&gt;0,ISNUMBER('Providers'!S388)),1,0)</f>
        <v/>
      </c>
      <c r="B2888">
        <f>B2887+A2888</f>
        <v/>
      </c>
      <c r="C2888">
        <f>IF(2885&gt;$B$4503,"",MATCH(2885-0.5,$B$3:$B$4503,1))</f>
        <v/>
      </c>
      <c r="D2888">
        <f>"Life support ("&amp;IF(LEN(INDEX('Providers'!$R$4:$R$503,385))=0,"",INDEX('Providers'!$R$4:$R$503,385))&amp;") – "&amp;IF(LEN(INDEX('Providers'!$A$4:$A$503,385))=0,"",INDEX('Providers'!$A$4:$A$503,385))</f>
        <v/>
      </c>
      <c r="E2888">
        <f>IF(ISNUMBER(INDEX('Providers'!$S$4:$S$503,385)),TEXT(INDEX('Providers'!$S$4:$S$503,385),"yyyy-mm-dd"),"")</f>
        <v/>
      </c>
      <c r="F2888">
        <f>"Certification"</f>
        <v/>
      </c>
      <c r="G2888">
        <f>""</f>
        <v/>
      </c>
      <c r="H2888">
        <f>"Medium"</f>
        <v/>
      </c>
      <c r="I2888">
        <f>TRIM(IF(LEN(IF(LEN(INDEX('Providers'!$R$4:$R$503,385))=0,"",INDEX('Providers'!$R$4:$R$503,385)))=0,"","Card: "&amp;IF(LEN(INDEX('Providers'!$R$4:$R$503,385))=0,"",INDEX('Providers'!$R$4:$R$503,385))&amp;". "))</f>
        <v/>
      </c>
      <c r="J2888">
        <f>IF(LEN(INDEX('Providers'!$AJ$4:$AJ$503,385))=0,"",INDEX('Providers'!$AJ$4:$AJ$503,385))</f>
        <v/>
      </c>
      <c r="K2888">
        <f>IF(LEN(INDEX('Providers'!$AI$4:$AI$503,385))=0,"",INDEX('Providers'!$AI$4:$AI$503,385))</f>
        <v/>
      </c>
    </row>
    <row r="2889">
      <c r="A2889">
        <f>IF(AND(LEN('Providers'!A389)&gt;0,ISNUMBER('Providers'!S389)),1,0)</f>
        <v/>
      </c>
      <c r="B2889">
        <f>B2888+A2889</f>
        <v/>
      </c>
      <c r="C2889">
        <f>IF(2886&gt;$B$4503,"",MATCH(2886-0.5,$B$3:$B$4503,1))</f>
        <v/>
      </c>
      <c r="D2889">
        <f>"Life support ("&amp;IF(LEN(INDEX('Providers'!$R$4:$R$503,386))=0,"",INDEX('Providers'!$R$4:$R$503,386))&amp;") – "&amp;IF(LEN(INDEX('Providers'!$A$4:$A$503,386))=0,"",INDEX('Providers'!$A$4:$A$503,386))</f>
        <v/>
      </c>
      <c r="E2889">
        <f>IF(ISNUMBER(INDEX('Providers'!$S$4:$S$503,386)),TEXT(INDEX('Providers'!$S$4:$S$503,386),"yyyy-mm-dd"),"")</f>
        <v/>
      </c>
      <c r="F2889">
        <f>"Certification"</f>
        <v/>
      </c>
      <c r="G2889">
        <f>""</f>
        <v/>
      </c>
      <c r="H2889">
        <f>"Medium"</f>
        <v/>
      </c>
      <c r="I2889">
        <f>TRIM(IF(LEN(IF(LEN(INDEX('Providers'!$R$4:$R$503,386))=0,"",INDEX('Providers'!$R$4:$R$503,386)))=0,"","Card: "&amp;IF(LEN(INDEX('Providers'!$R$4:$R$503,386))=0,"",INDEX('Providers'!$R$4:$R$503,386))&amp;". "))</f>
        <v/>
      </c>
      <c r="J2889">
        <f>IF(LEN(INDEX('Providers'!$AJ$4:$AJ$503,386))=0,"",INDEX('Providers'!$AJ$4:$AJ$503,386))</f>
        <v/>
      </c>
      <c r="K2889">
        <f>IF(LEN(INDEX('Providers'!$AI$4:$AI$503,386))=0,"",INDEX('Providers'!$AI$4:$AI$503,386))</f>
        <v/>
      </c>
    </row>
    <row r="2890">
      <c r="A2890">
        <f>IF(AND(LEN('Providers'!A390)&gt;0,ISNUMBER('Providers'!S390)),1,0)</f>
        <v/>
      </c>
      <c r="B2890">
        <f>B2889+A2890</f>
        <v/>
      </c>
      <c r="C2890">
        <f>IF(2887&gt;$B$4503,"",MATCH(2887-0.5,$B$3:$B$4503,1))</f>
        <v/>
      </c>
      <c r="D2890">
        <f>"Life support ("&amp;IF(LEN(INDEX('Providers'!$R$4:$R$503,387))=0,"",INDEX('Providers'!$R$4:$R$503,387))&amp;") – "&amp;IF(LEN(INDEX('Providers'!$A$4:$A$503,387))=0,"",INDEX('Providers'!$A$4:$A$503,387))</f>
        <v/>
      </c>
      <c r="E2890">
        <f>IF(ISNUMBER(INDEX('Providers'!$S$4:$S$503,387)),TEXT(INDEX('Providers'!$S$4:$S$503,387),"yyyy-mm-dd"),"")</f>
        <v/>
      </c>
      <c r="F2890">
        <f>"Certification"</f>
        <v/>
      </c>
      <c r="G2890">
        <f>""</f>
        <v/>
      </c>
      <c r="H2890">
        <f>"Medium"</f>
        <v/>
      </c>
      <c r="I2890">
        <f>TRIM(IF(LEN(IF(LEN(INDEX('Providers'!$R$4:$R$503,387))=0,"",INDEX('Providers'!$R$4:$R$503,387)))=0,"","Card: "&amp;IF(LEN(INDEX('Providers'!$R$4:$R$503,387))=0,"",INDEX('Providers'!$R$4:$R$503,387))&amp;". "))</f>
        <v/>
      </c>
      <c r="J2890">
        <f>IF(LEN(INDEX('Providers'!$AJ$4:$AJ$503,387))=0,"",INDEX('Providers'!$AJ$4:$AJ$503,387))</f>
        <v/>
      </c>
      <c r="K2890">
        <f>IF(LEN(INDEX('Providers'!$AI$4:$AI$503,387))=0,"",INDEX('Providers'!$AI$4:$AI$503,387))</f>
        <v/>
      </c>
    </row>
    <row r="2891">
      <c r="A2891">
        <f>IF(AND(LEN('Providers'!A391)&gt;0,ISNUMBER('Providers'!S391)),1,0)</f>
        <v/>
      </c>
      <c r="B2891">
        <f>B2890+A2891</f>
        <v/>
      </c>
      <c r="C2891">
        <f>IF(2888&gt;$B$4503,"",MATCH(2888-0.5,$B$3:$B$4503,1))</f>
        <v/>
      </c>
      <c r="D2891">
        <f>"Life support ("&amp;IF(LEN(INDEX('Providers'!$R$4:$R$503,388))=0,"",INDEX('Providers'!$R$4:$R$503,388))&amp;") – "&amp;IF(LEN(INDEX('Providers'!$A$4:$A$503,388))=0,"",INDEX('Providers'!$A$4:$A$503,388))</f>
        <v/>
      </c>
      <c r="E2891">
        <f>IF(ISNUMBER(INDEX('Providers'!$S$4:$S$503,388)),TEXT(INDEX('Providers'!$S$4:$S$503,388),"yyyy-mm-dd"),"")</f>
        <v/>
      </c>
      <c r="F2891">
        <f>"Certification"</f>
        <v/>
      </c>
      <c r="G2891">
        <f>""</f>
        <v/>
      </c>
      <c r="H2891">
        <f>"Medium"</f>
        <v/>
      </c>
      <c r="I2891">
        <f>TRIM(IF(LEN(IF(LEN(INDEX('Providers'!$R$4:$R$503,388))=0,"",INDEX('Providers'!$R$4:$R$503,388)))=0,"","Card: "&amp;IF(LEN(INDEX('Providers'!$R$4:$R$503,388))=0,"",INDEX('Providers'!$R$4:$R$503,388))&amp;". "))</f>
        <v/>
      </c>
      <c r="J2891">
        <f>IF(LEN(INDEX('Providers'!$AJ$4:$AJ$503,388))=0,"",INDEX('Providers'!$AJ$4:$AJ$503,388))</f>
        <v/>
      </c>
      <c r="K2891">
        <f>IF(LEN(INDEX('Providers'!$AI$4:$AI$503,388))=0,"",INDEX('Providers'!$AI$4:$AI$503,388))</f>
        <v/>
      </c>
    </row>
    <row r="2892">
      <c r="A2892">
        <f>IF(AND(LEN('Providers'!A392)&gt;0,ISNUMBER('Providers'!S392)),1,0)</f>
        <v/>
      </c>
      <c r="B2892">
        <f>B2891+A2892</f>
        <v/>
      </c>
      <c r="C2892">
        <f>IF(2889&gt;$B$4503,"",MATCH(2889-0.5,$B$3:$B$4503,1))</f>
        <v/>
      </c>
      <c r="D2892">
        <f>"Life support ("&amp;IF(LEN(INDEX('Providers'!$R$4:$R$503,389))=0,"",INDEX('Providers'!$R$4:$R$503,389))&amp;") – "&amp;IF(LEN(INDEX('Providers'!$A$4:$A$503,389))=0,"",INDEX('Providers'!$A$4:$A$503,389))</f>
        <v/>
      </c>
      <c r="E2892">
        <f>IF(ISNUMBER(INDEX('Providers'!$S$4:$S$503,389)),TEXT(INDEX('Providers'!$S$4:$S$503,389),"yyyy-mm-dd"),"")</f>
        <v/>
      </c>
      <c r="F2892">
        <f>"Certification"</f>
        <v/>
      </c>
      <c r="G2892">
        <f>""</f>
        <v/>
      </c>
      <c r="H2892">
        <f>"Medium"</f>
        <v/>
      </c>
      <c r="I2892">
        <f>TRIM(IF(LEN(IF(LEN(INDEX('Providers'!$R$4:$R$503,389))=0,"",INDEX('Providers'!$R$4:$R$503,389)))=0,"","Card: "&amp;IF(LEN(INDEX('Providers'!$R$4:$R$503,389))=0,"",INDEX('Providers'!$R$4:$R$503,389))&amp;". "))</f>
        <v/>
      </c>
      <c r="J2892">
        <f>IF(LEN(INDEX('Providers'!$AJ$4:$AJ$503,389))=0,"",INDEX('Providers'!$AJ$4:$AJ$503,389))</f>
        <v/>
      </c>
      <c r="K2892">
        <f>IF(LEN(INDEX('Providers'!$AI$4:$AI$503,389))=0,"",INDEX('Providers'!$AI$4:$AI$503,389))</f>
        <v/>
      </c>
    </row>
    <row r="2893">
      <c r="A2893">
        <f>IF(AND(LEN('Providers'!A393)&gt;0,ISNUMBER('Providers'!S393)),1,0)</f>
        <v/>
      </c>
      <c r="B2893">
        <f>B2892+A2893</f>
        <v/>
      </c>
      <c r="C2893">
        <f>IF(2890&gt;$B$4503,"",MATCH(2890-0.5,$B$3:$B$4503,1))</f>
        <v/>
      </c>
      <c r="D2893">
        <f>"Life support ("&amp;IF(LEN(INDEX('Providers'!$R$4:$R$503,390))=0,"",INDEX('Providers'!$R$4:$R$503,390))&amp;") – "&amp;IF(LEN(INDEX('Providers'!$A$4:$A$503,390))=0,"",INDEX('Providers'!$A$4:$A$503,390))</f>
        <v/>
      </c>
      <c r="E2893">
        <f>IF(ISNUMBER(INDEX('Providers'!$S$4:$S$503,390)),TEXT(INDEX('Providers'!$S$4:$S$503,390),"yyyy-mm-dd"),"")</f>
        <v/>
      </c>
      <c r="F2893">
        <f>"Certification"</f>
        <v/>
      </c>
      <c r="G2893">
        <f>""</f>
        <v/>
      </c>
      <c r="H2893">
        <f>"Medium"</f>
        <v/>
      </c>
      <c r="I2893">
        <f>TRIM(IF(LEN(IF(LEN(INDEX('Providers'!$R$4:$R$503,390))=0,"",INDEX('Providers'!$R$4:$R$503,390)))=0,"","Card: "&amp;IF(LEN(INDEX('Providers'!$R$4:$R$503,390))=0,"",INDEX('Providers'!$R$4:$R$503,390))&amp;". "))</f>
        <v/>
      </c>
      <c r="J2893">
        <f>IF(LEN(INDEX('Providers'!$AJ$4:$AJ$503,390))=0,"",INDEX('Providers'!$AJ$4:$AJ$503,390))</f>
        <v/>
      </c>
      <c r="K2893">
        <f>IF(LEN(INDEX('Providers'!$AI$4:$AI$503,390))=0,"",INDEX('Providers'!$AI$4:$AI$503,390))</f>
        <v/>
      </c>
    </row>
    <row r="2894">
      <c r="A2894">
        <f>IF(AND(LEN('Providers'!A394)&gt;0,ISNUMBER('Providers'!S394)),1,0)</f>
        <v/>
      </c>
      <c r="B2894">
        <f>B2893+A2894</f>
        <v/>
      </c>
      <c r="C2894">
        <f>IF(2891&gt;$B$4503,"",MATCH(2891-0.5,$B$3:$B$4503,1))</f>
        <v/>
      </c>
      <c r="D2894">
        <f>"Life support ("&amp;IF(LEN(INDEX('Providers'!$R$4:$R$503,391))=0,"",INDEX('Providers'!$R$4:$R$503,391))&amp;") – "&amp;IF(LEN(INDEX('Providers'!$A$4:$A$503,391))=0,"",INDEX('Providers'!$A$4:$A$503,391))</f>
        <v/>
      </c>
      <c r="E2894">
        <f>IF(ISNUMBER(INDEX('Providers'!$S$4:$S$503,391)),TEXT(INDEX('Providers'!$S$4:$S$503,391),"yyyy-mm-dd"),"")</f>
        <v/>
      </c>
      <c r="F2894">
        <f>"Certification"</f>
        <v/>
      </c>
      <c r="G2894">
        <f>""</f>
        <v/>
      </c>
      <c r="H2894">
        <f>"Medium"</f>
        <v/>
      </c>
      <c r="I2894">
        <f>TRIM(IF(LEN(IF(LEN(INDEX('Providers'!$R$4:$R$503,391))=0,"",INDEX('Providers'!$R$4:$R$503,391)))=0,"","Card: "&amp;IF(LEN(INDEX('Providers'!$R$4:$R$503,391))=0,"",INDEX('Providers'!$R$4:$R$503,391))&amp;". "))</f>
        <v/>
      </c>
      <c r="J2894">
        <f>IF(LEN(INDEX('Providers'!$AJ$4:$AJ$503,391))=0,"",INDEX('Providers'!$AJ$4:$AJ$503,391))</f>
        <v/>
      </c>
      <c r="K2894">
        <f>IF(LEN(INDEX('Providers'!$AI$4:$AI$503,391))=0,"",INDEX('Providers'!$AI$4:$AI$503,391))</f>
        <v/>
      </c>
    </row>
    <row r="2895">
      <c r="A2895">
        <f>IF(AND(LEN('Providers'!A395)&gt;0,ISNUMBER('Providers'!S395)),1,0)</f>
        <v/>
      </c>
      <c r="B2895">
        <f>B2894+A2895</f>
        <v/>
      </c>
      <c r="C2895">
        <f>IF(2892&gt;$B$4503,"",MATCH(2892-0.5,$B$3:$B$4503,1))</f>
        <v/>
      </c>
      <c r="D2895">
        <f>"Life support ("&amp;IF(LEN(INDEX('Providers'!$R$4:$R$503,392))=0,"",INDEX('Providers'!$R$4:$R$503,392))&amp;") – "&amp;IF(LEN(INDEX('Providers'!$A$4:$A$503,392))=0,"",INDEX('Providers'!$A$4:$A$503,392))</f>
        <v/>
      </c>
      <c r="E2895">
        <f>IF(ISNUMBER(INDEX('Providers'!$S$4:$S$503,392)),TEXT(INDEX('Providers'!$S$4:$S$503,392),"yyyy-mm-dd"),"")</f>
        <v/>
      </c>
      <c r="F2895">
        <f>"Certification"</f>
        <v/>
      </c>
      <c r="G2895">
        <f>""</f>
        <v/>
      </c>
      <c r="H2895">
        <f>"Medium"</f>
        <v/>
      </c>
      <c r="I2895">
        <f>TRIM(IF(LEN(IF(LEN(INDEX('Providers'!$R$4:$R$503,392))=0,"",INDEX('Providers'!$R$4:$R$503,392)))=0,"","Card: "&amp;IF(LEN(INDEX('Providers'!$R$4:$R$503,392))=0,"",INDEX('Providers'!$R$4:$R$503,392))&amp;". "))</f>
        <v/>
      </c>
      <c r="J2895">
        <f>IF(LEN(INDEX('Providers'!$AJ$4:$AJ$503,392))=0,"",INDEX('Providers'!$AJ$4:$AJ$503,392))</f>
        <v/>
      </c>
      <c r="K2895">
        <f>IF(LEN(INDEX('Providers'!$AI$4:$AI$503,392))=0,"",INDEX('Providers'!$AI$4:$AI$503,392))</f>
        <v/>
      </c>
    </row>
    <row r="2896">
      <c r="A2896">
        <f>IF(AND(LEN('Providers'!A396)&gt;0,ISNUMBER('Providers'!S396)),1,0)</f>
        <v/>
      </c>
      <c r="B2896">
        <f>B2895+A2896</f>
        <v/>
      </c>
      <c r="C2896">
        <f>IF(2893&gt;$B$4503,"",MATCH(2893-0.5,$B$3:$B$4503,1))</f>
        <v/>
      </c>
      <c r="D2896">
        <f>"Life support ("&amp;IF(LEN(INDEX('Providers'!$R$4:$R$503,393))=0,"",INDEX('Providers'!$R$4:$R$503,393))&amp;") – "&amp;IF(LEN(INDEX('Providers'!$A$4:$A$503,393))=0,"",INDEX('Providers'!$A$4:$A$503,393))</f>
        <v/>
      </c>
      <c r="E2896">
        <f>IF(ISNUMBER(INDEX('Providers'!$S$4:$S$503,393)),TEXT(INDEX('Providers'!$S$4:$S$503,393),"yyyy-mm-dd"),"")</f>
        <v/>
      </c>
      <c r="F2896">
        <f>"Certification"</f>
        <v/>
      </c>
      <c r="G2896">
        <f>""</f>
        <v/>
      </c>
      <c r="H2896">
        <f>"Medium"</f>
        <v/>
      </c>
      <c r="I2896">
        <f>TRIM(IF(LEN(IF(LEN(INDEX('Providers'!$R$4:$R$503,393))=0,"",INDEX('Providers'!$R$4:$R$503,393)))=0,"","Card: "&amp;IF(LEN(INDEX('Providers'!$R$4:$R$503,393))=0,"",INDEX('Providers'!$R$4:$R$503,393))&amp;". "))</f>
        <v/>
      </c>
      <c r="J2896">
        <f>IF(LEN(INDEX('Providers'!$AJ$4:$AJ$503,393))=0,"",INDEX('Providers'!$AJ$4:$AJ$503,393))</f>
        <v/>
      </c>
      <c r="K2896">
        <f>IF(LEN(INDEX('Providers'!$AI$4:$AI$503,393))=0,"",INDEX('Providers'!$AI$4:$AI$503,393))</f>
        <v/>
      </c>
    </row>
    <row r="2897">
      <c r="A2897">
        <f>IF(AND(LEN('Providers'!A397)&gt;0,ISNUMBER('Providers'!S397)),1,0)</f>
        <v/>
      </c>
      <c r="B2897">
        <f>B2896+A2897</f>
        <v/>
      </c>
      <c r="C2897">
        <f>IF(2894&gt;$B$4503,"",MATCH(2894-0.5,$B$3:$B$4503,1))</f>
        <v/>
      </c>
      <c r="D2897">
        <f>"Life support ("&amp;IF(LEN(INDEX('Providers'!$R$4:$R$503,394))=0,"",INDEX('Providers'!$R$4:$R$503,394))&amp;") – "&amp;IF(LEN(INDEX('Providers'!$A$4:$A$503,394))=0,"",INDEX('Providers'!$A$4:$A$503,394))</f>
        <v/>
      </c>
      <c r="E2897">
        <f>IF(ISNUMBER(INDEX('Providers'!$S$4:$S$503,394)),TEXT(INDEX('Providers'!$S$4:$S$503,394),"yyyy-mm-dd"),"")</f>
        <v/>
      </c>
      <c r="F2897">
        <f>"Certification"</f>
        <v/>
      </c>
      <c r="G2897">
        <f>""</f>
        <v/>
      </c>
      <c r="H2897">
        <f>"Medium"</f>
        <v/>
      </c>
      <c r="I2897">
        <f>TRIM(IF(LEN(IF(LEN(INDEX('Providers'!$R$4:$R$503,394))=0,"",INDEX('Providers'!$R$4:$R$503,394)))=0,"","Card: "&amp;IF(LEN(INDEX('Providers'!$R$4:$R$503,394))=0,"",INDEX('Providers'!$R$4:$R$503,394))&amp;". "))</f>
        <v/>
      </c>
      <c r="J2897">
        <f>IF(LEN(INDEX('Providers'!$AJ$4:$AJ$503,394))=0,"",INDEX('Providers'!$AJ$4:$AJ$503,394))</f>
        <v/>
      </c>
      <c r="K2897">
        <f>IF(LEN(INDEX('Providers'!$AI$4:$AI$503,394))=0,"",INDEX('Providers'!$AI$4:$AI$503,394))</f>
        <v/>
      </c>
    </row>
    <row r="2898">
      <c r="A2898">
        <f>IF(AND(LEN('Providers'!A398)&gt;0,ISNUMBER('Providers'!S398)),1,0)</f>
        <v/>
      </c>
      <c r="B2898">
        <f>B2897+A2898</f>
        <v/>
      </c>
      <c r="C2898">
        <f>IF(2895&gt;$B$4503,"",MATCH(2895-0.5,$B$3:$B$4503,1))</f>
        <v/>
      </c>
      <c r="D2898">
        <f>"Life support ("&amp;IF(LEN(INDEX('Providers'!$R$4:$R$503,395))=0,"",INDEX('Providers'!$R$4:$R$503,395))&amp;") – "&amp;IF(LEN(INDEX('Providers'!$A$4:$A$503,395))=0,"",INDEX('Providers'!$A$4:$A$503,395))</f>
        <v/>
      </c>
      <c r="E2898">
        <f>IF(ISNUMBER(INDEX('Providers'!$S$4:$S$503,395)),TEXT(INDEX('Providers'!$S$4:$S$503,395),"yyyy-mm-dd"),"")</f>
        <v/>
      </c>
      <c r="F2898">
        <f>"Certification"</f>
        <v/>
      </c>
      <c r="G2898">
        <f>""</f>
        <v/>
      </c>
      <c r="H2898">
        <f>"Medium"</f>
        <v/>
      </c>
      <c r="I2898">
        <f>TRIM(IF(LEN(IF(LEN(INDEX('Providers'!$R$4:$R$503,395))=0,"",INDEX('Providers'!$R$4:$R$503,395)))=0,"","Card: "&amp;IF(LEN(INDEX('Providers'!$R$4:$R$503,395))=0,"",INDEX('Providers'!$R$4:$R$503,395))&amp;". "))</f>
        <v/>
      </c>
      <c r="J2898">
        <f>IF(LEN(INDEX('Providers'!$AJ$4:$AJ$503,395))=0,"",INDEX('Providers'!$AJ$4:$AJ$503,395))</f>
        <v/>
      </c>
      <c r="K2898">
        <f>IF(LEN(INDEX('Providers'!$AI$4:$AI$503,395))=0,"",INDEX('Providers'!$AI$4:$AI$503,395))</f>
        <v/>
      </c>
    </row>
    <row r="2899">
      <c r="A2899">
        <f>IF(AND(LEN('Providers'!A399)&gt;0,ISNUMBER('Providers'!S399)),1,0)</f>
        <v/>
      </c>
      <c r="B2899">
        <f>B2898+A2899</f>
        <v/>
      </c>
      <c r="C2899">
        <f>IF(2896&gt;$B$4503,"",MATCH(2896-0.5,$B$3:$B$4503,1))</f>
        <v/>
      </c>
      <c r="D2899">
        <f>"Life support ("&amp;IF(LEN(INDEX('Providers'!$R$4:$R$503,396))=0,"",INDEX('Providers'!$R$4:$R$503,396))&amp;") – "&amp;IF(LEN(INDEX('Providers'!$A$4:$A$503,396))=0,"",INDEX('Providers'!$A$4:$A$503,396))</f>
        <v/>
      </c>
      <c r="E2899">
        <f>IF(ISNUMBER(INDEX('Providers'!$S$4:$S$503,396)),TEXT(INDEX('Providers'!$S$4:$S$503,396),"yyyy-mm-dd"),"")</f>
        <v/>
      </c>
      <c r="F2899">
        <f>"Certification"</f>
        <v/>
      </c>
      <c r="G2899">
        <f>""</f>
        <v/>
      </c>
      <c r="H2899">
        <f>"Medium"</f>
        <v/>
      </c>
      <c r="I2899">
        <f>TRIM(IF(LEN(IF(LEN(INDEX('Providers'!$R$4:$R$503,396))=0,"",INDEX('Providers'!$R$4:$R$503,396)))=0,"","Card: "&amp;IF(LEN(INDEX('Providers'!$R$4:$R$503,396))=0,"",INDEX('Providers'!$R$4:$R$503,396))&amp;". "))</f>
        <v/>
      </c>
      <c r="J2899">
        <f>IF(LEN(INDEX('Providers'!$AJ$4:$AJ$503,396))=0,"",INDEX('Providers'!$AJ$4:$AJ$503,396))</f>
        <v/>
      </c>
      <c r="K2899">
        <f>IF(LEN(INDEX('Providers'!$AI$4:$AI$503,396))=0,"",INDEX('Providers'!$AI$4:$AI$503,396))</f>
        <v/>
      </c>
    </row>
    <row r="2900">
      <c r="A2900">
        <f>IF(AND(LEN('Providers'!A400)&gt;0,ISNUMBER('Providers'!S400)),1,0)</f>
        <v/>
      </c>
      <c r="B2900">
        <f>B2899+A2900</f>
        <v/>
      </c>
      <c r="C2900">
        <f>IF(2897&gt;$B$4503,"",MATCH(2897-0.5,$B$3:$B$4503,1))</f>
        <v/>
      </c>
      <c r="D2900">
        <f>"Life support ("&amp;IF(LEN(INDEX('Providers'!$R$4:$R$503,397))=0,"",INDEX('Providers'!$R$4:$R$503,397))&amp;") – "&amp;IF(LEN(INDEX('Providers'!$A$4:$A$503,397))=0,"",INDEX('Providers'!$A$4:$A$503,397))</f>
        <v/>
      </c>
      <c r="E2900">
        <f>IF(ISNUMBER(INDEX('Providers'!$S$4:$S$503,397)),TEXT(INDEX('Providers'!$S$4:$S$503,397),"yyyy-mm-dd"),"")</f>
        <v/>
      </c>
      <c r="F2900">
        <f>"Certification"</f>
        <v/>
      </c>
      <c r="G2900">
        <f>""</f>
        <v/>
      </c>
      <c r="H2900">
        <f>"Medium"</f>
        <v/>
      </c>
      <c r="I2900">
        <f>TRIM(IF(LEN(IF(LEN(INDEX('Providers'!$R$4:$R$503,397))=0,"",INDEX('Providers'!$R$4:$R$503,397)))=0,"","Card: "&amp;IF(LEN(INDEX('Providers'!$R$4:$R$503,397))=0,"",INDEX('Providers'!$R$4:$R$503,397))&amp;". "))</f>
        <v/>
      </c>
      <c r="J2900">
        <f>IF(LEN(INDEX('Providers'!$AJ$4:$AJ$503,397))=0,"",INDEX('Providers'!$AJ$4:$AJ$503,397))</f>
        <v/>
      </c>
      <c r="K2900">
        <f>IF(LEN(INDEX('Providers'!$AI$4:$AI$503,397))=0,"",INDEX('Providers'!$AI$4:$AI$503,397))</f>
        <v/>
      </c>
    </row>
    <row r="2901">
      <c r="A2901">
        <f>IF(AND(LEN('Providers'!A401)&gt;0,ISNUMBER('Providers'!S401)),1,0)</f>
        <v/>
      </c>
      <c r="B2901">
        <f>B2900+A2901</f>
        <v/>
      </c>
      <c r="C2901">
        <f>IF(2898&gt;$B$4503,"",MATCH(2898-0.5,$B$3:$B$4503,1))</f>
        <v/>
      </c>
      <c r="D2901">
        <f>"Life support ("&amp;IF(LEN(INDEX('Providers'!$R$4:$R$503,398))=0,"",INDEX('Providers'!$R$4:$R$503,398))&amp;") – "&amp;IF(LEN(INDEX('Providers'!$A$4:$A$503,398))=0,"",INDEX('Providers'!$A$4:$A$503,398))</f>
        <v/>
      </c>
      <c r="E2901">
        <f>IF(ISNUMBER(INDEX('Providers'!$S$4:$S$503,398)),TEXT(INDEX('Providers'!$S$4:$S$503,398),"yyyy-mm-dd"),"")</f>
        <v/>
      </c>
      <c r="F2901">
        <f>"Certification"</f>
        <v/>
      </c>
      <c r="G2901">
        <f>""</f>
        <v/>
      </c>
      <c r="H2901">
        <f>"Medium"</f>
        <v/>
      </c>
      <c r="I2901">
        <f>TRIM(IF(LEN(IF(LEN(INDEX('Providers'!$R$4:$R$503,398))=0,"",INDEX('Providers'!$R$4:$R$503,398)))=0,"","Card: "&amp;IF(LEN(INDEX('Providers'!$R$4:$R$503,398))=0,"",INDEX('Providers'!$R$4:$R$503,398))&amp;". "))</f>
        <v/>
      </c>
      <c r="J2901">
        <f>IF(LEN(INDEX('Providers'!$AJ$4:$AJ$503,398))=0,"",INDEX('Providers'!$AJ$4:$AJ$503,398))</f>
        <v/>
      </c>
      <c r="K2901">
        <f>IF(LEN(INDEX('Providers'!$AI$4:$AI$503,398))=0,"",INDEX('Providers'!$AI$4:$AI$503,398))</f>
        <v/>
      </c>
    </row>
    <row r="2902">
      <c r="A2902">
        <f>IF(AND(LEN('Providers'!A402)&gt;0,ISNUMBER('Providers'!S402)),1,0)</f>
        <v/>
      </c>
      <c r="B2902">
        <f>B2901+A2902</f>
        <v/>
      </c>
      <c r="C2902">
        <f>IF(2899&gt;$B$4503,"",MATCH(2899-0.5,$B$3:$B$4503,1))</f>
        <v/>
      </c>
      <c r="D2902">
        <f>"Life support ("&amp;IF(LEN(INDEX('Providers'!$R$4:$R$503,399))=0,"",INDEX('Providers'!$R$4:$R$503,399))&amp;") – "&amp;IF(LEN(INDEX('Providers'!$A$4:$A$503,399))=0,"",INDEX('Providers'!$A$4:$A$503,399))</f>
        <v/>
      </c>
      <c r="E2902">
        <f>IF(ISNUMBER(INDEX('Providers'!$S$4:$S$503,399)),TEXT(INDEX('Providers'!$S$4:$S$503,399),"yyyy-mm-dd"),"")</f>
        <v/>
      </c>
      <c r="F2902">
        <f>"Certification"</f>
        <v/>
      </c>
      <c r="G2902">
        <f>""</f>
        <v/>
      </c>
      <c r="H2902">
        <f>"Medium"</f>
        <v/>
      </c>
      <c r="I2902">
        <f>TRIM(IF(LEN(IF(LEN(INDEX('Providers'!$R$4:$R$503,399))=0,"",INDEX('Providers'!$R$4:$R$503,399)))=0,"","Card: "&amp;IF(LEN(INDEX('Providers'!$R$4:$R$503,399))=0,"",INDEX('Providers'!$R$4:$R$503,399))&amp;". "))</f>
        <v/>
      </c>
      <c r="J2902">
        <f>IF(LEN(INDEX('Providers'!$AJ$4:$AJ$503,399))=0,"",INDEX('Providers'!$AJ$4:$AJ$503,399))</f>
        <v/>
      </c>
      <c r="K2902">
        <f>IF(LEN(INDEX('Providers'!$AI$4:$AI$503,399))=0,"",INDEX('Providers'!$AI$4:$AI$503,399))</f>
        <v/>
      </c>
    </row>
    <row r="2903">
      <c r="A2903">
        <f>IF(AND(LEN('Providers'!A403)&gt;0,ISNUMBER('Providers'!S403)),1,0)</f>
        <v/>
      </c>
      <c r="B2903">
        <f>B2902+A2903</f>
        <v/>
      </c>
      <c r="C2903">
        <f>IF(2900&gt;$B$4503,"",MATCH(2900-0.5,$B$3:$B$4503,1))</f>
        <v/>
      </c>
      <c r="D2903">
        <f>"Life support ("&amp;IF(LEN(INDEX('Providers'!$R$4:$R$503,400))=0,"",INDEX('Providers'!$R$4:$R$503,400))&amp;") – "&amp;IF(LEN(INDEX('Providers'!$A$4:$A$503,400))=0,"",INDEX('Providers'!$A$4:$A$503,400))</f>
        <v/>
      </c>
      <c r="E2903">
        <f>IF(ISNUMBER(INDEX('Providers'!$S$4:$S$503,400)),TEXT(INDEX('Providers'!$S$4:$S$503,400),"yyyy-mm-dd"),"")</f>
        <v/>
      </c>
      <c r="F2903">
        <f>"Certification"</f>
        <v/>
      </c>
      <c r="G2903">
        <f>""</f>
        <v/>
      </c>
      <c r="H2903">
        <f>"Medium"</f>
        <v/>
      </c>
      <c r="I2903">
        <f>TRIM(IF(LEN(IF(LEN(INDEX('Providers'!$R$4:$R$503,400))=0,"",INDEX('Providers'!$R$4:$R$503,400)))=0,"","Card: "&amp;IF(LEN(INDEX('Providers'!$R$4:$R$503,400))=0,"",INDEX('Providers'!$R$4:$R$503,400))&amp;". "))</f>
        <v/>
      </c>
      <c r="J2903">
        <f>IF(LEN(INDEX('Providers'!$AJ$4:$AJ$503,400))=0,"",INDEX('Providers'!$AJ$4:$AJ$503,400))</f>
        <v/>
      </c>
      <c r="K2903">
        <f>IF(LEN(INDEX('Providers'!$AI$4:$AI$503,400))=0,"",INDEX('Providers'!$AI$4:$AI$503,400))</f>
        <v/>
      </c>
    </row>
    <row r="2904">
      <c r="A2904">
        <f>IF(AND(LEN('Providers'!A404)&gt;0,ISNUMBER('Providers'!S404)),1,0)</f>
        <v/>
      </c>
      <c r="B2904">
        <f>B2903+A2904</f>
        <v/>
      </c>
      <c r="C2904">
        <f>IF(2901&gt;$B$4503,"",MATCH(2901-0.5,$B$3:$B$4503,1))</f>
        <v/>
      </c>
      <c r="D2904">
        <f>"Life support ("&amp;IF(LEN(INDEX('Providers'!$R$4:$R$503,401))=0,"",INDEX('Providers'!$R$4:$R$503,401))&amp;") – "&amp;IF(LEN(INDEX('Providers'!$A$4:$A$503,401))=0,"",INDEX('Providers'!$A$4:$A$503,401))</f>
        <v/>
      </c>
      <c r="E2904">
        <f>IF(ISNUMBER(INDEX('Providers'!$S$4:$S$503,401)),TEXT(INDEX('Providers'!$S$4:$S$503,401),"yyyy-mm-dd"),"")</f>
        <v/>
      </c>
      <c r="F2904">
        <f>"Certification"</f>
        <v/>
      </c>
      <c r="G2904">
        <f>""</f>
        <v/>
      </c>
      <c r="H2904">
        <f>"Medium"</f>
        <v/>
      </c>
      <c r="I2904">
        <f>TRIM(IF(LEN(IF(LEN(INDEX('Providers'!$R$4:$R$503,401))=0,"",INDEX('Providers'!$R$4:$R$503,401)))=0,"","Card: "&amp;IF(LEN(INDEX('Providers'!$R$4:$R$503,401))=0,"",INDEX('Providers'!$R$4:$R$503,401))&amp;". "))</f>
        <v/>
      </c>
      <c r="J2904">
        <f>IF(LEN(INDEX('Providers'!$AJ$4:$AJ$503,401))=0,"",INDEX('Providers'!$AJ$4:$AJ$503,401))</f>
        <v/>
      </c>
      <c r="K2904">
        <f>IF(LEN(INDEX('Providers'!$AI$4:$AI$503,401))=0,"",INDEX('Providers'!$AI$4:$AI$503,401))</f>
        <v/>
      </c>
    </row>
    <row r="2905">
      <c r="A2905">
        <f>IF(AND(LEN('Providers'!A405)&gt;0,ISNUMBER('Providers'!S405)),1,0)</f>
        <v/>
      </c>
      <c r="B2905">
        <f>B2904+A2905</f>
        <v/>
      </c>
      <c r="C2905">
        <f>IF(2902&gt;$B$4503,"",MATCH(2902-0.5,$B$3:$B$4503,1))</f>
        <v/>
      </c>
      <c r="D2905">
        <f>"Life support ("&amp;IF(LEN(INDEX('Providers'!$R$4:$R$503,402))=0,"",INDEX('Providers'!$R$4:$R$503,402))&amp;") – "&amp;IF(LEN(INDEX('Providers'!$A$4:$A$503,402))=0,"",INDEX('Providers'!$A$4:$A$503,402))</f>
        <v/>
      </c>
      <c r="E2905">
        <f>IF(ISNUMBER(INDEX('Providers'!$S$4:$S$503,402)),TEXT(INDEX('Providers'!$S$4:$S$503,402),"yyyy-mm-dd"),"")</f>
        <v/>
      </c>
      <c r="F2905">
        <f>"Certification"</f>
        <v/>
      </c>
      <c r="G2905">
        <f>""</f>
        <v/>
      </c>
      <c r="H2905">
        <f>"Medium"</f>
        <v/>
      </c>
      <c r="I2905">
        <f>TRIM(IF(LEN(IF(LEN(INDEX('Providers'!$R$4:$R$503,402))=0,"",INDEX('Providers'!$R$4:$R$503,402)))=0,"","Card: "&amp;IF(LEN(INDEX('Providers'!$R$4:$R$503,402))=0,"",INDEX('Providers'!$R$4:$R$503,402))&amp;". "))</f>
        <v/>
      </c>
      <c r="J2905">
        <f>IF(LEN(INDEX('Providers'!$AJ$4:$AJ$503,402))=0,"",INDEX('Providers'!$AJ$4:$AJ$503,402))</f>
        <v/>
      </c>
      <c r="K2905">
        <f>IF(LEN(INDEX('Providers'!$AI$4:$AI$503,402))=0,"",INDEX('Providers'!$AI$4:$AI$503,402))</f>
        <v/>
      </c>
    </row>
    <row r="2906">
      <c r="A2906">
        <f>IF(AND(LEN('Providers'!A406)&gt;0,ISNUMBER('Providers'!S406)),1,0)</f>
        <v/>
      </c>
      <c r="B2906">
        <f>B2905+A2906</f>
        <v/>
      </c>
      <c r="C2906">
        <f>IF(2903&gt;$B$4503,"",MATCH(2903-0.5,$B$3:$B$4503,1))</f>
        <v/>
      </c>
      <c r="D2906">
        <f>"Life support ("&amp;IF(LEN(INDEX('Providers'!$R$4:$R$503,403))=0,"",INDEX('Providers'!$R$4:$R$503,403))&amp;") – "&amp;IF(LEN(INDEX('Providers'!$A$4:$A$503,403))=0,"",INDEX('Providers'!$A$4:$A$503,403))</f>
        <v/>
      </c>
      <c r="E2906">
        <f>IF(ISNUMBER(INDEX('Providers'!$S$4:$S$503,403)),TEXT(INDEX('Providers'!$S$4:$S$503,403),"yyyy-mm-dd"),"")</f>
        <v/>
      </c>
      <c r="F2906">
        <f>"Certification"</f>
        <v/>
      </c>
      <c r="G2906">
        <f>""</f>
        <v/>
      </c>
      <c r="H2906">
        <f>"Medium"</f>
        <v/>
      </c>
      <c r="I2906">
        <f>TRIM(IF(LEN(IF(LEN(INDEX('Providers'!$R$4:$R$503,403))=0,"",INDEX('Providers'!$R$4:$R$503,403)))=0,"","Card: "&amp;IF(LEN(INDEX('Providers'!$R$4:$R$503,403))=0,"",INDEX('Providers'!$R$4:$R$503,403))&amp;". "))</f>
        <v/>
      </c>
      <c r="J2906">
        <f>IF(LEN(INDEX('Providers'!$AJ$4:$AJ$503,403))=0,"",INDEX('Providers'!$AJ$4:$AJ$503,403))</f>
        <v/>
      </c>
      <c r="K2906">
        <f>IF(LEN(INDEX('Providers'!$AI$4:$AI$503,403))=0,"",INDEX('Providers'!$AI$4:$AI$503,403))</f>
        <v/>
      </c>
    </row>
    <row r="2907">
      <c r="A2907">
        <f>IF(AND(LEN('Providers'!A407)&gt;0,ISNUMBER('Providers'!S407)),1,0)</f>
        <v/>
      </c>
      <c r="B2907">
        <f>B2906+A2907</f>
        <v/>
      </c>
      <c r="C2907">
        <f>IF(2904&gt;$B$4503,"",MATCH(2904-0.5,$B$3:$B$4503,1))</f>
        <v/>
      </c>
      <c r="D2907">
        <f>"Life support ("&amp;IF(LEN(INDEX('Providers'!$R$4:$R$503,404))=0,"",INDEX('Providers'!$R$4:$R$503,404))&amp;") – "&amp;IF(LEN(INDEX('Providers'!$A$4:$A$503,404))=0,"",INDEX('Providers'!$A$4:$A$503,404))</f>
        <v/>
      </c>
      <c r="E2907">
        <f>IF(ISNUMBER(INDEX('Providers'!$S$4:$S$503,404)),TEXT(INDEX('Providers'!$S$4:$S$503,404),"yyyy-mm-dd"),"")</f>
        <v/>
      </c>
      <c r="F2907">
        <f>"Certification"</f>
        <v/>
      </c>
      <c r="G2907">
        <f>""</f>
        <v/>
      </c>
      <c r="H2907">
        <f>"Medium"</f>
        <v/>
      </c>
      <c r="I2907">
        <f>TRIM(IF(LEN(IF(LEN(INDEX('Providers'!$R$4:$R$503,404))=0,"",INDEX('Providers'!$R$4:$R$503,404)))=0,"","Card: "&amp;IF(LEN(INDEX('Providers'!$R$4:$R$503,404))=0,"",INDEX('Providers'!$R$4:$R$503,404))&amp;". "))</f>
        <v/>
      </c>
      <c r="J2907">
        <f>IF(LEN(INDEX('Providers'!$AJ$4:$AJ$503,404))=0,"",INDEX('Providers'!$AJ$4:$AJ$503,404))</f>
        <v/>
      </c>
      <c r="K2907">
        <f>IF(LEN(INDEX('Providers'!$AI$4:$AI$503,404))=0,"",INDEX('Providers'!$AI$4:$AI$503,404))</f>
        <v/>
      </c>
    </row>
    <row r="2908">
      <c r="A2908">
        <f>IF(AND(LEN('Providers'!A408)&gt;0,ISNUMBER('Providers'!S408)),1,0)</f>
        <v/>
      </c>
      <c r="B2908">
        <f>B2907+A2908</f>
        <v/>
      </c>
      <c r="C2908">
        <f>IF(2905&gt;$B$4503,"",MATCH(2905-0.5,$B$3:$B$4503,1))</f>
        <v/>
      </c>
      <c r="D2908">
        <f>"Life support ("&amp;IF(LEN(INDEX('Providers'!$R$4:$R$503,405))=0,"",INDEX('Providers'!$R$4:$R$503,405))&amp;") – "&amp;IF(LEN(INDEX('Providers'!$A$4:$A$503,405))=0,"",INDEX('Providers'!$A$4:$A$503,405))</f>
        <v/>
      </c>
      <c r="E2908">
        <f>IF(ISNUMBER(INDEX('Providers'!$S$4:$S$503,405)),TEXT(INDEX('Providers'!$S$4:$S$503,405),"yyyy-mm-dd"),"")</f>
        <v/>
      </c>
      <c r="F2908">
        <f>"Certification"</f>
        <v/>
      </c>
      <c r="G2908">
        <f>""</f>
        <v/>
      </c>
      <c r="H2908">
        <f>"Medium"</f>
        <v/>
      </c>
      <c r="I2908">
        <f>TRIM(IF(LEN(IF(LEN(INDEX('Providers'!$R$4:$R$503,405))=0,"",INDEX('Providers'!$R$4:$R$503,405)))=0,"","Card: "&amp;IF(LEN(INDEX('Providers'!$R$4:$R$503,405))=0,"",INDEX('Providers'!$R$4:$R$503,405))&amp;". "))</f>
        <v/>
      </c>
      <c r="J2908">
        <f>IF(LEN(INDEX('Providers'!$AJ$4:$AJ$503,405))=0,"",INDEX('Providers'!$AJ$4:$AJ$503,405))</f>
        <v/>
      </c>
      <c r="K2908">
        <f>IF(LEN(INDEX('Providers'!$AI$4:$AI$503,405))=0,"",INDEX('Providers'!$AI$4:$AI$503,405))</f>
        <v/>
      </c>
    </row>
    <row r="2909">
      <c r="A2909">
        <f>IF(AND(LEN('Providers'!A409)&gt;0,ISNUMBER('Providers'!S409)),1,0)</f>
        <v/>
      </c>
      <c r="B2909">
        <f>B2908+A2909</f>
        <v/>
      </c>
      <c r="C2909">
        <f>IF(2906&gt;$B$4503,"",MATCH(2906-0.5,$B$3:$B$4503,1))</f>
        <v/>
      </c>
      <c r="D2909">
        <f>"Life support ("&amp;IF(LEN(INDEX('Providers'!$R$4:$R$503,406))=0,"",INDEX('Providers'!$R$4:$R$503,406))&amp;") – "&amp;IF(LEN(INDEX('Providers'!$A$4:$A$503,406))=0,"",INDEX('Providers'!$A$4:$A$503,406))</f>
        <v/>
      </c>
      <c r="E2909">
        <f>IF(ISNUMBER(INDEX('Providers'!$S$4:$S$503,406)),TEXT(INDEX('Providers'!$S$4:$S$503,406),"yyyy-mm-dd"),"")</f>
        <v/>
      </c>
      <c r="F2909">
        <f>"Certification"</f>
        <v/>
      </c>
      <c r="G2909">
        <f>""</f>
        <v/>
      </c>
      <c r="H2909">
        <f>"Medium"</f>
        <v/>
      </c>
      <c r="I2909">
        <f>TRIM(IF(LEN(IF(LEN(INDEX('Providers'!$R$4:$R$503,406))=0,"",INDEX('Providers'!$R$4:$R$503,406)))=0,"","Card: "&amp;IF(LEN(INDEX('Providers'!$R$4:$R$503,406))=0,"",INDEX('Providers'!$R$4:$R$503,406))&amp;". "))</f>
        <v/>
      </c>
      <c r="J2909">
        <f>IF(LEN(INDEX('Providers'!$AJ$4:$AJ$503,406))=0,"",INDEX('Providers'!$AJ$4:$AJ$503,406))</f>
        <v/>
      </c>
      <c r="K2909">
        <f>IF(LEN(INDEX('Providers'!$AI$4:$AI$503,406))=0,"",INDEX('Providers'!$AI$4:$AI$503,406))</f>
        <v/>
      </c>
    </row>
    <row r="2910">
      <c r="A2910">
        <f>IF(AND(LEN('Providers'!A410)&gt;0,ISNUMBER('Providers'!S410)),1,0)</f>
        <v/>
      </c>
      <c r="B2910">
        <f>B2909+A2910</f>
        <v/>
      </c>
      <c r="C2910">
        <f>IF(2907&gt;$B$4503,"",MATCH(2907-0.5,$B$3:$B$4503,1))</f>
        <v/>
      </c>
      <c r="D2910">
        <f>"Life support ("&amp;IF(LEN(INDEX('Providers'!$R$4:$R$503,407))=0,"",INDEX('Providers'!$R$4:$R$503,407))&amp;") – "&amp;IF(LEN(INDEX('Providers'!$A$4:$A$503,407))=0,"",INDEX('Providers'!$A$4:$A$503,407))</f>
        <v/>
      </c>
      <c r="E2910">
        <f>IF(ISNUMBER(INDEX('Providers'!$S$4:$S$503,407)),TEXT(INDEX('Providers'!$S$4:$S$503,407),"yyyy-mm-dd"),"")</f>
        <v/>
      </c>
      <c r="F2910">
        <f>"Certification"</f>
        <v/>
      </c>
      <c r="G2910">
        <f>""</f>
        <v/>
      </c>
      <c r="H2910">
        <f>"Medium"</f>
        <v/>
      </c>
      <c r="I2910">
        <f>TRIM(IF(LEN(IF(LEN(INDEX('Providers'!$R$4:$R$503,407))=0,"",INDEX('Providers'!$R$4:$R$503,407)))=0,"","Card: "&amp;IF(LEN(INDEX('Providers'!$R$4:$R$503,407))=0,"",INDEX('Providers'!$R$4:$R$503,407))&amp;". "))</f>
        <v/>
      </c>
      <c r="J2910">
        <f>IF(LEN(INDEX('Providers'!$AJ$4:$AJ$503,407))=0,"",INDEX('Providers'!$AJ$4:$AJ$503,407))</f>
        <v/>
      </c>
      <c r="K2910">
        <f>IF(LEN(INDEX('Providers'!$AI$4:$AI$503,407))=0,"",INDEX('Providers'!$AI$4:$AI$503,407))</f>
        <v/>
      </c>
    </row>
    <row r="2911">
      <c r="A2911">
        <f>IF(AND(LEN('Providers'!A411)&gt;0,ISNUMBER('Providers'!S411)),1,0)</f>
        <v/>
      </c>
      <c r="B2911">
        <f>B2910+A2911</f>
        <v/>
      </c>
      <c r="C2911">
        <f>IF(2908&gt;$B$4503,"",MATCH(2908-0.5,$B$3:$B$4503,1))</f>
        <v/>
      </c>
      <c r="D2911">
        <f>"Life support ("&amp;IF(LEN(INDEX('Providers'!$R$4:$R$503,408))=0,"",INDEX('Providers'!$R$4:$R$503,408))&amp;") – "&amp;IF(LEN(INDEX('Providers'!$A$4:$A$503,408))=0,"",INDEX('Providers'!$A$4:$A$503,408))</f>
        <v/>
      </c>
      <c r="E2911">
        <f>IF(ISNUMBER(INDEX('Providers'!$S$4:$S$503,408)),TEXT(INDEX('Providers'!$S$4:$S$503,408),"yyyy-mm-dd"),"")</f>
        <v/>
      </c>
      <c r="F2911">
        <f>"Certification"</f>
        <v/>
      </c>
      <c r="G2911">
        <f>""</f>
        <v/>
      </c>
      <c r="H2911">
        <f>"Medium"</f>
        <v/>
      </c>
      <c r="I2911">
        <f>TRIM(IF(LEN(IF(LEN(INDEX('Providers'!$R$4:$R$503,408))=0,"",INDEX('Providers'!$R$4:$R$503,408)))=0,"","Card: "&amp;IF(LEN(INDEX('Providers'!$R$4:$R$503,408))=0,"",INDEX('Providers'!$R$4:$R$503,408))&amp;". "))</f>
        <v/>
      </c>
      <c r="J2911">
        <f>IF(LEN(INDEX('Providers'!$AJ$4:$AJ$503,408))=0,"",INDEX('Providers'!$AJ$4:$AJ$503,408))</f>
        <v/>
      </c>
      <c r="K2911">
        <f>IF(LEN(INDEX('Providers'!$AI$4:$AI$503,408))=0,"",INDEX('Providers'!$AI$4:$AI$503,408))</f>
        <v/>
      </c>
    </row>
    <row r="2912">
      <c r="A2912">
        <f>IF(AND(LEN('Providers'!A412)&gt;0,ISNUMBER('Providers'!S412)),1,0)</f>
        <v/>
      </c>
      <c r="B2912">
        <f>B2911+A2912</f>
        <v/>
      </c>
      <c r="C2912">
        <f>IF(2909&gt;$B$4503,"",MATCH(2909-0.5,$B$3:$B$4503,1))</f>
        <v/>
      </c>
      <c r="D2912">
        <f>"Life support ("&amp;IF(LEN(INDEX('Providers'!$R$4:$R$503,409))=0,"",INDEX('Providers'!$R$4:$R$503,409))&amp;") – "&amp;IF(LEN(INDEX('Providers'!$A$4:$A$503,409))=0,"",INDEX('Providers'!$A$4:$A$503,409))</f>
        <v/>
      </c>
      <c r="E2912">
        <f>IF(ISNUMBER(INDEX('Providers'!$S$4:$S$503,409)),TEXT(INDEX('Providers'!$S$4:$S$503,409),"yyyy-mm-dd"),"")</f>
        <v/>
      </c>
      <c r="F2912">
        <f>"Certification"</f>
        <v/>
      </c>
      <c r="G2912">
        <f>""</f>
        <v/>
      </c>
      <c r="H2912">
        <f>"Medium"</f>
        <v/>
      </c>
      <c r="I2912">
        <f>TRIM(IF(LEN(IF(LEN(INDEX('Providers'!$R$4:$R$503,409))=0,"",INDEX('Providers'!$R$4:$R$503,409)))=0,"","Card: "&amp;IF(LEN(INDEX('Providers'!$R$4:$R$503,409))=0,"",INDEX('Providers'!$R$4:$R$503,409))&amp;". "))</f>
        <v/>
      </c>
      <c r="J2912">
        <f>IF(LEN(INDEX('Providers'!$AJ$4:$AJ$503,409))=0,"",INDEX('Providers'!$AJ$4:$AJ$503,409))</f>
        <v/>
      </c>
      <c r="K2912">
        <f>IF(LEN(INDEX('Providers'!$AI$4:$AI$503,409))=0,"",INDEX('Providers'!$AI$4:$AI$503,409))</f>
        <v/>
      </c>
    </row>
    <row r="2913">
      <c r="A2913">
        <f>IF(AND(LEN('Providers'!A413)&gt;0,ISNUMBER('Providers'!S413)),1,0)</f>
        <v/>
      </c>
      <c r="B2913">
        <f>B2912+A2913</f>
        <v/>
      </c>
      <c r="C2913">
        <f>IF(2910&gt;$B$4503,"",MATCH(2910-0.5,$B$3:$B$4503,1))</f>
        <v/>
      </c>
      <c r="D2913">
        <f>"Life support ("&amp;IF(LEN(INDEX('Providers'!$R$4:$R$503,410))=0,"",INDEX('Providers'!$R$4:$R$503,410))&amp;") – "&amp;IF(LEN(INDEX('Providers'!$A$4:$A$503,410))=0,"",INDEX('Providers'!$A$4:$A$503,410))</f>
        <v/>
      </c>
      <c r="E2913">
        <f>IF(ISNUMBER(INDEX('Providers'!$S$4:$S$503,410)),TEXT(INDEX('Providers'!$S$4:$S$503,410),"yyyy-mm-dd"),"")</f>
        <v/>
      </c>
      <c r="F2913">
        <f>"Certification"</f>
        <v/>
      </c>
      <c r="G2913">
        <f>""</f>
        <v/>
      </c>
      <c r="H2913">
        <f>"Medium"</f>
        <v/>
      </c>
      <c r="I2913">
        <f>TRIM(IF(LEN(IF(LEN(INDEX('Providers'!$R$4:$R$503,410))=0,"",INDEX('Providers'!$R$4:$R$503,410)))=0,"","Card: "&amp;IF(LEN(INDEX('Providers'!$R$4:$R$503,410))=0,"",INDEX('Providers'!$R$4:$R$503,410))&amp;". "))</f>
        <v/>
      </c>
      <c r="J2913">
        <f>IF(LEN(INDEX('Providers'!$AJ$4:$AJ$503,410))=0,"",INDEX('Providers'!$AJ$4:$AJ$503,410))</f>
        <v/>
      </c>
      <c r="K2913">
        <f>IF(LEN(INDEX('Providers'!$AI$4:$AI$503,410))=0,"",INDEX('Providers'!$AI$4:$AI$503,410))</f>
        <v/>
      </c>
    </row>
    <row r="2914">
      <c r="A2914">
        <f>IF(AND(LEN('Providers'!A414)&gt;0,ISNUMBER('Providers'!S414)),1,0)</f>
        <v/>
      </c>
      <c r="B2914">
        <f>B2913+A2914</f>
        <v/>
      </c>
      <c r="C2914">
        <f>IF(2911&gt;$B$4503,"",MATCH(2911-0.5,$B$3:$B$4503,1))</f>
        <v/>
      </c>
      <c r="D2914">
        <f>"Life support ("&amp;IF(LEN(INDEX('Providers'!$R$4:$R$503,411))=0,"",INDEX('Providers'!$R$4:$R$503,411))&amp;") – "&amp;IF(LEN(INDEX('Providers'!$A$4:$A$503,411))=0,"",INDEX('Providers'!$A$4:$A$503,411))</f>
        <v/>
      </c>
      <c r="E2914">
        <f>IF(ISNUMBER(INDEX('Providers'!$S$4:$S$503,411)),TEXT(INDEX('Providers'!$S$4:$S$503,411),"yyyy-mm-dd"),"")</f>
        <v/>
      </c>
      <c r="F2914">
        <f>"Certification"</f>
        <v/>
      </c>
      <c r="G2914">
        <f>""</f>
        <v/>
      </c>
      <c r="H2914">
        <f>"Medium"</f>
        <v/>
      </c>
      <c r="I2914">
        <f>TRIM(IF(LEN(IF(LEN(INDEX('Providers'!$R$4:$R$503,411))=0,"",INDEX('Providers'!$R$4:$R$503,411)))=0,"","Card: "&amp;IF(LEN(INDEX('Providers'!$R$4:$R$503,411))=0,"",INDEX('Providers'!$R$4:$R$503,411))&amp;". "))</f>
        <v/>
      </c>
      <c r="J2914">
        <f>IF(LEN(INDEX('Providers'!$AJ$4:$AJ$503,411))=0,"",INDEX('Providers'!$AJ$4:$AJ$503,411))</f>
        <v/>
      </c>
      <c r="K2914">
        <f>IF(LEN(INDEX('Providers'!$AI$4:$AI$503,411))=0,"",INDEX('Providers'!$AI$4:$AI$503,411))</f>
        <v/>
      </c>
    </row>
    <row r="2915">
      <c r="A2915">
        <f>IF(AND(LEN('Providers'!A415)&gt;0,ISNUMBER('Providers'!S415)),1,0)</f>
        <v/>
      </c>
      <c r="B2915">
        <f>B2914+A2915</f>
        <v/>
      </c>
      <c r="C2915">
        <f>IF(2912&gt;$B$4503,"",MATCH(2912-0.5,$B$3:$B$4503,1))</f>
        <v/>
      </c>
      <c r="D2915">
        <f>"Life support ("&amp;IF(LEN(INDEX('Providers'!$R$4:$R$503,412))=0,"",INDEX('Providers'!$R$4:$R$503,412))&amp;") – "&amp;IF(LEN(INDEX('Providers'!$A$4:$A$503,412))=0,"",INDEX('Providers'!$A$4:$A$503,412))</f>
        <v/>
      </c>
      <c r="E2915">
        <f>IF(ISNUMBER(INDEX('Providers'!$S$4:$S$503,412)),TEXT(INDEX('Providers'!$S$4:$S$503,412),"yyyy-mm-dd"),"")</f>
        <v/>
      </c>
      <c r="F2915">
        <f>"Certification"</f>
        <v/>
      </c>
      <c r="G2915">
        <f>""</f>
        <v/>
      </c>
      <c r="H2915">
        <f>"Medium"</f>
        <v/>
      </c>
      <c r="I2915">
        <f>TRIM(IF(LEN(IF(LEN(INDEX('Providers'!$R$4:$R$503,412))=0,"",INDEX('Providers'!$R$4:$R$503,412)))=0,"","Card: "&amp;IF(LEN(INDEX('Providers'!$R$4:$R$503,412))=0,"",INDEX('Providers'!$R$4:$R$503,412))&amp;". "))</f>
        <v/>
      </c>
      <c r="J2915">
        <f>IF(LEN(INDEX('Providers'!$AJ$4:$AJ$503,412))=0,"",INDEX('Providers'!$AJ$4:$AJ$503,412))</f>
        <v/>
      </c>
      <c r="K2915">
        <f>IF(LEN(INDEX('Providers'!$AI$4:$AI$503,412))=0,"",INDEX('Providers'!$AI$4:$AI$503,412))</f>
        <v/>
      </c>
    </row>
    <row r="2916">
      <c r="A2916">
        <f>IF(AND(LEN('Providers'!A416)&gt;0,ISNUMBER('Providers'!S416)),1,0)</f>
        <v/>
      </c>
      <c r="B2916">
        <f>B2915+A2916</f>
        <v/>
      </c>
      <c r="C2916">
        <f>IF(2913&gt;$B$4503,"",MATCH(2913-0.5,$B$3:$B$4503,1))</f>
        <v/>
      </c>
      <c r="D2916">
        <f>"Life support ("&amp;IF(LEN(INDEX('Providers'!$R$4:$R$503,413))=0,"",INDEX('Providers'!$R$4:$R$503,413))&amp;") – "&amp;IF(LEN(INDEX('Providers'!$A$4:$A$503,413))=0,"",INDEX('Providers'!$A$4:$A$503,413))</f>
        <v/>
      </c>
      <c r="E2916">
        <f>IF(ISNUMBER(INDEX('Providers'!$S$4:$S$503,413)),TEXT(INDEX('Providers'!$S$4:$S$503,413),"yyyy-mm-dd"),"")</f>
        <v/>
      </c>
      <c r="F2916">
        <f>"Certification"</f>
        <v/>
      </c>
      <c r="G2916">
        <f>""</f>
        <v/>
      </c>
      <c r="H2916">
        <f>"Medium"</f>
        <v/>
      </c>
      <c r="I2916">
        <f>TRIM(IF(LEN(IF(LEN(INDEX('Providers'!$R$4:$R$503,413))=0,"",INDEX('Providers'!$R$4:$R$503,413)))=0,"","Card: "&amp;IF(LEN(INDEX('Providers'!$R$4:$R$503,413))=0,"",INDEX('Providers'!$R$4:$R$503,413))&amp;". "))</f>
        <v/>
      </c>
      <c r="J2916">
        <f>IF(LEN(INDEX('Providers'!$AJ$4:$AJ$503,413))=0,"",INDEX('Providers'!$AJ$4:$AJ$503,413))</f>
        <v/>
      </c>
      <c r="K2916">
        <f>IF(LEN(INDEX('Providers'!$AI$4:$AI$503,413))=0,"",INDEX('Providers'!$AI$4:$AI$503,413))</f>
        <v/>
      </c>
    </row>
    <row r="2917">
      <c r="A2917">
        <f>IF(AND(LEN('Providers'!A417)&gt;0,ISNUMBER('Providers'!S417)),1,0)</f>
        <v/>
      </c>
      <c r="B2917">
        <f>B2916+A2917</f>
        <v/>
      </c>
      <c r="C2917">
        <f>IF(2914&gt;$B$4503,"",MATCH(2914-0.5,$B$3:$B$4503,1))</f>
        <v/>
      </c>
      <c r="D2917">
        <f>"Life support ("&amp;IF(LEN(INDEX('Providers'!$R$4:$R$503,414))=0,"",INDEX('Providers'!$R$4:$R$503,414))&amp;") – "&amp;IF(LEN(INDEX('Providers'!$A$4:$A$503,414))=0,"",INDEX('Providers'!$A$4:$A$503,414))</f>
        <v/>
      </c>
      <c r="E2917">
        <f>IF(ISNUMBER(INDEX('Providers'!$S$4:$S$503,414)),TEXT(INDEX('Providers'!$S$4:$S$503,414),"yyyy-mm-dd"),"")</f>
        <v/>
      </c>
      <c r="F2917">
        <f>"Certification"</f>
        <v/>
      </c>
      <c r="G2917">
        <f>""</f>
        <v/>
      </c>
      <c r="H2917">
        <f>"Medium"</f>
        <v/>
      </c>
      <c r="I2917">
        <f>TRIM(IF(LEN(IF(LEN(INDEX('Providers'!$R$4:$R$503,414))=0,"",INDEX('Providers'!$R$4:$R$503,414)))=0,"","Card: "&amp;IF(LEN(INDEX('Providers'!$R$4:$R$503,414))=0,"",INDEX('Providers'!$R$4:$R$503,414))&amp;". "))</f>
        <v/>
      </c>
      <c r="J2917">
        <f>IF(LEN(INDEX('Providers'!$AJ$4:$AJ$503,414))=0,"",INDEX('Providers'!$AJ$4:$AJ$503,414))</f>
        <v/>
      </c>
      <c r="K2917">
        <f>IF(LEN(INDEX('Providers'!$AI$4:$AI$503,414))=0,"",INDEX('Providers'!$AI$4:$AI$503,414))</f>
        <v/>
      </c>
    </row>
    <row r="2918">
      <c r="A2918">
        <f>IF(AND(LEN('Providers'!A418)&gt;0,ISNUMBER('Providers'!S418)),1,0)</f>
        <v/>
      </c>
      <c r="B2918">
        <f>B2917+A2918</f>
        <v/>
      </c>
      <c r="C2918">
        <f>IF(2915&gt;$B$4503,"",MATCH(2915-0.5,$B$3:$B$4503,1))</f>
        <v/>
      </c>
      <c r="D2918">
        <f>"Life support ("&amp;IF(LEN(INDEX('Providers'!$R$4:$R$503,415))=0,"",INDEX('Providers'!$R$4:$R$503,415))&amp;") – "&amp;IF(LEN(INDEX('Providers'!$A$4:$A$503,415))=0,"",INDEX('Providers'!$A$4:$A$503,415))</f>
        <v/>
      </c>
      <c r="E2918">
        <f>IF(ISNUMBER(INDEX('Providers'!$S$4:$S$503,415)),TEXT(INDEX('Providers'!$S$4:$S$503,415),"yyyy-mm-dd"),"")</f>
        <v/>
      </c>
      <c r="F2918">
        <f>"Certification"</f>
        <v/>
      </c>
      <c r="G2918">
        <f>""</f>
        <v/>
      </c>
      <c r="H2918">
        <f>"Medium"</f>
        <v/>
      </c>
      <c r="I2918">
        <f>TRIM(IF(LEN(IF(LEN(INDEX('Providers'!$R$4:$R$503,415))=0,"",INDEX('Providers'!$R$4:$R$503,415)))=0,"","Card: "&amp;IF(LEN(INDEX('Providers'!$R$4:$R$503,415))=0,"",INDEX('Providers'!$R$4:$R$503,415))&amp;". "))</f>
        <v/>
      </c>
      <c r="J2918">
        <f>IF(LEN(INDEX('Providers'!$AJ$4:$AJ$503,415))=0,"",INDEX('Providers'!$AJ$4:$AJ$503,415))</f>
        <v/>
      </c>
      <c r="K2918">
        <f>IF(LEN(INDEX('Providers'!$AI$4:$AI$503,415))=0,"",INDEX('Providers'!$AI$4:$AI$503,415))</f>
        <v/>
      </c>
    </row>
    <row r="2919">
      <c r="A2919">
        <f>IF(AND(LEN('Providers'!A419)&gt;0,ISNUMBER('Providers'!S419)),1,0)</f>
        <v/>
      </c>
      <c r="B2919">
        <f>B2918+A2919</f>
        <v/>
      </c>
      <c r="C2919">
        <f>IF(2916&gt;$B$4503,"",MATCH(2916-0.5,$B$3:$B$4503,1))</f>
        <v/>
      </c>
      <c r="D2919">
        <f>"Life support ("&amp;IF(LEN(INDEX('Providers'!$R$4:$R$503,416))=0,"",INDEX('Providers'!$R$4:$R$503,416))&amp;") – "&amp;IF(LEN(INDEX('Providers'!$A$4:$A$503,416))=0,"",INDEX('Providers'!$A$4:$A$503,416))</f>
        <v/>
      </c>
      <c r="E2919">
        <f>IF(ISNUMBER(INDEX('Providers'!$S$4:$S$503,416)),TEXT(INDEX('Providers'!$S$4:$S$503,416),"yyyy-mm-dd"),"")</f>
        <v/>
      </c>
      <c r="F2919">
        <f>"Certification"</f>
        <v/>
      </c>
      <c r="G2919">
        <f>""</f>
        <v/>
      </c>
      <c r="H2919">
        <f>"Medium"</f>
        <v/>
      </c>
      <c r="I2919">
        <f>TRIM(IF(LEN(IF(LEN(INDEX('Providers'!$R$4:$R$503,416))=0,"",INDEX('Providers'!$R$4:$R$503,416)))=0,"","Card: "&amp;IF(LEN(INDEX('Providers'!$R$4:$R$503,416))=0,"",INDEX('Providers'!$R$4:$R$503,416))&amp;". "))</f>
        <v/>
      </c>
      <c r="J2919">
        <f>IF(LEN(INDEX('Providers'!$AJ$4:$AJ$503,416))=0,"",INDEX('Providers'!$AJ$4:$AJ$503,416))</f>
        <v/>
      </c>
      <c r="K2919">
        <f>IF(LEN(INDEX('Providers'!$AI$4:$AI$503,416))=0,"",INDEX('Providers'!$AI$4:$AI$503,416))</f>
        <v/>
      </c>
    </row>
    <row r="2920">
      <c r="A2920">
        <f>IF(AND(LEN('Providers'!A420)&gt;0,ISNUMBER('Providers'!S420)),1,0)</f>
        <v/>
      </c>
      <c r="B2920">
        <f>B2919+A2920</f>
        <v/>
      </c>
      <c r="C2920">
        <f>IF(2917&gt;$B$4503,"",MATCH(2917-0.5,$B$3:$B$4503,1))</f>
        <v/>
      </c>
      <c r="D2920">
        <f>"Life support ("&amp;IF(LEN(INDEX('Providers'!$R$4:$R$503,417))=0,"",INDEX('Providers'!$R$4:$R$503,417))&amp;") – "&amp;IF(LEN(INDEX('Providers'!$A$4:$A$503,417))=0,"",INDEX('Providers'!$A$4:$A$503,417))</f>
        <v/>
      </c>
      <c r="E2920">
        <f>IF(ISNUMBER(INDEX('Providers'!$S$4:$S$503,417)),TEXT(INDEX('Providers'!$S$4:$S$503,417),"yyyy-mm-dd"),"")</f>
        <v/>
      </c>
      <c r="F2920">
        <f>"Certification"</f>
        <v/>
      </c>
      <c r="G2920">
        <f>""</f>
        <v/>
      </c>
      <c r="H2920">
        <f>"Medium"</f>
        <v/>
      </c>
      <c r="I2920">
        <f>TRIM(IF(LEN(IF(LEN(INDEX('Providers'!$R$4:$R$503,417))=0,"",INDEX('Providers'!$R$4:$R$503,417)))=0,"","Card: "&amp;IF(LEN(INDEX('Providers'!$R$4:$R$503,417))=0,"",INDEX('Providers'!$R$4:$R$503,417))&amp;". "))</f>
        <v/>
      </c>
      <c r="J2920">
        <f>IF(LEN(INDEX('Providers'!$AJ$4:$AJ$503,417))=0,"",INDEX('Providers'!$AJ$4:$AJ$503,417))</f>
        <v/>
      </c>
      <c r="K2920">
        <f>IF(LEN(INDEX('Providers'!$AI$4:$AI$503,417))=0,"",INDEX('Providers'!$AI$4:$AI$503,417))</f>
        <v/>
      </c>
    </row>
    <row r="2921">
      <c r="A2921">
        <f>IF(AND(LEN('Providers'!A421)&gt;0,ISNUMBER('Providers'!S421)),1,0)</f>
        <v/>
      </c>
      <c r="B2921">
        <f>B2920+A2921</f>
        <v/>
      </c>
      <c r="C2921">
        <f>IF(2918&gt;$B$4503,"",MATCH(2918-0.5,$B$3:$B$4503,1))</f>
        <v/>
      </c>
      <c r="D2921">
        <f>"Life support ("&amp;IF(LEN(INDEX('Providers'!$R$4:$R$503,418))=0,"",INDEX('Providers'!$R$4:$R$503,418))&amp;") – "&amp;IF(LEN(INDEX('Providers'!$A$4:$A$503,418))=0,"",INDEX('Providers'!$A$4:$A$503,418))</f>
        <v/>
      </c>
      <c r="E2921">
        <f>IF(ISNUMBER(INDEX('Providers'!$S$4:$S$503,418)),TEXT(INDEX('Providers'!$S$4:$S$503,418),"yyyy-mm-dd"),"")</f>
        <v/>
      </c>
      <c r="F2921">
        <f>"Certification"</f>
        <v/>
      </c>
      <c r="G2921">
        <f>""</f>
        <v/>
      </c>
      <c r="H2921">
        <f>"Medium"</f>
        <v/>
      </c>
      <c r="I2921">
        <f>TRIM(IF(LEN(IF(LEN(INDEX('Providers'!$R$4:$R$503,418))=0,"",INDEX('Providers'!$R$4:$R$503,418)))=0,"","Card: "&amp;IF(LEN(INDEX('Providers'!$R$4:$R$503,418))=0,"",INDEX('Providers'!$R$4:$R$503,418))&amp;". "))</f>
        <v/>
      </c>
      <c r="J2921">
        <f>IF(LEN(INDEX('Providers'!$AJ$4:$AJ$503,418))=0,"",INDEX('Providers'!$AJ$4:$AJ$503,418))</f>
        <v/>
      </c>
      <c r="K2921">
        <f>IF(LEN(INDEX('Providers'!$AI$4:$AI$503,418))=0,"",INDEX('Providers'!$AI$4:$AI$503,418))</f>
        <v/>
      </c>
    </row>
    <row r="2922">
      <c r="A2922">
        <f>IF(AND(LEN('Providers'!A422)&gt;0,ISNUMBER('Providers'!S422)),1,0)</f>
        <v/>
      </c>
      <c r="B2922">
        <f>B2921+A2922</f>
        <v/>
      </c>
      <c r="C2922">
        <f>IF(2919&gt;$B$4503,"",MATCH(2919-0.5,$B$3:$B$4503,1))</f>
        <v/>
      </c>
      <c r="D2922">
        <f>"Life support ("&amp;IF(LEN(INDEX('Providers'!$R$4:$R$503,419))=0,"",INDEX('Providers'!$R$4:$R$503,419))&amp;") – "&amp;IF(LEN(INDEX('Providers'!$A$4:$A$503,419))=0,"",INDEX('Providers'!$A$4:$A$503,419))</f>
        <v/>
      </c>
      <c r="E2922">
        <f>IF(ISNUMBER(INDEX('Providers'!$S$4:$S$503,419)),TEXT(INDEX('Providers'!$S$4:$S$503,419),"yyyy-mm-dd"),"")</f>
        <v/>
      </c>
      <c r="F2922">
        <f>"Certification"</f>
        <v/>
      </c>
      <c r="G2922">
        <f>""</f>
        <v/>
      </c>
      <c r="H2922">
        <f>"Medium"</f>
        <v/>
      </c>
      <c r="I2922">
        <f>TRIM(IF(LEN(IF(LEN(INDEX('Providers'!$R$4:$R$503,419))=0,"",INDEX('Providers'!$R$4:$R$503,419)))=0,"","Card: "&amp;IF(LEN(INDEX('Providers'!$R$4:$R$503,419))=0,"",INDEX('Providers'!$R$4:$R$503,419))&amp;". "))</f>
        <v/>
      </c>
      <c r="J2922">
        <f>IF(LEN(INDEX('Providers'!$AJ$4:$AJ$503,419))=0,"",INDEX('Providers'!$AJ$4:$AJ$503,419))</f>
        <v/>
      </c>
      <c r="K2922">
        <f>IF(LEN(INDEX('Providers'!$AI$4:$AI$503,419))=0,"",INDEX('Providers'!$AI$4:$AI$503,419))</f>
        <v/>
      </c>
    </row>
    <row r="2923">
      <c r="A2923">
        <f>IF(AND(LEN('Providers'!A423)&gt;0,ISNUMBER('Providers'!S423)),1,0)</f>
        <v/>
      </c>
      <c r="B2923">
        <f>B2922+A2923</f>
        <v/>
      </c>
      <c r="C2923">
        <f>IF(2920&gt;$B$4503,"",MATCH(2920-0.5,$B$3:$B$4503,1))</f>
        <v/>
      </c>
      <c r="D2923">
        <f>"Life support ("&amp;IF(LEN(INDEX('Providers'!$R$4:$R$503,420))=0,"",INDEX('Providers'!$R$4:$R$503,420))&amp;") – "&amp;IF(LEN(INDEX('Providers'!$A$4:$A$503,420))=0,"",INDEX('Providers'!$A$4:$A$503,420))</f>
        <v/>
      </c>
      <c r="E2923">
        <f>IF(ISNUMBER(INDEX('Providers'!$S$4:$S$503,420)),TEXT(INDEX('Providers'!$S$4:$S$503,420),"yyyy-mm-dd"),"")</f>
        <v/>
      </c>
      <c r="F2923">
        <f>"Certification"</f>
        <v/>
      </c>
      <c r="G2923">
        <f>""</f>
        <v/>
      </c>
      <c r="H2923">
        <f>"Medium"</f>
        <v/>
      </c>
      <c r="I2923">
        <f>TRIM(IF(LEN(IF(LEN(INDEX('Providers'!$R$4:$R$503,420))=0,"",INDEX('Providers'!$R$4:$R$503,420)))=0,"","Card: "&amp;IF(LEN(INDEX('Providers'!$R$4:$R$503,420))=0,"",INDEX('Providers'!$R$4:$R$503,420))&amp;". "))</f>
        <v/>
      </c>
      <c r="J2923">
        <f>IF(LEN(INDEX('Providers'!$AJ$4:$AJ$503,420))=0,"",INDEX('Providers'!$AJ$4:$AJ$503,420))</f>
        <v/>
      </c>
      <c r="K2923">
        <f>IF(LEN(INDEX('Providers'!$AI$4:$AI$503,420))=0,"",INDEX('Providers'!$AI$4:$AI$503,420))</f>
        <v/>
      </c>
    </row>
    <row r="2924">
      <c r="A2924">
        <f>IF(AND(LEN('Providers'!A424)&gt;0,ISNUMBER('Providers'!S424)),1,0)</f>
        <v/>
      </c>
      <c r="B2924">
        <f>B2923+A2924</f>
        <v/>
      </c>
      <c r="C2924">
        <f>IF(2921&gt;$B$4503,"",MATCH(2921-0.5,$B$3:$B$4503,1))</f>
        <v/>
      </c>
      <c r="D2924">
        <f>"Life support ("&amp;IF(LEN(INDEX('Providers'!$R$4:$R$503,421))=0,"",INDEX('Providers'!$R$4:$R$503,421))&amp;") – "&amp;IF(LEN(INDEX('Providers'!$A$4:$A$503,421))=0,"",INDEX('Providers'!$A$4:$A$503,421))</f>
        <v/>
      </c>
      <c r="E2924">
        <f>IF(ISNUMBER(INDEX('Providers'!$S$4:$S$503,421)),TEXT(INDEX('Providers'!$S$4:$S$503,421),"yyyy-mm-dd"),"")</f>
        <v/>
      </c>
      <c r="F2924">
        <f>"Certification"</f>
        <v/>
      </c>
      <c r="G2924">
        <f>""</f>
        <v/>
      </c>
      <c r="H2924">
        <f>"Medium"</f>
        <v/>
      </c>
      <c r="I2924">
        <f>TRIM(IF(LEN(IF(LEN(INDEX('Providers'!$R$4:$R$503,421))=0,"",INDEX('Providers'!$R$4:$R$503,421)))=0,"","Card: "&amp;IF(LEN(INDEX('Providers'!$R$4:$R$503,421))=0,"",INDEX('Providers'!$R$4:$R$503,421))&amp;". "))</f>
        <v/>
      </c>
      <c r="J2924">
        <f>IF(LEN(INDEX('Providers'!$AJ$4:$AJ$503,421))=0,"",INDEX('Providers'!$AJ$4:$AJ$503,421))</f>
        <v/>
      </c>
      <c r="K2924">
        <f>IF(LEN(INDEX('Providers'!$AI$4:$AI$503,421))=0,"",INDEX('Providers'!$AI$4:$AI$503,421))</f>
        <v/>
      </c>
    </row>
    <row r="2925">
      <c r="A2925">
        <f>IF(AND(LEN('Providers'!A425)&gt;0,ISNUMBER('Providers'!S425)),1,0)</f>
        <v/>
      </c>
      <c r="B2925">
        <f>B2924+A2925</f>
        <v/>
      </c>
      <c r="C2925">
        <f>IF(2922&gt;$B$4503,"",MATCH(2922-0.5,$B$3:$B$4503,1))</f>
        <v/>
      </c>
      <c r="D2925">
        <f>"Life support ("&amp;IF(LEN(INDEX('Providers'!$R$4:$R$503,422))=0,"",INDEX('Providers'!$R$4:$R$503,422))&amp;") – "&amp;IF(LEN(INDEX('Providers'!$A$4:$A$503,422))=0,"",INDEX('Providers'!$A$4:$A$503,422))</f>
        <v/>
      </c>
      <c r="E2925">
        <f>IF(ISNUMBER(INDEX('Providers'!$S$4:$S$503,422)),TEXT(INDEX('Providers'!$S$4:$S$503,422),"yyyy-mm-dd"),"")</f>
        <v/>
      </c>
      <c r="F2925">
        <f>"Certification"</f>
        <v/>
      </c>
      <c r="G2925">
        <f>""</f>
        <v/>
      </c>
      <c r="H2925">
        <f>"Medium"</f>
        <v/>
      </c>
      <c r="I2925">
        <f>TRIM(IF(LEN(IF(LEN(INDEX('Providers'!$R$4:$R$503,422))=0,"",INDEX('Providers'!$R$4:$R$503,422)))=0,"","Card: "&amp;IF(LEN(INDEX('Providers'!$R$4:$R$503,422))=0,"",INDEX('Providers'!$R$4:$R$503,422))&amp;". "))</f>
        <v/>
      </c>
      <c r="J2925">
        <f>IF(LEN(INDEX('Providers'!$AJ$4:$AJ$503,422))=0,"",INDEX('Providers'!$AJ$4:$AJ$503,422))</f>
        <v/>
      </c>
      <c r="K2925">
        <f>IF(LEN(INDEX('Providers'!$AI$4:$AI$503,422))=0,"",INDEX('Providers'!$AI$4:$AI$503,422))</f>
        <v/>
      </c>
    </row>
    <row r="2926">
      <c r="A2926">
        <f>IF(AND(LEN('Providers'!A426)&gt;0,ISNUMBER('Providers'!S426)),1,0)</f>
        <v/>
      </c>
      <c r="B2926">
        <f>B2925+A2926</f>
        <v/>
      </c>
      <c r="C2926">
        <f>IF(2923&gt;$B$4503,"",MATCH(2923-0.5,$B$3:$B$4503,1))</f>
        <v/>
      </c>
      <c r="D2926">
        <f>"Life support ("&amp;IF(LEN(INDEX('Providers'!$R$4:$R$503,423))=0,"",INDEX('Providers'!$R$4:$R$503,423))&amp;") – "&amp;IF(LEN(INDEX('Providers'!$A$4:$A$503,423))=0,"",INDEX('Providers'!$A$4:$A$503,423))</f>
        <v/>
      </c>
      <c r="E2926">
        <f>IF(ISNUMBER(INDEX('Providers'!$S$4:$S$503,423)),TEXT(INDEX('Providers'!$S$4:$S$503,423),"yyyy-mm-dd"),"")</f>
        <v/>
      </c>
      <c r="F2926">
        <f>"Certification"</f>
        <v/>
      </c>
      <c r="G2926">
        <f>""</f>
        <v/>
      </c>
      <c r="H2926">
        <f>"Medium"</f>
        <v/>
      </c>
      <c r="I2926">
        <f>TRIM(IF(LEN(IF(LEN(INDEX('Providers'!$R$4:$R$503,423))=0,"",INDEX('Providers'!$R$4:$R$503,423)))=0,"","Card: "&amp;IF(LEN(INDEX('Providers'!$R$4:$R$503,423))=0,"",INDEX('Providers'!$R$4:$R$503,423))&amp;". "))</f>
        <v/>
      </c>
      <c r="J2926">
        <f>IF(LEN(INDEX('Providers'!$AJ$4:$AJ$503,423))=0,"",INDEX('Providers'!$AJ$4:$AJ$503,423))</f>
        <v/>
      </c>
      <c r="K2926">
        <f>IF(LEN(INDEX('Providers'!$AI$4:$AI$503,423))=0,"",INDEX('Providers'!$AI$4:$AI$503,423))</f>
        <v/>
      </c>
    </row>
    <row r="2927">
      <c r="A2927">
        <f>IF(AND(LEN('Providers'!A427)&gt;0,ISNUMBER('Providers'!S427)),1,0)</f>
        <v/>
      </c>
      <c r="B2927">
        <f>B2926+A2927</f>
        <v/>
      </c>
      <c r="C2927">
        <f>IF(2924&gt;$B$4503,"",MATCH(2924-0.5,$B$3:$B$4503,1))</f>
        <v/>
      </c>
      <c r="D2927">
        <f>"Life support ("&amp;IF(LEN(INDEX('Providers'!$R$4:$R$503,424))=0,"",INDEX('Providers'!$R$4:$R$503,424))&amp;") – "&amp;IF(LEN(INDEX('Providers'!$A$4:$A$503,424))=0,"",INDEX('Providers'!$A$4:$A$503,424))</f>
        <v/>
      </c>
      <c r="E2927">
        <f>IF(ISNUMBER(INDEX('Providers'!$S$4:$S$503,424)),TEXT(INDEX('Providers'!$S$4:$S$503,424),"yyyy-mm-dd"),"")</f>
        <v/>
      </c>
      <c r="F2927">
        <f>"Certification"</f>
        <v/>
      </c>
      <c r="G2927">
        <f>""</f>
        <v/>
      </c>
      <c r="H2927">
        <f>"Medium"</f>
        <v/>
      </c>
      <c r="I2927">
        <f>TRIM(IF(LEN(IF(LEN(INDEX('Providers'!$R$4:$R$503,424))=0,"",INDEX('Providers'!$R$4:$R$503,424)))=0,"","Card: "&amp;IF(LEN(INDEX('Providers'!$R$4:$R$503,424))=0,"",INDEX('Providers'!$R$4:$R$503,424))&amp;". "))</f>
        <v/>
      </c>
      <c r="J2927">
        <f>IF(LEN(INDEX('Providers'!$AJ$4:$AJ$503,424))=0,"",INDEX('Providers'!$AJ$4:$AJ$503,424))</f>
        <v/>
      </c>
      <c r="K2927">
        <f>IF(LEN(INDEX('Providers'!$AI$4:$AI$503,424))=0,"",INDEX('Providers'!$AI$4:$AI$503,424))</f>
        <v/>
      </c>
    </row>
    <row r="2928">
      <c r="A2928">
        <f>IF(AND(LEN('Providers'!A428)&gt;0,ISNUMBER('Providers'!S428)),1,0)</f>
        <v/>
      </c>
      <c r="B2928">
        <f>B2927+A2928</f>
        <v/>
      </c>
      <c r="C2928">
        <f>IF(2925&gt;$B$4503,"",MATCH(2925-0.5,$B$3:$B$4503,1))</f>
        <v/>
      </c>
      <c r="D2928">
        <f>"Life support ("&amp;IF(LEN(INDEX('Providers'!$R$4:$R$503,425))=0,"",INDEX('Providers'!$R$4:$R$503,425))&amp;") – "&amp;IF(LEN(INDEX('Providers'!$A$4:$A$503,425))=0,"",INDEX('Providers'!$A$4:$A$503,425))</f>
        <v/>
      </c>
      <c r="E2928">
        <f>IF(ISNUMBER(INDEX('Providers'!$S$4:$S$503,425)),TEXT(INDEX('Providers'!$S$4:$S$503,425),"yyyy-mm-dd"),"")</f>
        <v/>
      </c>
      <c r="F2928">
        <f>"Certification"</f>
        <v/>
      </c>
      <c r="G2928">
        <f>""</f>
        <v/>
      </c>
      <c r="H2928">
        <f>"Medium"</f>
        <v/>
      </c>
      <c r="I2928">
        <f>TRIM(IF(LEN(IF(LEN(INDEX('Providers'!$R$4:$R$503,425))=0,"",INDEX('Providers'!$R$4:$R$503,425)))=0,"","Card: "&amp;IF(LEN(INDEX('Providers'!$R$4:$R$503,425))=0,"",INDEX('Providers'!$R$4:$R$503,425))&amp;". "))</f>
        <v/>
      </c>
      <c r="J2928">
        <f>IF(LEN(INDEX('Providers'!$AJ$4:$AJ$503,425))=0,"",INDEX('Providers'!$AJ$4:$AJ$503,425))</f>
        <v/>
      </c>
      <c r="K2928">
        <f>IF(LEN(INDEX('Providers'!$AI$4:$AI$503,425))=0,"",INDEX('Providers'!$AI$4:$AI$503,425))</f>
        <v/>
      </c>
    </row>
    <row r="2929">
      <c r="A2929">
        <f>IF(AND(LEN('Providers'!A429)&gt;0,ISNUMBER('Providers'!S429)),1,0)</f>
        <v/>
      </c>
      <c r="B2929">
        <f>B2928+A2929</f>
        <v/>
      </c>
      <c r="C2929">
        <f>IF(2926&gt;$B$4503,"",MATCH(2926-0.5,$B$3:$B$4503,1))</f>
        <v/>
      </c>
      <c r="D2929">
        <f>"Life support ("&amp;IF(LEN(INDEX('Providers'!$R$4:$R$503,426))=0,"",INDEX('Providers'!$R$4:$R$503,426))&amp;") – "&amp;IF(LEN(INDEX('Providers'!$A$4:$A$503,426))=0,"",INDEX('Providers'!$A$4:$A$503,426))</f>
        <v/>
      </c>
      <c r="E2929">
        <f>IF(ISNUMBER(INDEX('Providers'!$S$4:$S$503,426)),TEXT(INDEX('Providers'!$S$4:$S$503,426),"yyyy-mm-dd"),"")</f>
        <v/>
      </c>
      <c r="F2929">
        <f>"Certification"</f>
        <v/>
      </c>
      <c r="G2929">
        <f>""</f>
        <v/>
      </c>
      <c r="H2929">
        <f>"Medium"</f>
        <v/>
      </c>
      <c r="I2929">
        <f>TRIM(IF(LEN(IF(LEN(INDEX('Providers'!$R$4:$R$503,426))=0,"",INDEX('Providers'!$R$4:$R$503,426)))=0,"","Card: "&amp;IF(LEN(INDEX('Providers'!$R$4:$R$503,426))=0,"",INDEX('Providers'!$R$4:$R$503,426))&amp;". "))</f>
        <v/>
      </c>
      <c r="J2929">
        <f>IF(LEN(INDEX('Providers'!$AJ$4:$AJ$503,426))=0,"",INDEX('Providers'!$AJ$4:$AJ$503,426))</f>
        <v/>
      </c>
      <c r="K2929">
        <f>IF(LEN(INDEX('Providers'!$AI$4:$AI$503,426))=0,"",INDEX('Providers'!$AI$4:$AI$503,426))</f>
        <v/>
      </c>
    </row>
    <row r="2930">
      <c r="A2930">
        <f>IF(AND(LEN('Providers'!A430)&gt;0,ISNUMBER('Providers'!S430)),1,0)</f>
        <v/>
      </c>
      <c r="B2930">
        <f>B2929+A2930</f>
        <v/>
      </c>
      <c r="C2930">
        <f>IF(2927&gt;$B$4503,"",MATCH(2927-0.5,$B$3:$B$4503,1))</f>
        <v/>
      </c>
      <c r="D2930">
        <f>"Life support ("&amp;IF(LEN(INDEX('Providers'!$R$4:$R$503,427))=0,"",INDEX('Providers'!$R$4:$R$503,427))&amp;") – "&amp;IF(LEN(INDEX('Providers'!$A$4:$A$503,427))=0,"",INDEX('Providers'!$A$4:$A$503,427))</f>
        <v/>
      </c>
      <c r="E2930">
        <f>IF(ISNUMBER(INDEX('Providers'!$S$4:$S$503,427)),TEXT(INDEX('Providers'!$S$4:$S$503,427),"yyyy-mm-dd"),"")</f>
        <v/>
      </c>
      <c r="F2930">
        <f>"Certification"</f>
        <v/>
      </c>
      <c r="G2930">
        <f>""</f>
        <v/>
      </c>
      <c r="H2930">
        <f>"Medium"</f>
        <v/>
      </c>
      <c r="I2930">
        <f>TRIM(IF(LEN(IF(LEN(INDEX('Providers'!$R$4:$R$503,427))=0,"",INDEX('Providers'!$R$4:$R$503,427)))=0,"","Card: "&amp;IF(LEN(INDEX('Providers'!$R$4:$R$503,427))=0,"",INDEX('Providers'!$R$4:$R$503,427))&amp;". "))</f>
        <v/>
      </c>
      <c r="J2930">
        <f>IF(LEN(INDEX('Providers'!$AJ$4:$AJ$503,427))=0,"",INDEX('Providers'!$AJ$4:$AJ$503,427))</f>
        <v/>
      </c>
      <c r="K2930">
        <f>IF(LEN(INDEX('Providers'!$AI$4:$AI$503,427))=0,"",INDEX('Providers'!$AI$4:$AI$503,427))</f>
        <v/>
      </c>
    </row>
    <row r="2931">
      <c r="A2931">
        <f>IF(AND(LEN('Providers'!A431)&gt;0,ISNUMBER('Providers'!S431)),1,0)</f>
        <v/>
      </c>
      <c r="B2931">
        <f>B2930+A2931</f>
        <v/>
      </c>
      <c r="C2931">
        <f>IF(2928&gt;$B$4503,"",MATCH(2928-0.5,$B$3:$B$4503,1))</f>
        <v/>
      </c>
      <c r="D2931">
        <f>"Life support ("&amp;IF(LEN(INDEX('Providers'!$R$4:$R$503,428))=0,"",INDEX('Providers'!$R$4:$R$503,428))&amp;") – "&amp;IF(LEN(INDEX('Providers'!$A$4:$A$503,428))=0,"",INDEX('Providers'!$A$4:$A$503,428))</f>
        <v/>
      </c>
      <c r="E2931">
        <f>IF(ISNUMBER(INDEX('Providers'!$S$4:$S$503,428)),TEXT(INDEX('Providers'!$S$4:$S$503,428),"yyyy-mm-dd"),"")</f>
        <v/>
      </c>
      <c r="F2931">
        <f>"Certification"</f>
        <v/>
      </c>
      <c r="G2931">
        <f>""</f>
        <v/>
      </c>
      <c r="H2931">
        <f>"Medium"</f>
        <v/>
      </c>
      <c r="I2931">
        <f>TRIM(IF(LEN(IF(LEN(INDEX('Providers'!$R$4:$R$503,428))=0,"",INDEX('Providers'!$R$4:$R$503,428)))=0,"","Card: "&amp;IF(LEN(INDEX('Providers'!$R$4:$R$503,428))=0,"",INDEX('Providers'!$R$4:$R$503,428))&amp;". "))</f>
        <v/>
      </c>
      <c r="J2931">
        <f>IF(LEN(INDEX('Providers'!$AJ$4:$AJ$503,428))=0,"",INDEX('Providers'!$AJ$4:$AJ$503,428))</f>
        <v/>
      </c>
      <c r="K2931">
        <f>IF(LEN(INDEX('Providers'!$AI$4:$AI$503,428))=0,"",INDEX('Providers'!$AI$4:$AI$503,428))</f>
        <v/>
      </c>
    </row>
    <row r="2932">
      <c r="A2932">
        <f>IF(AND(LEN('Providers'!A432)&gt;0,ISNUMBER('Providers'!S432)),1,0)</f>
        <v/>
      </c>
      <c r="B2932">
        <f>B2931+A2932</f>
        <v/>
      </c>
      <c r="C2932">
        <f>IF(2929&gt;$B$4503,"",MATCH(2929-0.5,$B$3:$B$4503,1))</f>
        <v/>
      </c>
      <c r="D2932">
        <f>"Life support ("&amp;IF(LEN(INDEX('Providers'!$R$4:$R$503,429))=0,"",INDEX('Providers'!$R$4:$R$503,429))&amp;") – "&amp;IF(LEN(INDEX('Providers'!$A$4:$A$503,429))=0,"",INDEX('Providers'!$A$4:$A$503,429))</f>
        <v/>
      </c>
      <c r="E2932">
        <f>IF(ISNUMBER(INDEX('Providers'!$S$4:$S$503,429)),TEXT(INDEX('Providers'!$S$4:$S$503,429),"yyyy-mm-dd"),"")</f>
        <v/>
      </c>
      <c r="F2932">
        <f>"Certification"</f>
        <v/>
      </c>
      <c r="G2932">
        <f>""</f>
        <v/>
      </c>
      <c r="H2932">
        <f>"Medium"</f>
        <v/>
      </c>
      <c r="I2932">
        <f>TRIM(IF(LEN(IF(LEN(INDEX('Providers'!$R$4:$R$503,429))=0,"",INDEX('Providers'!$R$4:$R$503,429)))=0,"","Card: "&amp;IF(LEN(INDEX('Providers'!$R$4:$R$503,429))=0,"",INDEX('Providers'!$R$4:$R$503,429))&amp;". "))</f>
        <v/>
      </c>
      <c r="J2932">
        <f>IF(LEN(INDEX('Providers'!$AJ$4:$AJ$503,429))=0,"",INDEX('Providers'!$AJ$4:$AJ$503,429))</f>
        <v/>
      </c>
      <c r="K2932">
        <f>IF(LEN(INDEX('Providers'!$AI$4:$AI$503,429))=0,"",INDEX('Providers'!$AI$4:$AI$503,429))</f>
        <v/>
      </c>
    </row>
    <row r="2933">
      <c r="A2933">
        <f>IF(AND(LEN('Providers'!A433)&gt;0,ISNUMBER('Providers'!S433)),1,0)</f>
        <v/>
      </c>
      <c r="B2933">
        <f>B2932+A2933</f>
        <v/>
      </c>
      <c r="C2933">
        <f>IF(2930&gt;$B$4503,"",MATCH(2930-0.5,$B$3:$B$4503,1))</f>
        <v/>
      </c>
      <c r="D2933">
        <f>"Life support ("&amp;IF(LEN(INDEX('Providers'!$R$4:$R$503,430))=0,"",INDEX('Providers'!$R$4:$R$503,430))&amp;") – "&amp;IF(LEN(INDEX('Providers'!$A$4:$A$503,430))=0,"",INDEX('Providers'!$A$4:$A$503,430))</f>
        <v/>
      </c>
      <c r="E2933">
        <f>IF(ISNUMBER(INDEX('Providers'!$S$4:$S$503,430)),TEXT(INDEX('Providers'!$S$4:$S$503,430),"yyyy-mm-dd"),"")</f>
        <v/>
      </c>
      <c r="F2933">
        <f>"Certification"</f>
        <v/>
      </c>
      <c r="G2933">
        <f>""</f>
        <v/>
      </c>
      <c r="H2933">
        <f>"Medium"</f>
        <v/>
      </c>
      <c r="I2933">
        <f>TRIM(IF(LEN(IF(LEN(INDEX('Providers'!$R$4:$R$503,430))=0,"",INDEX('Providers'!$R$4:$R$503,430)))=0,"","Card: "&amp;IF(LEN(INDEX('Providers'!$R$4:$R$503,430))=0,"",INDEX('Providers'!$R$4:$R$503,430))&amp;". "))</f>
        <v/>
      </c>
      <c r="J2933">
        <f>IF(LEN(INDEX('Providers'!$AJ$4:$AJ$503,430))=0,"",INDEX('Providers'!$AJ$4:$AJ$503,430))</f>
        <v/>
      </c>
      <c r="K2933">
        <f>IF(LEN(INDEX('Providers'!$AI$4:$AI$503,430))=0,"",INDEX('Providers'!$AI$4:$AI$503,430))</f>
        <v/>
      </c>
    </row>
    <row r="2934">
      <c r="A2934">
        <f>IF(AND(LEN('Providers'!A434)&gt;0,ISNUMBER('Providers'!S434)),1,0)</f>
        <v/>
      </c>
      <c r="B2934">
        <f>B2933+A2934</f>
        <v/>
      </c>
      <c r="C2934">
        <f>IF(2931&gt;$B$4503,"",MATCH(2931-0.5,$B$3:$B$4503,1))</f>
        <v/>
      </c>
      <c r="D2934">
        <f>"Life support ("&amp;IF(LEN(INDEX('Providers'!$R$4:$R$503,431))=0,"",INDEX('Providers'!$R$4:$R$503,431))&amp;") – "&amp;IF(LEN(INDEX('Providers'!$A$4:$A$503,431))=0,"",INDEX('Providers'!$A$4:$A$503,431))</f>
        <v/>
      </c>
      <c r="E2934">
        <f>IF(ISNUMBER(INDEX('Providers'!$S$4:$S$503,431)),TEXT(INDEX('Providers'!$S$4:$S$503,431),"yyyy-mm-dd"),"")</f>
        <v/>
      </c>
      <c r="F2934">
        <f>"Certification"</f>
        <v/>
      </c>
      <c r="G2934">
        <f>""</f>
        <v/>
      </c>
      <c r="H2934">
        <f>"Medium"</f>
        <v/>
      </c>
      <c r="I2934">
        <f>TRIM(IF(LEN(IF(LEN(INDEX('Providers'!$R$4:$R$503,431))=0,"",INDEX('Providers'!$R$4:$R$503,431)))=0,"","Card: "&amp;IF(LEN(INDEX('Providers'!$R$4:$R$503,431))=0,"",INDEX('Providers'!$R$4:$R$503,431))&amp;". "))</f>
        <v/>
      </c>
      <c r="J2934">
        <f>IF(LEN(INDEX('Providers'!$AJ$4:$AJ$503,431))=0,"",INDEX('Providers'!$AJ$4:$AJ$503,431))</f>
        <v/>
      </c>
      <c r="K2934">
        <f>IF(LEN(INDEX('Providers'!$AI$4:$AI$503,431))=0,"",INDEX('Providers'!$AI$4:$AI$503,431))</f>
        <v/>
      </c>
    </row>
    <row r="2935">
      <c r="A2935">
        <f>IF(AND(LEN('Providers'!A435)&gt;0,ISNUMBER('Providers'!S435)),1,0)</f>
        <v/>
      </c>
      <c r="B2935">
        <f>B2934+A2935</f>
        <v/>
      </c>
      <c r="C2935">
        <f>IF(2932&gt;$B$4503,"",MATCH(2932-0.5,$B$3:$B$4503,1))</f>
        <v/>
      </c>
      <c r="D2935">
        <f>"Life support ("&amp;IF(LEN(INDEX('Providers'!$R$4:$R$503,432))=0,"",INDEX('Providers'!$R$4:$R$503,432))&amp;") – "&amp;IF(LEN(INDEX('Providers'!$A$4:$A$503,432))=0,"",INDEX('Providers'!$A$4:$A$503,432))</f>
        <v/>
      </c>
      <c r="E2935">
        <f>IF(ISNUMBER(INDEX('Providers'!$S$4:$S$503,432)),TEXT(INDEX('Providers'!$S$4:$S$503,432),"yyyy-mm-dd"),"")</f>
        <v/>
      </c>
      <c r="F2935">
        <f>"Certification"</f>
        <v/>
      </c>
      <c r="G2935">
        <f>""</f>
        <v/>
      </c>
      <c r="H2935">
        <f>"Medium"</f>
        <v/>
      </c>
      <c r="I2935">
        <f>TRIM(IF(LEN(IF(LEN(INDEX('Providers'!$R$4:$R$503,432))=0,"",INDEX('Providers'!$R$4:$R$503,432)))=0,"","Card: "&amp;IF(LEN(INDEX('Providers'!$R$4:$R$503,432))=0,"",INDEX('Providers'!$R$4:$R$503,432))&amp;". "))</f>
        <v/>
      </c>
      <c r="J2935">
        <f>IF(LEN(INDEX('Providers'!$AJ$4:$AJ$503,432))=0,"",INDEX('Providers'!$AJ$4:$AJ$503,432))</f>
        <v/>
      </c>
      <c r="K2935">
        <f>IF(LEN(INDEX('Providers'!$AI$4:$AI$503,432))=0,"",INDEX('Providers'!$AI$4:$AI$503,432))</f>
        <v/>
      </c>
    </row>
    <row r="2936">
      <c r="A2936">
        <f>IF(AND(LEN('Providers'!A436)&gt;0,ISNUMBER('Providers'!S436)),1,0)</f>
        <v/>
      </c>
      <c r="B2936">
        <f>B2935+A2936</f>
        <v/>
      </c>
      <c r="C2936">
        <f>IF(2933&gt;$B$4503,"",MATCH(2933-0.5,$B$3:$B$4503,1))</f>
        <v/>
      </c>
      <c r="D2936">
        <f>"Life support ("&amp;IF(LEN(INDEX('Providers'!$R$4:$R$503,433))=0,"",INDEX('Providers'!$R$4:$R$503,433))&amp;") – "&amp;IF(LEN(INDEX('Providers'!$A$4:$A$503,433))=0,"",INDEX('Providers'!$A$4:$A$503,433))</f>
        <v/>
      </c>
      <c r="E2936">
        <f>IF(ISNUMBER(INDEX('Providers'!$S$4:$S$503,433)),TEXT(INDEX('Providers'!$S$4:$S$503,433),"yyyy-mm-dd"),"")</f>
        <v/>
      </c>
      <c r="F2936">
        <f>"Certification"</f>
        <v/>
      </c>
      <c r="G2936">
        <f>""</f>
        <v/>
      </c>
      <c r="H2936">
        <f>"Medium"</f>
        <v/>
      </c>
      <c r="I2936">
        <f>TRIM(IF(LEN(IF(LEN(INDEX('Providers'!$R$4:$R$503,433))=0,"",INDEX('Providers'!$R$4:$R$503,433)))=0,"","Card: "&amp;IF(LEN(INDEX('Providers'!$R$4:$R$503,433))=0,"",INDEX('Providers'!$R$4:$R$503,433))&amp;". "))</f>
        <v/>
      </c>
      <c r="J2936">
        <f>IF(LEN(INDEX('Providers'!$AJ$4:$AJ$503,433))=0,"",INDEX('Providers'!$AJ$4:$AJ$503,433))</f>
        <v/>
      </c>
      <c r="K2936">
        <f>IF(LEN(INDEX('Providers'!$AI$4:$AI$503,433))=0,"",INDEX('Providers'!$AI$4:$AI$503,433))</f>
        <v/>
      </c>
    </row>
    <row r="2937">
      <c r="A2937">
        <f>IF(AND(LEN('Providers'!A437)&gt;0,ISNUMBER('Providers'!S437)),1,0)</f>
        <v/>
      </c>
      <c r="B2937">
        <f>B2936+A2937</f>
        <v/>
      </c>
      <c r="C2937">
        <f>IF(2934&gt;$B$4503,"",MATCH(2934-0.5,$B$3:$B$4503,1))</f>
        <v/>
      </c>
      <c r="D2937">
        <f>"Life support ("&amp;IF(LEN(INDEX('Providers'!$R$4:$R$503,434))=0,"",INDEX('Providers'!$R$4:$R$503,434))&amp;") – "&amp;IF(LEN(INDEX('Providers'!$A$4:$A$503,434))=0,"",INDEX('Providers'!$A$4:$A$503,434))</f>
        <v/>
      </c>
      <c r="E2937">
        <f>IF(ISNUMBER(INDEX('Providers'!$S$4:$S$503,434)),TEXT(INDEX('Providers'!$S$4:$S$503,434),"yyyy-mm-dd"),"")</f>
        <v/>
      </c>
      <c r="F2937">
        <f>"Certification"</f>
        <v/>
      </c>
      <c r="G2937">
        <f>""</f>
        <v/>
      </c>
      <c r="H2937">
        <f>"Medium"</f>
        <v/>
      </c>
      <c r="I2937">
        <f>TRIM(IF(LEN(IF(LEN(INDEX('Providers'!$R$4:$R$503,434))=0,"",INDEX('Providers'!$R$4:$R$503,434)))=0,"","Card: "&amp;IF(LEN(INDEX('Providers'!$R$4:$R$503,434))=0,"",INDEX('Providers'!$R$4:$R$503,434))&amp;". "))</f>
        <v/>
      </c>
      <c r="J2937">
        <f>IF(LEN(INDEX('Providers'!$AJ$4:$AJ$503,434))=0,"",INDEX('Providers'!$AJ$4:$AJ$503,434))</f>
        <v/>
      </c>
      <c r="K2937">
        <f>IF(LEN(INDEX('Providers'!$AI$4:$AI$503,434))=0,"",INDEX('Providers'!$AI$4:$AI$503,434))</f>
        <v/>
      </c>
    </row>
    <row r="2938">
      <c r="A2938">
        <f>IF(AND(LEN('Providers'!A438)&gt;0,ISNUMBER('Providers'!S438)),1,0)</f>
        <v/>
      </c>
      <c r="B2938">
        <f>B2937+A2938</f>
        <v/>
      </c>
      <c r="C2938">
        <f>IF(2935&gt;$B$4503,"",MATCH(2935-0.5,$B$3:$B$4503,1))</f>
        <v/>
      </c>
      <c r="D2938">
        <f>"Life support ("&amp;IF(LEN(INDEX('Providers'!$R$4:$R$503,435))=0,"",INDEX('Providers'!$R$4:$R$503,435))&amp;") – "&amp;IF(LEN(INDEX('Providers'!$A$4:$A$503,435))=0,"",INDEX('Providers'!$A$4:$A$503,435))</f>
        <v/>
      </c>
      <c r="E2938">
        <f>IF(ISNUMBER(INDEX('Providers'!$S$4:$S$503,435)),TEXT(INDEX('Providers'!$S$4:$S$503,435),"yyyy-mm-dd"),"")</f>
        <v/>
      </c>
      <c r="F2938">
        <f>"Certification"</f>
        <v/>
      </c>
      <c r="G2938">
        <f>""</f>
        <v/>
      </c>
      <c r="H2938">
        <f>"Medium"</f>
        <v/>
      </c>
      <c r="I2938">
        <f>TRIM(IF(LEN(IF(LEN(INDEX('Providers'!$R$4:$R$503,435))=0,"",INDEX('Providers'!$R$4:$R$503,435)))=0,"","Card: "&amp;IF(LEN(INDEX('Providers'!$R$4:$R$503,435))=0,"",INDEX('Providers'!$R$4:$R$503,435))&amp;". "))</f>
        <v/>
      </c>
      <c r="J2938">
        <f>IF(LEN(INDEX('Providers'!$AJ$4:$AJ$503,435))=0,"",INDEX('Providers'!$AJ$4:$AJ$503,435))</f>
        <v/>
      </c>
      <c r="K2938">
        <f>IF(LEN(INDEX('Providers'!$AI$4:$AI$503,435))=0,"",INDEX('Providers'!$AI$4:$AI$503,435))</f>
        <v/>
      </c>
    </row>
    <row r="2939">
      <c r="A2939">
        <f>IF(AND(LEN('Providers'!A439)&gt;0,ISNUMBER('Providers'!S439)),1,0)</f>
        <v/>
      </c>
      <c r="B2939">
        <f>B2938+A2939</f>
        <v/>
      </c>
      <c r="C2939">
        <f>IF(2936&gt;$B$4503,"",MATCH(2936-0.5,$B$3:$B$4503,1))</f>
        <v/>
      </c>
      <c r="D2939">
        <f>"Life support ("&amp;IF(LEN(INDEX('Providers'!$R$4:$R$503,436))=0,"",INDEX('Providers'!$R$4:$R$503,436))&amp;") – "&amp;IF(LEN(INDEX('Providers'!$A$4:$A$503,436))=0,"",INDEX('Providers'!$A$4:$A$503,436))</f>
        <v/>
      </c>
      <c r="E2939">
        <f>IF(ISNUMBER(INDEX('Providers'!$S$4:$S$503,436)),TEXT(INDEX('Providers'!$S$4:$S$503,436),"yyyy-mm-dd"),"")</f>
        <v/>
      </c>
      <c r="F2939">
        <f>"Certification"</f>
        <v/>
      </c>
      <c r="G2939">
        <f>""</f>
        <v/>
      </c>
      <c r="H2939">
        <f>"Medium"</f>
        <v/>
      </c>
      <c r="I2939">
        <f>TRIM(IF(LEN(IF(LEN(INDEX('Providers'!$R$4:$R$503,436))=0,"",INDEX('Providers'!$R$4:$R$503,436)))=0,"","Card: "&amp;IF(LEN(INDEX('Providers'!$R$4:$R$503,436))=0,"",INDEX('Providers'!$R$4:$R$503,436))&amp;". "))</f>
        <v/>
      </c>
      <c r="J2939">
        <f>IF(LEN(INDEX('Providers'!$AJ$4:$AJ$503,436))=0,"",INDEX('Providers'!$AJ$4:$AJ$503,436))</f>
        <v/>
      </c>
      <c r="K2939">
        <f>IF(LEN(INDEX('Providers'!$AI$4:$AI$503,436))=0,"",INDEX('Providers'!$AI$4:$AI$503,436))</f>
        <v/>
      </c>
    </row>
    <row r="2940">
      <c r="A2940">
        <f>IF(AND(LEN('Providers'!A440)&gt;0,ISNUMBER('Providers'!S440)),1,0)</f>
        <v/>
      </c>
      <c r="B2940">
        <f>B2939+A2940</f>
        <v/>
      </c>
      <c r="C2940">
        <f>IF(2937&gt;$B$4503,"",MATCH(2937-0.5,$B$3:$B$4503,1))</f>
        <v/>
      </c>
      <c r="D2940">
        <f>"Life support ("&amp;IF(LEN(INDEX('Providers'!$R$4:$R$503,437))=0,"",INDEX('Providers'!$R$4:$R$503,437))&amp;") – "&amp;IF(LEN(INDEX('Providers'!$A$4:$A$503,437))=0,"",INDEX('Providers'!$A$4:$A$503,437))</f>
        <v/>
      </c>
      <c r="E2940">
        <f>IF(ISNUMBER(INDEX('Providers'!$S$4:$S$503,437)),TEXT(INDEX('Providers'!$S$4:$S$503,437),"yyyy-mm-dd"),"")</f>
        <v/>
      </c>
      <c r="F2940">
        <f>"Certification"</f>
        <v/>
      </c>
      <c r="G2940">
        <f>""</f>
        <v/>
      </c>
      <c r="H2940">
        <f>"Medium"</f>
        <v/>
      </c>
      <c r="I2940">
        <f>TRIM(IF(LEN(IF(LEN(INDEX('Providers'!$R$4:$R$503,437))=0,"",INDEX('Providers'!$R$4:$R$503,437)))=0,"","Card: "&amp;IF(LEN(INDEX('Providers'!$R$4:$R$503,437))=0,"",INDEX('Providers'!$R$4:$R$503,437))&amp;". "))</f>
        <v/>
      </c>
      <c r="J2940">
        <f>IF(LEN(INDEX('Providers'!$AJ$4:$AJ$503,437))=0,"",INDEX('Providers'!$AJ$4:$AJ$503,437))</f>
        <v/>
      </c>
      <c r="K2940">
        <f>IF(LEN(INDEX('Providers'!$AI$4:$AI$503,437))=0,"",INDEX('Providers'!$AI$4:$AI$503,437))</f>
        <v/>
      </c>
    </row>
    <row r="2941">
      <c r="A2941">
        <f>IF(AND(LEN('Providers'!A441)&gt;0,ISNUMBER('Providers'!S441)),1,0)</f>
        <v/>
      </c>
      <c r="B2941">
        <f>B2940+A2941</f>
        <v/>
      </c>
      <c r="C2941">
        <f>IF(2938&gt;$B$4503,"",MATCH(2938-0.5,$B$3:$B$4503,1))</f>
        <v/>
      </c>
      <c r="D2941">
        <f>"Life support ("&amp;IF(LEN(INDEX('Providers'!$R$4:$R$503,438))=0,"",INDEX('Providers'!$R$4:$R$503,438))&amp;") – "&amp;IF(LEN(INDEX('Providers'!$A$4:$A$503,438))=0,"",INDEX('Providers'!$A$4:$A$503,438))</f>
        <v/>
      </c>
      <c r="E2941">
        <f>IF(ISNUMBER(INDEX('Providers'!$S$4:$S$503,438)),TEXT(INDEX('Providers'!$S$4:$S$503,438),"yyyy-mm-dd"),"")</f>
        <v/>
      </c>
      <c r="F2941">
        <f>"Certification"</f>
        <v/>
      </c>
      <c r="G2941">
        <f>""</f>
        <v/>
      </c>
      <c r="H2941">
        <f>"Medium"</f>
        <v/>
      </c>
      <c r="I2941">
        <f>TRIM(IF(LEN(IF(LEN(INDEX('Providers'!$R$4:$R$503,438))=0,"",INDEX('Providers'!$R$4:$R$503,438)))=0,"","Card: "&amp;IF(LEN(INDEX('Providers'!$R$4:$R$503,438))=0,"",INDEX('Providers'!$R$4:$R$503,438))&amp;". "))</f>
        <v/>
      </c>
      <c r="J2941">
        <f>IF(LEN(INDEX('Providers'!$AJ$4:$AJ$503,438))=0,"",INDEX('Providers'!$AJ$4:$AJ$503,438))</f>
        <v/>
      </c>
      <c r="K2941">
        <f>IF(LEN(INDEX('Providers'!$AI$4:$AI$503,438))=0,"",INDEX('Providers'!$AI$4:$AI$503,438))</f>
        <v/>
      </c>
    </row>
    <row r="2942">
      <c r="A2942">
        <f>IF(AND(LEN('Providers'!A442)&gt;0,ISNUMBER('Providers'!S442)),1,0)</f>
        <v/>
      </c>
      <c r="B2942">
        <f>B2941+A2942</f>
        <v/>
      </c>
      <c r="C2942">
        <f>IF(2939&gt;$B$4503,"",MATCH(2939-0.5,$B$3:$B$4503,1))</f>
        <v/>
      </c>
      <c r="D2942">
        <f>"Life support ("&amp;IF(LEN(INDEX('Providers'!$R$4:$R$503,439))=0,"",INDEX('Providers'!$R$4:$R$503,439))&amp;") – "&amp;IF(LEN(INDEX('Providers'!$A$4:$A$503,439))=0,"",INDEX('Providers'!$A$4:$A$503,439))</f>
        <v/>
      </c>
      <c r="E2942">
        <f>IF(ISNUMBER(INDEX('Providers'!$S$4:$S$503,439)),TEXT(INDEX('Providers'!$S$4:$S$503,439),"yyyy-mm-dd"),"")</f>
        <v/>
      </c>
      <c r="F2942">
        <f>"Certification"</f>
        <v/>
      </c>
      <c r="G2942">
        <f>""</f>
        <v/>
      </c>
      <c r="H2942">
        <f>"Medium"</f>
        <v/>
      </c>
      <c r="I2942">
        <f>TRIM(IF(LEN(IF(LEN(INDEX('Providers'!$R$4:$R$503,439))=0,"",INDEX('Providers'!$R$4:$R$503,439)))=0,"","Card: "&amp;IF(LEN(INDEX('Providers'!$R$4:$R$503,439))=0,"",INDEX('Providers'!$R$4:$R$503,439))&amp;". "))</f>
        <v/>
      </c>
      <c r="J2942">
        <f>IF(LEN(INDEX('Providers'!$AJ$4:$AJ$503,439))=0,"",INDEX('Providers'!$AJ$4:$AJ$503,439))</f>
        <v/>
      </c>
      <c r="K2942">
        <f>IF(LEN(INDEX('Providers'!$AI$4:$AI$503,439))=0,"",INDEX('Providers'!$AI$4:$AI$503,439))</f>
        <v/>
      </c>
    </row>
    <row r="2943">
      <c r="A2943">
        <f>IF(AND(LEN('Providers'!A443)&gt;0,ISNUMBER('Providers'!S443)),1,0)</f>
        <v/>
      </c>
      <c r="B2943">
        <f>B2942+A2943</f>
        <v/>
      </c>
      <c r="C2943">
        <f>IF(2940&gt;$B$4503,"",MATCH(2940-0.5,$B$3:$B$4503,1))</f>
        <v/>
      </c>
      <c r="D2943">
        <f>"Life support ("&amp;IF(LEN(INDEX('Providers'!$R$4:$R$503,440))=0,"",INDEX('Providers'!$R$4:$R$503,440))&amp;") – "&amp;IF(LEN(INDEX('Providers'!$A$4:$A$503,440))=0,"",INDEX('Providers'!$A$4:$A$503,440))</f>
        <v/>
      </c>
      <c r="E2943">
        <f>IF(ISNUMBER(INDEX('Providers'!$S$4:$S$503,440)),TEXT(INDEX('Providers'!$S$4:$S$503,440),"yyyy-mm-dd"),"")</f>
        <v/>
      </c>
      <c r="F2943">
        <f>"Certification"</f>
        <v/>
      </c>
      <c r="G2943">
        <f>""</f>
        <v/>
      </c>
      <c r="H2943">
        <f>"Medium"</f>
        <v/>
      </c>
      <c r="I2943">
        <f>TRIM(IF(LEN(IF(LEN(INDEX('Providers'!$R$4:$R$503,440))=0,"",INDEX('Providers'!$R$4:$R$503,440)))=0,"","Card: "&amp;IF(LEN(INDEX('Providers'!$R$4:$R$503,440))=0,"",INDEX('Providers'!$R$4:$R$503,440))&amp;". "))</f>
        <v/>
      </c>
      <c r="J2943">
        <f>IF(LEN(INDEX('Providers'!$AJ$4:$AJ$503,440))=0,"",INDEX('Providers'!$AJ$4:$AJ$503,440))</f>
        <v/>
      </c>
      <c r="K2943">
        <f>IF(LEN(INDEX('Providers'!$AI$4:$AI$503,440))=0,"",INDEX('Providers'!$AI$4:$AI$503,440))</f>
        <v/>
      </c>
    </row>
    <row r="2944">
      <c r="A2944">
        <f>IF(AND(LEN('Providers'!A444)&gt;0,ISNUMBER('Providers'!S444)),1,0)</f>
        <v/>
      </c>
      <c r="B2944">
        <f>B2943+A2944</f>
        <v/>
      </c>
      <c r="C2944">
        <f>IF(2941&gt;$B$4503,"",MATCH(2941-0.5,$B$3:$B$4503,1))</f>
        <v/>
      </c>
      <c r="D2944">
        <f>"Life support ("&amp;IF(LEN(INDEX('Providers'!$R$4:$R$503,441))=0,"",INDEX('Providers'!$R$4:$R$503,441))&amp;") – "&amp;IF(LEN(INDEX('Providers'!$A$4:$A$503,441))=0,"",INDEX('Providers'!$A$4:$A$503,441))</f>
        <v/>
      </c>
      <c r="E2944">
        <f>IF(ISNUMBER(INDEX('Providers'!$S$4:$S$503,441)),TEXT(INDEX('Providers'!$S$4:$S$503,441),"yyyy-mm-dd"),"")</f>
        <v/>
      </c>
      <c r="F2944">
        <f>"Certification"</f>
        <v/>
      </c>
      <c r="G2944">
        <f>""</f>
        <v/>
      </c>
      <c r="H2944">
        <f>"Medium"</f>
        <v/>
      </c>
      <c r="I2944">
        <f>TRIM(IF(LEN(IF(LEN(INDEX('Providers'!$R$4:$R$503,441))=0,"",INDEX('Providers'!$R$4:$R$503,441)))=0,"","Card: "&amp;IF(LEN(INDEX('Providers'!$R$4:$R$503,441))=0,"",INDEX('Providers'!$R$4:$R$503,441))&amp;". "))</f>
        <v/>
      </c>
      <c r="J2944">
        <f>IF(LEN(INDEX('Providers'!$AJ$4:$AJ$503,441))=0,"",INDEX('Providers'!$AJ$4:$AJ$503,441))</f>
        <v/>
      </c>
      <c r="K2944">
        <f>IF(LEN(INDEX('Providers'!$AI$4:$AI$503,441))=0,"",INDEX('Providers'!$AI$4:$AI$503,441))</f>
        <v/>
      </c>
    </row>
    <row r="2945">
      <c r="A2945">
        <f>IF(AND(LEN('Providers'!A445)&gt;0,ISNUMBER('Providers'!S445)),1,0)</f>
        <v/>
      </c>
      <c r="B2945">
        <f>B2944+A2945</f>
        <v/>
      </c>
      <c r="C2945">
        <f>IF(2942&gt;$B$4503,"",MATCH(2942-0.5,$B$3:$B$4503,1))</f>
        <v/>
      </c>
      <c r="D2945">
        <f>"Life support ("&amp;IF(LEN(INDEX('Providers'!$R$4:$R$503,442))=0,"",INDEX('Providers'!$R$4:$R$503,442))&amp;") – "&amp;IF(LEN(INDEX('Providers'!$A$4:$A$503,442))=0,"",INDEX('Providers'!$A$4:$A$503,442))</f>
        <v/>
      </c>
      <c r="E2945">
        <f>IF(ISNUMBER(INDEX('Providers'!$S$4:$S$503,442)),TEXT(INDEX('Providers'!$S$4:$S$503,442),"yyyy-mm-dd"),"")</f>
        <v/>
      </c>
      <c r="F2945">
        <f>"Certification"</f>
        <v/>
      </c>
      <c r="G2945">
        <f>""</f>
        <v/>
      </c>
      <c r="H2945">
        <f>"Medium"</f>
        <v/>
      </c>
      <c r="I2945">
        <f>TRIM(IF(LEN(IF(LEN(INDEX('Providers'!$R$4:$R$503,442))=0,"",INDEX('Providers'!$R$4:$R$503,442)))=0,"","Card: "&amp;IF(LEN(INDEX('Providers'!$R$4:$R$503,442))=0,"",INDEX('Providers'!$R$4:$R$503,442))&amp;". "))</f>
        <v/>
      </c>
      <c r="J2945">
        <f>IF(LEN(INDEX('Providers'!$AJ$4:$AJ$503,442))=0,"",INDEX('Providers'!$AJ$4:$AJ$503,442))</f>
        <v/>
      </c>
      <c r="K2945">
        <f>IF(LEN(INDEX('Providers'!$AI$4:$AI$503,442))=0,"",INDEX('Providers'!$AI$4:$AI$503,442))</f>
        <v/>
      </c>
    </row>
    <row r="2946">
      <c r="A2946">
        <f>IF(AND(LEN('Providers'!A446)&gt;0,ISNUMBER('Providers'!S446)),1,0)</f>
        <v/>
      </c>
      <c r="B2946">
        <f>B2945+A2946</f>
        <v/>
      </c>
      <c r="C2946">
        <f>IF(2943&gt;$B$4503,"",MATCH(2943-0.5,$B$3:$B$4503,1))</f>
        <v/>
      </c>
      <c r="D2946">
        <f>"Life support ("&amp;IF(LEN(INDEX('Providers'!$R$4:$R$503,443))=0,"",INDEX('Providers'!$R$4:$R$503,443))&amp;") – "&amp;IF(LEN(INDEX('Providers'!$A$4:$A$503,443))=0,"",INDEX('Providers'!$A$4:$A$503,443))</f>
        <v/>
      </c>
      <c r="E2946">
        <f>IF(ISNUMBER(INDEX('Providers'!$S$4:$S$503,443)),TEXT(INDEX('Providers'!$S$4:$S$503,443),"yyyy-mm-dd"),"")</f>
        <v/>
      </c>
      <c r="F2946">
        <f>"Certification"</f>
        <v/>
      </c>
      <c r="G2946">
        <f>""</f>
        <v/>
      </c>
      <c r="H2946">
        <f>"Medium"</f>
        <v/>
      </c>
      <c r="I2946">
        <f>TRIM(IF(LEN(IF(LEN(INDEX('Providers'!$R$4:$R$503,443))=0,"",INDEX('Providers'!$R$4:$R$503,443)))=0,"","Card: "&amp;IF(LEN(INDEX('Providers'!$R$4:$R$503,443))=0,"",INDEX('Providers'!$R$4:$R$503,443))&amp;". "))</f>
        <v/>
      </c>
      <c r="J2946">
        <f>IF(LEN(INDEX('Providers'!$AJ$4:$AJ$503,443))=0,"",INDEX('Providers'!$AJ$4:$AJ$503,443))</f>
        <v/>
      </c>
      <c r="K2946">
        <f>IF(LEN(INDEX('Providers'!$AI$4:$AI$503,443))=0,"",INDEX('Providers'!$AI$4:$AI$503,443))</f>
        <v/>
      </c>
    </row>
    <row r="2947">
      <c r="A2947">
        <f>IF(AND(LEN('Providers'!A447)&gt;0,ISNUMBER('Providers'!S447)),1,0)</f>
        <v/>
      </c>
      <c r="B2947">
        <f>B2946+A2947</f>
        <v/>
      </c>
      <c r="C2947">
        <f>IF(2944&gt;$B$4503,"",MATCH(2944-0.5,$B$3:$B$4503,1))</f>
        <v/>
      </c>
      <c r="D2947">
        <f>"Life support ("&amp;IF(LEN(INDEX('Providers'!$R$4:$R$503,444))=0,"",INDEX('Providers'!$R$4:$R$503,444))&amp;") – "&amp;IF(LEN(INDEX('Providers'!$A$4:$A$503,444))=0,"",INDEX('Providers'!$A$4:$A$503,444))</f>
        <v/>
      </c>
      <c r="E2947">
        <f>IF(ISNUMBER(INDEX('Providers'!$S$4:$S$503,444)),TEXT(INDEX('Providers'!$S$4:$S$503,444),"yyyy-mm-dd"),"")</f>
        <v/>
      </c>
      <c r="F2947">
        <f>"Certification"</f>
        <v/>
      </c>
      <c r="G2947">
        <f>""</f>
        <v/>
      </c>
      <c r="H2947">
        <f>"Medium"</f>
        <v/>
      </c>
      <c r="I2947">
        <f>TRIM(IF(LEN(IF(LEN(INDEX('Providers'!$R$4:$R$503,444))=0,"",INDEX('Providers'!$R$4:$R$503,444)))=0,"","Card: "&amp;IF(LEN(INDEX('Providers'!$R$4:$R$503,444))=0,"",INDEX('Providers'!$R$4:$R$503,444))&amp;". "))</f>
        <v/>
      </c>
      <c r="J2947">
        <f>IF(LEN(INDEX('Providers'!$AJ$4:$AJ$503,444))=0,"",INDEX('Providers'!$AJ$4:$AJ$503,444))</f>
        <v/>
      </c>
      <c r="K2947">
        <f>IF(LEN(INDEX('Providers'!$AI$4:$AI$503,444))=0,"",INDEX('Providers'!$AI$4:$AI$503,444))</f>
        <v/>
      </c>
    </row>
    <row r="2948">
      <c r="A2948">
        <f>IF(AND(LEN('Providers'!A448)&gt;0,ISNUMBER('Providers'!S448)),1,0)</f>
        <v/>
      </c>
      <c r="B2948">
        <f>B2947+A2948</f>
        <v/>
      </c>
      <c r="C2948">
        <f>IF(2945&gt;$B$4503,"",MATCH(2945-0.5,$B$3:$B$4503,1))</f>
        <v/>
      </c>
      <c r="D2948">
        <f>"Life support ("&amp;IF(LEN(INDEX('Providers'!$R$4:$R$503,445))=0,"",INDEX('Providers'!$R$4:$R$503,445))&amp;") – "&amp;IF(LEN(INDEX('Providers'!$A$4:$A$503,445))=0,"",INDEX('Providers'!$A$4:$A$503,445))</f>
        <v/>
      </c>
      <c r="E2948">
        <f>IF(ISNUMBER(INDEX('Providers'!$S$4:$S$503,445)),TEXT(INDEX('Providers'!$S$4:$S$503,445),"yyyy-mm-dd"),"")</f>
        <v/>
      </c>
      <c r="F2948">
        <f>"Certification"</f>
        <v/>
      </c>
      <c r="G2948">
        <f>""</f>
        <v/>
      </c>
      <c r="H2948">
        <f>"Medium"</f>
        <v/>
      </c>
      <c r="I2948">
        <f>TRIM(IF(LEN(IF(LEN(INDEX('Providers'!$R$4:$R$503,445))=0,"",INDEX('Providers'!$R$4:$R$503,445)))=0,"","Card: "&amp;IF(LEN(INDEX('Providers'!$R$4:$R$503,445))=0,"",INDEX('Providers'!$R$4:$R$503,445))&amp;". "))</f>
        <v/>
      </c>
      <c r="J2948">
        <f>IF(LEN(INDEX('Providers'!$AJ$4:$AJ$503,445))=0,"",INDEX('Providers'!$AJ$4:$AJ$503,445))</f>
        <v/>
      </c>
      <c r="K2948">
        <f>IF(LEN(INDEX('Providers'!$AI$4:$AI$503,445))=0,"",INDEX('Providers'!$AI$4:$AI$503,445))</f>
        <v/>
      </c>
    </row>
    <row r="2949">
      <c r="A2949">
        <f>IF(AND(LEN('Providers'!A449)&gt;0,ISNUMBER('Providers'!S449)),1,0)</f>
        <v/>
      </c>
      <c r="B2949">
        <f>B2948+A2949</f>
        <v/>
      </c>
      <c r="C2949">
        <f>IF(2946&gt;$B$4503,"",MATCH(2946-0.5,$B$3:$B$4503,1))</f>
        <v/>
      </c>
      <c r="D2949">
        <f>"Life support ("&amp;IF(LEN(INDEX('Providers'!$R$4:$R$503,446))=0,"",INDEX('Providers'!$R$4:$R$503,446))&amp;") – "&amp;IF(LEN(INDEX('Providers'!$A$4:$A$503,446))=0,"",INDEX('Providers'!$A$4:$A$503,446))</f>
        <v/>
      </c>
      <c r="E2949">
        <f>IF(ISNUMBER(INDEX('Providers'!$S$4:$S$503,446)),TEXT(INDEX('Providers'!$S$4:$S$503,446),"yyyy-mm-dd"),"")</f>
        <v/>
      </c>
      <c r="F2949">
        <f>"Certification"</f>
        <v/>
      </c>
      <c r="G2949">
        <f>""</f>
        <v/>
      </c>
      <c r="H2949">
        <f>"Medium"</f>
        <v/>
      </c>
      <c r="I2949">
        <f>TRIM(IF(LEN(IF(LEN(INDEX('Providers'!$R$4:$R$503,446))=0,"",INDEX('Providers'!$R$4:$R$503,446)))=0,"","Card: "&amp;IF(LEN(INDEX('Providers'!$R$4:$R$503,446))=0,"",INDEX('Providers'!$R$4:$R$503,446))&amp;". "))</f>
        <v/>
      </c>
      <c r="J2949">
        <f>IF(LEN(INDEX('Providers'!$AJ$4:$AJ$503,446))=0,"",INDEX('Providers'!$AJ$4:$AJ$503,446))</f>
        <v/>
      </c>
      <c r="K2949">
        <f>IF(LEN(INDEX('Providers'!$AI$4:$AI$503,446))=0,"",INDEX('Providers'!$AI$4:$AI$503,446))</f>
        <v/>
      </c>
    </row>
    <row r="2950">
      <c r="A2950">
        <f>IF(AND(LEN('Providers'!A450)&gt;0,ISNUMBER('Providers'!S450)),1,0)</f>
        <v/>
      </c>
      <c r="B2950">
        <f>B2949+A2950</f>
        <v/>
      </c>
      <c r="C2950">
        <f>IF(2947&gt;$B$4503,"",MATCH(2947-0.5,$B$3:$B$4503,1))</f>
        <v/>
      </c>
      <c r="D2950">
        <f>"Life support ("&amp;IF(LEN(INDEX('Providers'!$R$4:$R$503,447))=0,"",INDEX('Providers'!$R$4:$R$503,447))&amp;") – "&amp;IF(LEN(INDEX('Providers'!$A$4:$A$503,447))=0,"",INDEX('Providers'!$A$4:$A$503,447))</f>
        <v/>
      </c>
      <c r="E2950">
        <f>IF(ISNUMBER(INDEX('Providers'!$S$4:$S$503,447)),TEXT(INDEX('Providers'!$S$4:$S$503,447),"yyyy-mm-dd"),"")</f>
        <v/>
      </c>
      <c r="F2950">
        <f>"Certification"</f>
        <v/>
      </c>
      <c r="G2950">
        <f>""</f>
        <v/>
      </c>
      <c r="H2950">
        <f>"Medium"</f>
        <v/>
      </c>
      <c r="I2950">
        <f>TRIM(IF(LEN(IF(LEN(INDEX('Providers'!$R$4:$R$503,447))=0,"",INDEX('Providers'!$R$4:$R$503,447)))=0,"","Card: "&amp;IF(LEN(INDEX('Providers'!$R$4:$R$503,447))=0,"",INDEX('Providers'!$R$4:$R$503,447))&amp;". "))</f>
        <v/>
      </c>
      <c r="J2950">
        <f>IF(LEN(INDEX('Providers'!$AJ$4:$AJ$503,447))=0,"",INDEX('Providers'!$AJ$4:$AJ$503,447))</f>
        <v/>
      </c>
      <c r="K2950">
        <f>IF(LEN(INDEX('Providers'!$AI$4:$AI$503,447))=0,"",INDEX('Providers'!$AI$4:$AI$503,447))</f>
        <v/>
      </c>
    </row>
    <row r="2951">
      <c r="A2951">
        <f>IF(AND(LEN('Providers'!A451)&gt;0,ISNUMBER('Providers'!S451)),1,0)</f>
        <v/>
      </c>
      <c r="B2951">
        <f>B2950+A2951</f>
        <v/>
      </c>
      <c r="C2951">
        <f>IF(2948&gt;$B$4503,"",MATCH(2948-0.5,$B$3:$B$4503,1))</f>
        <v/>
      </c>
      <c r="D2951">
        <f>"Life support ("&amp;IF(LEN(INDEX('Providers'!$R$4:$R$503,448))=0,"",INDEX('Providers'!$R$4:$R$503,448))&amp;") – "&amp;IF(LEN(INDEX('Providers'!$A$4:$A$503,448))=0,"",INDEX('Providers'!$A$4:$A$503,448))</f>
        <v/>
      </c>
      <c r="E2951">
        <f>IF(ISNUMBER(INDEX('Providers'!$S$4:$S$503,448)),TEXT(INDEX('Providers'!$S$4:$S$503,448),"yyyy-mm-dd"),"")</f>
        <v/>
      </c>
      <c r="F2951">
        <f>"Certification"</f>
        <v/>
      </c>
      <c r="G2951">
        <f>""</f>
        <v/>
      </c>
      <c r="H2951">
        <f>"Medium"</f>
        <v/>
      </c>
      <c r="I2951">
        <f>TRIM(IF(LEN(IF(LEN(INDEX('Providers'!$R$4:$R$503,448))=0,"",INDEX('Providers'!$R$4:$R$503,448)))=0,"","Card: "&amp;IF(LEN(INDEX('Providers'!$R$4:$R$503,448))=0,"",INDEX('Providers'!$R$4:$R$503,448))&amp;". "))</f>
        <v/>
      </c>
      <c r="J2951">
        <f>IF(LEN(INDEX('Providers'!$AJ$4:$AJ$503,448))=0,"",INDEX('Providers'!$AJ$4:$AJ$503,448))</f>
        <v/>
      </c>
      <c r="K2951">
        <f>IF(LEN(INDEX('Providers'!$AI$4:$AI$503,448))=0,"",INDEX('Providers'!$AI$4:$AI$503,448))</f>
        <v/>
      </c>
    </row>
    <row r="2952">
      <c r="A2952">
        <f>IF(AND(LEN('Providers'!A452)&gt;0,ISNUMBER('Providers'!S452)),1,0)</f>
        <v/>
      </c>
      <c r="B2952">
        <f>B2951+A2952</f>
        <v/>
      </c>
      <c r="C2952">
        <f>IF(2949&gt;$B$4503,"",MATCH(2949-0.5,$B$3:$B$4503,1))</f>
        <v/>
      </c>
      <c r="D2952">
        <f>"Life support ("&amp;IF(LEN(INDEX('Providers'!$R$4:$R$503,449))=0,"",INDEX('Providers'!$R$4:$R$503,449))&amp;") – "&amp;IF(LEN(INDEX('Providers'!$A$4:$A$503,449))=0,"",INDEX('Providers'!$A$4:$A$503,449))</f>
        <v/>
      </c>
      <c r="E2952">
        <f>IF(ISNUMBER(INDEX('Providers'!$S$4:$S$503,449)),TEXT(INDEX('Providers'!$S$4:$S$503,449),"yyyy-mm-dd"),"")</f>
        <v/>
      </c>
      <c r="F2952">
        <f>"Certification"</f>
        <v/>
      </c>
      <c r="G2952">
        <f>""</f>
        <v/>
      </c>
      <c r="H2952">
        <f>"Medium"</f>
        <v/>
      </c>
      <c r="I2952">
        <f>TRIM(IF(LEN(IF(LEN(INDEX('Providers'!$R$4:$R$503,449))=0,"",INDEX('Providers'!$R$4:$R$503,449)))=0,"","Card: "&amp;IF(LEN(INDEX('Providers'!$R$4:$R$503,449))=0,"",INDEX('Providers'!$R$4:$R$503,449))&amp;". "))</f>
        <v/>
      </c>
      <c r="J2952">
        <f>IF(LEN(INDEX('Providers'!$AJ$4:$AJ$503,449))=0,"",INDEX('Providers'!$AJ$4:$AJ$503,449))</f>
        <v/>
      </c>
      <c r="K2952">
        <f>IF(LEN(INDEX('Providers'!$AI$4:$AI$503,449))=0,"",INDEX('Providers'!$AI$4:$AI$503,449))</f>
        <v/>
      </c>
    </row>
    <row r="2953">
      <c r="A2953">
        <f>IF(AND(LEN('Providers'!A453)&gt;0,ISNUMBER('Providers'!S453)),1,0)</f>
        <v/>
      </c>
      <c r="B2953">
        <f>B2952+A2953</f>
        <v/>
      </c>
      <c r="C2953">
        <f>IF(2950&gt;$B$4503,"",MATCH(2950-0.5,$B$3:$B$4503,1))</f>
        <v/>
      </c>
      <c r="D2953">
        <f>"Life support ("&amp;IF(LEN(INDEX('Providers'!$R$4:$R$503,450))=0,"",INDEX('Providers'!$R$4:$R$503,450))&amp;") – "&amp;IF(LEN(INDEX('Providers'!$A$4:$A$503,450))=0,"",INDEX('Providers'!$A$4:$A$503,450))</f>
        <v/>
      </c>
      <c r="E2953">
        <f>IF(ISNUMBER(INDEX('Providers'!$S$4:$S$503,450)),TEXT(INDEX('Providers'!$S$4:$S$503,450),"yyyy-mm-dd"),"")</f>
        <v/>
      </c>
      <c r="F2953">
        <f>"Certification"</f>
        <v/>
      </c>
      <c r="G2953">
        <f>""</f>
        <v/>
      </c>
      <c r="H2953">
        <f>"Medium"</f>
        <v/>
      </c>
      <c r="I2953">
        <f>TRIM(IF(LEN(IF(LEN(INDEX('Providers'!$R$4:$R$503,450))=0,"",INDEX('Providers'!$R$4:$R$503,450)))=0,"","Card: "&amp;IF(LEN(INDEX('Providers'!$R$4:$R$503,450))=0,"",INDEX('Providers'!$R$4:$R$503,450))&amp;". "))</f>
        <v/>
      </c>
      <c r="J2953">
        <f>IF(LEN(INDEX('Providers'!$AJ$4:$AJ$503,450))=0,"",INDEX('Providers'!$AJ$4:$AJ$503,450))</f>
        <v/>
      </c>
      <c r="K2953">
        <f>IF(LEN(INDEX('Providers'!$AI$4:$AI$503,450))=0,"",INDEX('Providers'!$AI$4:$AI$503,450))</f>
        <v/>
      </c>
    </row>
    <row r="2954">
      <c r="A2954">
        <f>IF(AND(LEN('Providers'!A454)&gt;0,ISNUMBER('Providers'!S454)),1,0)</f>
        <v/>
      </c>
      <c r="B2954">
        <f>B2953+A2954</f>
        <v/>
      </c>
      <c r="C2954">
        <f>IF(2951&gt;$B$4503,"",MATCH(2951-0.5,$B$3:$B$4503,1))</f>
        <v/>
      </c>
      <c r="D2954">
        <f>"Life support ("&amp;IF(LEN(INDEX('Providers'!$R$4:$R$503,451))=0,"",INDEX('Providers'!$R$4:$R$503,451))&amp;") – "&amp;IF(LEN(INDEX('Providers'!$A$4:$A$503,451))=0,"",INDEX('Providers'!$A$4:$A$503,451))</f>
        <v/>
      </c>
      <c r="E2954">
        <f>IF(ISNUMBER(INDEX('Providers'!$S$4:$S$503,451)),TEXT(INDEX('Providers'!$S$4:$S$503,451),"yyyy-mm-dd"),"")</f>
        <v/>
      </c>
      <c r="F2954">
        <f>"Certification"</f>
        <v/>
      </c>
      <c r="G2954">
        <f>""</f>
        <v/>
      </c>
      <c r="H2954">
        <f>"Medium"</f>
        <v/>
      </c>
      <c r="I2954">
        <f>TRIM(IF(LEN(IF(LEN(INDEX('Providers'!$R$4:$R$503,451))=0,"",INDEX('Providers'!$R$4:$R$503,451)))=0,"","Card: "&amp;IF(LEN(INDEX('Providers'!$R$4:$R$503,451))=0,"",INDEX('Providers'!$R$4:$R$503,451))&amp;". "))</f>
        <v/>
      </c>
      <c r="J2954">
        <f>IF(LEN(INDEX('Providers'!$AJ$4:$AJ$503,451))=0,"",INDEX('Providers'!$AJ$4:$AJ$503,451))</f>
        <v/>
      </c>
      <c r="K2954">
        <f>IF(LEN(INDEX('Providers'!$AI$4:$AI$503,451))=0,"",INDEX('Providers'!$AI$4:$AI$503,451))</f>
        <v/>
      </c>
    </row>
    <row r="2955">
      <c r="A2955">
        <f>IF(AND(LEN('Providers'!A455)&gt;0,ISNUMBER('Providers'!S455)),1,0)</f>
        <v/>
      </c>
      <c r="B2955">
        <f>B2954+A2955</f>
        <v/>
      </c>
      <c r="C2955">
        <f>IF(2952&gt;$B$4503,"",MATCH(2952-0.5,$B$3:$B$4503,1))</f>
        <v/>
      </c>
      <c r="D2955">
        <f>"Life support ("&amp;IF(LEN(INDEX('Providers'!$R$4:$R$503,452))=0,"",INDEX('Providers'!$R$4:$R$503,452))&amp;") – "&amp;IF(LEN(INDEX('Providers'!$A$4:$A$503,452))=0,"",INDEX('Providers'!$A$4:$A$503,452))</f>
        <v/>
      </c>
      <c r="E2955">
        <f>IF(ISNUMBER(INDEX('Providers'!$S$4:$S$503,452)),TEXT(INDEX('Providers'!$S$4:$S$503,452),"yyyy-mm-dd"),"")</f>
        <v/>
      </c>
      <c r="F2955">
        <f>"Certification"</f>
        <v/>
      </c>
      <c r="G2955">
        <f>""</f>
        <v/>
      </c>
      <c r="H2955">
        <f>"Medium"</f>
        <v/>
      </c>
      <c r="I2955">
        <f>TRIM(IF(LEN(IF(LEN(INDEX('Providers'!$R$4:$R$503,452))=0,"",INDEX('Providers'!$R$4:$R$503,452)))=0,"","Card: "&amp;IF(LEN(INDEX('Providers'!$R$4:$R$503,452))=0,"",INDEX('Providers'!$R$4:$R$503,452))&amp;". "))</f>
        <v/>
      </c>
      <c r="J2955">
        <f>IF(LEN(INDEX('Providers'!$AJ$4:$AJ$503,452))=0,"",INDEX('Providers'!$AJ$4:$AJ$503,452))</f>
        <v/>
      </c>
      <c r="K2955">
        <f>IF(LEN(INDEX('Providers'!$AI$4:$AI$503,452))=0,"",INDEX('Providers'!$AI$4:$AI$503,452))</f>
        <v/>
      </c>
    </row>
    <row r="2956">
      <c r="A2956">
        <f>IF(AND(LEN('Providers'!A456)&gt;0,ISNUMBER('Providers'!S456)),1,0)</f>
        <v/>
      </c>
      <c r="B2956">
        <f>B2955+A2956</f>
        <v/>
      </c>
      <c r="C2956">
        <f>IF(2953&gt;$B$4503,"",MATCH(2953-0.5,$B$3:$B$4503,1))</f>
        <v/>
      </c>
      <c r="D2956">
        <f>"Life support ("&amp;IF(LEN(INDEX('Providers'!$R$4:$R$503,453))=0,"",INDEX('Providers'!$R$4:$R$503,453))&amp;") – "&amp;IF(LEN(INDEX('Providers'!$A$4:$A$503,453))=0,"",INDEX('Providers'!$A$4:$A$503,453))</f>
        <v/>
      </c>
      <c r="E2956">
        <f>IF(ISNUMBER(INDEX('Providers'!$S$4:$S$503,453)),TEXT(INDEX('Providers'!$S$4:$S$503,453),"yyyy-mm-dd"),"")</f>
        <v/>
      </c>
      <c r="F2956">
        <f>"Certification"</f>
        <v/>
      </c>
      <c r="G2956">
        <f>""</f>
        <v/>
      </c>
      <c r="H2956">
        <f>"Medium"</f>
        <v/>
      </c>
      <c r="I2956">
        <f>TRIM(IF(LEN(IF(LEN(INDEX('Providers'!$R$4:$R$503,453))=0,"",INDEX('Providers'!$R$4:$R$503,453)))=0,"","Card: "&amp;IF(LEN(INDEX('Providers'!$R$4:$R$503,453))=0,"",INDEX('Providers'!$R$4:$R$503,453))&amp;". "))</f>
        <v/>
      </c>
      <c r="J2956">
        <f>IF(LEN(INDEX('Providers'!$AJ$4:$AJ$503,453))=0,"",INDEX('Providers'!$AJ$4:$AJ$503,453))</f>
        <v/>
      </c>
      <c r="K2956">
        <f>IF(LEN(INDEX('Providers'!$AI$4:$AI$503,453))=0,"",INDEX('Providers'!$AI$4:$AI$503,453))</f>
        <v/>
      </c>
    </row>
    <row r="2957">
      <c r="A2957">
        <f>IF(AND(LEN('Providers'!A457)&gt;0,ISNUMBER('Providers'!S457)),1,0)</f>
        <v/>
      </c>
      <c r="B2957">
        <f>B2956+A2957</f>
        <v/>
      </c>
      <c r="C2957">
        <f>IF(2954&gt;$B$4503,"",MATCH(2954-0.5,$B$3:$B$4503,1))</f>
        <v/>
      </c>
      <c r="D2957">
        <f>"Life support ("&amp;IF(LEN(INDEX('Providers'!$R$4:$R$503,454))=0,"",INDEX('Providers'!$R$4:$R$503,454))&amp;") – "&amp;IF(LEN(INDEX('Providers'!$A$4:$A$503,454))=0,"",INDEX('Providers'!$A$4:$A$503,454))</f>
        <v/>
      </c>
      <c r="E2957">
        <f>IF(ISNUMBER(INDEX('Providers'!$S$4:$S$503,454)),TEXT(INDEX('Providers'!$S$4:$S$503,454),"yyyy-mm-dd"),"")</f>
        <v/>
      </c>
      <c r="F2957">
        <f>"Certification"</f>
        <v/>
      </c>
      <c r="G2957">
        <f>""</f>
        <v/>
      </c>
      <c r="H2957">
        <f>"Medium"</f>
        <v/>
      </c>
      <c r="I2957">
        <f>TRIM(IF(LEN(IF(LEN(INDEX('Providers'!$R$4:$R$503,454))=0,"",INDEX('Providers'!$R$4:$R$503,454)))=0,"","Card: "&amp;IF(LEN(INDEX('Providers'!$R$4:$R$503,454))=0,"",INDEX('Providers'!$R$4:$R$503,454))&amp;". "))</f>
        <v/>
      </c>
      <c r="J2957">
        <f>IF(LEN(INDEX('Providers'!$AJ$4:$AJ$503,454))=0,"",INDEX('Providers'!$AJ$4:$AJ$503,454))</f>
        <v/>
      </c>
      <c r="K2957">
        <f>IF(LEN(INDEX('Providers'!$AI$4:$AI$503,454))=0,"",INDEX('Providers'!$AI$4:$AI$503,454))</f>
        <v/>
      </c>
    </row>
    <row r="2958">
      <c r="A2958">
        <f>IF(AND(LEN('Providers'!A458)&gt;0,ISNUMBER('Providers'!S458)),1,0)</f>
        <v/>
      </c>
      <c r="B2958">
        <f>B2957+A2958</f>
        <v/>
      </c>
      <c r="C2958">
        <f>IF(2955&gt;$B$4503,"",MATCH(2955-0.5,$B$3:$B$4503,1))</f>
        <v/>
      </c>
      <c r="D2958">
        <f>"Life support ("&amp;IF(LEN(INDEX('Providers'!$R$4:$R$503,455))=0,"",INDEX('Providers'!$R$4:$R$503,455))&amp;") – "&amp;IF(LEN(INDEX('Providers'!$A$4:$A$503,455))=0,"",INDEX('Providers'!$A$4:$A$503,455))</f>
        <v/>
      </c>
      <c r="E2958">
        <f>IF(ISNUMBER(INDEX('Providers'!$S$4:$S$503,455)),TEXT(INDEX('Providers'!$S$4:$S$503,455),"yyyy-mm-dd"),"")</f>
        <v/>
      </c>
      <c r="F2958">
        <f>"Certification"</f>
        <v/>
      </c>
      <c r="G2958">
        <f>""</f>
        <v/>
      </c>
      <c r="H2958">
        <f>"Medium"</f>
        <v/>
      </c>
      <c r="I2958">
        <f>TRIM(IF(LEN(IF(LEN(INDEX('Providers'!$R$4:$R$503,455))=0,"",INDEX('Providers'!$R$4:$R$503,455)))=0,"","Card: "&amp;IF(LEN(INDEX('Providers'!$R$4:$R$503,455))=0,"",INDEX('Providers'!$R$4:$R$503,455))&amp;". "))</f>
        <v/>
      </c>
      <c r="J2958">
        <f>IF(LEN(INDEX('Providers'!$AJ$4:$AJ$503,455))=0,"",INDEX('Providers'!$AJ$4:$AJ$503,455))</f>
        <v/>
      </c>
      <c r="K2958">
        <f>IF(LEN(INDEX('Providers'!$AI$4:$AI$503,455))=0,"",INDEX('Providers'!$AI$4:$AI$503,455))</f>
        <v/>
      </c>
    </row>
    <row r="2959">
      <c r="A2959">
        <f>IF(AND(LEN('Providers'!A459)&gt;0,ISNUMBER('Providers'!S459)),1,0)</f>
        <v/>
      </c>
      <c r="B2959">
        <f>B2958+A2959</f>
        <v/>
      </c>
      <c r="C2959">
        <f>IF(2956&gt;$B$4503,"",MATCH(2956-0.5,$B$3:$B$4503,1))</f>
        <v/>
      </c>
      <c r="D2959">
        <f>"Life support ("&amp;IF(LEN(INDEX('Providers'!$R$4:$R$503,456))=0,"",INDEX('Providers'!$R$4:$R$503,456))&amp;") – "&amp;IF(LEN(INDEX('Providers'!$A$4:$A$503,456))=0,"",INDEX('Providers'!$A$4:$A$503,456))</f>
        <v/>
      </c>
      <c r="E2959">
        <f>IF(ISNUMBER(INDEX('Providers'!$S$4:$S$503,456)),TEXT(INDEX('Providers'!$S$4:$S$503,456),"yyyy-mm-dd"),"")</f>
        <v/>
      </c>
      <c r="F2959">
        <f>"Certification"</f>
        <v/>
      </c>
      <c r="G2959">
        <f>""</f>
        <v/>
      </c>
      <c r="H2959">
        <f>"Medium"</f>
        <v/>
      </c>
      <c r="I2959">
        <f>TRIM(IF(LEN(IF(LEN(INDEX('Providers'!$R$4:$R$503,456))=0,"",INDEX('Providers'!$R$4:$R$503,456)))=0,"","Card: "&amp;IF(LEN(INDEX('Providers'!$R$4:$R$503,456))=0,"",INDEX('Providers'!$R$4:$R$503,456))&amp;". "))</f>
        <v/>
      </c>
      <c r="J2959">
        <f>IF(LEN(INDEX('Providers'!$AJ$4:$AJ$503,456))=0,"",INDEX('Providers'!$AJ$4:$AJ$503,456))</f>
        <v/>
      </c>
      <c r="K2959">
        <f>IF(LEN(INDEX('Providers'!$AI$4:$AI$503,456))=0,"",INDEX('Providers'!$AI$4:$AI$503,456))</f>
        <v/>
      </c>
    </row>
    <row r="2960">
      <c r="A2960">
        <f>IF(AND(LEN('Providers'!A460)&gt;0,ISNUMBER('Providers'!S460)),1,0)</f>
        <v/>
      </c>
      <c r="B2960">
        <f>B2959+A2960</f>
        <v/>
      </c>
      <c r="C2960">
        <f>IF(2957&gt;$B$4503,"",MATCH(2957-0.5,$B$3:$B$4503,1))</f>
        <v/>
      </c>
      <c r="D2960">
        <f>"Life support ("&amp;IF(LEN(INDEX('Providers'!$R$4:$R$503,457))=0,"",INDEX('Providers'!$R$4:$R$503,457))&amp;") – "&amp;IF(LEN(INDEX('Providers'!$A$4:$A$503,457))=0,"",INDEX('Providers'!$A$4:$A$503,457))</f>
        <v/>
      </c>
      <c r="E2960">
        <f>IF(ISNUMBER(INDEX('Providers'!$S$4:$S$503,457)),TEXT(INDEX('Providers'!$S$4:$S$503,457),"yyyy-mm-dd"),"")</f>
        <v/>
      </c>
      <c r="F2960">
        <f>"Certification"</f>
        <v/>
      </c>
      <c r="G2960">
        <f>""</f>
        <v/>
      </c>
      <c r="H2960">
        <f>"Medium"</f>
        <v/>
      </c>
      <c r="I2960">
        <f>TRIM(IF(LEN(IF(LEN(INDEX('Providers'!$R$4:$R$503,457))=0,"",INDEX('Providers'!$R$4:$R$503,457)))=0,"","Card: "&amp;IF(LEN(INDEX('Providers'!$R$4:$R$503,457))=0,"",INDEX('Providers'!$R$4:$R$503,457))&amp;". "))</f>
        <v/>
      </c>
      <c r="J2960">
        <f>IF(LEN(INDEX('Providers'!$AJ$4:$AJ$503,457))=0,"",INDEX('Providers'!$AJ$4:$AJ$503,457))</f>
        <v/>
      </c>
      <c r="K2960">
        <f>IF(LEN(INDEX('Providers'!$AI$4:$AI$503,457))=0,"",INDEX('Providers'!$AI$4:$AI$503,457))</f>
        <v/>
      </c>
    </row>
    <row r="2961">
      <c r="A2961">
        <f>IF(AND(LEN('Providers'!A461)&gt;0,ISNUMBER('Providers'!S461)),1,0)</f>
        <v/>
      </c>
      <c r="B2961">
        <f>B2960+A2961</f>
        <v/>
      </c>
      <c r="C2961">
        <f>IF(2958&gt;$B$4503,"",MATCH(2958-0.5,$B$3:$B$4503,1))</f>
        <v/>
      </c>
      <c r="D2961">
        <f>"Life support ("&amp;IF(LEN(INDEX('Providers'!$R$4:$R$503,458))=0,"",INDEX('Providers'!$R$4:$R$503,458))&amp;") – "&amp;IF(LEN(INDEX('Providers'!$A$4:$A$503,458))=0,"",INDEX('Providers'!$A$4:$A$503,458))</f>
        <v/>
      </c>
      <c r="E2961">
        <f>IF(ISNUMBER(INDEX('Providers'!$S$4:$S$503,458)),TEXT(INDEX('Providers'!$S$4:$S$503,458),"yyyy-mm-dd"),"")</f>
        <v/>
      </c>
      <c r="F2961">
        <f>"Certification"</f>
        <v/>
      </c>
      <c r="G2961">
        <f>""</f>
        <v/>
      </c>
      <c r="H2961">
        <f>"Medium"</f>
        <v/>
      </c>
      <c r="I2961">
        <f>TRIM(IF(LEN(IF(LEN(INDEX('Providers'!$R$4:$R$503,458))=0,"",INDEX('Providers'!$R$4:$R$503,458)))=0,"","Card: "&amp;IF(LEN(INDEX('Providers'!$R$4:$R$503,458))=0,"",INDEX('Providers'!$R$4:$R$503,458))&amp;". "))</f>
        <v/>
      </c>
      <c r="J2961">
        <f>IF(LEN(INDEX('Providers'!$AJ$4:$AJ$503,458))=0,"",INDEX('Providers'!$AJ$4:$AJ$503,458))</f>
        <v/>
      </c>
      <c r="K2961">
        <f>IF(LEN(INDEX('Providers'!$AI$4:$AI$503,458))=0,"",INDEX('Providers'!$AI$4:$AI$503,458))</f>
        <v/>
      </c>
    </row>
    <row r="2962">
      <c r="A2962">
        <f>IF(AND(LEN('Providers'!A462)&gt;0,ISNUMBER('Providers'!S462)),1,0)</f>
        <v/>
      </c>
      <c r="B2962">
        <f>B2961+A2962</f>
        <v/>
      </c>
      <c r="C2962">
        <f>IF(2959&gt;$B$4503,"",MATCH(2959-0.5,$B$3:$B$4503,1))</f>
        <v/>
      </c>
      <c r="D2962">
        <f>"Life support ("&amp;IF(LEN(INDEX('Providers'!$R$4:$R$503,459))=0,"",INDEX('Providers'!$R$4:$R$503,459))&amp;") – "&amp;IF(LEN(INDEX('Providers'!$A$4:$A$503,459))=0,"",INDEX('Providers'!$A$4:$A$503,459))</f>
        <v/>
      </c>
      <c r="E2962">
        <f>IF(ISNUMBER(INDEX('Providers'!$S$4:$S$503,459)),TEXT(INDEX('Providers'!$S$4:$S$503,459),"yyyy-mm-dd"),"")</f>
        <v/>
      </c>
      <c r="F2962">
        <f>"Certification"</f>
        <v/>
      </c>
      <c r="G2962">
        <f>""</f>
        <v/>
      </c>
      <c r="H2962">
        <f>"Medium"</f>
        <v/>
      </c>
      <c r="I2962">
        <f>TRIM(IF(LEN(IF(LEN(INDEX('Providers'!$R$4:$R$503,459))=0,"",INDEX('Providers'!$R$4:$R$503,459)))=0,"","Card: "&amp;IF(LEN(INDEX('Providers'!$R$4:$R$503,459))=0,"",INDEX('Providers'!$R$4:$R$503,459))&amp;". "))</f>
        <v/>
      </c>
      <c r="J2962">
        <f>IF(LEN(INDEX('Providers'!$AJ$4:$AJ$503,459))=0,"",INDEX('Providers'!$AJ$4:$AJ$503,459))</f>
        <v/>
      </c>
      <c r="K2962">
        <f>IF(LEN(INDEX('Providers'!$AI$4:$AI$503,459))=0,"",INDEX('Providers'!$AI$4:$AI$503,459))</f>
        <v/>
      </c>
    </row>
    <row r="2963">
      <c r="A2963">
        <f>IF(AND(LEN('Providers'!A463)&gt;0,ISNUMBER('Providers'!S463)),1,0)</f>
        <v/>
      </c>
      <c r="B2963">
        <f>B2962+A2963</f>
        <v/>
      </c>
      <c r="C2963">
        <f>IF(2960&gt;$B$4503,"",MATCH(2960-0.5,$B$3:$B$4503,1))</f>
        <v/>
      </c>
      <c r="D2963">
        <f>"Life support ("&amp;IF(LEN(INDEX('Providers'!$R$4:$R$503,460))=0,"",INDEX('Providers'!$R$4:$R$503,460))&amp;") – "&amp;IF(LEN(INDEX('Providers'!$A$4:$A$503,460))=0,"",INDEX('Providers'!$A$4:$A$503,460))</f>
        <v/>
      </c>
      <c r="E2963">
        <f>IF(ISNUMBER(INDEX('Providers'!$S$4:$S$503,460)),TEXT(INDEX('Providers'!$S$4:$S$503,460),"yyyy-mm-dd"),"")</f>
        <v/>
      </c>
      <c r="F2963">
        <f>"Certification"</f>
        <v/>
      </c>
      <c r="G2963">
        <f>""</f>
        <v/>
      </c>
      <c r="H2963">
        <f>"Medium"</f>
        <v/>
      </c>
      <c r="I2963">
        <f>TRIM(IF(LEN(IF(LEN(INDEX('Providers'!$R$4:$R$503,460))=0,"",INDEX('Providers'!$R$4:$R$503,460)))=0,"","Card: "&amp;IF(LEN(INDEX('Providers'!$R$4:$R$503,460))=0,"",INDEX('Providers'!$R$4:$R$503,460))&amp;". "))</f>
        <v/>
      </c>
      <c r="J2963">
        <f>IF(LEN(INDEX('Providers'!$AJ$4:$AJ$503,460))=0,"",INDEX('Providers'!$AJ$4:$AJ$503,460))</f>
        <v/>
      </c>
      <c r="K2963">
        <f>IF(LEN(INDEX('Providers'!$AI$4:$AI$503,460))=0,"",INDEX('Providers'!$AI$4:$AI$503,460))</f>
        <v/>
      </c>
    </row>
    <row r="2964">
      <c r="A2964">
        <f>IF(AND(LEN('Providers'!A464)&gt;0,ISNUMBER('Providers'!S464)),1,0)</f>
        <v/>
      </c>
      <c r="B2964">
        <f>B2963+A2964</f>
        <v/>
      </c>
      <c r="C2964">
        <f>IF(2961&gt;$B$4503,"",MATCH(2961-0.5,$B$3:$B$4503,1))</f>
        <v/>
      </c>
      <c r="D2964">
        <f>"Life support ("&amp;IF(LEN(INDEX('Providers'!$R$4:$R$503,461))=0,"",INDEX('Providers'!$R$4:$R$503,461))&amp;") – "&amp;IF(LEN(INDEX('Providers'!$A$4:$A$503,461))=0,"",INDEX('Providers'!$A$4:$A$503,461))</f>
        <v/>
      </c>
      <c r="E2964">
        <f>IF(ISNUMBER(INDEX('Providers'!$S$4:$S$503,461)),TEXT(INDEX('Providers'!$S$4:$S$503,461),"yyyy-mm-dd"),"")</f>
        <v/>
      </c>
      <c r="F2964">
        <f>"Certification"</f>
        <v/>
      </c>
      <c r="G2964">
        <f>""</f>
        <v/>
      </c>
      <c r="H2964">
        <f>"Medium"</f>
        <v/>
      </c>
      <c r="I2964">
        <f>TRIM(IF(LEN(IF(LEN(INDEX('Providers'!$R$4:$R$503,461))=0,"",INDEX('Providers'!$R$4:$R$503,461)))=0,"","Card: "&amp;IF(LEN(INDEX('Providers'!$R$4:$R$503,461))=0,"",INDEX('Providers'!$R$4:$R$503,461))&amp;". "))</f>
        <v/>
      </c>
      <c r="J2964">
        <f>IF(LEN(INDEX('Providers'!$AJ$4:$AJ$503,461))=0,"",INDEX('Providers'!$AJ$4:$AJ$503,461))</f>
        <v/>
      </c>
      <c r="K2964">
        <f>IF(LEN(INDEX('Providers'!$AI$4:$AI$503,461))=0,"",INDEX('Providers'!$AI$4:$AI$503,461))</f>
        <v/>
      </c>
    </row>
    <row r="2965">
      <c r="A2965">
        <f>IF(AND(LEN('Providers'!A465)&gt;0,ISNUMBER('Providers'!S465)),1,0)</f>
        <v/>
      </c>
      <c r="B2965">
        <f>B2964+A2965</f>
        <v/>
      </c>
      <c r="C2965">
        <f>IF(2962&gt;$B$4503,"",MATCH(2962-0.5,$B$3:$B$4503,1))</f>
        <v/>
      </c>
      <c r="D2965">
        <f>"Life support ("&amp;IF(LEN(INDEX('Providers'!$R$4:$R$503,462))=0,"",INDEX('Providers'!$R$4:$R$503,462))&amp;") – "&amp;IF(LEN(INDEX('Providers'!$A$4:$A$503,462))=0,"",INDEX('Providers'!$A$4:$A$503,462))</f>
        <v/>
      </c>
      <c r="E2965">
        <f>IF(ISNUMBER(INDEX('Providers'!$S$4:$S$503,462)),TEXT(INDEX('Providers'!$S$4:$S$503,462),"yyyy-mm-dd"),"")</f>
        <v/>
      </c>
      <c r="F2965">
        <f>"Certification"</f>
        <v/>
      </c>
      <c r="G2965">
        <f>""</f>
        <v/>
      </c>
      <c r="H2965">
        <f>"Medium"</f>
        <v/>
      </c>
      <c r="I2965">
        <f>TRIM(IF(LEN(IF(LEN(INDEX('Providers'!$R$4:$R$503,462))=0,"",INDEX('Providers'!$R$4:$R$503,462)))=0,"","Card: "&amp;IF(LEN(INDEX('Providers'!$R$4:$R$503,462))=0,"",INDEX('Providers'!$R$4:$R$503,462))&amp;". "))</f>
        <v/>
      </c>
      <c r="J2965">
        <f>IF(LEN(INDEX('Providers'!$AJ$4:$AJ$503,462))=0,"",INDEX('Providers'!$AJ$4:$AJ$503,462))</f>
        <v/>
      </c>
      <c r="K2965">
        <f>IF(LEN(INDEX('Providers'!$AI$4:$AI$503,462))=0,"",INDEX('Providers'!$AI$4:$AI$503,462))</f>
        <v/>
      </c>
    </row>
    <row r="2966">
      <c r="A2966">
        <f>IF(AND(LEN('Providers'!A466)&gt;0,ISNUMBER('Providers'!S466)),1,0)</f>
        <v/>
      </c>
      <c r="B2966">
        <f>B2965+A2966</f>
        <v/>
      </c>
      <c r="C2966">
        <f>IF(2963&gt;$B$4503,"",MATCH(2963-0.5,$B$3:$B$4503,1))</f>
        <v/>
      </c>
      <c r="D2966">
        <f>"Life support ("&amp;IF(LEN(INDEX('Providers'!$R$4:$R$503,463))=0,"",INDEX('Providers'!$R$4:$R$503,463))&amp;") – "&amp;IF(LEN(INDEX('Providers'!$A$4:$A$503,463))=0,"",INDEX('Providers'!$A$4:$A$503,463))</f>
        <v/>
      </c>
      <c r="E2966">
        <f>IF(ISNUMBER(INDEX('Providers'!$S$4:$S$503,463)),TEXT(INDEX('Providers'!$S$4:$S$503,463),"yyyy-mm-dd"),"")</f>
        <v/>
      </c>
      <c r="F2966">
        <f>"Certification"</f>
        <v/>
      </c>
      <c r="G2966">
        <f>""</f>
        <v/>
      </c>
      <c r="H2966">
        <f>"Medium"</f>
        <v/>
      </c>
      <c r="I2966">
        <f>TRIM(IF(LEN(IF(LEN(INDEX('Providers'!$R$4:$R$503,463))=0,"",INDEX('Providers'!$R$4:$R$503,463)))=0,"","Card: "&amp;IF(LEN(INDEX('Providers'!$R$4:$R$503,463))=0,"",INDEX('Providers'!$R$4:$R$503,463))&amp;". "))</f>
        <v/>
      </c>
      <c r="J2966">
        <f>IF(LEN(INDEX('Providers'!$AJ$4:$AJ$503,463))=0,"",INDEX('Providers'!$AJ$4:$AJ$503,463))</f>
        <v/>
      </c>
      <c r="K2966">
        <f>IF(LEN(INDEX('Providers'!$AI$4:$AI$503,463))=0,"",INDEX('Providers'!$AI$4:$AI$503,463))</f>
        <v/>
      </c>
    </row>
    <row r="2967">
      <c r="A2967">
        <f>IF(AND(LEN('Providers'!A467)&gt;0,ISNUMBER('Providers'!S467)),1,0)</f>
        <v/>
      </c>
      <c r="B2967">
        <f>B2966+A2967</f>
        <v/>
      </c>
      <c r="C2967">
        <f>IF(2964&gt;$B$4503,"",MATCH(2964-0.5,$B$3:$B$4503,1))</f>
        <v/>
      </c>
      <c r="D2967">
        <f>"Life support ("&amp;IF(LEN(INDEX('Providers'!$R$4:$R$503,464))=0,"",INDEX('Providers'!$R$4:$R$503,464))&amp;") – "&amp;IF(LEN(INDEX('Providers'!$A$4:$A$503,464))=0,"",INDEX('Providers'!$A$4:$A$503,464))</f>
        <v/>
      </c>
      <c r="E2967">
        <f>IF(ISNUMBER(INDEX('Providers'!$S$4:$S$503,464)),TEXT(INDEX('Providers'!$S$4:$S$503,464),"yyyy-mm-dd"),"")</f>
        <v/>
      </c>
      <c r="F2967">
        <f>"Certification"</f>
        <v/>
      </c>
      <c r="G2967">
        <f>""</f>
        <v/>
      </c>
      <c r="H2967">
        <f>"Medium"</f>
        <v/>
      </c>
      <c r="I2967">
        <f>TRIM(IF(LEN(IF(LEN(INDEX('Providers'!$R$4:$R$503,464))=0,"",INDEX('Providers'!$R$4:$R$503,464)))=0,"","Card: "&amp;IF(LEN(INDEX('Providers'!$R$4:$R$503,464))=0,"",INDEX('Providers'!$R$4:$R$503,464))&amp;". "))</f>
        <v/>
      </c>
      <c r="J2967">
        <f>IF(LEN(INDEX('Providers'!$AJ$4:$AJ$503,464))=0,"",INDEX('Providers'!$AJ$4:$AJ$503,464))</f>
        <v/>
      </c>
      <c r="K2967">
        <f>IF(LEN(INDEX('Providers'!$AI$4:$AI$503,464))=0,"",INDEX('Providers'!$AI$4:$AI$503,464))</f>
        <v/>
      </c>
    </row>
    <row r="2968">
      <c r="A2968">
        <f>IF(AND(LEN('Providers'!A468)&gt;0,ISNUMBER('Providers'!S468)),1,0)</f>
        <v/>
      </c>
      <c r="B2968">
        <f>B2967+A2968</f>
        <v/>
      </c>
      <c r="C2968">
        <f>IF(2965&gt;$B$4503,"",MATCH(2965-0.5,$B$3:$B$4503,1))</f>
        <v/>
      </c>
      <c r="D2968">
        <f>"Life support ("&amp;IF(LEN(INDEX('Providers'!$R$4:$R$503,465))=0,"",INDEX('Providers'!$R$4:$R$503,465))&amp;") – "&amp;IF(LEN(INDEX('Providers'!$A$4:$A$503,465))=0,"",INDEX('Providers'!$A$4:$A$503,465))</f>
        <v/>
      </c>
      <c r="E2968">
        <f>IF(ISNUMBER(INDEX('Providers'!$S$4:$S$503,465)),TEXT(INDEX('Providers'!$S$4:$S$503,465),"yyyy-mm-dd"),"")</f>
        <v/>
      </c>
      <c r="F2968">
        <f>"Certification"</f>
        <v/>
      </c>
      <c r="G2968">
        <f>""</f>
        <v/>
      </c>
      <c r="H2968">
        <f>"Medium"</f>
        <v/>
      </c>
      <c r="I2968">
        <f>TRIM(IF(LEN(IF(LEN(INDEX('Providers'!$R$4:$R$503,465))=0,"",INDEX('Providers'!$R$4:$R$503,465)))=0,"","Card: "&amp;IF(LEN(INDEX('Providers'!$R$4:$R$503,465))=0,"",INDEX('Providers'!$R$4:$R$503,465))&amp;". "))</f>
        <v/>
      </c>
      <c r="J2968">
        <f>IF(LEN(INDEX('Providers'!$AJ$4:$AJ$503,465))=0,"",INDEX('Providers'!$AJ$4:$AJ$503,465))</f>
        <v/>
      </c>
      <c r="K2968">
        <f>IF(LEN(INDEX('Providers'!$AI$4:$AI$503,465))=0,"",INDEX('Providers'!$AI$4:$AI$503,465))</f>
        <v/>
      </c>
    </row>
    <row r="2969">
      <c r="A2969">
        <f>IF(AND(LEN('Providers'!A469)&gt;0,ISNUMBER('Providers'!S469)),1,0)</f>
        <v/>
      </c>
      <c r="B2969">
        <f>B2968+A2969</f>
        <v/>
      </c>
      <c r="C2969">
        <f>IF(2966&gt;$B$4503,"",MATCH(2966-0.5,$B$3:$B$4503,1))</f>
        <v/>
      </c>
      <c r="D2969">
        <f>"Life support ("&amp;IF(LEN(INDEX('Providers'!$R$4:$R$503,466))=0,"",INDEX('Providers'!$R$4:$R$503,466))&amp;") – "&amp;IF(LEN(INDEX('Providers'!$A$4:$A$503,466))=0,"",INDEX('Providers'!$A$4:$A$503,466))</f>
        <v/>
      </c>
      <c r="E2969">
        <f>IF(ISNUMBER(INDEX('Providers'!$S$4:$S$503,466)),TEXT(INDEX('Providers'!$S$4:$S$503,466),"yyyy-mm-dd"),"")</f>
        <v/>
      </c>
      <c r="F2969">
        <f>"Certification"</f>
        <v/>
      </c>
      <c r="G2969">
        <f>""</f>
        <v/>
      </c>
      <c r="H2969">
        <f>"Medium"</f>
        <v/>
      </c>
      <c r="I2969">
        <f>TRIM(IF(LEN(IF(LEN(INDEX('Providers'!$R$4:$R$503,466))=0,"",INDEX('Providers'!$R$4:$R$503,466)))=0,"","Card: "&amp;IF(LEN(INDEX('Providers'!$R$4:$R$503,466))=0,"",INDEX('Providers'!$R$4:$R$503,466))&amp;". "))</f>
        <v/>
      </c>
      <c r="J2969">
        <f>IF(LEN(INDEX('Providers'!$AJ$4:$AJ$503,466))=0,"",INDEX('Providers'!$AJ$4:$AJ$503,466))</f>
        <v/>
      </c>
      <c r="K2969">
        <f>IF(LEN(INDEX('Providers'!$AI$4:$AI$503,466))=0,"",INDEX('Providers'!$AI$4:$AI$503,466))</f>
        <v/>
      </c>
    </row>
    <row r="2970">
      <c r="A2970">
        <f>IF(AND(LEN('Providers'!A470)&gt;0,ISNUMBER('Providers'!S470)),1,0)</f>
        <v/>
      </c>
      <c r="B2970">
        <f>B2969+A2970</f>
        <v/>
      </c>
      <c r="C2970">
        <f>IF(2967&gt;$B$4503,"",MATCH(2967-0.5,$B$3:$B$4503,1))</f>
        <v/>
      </c>
      <c r="D2970">
        <f>"Life support ("&amp;IF(LEN(INDEX('Providers'!$R$4:$R$503,467))=0,"",INDEX('Providers'!$R$4:$R$503,467))&amp;") – "&amp;IF(LEN(INDEX('Providers'!$A$4:$A$503,467))=0,"",INDEX('Providers'!$A$4:$A$503,467))</f>
        <v/>
      </c>
      <c r="E2970">
        <f>IF(ISNUMBER(INDEX('Providers'!$S$4:$S$503,467)),TEXT(INDEX('Providers'!$S$4:$S$503,467),"yyyy-mm-dd"),"")</f>
        <v/>
      </c>
      <c r="F2970">
        <f>"Certification"</f>
        <v/>
      </c>
      <c r="G2970">
        <f>""</f>
        <v/>
      </c>
      <c r="H2970">
        <f>"Medium"</f>
        <v/>
      </c>
      <c r="I2970">
        <f>TRIM(IF(LEN(IF(LEN(INDEX('Providers'!$R$4:$R$503,467))=0,"",INDEX('Providers'!$R$4:$R$503,467)))=0,"","Card: "&amp;IF(LEN(INDEX('Providers'!$R$4:$R$503,467))=0,"",INDEX('Providers'!$R$4:$R$503,467))&amp;". "))</f>
        <v/>
      </c>
      <c r="J2970">
        <f>IF(LEN(INDEX('Providers'!$AJ$4:$AJ$503,467))=0,"",INDEX('Providers'!$AJ$4:$AJ$503,467))</f>
        <v/>
      </c>
      <c r="K2970">
        <f>IF(LEN(INDEX('Providers'!$AI$4:$AI$503,467))=0,"",INDEX('Providers'!$AI$4:$AI$503,467))</f>
        <v/>
      </c>
    </row>
    <row r="2971">
      <c r="A2971">
        <f>IF(AND(LEN('Providers'!A471)&gt;0,ISNUMBER('Providers'!S471)),1,0)</f>
        <v/>
      </c>
      <c r="B2971">
        <f>B2970+A2971</f>
        <v/>
      </c>
      <c r="C2971">
        <f>IF(2968&gt;$B$4503,"",MATCH(2968-0.5,$B$3:$B$4503,1))</f>
        <v/>
      </c>
      <c r="D2971">
        <f>"Life support ("&amp;IF(LEN(INDEX('Providers'!$R$4:$R$503,468))=0,"",INDEX('Providers'!$R$4:$R$503,468))&amp;") – "&amp;IF(LEN(INDEX('Providers'!$A$4:$A$503,468))=0,"",INDEX('Providers'!$A$4:$A$503,468))</f>
        <v/>
      </c>
      <c r="E2971">
        <f>IF(ISNUMBER(INDEX('Providers'!$S$4:$S$503,468)),TEXT(INDEX('Providers'!$S$4:$S$503,468),"yyyy-mm-dd"),"")</f>
        <v/>
      </c>
      <c r="F2971">
        <f>"Certification"</f>
        <v/>
      </c>
      <c r="G2971">
        <f>""</f>
        <v/>
      </c>
      <c r="H2971">
        <f>"Medium"</f>
        <v/>
      </c>
      <c r="I2971">
        <f>TRIM(IF(LEN(IF(LEN(INDEX('Providers'!$R$4:$R$503,468))=0,"",INDEX('Providers'!$R$4:$R$503,468)))=0,"","Card: "&amp;IF(LEN(INDEX('Providers'!$R$4:$R$503,468))=0,"",INDEX('Providers'!$R$4:$R$503,468))&amp;". "))</f>
        <v/>
      </c>
      <c r="J2971">
        <f>IF(LEN(INDEX('Providers'!$AJ$4:$AJ$503,468))=0,"",INDEX('Providers'!$AJ$4:$AJ$503,468))</f>
        <v/>
      </c>
      <c r="K2971">
        <f>IF(LEN(INDEX('Providers'!$AI$4:$AI$503,468))=0,"",INDEX('Providers'!$AI$4:$AI$503,468))</f>
        <v/>
      </c>
    </row>
    <row r="2972">
      <c r="A2972">
        <f>IF(AND(LEN('Providers'!A472)&gt;0,ISNUMBER('Providers'!S472)),1,0)</f>
        <v/>
      </c>
      <c r="B2972">
        <f>B2971+A2972</f>
        <v/>
      </c>
      <c r="C2972">
        <f>IF(2969&gt;$B$4503,"",MATCH(2969-0.5,$B$3:$B$4503,1))</f>
        <v/>
      </c>
      <c r="D2972">
        <f>"Life support ("&amp;IF(LEN(INDEX('Providers'!$R$4:$R$503,469))=0,"",INDEX('Providers'!$R$4:$R$503,469))&amp;") – "&amp;IF(LEN(INDEX('Providers'!$A$4:$A$503,469))=0,"",INDEX('Providers'!$A$4:$A$503,469))</f>
        <v/>
      </c>
      <c r="E2972">
        <f>IF(ISNUMBER(INDEX('Providers'!$S$4:$S$503,469)),TEXT(INDEX('Providers'!$S$4:$S$503,469),"yyyy-mm-dd"),"")</f>
        <v/>
      </c>
      <c r="F2972">
        <f>"Certification"</f>
        <v/>
      </c>
      <c r="G2972">
        <f>""</f>
        <v/>
      </c>
      <c r="H2972">
        <f>"Medium"</f>
        <v/>
      </c>
      <c r="I2972">
        <f>TRIM(IF(LEN(IF(LEN(INDEX('Providers'!$R$4:$R$503,469))=0,"",INDEX('Providers'!$R$4:$R$503,469)))=0,"","Card: "&amp;IF(LEN(INDEX('Providers'!$R$4:$R$503,469))=0,"",INDEX('Providers'!$R$4:$R$503,469))&amp;". "))</f>
        <v/>
      </c>
      <c r="J2972">
        <f>IF(LEN(INDEX('Providers'!$AJ$4:$AJ$503,469))=0,"",INDEX('Providers'!$AJ$4:$AJ$503,469))</f>
        <v/>
      </c>
      <c r="K2972">
        <f>IF(LEN(INDEX('Providers'!$AI$4:$AI$503,469))=0,"",INDEX('Providers'!$AI$4:$AI$503,469))</f>
        <v/>
      </c>
    </row>
    <row r="2973">
      <c r="A2973">
        <f>IF(AND(LEN('Providers'!A473)&gt;0,ISNUMBER('Providers'!S473)),1,0)</f>
        <v/>
      </c>
      <c r="B2973">
        <f>B2972+A2973</f>
        <v/>
      </c>
      <c r="C2973">
        <f>IF(2970&gt;$B$4503,"",MATCH(2970-0.5,$B$3:$B$4503,1))</f>
        <v/>
      </c>
      <c r="D2973">
        <f>"Life support ("&amp;IF(LEN(INDEX('Providers'!$R$4:$R$503,470))=0,"",INDEX('Providers'!$R$4:$R$503,470))&amp;") – "&amp;IF(LEN(INDEX('Providers'!$A$4:$A$503,470))=0,"",INDEX('Providers'!$A$4:$A$503,470))</f>
        <v/>
      </c>
      <c r="E2973">
        <f>IF(ISNUMBER(INDEX('Providers'!$S$4:$S$503,470)),TEXT(INDEX('Providers'!$S$4:$S$503,470),"yyyy-mm-dd"),"")</f>
        <v/>
      </c>
      <c r="F2973">
        <f>"Certification"</f>
        <v/>
      </c>
      <c r="G2973">
        <f>""</f>
        <v/>
      </c>
      <c r="H2973">
        <f>"Medium"</f>
        <v/>
      </c>
      <c r="I2973">
        <f>TRIM(IF(LEN(IF(LEN(INDEX('Providers'!$R$4:$R$503,470))=0,"",INDEX('Providers'!$R$4:$R$503,470)))=0,"","Card: "&amp;IF(LEN(INDEX('Providers'!$R$4:$R$503,470))=0,"",INDEX('Providers'!$R$4:$R$503,470))&amp;". "))</f>
        <v/>
      </c>
      <c r="J2973">
        <f>IF(LEN(INDEX('Providers'!$AJ$4:$AJ$503,470))=0,"",INDEX('Providers'!$AJ$4:$AJ$503,470))</f>
        <v/>
      </c>
      <c r="K2973">
        <f>IF(LEN(INDEX('Providers'!$AI$4:$AI$503,470))=0,"",INDEX('Providers'!$AI$4:$AI$503,470))</f>
        <v/>
      </c>
    </row>
    <row r="2974">
      <c r="A2974">
        <f>IF(AND(LEN('Providers'!A474)&gt;0,ISNUMBER('Providers'!S474)),1,0)</f>
        <v/>
      </c>
      <c r="B2974">
        <f>B2973+A2974</f>
        <v/>
      </c>
      <c r="C2974">
        <f>IF(2971&gt;$B$4503,"",MATCH(2971-0.5,$B$3:$B$4503,1))</f>
        <v/>
      </c>
      <c r="D2974">
        <f>"Life support ("&amp;IF(LEN(INDEX('Providers'!$R$4:$R$503,471))=0,"",INDEX('Providers'!$R$4:$R$503,471))&amp;") – "&amp;IF(LEN(INDEX('Providers'!$A$4:$A$503,471))=0,"",INDEX('Providers'!$A$4:$A$503,471))</f>
        <v/>
      </c>
      <c r="E2974">
        <f>IF(ISNUMBER(INDEX('Providers'!$S$4:$S$503,471)),TEXT(INDEX('Providers'!$S$4:$S$503,471),"yyyy-mm-dd"),"")</f>
        <v/>
      </c>
      <c r="F2974">
        <f>"Certification"</f>
        <v/>
      </c>
      <c r="G2974">
        <f>""</f>
        <v/>
      </c>
      <c r="H2974">
        <f>"Medium"</f>
        <v/>
      </c>
      <c r="I2974">
        <f>TRIM(IF(LEN(IF(LEN(INDEX('Providers'!$R$4:$R$503,471))=0,"",INDEX('Providers'!$R$4:$R$503,471)))=0,"","Card: "&amp;IF(LEN(INDEX('Providers'!$R$4:$R$503,471))=0,"",INDEX('Providers'!$R$4:$R$503,471))&amp;". "))</f>
        <v/>
      </c>
      <c r="J2974">
        <f>IF(LEN(INDEX('Providers'!$AJ$4:$AJ$503,471))=0,"",INDEX('Providers'!$AJ$4:$AJ$503,471))</f>
        <v/>
      </c>
      <c r="K2974">
        <f>IF(LEN(INDEX('Providers'!$AI$4:$AI$503,471))=0,"",INDEX('Providers'!$AI$4:$AI$503,471))</f>
        <v/>
      </c>
    </row>
    <row r="2975">
      <c r="A2975">
        <f>IF(AND(LEN('Providers'!A475)&gt;0,ISNUMBER('Providers'!S475)),1,0)</f>
        <v/>
      </c>
      <c r="B2975">
        <f>B2974+A2975</f>
        <v/>
      </c>
      <c r="C2975">
        <f>IF(2972&gt;$B$4503,"",MATCH(2972-0.5,$B$3:$B$4503,1))</f>
        <v/>
      </c>
      <c r="D2975">
        <f>"Life support ("&amp;IF(LEN(INDEX('Providers'!$R$4:$R$503,472))=0,"",INDEX('Providers'!$R$4:$R$503,472))&amp;") – "&amp;IF(LEN(INDEX('Providers'!$A$4:$A$503,472))=0,"",INDEX('Providers'!$A$4:$A$503,472))</f>
        <v/>
      </c>
      <c r="E2975">
        <f>IF(ISNUMBER(INDEX('Providers'!$S$4:$S$503,472)),TEXT(INDEX('Providers'!$S$4:$S$503,472),"yyyy-mm-dd"),"")</f>
        <v/>
      </c>
      <c r="F2975">
        <f>"Certification"</f>
        <v/>
      </c>
      <c r="G2975">
        <f>""</f>
        <v/>
      </c>
      <c r="H2975">
        <f>"Medium"</f>
        <v/>
      </c>
      <c r="I2975">
        <f>TRIM(IF(LEN(IF(LEN(INDEX('Providers'!$R$4:$R$503,472))=0,"",INDEX('Providers'!$R$4:$R$503,472)))=0,"","Card: "&amp;IF(LEN(INDEX('Providers'!$R$4:$R$503,472))=0,"",INDEX('Providers'!$R$4:$R$503,472))&amp;". "))</f>
        <v/>
      </c>
      <c r="J2975">
        <f>IF(LEN(INDEX('Providers'!$AJ$4:$AJ$503,472))=0,"",INDEX('Providers'!$AJ$4:$AJ$503,472))</f>
        <v/>
      </c>
      <c r="K2975">
        <f>IF(LEN(INDEX('Providers'!$AI$4:$AI$503,472))=0,"",INDEX('Providers'!$AI$4:$AI$503,472))</f>
        <v/>
      </c>
    </row>
    <row r="2976">
      <c r="A2976">
        <f>IF(AND(LEN('Providers'!A476)&gt;0,ISNUMBER('Providers'!S476)),1,0)</f>
        <v/>
      </c>
      <c r="B2976">
        <f>B2975+A2976</f>
        <v/>
      </c>
      <c r="C2976">
        <f>IF(2973&gt;$B$4503,"",MATCH(2973-0.5,$B$3:$B$4503,1))</f>
        <v/>
      </c>
      <c r="D2976">
        <f>"Life support ("&amp;IF(LEN(INDEX('Providers'!$R$4:$R$503,473))=0,"",INDEX('Providers'!$R$4:$R$503,473))&amp;") – "&amp;IF(LEN(INDEX('Providers'!$A$4:$A$503,473))=0,"",INDEX('Providers'!$A$4:$A$503,473))</f>
        <v/>
      </c>
      <c r="E2976">
        <f>IF(ISNUMBER(INDEX('Providers'!$S$4:$S$503,473)),TEXT(INDEX('Providers'!$S$4:$S$503,473),"yyyy-mm-dd"),"")</f>
        <v/>
      </c>
      <c r="F2976">
        <f>"Certification"</f>
        <v/>
      </c>
      <c r="G2976">
        <f>""</f>
        <v/>
      </c>
      <c r="H2976">
        <f>"Medium"</f>
        <v/>
      </c>
      <c r="I2976">
        <f>TRIM(IF(LEN(IF(LEN(INDEX('Providers'!$R$4:$R$503,473))=0,"",INDEX('Providers'!$R$4:$R$503,473)))=0,"","Card: "&amp;IF(LEN(INDEX('Providers'!$R$4:$R$503,473))=0,"",INDEX('Providers'!$R$4:$R$503,473))&amp;". "))</f>
        <v/>
      </c>
      <c r="J2976">
        <f>IF(LEN(INDEX('Providers'!$AJ$4:$AJ$503,473))=0,"",INDEX('Providers'!$AJ$4:$AJ$503,473))</f>
        <v/>
      </c>
      <c r="K2976">
        <f>IF(LEN(INDEX('Providers'!$AI$4:$AI$503,473))=0,"",INDEX('Providers'!$AI$4:$AI$503,473))</f>
        <v/>
      </c>
    </row>
    <row r="2977">
      <c r="A2977">
        <f>IF(AND(LEN('Providers'!A477)&gt;0,ISNUMBER('Providers'!S477)),1,0)</f>
        <v/>
      </c>
      <c r="B2977">
        <f>B2976+A2977</f>
        <v/>
      </c>
      <c r="C2977">
        <f>IF(2974&gt;$B$4503,"",MATCH(2974-0.5,$B$3:$B$4503,1))</f>
        <v/>
      </c>
      <c r="D2977">
        <f>"Life support ("&amp;IF(LEN(INDEX('Providers'!$R$4:$R$503,474))=0,"",INDEX('Providers'!$R$4:$R$503,474))&amp;") – "&amp;IF(LEN(INDEX('Providers'!$A$4:$A$503,474))=0,"",INDEX('Providers'!$A$4:$A$503,474))</f>
        <v/>
      </c>
      <c r="E2977">
        <f>IF(ISNUMBER(INDEX('Providers'!$S$4:$S$503,474)),TEXT(INDEX('Providers'!$S$4:$S$503,474),"yyyy-mm-dd"),"")</f>
        <v/>
      </c>
      <c r="F2977">
        <f>"Certification"</f>
        <v/>
      </c>
      <c r="G2977">
        <f>""</f>
        <v/>
      </c>
      <c r="H2977">
        <f>"Medium"</f>
        <v/>
      </c>
      <c r="I2977">
        <f>TRIM(IF(LEN(IF(LEN(INDEX('Providers'!$R$4:$R$503,474))=0,"",INDEX('Providers'!$R$4:$R$503,474)))=0,"","Card: "&amp;IF(LEN(INDEX('Providers'!$R$4:$R$503,474))=0,"",INDEX('Providers'!$R$4:$R$503,474))&amp;". "))</f>
        <v/>
      </c>
      <c r="J2977">
        <f>IF(LEN(INDEX('Providers'!$AJ$4:$AJ$503,474))=0,"",INDEX('Providers'!$AJ$4:$AJ$503,474))</f>
        <v/>
      </c>
      <c r="K2977">
        <f>IF(LEN(INDEX('Providers'!$AI$4:$AI$503,474))=0,"",INDEX('Providers'!$AI$4:$AI$503,474))</f>
        <v/>
      </c>
    </row>
    <row r="2978">
      <c r="A2978">
        <f>IF(AND(LEN('Providers'!A478)&gt;0,ISNUMBER('Providers'!S478)),1,0)</f>
        <v/>
      </c>
      <c r="B2978">
        <f>B2977+A2978</f>
        <v/>
      </c>
      <c r="C2978">
        <f>IF(2975&gt;$B$4503,"",MATCH(2975-0.5,$B$3:$B$4503,1))</f>
        <v/>
      </c>
      <c r="D2978">
        <f>"Life support ("&amp;IF(LEN(INDEX('Providers'!$R$4:$R$503,475))=0,"",INDEX('Providers'!$R$4:$R$503,475))&amp;") – "&amp;IF(LEN(INDEX('Providers'!$A$4:$A$503,475))=0,"",INDEX('Providers'!$A$4:$A$503,475))</f>
        <v/>
      </c>
      <c r="E2978">
        <f>IF(ISNUMBER(INDEX('Providers'!$S$4:$S$503,475)),TEXT(INDEX('Providers'!$S$4:$S$503,475),"yyyy-mm-dd"),"")</f>
        <v/>
      </c>
      <c r="F2978">
        <f>"Certification"</f>
        <v/>
      </c>
      <c r="G2978">
        <f>""</f>
        <v/>
      </c>
      <c r="H2978">
        <f>"Medium"</f>
        <v/>
      </c>
      <c r="I2978">
        <f>TRIM(IF(LEN(IF(LEN(INDEX('Providers'!$R$4:$R$503,475))=0,"",INDEX('Providers'!$R$4:$R$503,475)))=0,"","Card: "&amp;IF(LEN(INDEX('Providers'!$R$4:$R$503,475))=0,"",INDEX('Providers'!$R$4:$R$503,475))&amp;". "))</f>
        <v/>
      </c>
      <c r="J2978">
        <f>IF(LEN(INDEX('Providers'!$AJ$4:$AJ$503,475))=0,"",INDEX('Providers'!$AJ$4:$AJ$503,475))</f>
        <v/>
      </c>
      <c r="K2978">
        <f>IF(LEN(INDEX('Providers'!$AI$4:$AI$503,475))=0,"",INDEX('Providers'!$AI$4:$AI$503,475))</f>
        <v/>
      </c>
    </row>
    <row r="2979">
      <c r="A2979">
        <f>IF(AND(LEN('Providers'!A479)&gt;0,ISNUMBER('Providers'!S479)),1,0)</f>
        <v/>
      </c>
      <c r="B2979">
        <f>B2978+A2979</f>
        <v/>
      </c>
      <c r="C2979">
        <f>IF(2976&gt;$B$4503,"",MATCH(2976-0.5,$B$3:$B$4503,1))</f>
        <v/>
      </c>
      <c r="D2979">
        <f>"Life support ("&amp;IF(LEN(INDEX('Providers'!$R$4:$R$503,476))=0,"",INDEX('Providers'!$R$4:$R$503,476))&amp;") – "&amp;IF(LEN(INDEX('Providers'!$A$4:$A$503,476))=0,"",INDEX('Providers'!$A$4:$A$503,476))</f>
        <v/>
      </c>
      <c r="E2979">
        <f>IF(ISNUMBER(INDEX('Providers'!$S$4:$S$503,476)),TEXT(INDEX('Providers'!$S$4:$S$503,476),"yyyy-mm-dd"),"")</f>
        <v/>
      </c>
      <c r="F2979">
        <f>"Certification"</f>
        <v/>
      </c>
      <c r="G2979">
        <f>""</f>
        <v/>
      </c>
      <c r="H2979">
        <f>"Medium"</f>
        <v/>
      </c>
      <c r="I2979">
        <f>TRIM(IF(LEN(IF(LEN(INDEX('Providers'!$R$4:$R$503,476))=0,"",INDEX('Providers'!$R$4:$R$503,476)))=0,"","Card: "&amp;IF(LEN(INDEX('Providers'!$R$4:$R$503,476))=0,"",INDEX('Providers'!$R$4:$R$503,476))&amp;". "))</f>
        <v/>
      </c>
      <c r="J2979">
        <f>IF(LEN(INDEX('Providers'!$AJ$4:$AJ$503,476))=0,"",INDEX('Providers'!$AJ$4:$AJ$503,476))</f>
        <v/>
      </c>
      <c r="K2979">
        <f>IF(LEN(INDEX('Providers'!$AI$4:$AI$503,476))=0,"",INDEX('Providers'!$AI$4:$AI$503,476))</f>
        <v/>
      </c>
    </row>
    <row r="2980">
      <c r="A2980">
        <f>IF(AND(LEN('Providers'!A480)&gt;0,ISNUMBER('Providers'!S480)),1,0)</f>
        <v/>
      </c>
      <c r="B2980">
        <f>B2979+A2980</f>
        <v/>
      </c>
      <c r="C2980">
        <f>IF(2977&gt;$B$4503,"",MATCH(2977-0.5,$B$3:$B$4503,1))</f>
        <v/>
      </c>
      <c r="D2980">
        <f>"Life support ("&amp;IF(LEN(INDEX('Providers'!$R$4:$R$503,477))=0,"",INDEX('Providers'!$R$4:$R$503,477))&amp;") – "&amp;IF(LEN(INDEX('Providers'!$A$4:$A$503,477))=0,"",INDEX('Providers'!$A$4:$A$503,477))</f>
        <v/>
      </c>
      <c r="E2980">
        <f>IF(ISNUMBER(INDEX('Providers'!$S$4:$S$503,477)),TEXT(INDEX('Providers'!$S$4:$S$503,477),"yyyy-mm-dd"),"")</f>
        <v/>
      </c>
      <c r="F2980">
        <f>"Certification"</f>
        <v/>
      </c>
      <c r="G2980">
        <f>""</f>
        <v/>
      </c>
      <c r="H2980">
        <f>"Medium"</f>
        <v/>
      </c>
      <c r="I2980">
        <f>TRIM(IF(LEN(IF(LEN(INDEX('Providers'!$R$4:$R$503,477))=0,"",INDEX('Providers'!$R$4:$R$503,477)))=0,"","Card: "&amp;IF(LEN(INDEX('Providers'!$R$4:$R$503,477))=0,"",INDEX('Providers'!$R$4:$R$503,477))&amp;". "))</f>
        <v/>
      </c>
      <c r="J2980">
        <f>IF(LEN(INDEX('Providers'!$AJ$4:$AJ$503,477))=0,"",INDEX('Providers'!$AJ$4:$AJ$503,477))</f>
        <v/>
      </c>
      <c r="K2980">
        <f>IF(LEN(INDEX('Providers'!$AI$4:$AI$503,477))=0,"",INDEX('Providers'!$AI$4:$AI$503,477))</f>
        <v/>
      </c>
    </row>
    <row r="2981">
      <c r="A2981">
        <f>IF(AND(LEN('Providers'!A481)&gt;0,ISNUMBER('Providers'!S481)),1,0)</f>
        <v/>
      </c>
      <c r="B2981">
        <f>B2980+A2981</f>
        <v/>
      </c>
      <c r="C2981">
        <f>IF(2978&gt;$B$4503,"",MATCH(2978-0.5,$B$3:$B$4503,1))</f>
        <v/>
      </c>
      <c r="D2981">
        <f>"Life support ("&amp;IF(LEN(INDEX('Providers'!$R$4:$R$503,478))=0,"",INDEX('Providers'!$R$4:$R$503,478))&amp;") – "&amp;IF(LEN(INDEX('Providers'!$A$4:$A$503,478))=0,"",INDEX('Providers'!$A$4:$A$503,478))</f>
        <v/>
      </c>
      <c r="E2981">
        <f>IF(ISNUMBER(INDEX('Providers'!$S$4:$S$503,478)),TEXT(INDEX('Providers'!$S$4:$S$503,478),"yyyy-mm-dd"),"")</f>
        <v/>
      </c>
      <c r="F2981">
        <f>"Certification"</f>
        <v/>
      </c>
      <c r="G2981">
        <f>""</f>
        <v/>
      </c>
      <c r="H2981">
        <f>"Medium"</f>
        <v/>
      </c>
      <c r="I2981">
        <f>TRIM(IF(LEN(IF(LEN(INDEX('Providers'!$R$4:$R$503,478))=0,"",INDEX('Providers'!$R$4:$R$503,478)))=0,"","Card: "&amp;IF(LEN(INDEX('Providers'!$R$4:$R$503,478))=0,"",INDEX('Providers'!$R$4:$R$503,478))&amp;". "))</f>
        <v/>
      </c>
      <c r="J2981">
        <f>IF(LEN(INDEX('Providers'!$AJ$4:$AJ$503,478))=0,"",INDEX('Providers'!$AJ$4:$AJ$503,478))</f>
        <v/>
      </c>
      <c r="K2981">
        <f>IF(LEN(INDEX('Providers'!$AI$4:$AI$503,478))=0,"",INDEX('Providers'!$AI$4:$AI$503,478))</f>
        <v/>
      </c>
    </row>
    <row r="2982">
      <c r="A2982">
        <f>IF(AND(LEN('Providers'!A482)&gt;0,ISNUMBER('Providers'!S482)),1,0)</f>
        <v/>
      </c>
      <c r="B2982">
        <f>B2981+A2982</f>
        <v/>
      </c>
      <c r="C2982">
        <f>IF(2979&gt;$B$4503,"",MATCH(2979-0.5,$B$3:$B$4503,1))</f>
        <v/>
      </c>
      <c r="D2982">
        <f>"Life support ("&amp;IF(LEN(INDEX('Providers'!$R$4:$R$503,479))=0,"",INDEX('Providers'!$R$4:$R$503,479))&amp;") – "&amp;IF(LEN(INDEX('Providers'!$A$4:$A$503,479))=0,"",INDEX('Providers'!$A$4:$A$503,479))</f>
        <v/>
      </c>
      <c r="E2982">
        <f>IF(ISNUMBER(INDEX('Providers'!$S$4:$S$503,479)),TEXT(INDEX('Providers'!$S$4:$S$503,479),"yyyy-mm-dd"),"")</f>
        <v/>
      </c>
      <c r="F2982">
        <f>"Certification"</f>
        <v/>
      </c>
      <c r="G2982">
        <f>""</f>
        <v/>
      </c>
      <c r="H2982">
        <f>"Medium"</f>
        <v/>
      </c>
      <c r="I2982">
        <f>TRIM(IF(LEN(IF(LEN(INDEX('Providers'!$R$4:$R$503,479))=0,"",INDEX('Providers'!$R$4:$R$503,479)))=0,"","Card: "&amp;IF(LEN(INDEX('Providers'!$R$4:$R$503,479))=0,"",INDEX('Providers'!$R$4:$R$503,479))&amp;". "))</f>
        <v/>
      </c>
      <c r="J2982">
        <f>IF(LEN(INDEX('Providers'!$AJ$4:$AJ$503,479))=0,"",INDEX('Providers'!$AJ$4:$AJ$503,479))</f>
        <v/>
      </c>
      <c r="K2982">
        <f>IF(LEN(INDEX('Providers'!$AI$4:$AI$503,479))=0,"",INDEX('Providers'!$AI$4:$AI$503,479))</f>
        <v/>
      </c>
    </row>
    <row r="2983">
      <c r="A2983">
        <f>IF(AND(LEN('Providers'!A483)&gt;0,ISNUMBER('Providers'!S483)),1,0)</f>
        <v/>
      </c>
      <c r="B2983">
        <f>B2982+A2983</f>
        <v/>
      </c>
      <c r="C2983">
        <f>IF(2980&gt;$B$4503,"",MATCH(2980-0.5,$B$3:$B$4503,1))</f>
        <v/>
      </c>
      <c r="D2983">
        <f>"Life support ("&amp;IF(LEN(INDEX('Providers'!$R$4:$R$503,480))=0,"",INDEX('Providers'!$R$4:$R$503,480))&amp;") – "&amp;IF(LEN(INDEX('Providers'!$A$4:$A$503,480))=0,"",INDEX('Providers'!$A$4:$A$503,480))</f>
        <v/>
      </c>
      <c r="E2983">
        <f>IF(ISNUMBER(INDEX('Providers'!$S$4:$S$503,480)),TEXT(INDEX('Providers'!$S$4:$S$503,480),"yyyy-mm-dd"),"")</f>
        <v/>
      </c>
      <c r="F2983">
        <f>"Certification"</f>
        <v/>
      </c>
      <c r="G2983">
        <f>""</f>
        <v/>
      </c>
      <c r="H2983">
        <f>"Medium"</f>
        <v/>
      </c>
      <c r="I2983">
        <f>TRIM(IF(LEN(IF(LEN(INDEX('Providers'!$R$4:$R$503,480))=0,"",INDEX('Providers'!$R$4:$R$503,480)))=0,"","Card: "&amp;IF(LEN(INDEX('Providers'!$R$4:$R$503,480))=0,"",INDEX('Providers'!$R$4:$R$503,480))&amp;". "))</f>
        <v/>
      </c>
      <c r="J2983">
        <f>IF(LEN(INDEX('Providers'!$AJ$4:$AJ$503,480))=0,"",INDEX('Providers'!$AJ$4:$AJ$503,480))</f>
        <v/>
      </c>
      <c r="K2983">
        <f>IF(LEN(INDEX('Providers'!$AI$4:$AI$503,480))=0,"",INDEX('Providers'!$AI$4:$AI$503,480))</f>
        <v/>
      </c>
    </row>
    <row r="2984">
      <c r="A2984">
        <f>IF(AND(LEN('Providers'!A484)&gt;0,ISNUMBER('Providers'!S484)),1,0)</f>
        <v/>
      </c>
      <c r="B2984">
        <f>B2983+A2984</f>
        <v/>
      </c>
      <c r="C2984">
        <f>IF(2981&gt;$B$4503,"",MATCH(2981-0.5,$B$3:$B$4503,1))</f>
        <v/>
      </c>
      <c r="D2984">
        <f>"Life support ("&amp;IF(LEN(INDEX('Providers'!$R$4:$R$503,481))=0,"",INDEX('Providers'!$R$4:$R$503,481))&amp;") – "&amp;IF(LEN(INDEX('Providers'!$A$4:$A$503,481))=0,"",INDEX('Providers'!$A$4:$A$503,481))</f>
        <v/>
      </c>
      <c r="E2984">
        <f>IF(ISNUMBER(INDEX('Providers'!$S$4:$S$503,481)),TEXT(INDEX('Providers'!$S$4:$S$503,481),"yyyy-mm-dd"),"")</f>
        <v/>
      </c>
      <c r="F2984">
        <f>"Certification"</f>
        <v/>
      </c>
      <c r="G2984">
        <f>""</f>
        <v/>
      </c>
      <c r="H2984">
        <f>"Medium"</f>
        <v/>
      </c>
      <c r="I2984">
        <f>TRIM(IF(LEN(IF(LEN(INDEX('Providers'!$R$4:$R$503,481))=0,"",INDEX('Providers'!$R$4:$R$503,481)))=0,"","Card: "&amp;IF(LEN(INDEX('Providers'!$R$4:$R$503,481))=0,"",INDEX('Providers'!$R$4:$R$503,481))&amp;". "))</f>
        <v/>
      </c>
      <c r="J2984">
        <f>IF(LEN(INDEX('Providers'!$AJ$4:$AJ$503,481))=0,"",INDEX('Providers'!$AJ$4:$AJ$503,481))</f>
        <v/>
      </c>
      <c r="K2984">
        <f>IF(LEN(INDEX('Providers'!$AI$4:$AI$503,481))=0,"",INDEX('Providers'!$AI$4:$AI$503,481))</f>
        <v/>
      </c>
    </row>
    <row r="2985">
      <c r="A2985">
        <f>IF(AND(LEN('Providers'!A485)&gt;0,ISNUMBER('Providers'!S485)),1,0)</f>
        <v/>
      </c>
      <c r="B2985">
        <f>B2984+A2985</f>
        <v/>
      </c>
      <c r="C2985">
        <f>IF(2982&gt;$B$4503,"",MATCH(2982-0.5,$B$3:$B$4503,1))</f>
        <v/>
      </c>
      <c r="D2985">
        <f>"Life support ("&amp;IF(LEN(INDEX('Providers'!$R$4:$R$503,482))=0,"",INDEX('Providers'!$R$4:$R$503,482))&amp;") – "&amp;IF(LEN(INDEX('Providers'!$A$4:$A$503,482))=0,"",INDEX('Providers'!$A$4:$A$503,482))</f>
        <v/>
      </c>
      <c r="E2985">
        <f>IF(ISNUMBER(INDEX('Providers'!$S$4:$S$503,482)),TEXT(INDEX('Providers'!$S$4:$S$503,482),"yyyy-mm-dd"),"")</f>
        <v/>
      </c>
      <c r="F2985">
        <f>"Certification"</f>
        <v/>
      </c>
      <c r="G2985">
        <f>""</f>
        <v/>
      </c>
      <c r="H2985">
        <f>"Medium"</f>
        <v/>
      </c>
      <c r="I2985">
        <f>TRIM(IF(LEN(IF(LEN(INDEX('Providers'!$R$4:$R$503,482))=0,"",INDEX('Providers'!$R$4:$R$503,482)))=0,"","Card: "&amp;IF(LEN(INDEX('Providers'!$R$4:$R$503,482))=0,"",INDEX('Providers'!$R$4:$R$503,482))&amp;". "))</f>
        <v/>
      </c>
      <c r="J2985">
        <f>IF(LEN(INDEX('Providers'!$AJ$4:$AJ$503,482))=0,"",INDEX('Providers'!$AJ$4:$AJ$503,482))</f>
        <v/>
      </c>
      <c r="K2985">
        <f>IF(LEN(INDEX('Providers'!$AI$4:$AI$503,482))=0,"",INDEX('Providers'!$AI$4:$AI$503,482))</f>
        <v/>
      </c>
    </row>
    <row r="2986">
      <c r="A2986">
        <f>IF(AND(LEN('Providers'!A486)&gt;0,ISNUMBER('Providers'!S486)),1,0)</f>
        <v/>
      </c>
      <c r="B2986">
        <f>B2985+A2986</f>
        <v/>
      </c>
      <c r="C2986">
        <f>IF(2983&gt;$B$4503,"",MATCH(2983-0.5,$B$3:$B$4503,1))</f>
        <v/>
      </c>
      <c r="D2986">
        <f>"Life support ("&amp;IF(LEN(INDEX('Providers'!$R$4:$R$503,483))=0,"",INDEX('Providers'!$R$4:$R$503,483))&amp;") – "&amp;IF(LEN(INDEX('Providers'!$A$4:$A$503,483))=0,"",INDEX('Providers'!$A$4:$A$503,483))</f>
        <v/>
      </c>
      <c r="E2986">
        <f>IF(ISNUMBER(INDEX('Providers'!$S$4:$S$503,483)),TEXT(INDEX('Providers'!$S$4:$S$503,483),"yyyy-mm-dd"),"")</f>
        <v/>
      </c>
      <c r="F2986">
        <f>"Certification"</f>
        <v/>
      </c>
      <c r="G2986">
        <f>""</f>
        <v/>
      </c>
      <c r="H2986">
        <f>"Medium"</f>
        <v/>
      </c>
      <c r="I2986">
        <f>TRIM(IF(LEN(IF(LEN(INDEX('Providers'!$R$4:$R$503,483))=0,"",INDEX('Providers'!$R$4:$R$503,483)))=0,"","Card: "&amp;IF(LEN(INDEX('Providers'!$R$4:$R$503,483))=0,"",INDEX('Providers'!$R$4:$R$503,483))&amp;". "))</f>
        <v/>
      </c>
      <c r="J2986">
        <f>IF(LEN(INDEX('Providers'!$AJ$4:$AJ$503,483))=0,"",INDEX('Providers'!$AJ$4:$AJ$503,483))</f>
        <v/>
      </c>
      <c r="K2986">
        <f>IF(LEN(INDEX('Providers'!$AI$4:$AI$503,483))=0,"",INDEX('Providers'!$AI$4:$AI$503,483))</f>
        <v/>
      </c>
    </row>
    <row r="2987">
      <c r="A2987">
        <f>IF(AND(LEN('Providers'!A487)&gt;0,ISNUMBER('Providers'!S487)),1,0)</f>
        <v/>
      </c>
      <c r="B2987">
        <f>B2986+A2987</f>
        <v/>
      </c>
      <c r="C2987">
        <f>IF(2984&gt;$B$4503,"",MATCH(2984-0.5,$B$3:$B$4503,1))</f>
        <v/>
      </c>
      <c r="D2987">
        <f>"Life support ("&amp;IF(LEN(INDEX('Providers'!$R$4:$R$503,484))=0,"",INDEX('Providers'!$R$4:$R$503,484))&amp;") – "&amp;IF(LEN(INDEX('Providers'!$A$4:$A$503,484))=0,"",INDEX('Providers'!$A$4:$A$503,484))</f>
        <v/>
      </c>
      <c r="E2987">
        <f>IF(ISNUMBER(INDEX('Providers'!$S$4:$S$503,484)),TEXT(INDEX('Providers'!$S$4:$S$503,484),"yyyy-mm-dd"),"")</f>
        <v/>
      </c>
      <c r="F2987">
        <f>"Certification"</f>
        <v/>
      </c>
      <c r="G2987">
        <f>""</f>
        <v/>
      </c>
      <c r="H2987">
        <f>"Medium"</f>
        <v/>
      </c>
      <c r="I2987">
        <f>TRIM(IF(LEN(IF(LEN(INDEX('Providers'!$R$4:$R$503,484))=0,"",INDEX('Providers'!$R$4:$R$503,484)))=0,"","Card: "&amp;IF(LEN(INDEX('Providers'!$R$4:$R$503,484))=0,"",INDEX('Providers'!$R$4:$R$503,484))&amp;". "))</f>
        <v/>
      </c>
      <c r="J2987">
        <f>IF(LEN(INDEX('Providers'!$AJ$4:$AJ$503,484))=0,"",INDEX('Providers'!$AJ$4:$AJ$503,484))</f>
        <v/>
      </c>
      <c r="K2987">
        <f>IF(LEN(INDEX('Providers'!$AI$4:$AI$503,484))=0,"",INDEX('Providers'!$AI$4:$AI$503,484))</f>
        <v/>
      </c>
    </row>
    <row r="2988">
      <c r="A2988">
        <f>IF(AND(LEN('Providers'!A488)&gt;0,ISNUMBER('Providers'!S488)),1,0)</f>
        <v/>
      </c>
      <c r="B2988">
        <f>B2987+A2988</f>
        <v/>
      </c>
      <c r="C2988">
        <f>IF(2985&gt;$B$4503,"",MATCH(2985-0.5,$B$3:$B$4503,1))</f>
        <v/>
      </c>
      <c r="D2988">
        <f>"Life support ("&amp;IF(LEN(INDEX('Providers'!$R$4:$R$503,485))=0,"",INDEX('Providers'!$R$4:$R$503,485))&amp;") – "&amp;IF(LEN(INDEX('Providers'!$A$4:$A$503,485))=0,"",INDEX('Providers'!$A$4:$A$503,485))</f>
        <v/>
      </c>
      <c r="E2988">
        <f>IF(ISNUMBER(INDEX('Providers'!$S$4:$S$503,485)),TEXT(INDEX('Providers'!$S$4:$S$503,485),"yyyy-mm-dd"),"")</f>
        <v/>
      </c>
      <c r="F2988">
        <f>"Certification"</f>
        <v/>
      </c>
      <c r="G2988">
        <f>""</f>
        <v/>
      </c>
      <c r="H2988">
        <f>"Medium"</f>
        <v/>
      </c>
      <c r="I2988">
        <f>TRIM(IF(LEN(IF(LEN(INDEX('Providers'!$R$4:$R$503,485))=0,"",INDEX('Providers'!$R$4:$R$503,485)))=0,"","Card: "&amp;IF(LEN(INDEX('Providers'!$R$4:$R$503,485))=0,"",INDEX('Providers'!$R$4:$R$503,485))&amp;". "))</f>
        <v/>
      </c>
      <c r="J2988">
        <f>IF(LEN(INDEX('Providers'!$AJ$4:$AJ$503,485))=0,"",INDEX('Providers'!$AJ$4:$AJ$503,485))</f>
        <v/>
      </c>
      <c r="K2988">
        <f>IF(LEN(INDEX('Providers'!$AI$4:$AI$503,485))=0,"",INDEX('Providers'!$AI$4:$AI$503,485))</f>
        <v/>
      </c>
    </row>
    <row r="2989">
      <c r="A2989">
        <f>IF(AND(LEN('Providers'!A489)&gt;0,ISNUMBER('Providers'!S489)),1,0)</f>
        <v/>
      </c>
      <c r="B2989">
        <f>B2988+A2989</f>
        <v/>
      </c>
      <c r="C2989">
        <f>IF(2986&gt;$B$4503,"",MATCH(2986-0.5,$B$3:$B$4503,1))</f>
        <v/>
      </c>
      <c r="D2989">
        <f>"Life support ("&amp;IF(LEN(INDEX('Providers'!$R$4:$R$503,486))=0,"",INDEX('Providers'!$R$4:$R$503,486))&amp;") – "&amp;IF(LEN(INDEX('Providers'!$A$4:$A$503,486))=0,"",INDEX('Providers'!$A$4:$A$503,486))</f>
        <v/>
      </c>
      <c r="E2989">
        <f>IF(ISNUMBER(INDEX('Providers'!$S$4:$S$503,486)),TEXT(INDEX('Providers'!$S$4:$S$503,486),"yyyy-mm-dd"),"")</f>
        <v/>
      </c>
      <c r="F2989">
        <f>"Certification"</f>
        <v/>
      </c>
      <c r="G2989">
        <f>""</f>
        <v/>
      </c>
      <c r="H2989">
        <f>"Medium"</f>
        <v/>
      </c>
      <c r="I2989">
        <f>TRIM(IF(LEN(IF(LEN(INDEX('Providers'!$R$4:$R$503,486))=0,"",INDEX('Providers'!$R$4:$R$503,486)))=0,"","Card: "&amp;IF(LEN(INDEX('Providers'!$R$4:$R$503,486))=0,"",INDEX('Providers'!$R$4:$R$503,486))&amp;". "))</f>
        <v/>
      </c>
      <c r="J2989">
        <f>IF(LEN(INDEX('Providers'!$AJ$4:$AJ$503,486))=0,"",INDEX('Providers'!$AJ$4:$AJ$503,486))</f>
        <v/>
      </c>
      <c r="K2989">
        <f>IF(LEN(INDEX('Providers'!$AI$4:$AI$503,486))=0,"",INDEX('Providers'!$AI$4:$AI$503,486))</f>
        <v/>
      </c>
    </row>
    <row r="2990">
      <c r="A2990">
        <f>IF(AND(LEN('Providers'!A490)&gt;0,ISNUMBER('Providers'!S490)),1,0)</f>
        <v/>
      </c>
      <c r="B2990">
        <f>B2989+A2990</f>
        <v/>
      </c>
      <c r="C2990">
        <f>IF(2987&gt;$B$4503,"",MATCH(2987-0.5,$B$3:$B$4503,1))</f>
        <v/>
      </c>
      <c r="D2990">
        <f>"Life support ("&amp;IF(LEN(INDEX('Providers'!$R$4:$R$503,487))=0,"",INDEX('Providers'!$R$4:$R$503,487))&amp;") – "&amp;IF(LEN(INDEX('Providers'!$A$4:$A$503,487))=0,"",INDEX('Providers'!$A$4:$A$503,487))</f>
        <v/>
      </c>
      <c r="E2990">
        <f>IF(ISNUMBER(INDEX('Providers'!$S$4:$S$503,487)),TEXT(INDEX('Providers'!$S$4:$S$503,487),"yyyy-mm-dd"),"")</f>
        <v/>
      </c>
      <c r="F2990">
        <f>"Certification"</f>
        <v/>
      </c>
      <c r="G2990">
        <f>""</f>
        <v/>
      </c>
      <c r="H2990">
        <f>"Medium"</f>
        <v/>
      </c>
      <c r="I2990">
        <f>TRIM(IF(LEN(IF(LEN(INDEX('Providers'!$R$4:$R$503,487))=0,"",INDEX('Providers'!$R$4:$R$503,487)))=0,"","Card: "&amp;IF(LEN(INDEX('Providers'!$R$4:$R$503,487))=0,"",INDEX('Providers'!$R$4:$R$503,487))&amp;". "))</f>
        <v/>
      </c>
      <c r="J2990">
        <f>IF(LEN(INDEX('Providers'!$AJ$4:$AJ$503,487))=0,"",INDEX('Providers'!$AJ$4:$AJ$503,487))</f>
        <v/>
      </c>
      <c r="K2990">
        <f>IF(LEN(INDEX('Providers'!$AI$4:$AI$503,487))=0,"",INDEX('Providers'!$AI$4:$AI$503,487))</f>
        <v/>
      </c>
    </row>
    <row r="2991">
      <c r="A2991">
        <f>IF(AND(LEN('Providers'!A491)&gt;0,ISNUMBER('Providers'!S491)),1,0)</f>
        <v/>
      </c>
      <c r="B2991">
        <f>B2990+A2991</f>
        <v/>
      </c>
      <c r="C2991">
        <f>IF(2988&gt;$B$4503,"",MATCH(2988-0.5,$B$3:$B$4503,1))</f>
        <v/>
      </c>
      <c r="D2991">
        <f>"Life support ("&amp;IF(LEN(INDEX('Providers'!$R$4:$R$503,488))=0,"",INDEX('Providers'!$R$4:$R$503,488))&amp;") – "&amp;IF(LEN(INDEX('Providers'!$A$4:$A$503,488))=0,"",INDEX('Providers'!$A$4:$A$503,488))</f>
        <v/>
      </c>
      <c r="E2991">
        <f>IF(ISNUMBER(INDEX('Providers'!$S$4:$S$503,488)),TEXT(INDEX('Providers'!$S$4:$S$503,488),"yyyy-mm-dd"),"")</f>
        <v/>
      </c>
      <c r="F2991">
        <f>"Certification"</f>
        <v/>
      </c>
      <c r="G2991">
        <f>""</f>
        <v/>
      </c>
      <c r="H2991">
        <f>"Medium"</f>
        <v/>
      </c>
      <c r="I2991">
        <f>TRIM(IF(LEN(IF(LEN(INDEX('Providers'!$R$4:$R$503,488))=0,"",INDEX('Providers'!$R$4:$R$503,488)))=0,"","Card: "&amp;IF(LEN(INDEX('Providers'!$R$4:$R$503,488))=0,"",INDEX('Providers'!$R$4:$R$503,488))&amp;". "))</f>
        <v/>
      </c>
      <c r="J2991">
        <f>IF(LEN(INDEX('Providers'!$AJ$4:$AJ$503,488))=0,"",INDEX('Providers'!$AJ$4:$AJ$503,488))</f>
        <v/>
      </c>
      <c r="K2991">
        <f>IF(LEN(INDEX('Providers'!$AI$4:$AI$503,488))=0,"",INDEX('Providers'!$AI$4:$AI$503,488))</f>
        <v/>
      </c>
    </row>
    <row r="2992">
      <c r="A2992">
        <f>IF(AND(LEN('Providers'!A492)&gt;0,ISNUMBER('Providers'!S492)),1,0)</f>
        <v/>
      </c>
      <c r="B2992">
        <f>B2991+A2992</f>
        <v/>
      </c>
      <c r="C2992">
        <f>IF(2989&gt;$B$4503,"",MATCH(2989-0.5,$B$3:$B$4503,1))</f>
        <v/>
      </c>
      <c r="D2992">
        <f>"Life support ("&amp;IF(LEN(INDEX('Providers'!$R$4:$R$503,489))=0,"",INDEX('Providers'!$R$4:$R$503,489))&amp;") – "&amp;IF(LEN(INDEX('Providers'!$A$4:$A$503,489))=0,"",INDEX('Providers'!$A$4:$A$503,489))</f>
        <v/>
      </c>
      <c r="E2992">
        <f>IF(ISNUMBER(INDEX('Providers'!$S$4:$S$503,489)),TEXT(INDEX('Providers'!$S$4:$S$503,489),"yyyy-mm-dd"),"")</f>
        <v/>
      </c>
      <c r="F2992">
        <f>"Certification"</f>
        <v/>
      </c>
      <c r="G2992">
        <f>""</f>
        <v/>
      </c>
      <c r="H2992">
        <f>"Medium"</f>
        <v/>
      </c>
      <c r="I2992">
        <f>TRIM(IF(LEN(IF(LEN(INDEX('Providers'!$R$4:$R$503,489))=0,"",INDEX('Providers'!$R$4:$R$503,489)))=0,"","Card: "&amp;IF(LEN(INDEX('Providers'!$R$4:$R$503,489))=0,"",INDEX('Providers'!$R$4:$R$503,489))&amp;". "))</f>
        <v/>
      </c>
      <c r="J2992">
        <f>IF(LEN(INDEX('Providers'!$AJ$4:$AJ$503,489))=0,"",INDEX('Providers'!$AJ$4:$AJ$503,489))</f>
        <v/>
      </c>
      <c r="K2992">
        <f>IF(LEN(INDEX('Providers'!$AI$4:$AI$503,489))=0,"",INDEX('Providers'!$AI$4:$AI$503,489))</f>
        <v/>
      </c>
    </row>
    <row r="2993">
      <c r="A2993">
        <f>IF(AND(LEN('Providers'!A493)&gt;0,ISNUMBER('Providers'!S493)),1,0)</f>
        <v/>
      </c>
      <c r="B2993">
        <f>B2992+A2993</f>
        <v/>
      </c>
      <c r="C2993">
        <f>IF(2990&gt;$B$4503,"",MATCH(2990-0.5,$B$3:$B$4503,1))</f>
        <v/>
      </c>
      <c r="D2993">
        <f>"Life support ("&amp;IF(LEN(INDEX('Providers'!$R$4:$R$503,490))=0,"",INDEX('Providers'!$R$4:$R$503,490))&amp;") – "&amp;IF(LEN(INDEX('Providers'!$A$4:$A$503,490))=0,"",INDEX('Providers'!$A$4:$A$503,490))</f>
        <v/>
      </c>
      <c r="E2993">
        <f>IF(ISNUMBER(INDEX('Providers'!$S$4:$S$503,490)),TEXT(INDEX('Providers'!$S$4:$S$503,490),"yyyy-mm-dd"),"")</f>
        <v/>
      </c>
      <c r="F2993">
        <f>"Certification"</f>
        <v/>
      </c>
      <c r="G2993">
        <f>""</f>
        <v/>
      </c>
      <c r="H2993">
        <f>"Medium"</f>
        <v/>
      </c>
      <c r="I2993">
        <f>TRIM(IF(LEN(IF(LEN(INDEX('Providers'!$R$4:$R$503,490))=0,"",INDEX('Providers'!$R$4:$R$503,490)))=0,"","Card: "&amp;IF(LEN(INDEX('Providers'!$R$4:$R$503,490))=0,"",INDEX('Providers'!$R$4:$R$503,490))&amp;". "))</f>
        <v/>
      </c>
      <c r="J2993">
        <f>IF(LEN(INDEX('Providers'!$AJ$4:$AJ$503,490))=0,"",INDEX('Providers'!$AJ$4:$AJ$503,490))</f>
        <v/>
      </c>
      <c r="K2993">
        <f>IF(LEN(INDEX('Providers'!$AI$4:$AI$503,490))=0,"",INDEX('Providers'!$AI$4:$AI$503,490))</f>
        <v/>
      </c>
    </row>
    <row r="2994">
      <c r="A2994">
        <f>IF(AND(LEN('Providers'!A494)&gt;0,ISNUMBER('Providers'!S494)),1,0)</f>
        <v/>
      </c>
      <c r="B2994">
        <f>B2993+A2994</f>
        <v/>
      </c>
      <c r="C2994">
        <f>IF(2991&gt;$B$4503,"",MATCH(2991-0.5,$B$3:$B$4503,1))</f>
        <v/>
      </c>
      <c r="D2994">
        <f>"Life support ("&amp;IF(LEN(INDEX('Providers'!$R$4:$R$503,491))=0,"",INDEX('Providers'!$R$4:$R$503,491))&amp;") – "&amp;IF(LEN(INDEX('Providers'!$A$4:$A$503,491))=0,"",INDEX('Providers'!$A$4:$A$503,491))</f>
        <v/>
      </c>
      <c r="E2994">
        <f>IF(ISNUMBER(INDEX('Providers'!$S$4:$S$503,491)),TEXT(INDEX('Providers'!$S$4:$S$503,491),"yyyy-mm-dd"),"")</f>
        <v/>
      </c>
      <c r="F2994">
        <f>"Certification"</f>
        <v/>
      </c>
      <c r="G2994">
        <f>""</f>
        <v/>
      </c>
      <c r="H2994">
        <f>"Medium"</f>
        <v/>
      </c>
      <c r="I2994">
        <f>TRIM(IF(LEN(IF(LEN(INDEX('Providers'!$R$4:$R$503,491))=0,"",INDEX('Providers'!$R$4:$R$503,491)))=0,"","Card: "&amp;IF(LEN(INDEX('Providers'!$R$4:$R$503,491))=0,"",INDEX('Providers'!$R$4:$R$503,491))&amp;". "))</f>
        <v/>
      </c>
      <c r="J2994">
        <f>IF(LEN(INDEX('Providers'!$AJ$4:$AJ$503,491))=0,"",INDEX('Providers'!$AJ$4:$AJ$503,491))</f>
        <v/>
      </c>
      <c r="K2994">
        <f>IF(LEN(INDEX('Providers'!$AI$4:$AI$503,491))=0,"",INDEX('Providers'!$AI$4:$AI$503,491))</f>
        <v/>
      </c>
    </row>
    <row r="2995">
      <c r="A2995">
        <f>IF(AND(LEN('Providers'!A495)&gt;0,ISNUMBER('Providers'!S495)),1,0)</f>
        <v/>
      </c>
      <c r="B2995">
        <f>B2994+A2995</f>
        <v/>
      </c>
      <c r="C2995">
        <f>IF(2992&gt;$B$4503,"",MATCH(2992-0.5,$B$3:$B$4503,1))</f>
        <v/>
      </c>
      <c r="D2995">
        <f>"Life support ("&amp;IF(LEN(INDEX('Providers'!$R$4:$R$503,492))=0,"",INDEX('Providers'!$R$4:$R$503,492))&amp;") – "&amp;IF(LEN(INDEX('Providers'!$A$4:$A$503,492))=0,"",INDEX('Providers'!$A$4:$A$503,492))</f>
        <v/>
      </c>
      <c r="E2995">
        <f>IF(ISNUMBER(INDEX('Providers'!$S$4:$S$503,492)),TEXT(INDEX('Providers'!$S$4:$S$503,492),"yyyy-mm-dd"),"")</f>
        <v/>
      </c>
      <c r="F2995">
        <f>"Certification"</f>
        <v/>
      </c>
      <c r="G2995">
        <f>""</f>
        <v/>
      </c>
      <c r="H2995">
        <f>"Medium"</f>
        <v/>
      </c>
      <c r="I2995">
        <f>TRIM(IF(LEN(IF(LEN(INDEX('Providers'!$R$4:$R$503,492))=0,"",INDEX('Providers'!$R$4:$R$503,492)))=0,"","Card: "&amp;IF(LEN(INDEX('Providers'!$R$4:$R$503,492))=0,"",INDEX('Providers'!$R$4:$R$503,492))&amp;". "))</f>
        <v/>
      </c>
      <c r="J2995">
        <f>IF(LEN(INDEX('Providers'!$AJ$4:$AJ$503,492))=0,"",INDEX('Providers'!$AJ$4:$AJ$503,492))</f>
        <v/>
      </c>
      <c r="K2995">
        <f>IF(LEN(INDEX('Providers'!$AI$4:$AI$503,492))=0,"",INDEX('Providers'!$AI$4:$AI$503,492))</f>
        <v/>
      </c>
    </row>
    <row r="2996">
      <c r="A2996">
        <f>IF(AND(LEN('Providers'!A496)&gt;0,ISNUMBER('Providers'!S496)),1,0)</f>
        <v/>
      </c>
      <c r="B2996">
        <f>B2995+A2996</f>
        <v/>
      </c>
      <c r="C2996">
        <f>IF(2993&gt;$B$4503,"",MATCH(2993-0.5,$B$3:$B$4503,1))</f>
        <v/>
      </c>
      <c r="D2996">
        <f>"Life support ("&amp;IF(LEN(INDEX('Providers'!$R$4:$R$503,493))=0,"",INDEX('Providers'!$R$4:$R$503,493))&amp;") – "&amp;IF(LEN(INDEX('Providers'!$A$4:$A$503,493))=0,"",INDEX('Providers'!$A$4:$A$503,493))</f>
        <v/>
      </c>
      <c r="E2996">
        <f>IF(ISNUMBER(INDEX('Providers'!$S$4:$S$503,493)),TEXT(INDEX('Providers'!$S$4:$S$503,493),"yyyy-mm-dd"),"")</f>
        <v/>
      </c>
      <c r="F2996">
        <f>"Certification"</f>
        <v/>
      </c>
      <c r="G2996">
        <f>""</f>
        <v/>
      </c>
      <c r="H2996">
        <f>"Medium"</f>
        <v/>
      </c>
      <c r="I2996">
        <f>TRIM(IF(LEN(IF(LEN(INDEX('Providers'!$R$4:$R$503,493))=0,"",INDEX('Providers'!$R$4:$R$503,493)))=0,"","Card: "&amp;IF(LEN(INDEX('Providers'!$R$4:$R$503,493))=0,"",INDEX('Providers'!$R$4:$R$503,493))&amp;". "))</f>
        <v/>
      </c>
      <c r="J2996">
        <f>IF(LEN(INDEX('Providers'!$AJ$4:$AJ$503,493))=0,"",INDEX('Providers'!$AJ$4:$AJ$503,493))</f>
        <v/>
      </c>
      <c r="K2996">
        <f>IF(LEN(INDEX('Providers'!$AI$4:$AI$503,493))=0,"",INDEX('Providers'!$AI$4:$AI$503,493))</f>
        <v/>
      </c>
    </row>
    <row r="2997">
      <c r="A2997">
        <f>IF(AND(LEN('Providers'!A497)&gt;0,ISNUMBER('Providers'!S497)),1,0)</f>
        <v/>
      </c>
      <c r="B2997">
        <f>B2996+A2997</f>
        <v/>
      </c>
      <c r="C2997">
        <f>IF(2994&gt;$B$4503,"",MATCH(2994-0.5,$B$3:$B$4503,1))</f>
        <v/>
      </c>
      <c r="D2997">
        <f>"Life support ("&amp;IF(LEN(INDEX('Providers'!$R$4:$R$503,494))=0,"",INDEX('Providers'!$R$4:$R$503,494))&amp;") – "&amp;IF(LEN(INDEX('Providers'!$A$4:$A$503,494))=0,"",INDEX('Providers'!$A$4:$A$503,494))</f>
        <v/>
      </c>
      <c r="E2997">
        <f>IF(ISNUMBER(INDEX('Providers'!$S$4:$S$503,494)),TEXT(INDEX('Providers'!$S$4:$S$503,494),"yyyy-mm-dd"),"")</f>
        <v/>
      </c>
      <c r="F2997">
        <f>"Certification"</f>
        <v/>
      </c>
      <c r="G2997">
        <f>""</f>
        <v/>
      </c>
      <c r="H2997">
        <f>"Medium"</f>
        <v/>
      </c>
      <c r="I2997">
        <f>TRIM(IF(LEN(IF(LEN(INDEX('Providers'!$R$4:$R$503,494))=0,"",INDEX('Providers'!$R$4:$R$503,494)))=0,"","Card: "&amp;IF(LEN(INDEX('Providers'!$R$4:$R$503,494))=0,"",INDEX('Providers'!$R$4:$R$503,494))&amp;". "))</f>
        <v/>
      </c>
      <c r="J2997">
        <f>IF(LEN(INDEX('Providers'!$AJ$4:$AJ$503,494))=0,"",INDEX('Providers'!$AJ$4:$AJ$503,494))</f>
        <v/>
      </c>
      <c r="K2997">
        <f>IF(LEN(INDEX('Providers'!$AI$4:$AI$503,494))=0,"",INDEX('Providers'!$AI$4:$AI$503,494))</f>
        <v/>
      </c>
    </row>
    <row r="2998">
      <c r="A2998">
        <f>IF(AND(LEN('Providers'!A498)&gt;0,ISNUMBER('Providers'!S498)),1,0)</f>
        <v/>
      </c>
      <c r="B2998">
        <f>B2997+A2998</f>
        <v/>
      </c>
      <c r="C2998">
        <f>IF(2995&gt;$B$4503,"",MATCH(2995-0.5,$B$3:$B$4503,1))</f>
        <v/>
      </c>
      <c r="D2998">
        <f>"Life support ("&amp;IF(LEN(INDEX('Providers'!$R$4:$R$503,495))=0,"",INDEX('Providers'!$R$4:$R$503,495))&amp;") – "&amp;IF(LEN(INDEX('Providers'!$A$4:$A$503,495))=0,"",INDEX('Providers'!$A$4:$A$503,495))</f>
        <v/>
      </c>
      <c r="E2998">
        <f>IF(ISNUMBER(INDEX('Providers'!$S$4:$S$503,495)),TEXT(INDEX('Providers'!$S$4:$S$503,495),"yyyy-mm-dd"),"")</f>
        <v/>
      </c>
      <c r="F2998">
        <f>"Certification"</f>
        <v/>
      </c>
      <c r="G2998">
        <f>""</f>
        <v/>
      </c>
      <c r="H2998">
        <f>"Medium"</f>
        <v/>
      </c>
      <c r="I2998">
        <f>TRIM(IF(LEN(IF(LEN(INDEX('Providers'!$R$4:$R$503,495))=0,"",INDEX('Providers'!$R$4:$R$503,495)))=0,"","Card: "&amp;IF(LEN(INDEX('Providers'!$R$4:$R$503,495))=0,"",INDEX('Providers'!$R$4:$R$503,495))&amp;". "))</f>
        <v/>
      </c>
      <c r="J2998">
        <f>IF(LEN(INDEX('Providers'!$AJ$4:$AJ$503,495))=0,"",INDEX('Providers'!$AJ$4:$AJ$503,495))</f>
        <v/>
      </c>
      <c r="K2998">
        <f>IF(LEN(INDEX('Providers'!$AI$4:$AI$503,495))=0,"",INDEX('Providers'!$AI$4:$AI$503,495))</f>
        <v/>
      </c>
    </row>
    <row r="2999">
      <c r="A2999">
        <f>IF(AND(LEN('Providers'!A499)&gt;0,ISNUMBER('Providers'!S499)),1,0)</f>
        <v/>
      </c>
      <c r="B2999">
        <f>B2998+A2999</f>
        <v/>
      </c>
      <c r="C2999">
        <f>IF(2996&gt;$B$4503,"",MATCH(2996-0.5,$B$3:$B$4503,1))</f>
        <v/>
      </c>
      <c r="D2999">
        <f>"Life support ("&amp;IF(LEN(INDEX('Providers'!$R$4:$R$503,496))=0,"",INDEX('Providers'!$R$4:$R$503,496))&amp;") – "&amp;IF(LEN(INDEX('Providers'!$A$4:$A$503,496))=0,"",INDEX('Providers'!$A$4:$A$503,496))</f>
        <v/>
      </c>
      <c r="E2999">
        <f>IF(ISNUMBER(INDEX('Providers'!$S$4:$S$503,496)),TEXT(INDEX('Providers'!$S$4:$S$503,496),"yyyy-mm-dd"),"")</f>
        <v/>
      </c>
      <c r="F2999">
        <f>"Certification"</f>
        <v/>
      </c>
      <c r="G2999">
        <f>""</f>
        <v/>
      </c>
      <c r="H2999">
        <f>"Medium"</f>
        <v/>
      </c>
      <c r="I2999">
        <f>TRIM(IF(LEN(IF(LEN(INDEX('Providers'!$R$4:$R$503,496))=0,"",INDEX('Providers'!$R$4:$R$503,496)))=0,"","Card: "&amp;IF(LEN(INDEX('Providers'!$R$4:$R$503,496))=0,"",INDEX('Providers'!$R$4:$R$503,496))&amp;". "))</f>
        <v/>
      </c>
      <c r="J2999">
        <f>IF(LEN(INDEX('Providers'!$AJ$4:$AJ$503,496))=0,"",INDEX('Providers'!$AJ$4:$AJ$503,496))</f>
        <v/>
      </c>
      <c r="K2999">
        <f>IF(LEN(INDEX('Providers'!$AI$4:$AI$503,496))=0,"",INDEX('Providers'!$AI$4:$AI$503,496))</f>
        <v/>
      </c>
    </row>
    <row r="3000">
      <c r="A3000">
        <f>IF(AND(LEN('Providers'!A500)&gt;0,ISNUMBER('Providers'!S500)),1,0)</f>
        <v/>
      </c>
      <c r="B3000">
        <f>B2999+A3000</f>
        <v/>
      </c>
      <c r="C3000">
        <f>IF(2997&gt;$B$4503,"",MATCH(2997-0.5,$B$3:$B$4503,1))</f>
        <v/>
      </c>
      <c r="D3000">
        <f>"Life support ("&amp;IF(LEN(INDEX('Providers'!$R$4:$R$503,497))=0,"",INDEX('Providers'!$R$4:$R$503,497))&amp;") – "&amp;IF(LEN(INDEX('Providers'!$A$4:$A$503,497))=0,"",INDEX('Providers'!$A$4:$A$503,497))</f>
        <v/>
      </c>
      <c r="E3000">
        <f>IF(ISNUMBER(INDEX('Providers'!$S$4:$S$503,497)),TEXT(INDEX('Providers'!$S$4:$S$503,497),"yyyy-mm-dd"),"")</f>
        <v/>
      </c>
      <c r="F3000">
        <f>"Certification"</f>
        <v/>
      </c>
      <c r="G3000">
        <f>""</f>
        <v/>
      </c>
      <c r="H3000">
        <f>"Medium"</f>
        <v/>
      </c>
      <c r="I3000">
        <f>TRIM(IF(LEN(IF(LEN(INDEX('Providers'!$R$4:$R$503,497))=0,"",INDEX('Providers'!$R$4:$R$503,497)))=0,"","Card: "&amp;IF(LEN(INDEX('Providers'!$R$4:$R$503,497))=0,"",INDEX('Providers'!$R$4:$R$503,497))&amp;". "))</f>
        <v/>
      </c>
      <c r="J3000">
        <f>IF(LEN(INDEX('Providers'!$AJ$4:$AJ$503,497))=0,"",INDEX('Providers'!$AJ$4:$AJ$503,497))</f>
        <v/>
      </c>
      <c r="K3000">
        <f>IF(LEN(INDEX('Providers'!$AI$4:$AI$503,497))=0,"",INDEX('Providers'!$AI$4:$AI$503,497))</f>
        <v/>
      </c>
    </row>
    <row r="3001">
      <c r="A3001">
        <f>IF(AND(LEN('Providers'!A501)&gt;0,ISNUMBER('Providers'!S501)),1,0)</f>
        <v/>
      </c>
      <c r="B3001">
        <f>B3000+A3001</f>
        <v/>
      </c>
      <c r="C3001">
        <f>IF(2998&gt;$B$4503,"",MATCH(2998-0.5,$B$3:$B$4503,1))</f>
        <v/>
      </c>
      <c r="D3001">
        <f>"Life support ("&amp;IF(LEN(INDEX('Providers'!$R$4:$R$503,498))=0,"",INDEX('Providers'!$R$4:$R$503,498))&amp;") – "&amp;IF(LEN(INDEX('Providers'!$A$4:$A$503,498))=0,"",INDEX('Providers'!$A$4:$A$503,498))</f>
        <v/>
      </c>
      <c r="E3001">
        <f>IF(ISNUMBER(INDEX('Providers'!$S$4:$S$503,498)),TEXT(INDEX('Providers'!$S$4:$S$503,498),"yyyy-mm-dd"),"")</f>
        <v/>
      </c>
      <c r="F3001">
        <f>"Certification"</f>
        <v/>
      </c>
      <c r="G3001">
        <f>""</f>
        <v/>
      </c>
      <c r="H3001">
        <f>"Medium"</f>
        <v/>
      </c>
      <c r="I3001">
        <f>TRIM(IF(LEN(IF(LEN(INDEX('Providers'!$R$4:$R$503,498))=0,"",INDEX('Providers'!$R$4:$R$503,498)))=0,"","Card: "&amp;IF(LEN(INDEX('Providers'!$R$4:$R$503,498))=0,"",INDEX('Providers'!$R$4:$R$503,498))&amp;". "))</f>
        <v/>
      </c>
      <c r="J3001">
        <f>IF(LEN(INDEX('Providers'!$AJ$4:$AJ$503,498))=0,"",INDEX('Providers'!$AJ$4:$AJ$503,498))</f>
        <v/>
      </c>
      <c r="K3001">
        <f>IF(LEN(INDEX('Providers'!$AI$4:$AI$503,498))=0,"",INDEX('Providers'!$AI$4:$AI$503,498))</f>
        <v/>
      </c>
    </row>
    <row r="3002">
      <c r="A3002">
        <f>IF(AND(LEN('Providers'!A502)&gt;0,ISNUMBER('Providers'!S502)),1,0)</f>
        <v/>
      </c>
      <c r="B3002">
        <f>B3001+A3002</f>
        <v/>
      </c>
      <c r="C3002">
        <f>IF(2999&gt;$B$4503,"",MATCH(2999-0.5,$B$3:$B$4503,1))</f>
        <v/>
      </c>
      <c r="D3002">
        <f>"Life support ("&amp;IF(LEN(INDEX('Providers'!$R$4:$R$503,499))=0,"",INDEX('Providers'!$R$4:$R$503,499))&amp;") – "&amp;IF(LEN(INDEX('Providers'!$A$4:$A$503,499))=0,"",INDEX('Providers'!$A$4:$A$503,499))</f>
        <v/>
      </c>
      <c r="E3002">
        <f>IF(ISNUMBER(INDEX('Providers'!$S$4:$S$503,499)),TEXT(INDEX('Providers'!$S$4:$S$503,499),"yyyy-mm-dd"),"")</f>
        <v/>
      </c>
      <c r="F3002">
        <f>"Certification"</f>
        <v/>
      </c>
      <c r="G3002">
        <f>""</f>
        <v/>
      </c>
      <c r="H3002">
        <f>"Medium"</f>
        <v/>
      </c>
      <c r="I3002">
        <f>TRIM(IF(LEN(IF(LEN(INDEX('Providers'!$R$4:$R$503,499))=0,"",INDEX('Providers'!$R$4:$R$503,499)))=0,"","Card: "&amp;IF(LEN(INDEX('Providers'!$R$4:$R$503,499))=0,"",INDEX('Providers'!$R$4:$R$503,499))&amp;". "))</f>
        <v/>
      </c>
      <c r="J3002">
        <f>IF(LEN(INDEX('Providers'!$AJ$4:$AJ$503,499))=0,"",INDEX('Providers'!$AJ$4:$AJ$503,499))</f>
        <v/>
      </c>
      <c r="K3002">
        <f>IF(LEN(INDEX('Providers'!$AI$4:$AI$503,499))=0,"",INDEX('Providers'!$AI$4:$AI$503,499))</f>
        <v/>
      </c>
    </row>
    <row r="3003">
      <c r="A3003">
        <f>IF(AND(LEN('Providers'!A503)&gt;0,ISNUMBER('Providers'!S503)),1,0)</f>
        <v/>
      </c>
      <c r="B3003">
        <f>B3002+A3003</f>
        <v/>
      </c>
      <c r="C3003">
        <f>IF(3000&gt;$B$4503,"",MATCH(3000-0.5,$B$3:$B$4503,1))</f>
        <v/>
      </c>
      <c r="D3003">
        <f>"Life support ("&amp;IF(LEN(INDEX('Providers'!$R$4:$R$503,500))=0,"",INDEX('Providers'!$R$4:$R$503,500))&amp;") – "&amp;IF(LEN(INDEX('Providers'!$A$4:$A$503,500))=0,"",INDEX('Providers'!$A$4:$A$503,500))</f>
        <v/>
      </c>
      <c r="E3003">
        <f>IF(ISNUMBER(INDEX('Providers'!$S$4:$S$503,500)),TEXT(INDEX('Providers'!$S$4:$S$503,500),"yyyy-mm-dd"),"")</f>
        <v/>
      </c>
      <c r="F3003">
        <f>"Certification"</f>
        <v/>
      </c>
      <c r="G3003">
        <f>""</f>
        <v/>
      </c>
      <c r="H3003">
        <f>"Medium"</f>
        <v/>
      </c>
      <c r="I3003">
        <f>TRIM(IF(LEN(IF(LEN(INDEX('Providers'!$R$4:$R$503,500))=0,"",INDEX('Providers'!$R$4:$R$503,500)))=0,"","Card: "&amp;IF(LEN(INDEX('Providers'!$R$4:$R$503,500))=0,"",INDEX('Providers'!$R$4:$R$503,500))&amp;". "))</f>
        <v/>
      </c>
      <c r="J3003">
        <f>IF(LEN(INDEX('Providers'!$AJ$4:$AJ$503,500))=0,"",INDEX('Providers'!$AJ$4:$AJ$503,500))</f>
        <v/>
      </c>
      <c r="K3003">
        <f>IF(LEN(INDEX('Providers'!$AI$4:$AI$503,500))=0,"",INDEX('Providers'!$AI$4:$AI$503,500))</f>
        <v/>
      </c>
    </row>
    <row r="3004">
      <c r="A3004">
        <f>IF(AND(LEN('Providers'!A4)&gt;0,ISNUMBER('Providers'!W4)),1,0)</f>
        <v/>
      </c>
      <c r="B3004">
        <f>B3003+A3004</f>
        <v/>
      </c>
      <c r="C3004">
        <f>IF(3001&gt;$B$4503,"",MATCH(3001-0.5,$B$3:$B$4503,1))</f>
        <v/>
      </c>
      <c r="D3004">
        <f>"CAQH re-attestation – "&amp;IF(LEN(INDEX('Providers'!$A$4:$A$503,1))=0,"",INDEX('Providers'!$A$4:$A$503,1))</f>
        <v/>
      </c>
      <c r="E3004">
        <f>IF(ISNUMBER(INDEX('Providers'!$W$4:$W$503,1)),TEXT(INDEX('Providers'!$W$4:$W$503,1),"yyyy-mm-dd"),"")</f>
        <v/>
      </c>
      <c r="F3004">
        <f>"Credentialing"</f>
        <v/>
      </c>
      <c r="G3004">
        <f>IF(ISNUMBER(INDEX('Providers'!$U$4:$U$503,1)),TEXT(INDEX('Providers'!$U$4:$U$503,1),"yyyy-mm-dd"),"")</f>
        <v/>
      </c>
      <c r="H3004">
        <f>"High"</f>
        <v/>
      </c>
      <c r="I3004">
        <f>TRIM(IF(LEN(IF(LEN(INDEX('Providers'!$T$4:$T$503,1))=0,"",INDEX('Providers'!$T$4:$T$503,1)))=0,"","CAQH ID: "&amp;IF(LEN(INDEX('Providers'!$T$4:$T$503,1))=0,"",INDEX('Providers'!$T$4:$T$503,1))&amp;". ")&amp;IF(LEN(IF(ISNUMBER(INDEX('Providers'!$U$4:$U$503,1)),TEXT(INDEX('Providers'!$U$4:$U$503,1),"yyyy-mm-dd"),""))=0,"","Last attested: "&amp;IF(ISNUMBER(INDEX('Providers'!$U$4:$U$503,1)),TEXT(INDEX('Providers'!$U$4:$U$503,1),"yyyy-mm-dd"),"")&amp;". "))</f>
        <v/>
      </c>
      <c r="J3004">
        <f>IF(LEN(INDEX('Providers'!$AJ$4:$AJ$503,1))=0,"",INDEX('Providers'!$AJ$4:$AJ$503,1))</f>
        <v/>
      </c>
      <c r="K3004">
        <f>IF(LEN(INDEX('Providers'!$AI$4:$AI$503,1))=0,"",INDEX('Providers'!$AI$4:$AI$503,1))</f>
        <v/>
      </c>
    </row>
    <row r="3005">
      <c r="A3005">
        <f>IF(AND(LEN('Providers'!A5)&gt;0,ISNUMBER('Providers'!W5)),1,0)</f>
        <v/>
      </c>
      <c r="B3005">
        <f>B3004+A3005</f>
        <v/>
      </c>
      <c r="C3005">
        <f>IF(3002&gt;$B$4503,"",MATCH(3002-0.5,$B$3:$B$4503,1))</f>
        <v/>
      </c>
      <c r="D3005">
        <f>"CAQH re-attestation – "&amp;IF(LEN(INDEX('Providers'!$A$4:$A$503,2))=0,"",INDEX('Providers'!$A$4:$A$503,2))</f>
        <v/>
      </c>
      <c r="E3005">
        <f>IF(ISNUMBER(INDEX('Providers'!$W$4:$W$503,2)),TEXT(INDEX('Providers'!$W$4:$W$503,2),"yyyy-mm-dd"),"")</f>
        <v/>
      </c>
      <c r="F3005">
        <f>"Credentialing"</f>
        <v/>
      </c>
      <c r="G3005">
        <f>IF(ISNUMBER(INDEX('Providers'!$U$4:$U$503,2)),TEXT(INDEX('Providers'!$U$4:$U$503,2),"yyyy-mm-dd"),"")</f>
        <v/>
      </c>
      <c r="H3005">
        <f>"High"</f>
        <v/>
      </c>
      <c r="I3005">
        <f>TRIM(IF(LEN(IF(LEN(INDEX('Providers'!$T$4:$T$503,2))=0,"",INDEX('Providers'!$T$4:$T$503,2)))=0,"","CAQH ID: "&amp;IF(LEN(INDEX('Providers'!$T$4:$T$503,2))=0,"",INDEX('Providers'!$T$4:$T$503,2))&amp;". ")&amp;IF(LEN(IF(ISNUMBER(INDEX('Providers'!$U$4:$U$503,2)),TEXT(INDEX('Providers'!$U$4:$U$503,2),"yyyy-mm-dd"),""))=0,"","Last attested: "&amp;IF(ISNUMBER(INDEX('Providers'!$U$4:$U$503,2)),TEXT(INDEX('Providers'!$U$4:$U$503,2),"yyyy-mm-dd"),"")&amp;". "))</f>
        <v/>
      </c>
      <c r="J3005">
        <f>IF(LEN(INDEX('Providers'!$AJ$4:$AJ$503,2))=0,"",INDEX('Providers'!$AJ$4:$AJ$503,2))</f>
        <v/>
      </c>
      <c r="K3005">
        <f>IF(LEN(INDEX('Providers'!$AI$4:$AI$503,2))=0,"",INDEX('Providers'!$AI$4:$AI$503,2))</f>
        <v/>
      </c>
    </row>
    <row r="3006">
      <c r="A3006">
        <f>IF(AND(LEN('Providers'!A6)&gt;0,ISNUMBER('Providers'!W6)),1,0)</f>
        <v/>
      </c>
      <c r="B3006">
        <f>B3005+A3006</f>
        <v/>
      </c>
      <c r="C3006">
        <f>IF(3003&gt;$B$4503,"",MATCH(3003-0.5,$B$3:$B$4503,1))</f>
        <v/>
      </c>
      <c r="D3006">
        <f>"CAQH re-attestation – "&amp;IF(LEN(INDEX('Providers'!$A$4:$A$503,3))=0,"",INDEX('Providers'!$A$4:$A$503,3))</f>
        <v/>
      </c>
      <c r="E3006">
        <f>IF(ISNUMBER(INDEX('Providers'!$W$4:$W$503,3)),TEXT(INDEX('Providers'!$W$4:$W$503,3),"yyyy-mm-dd"),"")</f>
        <v/>
      </c>
      <c r="F3006">
        <f>"Credentialing"</f>
        <v/>
      </c>
      <c r="G3006">
        <f>IF(ISNUMBER(INDEX('Providers'!$U$4:$U$503,3)),TEXT(INDEX('Providers'!$U$4:$U$503,3),"yyyy-mm-dd"),"")</f>
        <v/>
      </c>
      <c r="H3006">
        <f>"High"</f>
        <v/>
      </c>
      <c r="I3006">
        <f>TRIM(IF(LEN(IF(LEN(INDEX('Providers'!$T$4:$T$503,3))=0,"",INDEX('Providers'!$T$4:$T$503,3)))=0,"","CAQH ID: "&amp;IF(LEN(INDEX('Providers'!$T$4:$T$503,3))=0,"",INDEX('Providers'!$T$4:$T$503,3))&amp;". ")&amp;IF(LEN(IF(ISNUMBER(INDEX('Providers'!$U$4:$U$503,3)),TEXT(INDEX('Providers'!$U$4:$U$503,3),"yyyy-mm-dd"),""))=0,"","Last attested: "&amp;IF(ISNUMBER(INDEX('Providers'!$U$4:$U$503,3)),TEXT(INDEX('Providers'!$U$4:$U$503,3),"yyyy-mm-dd"),"")&amp;". "))</f>
        <v/>
      </c>
      <c r="J3006">
        <f>IF(LEN(INDEX('Providers'!$AJ$4:$AJ$503,3))=0,"",INDEX('Providers'!$AJ$4:$AJ$503,3))</f>
        <v/>
      </c>
      <c r="K3006">
        <f>IF(LEN(INDEX('Providers'!$AI$4:$AI$503,3))=0,"",INDEX('Providers'!$AI$4:$AI$503,3))</f>
        <v/>
      </c>
    </row>
    <row r="3007">
      <c r="A3007">
        <f>IF(AND(LEN('Providers'!A7)&gt;0,ISNUMBER('Providers'!W7)),1,0)</f>
        <v/>
      </c>
      <c r="B3007">
        <f>B3006+A3007</f>
        <v/>
      </c>
      <c r="C3007">
        <f>IF(3004&gt;$B$4503,"",MATCH(3004-0.5,$B$3:$B$4503,1))</f>
        <v/>
      </c>
      <c r="D3007">
        <f>"CAQH re-attestation – "&amp;IF(LEN(INDEX('Providers'!$A$4:$A$503,4))=0,"",INDEX('Providers'!$A$4:$A$503,4))</f>
        <v/>
      </c>
      <c r="E3007">
        <f>IF(ISNUMBER(INDEX('Providers'!$W$4:$W$503,4)),TEXT(INDEX('Providers'!$W$4:$W$503,4),"yyyy-mm-dd"),"")</f>
        <v/>
      </c>
      <c r="F3007">
        <f>"Credentialing"</f>
        <v/>
      </c>
      <c r="G3007">
        <f>IF(ISNUMBER(INDEX('Providers'!$U$4:$U$503,4)),TEXT(INDEX('Providers'!$U$4:$U$503,4),"yyyy-mm-dd"),"")</f>
        <v/>
      </c>
      <c r="H3007">
        <f>"High"</f>
        <v/>
      </c>
      <c r="I3007">
        <f>TRIM(IF(LEN(IF(LEN(INDEX('Providers'!$T$4:$T$503,4))=0,"",INDEX('Providers'!$T$4:$T$503,4)))=0,"","CAQH ID: "&amp;IF(LEN(INDEX('Providers'!$T$4:$T$503,4))=0,"",INDEX('Providers'!$T$4:$T$503,4))&amp;". ")&amp;IF(LEN(IF(ISNUMBER(INDEX('Providers'!$U$4:$U$503,4)),TEXT(INDEX('Providers'!$U$4:$U$503,4),"yyyy-mm-dd"),""))=0,"","Last attested: "&amp;IF(ISNUMBER(INDEX('Providers'!$U$4:$U$503,4)),TEXT(INDEX('Providers'!$U$4:$U$503,4),"yyyy-mm-dd"),"")&amp;". "))</f>
        <v/>
      </c>
      <c r="J3007">
        <f>IF(LEN(INDEX('Providers'!$AJ$4:$AJ$503,4))=0,"",INDEX('Providers'!$AJ$4:$AJ$503,4))</f>
        <v/>
      </c>
      <c r="K3007">
        <f>IF(LEN(INDEX('Providers'!$AI$4:$AI$503,4))=0,"",INDEX('Providers'!$AI$4:$AI$503,4))</f>
        <v/>
      </c>
    </row>
    <row r="3008">
      <c r="A3008">
        <f>IF(AND(LEN('Providers'!A8)&gt;0,ISNUMBER('Providers'!W8)),1,0)</f>
        <v/>
      </c>
      <c r="B3008">
        <f>B3007+A3008</f>
        <v/>
      </c>
      <c r="C3008">
        <f>IF(3005&gt;$B$4503,"",MATCH(3005-0.5,$B$3:$B$4503,1))</f>
        <v/>
      </c>
      <c r="D3008">
        <f>"CAQH re-attestation – "&amp;IF(LEN(INDEX('Providers'!$A$4:$A$503,5))=0,"",INDEX('Providers'!$A$4:$A$503,5))</f>
        <v/>
      </c>
      <c r="E3008">
        <f>IF(ISNUMBER(INDEX('Providers'!$W$4:$W$503,5)),TEXT(INDEX('Providers'!$W$4:$W$503,5),"yyyy-mm-dd"),"")</f>
        <v/>
      </c>
      <c r="F3008">
        <f>"Credentialing"</f>
        <v/>
      </c>
      <c r="G3008">
        <f>IF(ISNUMBER(INDEX('Providers'!$U$4:$U$503,5)),TEXT(INDEX('Providers'!$U$4:$U$503,5),"yyyy-mm-dd"),"")</f>
        <v/>
      </c>
      <c r="H3008">
        <f>"High"</f>
        <v/>
      </c>
      <c r="I3008">
        <f>TRIM(IF(LEN(IF(LEN(INDEX('Providers'!$T$4:$T$503,5))=0,"",INDEX('Providers'!$T$4:$T$503,5)))=0,"","CAQH ID: "&amp;IF(LEN(INDEX('Providers'!$T$4:$T$503,5))=0,"",INDEX('Providers'!$T$4:$T$503,5))&amp;". ")&amp;IF(LEN(IF(ISNUMBER(INDEX('Providers'!$U$4:$U$503,5)),TEXT(INDEX('Providers'!$U$4:$U$503,5),"yyyy-mm-dd"),""))=0,"","Last attested: "&amp;IF(ISNUMBER(INDEX('Providers'!$U$4:$U$503,5)),TEXT(INDEX('Providers'!$U$4:$U$503,5),"yyyy-mm-dd"),"")&amp;". "))</f>
        <v/>
      </c>
      <c r="J3008">
        <f>IF(LEN(INDEX('Providers'!$AJ$4:$AJ$503,5))=0,"",INDEX('Providers'!$AJ$4:$AJ$503,5))</f>
        <v/>
      </c>
      <c r="K3008">
        <f>IF(LEN(INDEX('Providers'!$AI$4:$AI$503,5))=0,"",INDEX('Providers'!$AI$4:$AI$503,5))</f>
        <v/>
      </c>
    </row>
    <row r="3009">
      <c r="A3009">
        <f>IF(AND(LEN('Providers'!A9)&gt;0,ISNUMBER('Providers'!W9)),1,0)</f>
        <v/>
      </c>
      <c r="B3009">
        <f>B3008+A3009</f>
        <v/>
      </c>
      <c r="C3009">
        <f>IF(3006&gt;$B$4503,"",MATCH(3006-0.5,$B$3:$B$4503,1))</f>
        <v/>
      </c>
      <c r="D3009">
        <f>"CAQH re-attestation – "&amp;IF(LEN(INDEX('Providers'!$A$4:$A$503,6))=0,"",INDEX('Providers'!$A$4:$A$503,6))</f>
        <v/>
      </c>
      <c r="E3009">
        <f>IF(ISNUMBER(INDEX('Providers'!$W$4:$W$503,6)),TEXT(INDEX('Providers'!$W$4:$W$503,6),"yyyy-mm-dd"),"")</f>
        <v/>
      </c>
      <c r="F3009">
        <f>"Credentialing"</f>
        <v/>
      </c>
      <c r="G3009">
        <f>IF(ISNUMBER(INDEX('Providers'!$U$4:$U$503,6)),TEXT(INDEX('Providers'!$U$4:$U$503,6),"yyyy-mm-dd"),"")</f>
        <v/>
      </c>
      <c r="H3009">
        <f>"High"</f>
        <v/>
      </c>
      <c r="I3009">
        <f>TRIM(IF(LEN(IF(LEN(INDEX('Providers'!$T$4:$T$503,6))=0,"",INDEX('Providers'!$T$4:$T$503,6)))=0,"","CAQH ID: "&amp;IF(LEN(INDEX('Providers'!$T$4:$T$503,6))=0,"",INDEX('Providers'!$T$4:$T$503,6))&amp;". ")&amp;IF(LEN(IF(ISNUMBER(INDEX('Providers'!$U$4:$U$503,6)),TEXT(INDEX('Providers'!$U$4:$U$503,6),"yyyy-mm-dd"),""))=0,"","Last attested: "&amp;IF(ISNUMBER(INDEX('Providers'!$U$4:$U$503,6)),TEXT(INDEX('Providers'!$U$4:$U$503,6),"yyyy-mm-dd"),"")&amp;". "))</f>
        <v/>
      </c>
      <c r="J3009">
        <f>IF(LEN(INDEX('Providers'!$AJ$4:$AJ$503,6))=0,"",INDEX('Providers'!$AJ$4:$AJ$503,6))</f>
        <v/>
      </c>
      <c r="K3009">
        <f>IF(LEN(INDEX('Providers'!$AI$4:$AI$503,6))=0,"",INDEX('Providers'!$AI$4:$AI$503,6))</f>
        <v/>
      </c>
    </row>
    <row r="3010">
      <c r="A3010">
        <f>IF(AND(LEN('Providers'!A10)&gt;0,ISNUMBER('Providers'!W10)),1,0)</f>
        <v/>
      </c>
      <c r="B3010">
        <f>B3009+A3010</f>
        <v/>
      </c>
      <c r="C3010">
        <f>IF(3007&gt;$B$4503,"",MATCH(3007-0.5,$B$3:$B$4503,1))</f>
        <v/>
      </c>
      <c r="D3010">
        <f>"CAQH re-attestation – "&amp;IF(LEN(INDEX('Providers'!$A$4:$A$503,7))=0,"",INDEX('Providers'!$A$4:$A$503,7))</f>
        <v/>
      </c>
      <c r="E3010">
        <f>IF(ISNUMBER(INDEX('Providers'!$W$4:$W$503,7)),TEXT(INDEX('Providers'!$W$4:$W$503,7),"yyyy-mm-dd"),"")</f>
        <v/>
      </c>
      <c r="F3010">
        <f>"Credentialing"</f>
        <v/>
      </c>
      <c r="G3010">
        <f>IF(ISNUMBER(INDEX('Providers'!$U$4:$U$503,7)),TEXT(INDEX('Providers'!$U$4:$U$503,7),"yyyy-mm-dd"),"")</f>
        <v/>
      </c>
      <c r="H3010">
        <f>"High"</f>
        <v/>
      </c>
      <c r="I3010">
        <f>TRIM(IF(LEN(IF(LEN(INDEX('Providers'!$T$4:$T$503,7))=0,"",INDEX('Providers'!$T$4:$T$503,7)))=0,"","CAQH ID: "&amp;IF(LEN(INDEX('Providers'!$T$4:$T$503,7))=0,"",INDEX('Providers'!$T$4:$T$503,7))&amp;". ")&amp;IF(LEN(IF(ISNUMBER(INDEX('Providers'!$U$4:$U$503,7)),TEXT(INDEX('Providers'!$U$4:$U$503,7),"yyyy-mm-dd"),""))=0,"","Last attested: "&amp;IF(ISNUMBER(INDEX('Providers'!$U$4:$U$503,7)),TEXT(INDEX('Providers'!$U$4:$U$503,7),"yyyy-mm-dd"),"")&amp;". "))</f>
        <v/>
      </c>
      <c r="J3010">
        <f>IF(LEN(INDEX('Providers'!$AJ$4:$AJ$503,7))=0,"",INDEX('Providers'!$AJ$4:$AJ$503,7))</f>
        <v/>
      </c>
      <c r="K3010">
        <f>IF(LEN(INDEX('Providers'!$AI$4:$AI$503,7))=0,"",INDEX('Providers'!$AI$4:$AI$503,7))</f>
        <v/>
      </c>
    </row>
    <row r="3011">
      <c r="A3011">
        <f>IF(AND(LEN('Providers'!A11)&gt;0,ISNUMBER('Providers'!W11)),1,0)</f>
        <v/>
      </c>
      <c r="B3011">
        <f>B3010+A3011</f>
        <v/>
      </c>
      <c r="C3011">
        <f>IF(3008&gt;$B$4503,"",MATCH(3008-0.5,$B$3:$B$4503,1))</f>
        <v/>
      </c>
      <c r="D3011">
        <f>"CAQH re-attestation – "&amp;IF(LEN(INDEX('Providers'!$A$4:$A$503,8))=0,"",INDEX('Providers'!$A$4:$A$503,8))</f>
        <v/>
      </c>
      <c r="E3011">
        <f>IF(ISNUMBER(INDEX('Providers'!$W$4:$W$503,8)),TEXT(INDEX('Providers'!$W$4:$W$503,8),"yyyy-mm-dd"),"")</f>
        <v/>
      </c>
      <c r="F3011">
        <f>"Credentialing"</f>
        <v/>
      </c>
      <c r="G3011">
        <f>IF(ISNUMBER(INDEX('Providers'!$U$4:$U$503,8)),TEXT(INDEX('Providers'!$U$4:$U$503,8),"yyyy-mm-dd"),"")</f>
        <v/>
      </c>
      <c r="H3011">
        <f>"High"</f>
        <v/>
      </c>
      <c r="I3011">
        <f>TRIM(IF(LEN(IF(LEN(INDEX('Providers'!$T$4:$T$503,8))=0,"",INDEX('Providers'!$T$4:$T$503,8)))=0,"","CAQH ID: "&amp;IF(LEN(INDEX('Providers'!$T$4:$T$503,8))=0,"",INDEX('Providers'!$T$4:$T$503,8))&amp;". ")&amp;IF(LEN(IF(ISNUMBER(INDEX('Providers'!$U$4:$U$503,8)),TEXT(INDEX('Providers'!$U$4:$U$503,8),"yyyy-mm-dd"),""))=0,"","Last attested: "&amp;IF(ISNUMBER(INDEX('Providers'!$U$4:$U$503,8)),TEXT(INDEX('Providers'!$U$4:$U$503,8),"yyyy-mm-dd"),"")&amp;". "))</f>
        <v/>
      </c>
      <c r="J3011">
        <f>IF(LEN(INDEX('Providers'!$AJ$4:$AJ$503,8))=0,"",INDEX('Providers'!$AJ$4:$AJ$503,8))</f>
        <v/>
      </c>
      <c r="K3011">
        <f>IF(LEN(INDEX('Providers'!$AI$4:$AI$503,8))=0,"",INDEX('Providers'!$AI$4:$AI$503,8))</f>
        <v/>
      </c>
    </row>
    <row r="3012">
      <c r="A3012">
        <f>IF(AND(LEN('Providers'!A12)&gt;0,ISNUMBER('Providers'!W12)),1,0)</f>
        <v/>
      </c>
      <c r="B3012">
        <f>B3011+A3012</f>
        <v/>
      </c>
      <c r="C3012">
        <f>IF(3009&gt;$B$4503,"",MATCH(3009-0.5,$B$3:$B$4503,1))</f>
        <v/>
      </c>
      <c r="D3012">
        <f>"CAQH re-attestation – "&amp;IF(LEN(INDEX('Providers'!$A$4:$A$503,9))=0,"",INDEX('Providers'!$A$4:$A$503,9))</f>
        <v/>
      </c>
      <c r="E3012">
        <f>IF(ISNUMBER(INDEX('Providers'!$W$4:$W$503,9)),TEXT(INDEX('Providers'!$W$4:$W$503,9),"yyyy-mm-dd"),"")</f>
        <v/>
      </c>
      <c r="F3012">
        <f>"Credentialing"</f>
        <v/>
      </c>
      <c r="G3012">
        <f>IF(ISNUMBER(INDEX('Providers'!$U$4:$U$503,9)),TEXT(INDEX('Providers'!$U$4:$U$503,9),"yyyy-mm-dd"),"")</f>
        <v/>
      </c>
      <c r="H3012">
        <f>"High"</f>
        <v/>
      </c>
      <c r="I3012">
        <f>TRIM(IF(LEN(IF(LEN(INDEX('Providers'!$T$4:$T$503,9))=0,"",INDEX('Providers'!$T$4:$T$503,9)))=0,"","CAQH ID: "&amp;IF(LEN(INDEX('Providers'!$T$4:$T$503,9))=0,"",INDEX('Providers'!$T$4:$T$503,9))&amp;". ")&amp;IF(LEN(IF(ISNUMBER(INDEX('Providers'!$U$4:$U$503,9)),TEXT(INDEX('Providers'!$U$4:$U$503,9),"yyyy-mm-dd"),""))=0,"","Last attested: "&amp;IF(ISNUMBER(INDEX('Providers'!$U$4:$U$503,9)),TEXT(INDEX('Providers'!$U$4:$U$503,9),"yyyy-mm-dd"),"")&amp;". "))</f>
        <v/>
      </c>
      <c r="J3012">
        <f>IF(LEN(INDEX('Providers'!$AJ$4:$AJ$503,9))=0,"",INDEX('Providers'!$AJ$4:$AJ$503,9))</f>
        <v/>
      </c>
      <c r="K3012">
        <f>IF(LEN(INDEX('Providers'!$AI$4:$AI$503,9))=0,"",INDEX('Providers'!$AI$4:$AI$503,9))</f>
        <v/>
      </c>
    </row>
    <row r="3013">
      <c r="A3013">
        <f>IF(AND(LEN('Providers'!A13)&gt;0,ISNUMBER('Providers'!W13)),1,0)</f>
        <v/>
      </c>
      <c r="B3013">
        <f>B3012+A3013</f>
        <v/>
      </c>
      <c r="C3013">
        <f>IF(3010&gt;$B$4503,"",MATCH(3010-0.5,$B$3:$B$4503,1))</f>
        <v/>
      </c>
      <c r="D3013">
        <f>"CAQH re-attestation – "&amp;IF(LEN(INDEX('Providers'!$A$4:$A$503,10))=0,"",INDEX('Providers'!$A$4:$A$503,10))</f>
        <v/>
      </c>
      <c r="E3013">
        <f>IF(ISNUMBER(INDEX('Providers'!$W$4:$W$503,10)),TEXT(INDEX('Providers'!$W$4:$W$503,10),"yyyy-mm-dd"),"")</f>
        <v/>
      </c>
      <c r="F3013">
        <f>"Credentialing"</f>
        <v/>
      </c>
      <c r="G3013">
        <f>IF(ISNUMBER(INDEX('Providers'!$U$4:$U$503,10)),TEXT(INDEX('Providers'!$U$4:$U$503,10),"yyyy-mm-dd"),"")</f>
        <v/>
      </c>
      <c r="H3013">
        <f>"High"</f>
        <v/>
      </c>
      <c r="I3013">
        <f>TRIM(IF(LEN(IF(LEN(INDEX('Providers'!$T$4:$T$503,10))=0,"",INDEX('Providers'!$T$4:$T$503,10)))=0,"","CAQH ID: "&amp;IF(LEN(INDEX('Providers'!$T$4:$T$503,10))=0,"",INDEX('Providers'!$T$4:$T$503,10))&amp;". ")&amp;IF(LEN(IF(ISNUMBER(INDEX('Providers'!$U$4:$U$503,10)),TEXT(INDEX('Providers'!$U$4:$U$503,10),"yyyy-mm-dd"),""))=0,"","Last attested: "&amp;IF(ISNUMBER(INDEX('Providers'!$U$4:$U$503,10)),TEXT(INDEX('Providers'!$U$4:$U$503,10),"yyyy-mm-dd"),"")&amp;". "))</f>
        <v/>
      </c>
      <c r="J3013">
        <f>IF(LEN(INDEX('Providers'!$AJ$4:$AJ$503,10))=0,"",INDEX('Providers'!$AJ$4:$AJ$503,10))</f>
        <v/>
      </c>
      <c r="K3013">
        <f>IF(LEN(INDEX('Providers'!$AI$4:$AI$503,10))=0,"",INDEX('Providers'!$AI$4:$AI$503,10))</f>
        <v/>
      </c>
    </row>
    <row r="3014">
      <c r="A3014">
        <f>IF(AND(LEN('Providers'!A14)&gt;0,ISNUMBER('Providers'!W14)),1,0)</f>
        <v/>
      </c>
      <c r="B3014">
        <f>B3013+A3014</f>
        <v/>
      </c>
      <c r="C3014">
        <f>IF(3011&gt;$B$4503,"",MATCH(3011-0.5,$B$3:$B$4503,1))</f>
        <v/>
      </c>
      <c r="D3014">
        <f>"CAQH re-attestation – "&amp;IF(LEN(INDEX('Providers'!$A$4:$A$503,11))=0,"",INDEX('Providers'!$A$4:$A$503,11))</f>
        <v/>
      </c>
      <c r="E3014">
        <f>IF(ISNUMBER(INDEX('Providers'!$W$4:$W$503,11)),TEXT(INDEX('Providers'!$W$4:$W$503,11),"yyyy-mm-dd"),"")</f>
        <v/>
      </c>
      <c r="F3014">
        <f>"Credentialing"</f>
        <v/>
      </c>
      <c r="G3014">
        <f>IF(ISNUMBER(INDEX('Providers'!$U$4:$U$503,11)),TEXT(INDEX('Providers'!$U$4:$U$503,11),"yyyy-mm-dd"),"")</f>
        <v/>
      </c>
      <c r="H3014">
        <f>"High"</f>
        <v/>
      </c>
      <c r="I3014">
        <f>TRIM(IF(LEN(IF(LEN(INDEX('Providers'!$T$4:$T$503,11))=0,"",INDEX('Providers'!$T$4:$T$503,11)))=0,"","CAQH ID: "&amp;IF(LEN(INDEX('Providers'!$T$4:$T$503,11))=0,"",INDEX('Providers'!$T$4:$T$503,11))&amp;". ")&amp;IF(LEN(IF(ISNUMBER(INDEX('Providers'!$U$4:$U$503,11)),TEXT(INDEX('Providers'!$U$4:$U$503,11),"yyyy-mm-dd"),""))=0,"","Last attested: "&amp;IF(ISNUMBER(INDEX('Providers'!$U$4:$U$503,11)),TEXT(INDEX('Providers'!$U$4:$U$503,11),"yyyy-mm-dd"),"")&amp;". "))</f>
        <v/>
      </c>
      <c r="J3014">
        <f>IF(LEN(INDEX('Providers'!$AJ$4:$AJ$503,11))=0,"",INDEX('Providers'!$AJ$4:$AJ$503,11))</f>
        <v/>
      </c>
      <c r="K3014">
        <f>IF(LEN(INDEX('Providers'!$AI$4:$AI$503,11))=0,"",INDEX('Providers'!$AI$4:$AI$503,11))</f>
        <v/>
      </c>
    </row>
    <row r="3015">
      <c r="A3015">
        <f>IF(AND(LEN('Providers'!A15)&gt;0,ISNUMBER('Providers'!W15)),1,0)</f>
        <v/>
      </c>
      <c r="B3015">
        <f>B3014+A3015</f>
        <v/>
      </c>
      <c r="C3015">
        <f>IF(3012&gt;$B$4503,"",MATCH(3012-0.5,$B$3:$B$4503,1))</f>
        <v/>
      </c>
      <c r="D3015">
        <f>"CAQH re-attestation – "&amp;IF(LEN(INDEX('Providers'!$A$4:$A$503,12))=0,"",INDEX('Providers'!$A$4:$A$503,12))</f>
        <v/>
      </c>
      <c r="E3015">
        <f>IF(ISNUMBER(INDEX('Providers'!$W$4:$W$503,12)),TEXT(INDEX('Providers'!$W$4:$W$503,12),"yyyy-mm-dd"),"")</f>
        <v/>
      </c>
      <c r="F3015">
        <f>"Credentialing"</f>
        <v/>
      </c>
      <c r="G3015">
        <f>IF(ISNUMBER(INDEX('Providers'!$U$4:$U$503,12)),TEXT(INDEX('Providers'!$U$4:$U$503,12),"yyyy-mm-dd"),"")</f>
        <v/>
      </c>
      <c r="H3015">
        <f>"High"</f>
        <v/>
      </c>
      <c r="I3015">
        <f>TRIM(IF(LEN(IF(LEN(INDEX('Providers'!$T$4:$T$503,12))=0,"",INDEX('Providers'!$T$4:$T$503,12)))=0,"","CAQH ID: "&amp;IF(LEN(INDEX('Providers'!$T$4:$T$503,12))=0,"",INDEX('Providers'!$T$4:$T$503,12))&amp;". ")&amp;IF(LEN(IF(ISNUMBER(INDEX('Providers'!$U$4:$U$503,12)),TEXT(INDEX('Providers'!$U$4:$U$503,12),"yyyy-mm-dd"),""))=0,"","Last attested: "&amp;IF(ISNUMBER(INDEX('Providers'!$U$4:$U$503,12)),TEXT(INDEX('Providers'!$U$4:$U$503,12),"yyyy-mm-dd"),"")&amp;". "))</f>
        <v/>
      </c>
      <c r="J3015">
        <f>IF(LEN(INDEX('Providers'!$AJ$4:$AJ$503,12))=0,"",INDEX('Providers'!$AJ$4:$AJ$503,12))</f>
        <v/>
      </c>
      <c r="K3015">
        <f>IF(LEN(INDEX('Providers'!$AI$4:$AI$503,12))=0,"",INDEX('Providers'!$AI$4:$AI$503,12))</f>
        <v/>
      </c>
    </row>
    <row r="3016">
      <c r="A3016">
        <f>IF(AND(LEN('Providers'!A16)&gt;0,ISNUMBER('Providers'!W16)),1,0)</f>
        <v/>
      </c>
      <c r="B3016">
        <f>B3015+A3016</f>
        <v/>
      </c>
      <c r="C3016">
        <f>IF(3013&gt;$B$4503,"",MATCH(3013-0.5,$B$3:$B$4503,1))</f>
        <v/>
      </c>
      <c r="D3016">
        <f>"CAQH re-attestation – "&amp;IF(LEN(INDEX('Providers'!$A$4:$A$503,13))=0,"",INDEX('Providers'!$A$4:$A$503,13))</f>
        <v/>
      </c>
      <c r="E3016">
        <f>IF(ISNUMBER(INDEX('Providers'!$W$4:$W$503,13)),TEXT(INDEX('Providers'!$W$4:$W$503,13),"yyyy-mm-dd"),"")</f>
        <v/>
      </c>
      <c r="F3016">
        <f>"Credentialing"</f>
        <v/>
      </c>
      <c r="G3016">
        <f>IF(ISNUMBER(INDEX('Providers'!$U$4:$U$503,13)),TEXT(INDEX('Providers'!$U$4:$U$503,13),"yyyy-mm-dd"),"")</f>
        <v/>
      </c>
      <c r="H3016">
        <f>"High"</f>
        <v/>
      </c>
      <c r="I3016">
        <f>TRIM(IF(LEN(IF(LEN(INDEX('Providers'!$T$4:$T$503,13))=0,"",INDEX('Providers'!$T$4:$T$503,13)))=0,"","CAQH ID: "&amp;IF(LEN(INDEX('Providers'!$T$4:$T$503,13))=0,"",INDEX('Providers'!$T$4:$T$503,13))&amp;". ")&amp;IF(LEN(IF(ISNUMBER(INDEX('Providers'!$U$4:$U$503,13)),TEXT(INDEX('Providers'!$U$4:$U$503,13),"yyyy-mm-dd"),""))=0,"","Last attested: "&amp;IF(ISNUMBER(INDEX('Providers'!$U$4:$U$503,13)),TEXT(INDEX('Providers'!$U$4:$U$503,13),"yyyy-mm-dd"),"")&amp;". "))</f>
        <v/>
      </c>
      <c r="J3016">
        <f>IF(LEN(INDEX('Providers'!$AJ$4:$AJ$503,13))=0,"",INDEX('Providers'!$AJ$4:$AJ$503,13))</f>
        <v/>
      </c>
      <c r="K3016">
        <f>IF(LEN(INDEX('Providers'!$AI$4:$AI$503,13))=0,"",INDEX('Providers'!$AI$4:$AI$503,13))</f>
        <v/>
      </c>
    </row>
    <row r="3017">
      <c r="A3017">
        <f>IF(AND(LEN('Providers'!A17)&gt;0,ISNUMBER('Providers'!W17)),1,0)</f>
        <v/>
      </c>
      <c r="B3017">
        <f>B3016+A3017</f>
        <v/>
      </c>
      <c r="C3017">
        <f>IF(3014&gt;$B$4503,"",MATCH(3014-0.5,$B$3:$B$4503,1))</f>
        <v/>
      </c>
      <c r="D3017">
        <f>"CAQH re-attestation – "&amp;IF(LEN(INDEX('Providers'!$A$4:$A$503,14))=0,"",INDEX('Providers'!$A$4:$A$503,14))</f>
        <v/>
      </c>
      <c r="E3017">
        <f>IF(ISNUMBER(INDEX('Providers'!$W$4:$W$503,14)),TEXT(INDEX('Providers'!$W$4:$W$503,14),"yyyy-mm-dd"),"")</f>
        <v/>
      </c>
      <c r="F3017">
        <f>"Credentialing"</f>
        <v/>
      </c>
      <c r="G3017">
        <f>IF(ISNUMBER(INDEX('Providers'!$U$4:$U$503,14)),TEXT(INDEX('Providers'!$U$4:$U$503,14),"yyyy-mm-dd"),"")</f>
        <v/>
      </c>
      <c r="H3017">
        <f>"High"</f>
        <v/>
      </c>
      <c r="I3017">
        <f>TRIM(IF(LEN(IF(LEN(INDEX('Providers'!$T$4:$T$503,14))=0,"",INDEX('Providers'!$T$4:$T$503,14)))=0,"","CAQH ID: "&amp;IF(LEN(INDEX('Providers'!$T$4:$T$503,14))=0,"",INDEX('Providers'!$T$4:$T$503,14))&amp;". ")&amp;IF(LEN(IF(ISNUMBER(INDEX('Providers'!$U$4:$U$503,14)),TEXT(INDEX('Providers'!$U$4:$U$503,14),"yyyy-mm-dd"),""))=0,"","Last attested: "&amp;IF(ISNUMBER(INDEX('Providers'!$U$4:$U$503,14)),TEXT(INDEX('Providers'!$U$4:$U$503,14),"yyyy-mm-dd"),"")&amp;". "))</f>
        <v/>
      </c>
      <c r="J3017">
        <f>IF(LEN(INDEX('Providers'!$AJ$4:$AJ$503,14))=0,"",INDEX('Providers'!$AJ$4:$AJ$503,14))</f>
        <v/>
      </c>
      <c r="K3017">
        <f>IF(LEN(INDEX('Providers'!$AI$4:$AI$503,14))=0,"",INDEX('Providers'!$AI$4:$AI$503,14))</f>
        <v/>
      </c>
    </row>
    <row r="3018">
      <c r="A3018">
        <f>IF(AND(LEN('Providers'!A18)&gt;0,ISNUMBER('Providers'!W18)),1,0)</f>
        <v/>
      </c>
      <c r="B3018">
        <f>B3017+A3018</f>
        <v/>
      </c>
      <c r="C3018">
        <f>IF(3015&gt;$B$4503,"",MATCH(3015-0.5,$B$3:$B$4503,1))</f>
        <v/>
      </c>
      <c r="D3018">
        <f>"CAQH re-attestation – "&amp;IF(LEN(INDEX('Providers'!$A$4:$A$503,15))=0,"",INDEX('Providers'!$A$4:$A$503,15))</f>
        <v/>
      </c>
      <c r="E3018">
        <f>IF(ISNUMBER(INDEX('Providers'!$W$4:$W$503,15)),TEXT(INDEX('Providers'!$W$4:$W$503,15),"yyyy-mm-dd"),"")</f>
        <v/>
      </c>
      <c r="F3018">
        <f>"Credentialing"</f>
        <v/>
      </c>
      <c r="G3018">
        <f>IF(ISNUMBER(INDEX('Providers'!$U$4:$U$503,15)),TEXT(INDEX('Providers'!$U$4:$U$503,15),"yyyy-mm-dd"),"")</f>
        <v/>
      </c>
      <c r="H3018">
        <f>"High"</f>
        <v/>
      </c>
      <c r="I3018">
        <f>TRIM(IF(LEN(IF(LEN(INDEX('Providers'!$T$4:$T$503,15))=0,"",INDEX('Providers'!$T$4:$T$503,15)))=0,"","CAQH ID: "&amp;IF(LEN(INDEX('Providers'!$T$4:$T$503,15))=0,"",INDEX('Providers'!$T$4:$T$503,15))&amp;". ")&amp;IF(LEN(IF(ISNUMBER(INDEX('Providers'!$U$4:$U$503,15)),TEXT(INDEX('Providers'!$U$4:$U$503,15),"yyyy-mm-dd"),""))=0,"","Last attested: "&amp;IF(ISNUMBER(INDEX('Providers'!$U$4:$U$503,15)),TEXT(INDEX('Providers'!$U$4:$U$503,15),"yyyy-mm-dd"),"")&amp;". "))</f>
        <v/>
      </c>
      <c r="J3018">
        <f>IF(LEN(INDEX('Providers'!$AJ$4:$AJ$503,15))=0,"",INDEX('Providers'!$AJ$4:$AJ$503,15))</f>
        <v/>
      </c>
      <c r="K3018">
        <f>IF(LEN(INDEX('Providers'!$AI$4:$AI$503,15))=0,"",INDEX('Providers'!$AI$4:$AI$503,15))</f>
        <v/>
      </c>
    </row>
    <row r="3019">
      <c r="A3019">
        <f>IF(AND(LEN('Providers'!A19)&gt;0,ISNUMBER('Providers'!W19)),1,0)</f>
        <v/>
      </c>
      <c r="B3019">
        <f>B3018+A3019</f>
        <v/>
      </c>
      <c r="C3019">
        <f>IF(3016&gt;$B$4503,"",MATCH(3016-0.5,$B$3:$B$4503,1))</f>
        <v/>
      </c>
      <c r="D3019">
        <f>"CAQH re-attestation – "&amp;IF(LEN(INDEX('Providers'!$A$4:$A$503,16))=0,"",INDEX('Providers'!$A$4:$A$503,16))</f>
        <v/>
      </c>
      <c r="E3019">
        <f>IF(ISNUMBER(INDEX('Providers'!$W$4:$W$503,16)),TEXT(INDEX('Providers'!$W$4:$W$503,16),"yyyy-mm-dd"),"")</f>
        <v/>
      </c>
      <c r="F3019">
        <f>"Credentialing"</f>
        <v/>
      </c>
      <c r="G3019">
        <f>IF(ISNUMBER(INDEX('Providers'!$U$4:$U$503,16)),TEXT(INDEX('Providers'!$U$4:$U$503,16),"yyyy-mm-dd"),"")</f>
        <v/>
      </c>
      <c r="H3019">
        <f>"High"</f>
        <v/>
      </c>
      <c r="I3019">
        <f>TRIM(IF(LEN(IF(LEN(INDEX('Providers'!$T$4:$T$503,16))=0,"",INDEX('Providers'!$T$4:$T$503,16)))=0,"","CAQH ID: "&amp;IF(LEN(INDEX('Providers'!$T$4:$T$503,16))=0,"",INDEX('Providers'!$T$4:$T$503,16))&amp;". ")&amp;IF(LEN(IF(ISNUMBER(INDEX('Providers'!$U$4:$U$503,16)),TEXT(INDEX('Providers'!$U$4:$U$503,16),"yyyy-mm-dd"),""))=0,"","Last attested: "&amp;IF(ISNUMBER(INDEX('Providers'!$U$4:$U$503,16)),TEXT(INDEX('Providers'!$U$4:$U$503,16),"yyyy-mm-dd"),"")&amp;". "))</f>
        <v/>
      </c>
      <c r="J3019">
        <f>IF(LEN(INDEX('Providers'!$AJ$4:$AJ$503,16))=0,"",INDEX('Providers'!$AJ$4:$AJ$503,16))</f>
        <v/>
      </c>
      <c r="K3019">
        <f>IF(LEN(INDEX('Providers'!$AI$4:$AI$503,16))=0,"",INDEX('Providers'!$AI$4:$AI$503,16))</f>
        <v/>
      </c>
    </row>
    <row r="3020">
      <c r="A3020">
        <f>IF(AND(LEN('Providers'!A20)&gt;0,ISNUMBER('Providers'!W20)),1,0)</f>
        <v/>
      </c>
      <c r="B3020">
        <f>B3019+A3020</f>
        <v/>
      </c>
      <c r="C3020">
        <f>IF(3017&gt;$B$4503,"",MATCH(3017-0.5,$B$3:$B$4503,1))</f>
        <v/>
      </c>
      <c r="D3020">
        <f>"CAQH re-attestation – "&amp;IF(LEN(INDEX('Providers'!$A$4:$A$503,17))=0,"",INDEX('Providers'!$A$4:$A$503,17))</f>
        <v/>
      </c>
      <c r="E3020">
        <f>IF(ISNUMBER(INDEX('Providers'!$W$4:$W$503,17)),TEXT(INDEX('Providers'!$W$4:$W$503,17),"yyyy-mm-dd"),"")</f>
        <v/>
      </c>
      <c r="F3020">
        <f>"Credentialing"</f>
        <v/>
      </c>
      <c r="G3020">
        <f>IF(ISNUMBER(INDEX('Providers'!$U$4:$U$503,17)),TEXT(INDEX('Providers'!$U$4:$U$503,17),"yyyy-mm-dd"),"")</f>
        <v/>
      </c>
      <c r="H3020">
        <f>"High"</f>
        <v/>
      </c>
      <c r="I3020">
        <f>TRIM(IF(LEN(IF(LEN(INDEX('Providers'!$T$4:$T$503,17))=0,"",INDEX('Providers'!$T$4:$T$503,17)))=0,"","CAQH ID: "&amp;IF(LEN(INDEX('Providers'!$T$4:$T$503,17))=0,"",INDEX('Providers'!$T$4:$T$503,17))&amp;". ")&amp;IF(LEN(IF(ISNUMBER(INDEX('Providers'!$U$4:$U$503,17)),TEXT(INDEX('Providers'!$U$4:$U$503,17),"yyyy-mm-dd"),""))=0,"","Last attested: "&amp;IF(ISNUMBER(INDEX('Providers'!$U$4:$U$503,17)),TEXT(INDEX('Providers'!$U$4:$U$503,17),"yyyy-mm-dd"),"")&amp;". "))</f>
        <v/>
      </c>
      <c r="J3020">
        <f>IF(LEN(INDEX('Providers'!$AJ$4:$AJ$503,17))=0,"",INDEX('Providers'!$AJ$4:$AJ$503,17))</f>
        <v/>
      </c>
      <c r="K3020">
        <f>IF(LEN(INDEX('Providers'!$AI$4:$AI$503,17))=0,"",INDEX('Providers'!$AI$4:$AI$503,17))</f>
        <v/>
      </c>
    </row>
    <row r="3021">
      <c r="A3021">
        <f>IF(AND(LEN('Providers'!A21)&gt;0,ISNUMBER('Providers'!W21)),1,0)</f>
        <v/>
      </c>
      <c r="B3021">
        <f>B3020+A3021</f>
        <v/>
      </c>
      <c r="C3021">
        <f>IF(3018&gt;$B$4503,"",MATCH(3018-0.5,$B$3:$B$4503,1))</f>
        <v/>
      </c>
      <c r="D3021">
        <f>"CAQH re-attestation – "&amp;IF(LEN(INDEX('Providers'!$A$4:$A$503,18))=0,"",INDEX('Providers'!$A$4:$A$503,18))</f>
        <v/>
      </c>
      <c r="E3021">
        <f>IF(ISNUMBER(INDEX('Providers'!$W$4:$W$503,18)),TEXT(INDEX('Providers'!$W$4:$W$503,18),"yyyy-mm-dd"),"")</f>
        <v/>
      </c>
      <c r="F3021">
        <f>"Credentialing"</f>
        <v/>
      </c>
      <c r="G3021">
        <f>IF(ISNUMBER(INDEX('Providers'!$U$4:$U$503,18)),TEXT(INDEX('Providers'!$U$4:$U$503,18),"yyyy-mm-dd"),"")</f>
        <v/>
      </c>
      <c r="H3021">
        <f>"High"</f>
        <v/>
      </c>
      <c r="I3021">
        <f>TRIM(IF(LEN(IF(LEN(INDEX('Providers'!$T$4:$T$503,18))=0,"",INDEX('Providers'!$T$4:$T$503,18)))=0,"","CAQH ID: "&amp;IF(LEN(INDEX('Providers'!$T$4:$T$503,18))=0,"",INDEX('Providers'!$T$4:$T$503,18))&amp;". ")&amp;IF(LEN(IF(ISNUMBER(INDEX('Providers'!$U$4:$U$503,18)),TEXT(INDEX('Providers'!$U$4:$U$503,18),"yyyy-mm-dd"),""))=0,"","Last attested: "&amp;IF(ISNUMBER(INDEX('Providers'!$U$4:$U$503,18)),TEXT(INDEX('Providers'!$U$4:$U$503,18),"yyyy-mm-dd"),"")&amp;". "))</f>
        <v/>
      </c>
      <c r="J3021">
        <f>IF(LEN(INDEX('Providers'!$AJ$4:$AJ$503,18))=0,"",INDEX('Providers'!$AJ$4:$AJ$503,18))</f>
        <v/>
      </c>
      <c r="K3021">
        <f>IF(LEN(INDEX('Providers'!$AI$4:$AI$503,18))=0,"",INDEX('Providers'!$AI$4:$AI$503,18))</f>
        <v/>
      </c>
    </row>
    <row r="3022">
      <c r="A3022">
        <f>IF(AND(LEN('Providers'!A22)&gt;0,ISNUMBER('Providers'!W22)),1,0)</f>
        <v/>
      </c>
      <c r="B3022">
        <f>B3021+A3022</f>
        <v/>
      </c>
      <c r="C3022">
        <f>IF(3019&gt;$B$4503,"",MATCH(3019-0.5,$B$3:$B$4503,1))</f>
        <v/>
      </c>
      <c r="D3022">
        <f>"CAQH re-attestation – "&amp;IF(LEN(INDEX('Providers'!$A$4:$A$503,19))=0,"",INDEX('Providers'!$A$4:$A$503,19))</f>
        <v/>
      </c>
      <c r="E3022">
        <f>IF(ISNUMBER(INDEX('Providers'!$W$4:$W$503,19)),TEXT(INDEX('Providers'!$W$4:$W$503,19),"yyyy-mm-dd"),"")</f>
        <v/>
      </c>
      <c r="F3022">
        <f>"Credentialing"</f>
        <v/>
      </c>
      <c r="G3022">
        <f>IF(ISNUMBER(INDEX('Providers'!$U$4:$U$503,19)),TEXT(INDEX('Providers'!$U$4:$U$503,19),"yyyy-mm-dd"),"")</f>
        <v/>
      </c>
      <c r="H3022">
        <f>"High"</f>
        <v/>
      </c>
      <c r="I3022">
        <f>TRIM(IF(LEN(IF(LEN(INDEX('Providers'!$T$4:$T$503,19))=0,"",INDEX('Providers'!$T$4:$T$503,19)))=0,"","CAQH ID: "&amp;IF(LEN(INDEX('Providers'!$T$4:$T$503,19))=0,"",INDEX('Providers'!$T$4:$T$503,19))&amp;". ")&amp;IF(LEN(IF(ISNUMBER(INDEX('Providers'!$U$4:$U$503,19)),TEXT(INDEX('Providers'!$U$4:$U$503,19),"yyyy-mm-dd"),""))=0,"","Last attested: "&amp;IF(ISNUMBER(INDEX('Providers'!$U$4:$U$503,19)),TEXT(INDEX('Providers'!$U$4:$U$503,19),"yyyy-mm-dd"),"")&amp;". "))</f>
        <v/>
      </c>
      <c r="J3022">
        <f>IF(LEN(INDEX('Providers'!$AJ$4:$AJ$503,19))=0,"",INDEX('Providers'!$AJ$4:$AJ$503,19))</f>
        <v/>
      </c>
      <c r="K3022">
        <f>IF(LEN(INDEX('Providers'!$AI$4:$AI$503,19))=0,"",INDEX('Providers'!$AI$4:$AI$503,19))</f>
        <v/>
      </c>
    </row>
    <row r="3023">
      <c r="A3023">
        <f>IF(AND(LEN('Providers'!A23)&gt;0,ISNUMBER('Providers'!W23)),1,0)</f>
        <v/>
      </c>
      <c r="B3023">
        <f>B3022+A3023</f>
        <v/>
      </c>
      <c r="C3023">
        <f>IF(3020&gt;$B$4503,"",MATCH(3020-0.5,$B$3:$B$4503,1))</f>
        <v/>
      </c>
      <c r="D3023">
        <f>"CAQH re-attestation – "&amp;IF(LEN(INDEX('Providers'!$A$4:$A$503,20))=0,"",INDEX('Providers'!$A$4:$A$503,20))</f>
        <v/>
      </c>
      <c r="E3023">
        <f>IF(ISNUMBER(INDEX('Providers'!$W$4:$W$503,20)),TEXT(INDEX('Providers'!$W$4:$W$503,20),"yyyy-mm-dd"),"")</f>
        <v/>
      </c>
      <c r="F3023">
        <f>"Credentialing"</f>
        <v/>
      </c>
      <c r="G3023">
        <f>IF(ISNUMBER(INDEX('Providers'!$U$4:$U$503,20)),TEXT(INDEX('Providers'!$U$4:$U$503,20),"yyyy-mm-dd"),"")</f>
        <v/>
      </c>
      <c r="H3023">
        <f>"High"</f>
        <v/>
      </c>
      <c r="I3023">
        <f>TRIM(IF(LEN(IF(LEN(INDEX('Providers'!$T$4:$T$503,20))=0,"",INDEX('Providers'!$T$4:$T$503,20)))=0,"","CAQH ID: "&amp;IF(LEN(INDEX('Providers'!$T$4:$T$503,20))=0,"",INDEX('Providers'!$T$4:$T$503,20))&amp;". ")&amp;IF(LEN(IF(ISNUMBER(INDEX('Providers'!$U$4:$U$503,20)),TEXT(INDEX('Providers'!$U$4:$U$503,20),"yyyy-mm-dd"),""))=0,"","Last attested: "&amp;IF(ISNUMBER(INDEX('Providers'!$U$4:$U$503,20)),TEXT(INDEX('Providers'!$U$4:$U$503,20),"yyyy-mm-dd"),"")&amp;". "))</f>
        <v/>
      </c>
      <c r="J3023">
        <f>IF(LEN(INDEX('Providers'!$AJ$4:$AJ$503,20))=0,"",INDEX('Providers'!$AJ$4:$AJ$503,20))</f>
        <v/>
      </c>
      <c r="K3023">
        <f>IF(LEN(INDEX('Providers'!$AI$4:$AI$503,20))=0,"",INDEX('Providers'!$AI$4:$AI$503,20))</f>
        <v/>
      </c>
    </row>
    <row r="3024">
      <c r="A3024">
        <f>IF(AND(LEN('Providers'!A24)&gt;0,ISNUMBER('Providers'!W24)),1,0)</f>
        <v/>
      </c>
      <c r="B3024">
        <f>B3023+A3024</f>
        <v/>
      </c>
      <c r="C3024">
        <f>IF(3021&gt;$B$4503,"",MATCH(3021-0.5,$B$3:$B$4503,1))</f>
        <v/>
      </c>
      <c r="D3024">
        <f>"CAQH re-attestation – "&amp;IF(LEN(INDEX('Providers'!$A$4:$A$503,21))=0,"",INDEX('Providers'!$A$4:$A$503,21))</f>
        <v/>
      </c>
      <c r="E3024">
        <f>IF(ISNUMBER(INDEX('Providers'!$W$4:$W$503,21)),TEXT(INDEX('Providers'!$W$4:$W$503,21),"yyyy-mm-dd"),"")</f>
        <v/>
      </c>
      <c r="F3024">
        <f>"Credentialing"</f>
        <v/>
      </c>
      <c r="G3024">
        <f>IF(ISNUMBER(INDEX('Providers'!$U$4:$U$503,21)),TEXT(INDEX('Providers'!$U$4:$U$503,21),"yyyy-mm-dd"),"")</f>
        <v/>
      </c>
      <c r="H3024">
        <f>"High"</f>
        <v/>
      </c>
      <c r="I3024">
        <f>TRIM(IF(LEN(IF(LEN(INDEX('Providers'!$T$4:$T$503,21))=0,"",INDEX('Providers'!$T$4:$T$503,21)))=0,"","CAQH ID: "&amp;IF(LEN(INDEX('Providers'!$T$4:$T$503,21))=0,"",INDEX('Providers'!$T$4:$T$503,21))&amp;". ")&amp;IF(LEN(IF(ISNUMBER(INDEX('Providers'!$U$4:$U$503,21)),TEXT(INDEX('Providers'!$U$4:$U$503,21),"yyyy-mm-dd"),""))=0,"","Last attested: "&amp;IF(ISNUMBER(INDEX('Providers'!$U$4:$U$503,21)),TEXT(INDEX('Providers'!$U$4:$U$503,21),"yyyy-mm-dd"),"")&amp;". "))</f>
        <v/>
      </c>
      <c r="J3024">
        <f>IF(LEN(INDEX('Providers'!$AJ$4:$AJ$503,21))=0,"",INDEX('Providers'!$AJ$4:$AJ$503,21))</f>
        <v/>
      </c>
      <c r="K3024">
        <f>IF(LEN(INDEX('Providers'!$AI$4:$AI$503,21))=0,"",INDEX('Providers'!$AI$4:$AI$503,21))</f>
        <v/>
      </c>
    </row>
    <row r="3025">
      <c r="A3025">
        <f>IF(AND(LEN('Providers'!A25)&gt;0,ISNUMBER('Providers'!W25)),1,0)</f>
        <v/>
      </c>
      <c r="B3025">
        <f>B3024+A3025</f>
        <v/>
      </c>
      <c r="C3025">
        <f>IF(3022&gt;$B$4503,"",MATCH(3022-0.5,$B$3:$B$4503,1))</f>
        <v/>
      </c>
      <c r="D3025">
        <f>"CAQH re-attestation – "&amp;IF(LEN(INDEX('Providers'!$A$4:$A$503,22))=0,"",INDEX('Providers'!$A$4:$A$503,22))</f>
        <v/>
      </c>
      <c r="E3025">
        <f>IF(ISNUMBER(INDEX('Providers'!$W$4:$W$503,22)),TEXT(INDEX('Providers'!$W$4:$W$503,22),"yyyy-mm-dd"),"")</f>
        <v/>
      </c>
      <c r="F3025">
        <f>"Credentialing"</f>
        <v/>
      </c>
      <c r="G3025">
        <f>IF(ISNUMBER(INDEX('Providers'!$U$4:$U$503,22)),TEXT(INDEX('Providers'!$U$4:$U$503,22),"yyyy-mm-dd"),"")</f>
        <v/>
      </c>
      <c r="H3025">
        <f>"High"</f>
        <v/>
      </c>
      <c r="I3025">
        <f>TRIM(IF(LEN(IF(LEN(INDEX('Providers'!$T$4:$T$503,22))=0,"",INDEX('Providers'!$T$4:$T$503,22)))=0,"","CAQH ID: "&amp;IF(LEN(INDEX('Providers'!$T$4:$T$503,22))=0,"",INDEX('Providers'!$T$4:$T$503,22))&amp;". ")&amp;IF(LEN(IF(ISNUMBER(INDEX('Providers'!$U$4:$U$503,22)),TEXT(INDEX('Providers'!$U$4:$U$503,22),"yyyy-mm-dd"),""))=0,"","Last attested: "&amp;IF(ISNUMBER(INDEX('Providers'!$U$4:$U$503,22)),TEXT(INDEX('Providers'!$U$4:$U$503,22),"yyyy-mm-dd"),"")&amp;". "))</f>
        <v/>
      </c>
      <c r="J3025">
        <f>IF(LEN(INDEX('Providers'!$AJ$4:$AJ$503,22))=0,"",INDEX('Providers'!$AJ$4:$AJ$503,22))</f>
        <v/>
      </c>
      <c r="K3025">
        <f>IF(LEN(INDEX('Providers'!$AI$4:$AI$503,22))=0,"",INDEX('Providers'!$AI$4:$AI$503,22))</f>
        <v/>
      </c>
    </row>
    <row r="3026">
      <c r="A3026">
        <f>IF(AND(LEN('Providers'!A26)&gt;0,ISNUMBER('Providers'!W26)),1,0)</f>
        <v/>
      </c>
      <c r="B3026">
        <f>B3025+A3026</f>
        <v/>
      </c>
      <c r="C3026">
        <f>IF(3023&gt;$B$4503,"",MATCH(3023-0.5,$B$3:$B$4503,1))</f>
        <v/>
      </c>
      <c r="D3026">
        <f>"CAQH re-attestation – "&amp;IF(LEN(INDEX('Providers'!$A$4:$A$503,23))=0,"",INDEX('Providers'!$A$4:$A$503,23))</f>
        <v/>
      </c>
      <c r="E3026">
        <f>IF(ISNUMBER(INDEX('Providers'!$W$4:$W$503,23)),TEXT(INDEX('Providers'!$W$4:$W$503,23),"yyyy-mm-dd"),"")</f>
        <v/>
      </c>
      <c r="F3026">
        <f>"Credentialing"</f>
        <v/>
      </c>
      <c r="G3026">
        <f>IF(ISNUMBER(INDEX('Providers'!$U$4:$U$503,23)),TEXT(INDEX('Providers'!$U$4:$U$503,23),"yyyy-mm-dd"),"")</f>
        <v/>
      </c>
      <c r="H3026">
        <f>"High"</f>
        <v/>
      </c>
      <c r="I3026">
        <f>TRIM(IF(LEN(IF(LEN(INDEX('Providers'!$T$4:$T$503,23))=0,"",INDEX('Providers'!$T$4:$T$503,23)))=0,"","CAQH ID: "&amp;IF(LEN(INDEX('Providers'!$T$4:$T$503,23))=0,"",INDEX('Providers'!$T$4:$T$503,23))&amp;". ")&amp;IF(LEN(IF(ISNUMBER(INDEX('Providers'!$U$4:$U$503,23)),TEXT(INDEX('Providers'!$U$4:$U$503,23),"yyyy-mm-dd"),""))=0,"","Last attested: "&amp;IF(ISNUMBER(INDEX('Providers'!$U$4:$U$503,23)),TEXT(INDEX('Providers'!$U$4:$U$503,23),"yyyy-mm-dd"),"")&amp;". "))</f>
        <v/>
      </c>
      <c r="J3026">
        <f>IF(LEN(INDEX('Providers'!$AJ$4:$AJ$503,23))=0,"",INDEX('Providers'!$AJ$4:$AJ$503,23))</f>
        <v/>
      </c>
      <c r="K3026">
        <f>IF(LEN(INDEX('Providers'!$AI$4:$AI$503,23))=0,"",INDEX('Providers'!$AI$4:$AI$503,23))</f>
        <v/>
      </c>
    </row>
    <row r="3027">
      <c r="A3027">
        <f>IF(AND(LEN('Providers'!A27)&gt;0,ISNUMBER('Providers'!W27)),1,0)</f>
        <v/>
      </c>
      <c r="B3027">
        <f>B3026+A3027</f>
        <v/>
      </c>
      <c r="C3027">
        <f>IF(3024&gt;$B$4503,"",MATCH(3024-0.5,$B$3:$B$4503,1))</f>
        <v/>
      </c>
      <c r="D3027">
        <f>"CAQH re-attestation – "&amp;IF(LEN(INDEX('Providers'!$A$4:$A$503,24))=0,"",INDEX('Providers'!$A$4:$A$503,24))</f>
        <v/>
      </c>
      <c r="E3027">
        <f>IF(ISNUMBER(INDEX('Providers'!$W$4:$W$503,24)),TEXT(INDEX('Providers'!$W$4:$W$503,24),"yyyy-mm-dd"),"")</f>
        <v/>
      </c>
      <c r="F3027">
        <f>"Credentialing"</f>
        <v/>
      </c>
      <c r="G3027">
        <f>IF(ISNUMBER(INDEX('Providers'!$U$4:$U$503,24)),TEXT(INDEX('Providers'!$U$4:$U$503,24),"yyyy-mm-dd"),"")</f>
        <v/>
      </c>
      <c r="H3027">
        <f>"High"</f>
        <v/>
      </c>
      <c r="I3027">
        <f>TRIM(IF(LEN(IF(LEN(INDEX('Providers'!$T$4:$T$503,24))=0,"",INDEX('Providers'!$T$4:$T$503,24)))=0,"","CAQH ID: "&amp;IF(LEN(INDEX('Providers'!$T$4:$T$503,24))=0,"",INDEX('Providers'!$T$4:$T$503,24))&amp;". ")&amp;IF(LEN(IF(ISNUMBER(INDEX('Providers'!$U$4:$U$503,24)),TEXT(INDEX('Providers'!$U$4:$U$503,24),"yyyy-mm-dd"),""))=0,"","Last attested: "&amp;IF(ISNUMBER(INDEX('Providers'!$U$4:$U$503,24)),TEXT(INDEX('Providers'!$U$4:$U$503,24),"yyyy-mm-dd"),"")&amp;". "))</f>
        <v/>
      </c>
      <c r="J3027">
        <f>IF(LEN(INDEX('Providers'!$AJ$4:$AJ$503,24))=0,"",INDEX('Providers'!$AJ$4:$AJ$503,24))</f>
        <v/>
      </c>
      <c r="K3027">
        <f>IF(LEN(INDEX('Providers'!$AI$4:$AI$503,24))=0,"",INDEX('Providers'!$AI$4:$AI$503,24))</f>
        <v/>
      </c>
    </row>
    <row r="3028">
      <c r="A3028">
        <f>IF(AND(LEN('Providers'!A28)&gt;0,ISNUMBER('Providers'!W28)),1,0)</f>
        <v/>
      </c>
      <c r="B3028">
        <f>B3027+A3028</f>
        <v/>
      </c>
      <c r="C3028">
        <f>IF(3025&gt;$B$4503,"",MATCH(3025-0.5,$B$3:$B$4503,1))</f>
        <v/>
      </c>
      <c r="D3028">
        <f>"CAQH re-attestation – "&amp;IF(LEN(INDEX('Providers'!$A$4:$A$503,25))=0,"",INDEX('Providers'!$A$4:$A$503,25))</f>
        <v/>
      </c>
      <c r="E3028">
        <f>IF(ISNUMBER(INDEX('Providers'!$W$4:$W$503,25)),TEXT(INDEX('Providers'!$W$4:$W$503,25),"yyyy-mm-dd"),"")</f>
        <v/>
      </c>
      <c r="F3028">
        <f>"Credentialing"</f>
        <v/>
      </c>
      <c r="G3028">
        <f>IF(ISNUMBER(INDEX('Providers'!$U$4:$U$503,25)),TEXT(INDEX('Providers'!$U$4:$U$503,25),"yyyy-mm-dd"),"")</f>
        <v/>
      </c>
      <c r="H3028">
        <f>"High"</f>
        <v/>
      </c>
      <c r="I3028">
        <f>TRIM(IF(LEN(IF(LEN(INDEX('Providers'!$T$4:$T$503,25))=0,"",INDEX('Providers'!$T$4:$T$503,25)))=0,"","CAQH ID: "&amp;IF(LEN(INDEX('Providers'!$T$4:$T$503,25))=0,"",INDEX('Providers'!$T$4:$T$503,25))&amp;". ")&amp;IF(LEN(IF(ISNUMBER(INDEX('Providers'!$U$4:$U$503,25)),TEXT(INDEX('Providers'!$U$4:$U$503,25),"yyyy-mm-dd"),""))=0,"","Last attested: "&amp;IF(ISNUMBER(INDEX('Providers'!$U$4:$U$503,25)),TEXT(INDEX('Providers'!$U$4:$U$503,25),"yyyy-mm-dd"),"")&amp;". "))</f>
        <v/>
      </c>
      <c r="J3028">
        <f>IF(LEN(INDEX('Providers'!$AJ$4:$AJ$503,25))=0,"",INDEX('Providers'!$AJ$4:$AJ$503,25))</f>
        <v/>
      </c>
      <c r="K3028">
        <f>IF(LEN(INDEX('Providers'!$AI$4:$AI$503,25))=0,"",INDEX('Providers'!$AI$4:$AI$503,25))</f>
        <v/>
      </c>
    </row>
    <row r="3029">
      <c r="A3029">
        <f>IF(AND(LEN('Providers'!A29)&gt;0,ISNUMBER('Providers'!W29)),1,0)</f>
        <v/>
      </c>
      <c r="B3029">
        <f>B3028+A3029</f>
        <v/>
      </c>
      <c r="C3029">
        <f>IF(3026&gt;$B$4503,"",MATCH(3026-0.5,$B$3:$B$4503,1))</f>
        <v/>
      </c>
      <c r="D3029">
        <f>"CAQH re-attestation – "&amp;IF(LEN(INDEX('Providers'!$A$4:$A$503,26))=0,"",INDEX('Providers'!$A$4:$A$503,26))</f>
        <v/>
      </c>
      <c r="E3029">
        <f>IF(ISNUMBER(INDEX('Providers'!$W$4:$W$503,26)),TEXT(INDEX('Providers'!$W$4:$W$503,26),"yyyy-mm-dd"),"")</f>
        <v/>
      </c>
      <c r="F3029">
        <f>"Credentialing"</f>
        <v/>
      </c>
      <c r="G3029">
        <f>IF(ISNUMBER(INDEX('Providers'!$U$4:$U$503,26)),TEXT(INDEX('Providers'!$U$4:$U$503,26),"yyyy-mm-dd"),"")</f>
        <v/>
      </c>
      <c r="H3029">
        <f>"High"</f>
        <v/>
      </c>
      <c r="I3029">
        <f>TRIM(IF(LEN(IF(LEN(INDEX('Providers'!$T$4:$T$503,26))=0,"",INDEX('Providers'!$T$4:$T$503,26)))=0,"","CAQH ID: "&amp;IF(LEN(INDEX('Providers'!$T$4:$T$503,26))=0,"",INDEX('Providers'!$T$4:$T$503,26))&amp;". ")&amp;IF(LEN(IF(ISNUMBER(INDEX('Providers'!$U$4:$U$503,26)),TEXT(INDEX('Providers'!$U$4:$U$503,26),"yyyy-mm-dd"),""))=0,"","Last attested: "&amp;IF(ISNUMBER(INDEX('Providers'!$U$4:$U$503,26)),TEXT(INDEX('Providers'!$U$4:$U$503,26),"yyyy-mm-dd"),"")&amp;". "))</f>
        <v/>
      </c>
      <c r="J3029">
        <f>IF(LEN(INDEX('Providers'!$AJ$4:$AJ$503,26))=0,"",INDEX('Providers'!$AJ$4:$AJ$503,26))</f>
        <v/>
      </c>
      <c r="K3029">
        <f>IF(LEN(INDEX('Providers'!$AI$4:$AI$503,26))=0,"",INDEX('Providers'!$AI$4:$AI$503,26))</f>
        <v/>
      </c>
    </row>
    <row r="3030">
      <c r="A3030">
        <f>IF(AND(LEN('Providers'!A30)&gt;0,ISNUMBER('Providers'!W30)),1,0)</f>
        <v/>
      </c>
      <c r="B3030">
        <f>B3029+A3030</f>
        <v/>
      </c>
      <c r="C3030">
        <f>IF(3027&gt;$B$4503,"",MATCH(3027-0.5,$B$3:$B$4503,1))</f>
        <v/>
      </c>
      <c r="D3030">
        <f>"CAQH re-attestation – "&amp;IF(LEN(INDEX('Providers'!$A$4:$A$503,27))=0,"",INDEX('Providers'!$A$4:$A$503,27))</f>
        <v/>
      </c>
      <c r="E3030">
        <f>IF(ISNUMBER(INDEX('Providers'!$W$4:$W$503,27)),TEXT(INDEX('Providers'!$W$4:$W$503,27),"yyyy-mm-dd"),"")</f>
        <v/>
      </c>
      <c r="F3030">
        <f>"Credentialing"</f>
        <v/>
      </c>
      <c r="G3030">
        <f>IF(ISNUMBER(INDEX('Providers'!$U$4:$U$503,27)),TEXT(INDEX('Providers'!$U$4:$U$503,27),"yyyy-mm-dd"),"")</f>
        <v/>
      </c>
      <c r="H3030">
        <f>"High"</f>
        <v/>
      </c>
      <c r="I3030">
        <f>TRIM(IF(LEN(IF(LEN(INDEX('Providers'!$T$4:$T$503,27))=0,"",INDEX('Providers'!$T$4:$T$503,27)))=0,"","CAQH ID: "&amp;IF(LEN(INDEX('Providers'!$T$4:$T$503,27))=0,"",INDEX('Providers'!$T$4:$T$503,27))&amp;". ")&amp;IF(LEN(IF(ISNUMBER(INDEX('Providers'!$U$4:$U$503,27)),TEXT(INDEX('Providers'!$U$4:$U$503,27),"yyyy-mm-dd"),""))=0,"","Last attested: "&amp;IF(ISNUMBER(INDEX('Providers'!$U$4:$U$503,27)),TEXT(INDEX('Providers'!$U$4:$U$503,27),"yyyy-mm-dd"),"")&amp;". "))</f>
        <v/>
      </c>
      <c r="J3030">
        <f>IF(LEN(INDEX('Providers'!$AJ$4:$AJ$503,27))=0,"",INDEX('Providers'!$AJ$4:$AJ$503,27))</f>
        <v/>
      </c>
      <c r="K3030">
        <f>IF(LEN(INDEX('Providers'!$AI$4:$AI$503,27))=0,"",INDEX('Providers'!$AI$4:$AI$503,27))</f>
        <v/>
      </c>
    </row>
    <row r="3031">
      <c r="A3031">
        <f>IF(AND(LEN('Providers'!A31)&gt;0,ISNUMBER('Providers'!W31)),1,0)</f>
        <v/>
      </c>
      <c r="B3031">
        <f>B3030+A3031</f>
        <v/>
      </c>
      <c r="C3031">
        <f>IF(3028&gt;$B$4503,"",MATCH(3028-0.5,$B$3:$B$4503,1))</f>
        <v/>
      </c>
      <c r="D3031">
        <f>"CAQH re-attestation – "&amp;IF(LEN(INDEX('Providers'!$A$4:$A$503,28))=0,"",INDEX('Providers'!$A$4:$A$503,28))</f>
        <v/>
      </c>
      <c r="E3031">
        <f>IF(ISNUMBER(INDEX('Providers'!$W$4:$W$503,28)),TEXT(INDEX('Providers'!$W$4:$W$503,28),"yyyy-mm-dd"),"")</f>
        <v/>
      </c>
      <c r="F3031">
        <f>"Credentialing"</f>
        <v/>
      </c>
      <c r="G3031">
        <f>IF(ISNUMBER(INDEX('Providers'!$U$4:$U$503,28)),TEXT(INDEX('Providers'!$U$4:$U$503,28),"yyyy-mm-dd"),"")</f>
        <v/>
      </c>
      <c r="H3031">
        <f>"High"</f>
        <v/>
      </c>
      <c r="I3031">
        <f>TRIM(IF(LEN(IF(LEN(INDEX('Providers'!$T$4:$T$503,28))=0,"",INDEX('Providers'!$T$4:$T$503,28)))=0,"","CAQH ID: "&amp;IF(LEN(INDEX('Providers'!$T$4:$T$503,28))=0,"",INDEX('Providers'!$T$4:$T$503,28))&amp;". ")&amp;IF(LEN(IF(ISNUMBER(INDEX('Providers'!$U$4:$U$503,28)),TEXT(INDEX('Providers'!$U$4:$U$503,28),"yyyy-mm-dd"),""))=0,"","Last attested: "&amp;IF(ISNUMBER(INDEX('Providers'!$U$4:$U$503,28)),TEXT(INDEX('Providers'!$U$4:$U$503,28),"yyyy-mm-dd"),"")&amp;". "))</f>
        <v/>
      </c>
      <c r="J3031">
        <f>IF(LEN(INDEX('Providers'!$AJ$4:$AJ$503,28))=0,"",INDEX('Providers'!$AJ$4:$AJ$503,28))</f>
        <v/>
      </c>
      <c r="K3031">
        <f>IF(LEN(INDEX('Providers'!$AI$4:$AI$503,28))=0,"",INDEX('Providers'!$AI$4:$AI$503,28))</f>
        <v/>
      </c>
    </row>
    <row r="3032">
      <c r="A3032">
        <f>IF(AND(LEN('Providers'!A32)&gt;0,ISNUMBER('Providers'!W32)),1,0)</f>
        <v/>
      </c>
      <c r="B3032">
        <f>B3031+A3032</f>
        <v/>
      </c>
      <c r="C3032">
        <f>IF(3029&gt;$B$4503,"",MATCH(3029-0.5,$B$3:$B$4503,1))</f>
        <v/>
      </c>
      <c r="D3032">
        <f>"CAQH re-attestation – "&amp;IF(LEN(INDEX('Providers'!$A$4:$A$503,29))=0,"",INDEX('Providers'!$A$4:$A$503,29))</f>
        <v/>
      </c>
      <c r="E3032">
        <f>IF(ISNUMBER(INDEX('Providers'!$W$4:$W$503,29)),TEXT(INDEX('Providers'!$W$4:$W$503,29),"yyyy-mm-dd"),"")</f>
        <v/>
      </c>
      <c r="F3032">
        <f>"Credentialing"</f>
        <v/>
      </c>
      <c r="G3032">
        <f>IF(ISNUMBER(INDEX('Providers'!$U$4:$U$503,29)),TEXT(INDEX('Providers'!$U$4:$U$503,29),"yyyy-mm-dd"),"")</f>
        <v/>
      </c>
      <c r="H3032">
        <f>"High"</f>
        <v/>
      </c>
      <c r="I3032">
        <f>TRIM(IF(LEN(IF(LEN(INDEX('Providers'!$T$4:$T$503,29))=0,"",INDEX('Providers'!$T$4:$T$503,29)))=0,"","CAQH ID: "&amp;IF(LEN(INDEX('Providers'!$T$4:$T$503,29))=0,"",INDEX('Providers'!$T$4:$T$503,29))&amp;". ")&amp;IF(LEN(IF(ISNUMBER(INDEX('Providers'!$U$4:$U$503,29)),TEXT(INDEX('Providers'!$U$4:$U$503,29),"yyyy-mm-dd"),""))=0,"","Last attested: "&amp;IF(ISNUMBER(INDEX('Providers'!$U$4:$U$503,29)),TEXT(INDEX('Providers'!$U$4:$U$503,29),"yyyy-mm-dd"),"")&amp;". "))</f>
        <v/>
      </c>
      <c r="J3032">
        <f>IF(LEN(INDEX('Providers'!$AJ$4:$AJ$503,29))=0,"",INDEX('Providers'!$AJ$4:$AJ$503,29))</f>
        <v/>
      </c>
      <c r="K3032">
        <f>IF(LEN(INDEX('Providers'!$AI$4:$AI$503,29))=0,"",INDEX('Providers'!$AI$4:$AI$503,29))</f>
        <v/>
      </c>
    </row>
    <row r="3033">
      <c r="A3033">
        <f>IF(AND(LEN('Providers'!A33)&gt;0,ISNUMBER('Providers'!W33)),1,0)</f>
        <v/>
      </c>
      <c r="B3033">
        <f>B3032+A3033</f>
        <v/>
      </c>
      <c r="C3033">
        <f>IF(3030&gt;$B$4503,"",MATCH(3030-0.5,$B$3:$B$4503,1))</f>
        <v/>
      </c>
      <c r="D3033">
        <f>"CAQH re-attestation – "&amp;IF(LEN(INDEX('Providers'!$A$4:$A$503,30))=0,"",INDEX('Providers'!$A$4:$A$503,30))</f>
        <v/>
      </c>
      <c r="E3033">
        <f>IF(ISNUMBER(INDEX('Providers'!$W$4:$W$503,30)),TEXT(INDEX('Providers'!$W$4:$W$503,30),"yyyy-mm-dd"),"")</f>
        <v/>
      </c>
      <c r="F3033">
        <f>"Credentialing"</f>
        <v/>
      </c>
      <c r="G3033">
        <f>IF(ISNUMBER(INDEX('Providers'!$U$4:$U$503,30)),TEXT(INDEX('Providers'!$U$4:$U$503,30),"yyyy-mm-dd"),"")</f>
        <v/>
      </c>
      <c r="H3033">
        <f>"High"</f>
        <v/>
      </c>
      <c r="I3033">
        <f>TRIM(IF(LEN(IF(LEN(INDEX('Providers'!$T$4:$T$503,30))=0,"",INDEX('Providers'!$T$4:$T$503,30)))=0,"","CAQH ID: "&amp;IF(LEN(INDEX('Providers'!$T$4:$T$503,30))=0,"",INDEX('Providers'!$T$4:$T$503,30))&amp;". ")&amp;IF(LEN(IF(ISNUMBER(INDEX('Providers'!$U$4:$U$503,30)),TEXT(INDEX('Providers'!$U$4:$U$503,30),"yyyy-mm-dd"),""))=0,"","Last attested: "&amp;IF(ISNUMBER(INDEX('Providers'!$U$4:$U$503,30)),TEXT(INDEX('Providers'!$U$4:$U$503,30),"yyyy-mm-dd"),"")&amp;". "))</f>
        <v/>
      </c>
      <c r="J3033">
        <f>IF(LEN(INDEX('Providers'!$AJ$4:$AJ$503,30))=0,"",INDEX('Providers'!$AJ$4:$AJ$503,30))</f>
        <v/>
      </c>
      <c r="K3033">
        <f>IF(LEN(INDEX('Providers'!$AI$4:$AI$503,30))=0,"",INDEX('Providers'!$AI$4:$AI$503,30))</f>
        <v/>
      </c>
    </row>
    <row r="3034">
      <c r="A3034">
        <f>IF(AND(LEN('Providers'!A34)&gt;0,ISNUMBER('Providers'!W34)),1,0)</f>
        <v/>
      </c>
      <c r="B3034">
        <f>B3033+A3034</f>
        <v/>
      </c>
      <c r="C3034">
        <f>IF(3031&gt;$B$4503,"",MATCH(3031-0.5,$B$3:$B$4503,1))</f>
        <v/>
      </c>
      <c r="D3034">
        <f>"CAQH re-attestation – "&amp;IF(LEN(INDEX('Providers'!$A$4:$A$503,31))=0,"",INDEX('Providers'!$A$4:$A$503,31))</f>
        <v/>
      </c>
      <c r="E3034">
        <f>IF(ISNUMBER(INDEX('Providers'!$W$4:$W$503,31)),TEXT(INDEX('Providers'!$W$4:$W$503,31),"yyyy-mm-dd"),"")</f>
        <v/>
      </c>
      <c r="F3034">
        <f>"Credentialing"</f>
        <v/>
      </c>
      <c r="G3034">
        <f>IF(ISNUMBER(INDEX('Providers'!$U$4:$U$503,31)),TEXT(INDEX('Providers'!$U$4:$U$503,31),"yyyy-mm-dd"),"")</f>
        <v/>
      </c>
      <c r="H3034">
        <f>"High"</f>
        <v/>
      </c>
      <c r="I3034">
        <f>TRIM(IF(LEN(IF(LEN(INDEX('Providers'!$T$4:$T$503,31))=0,"",INDEX('Providers'!$T$4:$T$503,31)))=0,"","CAQH ID: "&amp;IF(LEN(INDEX('Providers'!$T$4:$T$503,31))=0,"",INDEX('Providers'!$T$4:$T$503,31))&amp;". ")&amp;IF(LEN(IF(ISNUMBER(INDEX('Providers'!$U$4:$U$503,31)),TEXT(INDEX('Providers'!$U$4:$U$503,31),"yyyy-mm-dd"),""))=0,"","Last attested: "&amp;IF(ISNUMBER(INDEX('Providers'!$U$4:$U$503,31)),TEXT(INDEX('Providers'!$U$4:$U$503,31),"yyyy-mm-dd"),"")&amp;". "))</f>
        <v/>
      </c>
      <c r="J3034">
        <f>IF(LEN(INDEX('Providers'!$AJ$4:$AJ$503,31))=0,"",INDEX('Providers'!$AJ$4:$AJ$503,31))</f>
        <v/>
      </c>
      <c r="K3034">
        <f>IF(LEN(INDEX('Providers'!$AI$4:$AI$503,31))=0,"",INDEX('Providers'!$AI$4:$AI$503,31))</f>
        <v/>
      </c>
    </row>
    <row r="3035">
      <c r="A3035">
        <f>IF(AND(LEN('Providers'!A35)&gt;0,ISNUMBER('Providers'!W35)),1,0)</f>
        <v/>
      </c>
      <c r="B3035">
        <f>B3034+A3035</f>
        <v/>
      </c>
      <c r="C3035">
        <f>IF(3032&gt;$B$4503,"",MATCH(3032-0.5,$B$3:$B$4503,1))</f>
        <v/>
      </c>
      <c r="D3035">
        <f>"CAQH re-attestation – "&amp;IF(LEN(INDEX('Providers'!$A$4:$A$503,32))=0,"",INDEX('Providers'!$A$4:$A$503,32))</f>
        <v/>
      </c>
      <c r="E3035">
        <f>IF(ISNUMBER(INDEX('Providers'!$W$4:$W$503,32)),TEXT(INDEX('Providers'!$W$4:$W$503,32),"yyyy-mm-dd"),"")</f>
        <v/>
      </c>
      <c r="F3035">
        <f>"Credentialing"</f>
        <v/>
      </c>
      <c r="G3035">
        <f>IF(ISNUMBER(INDEX('Providers'!$U$4:$U$503,32)),TEXT(INDEX('Providers'!$U$4:$U$503,32),"yyyy-mm-dd"),"")</f>
        <v/>
      </c>
      <c r="H3035">
        <f>"High"</f>
        <v/>
      </c>
      <c r="I3035">
        <f>TRIM(IF(LEN(IF(LEN(INDEX('Providers'!$T$4:$T$503,32))=0,"",INDEX('Providers'!$T$4:$T$503,32)))=0,"","CAQH ID: "&amp;IF(LEN(INDEX('Providers'!$T$4:$T$503,32))=0,"",INDEX('Providers'!$T$4:$T$503,32))&amp;". ")&amp;IF(LEN(IF(ISNUMBER(INDEX('Providers'!$U$4:$U$503,32)),TEXT(INDEX('Providers'!$U$4:$U$503,32),"yyyy-mm-dd"),""))=0,"","Last attested: "&amp;IF(ISNUMBER(INDEX('Providers'!$U$4:$U$503,32)),TEXT(INDEX('Providers'!$U$4:$U$503,32),"yyyy-mm-dd"),"")&amp;". "))</f>
        <v/>
      </c>
      <c r="J3035">
        <f>IF(LEN(INDEX('Providers'!$AJ$4:$AJ$503,32))=0,"",INDEX('Providers'!$AJ$4:$AJ$503,32))</f>
        <v/>
      </c>
      <c r="K3035">
        <f>IF(LEN(INDEX('Providers'!$AI$4:$AI$503,32))=0,"",INDEX('Providers'!$AI$4:$AI$503,32))</f>
        <v/>
      </c>
    </row>
    <row r="3036">
      <c r="A3036">
        <f>IF(AND(LEN('Providers'!A36)&gt;0,ISNUMBER('Providers'!W36)),1,0)</f>
        <v/>
      </c>
      <c r="B3036">
        <f>B3035+A3036</f>
        <v/>
      </c>
      <c r="C3036">
        <f>IF(3033&gt;$B$4503,"",MATCH(3033-0.5,$B$3:$B$4503,1))</f>
        <v/>
      </c>
      <c r="D3036">
        <f>"CAQH re-attestation – "&amp;IF(LEN(INDEX('Providers'!$A$4:$A$503,33))=0,"",INDEX('Providers'!$A$4:$A$503,33))</f>
        <v/>
      </c>
      <c r="E3036">
        <f>IF(ISNUMBER(INDEX('Providers'!$W$4:$W$503,33)),TEXT(INDEX('Providers'!$W$4:$W$503,33),"yyyy-mm-dd"),"")</f>
        <v/>
      </c>
      <c r="F3036">
        <f>"Credentialing"</f>
        <v/>
      </c>
      <c r="G3036">
        <f>IF(ISNUMBER(INDEX('Providers'!$U$4:$U$503,33)),TEXT(INDEX('Providers'!$U$4:$U$503,33),"yyyy-mm-dd"),"")</f>
        <v/>
      </c>
      <c r="H3036">
        <f>"High"</f>
        <v/>
      </c>
      <c r="I3036">
        <f>TRIM(IF(LEN(IF(LEN(INDEX('Providers'!$T$4:$T$503,33))=0,"",INDEX('Providers'!$T$4:$T$503,33)))=0,"","CAQH ID: "&amp;IF(LEN(INDEX('Providers'!$T$4:$T$503,33))=0,"",INDEX('Providers'!$T$4:$T$503,33))&amp;". ")&amp;IF(LEN(IF(ISNUMBER(INDEX('Providers'!$U$4:$U$503,33)),TEXT(INDEX('Providers'!$U$4:$U$503,33),"yyyy-mm-dd"),""))=0,"","Last attested: "&amp;IF(ISNUMBER(INDEX('Providers'!$U$4:$U$503,33)),TEXT(INDEX('Providers'!$U$4:$U$503,33),"yyyy-mm-dd"),"")&amp;". "))</f>
        <v/>
      </c>
      <c r="J3036">
        <f>IF(LEN(INDEX('Providers'!$AJ$4:$AJ$503,33))=0,"",INDEX('Providers'!$AJ$4:$AJ$503,33))</f>
        <v/>
      </c>
      <c r="K3036">
        <f>IF(LEN(INDEX('Providers'!$AI$4:$AI$503,33))=0,"",INDEX('Providers'!$AI$4:$AI$503,33))</f>
        <v/>
      </c>
    </row>
    <row r="3037">
      <c r="A3037">
        <f>IF(AND(LEN('Providers'!A37)&gt;0,ISNUMBER('Providers'!W37)),1,0)</f>
        <v/>
      </c>
      <c r="B3037">
        <f>B3036+A3037</f>
        <v/>
      </c>
      <c r="C3037">
        <f>IF(3034&gt;$B$4503,"",MATCH(3034-0.5,$B$3:$B$4503,1))</f>
        <v/>
      </c>
      <c r="D3037">
        <f>"CAQH re-attestation – "&amp;IF(LEN(INDEX('Providers'!$A$4:$A$503,34))=0,"",INDEX('Providers'!$A$4:$A$503,34))</f>
        <v/>
      </c>
      <c r="E3037">
        <f>IF(ISNUMBER(INDEX('Providers'!$W$4:$W$503,34)),TEXT(INDEX('Providers'!$W$4:$W$503,34),"yyyy-mm-dd"),"")</f>
        <v/>
      </c>
      <c r="F3037">
        <f>"Credentialing"</f>
        <v/>
      </c>
      <c r="G3037">
        <f>IF(ISNUMBER(INDEX('Providers'!$U$4:$U$503,34)),TEXT(INDEX('Providers'!$U$4:$U$503,34),"yyyy-mm-dd"),"")</f>
        <v/>
      </c>
      <c r="H3037">
        <f>"High"</f>
        <v/>
      </c>
      <c r="I3037">
        <f>TRIM(IF(LEN(IF(LEN(INDEX('Providers'!$T$4:$T$503,34))=0,"",INDEX('Providers'!$T$4:$T$503,34)))=0,"","CAQH ID: "&amp;IF(LEN(INDEX('Providers'!$T$4:$T$503,34))=0,"",INDEX('Providers'!$T$4:$T$503,34))&amp;". ")&amp;IF(LEN(IF(ISNUMBER(INDEX('Providers'!$U$4:$U$503,34)),TEXT(INDEX('Providers'!$U$4:$U$503,34),"yyyy-mm-dd"),""))=0,"","Last attested: "&amp;IF(ISNUMBER(INDEX('Providers'!$U$4:$U$503,34)),TEXT(INDEX('Providers'!$U$4:$U$503,34),"yyyy-mm-dd"),"")&amp;". "))</f>
        <v/>
      </c>
      <c r="J3037">
        <f>IF(LEN(INDEX('Providers'!$AJ$4:$AJ$503,34))=0,"",INDEX('Providers'!$AJ$4:$AJ$503,34))</f>
        <v/>
      </c>
      <c r="K3037">
        <f>IF(LEN(INDEX('Providers'!$AI$4:$AI$503,34))=0,"",INDEX('Providers'!$AI$4:$AI$503,34))</f>
        <v/>
      </c>
    </row>
    <row r="3038">
      <c r="A3038">
        <f>IF(AND(LEN('Providers'!A38)&gt;0,ISNUMBER('Providers'!W38)),1,0)</f>
        <v/>
      </c>
      <c r="B3038">
        <f>B3037+A3038</f>
        <v/>
      </c>
      <c r="C3038">
        <f>IF(3035&gt;$B$4503,"",MATCH(3035-0.5,$B$3:$B$4503,1))</f>
        <v/>
      </c>
      <c r="D3038">
        <f>"CAQH re-attestation – "&amp;IF(LEN(INDEX('Providers'!$A$4:$A$503,35))=0,"",INDEX('Providers'!$A$4:$A$503,35))</f>
        <v/>
      </c>
      <c r="E3038">
        <f>IF(ISNUMBER(INDEX('Providers'!$W$4:$W$503,35)),TEXT(INDEX('Providers'!$W$4:$W$503,35),"yyyy-mm-dd"),"")</f>
        <v/>
      </c>
      <c r="F3038">
        <f>"Credentialing"</f>
        <v/>
      </c>
      <c r="G3038">
        <f>IF(ISNUMBER(INDEX('Providers'!$U$4:$U$503,35)),TEXT(INDEX('Providers'!$U$4:$U$503,35),"yyyy-mm-dd"),"")</f>
        <v/>
      </c>
      <c r="H3038">
        <f>"High"</f>
        <v/>
      </c>
      <c r="I3038">
        <f>TRIM(IF(LEN(IF(LEN(INDEX('Providers'!$T$4:$T$503,35))=0,"",INDEX('Providers'!$T$4:$T$503,35)))=0,"","CAQH ID: "&amp;IF(LEN(INDEX('Providers'!$T$4:$T$503,35))=0,"",INDEX('Providers'!$T$4:$T$503,35))&amp;". ")&amp;IF(LEN(IF(ISNUMBER(INDEX('Providers'!$U$4:$U$503,35)),TEXT(INDEX('Providers'!$U$4:$U$503,35),"yyyy-mm-dd"),""))=0,"","Last attested: "&amp;IF(ISNUMBER(INDEX('Providers'!$U$4:$U$503,35)),TEXT(INDEX('Providers'!$U$4:$U$503,35),"yyyy-mm-dd"),"")&amp;". "))</f>
        <v/>
      </c>
      <c r="J3038">
        <f>IF(LEN(INDEX('Providers'!$AJ$4:$AJ$503,35))=0,"",INDEX('Providers'!$AJ$4:$AJ$503,35))</f>
        <v/>
      </c>
      <c r="K3038">
        <f>IF(LEN(INDEX('Providers'!$AI$4:$AI$503,35))=0,"",INDEX('Providers'!$AI$4:$AI$503,35))</f>
        <v/>
      </c>
    </row>
    <row r="3039">
      <c r="A3039">
        <f>IF(AND(LEN('Providers'!A39)&gt;0,ISNUMBER('Providers'!W39)),1,0)</f>
        <v/>
      </c>
      <c r="B3039">
        <f>B3038+A3039</f>
        <v/>
      </c>
      <c r="C3039">
        <f>IF(3036&gt;$B$4503,"",MATCH(3036-0.5,$B$3:$B$4503,1))</f>
        <v/>
      </c>
      <c r="D3039">
        <f>"CAQH re-attestation – "&amp;IF(LEN(INDEX('Providers'!$A$4:$A$503,36))=0,"",INDEX('Providers'!$A$4:$A$503,36))</f>
        <v/>
      </c>
      <c r="E3039">
        <f>IF(ISNUMBER(INDEX('Providers'!$W$4:$W$503,36)),TEXT(INDEX('Providers'!$W$4:$W$503,36),"yyyy-mm-dd"),"")</f>
        <v/>
      </c>
      <c r="F3039">
        <f>"Credentialing"</f>
        <v/>
      </c>
      <c r="G3039">
        <f>IF(ISNUMBER(INDEX('Providers'!$U$4:$U$503,36)),TEXT(INDEX('Providers'!$U$4:$U$503,36),"yyyy-mm-dd"),"")</f>
        <v/>
      </c>
      <c r="H3039">
        <f>"High"</f>
        <v/>
      </c>
      <c r="I3039">
        <f>TRIM(IF(LEN(IF(LEN(INDEX('Providers'!$T$4:$T$503,36))=0,"",INDEX('Providers'!$T$4:$T$503,36)))=0,"","CAQH ID: "&amp;IF(LEN(INDEX('Providers'!$T$4:$T$503,36))=0,"",INDEX('Providers'!$T$4:$T$503,36))&amp;". ")&amp;IF(LEN(IF(ISNUMBER(INDEX('Providers'!$U$4:$U$503,36)),TEXT(INDEX('Providers'!$U$4:$U$503,36),"yyyy-mm-dd"),""))=0,"","Last attested: "&amp;IF(ISNUMBER(INDEX('Providers'!$U$4:$U$503,36)),TEXT(INDEX('Providers'!$U$4:$U$503,36),"yyyy-mm-dd"),"")&amp;". "))</f>
        <v/>
      </c>
      <c r="J3039">
        <f>IF(LEN(INDEX('Providers'!$AJ$4:$AJ$503,36))=0,"",INDEX('Providers'!$AJ$4:$AJ$503,36))</f>
        <v/>
      </c>
      <c r="K3039">
        <f>IF(LEN(INDEX('Providers'!$AI$4:$AI$503,36))=0,"",INDEX('Providers'!$AI$4:$AI$503,36))</f>
        <v/>
      </c>
    </row>
    <row r="3040">
      <c r="A3040">
        <f>IF(AND(LEN('Providers'!A40)&gt;0,ISNUMBER('Providers'!W40)),1,0)</f>
        <v/>
      </c>
      <c r="B3040">
        <f>B3039+A3040</f>
        <v/>
      </c>
      <c r="C3040">
        <f>IF(3037&gt;$B$4503,"",MATCH(3037-0.5,$B$3:$B$4503,1))</f>
        <v/>
      </c>
      <c r="D3040">
        <f>"CAQH re-attestation – "&amp;IF(LEN(INDEX('Providers'!$A$4:$A$503,37))=0,"",INDEX('Providers'!$A$4:$A$503,37))</f>
        <v/>
      </c>
      <c r="E3040">
        <f>IF(ISNUMBER(INDEX('Providers'!$W$4:$W$503,37)),TEXT(INDEX('Providers'!$W$4:$W$503,37),"yyyy-mm-dd"),"")</f>
        <v/>
      </c>
      <c r="F3040">
        <f>"Credentialing"</f>
        <v/>
      </c>
      <c r="G3040">
        <f>IF(ISNUMBER(INDEX('Providers'!$U$4:$U$503,37)),TEXT(INDEX('Providers'!$U$4:$U$503,37),"yyyy-mm-dd"),"")</f>
        <v/>
      </c>
      <c r="H3040">
        <f>"High"</f>
        <v/>
      </c>
      <c r="I3040">
        <f>TRIM(IF(LEN(IF(LEN(INDEX('Providers'!$T$4:$T$503,37))=0,"",INDEX('Providers'!$T$4:$T$503,37)))=0,"","CAQH ID: "&amp;IF(LEN(INDEX('Providers'!$T$4:$T$503,37))=0,"",INDEX('Providers'!$T$4:$T$503,37))&amp;". ")&amp;IF(LEN(IF(ISNUMBER(INDEX('Providers'!$U$4:$U$503,37)),TEXT(INDEX('Providers'!$U$4:$U$503,37),"yyyy-mm-dd"),""))=0,"","Last attested: "&amp;IF(ISNUMBER(INDEX('Providers'!$U$4:$U$503,37)),TEXT(INDEX('Providers'!$U$4:$U$503,37),"yyyy-mm-dd"),"")&amp;". "))</f>
        <v/>
      </c>
      <c r="J3040">
        <f>IF(LEN(INDEX('Providers'!$AJ$4:$AJ$503,37))=0,"",INDEX('Providers'!$AJ$4:$AJ$503,37))</f>
        <v/>
      </c>
      <c r="K3040">
        <f>IF(LEN(INDEX('Providers'!$AI$4:$AI$503,37))=0,"",INDEX('Providers'!$AI$4:$AI$503,37))</f>
        <v/>
      </c>
    </row>
    <row r="3041">
      <c r="A3041">
        <f>IF(AND(LEN('Providers'!A41)&gt;0,ISNUMBER('Providers'!W41)),1,0)</f>
        <v/>
      </c>
      <c r="B3041">
        <f>B3040+A3041</f>
        <v/>
      </c>
      <c r="C3041">
        <f>IF(3038&gt;$B$4503,"",MATCH(3038-0.5,$B$3:$B$4503,1))</f>
        <v/>
      </c>
      <c r="D3041">
        <f>"CAQH re-attestation – "&amp;IF(LEN(INDEX('Providers'!$A$4:$A$503,38))=0,"",INDEX('Providers'!$A$4:$A$503,38))</f>
        <v/>
      </c>
      <c r="E3041">
        <f>IF(ISNUMBER(INDEX('Providers'!$W$4:$W$503,38)),TEXT(INDEX('Providers'!$W$4:$W$503,38),"yyyy-mm-dd"),"")</f>
        <v/>
      </c>
      <c r="F3041">
        <f>"Credentialing"</f>
        <v/>
      </c>
      <c r="G3041">
        <f>IF(ISNUMBER(INDEX('Providers'!$U$4:$U$503,38)),TEXT(INDEX('Providers'!$U$4:$U$503,38),"yyyy-mm-dd"),"")</f>
        <v/>
      </c>
      <c r="H3041">
        <f>"High"</f>
        <v/>
      </c>
      <c r="I3041">
        <f>TRIM(IF(LEN(IF(LEN(INDEX('Providers'!$T$4:$T$503,38))=0,"",INDEX('Providers'!$T$4:$T$503,38)))=0,"","CAQH ID: "&amp;IF(LEN(INDEX('Providers'!$T$4:$T$503,38))=0,"",INDEX('Providers'!$T$4:$T$503,38))&amp;". ")&amp;IF(LEN(IF(ISNUMBER(INDEX('Providers'!$U$4:$U$503,38)),TEXT(INDEX('Providers'!$U$4:$U$503,38),"yyyy-mm-dd"),""))=0,"","Last attested: "&amp;IF(ISNUMBER(INDEX('Providers'!$U$4:$U$503,38)),TEXT(INDEX('Providers'!$U$4:$U$503,38),"yyyy-mm-dd"),"")&amp;". "))</f>
        <v/>
      </c>
      <c r="J3041">
        <f>IF(LEN(INDEX('Providers'!$AJ$4:$AJ$503,38))=0,"",INDEX('Providers'!$AJ$4:$AJ$503,38))</f>
        <v/>
      </c>
      <c r="K3041">
        <f>IF(LEN(INDEX('Providers'!$AI$4:$AI$503,38))=0,"",INDEX('Providers'!$AI$4:$AI$503,38))</f>
        <v/>
      </c>
    </row>
    <row r="3042">
      <c r="A3042">
        <f>IF(AND(LEN('Providers'!A42)&gt;0,ISNUMBER('Providers'!W42)),1,0)</f>
        <v/>
      </c>
      <c r="B3042">
        <f>B3041+A3042</f>
        <v/>
      </c>
      <c r="C3042">
        <f>IF(3039&gt;$B$4503,"",MATCH(3039-0.5,$B$3:$B$4503,1))</f>
        <v/>
      </c>
      <c r="D3042">
        <f>"CAQH re-attestation – "&amp;IF(LEN(INDEX('Providers'!$A$4:$A$503,39))=0,"",INDEX('Providers'!$A$4:$A$503,39))</f>
        <v/>
      </c>
      <c r="E3042">
        <f>IF(ISNUMBER(INDEX('Providers'!$W$4:$W$503,39)),TEXT(INDEX('Providers'!$W$4:$W$503,39),"yyyy-mm-dd"),"")</f>
        <v/>
      </c>
      <c r="F3042">
        <f>"Credentialing"</f>
        <v/>
      </c>
      <c r="G3042">
        <f>IF(ISNUMBER(INDEX('Providers'!$U$4:$U$503,39)),TEXT(INDEX('Providers'!$U$4:$U$503,39),"yyyy-mm-dd"),"")</f>
        <v/>
      </c>
      <c r="H3042">
        <f>"High"</f>
        <v/>
      </c>
      <c r="I3042">
        <f>TRIM(IF(LEN(IF(LEN(INDEX('Providers'!$T$4:$T$503,39))=0,"",INDEX('Providers'!$T$4:$T$503,39)))=0,"","CAQH ID: "&amp;IF(LEN(INDEX('Providers'!$T$4:$T$503,39))=0,"",INDEX('Providers'!$T$4:$T$503,39))&amp;". ")&amp;IF(LEN(IF(ISNUMBER(INDEX('Providers'!$U$4:$U$503,39)),TEXT(INDEX('Providers'!$U$4:$U$503,39),"yyyy-mm-dd"),""))=0,"","Last attested: "&amp;IF(ISNUMBER(INDEX('Providers'!$U$4:$U$503,39)),TEXT(INDEX('Providers'!$U$4:$U$503,39),"yyyy-mm-dd"),"")&amp;". "))</f>
        <v/>
      </c>
      <c r="J3042">
        <f>IF(LEN(INDEX('Providers'!$AJ$4:$AJ$503,39))=0,"",INDEX('Providers'!$AJ$4:$AJ$503,39))</f>
        <v/>
      </c>
      <c r="K3042">
        <f>IF(LEN(INDEX('Providers'!$AI$4:$AI$503,39))=0,"",INDEX('Providers'!$AI$4:$AI$503,39))</f>
        <v/>
      </c>
    </row>
    <row r="3043">
      <c r="A3043">
        <f>IF(AND(LEN('Providers'!A43)&gt;0,ISNUMBER('Providers'!W43)),1,0)</f>
        <v/>
      </c>
      <c r="B3043">
        <f>B3042+A3043</f>
        <v/>
      </c>
      <c r="C3043">
        <f>IF(3040&gt;$B$4503,"",MATCH(3040-0.5,$B$3:$B$4503,1))</f>
        <v/>
      </c>
      <c r="D3043">
        <f>"CAQH re-attestation – "&amp;IF(LEN(INDEX('Providers'!$A$4:$A$503,40))=0,"",INDEX('Providers'!$A$4:$A$503,40))</f>
        <v/>
      </c>
      <c r="E3043">
        <f>IF(ISNUMBER(INDEX('Providers'!$W$4:$W$503,40)),TEXT(INDEX('Providers'!$W$4:$W$503,40),"yyyy-mm-dd"),"")</f>
        <v/>
      </c>
      <c r="F3043">
        <f>"Credentialing"</f>
        <v/>
      </c>
      <c r="G3043">
        <f>IF(ISNUMBER(INDEX('Providers'!$U$4:$U$503,40)),TEXT(INDEX('Providers'!$U$4:$U$503,40),"yyyy-mm-dd"),"")</f>
        <v/>
      </c>
      <c r="H3043">
        <f>"High"</f>
        <v/>
      </c>
      <c r="I3043">
        <f>TRIM(IF(LEN(IF(LEN(INDEX('Providers'!$T$4:$T$503,40))=0,"",INDEX('Providers'!$T$4:$T$503,40)))=0,"","CAQH ID: "&amp;IF(LEN(INDEX('Providers'!$T$4:$T$503,40))=0,"",INDEX('Providers'!$T$4:$T$503,40))&amp;". ")&amp;IF(LEN(IF(ISNUMBER(INDEX('Providers'!$U$4:$U$503,40)),TEXT(INDEX('Providers'!$U$4:$U$503,40),"yyyy-mm-dd"),""))=0,"","Last attested: "&amp;IF(ISNUMBER(INDEX('Providers'!$U$4:$U$503,40)),TEXT(INDEX('Providers'!$U$4:$U$503,40),"yyyy-mm-dd"),"")&amp;". "))</f>
        <v/>
      </c>
      <c r="J3043">
        <f>IF(LEN(INDEX('Providers'!$AJ$4:$AJ$503,40))=0,"",INDEX('Providers'!$AJ$4:$AJ$503,40))</f>
        <v/>
      </c>
      <c r="K3043">
        <f>IF(LEN(INDEX('Providers'!$AI$4:$AI$503,40))=0,"",INDEX('Providers'!$AI$4:$AI$503,40))</f>
        <v/>
      </c>
    </row>
    <row r="3044">
      <c r="A3044">
        <f>IF(AND(LEN('Providers'!A44)&gt;0,ISNUMBER('Providers'!W44)),1,0)</f>
        <v/>
      </c>
      <c r="B3044">
        <f>B3043+A3044</f>
        <v/>
      </c>
      <c r="C3044">
        <f>IF(3041&gt;$B$4503,"",MATCH(3041-0.5,$B$3:$B$4503,1))</f>
        <v/>
      </c>
      <c r="D3044">
        <f>"CAQH re-attestation – "&amp;IF(LEN(INDEX('Providers'!$A$4:$A$503,41))=0,"",INDEX('Providers'!$A$4:$A$503,41))</f>
        <v/>
      </c>
      <c r="E3044">
        <f>IF(ISNUMBER(INDEX('Providers'!$W$4:$W$503,41)),TEXT(INDEX('Providers'!$W$4:$W$503,41),"yyyy-mm-dd"),"")</f>
        <v/>
      </c>
      <c r="F3044">
        <f>"Credentialing"</f>
        <v/>
      </c>
      <c r="G3044">
        <f>IF(ISNUMBER(INDEX('Providers'!$U$4:$U$503,41)),TEXT(INDEX('Providers'!$U$4:$U$503,41),"yyyy-mm-dd"),"")</f>
        <v/>
      </c>
      <c r="H3044">
        <f>"High"</f>
        <v/>
      </c>
      <c r="I3044">
        <f>TRIM(IF(LEN(IF(LEN(INDEX('Providers'!$T$4:$T$503,41))=0,"",INDEX('Providers'!$T$4:$T$503,41)))=0,"","CAQH ID: "&amp;IF(LEN(INDEX('Providers'!$T$4:$T$503,41))=0,"",INDEX('Providers'!$T$4:$T$503,41))&amp;". ")&amp;IF(LEN(IF(ISNUMBER(INDEX('Providers'!$U$4:$U$503,41)),TEXT(INDEX('Providers'!$U$4:$U$503,41),"yyyy-mm-dd"),""))=0,"","Last attested: "&amp;IF(ISNUMBER(INDEX('Providers'!$U$4:$U$503,41)),TEXT(INDEX('Providers'!$U$4:$U$503,41),"yyyy-mm-dd"),"")&amp;". "))</f>
        <v/>
      </c>
      <c r="J3044">
        <f>IF(LEN(INDEX('Providers'!$AJ$4:$AJ$503,41))=0,"",INDEX('Providers'!$AJ$4:$AJ$503,41))</f>
        <v/>
      </c>
      <c r="K3044">
        <f>IF(LEN(INDEX('Providers'!$AI$4:$AI$503,41))=0,"",INDEX('Providers'!$AI$4:$AI$503,41))</f>
        <v/>
      </c>
    </row>
    <row r="3045">
      <c r="A3045">
        <f>IF(AND(LEN('Providers'!A45)&gt;0,ISNUMBER('Providers'!W45)),1,0)</f>
        <v/>
      </c>
      <c r="B3045">
        <f>B3044+A3045</f>
        <v/>
      </c>
      <c r="C3045">
        <f>IF(3042&gt;$B$4503,"",MATCH(3042-0.5,$B$3:$B$4503,1))</f>
        <v/>
      </c>
      <c r="D3045">
        <f>"CAQH re-attestation – "&amp;IF(LEN(INDEX('Providers'!$A$4:$A$503,42))=0,"",INDEX('Providers'!$A$4:$A$503,42))</f>
        <v/>
      </c>
      <c r="E3045">
        <f>IF(ISNUMBER(INDEX('Providers'!$W$4:$W$503,42)),TEXT(INDEX('Providers'!$W$4:$W$503,42),"yyyy-mm-dd"),"")</f>
        <v/>
      </c>
      <c r="F3045">
        <f>"Credentialing"</f>
        <v/>
      </c>
      <c r="G3045">
        <f>IF(ISNUMBER(INDEX('Providers'!$U$4:$U$503,42)),TEXT(INDEX('Providers'!$U$4:$U$503,42),"yyyy-mm-dd"),"")</f>
        <v/>
      </c>
      <c r="H3045">
        <f>"High"</f>
        <v/>
      </c>
      <c r="I3045">
        <f>TRIM(IF(LEN(IF(LEN(INDEX('Providers'!$T$4:$T$503,42))=0,"",INDEX('Providers'!$T$4:$T$503,42)))=0,"","CAQH ID: "&amp;IF(LEN(INDEX('Providers'!$T$4:$T$503,42))=0,"",INDEX('Providers'!$T$4:$T$503,42))&amp;". ")&amp;IF(LEN(IF(ISNUMBER(INDEX('Providers'!$U$4:$U$503,42)),TEXT(INDEX('Providers'!$U$4:$U$503,42),"yyyy-mm-dd"),""))=0,"","Last attested: "&amp;IF(ISNUMBER(INDEX('Providers'!$U$4:$U$503,42)),TEXT(INDEX('Providers'!$U$4:$U$503,42),"yyyy-mm-dd"),"")&amp;". "))</f>
        <v/>
      </c>
      <c r="J3045">
        <f>IF(LEN(INDEX('Providers'!$AJ$4:$AJ$503,42))=0,"",INDEX('Providers'!$AJ$4:$AJ$503,42))</f>
        <v/>
      </c>
      <c r="K3045">
        <f>IF(LEN(INDEX('Providers'!$AI$4:$AI$503,42))=0,"",INDEX('Providers'!$AI$4:$AI$503,42))</f>
        <v/>
      </c>
    </row>
    <row r="3046">
      <c r="A3046">
        <f>IF(AND(LEN('Providers'!A46)&gt;0,ISNUMBER('Providers'!W46)),1,0)</f>
        <v/>
      </c>
      <c r="B3046">
        <f>B3045+A3046</f>
        <v/>
      </c>
      <c r="C3046">
        <f>IF(3043&gt;$B$4503,"",MATCH(3043-0.5,$B$3:$B$4503,1))</f>
        <v/>
      </c>
      <c r="D3046">
        <f>"CAQH re-attestation – "&amp;IF(LEN(INDEX('Providers'!$A$4:$A$503,43))=0,"",INDEX('Providers'!$A$4:$A$503,43))</f>
        <v/>
      </c>
      <c r="E3046">
        <f>IF(ISNUMBER(INDEX('Providers'!$W$4:$W$503,43)),TEXT(INDEX('Providers'!$W$4:$W$503,43),"yyyy-mm-dd"),"")</f>
        <v/>
      </c>
      <c r="F3046">
        <f>"Credentialing"</f>
        <v/>
      </c>
      <c r="G3046">
        <f>IF(ISNUMBER(INDEX('Providers'!$U$4:$U$503,43)),TEXT(INDEX('Providers'!$U$4:$U$503,43),"yyyy-mm-dd"),"")</f>
        <v/>
      </c>
      <c r="H3046">
        <f>"High"</f>
        <v/>
      </c>
      <c r="I3046">
        <f>TRIM(IF(LEN(IF(LEN(INDEX('Providers'!$T$4:$T$503,43))=0,"",INDEX('Providers'!$T$4:$T$503,43)))=0,"","CAQH ID: "&amp;IF(LEN(INDEX('Providers'!$T$4:$T$503,43))=0,"",INDEX('Providers'!$T$4:$T$503,43))&amp;". ")&amp;IF(LEN(IF(ISNUMBER(INDEX('Providers'!$U$4:$U$503,43)),TEXT(INDEX('Providers'!$U$4:$U$503,43),"yyyy-mm-dd"),""))=0,"","Last attested: "&amp;IF(ISNUMBER(INDEX('Providers'!$U$4:$U$503,43)),TEXT(INDEX('Providers'!$U$4:$U$503,43),"yyyy-mm-dd"),"")&amp;". "))</f>
        <v/>
      </c>
      <c r="J3046">
        <f>IF(LEN(INDEX('Providers'!$AJ$4:$AJ$503,43))=0,"",INDEX('Providers'!$AJ$4:$AJ$503,43))</f>
        <v/>
      </c>
      <c r="K3046">
        <f>IF(LEN(INDEX('Providers'!$AI$4:$AI$503,43))=0,"",INDEX('Providers'!$AI$4:$AI$503,43))</f>
        <v/>
      </c>
    </row>
    <row r="3047">
      <c r="A3047">
        <f>IF(AND(LEN('Providers'!A47)&gt;0,ISNUMBER('Providers'!W47)),1,0)</f>
        <v/>
      </c>
      <c r="B3047">
        <f>B3046+A3047</f>
        <v/>
      </c>
      <c r="C3047">
        <f>IF(3044&gt;$B$4503,"",MATCH(3044-0.5,$B$3:$B$4503,1))</f>
        <v/>
      </c>
      <c r="D3047">
        <f>"CAQH re-attestation – "&amp;IF(LEN(INDEX('Providers'!$A$4:$A$503,44))=0,"",INDEX('Providers'!$A$4:$A$503,44))</f>
        <v/>
      </c>
      <c r="E3047">
        <f>IF(ISNUMBER(INDEX('Providers'!$W$4:$W$503,44)),TEXT(INDEX('Providers'!$W$4:$W$503,44),"yyyy-mm-dd"),"")</f>
        <v/>
      </c>
      <c r="F3047">
        <f>"Credentialing"</f>
        <v/>
      </c>
      <c r="G3047">
        <f>IF(ISNUMBER(INDEX('Providers'!$U$4:$U$503,44)),TEXT(INDEX('Providers'!$U$4:$U$503,44),"yyyy-mm-dd"),"")</f>
        <v/>
      </c>
      <c r="H3047">
        <f>"High"</f>
        <v/>
      </c>
      <c r="I3047">
        <f>TRIM(IF(LEN(IF(LEN(INDEX('Providers'!$T$4:$T$503,44))=0,"",INDEX('Providers'!$T$4:$T$503,44)))=0,"","CAQH ID: "&amp;IF(LEN(INDEX('Providers'!$T$4:$T$503,44))=0,"",INDEX('Providers'!$T$4:$T$503,44))&amp;". ")&amp;IF(LEN(IF(ISNUMBER(INDEX('Providers'!$U$4:$U$503,44)),TEXT(INDEX('Providers'!$U$4:$U$503,44),"yyyy-mm-dd"),""))=0,"","Last attested: "&amp;IF(ISNUMBER(INDEX('Providers'!$U$4:$U$503,44)),TEXT(INDEX('Providers'!$U$4:$U$503,44),"yyyy-mm-dd"),"")&amp;". "))</f>
        <v/>
      </c>
      <c r="J3047">
        <f>IF(LEN(INDEX('Providers'!$AJ$4:$AJ$503,44))=0,"",INDEX('Providers'!$AJ$4:$AJ$503,44))</f>
        <v/>
      </c>
      <c r="K3047">
        <f>IF(LEN(INDEX('Providers'!$AI$4:$AI$503,44))=0,"",INDEX('Providers'!$AI$4:$AI$503,44))</f>
        <v/>
      </c>
    </row>
    <row r="3048">
      <c r="A3048">
        <f>IF(AND(LEN('Providers'!A48)&gt;0,ISNUMBER('Providers'!W48)),1,0)</f>
        <v/>
      </c>
      <c r="B3048">
        <f>B3047+A3048</f>
        <v/>
      </c>
      <c r="C3048">
        <f>IF(3045&gt;$B$4503,"",MATCH(3045-0.5,$B$3:$B$4503,1))</f>
        <v/>
      </c>
      <c r="D3048">
        <f>"CAQH re-attestation – "&amp;IF(LEN(INDEX('Providers'!$A$4:$A$503,45))=0,"",INDEX('Providers'!$A$4:$A$503,45))</f>
        <v/>
      </c>
      <c r="E3048">
        <f>IF(ISNUMBER(INDEX('Providers'!$W$4:$W$503,45)),TEXT(INDEX('Providers'!$W$4:$W$503,45),"yyyy-mm-dd"),"")</f>
        <v/>
      </c>
      <c r="F3048">
        <f>"Credentialing"</f>
        <v/>
      </c>
      <c r="G3048">
        <f>IF(ISNUMBER(INDEX('Providers'!$U$4:$U$503,45)),TEXT(INDEX('Providers'!$U$4:$U$503,45),"yyyy-mm-dd"),"")</f>
        <v/>
      </c>
      <c r="H3048">
        <f>"High"</f>
        <v/>
      </c>
      <c r="I3048">
        <f>TRIM(IF(LEN(IF(LEN(INDEX('Providers'!$T$4:$T$503,45))=0,"",INDEX('Providers'!$T$4:$T$503,45)))=0,"","CAQH ID: "&amp;IF(LEN(INDEX('Providers'!$T$4:$T$503,45))=0,"",INDEX('Providers'!$T$4:$T$503,45))&amp;". ")&amp;IF(LEN(IF(ISNUMBER(INDEX('Providers'!$U$4:$U$503,45)),TEXT(INDEX('Providers'!$U$4:$U$503,45),"yyyy-mm-dd"),""))=0,"","Last attested: "&amp;IF(ISNUMBER(INDEX('Providers'!$U$4:$U$503,45)),TEXT(INDEX('Providers'!$U$4:$U$503,45),"yyyy-mm-dd"),"")&amp;". "))</f>
        <v/>
      </c>
      <c r="J3048">
        <f>IF(LEN(INDEX('Providers'!$AJ$4:$AJ$503,45))=0,"",INDEX('Providers'!$AJ$4:$AJ$503,45))</f>
        <v/>
      </c>
      <c r="K3048">
        <f>IF(LEN(INDEX('Providers'!$AI$4:$AI$503,45))=0,"",INDEX('Providers'!$AI$4:$AI$503,45))</f>
        <v/>
      </c>
    </row>
    <row r="3049">
      <c r="A3049">
        <f>IF(AND(LEN('Providers'!A49)&gt;0,ISNUMBER('Providers'!W49)),1,0)</f>
        <v/>
      </c>
      <c r="B3049">
        <f>B3048+A3049</f>
        <v/>
      </c>
      <c r="C3049">
        <f>IF(3046&gt;$B$4503,"",MATCH(3046-0.5,$B$3:$B$4503,1))</f>
        <v/>
      </c>
      <c r="D3049">
        <f>"CAQH re-attestation – "&amp;IF(LEN(INDEX('Providers'!$A$4:$A$503,46))=0,"",INDEX('Providers'!$A$4:$A$503,46))</f>
        <v/>
      </c>
      <c r="E3049">
        <f>IF(ISNUMBER(INDEX('Providers'!$W$4:$W$503,46)),TEXT(INDEX('Providers'!$W$4:$W$503,46),"yyyy-mm-dd"),"")</f>
        <v/>
      </c>
      <c r="F3049">
        <f>"Credentialing"</f>
        <v/>
      </c>
      <c r="G3049">
        <f>IF(ISNUMBER(INDEX('Providers'!$U$4:$U$503,46)),TEXT(INDEX('Providers'!$U$4:$U$503,46),"yyyy-mm-dd"),"")</f>
        <v/>
      </c>
      <c r="H3049">
        <f>"High"</f>
        <v/>
      </c>
      <c r="I3049">
        <f>TRIM(IF(LEN(IF(LEN(INDEX('Providers'!$T$4:$T$503,46))=0,"",INDEX('Providers'!$T$4:$T$503,46)))=0,"","CAQH ID: "&amp;IF(LEN(INDEX('Providers'!$T$4:$T$503,46))=0,"",INDEX('Providers'!$T$4:$T$503,46))&amp;". ")&amp;IF(LEN(IF(ISNUMBER(INDEX('Providers'!$U$4:$U$503,46)),TEXT(INDEX('Providers'!$U$4:$U$503,46),"yyyy-mm-dd"),""))=0,"","Last attested: "&amp;IF(ISNUMBER(INDEX('Providers'!$U$4:$U$503,46)),TEXT(INDEX('Providers'!$U$4:$U$503,46),"yyyy-mm-dd"),"")&amp;". "))</f>
        <v/>
      </c>
      <c r="J3049">
        <f>IF(LEN(INDEX('Providers'!$AJ$4:$AJ$503,46))=0,"",INDEX('Providers'!$AJ$4:$AJ$503,46))</f>
        <v/>
      </c>
      <c r="K3049">
        <f>IF(LEN(INDEX('Providers'!$AI$4:$AI$503,46))=0,"",INDEX('Providers'!$AI$4:$AI$503,46))</f>
        <v/>
      </c>
    </row>
    <row r="3050">
      <c r="A3050">
        <f>IF(AND(LEN('Providers'!A50)&gt;0,ISNUMBER('Providers'!W50)),1,0)</f>
        <v/>
      </c>
      <c r="B3050">
        <f>B3049+A3050</f>
        <v/>
      </c>
      <c r="C3050">
        <f>IF(3047&gt;$B$4503,"",MATCH(3047-0.5,$B$3:$B$4503,1))</f>
        <v/>
      </c>
      <c r="D3050">
        <f>"CAQH re-attestation – "&amp;IF(LEN(INDEX('Providers'!$A$4:$A$503,47))=0,"",INDEX('Providers'!$A$4:$A$503,47))</f>
        <v/>
      </c>
      <c r="E3050">
        <f>IF(ISNUMBER(INDEX('Providers'!$W$4:$W$503,47)),TEXT(INDEX('Providers'!$W$4:$W$503,47),"yyyy-mm-dd"),"")</f>
        <v/>
      </c>
      <c r="F3050">
        <f>"Credentialing"</f>
        <v/>
      </c>
      <c r="G3050">
        <f>IF(ISNUMBER(INDEX('Providers'!$U$4:$U$503,47)),TEXT(INDEX('Providers'!$U$4:$U$503,47),"yyyy-mm-dd"),"")</f>
        <v/>
      </c>
      <c r="H3050">
        <f>"High"</f>
        <v/>
      </c>
      <c r="I3050">
        <f>TRIM(IF(LEN(IF(LEN(INDEX('Providers'!$T$4:$T$503,47))=0,"",INDEX('Providers'!$T$4:$T$503,47)))=0,"","CAQH ID: "&amp;IF(LEN(INDEX('Providers'!$T$4:$T$503,47))=0,"",INDEX('Providers'!$T$4:$T$503,47))&amp;". ")&amp;IF(LEN(IF(ISNUMBER(INDEX('Providers'!$U$4:$U$503,47)),TEXT(INDEX('Providers'!$U$4:$U$503,47),"yyyy-mm-dd"),""))=0,"","Last attested: "&amp;IF(ISNUMBER(INDEX('Providers'!$U$4:$U$503,47)),TEXT(INDEX('Providers'!$U$4:$U$503,47),"yyyy-mm-dd"),"")&amp;". "))</f>
        <v/>
      </c>
      <c r="J3050">
        <f>IF(LEN(INDEX('Providers'!$AJ$4:$AJ$503,47))=0,"",INDEX('Providers'!$AJ$4:$AJ$503,47))</f>
        <v/>
      </c>
      <c r="K3050">
        <f>IF(LEN(INDEX('Providers'!$AI$4:$AI$503,47))=0,"",INDEX('Providers'!$AI$4:$AI$503,47))</f>
        <v/>
      </c>
    </row>
    <row r="3051">
      <c r="A3051">
        <f>IF(AND(LEN('Providers'!A51)&gt;0,ISNUMBER('Providers'!W51)),1,0)</f>
        <v/>
      </c>
      <c r="B3051">
        <f>B3050+A3051</f>
        <v/>
      </c>
      <c r="C3051">
        <f>IF(3048&gt;$B$4503,"",MATCH(3048-0.5,$B$3:$B$4503,1))</f>
        <v/>
      </c>
      <c r="D3051">
        <f>"CAQH re-attestation – "&amp;IF(LEN(INDEX('Providers'!$A$4:$A$503,48))=0,"",INDEX('Providers'!$A$4:$A$503,48))</f>
        <v/>
      </c>
      <c r="E3051">
        <f>IF(ISNUMBER(INDEX('Providers'!$W$4:$W$503,48)),TEXT(INDEX('Providers'!$W$4:$W$503,48),"yyyy-mm-dd"),"")</f>
        <v/>
      </c>
      <c r="F3051">
        <f>"Credentialing"</f>
        <v/>
      </c>
      <c r="G3051">
        <f>IF(ISNUMBER(INDEX('Providers'!$U$4:$U$503,48)),TEXT(INDEX('Providers'!$U$4:$U$503,48),"yyyy-mm-dd"),"")</f>
        <v/>
      </c>
      <c r="H3051">
        <f>"High"</f>
        <v/>
      </c>
      <c r="I3051">
        <f>TRIM(IF(LEN(IF(LEN(INDEX('Providers'!$T$4:$T$503,48))=0,"",INDEX('Providers'!$T$4:$T$503,48)))=0,"","CAQH ID: "&amp;IF(LEN(INDEX('Providers'!$T$4:$T$503,48))=0,"",INDEX('Providers'!$T$4:$T$503,48))&amp;". ")&amp;IF(LEN(IF(ISNUMBER(INDEX('Providers'!$U$4:$U$503,48)),TEXT(INDEX('Providers'!$U$4:$U$503,48),"yyyy-mm-dd"),""))=0,"","Last attested: "&amp;IF(ISNUMBER(INDEX('Providers'!$U$4:$U$503,48)),TEXT(INDEX('Providers'!$U$4:$U$503,48),"yyyy-mm-dd"),"")&amp;". "))</f>
        <v/>
      </c>
      <c r="J3051">
        <f>IF(LEN(INDEX('Providers'!$AJ$4:$AJ$503,48))=0,"",INDEX('Providers'!$AJ$4:$AJ$503,48))</f>
        <v/>
      </c>
      <c r="K3051">
        <f>IF(LEN(INDEX('Providers'!$AI$4:$AI$503,48))=0,"",INDEX('Providers'!$AI$4:$AI$503,48))</f>
        <v/>
      </c>
    </row>
    <row r="3052">
      <c r="A3052">
        <f>IF(AND(LEN('Providers'!A52)&gt;0,ISNUMBER('Providers'!W52)),1,0)</f>
        <v/>
      </c>
      <c r="B3052">
        <f>B3051+A3052</f>
        <v/>
      </c>
      <c r="C3052">
        <f>IF(3049&gt;$B$4503,"",MATCH(3049-0.5,$B$3:$B$4503,1))</f>
        <v/>
      </c>
      <c r="D3052">
        <f>"CAQH re-attestation – "&amp;IF(LEN(INDEX('Providers'!$A$4:$A$503,49))=0,"",INDEX('Providers'!$A$4:$A$503,49))</f>
        <v/>
      </c>
      <c r="E3052">
        <f>IF(ISNUMBER(INDEX('Providers'!$W$4:$W$503,49)),TEXT(INDEX('Providers'!$W$4:$W$503,49),"yyyy-mm-dd"),"")</f>
        <v/>
      </c>
      <c r="F3052">
        <f>"Credentialing"</f>
        <v/>
      </c>
      <c r="G3052">
        <f>IF(ISNUMBER(INDEX('Providers'!$U$4:$U$503,49)),TEXT(INDEX('Providers'!$U$4:$U$503,49),"yyyy-mm-dd"),"")</f>
        <v/>
      </c>
      <c r="H3052">
        <f>"High"</f>
        <v/>
      </c>
      <c r="I3052">
        <f>TRIM(IF(LEN(IF(LEN(INDEX('Providers'!$T$4:$T$503,49))=0,"",INDEX('Providers'!$T$4:$T$503,49)))=0,"","CAQH ID: "&amp;IF(LEN(INDEX('Providers'!$T$4:$T$503,49))=0,"",INDEX('Providers'!$T$4:$T$503,49))&amp;". ")&amp;IF(LEN(IF(ISNUMBER(INDEX('Providers'!$U$4:$U$503,49)),TEXT(INDEX('Providers'!$U$4:$U$503,49),"yyyy-mm-dd"),""))=0,"","Last attested: "&amp;IF(ISNUMBER(INDEX('Providers'!$U$4:$U$503,49)),TEXT(INDEX('Providers'!$U$4:$U$503,49),"yyyy-mm-dd"),"")&amp;". "))</f>
        <v/>
      </c>
      <c r="J3052">
        <f>IF(LEN(INDEX('Providers'!$AJ$4:$AJ$503,49))=0,"",INDEX('Providers'!$AJ$4:$AJ$503,49))</f>
        <v/>
      </c>
      <c r="K3052">
        <f>IF(LEN(INDEX('Providers'!$AI$4:$AI$503,49))=0,"",INDEX('Providers'!$AI$4:$AI$503,49))</f>
        <v/>
      </c>
    </row>
    <row r="3053">
      <c r="A3053">
        <f>IF(AND(LEN('Providers'!A53)&gt;0,ISNUMBER('Providers'!W53)),1,0)</f>
        <v/>
      </c>
      <c r="B3053">
        <f>B3052+A3053</f>
        <v/>
      </c>
      <c r="C3053">
        <f>IF(3050&gt;$B$4503,"",MATCH(3050-0.5,$B$3:$B$4503,1))</f>
        <v/>
      </c>
      <c r="D3053">
        <f>"CAQH re-attestation – "&amp;IF(LEN(INDEX('Providers'!$A$4:$A$503,50))=0,"",INDEX('Providers'!$A$4:$A$503,50))</f>
        <v/>
      </c>
      <c r="E3053">
        <f>IF(ISNUMBER(INDEX('Providers'!$W$4:$W$503,50)),TEXT(INDEX('Providers'!$W$4:$W$503,50),"yyyy-mm-dd"),"")</f>
        <v/>
      </c>
      <c r="F3053">
        <f>"Credentialing"</f>
        <v/>
      </c>
      <c r="G3053">
        <f>IF(ISNUMBER(INDEX('Providers'!$U$4:$U$503,50)),TEXT(INDEX('Providers'!$U$4:$U$503,50),"yyyy-mm-dd"),"")</f>
        <v/>
      </c>
      <c r="H3053">
        <f>"High"</f>
        <v/>
      </c>
      <c r="I3053">
        <f>TRIM(IF(LEN(IF(LEN(INDEX('Providers'!$T$4:$T$503,50))=0,"",INDEX('Providers'!$T$4:$T$503,50)))=0,"","CAQH ID: "&amp;IF(LEN(INDEX('Providers'!$T$4:$T$503,50))=0,"",INDEX('Providers'!$T$4:$T$503,50))&amp;". ")&amp;IF(LEN(IF(ISNUMBER(INDEX('Providers'!$U$4:$U$503,50)),TEXT(INDEX('Providers'!$U$4:$U$503,50),"yyyy-mm-dd"),""))=0,"","Last attested: "&amp;IF(ISNUMBER(INDEX('Providers'!$U$4:$U$503,50)),TEXT(INDEX('Providers'!$U$4:$U$503,50),"yyyy-mm-dd"),"")&amp;". "))</f>
        <v/>
      </c>
      <c r="J3053">
        <f>IF(LEN(INDEX('Providers'!$AJ$4:$AJ$503,50))=0,"",INDEX('Providers'!$AJ$4:$AJ$503,50))</f>
        <v/>
      </c>
      <c r="K3053">
        <f>IF(LEN(INDEX('Providers'!$AI$4:$AI$503,50))=0,"",INDEX('Providers'!$AI$4:$AI$503,50))</f>
        <v/>
      </c>
    </row>
    <row r="3054">
      <c r="A3054">
        <f>IF(AND(LEN('Providers'!A54)&gt;0,ISNUMBER('Providers'!W54)),1,0)</f>
        <v/>
      </c>
      <c r="B3054">
        <f>B3053+A3054</f>
        <v/>
      </c>
      <c r="C3054">
        <f>IF(3051&gt;$B$4503,"",MATCH(3051-0.5,$B$3:$B$4503,1))</f>
        <v/>
      </c>
      <c r="D3054">
        <f>"CAQH re-attestation – "&amp;IF(LEN(INDEX('Providers'!$A$4:$A$503,51))=0,"",INDEX('Providers'!$A$4:$A$503,51))</f>
        <v/>
      </c>
      <c r="E3054">
        <f>IF(ISNUMBER(INDEX('Providers'!$W$4:$W$503,51)),TEXT(INDEX('Providers'!$W$4:$W$503,51),"yyyy-mm-dd"),"")</f>
        <v/>
      </c>
      <c r="F3054">
        <f>"Credentialing"</f>
        <v/>
      </c>
      <c r="G3054">
        <f>IF(ISNUMBER(INDEX('Providers'!$U$4:$U$503,51)),TEXT(INDEX('Providers'!$U$4:$U$503,51),"yyyy-mm-dd"),"")</f>
        <v/>
      </c>
      <c r="H3054">
        <f>"High"</f>
        <v/>
      </c>
      <c r="I3054">
        <f>TRIM(IF(LEN(IF(LEN(INDEX('Providers'!$T$4:$T$503,51))=0,"",INDEX('Providers'!$T$4:$T$503,51)))=0,"","CAQH ID: "&amp;IF(LEN(INDEX('Providers'!$T$4:$T$503,51))=0,"",INDEX('Providers'!$T$4:$T$503,51))&amp;". ")&amp;IF(LEN(IF(ISNUMBER(INDEX('Providers'!$U$4:$U$503,51)),TEXT(INDEX('Providers'!$U$4:$U$503,51),"yyyy-mm-dd"),""))=0,"","Last attested: "&amp;IF(ISNUMBER(INDEX('Providers'!$U$4:$U$503,51)),TEXT(INDEX('Providers'!$U$4:$U$503,51),"yyyy-mm-dd"),"")&amp;". "))</f>
        <v/>
      </c>
      <c r="J3054">
        <f>IF(LEN(INDEX('Providers'!$AJ$4:$AJ$503,51))=0,"",INDEX('Providers'!$AJ$4:$AJ$503,51))</f>
        <v/>
      </c>
      <c r="K3054">
        <f>IF(LEN(INDEX('Providers'!$AI$4:$AI$503,51))=0,"",INDEX('Providers'!$AI$4:$AI$503,51))</f>
        <v/>
      </c>
    </row>
    <row r="3055">
      <c r="A3055">
        <f>IF(AND(LEN('Providers'!A55)&gt;0,ISNUMBER('Providers'!W55)),1,0)</f>
        <v/>
      </c>
      <c r="B3055">
        <f>B3054+A3055</f>
        <v/>
      </c>
      <c r="C3055">
        <f>IF(3052&gt;$B$4503,"",MATCH(3052-0.5,$B$3:$B$4503,1))</f>
        <v/>
      </c>
      <c r="D3055">
        <f>"CAQH re-attestation – "&amp;IF(LEN(INDEX('Providers'!$A$4:$A$503,52))=0,"",INDEX('Providers'!$A$4:$A$503,52))</f>
        <v/>
      </c>
      <c r="E3055">
        <f>IF(ISNUMBER(INDEX('Providers'!$W$4:$W$503,52)),TEXT(INDEX('Providers'!$W$4:$W$503,52),"yyyy-mm-dd"),"")</f>
        <v/>
      </c>
      <c r="F3055">
        <f>"Credentialing"</f>
        <v/>
      </c>
      <c r="G3055">
        <f>IF(ISNUMBER(INDEX('Providers'!$U$4:$U$503,52)),TEXT(INDEX('Providers'!$U$4:$U$503,52),"yyyy-mm-dd"),"")</f>
        <v/>
      </c>
      <c r="H3055">
        <f>"High"</f>
        <v/>
      </c>
      <c r="I3055">
        <f>TRIM(IF(LEN(IF(LEN(INDEX('Providers'!$T$4:$T$503,52))=0,"",INDEX('Providers'!$T$4:$T$503,52)))=0,"","CAQH ID: "&amp;IF(LEN(INDEX('Providers'!$T$4:$T$503,52))=0,"",INDEX('Providers'!$T$4:$T$503,52))&amp;". ")&amp;IF(LEN(IF(ISNUMBER(INDEX('Providers'!$U$4:$U$503,52)),TEXT(INDEX('Providers'!$U$4:$U$503,52),"yyyy-mm-dd"),""))=0,"","Last attested: "&amp;IF(ISNUMBER(INDEX('Providers'!$U$4:$U$503,52)),TEXT(INDEX('Providers'!$U$4:$U$503,52),"yyyy-mm-dd"),"")&amp;". "))</f>
        <v/>
      </c>
      <c r="J3055">
        <f>IF(LEN(INDEX('Providers'!$AJ$4:$AJ$503,52))=0,"",INDEX('Providers'!$AJ$4:$AJ$503,52))</f>
        <v/>
      </c>
      <c r="K3055">
        <f>IF(LEN(INDEX('Providers'!$AI$4:$AI$503,52))=0,"",INDEX('Providers'!$AI$4:$AI$503,52))</f>
        <v/>
      </c>
    </row>
    <row r="3056">
      <c r="A3056">
        <f>IF(AND(LEN('Providers'!A56)&gt;0,ISNUMBER('Providers'!W56)),1,0)</f>
        <v/>
      </c>
      <c r="B3056">
        <f>B3055+A3056</f>
        <v/>
      </c>
      <c r="C3056">
        <f>IF(3053&gt;$B$4503,"",MATCH(3053-0.5,$B$3:$B$4503,1))</f>
        <v/>
      </c>
      <c r="D3056">
        <f>"CAQH re-attestation – "&amp;IF(LEN(INDEX('Providers'!$A$4:$A$503,53))=0,"",INDEX('Providers'!$A$4:$A$503,53))</f>
        <v/>
      </c>
      <c r="E3056">
        <f>IF(ISNUMBER(INDEX('Providers'!$W$4:$W$503,53)),TEXT(INDEX('Providers'!$W$4:$W$503,53),"yyyy-mm-dd"),"")</f>
        <v/>
      </c>
      <c r="F3056">
        <f>"Credentialing"</f>
        <v/>
      </c>
      <c r="G3056">
        <f>IF(ISNUMBER(INDEX('Providers'!$U$4:$U$503,53)),TEXT(INDEX('Providers'!$U$4:$U$503,53),"yyyy-mm-dd"),"")</f>
        <v/>
      </c>
      <c r="H3056">
        <f>"High"</f>
        <v/>
      </c>
      <c r="I3056">
        <f>TRIM(IF(LEN(IF(LEN(INDEX('Providers'!$T$4:$T$503,53))=0,"",INDEX('Providers'!$T$4:$T$503,53)))=0,"","CAQH ID: "&amp;IF(LEN(INDEX('Providers'!$T$4:$T$503,53))=0,"",INDEX('Providers'!$T$4:$T$503,53))&amp;". ")&amp;IF(LEN(IF(ISNUMBER(INDEX('Providers'!$U$4:$U$503,53)),TEXT(INDEX('Providers'!$U$4:$U$503,53),"yyyy-mm-dd"),""))=0,"","Last attested: "&amp;IF(ISNUMBER(INDEX('Providers'!$U$4:$U$503,53)),TEXT(INDEX('Providers'!$U$4:$U$503,53),"yyyy-mm-dd"),"")&amp;". "))</f>
        <v/>
      </c>
      <c r="J3056">
        <f>IF(LEN(INDEX('Providers'!$AJ$4:$AJ$503,53))=0,"",INDEX('Providers'!$AJ$4:$AJ$503,53))</f>
        <v/>
      </c>
      <c r="K3056">
        <f>IF(LEN(INDEX('Providers'!$AI$4:$AI$503,53))=0,"",INDEX('Providers'!$AI$4:$AI$503,53))</f>
        <v/>
      </c>
    </row>
    <row r="3057">
      <c r="A3057">
        <f>IF(AND(LEN('Providers'!A57)&gt;0,ISNUMBER('Providers'!W57)),1,0)</f>
        <v/>
      </c>
      <c r="B3057">
        <f>B3056+A3057</f>
        <v/>
      </c>
      <c r="C3057">
        <f>IF(3054&gt;$B$4503,"",MATCH(3054-0.5,$B$3:$B$4503,1))</f>
        <v/>
      </c>
      <c r="D3057">
        <f>"CAQH re-attestation – "&amp;IF(LEN(INDEX('Providers'!$A$4:$A$503,54))=0,"",INDEX('Providers'!$A$4:$A$503,54))</f>
        <v/>
      </c>
      <c r="E3057">
        <f>IF(ISNUMBER(INDEX('Providers'!$W$4:$W$503,54)),TEXT(INDEX('Providers'!$W$4:$W$503,54),"yyyy-mm-dd"),"")</f>
        <v/>
      </c>
      <c r="F3057">
        <f>"Credentialing"</f>
        <v/>
      </c>
      <c r="G3057">
        <f>IF(ISNUMBER(INDEX('Providers'!$U$4:$U$503,54)),TEXT(INDEX('Providers'!$U$4:$U$503,54),"yyyy-mm-dd"),"")</f>
        <v/>
      </c>
      <c r="H3057">
        <f>"High"</f>
        <v/>
      </c>
      <c r="I3057">
        <f>TRIM(IF(LEN(IF(LEN(INDEX('Providers'!$T$4:$T$503,54))=0,"",INDEX('Providers'!$T$4:$T$503,54)))=0,"","CAQH ID: "&amp;IF(LEN(INDEX('Providers'!$T$4:$T$503,54))=0,"",INDEX('Providers'!$T$4:$T$503,54))&amp;". ")&amp;IF(LEN(IF(ISNUMBER(INDEX('Providers'!$U$4:$U$503,54)),TEXT(INDEX('Providers'!$U$4:$U$503,54),"yyyy-mm-dd"),""))=0,"","Last attested: "&amp;IF(ISNUMBER(INDEX('Providers'!$U$4:$U$503,54)),TEXT(INDEX('Providers'!$U$4:$U$503,54),"yyyy-mm-dd"),"")&amp;". "))</f>
        <v/>
      </c>
      <c r="J3057">
        <f>IF(LEN(INDEX('Providers'!$AJ$4:$AJ$503,54))=0,"",INDEX('Providers'!$AJ$4:$AJ$503,54))</f>
        <v/>
      </c>
      <c r="K3057">
        <f>IF(LEN(INDEX('Providers'!$AI$4:$AI$503,54))=0,"",INDEX('Providers'!$AI$4:$AI$503,54))</f>
        <v/>
      </c>
    </row>
    <row r="3058">
      <c r="A3058">
        <f>IF(AND(LEN('Providers'!A58)&gt;0,ISNUMBER('Providers'!W58)),1,0)</f>
        <v/>
      </c>
      <c r="B3058">
        <f>B3057+A3058</f>
        <v/>
      </c>
      <c r="C3058">
        <f>IF(3055&gt;$B$4503,"",MATCH(3055-0.5,$B$3:$B$4503,1))</f>
        <v/>
      </c>
      <c r="D3058">
        <f>"CAQH re-attestation – "&amp;IF(LEN(INDEX('Providers'!$A$4:$A$503,55))=0,"",INDEX('Providers'!$A$4:$A$503,55))</f>
        <v/>
      </c>
      <c r="E3058">
        <f>IF(ISNUMBER(INDEX('Providers'!$W$4:$W$503,55)),TEXT(INDEX('Providers'!$W$4:$W$503,55),"yyyy-mm-dd"),"")</f>
        <v/>
      </c>
      <c r="F3058">
        <f>"Credentialing"</f>
        <v/>
      </c>
      <c r="G3058">
        <f>IF(ISNUMBER(INDEX('Providers'!$U$4:$U$503,55)),TEXT(INDEX('Providers'!$U$4:$U$503,55),"yyyy-mm-dd"),"")</f>
        <v/>
      </c>
      <c r="H3058">
        <f>"High"</f>
        <v/>
      </c>
      <c r="I3058">
        <f>TRIM(IF(LEN(IF(LEN(INDEX('Providers'!$T$4:$T$503,55))=0,"",INDEX('Providers'!$T$4:$T$503,55)))=0,"","CAQH ID: "&amp;IF(LEN(INDEX('Providers'!$T$4:$T$503,55))=0,"",INDEX('Providers'!$T$4:$T$503,55))&amp;". ")&amp;IF(LEN(IF(ISNUMBER(INDEX('Providers'!$U$4:$U$503,55)),TEXT(INDEX('Providers'!$U$4:$U$503,55),"yyyy-mm-dd"),""))=0,"","Last attested: "&amp;IF(ISNUMBER(INDEX('Providers'!$U$4:$U$503,55)),TEXT(INDEX('Providers'!$U$4:$U$503,55),"yyyy-mm-dd"),"")&amp;". "))</f>
        <v/>
      </c>
      <c r="J3058">
        <f>IF(LEN(INDEX('Providers'!$AJ$4:$AJ$503,55))=0,"",INDEX('Providers'!$AJ$4:$AJ$503,55))</f>
        <v/>
      </c>
      <c r="K3058">
        <f>IF(LEN(INDEX('Providers'!$AI$4:$AI$503,55))=0,"",INDEX('Providers'!$AI$4:$AI$503,55))</f>
        <v/>
      </c>
    </row>
    <row r="3059">
      <c r="A3059">
        <f>IF(AND(LEN('Providers'!A59)&gt;0,ISNUMBER('Providers'!W59)),1,0)</f>
        <v/>
      </c>
      <c r="B3059">
        <f>B3058+A3059</f>
        <v/>
      </c>
      <c r="C3059">
        <f>IF(3056&gt;$B$4503,"",MATCH(3056-0.5,$B$3:$B$4503,1))</f>
        <v/>
      </c>
      <c r="D3059">
        <f>"CAQH re-attestation – "&amp;IF(LEN(INDEX('Providers'!$A$4:$A$503,56))=0,"",INDEX('Providers'!$A$4:$A$503,56))</f>
        <v/>
      </c>
      <c r="E3059">
        <f>IF(ISNUMBER(INDEX('Providers'!$W$4:$W$503,56)),TEXT(INDEX('Providers'!$W$4:$W$503,56),"yyyy-mm-dd"),"")</f>
        <v/>
      </c>
      <c r="F3059">
        <f>"Credentialing"</f>
        <v/>
      </c>
      <c r="G3059">
        <f>IF(ISNUMBER(INDEX('Providers'!$U$4:$U$503,56)),TEXT(INDEX('Providers'!$U$4:$U$503,56),"yyyy-mm-dd"),"")</f>
        <v/>
      </c>
      <c r="H3059">
        <f>"High"</f>
        <v/>
      </c>
      <c r="I3059">
        <f>TRIM(IF(LEN(IF(LEN(INDEX('Providers'!$T$4:$T$503,56))=0,"",INDEX('Providers'!$T$4:$T$503,56)))=0,"","CAQH ID: "&amp;IF(LEN(INDEX('Providers'!$T$4:$T$503,56))=0,"",INDEX('Providers'!$T$4:$T$503,56))&amp;". ")&amp;IF(LEN(IF(ISNUMBER(INDEX('Providers'!$U$4:$U$503,56)),TEXT(INDEX('Providers'!$U$4:$U$503,56),"yyyy-mm-dd"),""))=0,"","Last attested: "&amp;IF(ISNUMBER(INDEX('Providers'!$U$4:$U$503,56)),TEXT(INDEX('Providers'!$U$4:$U$503,56),"yyyy-mm-dd"),"")&amp;". "))</f>
        <v/>
      </c>
      <c r="J3059">
        <f>IF(LEN(INDEX('Providers'!$AJ$4:$AJ$503,56))=0,"",INDEX('Providers'!$AJ$4:$AJ$503,56))</f>
        <v/>
      </c>
      <c r="K3059">
        <f>IF(LEN(INDEX('Providers'!$AI$4:$AI$503,56))=0,"",INDEX('Providers'!$AI$4:$AI$503,56))</f>
        <v/>
      </c>
    </row>
    <row r="3060">
      <c r="A3060">
        <f>IF(AND(LEN('Providers'!A60)&gt;0,ISNUMBER('Providers'!W60)),1,0)</f>
        <v/>
      </c>
      <c r="B3060">
        <f>B3059+A3060</f>
        <v/>
      </c>
      <c r="C3060">
        <f>IF(3057&gt;$B$4503,"",MATCH(3057-0.5,$B$3:$B$4503,1))</f>
        <v/>
      </c>
      <c r="D3060">
        <f>"CAQH re-attestation – "&amp;IF(LEN(INDEX('Providers'!$A$4:$A$503,57))=0,"",INDEX('Providers'!$A$4:$A$503,57))</f>
        <v/>
      </c>
      <c r="E3060">
        <f>IF(ISNUMBER(INDEX('Providers'!$W$4:$W$503,57)),TEXT(INDEX('Providers'!$W$4:$W$503,57),"yyyy-mm-dd"),"")</f>
        <v/>
      </c>
      <c r="F3060">
        <f>"Credentialing"</f>
        <v/>
      </c>
      <c r="G3060">
        <f>IF(ISNUMBER(INDEX('Providers'!$U$4:$U$503,57)),TEXT(INDEX('Providers'!$U$4:$U$503,57),"yyyy-mm-dd"),"")</f>
        <v/>
      </c>
      <c r="H3060">
        <f>"High"</f>
        <v/>
      </c>
      <c r="I3060">
        <f>TRIM(IF(LEN(IF(LEN(INDEX('Providers'!$T$4:$T$503,57))=0,"",INDEX('Providers'!$T$4:$T$503,57)))=0,"","CAQH ID: "&amp;IF(LEN(INDEX('Providers'!$T$4:$T$503,57))=0,"",INDEX('Providers'!$T$4:$T$503,57))&amp;". ")&amp;IF(LEN(IF(ISNUMBER(INDEX('Providers'!$U$4:$U$503,57)),TEXT(INDEX('Providers'!$U$4:$U$503,57),"yyyy-mm-dd"),""))=0,"","Last attested: "&amp;IF(ISNUMBER(INDEX('Providers'!$U$4:$U$503,57)),TEXT(INDEX('Providers'!$U$4:$U$503,57),"yyyy-mm-dd"),"")&amp;". "))</f>
        <v/>
      </c>
      <c r="J3060">
        <f>IF(LEN(INDEX('Providers'!$AJ$4:$AJ$503,57))=0,"",INDEX('Providers'!$AJ$4:$AJ$503,57))</f>
        <v/>
      </c>
      <c r="K3060">
        <f>IF(LEN(INDEX('Providers'!$AI$4:$AI$503,57))=0,"",INDEX('Providers'!$AI$4:$AI$503,57))</f>
        <v/>
      </c>
    </row>
    <row r="3061">
      <c r="A3061">
        <f>IF(AND(LEN('Providers'!A61)&gt;0,ISNUMBER('Providers'!W61)),1,0)</f>
        <v/>
      </c>
      <c r="B3061">
        <f>B3060+A3061</f>
        <v/>
      </c>
      <c r="C3061">
        <f>IF(3058&gt;$B$4503,"",MATCH(3058-0.5,$B$3:$B$4503,1))</f>
        <v/>
      </c>
      <c r="D3061">
        <f>"CAQH re-attestation – "&amp;IF(LEN(INDEX('Providers'!$A$4:$A$503,58))=0,"",INDEX('Providers'!$A$4:$A$503,58))</f>
        <v/>
      </c>
      <c r="E3061">
        <f>IF(ISNUMBER(INDEX('Providers'!$W$4:$W$503,58)),TEXT(INDEX('Providers'!$W$4:$W$503,58),"yyyy-mm-dd"),"")</f>
        <v/>
      </c>
      <c r="F3061">
        <f>"Credentialing"</f>
        <v/>
      </c>
      <c r="G3061">
        <f>IF(ISNUMBER(INDEX('Providers'!$U$4:$U$503,58)),TEXT(INDEX('Providers'!$U$4:$U$503,58),"yyyy-mm-dd"),"")</f>
        <v/>
      </c>
      <c r="H3061">
        <f>"High"</f>
        <v/>
      </c>
      <c r="I3061">
        <f>TRIM(IF(LEN(IF(LEN(INDEX('Providers'!$T$4:$T$503,58))=0,"",INDEX('Providers'!$T$4:$T$503,58)))=0,"","CAQH ID: "&amp;IF(LEN(INDEX('Providers'!$T$4:$T$503,58))=0,"",INDEX('Providers'!$T$4:$T$503,58))&amp;". ")&amp;IF(LEN(IF(ISNUMBER(INDEX('Providers'!$U$4:$U$503,58)),TEXT(INDEX('Providers'!$U$4:$U$503,58),"yyyy-mm-dd"),""))=0,"","Last attested: "&amp;IF(ISNUMBER(INDEX('Providers'!$U$4:$U$503,58)),TEXT(INDEX('Providers'!$U$4:$U$503,58),"yyyy-mm-dd"),"")&amp;". "))</f>
        <v/>
      </c>
      <c r="J3061">
        <f>IF(LEN(INDEX('Providers'!$AJ$4:$AJ$503,58))=0,"",INDEX('Providers'!$AJ$4:$AJ$503,58))</f>
        <v/>
      </c>
      <c r="K3061">
        <f>IF(LEN(INDEX('Providers'!$AI$4:$AI$503,58))=0,"",INDEX('Providers'!$AI$4:$AI$503,58))</f>
        <v/>
      </c>
    </row>
    <row r="3062">
      <c r="A3062">
        <f>IF(AND(LEN('Providers'!A62)&gt;0,ISNUMBER('Providers'!W62)),1,0)</f>
        <v/>
      </c>
      <c r="B3062">
        <f>B3061+A3062</f>
        <v/>
      </c>
      <c r="C3062">
        <f>IF(3059&gt;$B$4503,"",MATCH(3059-0.5,$B$3:$B$4503,1))</f>
        <v/>
      </c>
      <c r="D3062">
        <f>"CAQH re-attestation – "&amp;IF(LEN(INDEX('Providers'!$A$4:$A$503,59))=0,"",INDEX('Providers'!$A$4:$A$503,59))</f>
        <v/>
      </c>
      <c r="E3062">
        <f>IF(ISNUMBER(INDEX('Providers'!$W$4:$W$503,59)),TEXT(INDEX('Providers'!$W$4:$W$503,59),"yyyy-mm-dd"),"")</f>
        <v/>
      </c>
      <c r="F3062">
        <f>"Credentialing"</f>
        <v/>
      </c>
      <c r="G3062">
        <f>IF(ISNUMBER(INDEX('Providers'!$U$4:$U$503,59)),TEXT(INDEX('Providers'!$U$4:$U$503,59),"yyyy-mm-dd"),"")</f>
        <v/>
      </c>
      <c r="H3062">
        <f>"High"</f>
        <v/>
      </c>
      <c r="I3062">
        <f>TRIM(IF(LEN(IF(LEN(INDEX('Providers'!$T$4:$T$503,59))=0,"",INDEX('Providers'!$T$4:$T$503,59)))=0,"","CAQH ID: "&amp;IF(LEN(INDEX('Providers'!$T$4:$T$503,59))=0,"",INDEX('Providers'!$T$4:$T$503,59))&amp;". ")&amp;IF(LEN(IF(ISNUMBER(INDEX('Providers'!$U$4:$U$503,59)),TEXT(INDEX('Providers'!$U$4:$U$503,59),"yyyy-mm-dd"),""))=0,"","Last attested: "&amp;IF(ISNUMBER(INDEX('Providers'!$U$4:$U$503,59)),TEXT(INDEX('Providers'!$U$4:$U$503,59),"yyyy-mm-dd"),"")&amp;". "))</f>
        <v/>
      </c>
      <c r="J3062">
        <f>IF(LEN(INDEX('Providers'!$AJ$4:$AJ$503,59))=0,"",INDEX('Providers'!$AJ$4:$AJ$503,59))</f>
        <v/>
      </c>
      <c r="K3062">
        <f>IF(LEN(INDEX('Providers'!$AI$4:$AI$503,59))=0,"",INDEX('Providers'!$AI$4:$AI$503,59))</f>
        <v/>
      </c>
    </row>
    <row r="3063">
      <c r="A3063">
        <f>IF(AND(LEN('Providers'!A63)&gt;0,ISNUMBER('Providers'!W63)),1,0)</f>
        <v/>
      </c>
      <c r="B3063">
        <f>B3062+A3063</f>
        <v/>
      </c>
      <c r="C3063">
        <f>IF(3060&gt;$B$4503,"",MATCH(3060-0.5,$B$3:$B$4503,1))</f>
        <v/>
      </c>
      <c r="D3063">
        <f>"CAQH re-attestation – "&amp;IF(LEN(INDEX('Providers'!$A$4:$A$503,60))=0,"",INDEX('Providers'!$A$4:$A$503,60))</f>
        <v/>
      </c>
      <c r="E3063">
        <f>IF(ISNUMBER(INDEX('Providers'!$W$4:$W$503,60)),TEXT(INDEX('Providers'!$W$4:$W$503,60),"yyyy-mm-dd"),"")</f>
        <v/>
      </c>
      <c r="F3063">
        <f>"Credentialing"</f>
        <v/>
      </c>
      <c r="G3063">
        <f>IF(ISNUMBER(INDEX('Providers'!$U$4:$U$503,60)),TEXT(INDEX('Providers'!$U$4:$U$503,60),"yyyy-mm-dd"),"")</f>
        <v/>
      </c>
      <c r="H3063">
        <f>"High"</f>
        <v/>
      </c>
      <c r="I3063">
        <f>TRIM(IF(LEN(IF(LEN(INDEX('Providers'!$T$4:$T$503,60))=0,"",INDEX('Providers'!$T$4:$T$503,60)))=0,"","CAQH ID: "&amp;IF(LEN(INDEX('Providers'!$T$4:$T$503,60))=0,"",INDEX('Providers'!$T$4:$T$503,60))&amp;". ")&amp;IF(LEN(IF(ISNUMBER(INDEX('Providers'!$U$4:$U$503,60)),TEXT(INDEX('Providers'!$U$4:$U$503,60),"yyyy-mm-dd"),""))=0,"","Last attested: "&amp;IF(ISNUMBER(INDEX('Providers'!$U$4:$U$503,60)),TEXT(INDEX('Providers'!$U$4:$U$503,60),"yyyy-mm-dd"),"")&amp;". "))</f>
        <v/>
      </c>
      <c r="J3063">
        <f>IF(LEN(INDEX('Providers'!$AJ$4:$AJ$503,60))=0,"",INDEX('Providers'!$AJ$4:$AJ$503,60))</f>
        <v/>
      </c>
      <c r="K3063">
        <f>IF(LEN(INDEX('Providers'!$AI$4:$AI$503,60))=0,"",INDEX('Providers'!$AI$4:$AI$503,60))</f>
        <v/>
      </c>
    </row>
    <row r="3064">
      <c r="A3064">
        <f>IF(AND(LEN('Providers'!A64)&gt;0,ISNUMBER('Providers'!W64)),1,0)</f>
        <v/>
      </c>
      <c r="B3064">
        <f>B3063+A3064</f>
        <v/>
      </c>
      <c r="C3064">
        <f>IF(3061&gt;$B$4503,"",MATCH(3061-0.5,$B$3:$B$4503,1))</f>
        <v/>
      </c>
      <c r="D3064">
        <f>"CAQH re-attestation – "&amp;IF(LEN(INDEX('Providers'!$A$4:$A$503,61))=0,"",INDEX('Providers'!$A$4:$A$503,61))</f>
        <v/>
      </c>
      <c r="E3064">
        <f>IF(ISNUMBER(INDEX('Providers'!$W$4:$W$503,61)),TEXT(INDEX('Providers'!$W$4:$W$503,61),"yyyy-mm-dd"),"")</f>
        <v/>
      </c>
      <c r="F3064">
        <f>"Credentialing"</f>
        <v/>
      </c>
      <c r="G3064">
        <f>IF(ISNUMBER(INDEX('Providers'!$U$4:$U$503,61)),TEXT(INDEX('Providers'!$U$4:$U$503,61),"yyyy-mm-dd"),"")</f>
        <v/>
      </c>
      <c r="H3064">
        <f>"High"</f>
        <v/>
      </c>
      <c r="I3064">
        <f>TRIM(IF(LEN(IF(LEN(INDEX('Providers'!$T$4:$T$503,61))=0,"",INDEX('Providers'!$T$4:$T$503,61)))=0,"","CAQH ID: "&amp;IF(LEN(INDEX('Providers'!$T$4:$T$503,61))=0,"",INDEX('Providers'!$T$4:$T$503,61))&amp;". ")&amp;IF(LEN(IF(ISNUMBER(INDEX('Providers'!$U$4:$U$503,61)),TEXT(INDEX('Providers'!$U$4:$U$503,61),"yyyy-mm-dd"),""))=0,"","Last attested: "&amp;IF(ISNUMBER(INDEX('Providers'!$U$4:$U$503,61)),TEXT(INDEX('Providers'!$U$4:$U$503,61),"yyyy-mm-dd"),"")&amp;". "))</f>
        <v/>
      </c>
      <c r="J3064">
        <f>IF(LEN(INDEX('Providers'!$AJ$4:$AJ$503,61))=0,"",INDEX('Providers'!$AJ$4:$AJ$503,61))</f>
        <v/>
      </c>
      <c r="K3064">
        <f>IF(LEN(INDEX('Providers'!$AI$4:$AI$503,61))=0,"",INDEX('Providers'!$AI$4:$AI$503,61))</f>
        <v/>
      </c>
    </row>
    <row r="3065">
      <c r="A3065">
        <f>IF(AND(LEN('Providers'!A65)&gt;0,ISNUMBER('Providers'!W65)),1,0)</f>
        <v/>
      </c>
      <c r="B3065">
        <f>B3064+A3065</f>
        <v/>
      </c>
      <c r="C3065">
        <f>IF(3062&gt;$B$4503,"",MATCH(3062-0.5,$B$3:$B$4503,1))</f>
        <v/>
      </c>
      <c r="D3065">
        <f>"CAQH re-attestation – "&amp;IF(LEN(INDEX('Providers'!$A$4:$A$503,62))=0,"",INDEX('Providers'!$A$4:$A$503,62))</f>
        <v/>
      </c>
      <c r="E3065">
        <f>IF(ISNUMBER(INDEX('Providers'!$W$4:$W$503,62)),TEXT(INDEX('Providers'!$W$4:$W$503,62),"yyyy-mm-dd"),"")</f>
        <v/>
      </c>
      <c r="F3065">
        <f>"Credentialing"</f>
        <v/>
      </c>
      <c r="G3065">
        <f>IF(ISNUMBER(INDEX('Providers'!$U$4:$U$503,62)),TEXT(INDEX('Providers'!$U$4:$U$503,62),"yyyy-mm-dd"),"")</f>
        <v/>
      </c>
      <c r="H3065">
        <f>"High"</f>
        <v/>
      </c>
      <c r="I3065">
        <f>TRIM(IF(LEN(IF(LEN(INDEX('Providers'!$T$4:$T$503,62))=0,"",INDEX('Providers'!$T$4:$T$503,62)))=0,"","CAQH ID: "&amp;IF(LEN(INDEX('Providers'!$T$4:$T$503,62))=0,"",INDEX('Providers'!$T$4:$T$503,62))&amp;". ")&amp;IF(LEN(IF(ISNUMBER(INDEX('Providers'!$U$4:$U$503,62)),TEXT(INDEX('Providers'!$U$4:$U$503,62),"yyyy-mm-dd"),""))=0,"","Last attested: "&amp;IF(ISNUMBER(INDEX('Providers'!$U$4:$U$503,62)),TEXT(INDEX('Providers'!$U$4:$U$503,62),"yyyy-mm-dd"),"")&amp;". "))</f>
        <v/>
      </c>
      <c r="J3065">
        <f>IF(LEN(INDEX('Providers'!$AJ$4:$AJ$503,62))=0,"",INDEX('Providers'!$AJ$4:$AJ$503,62))</f>
        <v/>
      </c>
      <c r="K3065">
        <f>IF(LEN(INDEX('Providers'!$AI$4:$AI$503,62))=0,"",INDEX('Providers'!$AI$4:$AI$503,62))</f>
        <v/>
      </c>
    </row>
    <row r="3066">
      <c r="A3066">
        <f>IF(AND(LEN('Providers'!A66)&gt;0,ISNUMBER('Providers'!W66)),1,0)</f>
        <v/>
      </c>
      <c r="B3066">
        <f>B3065+A3066</f>
        <v/>
      </c>
      <c r="C3066">
        <f>IF(3063&gt;$B$4503,"",MATCH(3063-0.5,$B$3:$B$4503,1))</f>
        <v/>
      </c>
      <c r="D3066">
        <f>"CAQH re-attestation – "&amp;IF(LEN(INDEX('Providers'!$A$4:$A$503,63))=0,"",INDEX('Providers'!$A$4:$A$503,63))</f>
        <v/>
      </c>
      <c r="E3066">
        <f>IF(ISNUMBER(INDEX('Providers'!$W$4:$W$503,63)),TEXT(INDEX('Providers'!$W$4:$W$503,63),"yyyy-mm-dd"),"")</f>
        <v/>
      </c>
      <c r="F3066">
        <f>"Credentialing"</f>
        <v/>
      </c>
      <c r="G3066">
        <f>IF(ISNUMBER(INDEX('Providers'!$U$4:$U$503,63)),TEXT(INDEX('Providers'!$U$4:$U$503,63),"yyyy-mm-dd"),"")</f>
        <v/>
      </c>
      <c r="H3066">
        <f>"High"</f>
        <v/>
      </c>
      <c r="I3066">
        <f>TRIM(IF(LEN(IF(LEN(INDEX('Providers'!$T$4:$T$503,63))=0,"",INDEX('Providers'!$T$4:$T$503,63)))=0,"","CAQH ID: "&amp;IF(LEN(INDEX('Providers'!$T$4:$T$503,63))=0,"",INDEX('Providers'!$T$4:$T$503,63))&amp;". ")&amp;IF(LEN(IF(ISNUMBER(INDEX('Providers'!$U$4:$U$503,63)),TEXT(INDEX('Providers'!$U$4:$U$503,63),"yyyy-mm-dd"),""))=0,"","Last attested: "&amp;IF(ISNUMBER(INDEX('Providers'!$U$4:$U$503,63)),TEXT(INDEX('Providers'!$U$4:$U$503,63),"yyyy-mm-dd"),"")&amp;". "))</f>
        <v/>
      </c>
      <c r="J3066">
        <f>IF(LEN(INDEX('Providers'!$AJ$4:$AJ$503,63))=0,"",INDEX('Providers'!$AJ$4:$AJ$503,63))</f>
        <v/>
      </c>
      <c r="K3066">
        <f>IF(LEN(INDEX('Providers'!$AI$4:$AI$503,63))=0,"",INDEX('Providers'!$AI$4:$AI$503,63))</f>
        <v/>
      </c>
    </row>
    <row r="3067">
      <c r="A3067">
        <f>IF(AND(LEN('Providers'!A67)&gt;0,ISNUMBER('Providers'!W67)),1,0)</f>
        <v/>
      </c>
      <c r="B3067">
        <f>B3066+A3067</f>
        <v/>
      </c>
      <c r="C3067">
        <f>IF(3064&gt;$B$4503,"",MATCH(3064-0.5,$B$3:$B$4503,1))</f>
        <v/>
      </c>
      <c r="D3067">
        <f>"CAQH re-attestation – "&amp;IF(LEN(INDEX('Providers'!$A$4:$A$503,64))=0,"",INDEX('Providers'!$A$4:$A$503,64))</f>
        <v/>
      </c>
      <c r="E3067">
        <f>IF(ISNUMBER(INDEX('Providers'!$W$4:$W$503,64)),TEXT(INDEX('Providers'!$W$4:$W$503,64),"yyyy-mm-dd"),"")</f>
        <v/>
      </c>
      <c r="F3067">
        <f>"Credentialing"</f>
        <v/>
      </c>
      <c r="G3067">
        <f>IF(ISNUMBER(INDEX('Providers'!$U$4:$U$503,64)),TEXT(INDEX('Providers'!$U$4:$U$503,64),"yyyy-mm-dd"),"")</f>
        <v/>
      </c>
      <c r="H3067">
        <f>"High"</f>
        <v/>
      </c>
      <c r="I3067">
        <f>TRIM(IF(LEN(IF(LEN(INDEX('Providers'!$T$4:$T$503,64))=0,"",INDEX('Providers'!$T$4:$T$503,64)))=0,"","CAQH ID: "&amp;IF(LEN(INDEX('Providers'!$T$4:$T$503,64))=0,"",INDEX('Providers'!$T$4:$T$503,64))&amp;". ")&amp;IF(LEN(IF(ISNUMBER(INDEX('Providers'!$U$4:$U$503,64)),TEXT(INDEX('Providers'!$U$4:$U$503,64),"yyyy-mm-dd"),""))=0,"","Last attested: "&amp;IF(ISNUMBER(INDEX('Providers'!$U$4:$U$503,64)),TEXT(INDEX('Providers'!$U$4:$U$503,64),"yyyy-mm-dd"),"")&amp;". "))</f>
        <v/>
      </c>
      <c r="J3067">
        <f>IF(LEN(INDEX('Providers'!$AJ$4:$AJ$503,64))=0,"",INDEX('Providers'!$AJ$4:$AJ$503,64))</f>
        <v/>
      </c>
      <c r="K3067">
        <f>IF(LEN(INDEX('Providers'!$AI$4:$AI$503,64))=0,"",INDEX('Providers'!$AI$4:$AI$503,64))</f>
        <v/>
      </c>
    </row>
    <row r="3068">
      <c r="A3068">
        <f>IF(AND(LEN('Providers'!A68)&gt;0,ISNUMBER('Providers'!W68)),1,0)</f>
        <v/>
      </c>
      <c r="B3068">
        <f>B3067+A3068</f>
        <v/>
      </c>
      <c r="C3068">
        <f>IF(3065&gt;$B$4503,"",MATCH(3065-0.5,$B$3:$B$4503,1))</f>
        <v/>
      </c>
      <c r="D3068">
        <f>"CAQH re-attestation – "&amp;IF(LEN(INDEX('Providers'!$A$4:$A$503,65))=0,"",INDEX('Providers'!$A$4:$A$503,65))</f>
        <v/>
      </c>
      <c r="E3068">
        <f>IF(ISNUMBER(INDEX('Providers'!$W$4:$W$503,65)),TEXT(INDEX('Providers'!$W$4:$W$503,65),"yyyy-mm-dd"),"")</f>
        <v/>
      </c>
      <c r="F3068">
        <f>"Credentialing"</f>
        <v/>
      </c>
      <c r="G3068">
        <f>IF(ISNUMBER(INDEX('Providers'!$U$4:$U$503,65)),TEXT(INDEX('Providers'!$U$4:$U$503,65),"yyyy-mm-dd"),"")</f>
        <v/>
      </c>
      <c r="H3068">
        <f>"High"</f>
        <v/>
      </c>
      <c r="I3068">
        <f>TRIM(IF(LEN(IF(LEN(INDEX('Providers'!$T$4:$T$503,65))=0,"",INDEX('Providers'!$T$4:$T$503,65)))=0,"","CAQH ID: "&amp;IF(LEN(INDEX('Providers'!$T$4:$T$503,65))=0,"",INDEX('Providers'!$T$4:$T$503,65))&amp;". ")&amp;IF(LEN(IF(ISNUMBER(INDEX('Providers'!$U$4:$U$503,65)),TEXT(INDEX('Providers'!$U$4:$U$503,65),"yyyy-mm-dd"),""))=0,"","Last attested: "&amp;IF(ISNUMBER(INDEX('Providers'!$U$4:$U$503,65)),TEXT(INDEX('Providers'!$U$4:$U$503,65),"yyyy-mm-dd"),"")&amp;". "))</f>
        <v/>
      </c>
      <c r="J3068">
        <f>IF(LEN(INDEX('Providers'!$AJ$4:$AJ$503,65))=0,"",INDEX('Providers'!$AJ$4:$AJ$503,65))</f>
        <v/>
      </c>
      <c r="K3068">
        <f>IF(LEN(INDEX('Providers'!$AI$4:$AI$503,65))=0,"",INDEX('Providers'!$AI$4:$AI$503,65))</f>
        <v/>
      </c>
    </row>
    <row r="3069">
      <c r="A3069">
        <f>IF(AND(LEN('Providers'!A69)&gt;0,ISNUMBER('Providers'!W69)),1,0)</f>
        <v/>
      </c>
      <c r="B3069">
        <f>B3068+A3069</f>
        <v/>
      </c>
      <c r="C3069">
        <f>IF(3066&gt;$B$4503,"",MATCH(3066-0.5,$B$3:$B$4503,1))</f>
        <v/>
      </c>
      <c r="D3069">
        <f>"CAQH re-attestation – "&amp;IF(LEN(INDEX('Providers'!$A$4:$A$503,66))=0,"",INDEX('Providers'!$A$4:$A$503,66))</f>
        <v/>
      </c>
      <c r="E3069">
        <f>IF(ISNUMBER(INDEX('Providers'!$W$4:$W$503,66)),TEXT(INDEX('Providers'!$W$4:$W$503,66),"yyyy-mm-dd"),"")</f>
        <v/>
      </c>
      <c r="F3069">
        <f>"Credentialing"</f>
        <v/>
      </c>
      <c r="G3069">
        <f>IF(ISNUMBER(INDEX('Providers'!$U$4:$U$503,66)),TEXT(INDEX('Providers'!$U$4:$U$503,66),"yyyy-mm-dd"),"")</f>
        <v/>
      </c>
      <c r="H3069">
        <f>"High"</f>
        <v/>
      </c>
      <c r="I3069">
        <f>TRIM(IF(LEN(IF(LEN(INDEX('Providers'!$T$4:$T$503,66))=0,"",INDEX('Providers'!$T$4:$T$503,66)))=0,"","CAQH ID: "&amp;IF(LEN(INDEX('Providers'!$T$4:$T$503,66))=0,"",INDEX('Providers'!$T$4:$T$503,66))&amp;". ")&amp;IF(LEN(IF(ISNUMBER(INDEX('Providers'!$U$4:$U$503,66)),TEXT(INDEX('Providers'!$U$4:$U$503,66),"yyyy-mm-dd"),""))=0,"","Last attested: "&amp;IF(ISNUMBER(INDEX('Providers'!$U$4:$U$503,66)),TEXT(INDEX('Providers'!$U$4:$U$503,66),"yyyy-mm-dd"),"")&amp;". "))</f>
        <v/>
      </c>
      <c r="J3069">
        <f>IF(LEN(INDEX('Providers'!$AJ$4:$AJ$503,66))=0,"",INDEX('Providers'!$AJ$4:$AJ$503,66))</f>
        <v/>
      </c>
      <c r="K3069">
        <f>IF(LEN(INDEX('Providers'!$AI$4:$AI$503,66))=0,"",INDEX('Providers'!$AI$4:$AI$503,66))</f>
        <v/>
      </c>
    </row>
    <row r="3070">
      <c r="A3070">
        <f>IF(AND(LEN('Providers'!A70)&gt;0,ISNUMBER('Providers'!W70)),1,0)</f>
        <v/>
      </c>
      <c r="B3070">
        <f>B3069+A3070</f>
        <v/>
      </c>
      <c r="C3070">
        <f>IF(3067&gt;$B$4503,"",MATCH(3067-0.5,$B$3:$B$4503,1))</f>
        <v/>
      </c>
      <c r="D3070">
        <f>"CAQH re-attestation – "&amp;IF(LEN(INDEX('Providers'!$A$4:$A$503,67))=0,"",INDEX('Providers'!$A$4:$A$503,67))</f>
        <v/>
      </c>
      <c r="E3070">
        <f>IF(ISNUMBER(INDEX('Providers'!$W$4:$W$503,67)),TEXT(INDEX('Providers'!$W$4:$W$503,67),"yyyy-mm-dd"),"")</f>
        <v/>
      </c>
      <c r="F3070">
        <f>"Credentialing"</f>
        <v/>
      </c>
      <c r="G3070">
        <f>IF(ISNUMBER(INDEX('Providers'!$U$4:$U$503,67)),TEXT(INDEX('Providers'!$U$4:$U$503,67),"yyyy-mm-dd"),"")</f>
        <v/>
      </c>
      <c r="H3070">
        <f>"High"</f>
        <v/>
      </c>
      <c r="I3070">
        <f>TRIM(IF(LEN(IF(LEN(INDEX('Providers'!$T$4:$T$503,67))=0,"",INDEX('Providers'!$T$4:$T$503,67)))=0,"","CAQH ID: "&amp;IF(LEN(INDEX('Providers'!$T$4:$T$503,67))=0,"",INDEX('Providers'!$T$4:$T$503,67))&amp;". ")&amp;IF(LEN(IF(ISNUMBER(INDEX('Providers'!$U$4:$U$503,67)),TEXT(INDEX('Providers'!$U$4:$U$503,67),"yyyy-mm-dd"),""))=0,"","Last attested: "&amp;IF(ISNUMBER(INDEX('Providers'!$U$4:$U$503,67)),TEXT(INDEX('Providers'!$U$4:$U$503,67),"yyyy-mm-dd"),"")&amp;". "))</f>
        <v/>
      </c>
      <c r="J3070">
        <f>IF(LEN(INDEX('Providers'!$AJ$4:$AJ$503,67))=0,"",INDEX('Providers'!$AJ$4:$AJ$503,67))</f>
        <v/>
      </c>
      <c r="K3070">
        <f>IF(LEN(INDEX('Providers'!$AI$4:$AI$503,67))=0,"",INDEX('Providers'!$AI$4:$AI$503,67))</f>
        <v/>
      </c>
    </row>
    <row r="3071">
      <c r="A3071">
        <f>IF(AND(LEN('Providers'!A71)&gt;0,ISNUMBER('Providers'!W71)),1,0)</f>
        <v/>
      </c>
      <c r="B3071">
        <f>B3070+A3071</f>
        <v/>
      </c>
      <c r="C3071">
        <f>IF(3068&gt;$B$4503,"",MATCH(3068-0.5,$B$3:$B$4503,1))</f>
        <v/>
      </c>
      <c r="D3071">
        <f>"CAQH re-attestation – "&amp;IF(LEN(INDEX('Providers'!$A$4:$A$503,68))=0,"",INDEX('Providers'!$A$4:$A$503,68))</f>
        <v/>
      </c>
      <c r="E3071">
        <f>IF(ISNUMBER(INDEX('Providers'!$W$4:$W$503,68)),TEXT(INDEX('Providers'!$W$4:$W$503,68),"yyyy-mm-dd"),"")</f>
        <v/>
      </c>
      <c r="F3071">
        <f>"Credentialing"</f>
        <v/>
      </c>
      <c r="G3071">
        <f>IF(ISNUMBER(INDEX('Providers'!$U$4:$U$503,68)),TEXT(INDEX('Providers'!$U$4:$U$503,68),"yyyy-mm-dd"),"")</f>
        <v/>
      </c>
      <c r="H3071">
        <f>"High"</f>
        <v/>
      </c>
      <c r="I3071">
        <f>TRIM(IF(LEN(IF(LEN(INDEX('Providers'!$T$4:$T$503,68))=0,"",INDEX('Providers'!$T$4:$T$503,68)))=0,"","CAQH ID: "&amp;IF(LEN(INDEX('Providers'!$T$4:$T$503,68))=0,"",INDEX('Providers'!$T$4:$T$503,68))&amp;". ")&amp;IF(LEN(IF(ISNUMBER(INDEX('Providers'!$U$4:$U$503,68)),TEXT(INDEX('Providers'!$U$4:$U$503,68),"yyyy-mm-dd"),""))=0,"","Last attested: "&amp;IF(ISNUMBER(INDEX('Providers'!$U$4:$U$503,68)),TEXT(INDEX('Providers'!$U$4:$U$503,68),"yyyy-mm-dd"),"")&amp;". "))</f>
        <v/>
      </c>
      <c r="J3071">
        <f>IF(LEN(INDEX('Providers'!$AJ$4:$AJ$503,68))=0,"",INDEX('Providers'!$AJ$4:$AJ$503,68))</f>
        <v/>
      </c>
      <c r="K3071">
        <f>IF(LEN(INDEX('Providers'!$AI$4:$AI$503,68))=0,"",INDEX('Providers'!$AI$4:$AI$503,68))</f>
        <v/>
      </c>
    </row>
    <row r="3072">
      <c r="A3072">
        <f>IF(AND(LEN('Providers'!A72)&gt;0,ISNUMBER('Providers'!W72)),1,0)</f>
        <v/>
      </c>
      <c r="B3072">
        <f>B3071+A3072</f>
        <v/>
      </c>
      <c r="C3072">
        <f>IF(3069&gt;$B$4503,"",MATCH(3069-0.5,$B$3:$B$4503,1))</f>
        <v/>
      </c>
      <c r="D3072">
        <f>"CAQH re-attestation – "&amp;IF(LEN(INDEX('Providers'!$A$4:$A$503,69))=0,"",INDEX('Providers'!$A$4:$A$503,69))</f>
        <v/>
      </c>
      <c r="E3072">
        <f>IF(ISNUMBER(INDEX('Providers'!$W$4:$W$503,69)),TEXT(INDEX('Providers'!$W$4:$W$503,69),"yyyy-mm-dd"),"")</f>
        <v/>
      </c>
      <c r="F3072">
        <f>"Credentialing"</f>
        <v/>
      </c>
      <c r="G3072">
        <f>IF(ISNUMBER(INDEX('Providers'!$U$4:$U$503,69)),TEXT(INDEX('Providers'!$U$4:$U$503,69),"yyyy-mm-dd"),"")</f>
        <v/>
      </c>
      <c r="H3072">
        <f>"High"</f>
        <v/>
      </c>
      <c r="I3072">
        <f>TRIM(IF(LEN(IF(LEN(INDEX('Providers'!$T$4:$T$503,69))=0,"",INDEX('Providers'!$T$4:$T$503,69)))=0,"","CAQH ID: "&amp;IF(LEN(INDEX('Providers'!$T$4:$T$503,69))=0,"",INDEX('Providers'!$T$4:$T$503,69))&amp;". ")&amp;IF(LEN(IF(ISNUMBER(INDEX('Providers'!$U$4:$U$503,69)),TEXT(INDEX('Providers'!$U$4:$U$503,69),"yyyy-mm-dd"),""))=0,"","Last attested: "&amp;IF(ISNUMBER(INDEX('Providers'!$U$4:$U$503,69)),TEXT(INDEX('Providers'!$U$4:$U$503,69),"yyyy-mm-dd"),"")&amp;". "))</f>
        <v/>
      </c>
      <c r="J3072">
        <f>IF(LEN(INDEX('Providers'!$AJ$4:$AJ$503,69))=0,"",INDEX('Providers'!$AJ$4:$AJ$503,69))</f>
        <v/>
      </c>
      <c r="K3072">
        <f>IF(LEN(INDEX('Providers'!$AI$4:$AI$503,69))=0,"",INDEX('Providers'!$AI$4:$AI$503,69))</f>
        <v/>
      </c>
    </row>
    <row r="3073">
      <c r="A3073">
        <f>IF(AND(LEN('Providers'!A73)&gt;0,ISNUMBER('Providers'!W73)),1,0)</f>
        <v/>
      </c>
      <c r="B3073">
        <f>B3072+A3073</f>
        <v/>
      </c>
      <c r="C3073">
        <f>IF(3070&gt;$B$4503,"",MATCH(3070-0.5,$B$3:$B$4503,1))</f>
        <v/>
      </c>
      <c r="D3073">
        <f>"CAQH re-attestation – "&amp;IF(LEN(INDEX('Providers'!$A$4:$A$503,70))=0,"",INDEX('Providers'!$A$4:$A$503,70))</f>
        <v/>
      </c>
      <c r="E3073">
        <f>IF(ISNUMBER(INDEX('Providers'!$W$4:$W$503,70)),TEXT(INDEX('Providers'!$W$4:$W$503,70),"yyyy-mm-dd"),"")</f>
        <v/>
      </c>
      <c r="F3073">
        <f>"Credentialing"</f>
        <v/>
      </c>
      <c r="G3073">
        <f>IF(ISNUMBER(INDEX('Providers'!$U$4:$U$503,70)),TEXT(INDEX('Providers'!$U$4:$U$503,70),"yyyy-mm-dd"),"")</f>
        <v/>
      </c>
      <c r="H3073">
        <f>"High"</f>
        <v/>
      </c>
      <c r="I3073">
        <f>TRIM(IF(LEN(IF(LEN(INDEX('Providers'!$T$4:$T$503,70))=0,"",INDEX('Providers'!$T$4:$T$503,70)))=0,"","CAQH ID: "&amp;IF(LEN(INDEX('Providers'!$T$4:$T$503,70))=0,"",INDEX('Providers'!$T$4:$T$503,70))&amp;". ")&amp;IF(LEN(IF(ISNUMBER(INDEX('Providers'!$U$4:$U$503,70)),TEXT(INDEX('Providers'!$U$4:$U$503,70),"yyyy-mm-dd"),""))=0,"","Last attested: "&amp;IF(ISNUMBER(INDEX('Providers'!$U$4:$U$503,70)),TEXT(INDEX('Providers'!$U$4:$U$503,70),"yyyy-mm-dd"),"")&amp;". "))</f>
        <v/>
      </c>
      <c r="J3073">
        <f>IF(LEN(INDEX('Providers'!$AJ$4:$AJ$503,70))=0,"",INDEX('Providers'!$AJ$4:$AJ$503,70))</f>
        <v/>
      </c>
      <c r="K3073">
        <f>IF(LEN(INDEX('Providers'!$AI$4:$AI$503,70))=0,"",INDEX('Providers'!$AI$4:$AI$503,70))</f>
        <v/>
      </c>
    </row>
    <row r="3074">
      <c r="A3074">
        <f>IF(AND(LEN('Providers'!A74)&gt;0,ISNUMBER('Providers'!W74)),1,0)</f>
        <v/>
      </c>
      <c r="B3074">
        <f>B3073+A3074</f>
        <v/>
      </c>
      <c r="C3074">
        <f>IF(3071&gt;$B$4503,"",MATCH(3071-0.5,$B$3:$B$4503,1))</f>
        <v/>
      </c>
      <c r="D3074">
        <f>"CAQH re-attestation – "&amp;IF(LEN(INDEX('Providers'!$A$4:$A$503,71))=0,"",INDEX('Providers'!$A$4:$A$503,71))</f>
        <v/>
      </c>
      <c r="E3074">
        <f>IF(ISNUMBER(INDEX('Providers'!$W$4:$W$503,71)),TEXT(INDEX('Providers'!$W$4:$W$503,71),"yyyy-mm-dd"),"")</f>
        <v/>
      </c>
      <c r="F3074">
        <f>"Credentialing"</f>
        <v/>
      </c>
      <c r="G3074">
        <f>IF(ISNUMBER(INDEX('Providers'!$U$4:$U$503,71)),TEXT(INDEX('Providers'!$U$4:$U$503,71),"yyyy-mm-dd"),"")</f>
        <v/>
      </c>
      <c r="H3074">
        <f>"High"</f>
        <v/>
      </c>
      <c r="I3074">
        <f>TRIM(IF(LEN(IF(LEN(INDEX('Providers'!$T$4:$T$503,71))=0,"",INDEX('Providers'!$T$4:$T$503,71)))=0,"","CAQH ID: "&amp;IF(LEN(INDEX('Providers'!$T$4:$T$503,71))=0,"",INDEX('Providers'!$T$4:$T$503,71))&amp;". ")&amp;IF(LEN(IF(ISNUMBER(INDEX('Providers'!$U$4:$U$503,71)),TEXT(INDEX('Providers'!$U$4:$U$503,71),"yyyy-mm-dd"),""))=0,"","Last attested: "&amp;IF(ISNUMBER(INDEX('Providers'!$U$4:$U$503,71)),TEXT(INDEX('Providers'!$U$4:$U$503,71),"yyyy-mm-dd"),"")&amp;". "))</f>
        <v/>
      </c>
      <c r="J3074">
        <f>IF(LEN(INDEX('Providers'!$AJ$4:$AJ$503,71))=0,"",INDEX('Providers'!$AJ$4:$AJ$503,71))</f>
        <v/>
      </c>
      <c r="K3074">
        <f>IF(LEN(INDEX('Providers'!$AI$4:$AI$503,71))=0,"",INDEX('Providers'!$AI$4:$AI$503,71))</f>
        <v/>
      </c>
    </row>
    <row r="3075">
      <c r="A3075">
        <f>IF(AND(LEN('Providers'!A75)&gt;0,ISNUMBER('Providers'!W75)),1,0)</f>
        <v/>
      </c>
      <c r="B3075">
        <f>B3074+A3075</f>
        <v/>
      </c>
      <c r="C3075">
        <f>IF(3072&gt;$B$4503,"",MATCH(3072-0.5,$B$3:$B$4503,1))</f>
        <v/>
      </c>
      <c r="D3075">
        <f>"CAQH re-attestation – "&amp;IF(LEN(INDEX('Providers'!$A$4:$A$503,72))=0,"",INDEX('Providers'!$A$4:$A$503,72))</f>
        <v/>
      </c>
      <c r="E3075">
        <f>IF(ISNUMBER(INDEX('Providers'!$W$4:$W$503,72)),TEXT(INDEX('Providers'!$W$4:$W$503,72),"yyyy-mm-dd"),"")</f>
        <v/>
      </c>
      <c r="F3075">
        <f>"Credentialing"</f>
        <v/>
      </c>
      <c r="G3075">
        <f>IF(ISNUMBER(INDEX('Providers'!$U$4:$U$503,72)),TEXT(INDEX('Providers'!$U$4:$U$503,72),"yyyy-mm-dd"),"")</f>
        <v/>
      </c>
      <c r="H3075">
        <f>"High"</f>
        <v/>
      </c>
      <c r="I3075">
        <f>TRIM(IF(LEN(IF(LEN(INDEX('Providers'!$T$4:$T$503,72))=0,"",INDEX('Providers'!$T$4:$T$503,72)))=0,"","CAQH ID: "&amp;IF(LEN(INDEX('Providers'!$T$4:$T$503,72))=0,"",INDEX('Providers'!$T$4:$T$503,72))&amp;". ")&amp;IF(LEN(IF(ISNUMBER(INDEX('Providers'!$U$4:$U$503,72)),TEXT(INDEX('Providers'!$U$4:$U$503,72),"yyyy-mm-dd"),""))=0,"","Last attested: "&amp;IF(ISNUMBER(INDEX('Providers'!$U$4:$U$503,72)),TEXT(INDEX('Providers'!$U$4:$U$503,72),"yyyy-mm-dd"),"")&amp;". "))</f>
        <v/>
      </c>
      <c r="J3075">
        <f>IF(LEN(INDEX('Providers'!$AJ$4:$AJ$503,72))=0,"",INDEX('Providers'!$AJ$4:$AJ$503,72))</f>
        <v/>
      </c>
      <c r="K3075">
        <f>IF(LEN(INDEX('Providers'!$AI$4:$AI$503,72))=0,"",INDEX('Providers'!$AI$4:$AI$503,72))</f>
        <v/>
      </c>
    </row>
    <row r="3076">
      <c r="A3076">
        <f>IF(AND(LEN('Providers'!A76)&gt;0,ISNUMBER('Providers'!W76)),1,0)</f>
        <v/>
      </c>
      <c r="B3076">
        <f>B3075+A3076</f>
        <v/>
      </c>
      <c r="C3076">
        <f>IF(3073&gt;$B$4503,"",MATCH(3073-0.5,$B$3:$B$4503,1))</f>
        <v/>
      </c>
      <c r="D3076">
        <f>"CAQH re-attestation – "&amp;IF(LEN(INDEX('Providers'!$A$4:$A$503,73))=0,"",INDEX('Providers'!$A$4:$A$503,73))</f>
        <v/>
      </c>
      <c r="E3076">
        <f>IF(ISNUMBER(INDEX('Providers'!$W$4:$W$503,73)),TEXT(INDEX('Providers'!$W$4:$W$503,73),"yyyy-mm-dd"),"")</f>
        <v/>
      </c>
      <c r="F3076">
        <f>"Credentialing"</f>
        <v/>
      </c>
      <c r="G3076">
        <f>IF(ISNUMBER(INDEX('Providers'!$U$4:$U$503,73)),TEXT(INDEX('Providers'!$U$4:$U$503,73),"yyyy-mm-dd"),"")</f>
        <v/>
      </c>
      <c r="H3076">
        <f>"High"</f>
        <v/>
      </c>
      <c r="I3076">
        <f>TRIM(IF(LEN(IF(LEN(INDEX('Providers'!$T$4:$T$503,73))=0,"",INDEX('Providers'!$T$4:$T$503,73)))=0,"","CAQH ID: "&amp;IF(LEN(INDEX('Providers'!$T$4:$T$503,73))=0,"",INDEX('Providers'!$T$4:$T$503,73))&amp;". ")&amp;IF(LEN(IF(ISNUMBER(INDEX('Providers'!$U$4:$U$503,73)),TEXT(INDEX('Providers'!$U$4:$U$503,73),"yyyy-mm-dd"),""))=0,"","Last attested: "&amp;IF(ISNUMBER(INDEX('Providers'!$U$4:$U$503,73)),TEXT(INDEX('Providers'!$U$4:$U$503,73),"yyyy-mm-dd"),"")&amp;". "))</f>
        <v/>
      </c>
      <c r="J3076">
        <f>IF(LEN(INDEX('Providers'!$AJ$4:$AJ$503,73))=0,"",INDEX('Providers'!$AJ$4:$AJ$503,73))</f>
        <v/>
      </c>
      <c r="K3076">
        <f>IF(LEN(INDEX('Providers'!$AI$4:$AI$503,73))=0,"",INDEX('Providers'!$AI$4:$AI$503,73))</f>
        <v/>
      </c>
    </row>
    <row r="3077">
      <c r="A3077">
        <f>IF(AND(LEN('Providers'!A77)&gt;0,ISNUMBER('Providers'!W77)),1,0)</f>
        <v/>
      </c>
      <c r="B3077">
        <f>B3076+A3077</f>
        <v/>
      </c>
      <c r="C3077">
        <f>IF(3074&gt;$B$4503,"",MATCH(3074-0.5,$B$3:$B$4503,1))</f>
        <v/>
      </c>
      <c r="D3077">
        <f>"CAQH re-attestation – "&amp;IF(LEN(INDEX('Providers'!$A$4:$A$503,74))=0,"",INDEX('Providers'!$A$4:$A$503,74))</f>
        <v/>
      </c>
      <c r="E3077">
        <f>IF(ISNUMBER(INDEX('Providers'!$W$4:$W$503,74)),TEXT(INDEX('Providers'!$W$4:$W$503,74),"yyyy-mm-dd"),"")</f>
        <v/>
      </c>
      <c r="F3077">
        <f>"Credentialing"</f>
        <v/>
      </c>
      <c r="G3077">
        <f>IF(ISNUMBER(INDEX('Providers'!$U$4:$U$503,74)),TEXT(INDEX('Providers'!$U$4:$U$503,74),"yyyy-mm-dd"),"")</f>
        <v/>
      </c>
      <c r="H3077">
        <f>"High"</f>
        <v/>
      </c>
      <c r="I3077">
        <f>TRIM(IF(LEN(IF(LEN(INDEX('Providers'!$T$4:$T$503,74))=0,"",INDEX('Providers'!$T$4:$T$503,74)))=0,"","CAQH ID: "&amp;IF(LEN(INDEX('Providers'!$T$4:$T$503,74))=0,"",INDEX('Providers'!$T$4:$T$503,74))&amp;". ")&amp;IF(LEN(IF(ISNUMBER(INDEX('Providers'!$U$4:$U$503,74)),TEXT(INDEX('Providers'!$U$4:$U$503,74),"yyyy-mm-dd"),""))=0,"","Last attested: "&amp;IF(ISNUMBER(INDEX('Providers'!$U$4:$U$503,74)),TEXT(INDEX('Providers'!$U$4:$U$503,74),"yyyy-mm-dd"),"")&amp;". "))</f>
        <v/>
      </c>
      <c r="J3077">
        <f>IF(LEN(INDEX('Providers'!$AJ$4:$AJ$503,74))=0,"",INDEX('Providers'!$AJ$4:$AJ$503,74))</f>
        <v/>
      </c>
      <c r="K3077">
        <f>IF(LEN(INDEX('Providers'!$AI$4:$AI$503,74))=0,"",INDEX('Providers'!$AI$4:$AI$503,74))</f>
        <v/>
      </c>
    </row>
    <row r="3078">
      <c r="A3078">
        <f>IF(AND(LEN('Providers'!A78)&gt;0,ISNUMBER('Providers'!W78)),1,0)</f>
        <v/>
      </c>
      <c r="B3078">
        <f>B3077+A3078</f>
        <v/>
      </c>
      <c r="C3078">
        <f>IF(3075&gt;$B$4503,"",MATCH(3075-0.5,$B$3:$B$4503,1))</f>
        <v/>
      </c>
      <c r="D3078">
        <f>"CAQH re-attestation – "&amp;IF(LEN(INDEX('Providers'!$A$4:$A$503,75))=0,"",INDEX('Providers'!$A$4:$A$503,75))</f>
        <v/>
      </c>
      <c r="E3078">
        <f>IF(ISNUMBER(INDEX('Providers'!$W$4:$W$503,75)),TEXT(INDEX('Providers'!$W$4:$W$503,75),"yyyy-mm-dd"),"")</f>
        <v/>
      </c>
      <c r="F3078">
        <f>"Credentialing"</f>
        <v/>
      </c>
      <c r="G3078">
        <f>IF(ISNUMBER(INDEX('Providers'!$U$4:$U$503,75)),TEXT(INDEX('Providers'!$U$4:$U$503,75),"yyyy-mm-dd"),"")</f>
        <v/>
      </c>
      <c r="H3078">
        <f>"High"</f>
        <v/>
      </c>
      <c r="I3078">
        <f>TRIM(IF(LEN(IF(LEN(INDEX('Providers'!$T$4:$T$503,75))=0,"",INDEX('Providers'!$T$4:$T$503,75)))=0,"","CAQH ID: "&amp;IF(LEN(INDEX('Providers'!$T$4:$T$503,75))=0,"",INDEX('Providers'!$T$4:$T$503,75))&amp;". ")&amp;IF(LEN(IF(ISNUMBER(INDEX('Providers'!$U$4:$U$503,75)),TEXT(INDEX('Providers'!$U$4:$U$503,75),"yyyy-mm-dd"),""))=0,"","Last attested: "&amp;IF(ISNUMBER(INDEX('Providers'!$U$4:$U$503,75)),TEXT(INDEX('Providers'!$U$4:$U$503,75),"yyyy-mm-dd"),"")&amp;". "))</f>
        <v/>
      </c>
      <c r="J3078">
        <f>IF(LEN(INDEX('Providers'!$AJ$4:$AJ$503,75))=0,"",INDEX('Providers'!$AJ$4:$AJ$503,75))</f>
        <v/>
      </c>
      <c r="K3078">
        <f>IF(LEN(INDEX('Providers'!$AI$4:$AI$503,75))=0,"",INDEX('Providers'!$AI$4:$AI$503,75))</f>
        <v/>
      </c>
    </row>
    <row r="3079">
      <c r="A3079">
        <f>IF(AND(LEN('Providers'!A79)&gt;0,ISNUMBER('Providers'!W79)),1,0)</f>
        <v/>
      </c>
      <c r="B3079">
        <f>B3078+A3079</f>
        <v/>
      </c>
      <c r="C3079">
        <f>IF(3076&gt;$B$4503,"",MATCH(3076-0.5,$B$3:$B$4503,1))</f>
        <v/>
      </c>
      <c r="D3079">
        <f>"CAQH re-attestation – "&amp;IF(LEN(INDEX('Providers'!$A$4:$A$503,76))=0,"",INDEX('Providers'!$A$4:$A$503,76))</f>
        <v/>
      </c>
      <c r="E3079">
        <f>IF(ISNUMBER(INDEX('Providers'!$W$4:$W$503,76)),TEXT(INDEX('Providers'!$W$4:$W$503,76),"yyyy-mm-dd"),"")</f>
        <v/>
      </c>
      <c r="F3079">
        <f>"Credentialing"</f>
        <v/>
      </c>
      <c r="G3079">
        <f>IF(ISNUMBER(INDEX('Providers'!$U$4:$U$503,76)),TEXT(INDEX('Providers'!$U$4:$U$503,76),"yyyy-mm-dd"),"")</f>
        <v/>
      </c>
      <c r="H3079">
        <f>"High"</f>
        <v/>
      </c>
      <c r="I3079">
        <f>TRIM(IF(LEN(IF(LEN(INDEX('Providers'!$T$4:$T$503,76))=0,"",INDEX('Providers'!$T$4:$T$503,76)))=0,"","CAQH ID: "&amp;IF(LEN(INDEX('Providers'!$T$4:$T$503,76))=0,"",INDEX('Providers'!$T$4:$T$503,76))&amp;". ")&amp;IF(LEN(IF(ISNUMBER(INDEX('Providers'!$U$4:$U$503,76)),TEXT(INDEX('Providers'!$U$4:$U$503,76),"yyyy-mm-dd"),""))=0,"","Last attested: "&amp;IF(ISNUMBER(INDEX('Providers'!$U$4:$U$503,76)),TEXT(INDEX('Providers'!$U$4:$U$503,76),"yyyy-mm-dd"),"")&amp;". "))</f>
        <v/>
      </c>
      <c r="J3079">
        <f>IF(LEN(INDEX('Providers'!$AJ$4:$AJ$503,76))=0,"",INDEX('Providers'!$AJ$4:$AJ$503,76))</f>
        <v/>
      </c>
      <c r="K3079">
        <f>IF(LEN(INDEX('Providers'!$AI$4:$AI$503,76))=0,"",INDEX('Providers'!$AI$4:$AI$503,76))</f>
        <v/>
      </c>
    </row>
    <row r="3080">
      <c r="A3080">
        <f>IF(AND(LEN('Providers'!A80)&gt;0,ISNUMBER('Providers'!W80)),1,0)</f>
        <v/>
      </c>
      <c r="B3080">
        <f>B3079+A3080</f>
        <v/>
      </c>
      <c r="C3080">
        <f>IF(3077&gt;$B$4503,"",MATCH(3077-0.5,$B$3:$B$4503,1))</f>
        <v/>
      </c>
      <c r="D3080">
        <f>"CAQH re-attestation – "&amp;IF(LEN(INDEX('Providers'!$A$4:$A$503,77))=0,"",INDEX('Providers'!$A$4:$A$503,77))</f>
        <v/>
      </c>
      <c r="E3080">
        <f>IF(ISNUMBER(INDEX('Providers'!$W$4:$W$503,77)),TEXT(INDEX('Providers'!$W$4:$W$503,77),"yyyy-mm-dd"),"")</f>
        <v/>
      </c>
      <c r="F3080">
        <f>"Credentialing"</f>
        <v/>
      </c>
      <c r="G3080">
        <f>IF(ISNUMBER(INDEX('Providers'!$U$4:$U$503,77)),TEXT(INDEX('Providers'!$U$4:$U$503,77),"yyyy-mm-dd"),"")</f>
        <v/>
      </c>
      <c r="H3080">
        <f>"High"</f>
        <v/>
      </c>
      <c r="I3080">
        <f>TRIM(IF(LEN(IF(LEN(INDEX('Providers'!$T$4:$T$503,77))=0,"",INDEX('Providers'!$T$4:$T$503,77)))=0,"","CAQH ID: "&amp;IF(LEN(INDEX('Providers'!$T$4:$T$503,77))=0,"",INDEX('Providers'!$T$4:$T$503,77))&amp;". ")&amp;IF(LEN(IF(ISNUMBER(INDEX('Providers'!$U$4:$U$503,77)),TEXT(INDEX('Providers'!$U$4:$U$503,77),"yyyy-mm-dd"),""))=0,"","Last attested: "&amp;IF(ISNUMBER(INDEX('Providers'!$U$4:$U$503,77)),TEXT(INDEX('Providers'!$U$4:$U$503,77),"yyyy-mm-dd"),"")&amp;". "))</f>
        <v/>
      </c>
      <c r="J3080">
        <f>IF(LEN(INDEX('Providers'!$AJ$4:$AJ$503,77))=0,"",INDEX('Providers'!$AJ$4:$AJ$503,77))</f>
        <v/>
      </c>
      <c r="K3080">
        <f>IF(LEN(INDEX('Providers'!$AI$4:$AI$503,77))=0,"",INDEX('Providers'!$AI$4:$AI$503,77))</f>
        <v/>
      </c>
    </row>
    <row r="3081">
      <c r="A3081">
        <f>IF(AND(LEN('Providers'!A81)&gt;0,ISNUMBER('Providers'!W81)),1,0)</f>
        <v/>
      </c>
      <c r="B3081">
        <f>B3080+A3081</f>
        <v/>
      </c>
      <c r="C3081">
        <f>IF(3078&gt;$B$4503,"",MATCH(3078-0.5,$B$3:$B$4503,1))</f>
        <v/>
      </c>
      <c r="D3081">
        <f>"CAQH re-attestation – "&amp;IF(LEN(INDEX('Providers'!$A$4:$A$503,78))=0,"",INDEX('Providers'!$A$4:$A$503,78))</f>
        <v/>
      </c>
      <c r="E3081">
        <f>IF(ISNUMBER(INDEX('Providers'!$W$4:$W$503,78)),TEXT(INDEX('Providers'!$W$4:$W$503,78),"yyyy-mm-dd"),"")</f>
        <v/>
      </c>
      <c r="F3081">
        <f>"Credentialing"</f>
        <v/>
      </c>
      <c r="G3081">
        <f>IF(ISNUMBER(INDEX('Providers'!$U$4:$U$503,78)),TEXT(INDEX('Providers'!$U$4:$U$503,78),"yyyy-mm-dd"),"")</f>
        <v/>
      </c>
      <c r="H3081">
        <f>"High"</f>
        <v/>
      </c>
      <c r="I3081">
        <f>TRIM(IF(LEN(IF(LEN(INDEX('Providers'!$T$4:$T$503,78))=0,"",INDEX('Providers'!$T$4:$T$503,78)))=0,"","CAQH ID: "&amp;IF(LEN(INDEX('Providers'!$T$4:$T$503,78))=0,"",INDEX('Providers'!$T$4:$T$503,78))&amp;". ")&amp;IF(LEN(IF(ISNUMBER(INDEX('Providers'!$U$4:$U$503,78)),TEXT(INDEX('Providers'!$U$4:$U$503,78),"yyyy-mm-dd"),""))=0,"","Last attested: "&amp;IF(ISNUMBER(INDEX('Providers'!$U$4:$U$503,78)),TEXT(INDEX('Providers'!$U$4:$U$503,78),"yyyy-mm-dd"),"")&amp;". "))</f>
        <v/>
      </c>
      <c r="J3081">
        <f>IF(LEN(INDEX('Providers'!$AJ$4:$AJ$503,78))=0,"",INDEX('Providers'!$AJ$4:$AJ$503,78))</f>
        <v/>
      </c>
      <c r="K3081">
        <f>IF(LEN(INDEX('Providers'!$AI$4:$AI$503,78))=0,"",INDEX('Providers'!$AI$4:$AI$503,78))</f>
        <v/>
      </c>
    </row>
    <row r="3082">
      <c r="A3082">
        <f>IF(AND(LEN('Providers'!A82)&gt;0,ISNUMBER('Providers'!W82)),1,0)</f>
        <v/>
      </c>
      <c r="B3082">
        <f>B3081+A3082</f>
        <v/>
      </c>
      <c r="C3082">
        <f>IF(3079&gt;$B$4503,"",MATCH(3079-0.5,$B$3:$B$4503,1))</f>
        <v/>
      </c>
      <c r="D3082">
        <f>"CAQH re-attestation – "&amp;IF(LEN(INDEX('Providers'!$A$4:$A$503,79))=0,"",INDEX('Providers'!$A$4:$A$503,79))</f>
        <v/>
      </c>
      <c r="E3082">
        <f>IF(ISNUMBER(INDEX('Providers'!$W$4:$W$503,79)),TEXT(INDEX('Providers'!$W$4:$W$503,79),"yyyy-mm-dd"),"")</f>
        <v/>
      </c>
      <c r="F3082">
        <f>"Credentialing"</f>
        <v/>
      </c>
      <c r="G3082">
        <f>IF(ISNUMBER(INDEX('Providers'!$U$4:$U$503,79)),TEXT(INDEX('Providers'!$U$4:$U$503,79),"yyyy-mm-dd"),"")</f>
        <v/>
      </c>
      <c r="H3082">
        <f>"High"</f>
        <v/>
      </c>
      <c r="I3082">
        <f>TRIM(IF(LEN(IF(LEN(INDEX('Providers'!$T$4:$T$503,79))=0,"",INDEX('Providers'!$T$4:$T$503,79)))=0,"","CAQH ID: "&amp;IF(LEN(INDEX('Providers'!$T$4:$T$503,79))=0,"",INDEX('Providers'!$T$4:$T$503,79))&amp;". ")&amp;IF(LEN(IF(ISNUMBER(INDEX('Providers'!$U$4:$U$503,79)),TEXT(INDEX('Providers'!$U$4:$U$503,79),"yyyy-mm-dd"),""))=0,"","Last attested: "&amp;IF(ISNUMBER(INDEX('Providers'!$U$4:$U$503,79)),TEXT(INDEX('Providers'!$U$4:$U$503,79),"yyyy-mm-dd"),"")&amp;". "))</f>
        <v/>
      </c>
      <c r="J3082">
        <f>IF(LEN(INDEX('Providers'!$AJ$4:$AJ$503,79))=0,"",INDEX('Providers'!$AJ$4:$AJ$503,79))</f>
        <v/>
      </c>
      <c r="K3082">
        <f>IF(LEN(INDEX('Providers'!$AI$4:$AI$503,79))=0,"",INDEX('Providers'!$AI$4:$AI$503,79))</f>
        <v/>
      </c>
    </row>
    <row r="3083">
      <c r="A3083">
        <f>IF(AND(LEN('Providers'!A83)&gt;0,ISNUMBER('Providers'!W83)),1,0)</f>
        <v/>
      </c>
      <c r="B3083">
        <f>B3082+A3083</f>
        <v/>
      </c>
      <c r="C3083">
        <f>IF(3080&gt;$B$4503,"",MATCH(3080-0.5,$B$3:$B$4503,1))</f>
        <v/>
      </c>
      <c r="D3083">
        <f>"CAQH re-attestation – "&amp;IF(LEN(INDEX('Providers'!$A$4:$A$503,80))=0,"",INDEX('Providers'!$A$4:$A$503,80))</f>
        <v/>
      </c>
      <c r="E3083">
        <f>IF(ISNUMBER(INDEX('Providers'!$W$4:$W$503,80)),TEXT(INDEX('Providers'!$W$4:$W$503,80),"yyyy-mm-dd"),"")</f>
        <v/>
      </c>
      <c r="F3083">
        <f>"Credentialing"</f>
        <v/>
      </c>
      <c r="G3083">
        <f>IF(ISNUMBER(INDEX('Providers'!$U$4:$U$503,80)),TEXT(INDEX('Providers'!$U$4:$U$503,80),"yyyy-mm-dd"),"")</f>
        <v/>
      </c>
      <c r="H3083">
        <f>"High"</f>
        <v/>
      </c>
      <c r="I3083">
        <f>TRIM(IF(LEN(IF(LEN(INDEX('Providers'!$T$4:$T$503,80))=0,"",INDEX('Providers'!$T$4:$T$503,80)))=0,"","CAQH ID: "&amp;IF(LEN(INDEX('Providers'!$T$4:$T$503,80))=0,"",INDEX('Providers'!$T$4:$T$503,80))&amp;". ")&amp;IF(LEN(IF(ISNUMBER(INDEX('Providers'!$U$4:$U$503,80)),TEXT(INDEX('Providers'!$U$4:$U$503,80),"yyyy-mm-dd"),""))=0,"","Last attested: "&amp;IF(ISNUMBER(INDEX('Providers'!$U$4:$U$503,80)),TEXT(INDEX('Providers'!$U$4:$U$503,80),"yyyy-mm-dd"),"")&amp;". "))</f>
        <v/>
      </c>
      <c r="J3083">
        <f>IF(LEN(INDEX('Providers'!$AJ$4:$AJ$503,80))=0,"",INDEX('Providers'!$AJ$4:$AJ$503,80))</f>
        <v/>
      </c>
      <c r="K3083">
        <f>IF(LEN(INDEX('Providers'!$AI$4:$AI$503,80))=0,"",INDEX('Providers'!$AI$4:$AI$503,80))</f>
        <v/>
      </c>
    </row>
    <row r="3084">
      <c r="A3084">
        <f>IF(AND(LEN('Providers'!A84)&gt;0,ISNUMBER('Providers'!W84)),1,0)</f>
        <v/>
      </c>
      <c r="B3084">
        <f>B3083+A3084</f>
        <v/>
      </c>
      <c r="C3084">
        <f>IF(3081&gt;$B$4503,"",MATCH(3081-0.5,$B$3:$B$4503,1))</f>
        <v/>
      </c>
      <c r="D3084">
        <f>"CAQH re-attestation – "&amp;IF(LEN(INDEX('Providers'!$A$4:$A$503,81))=0,"",INDEX('Providers'!$A$4:$A$503,81))</f>
        <v/>
      </c>
      <c r="E3084">
        <f>IF(ISNUMBER(INDEX('Providers'!$W$4:$W$503,81)),TEXT(INDEX('Providers'!$W$4:$W$503,81),"yyyy-mm-dd"),"")</f>
        <v/>
      </c>
      <c r="F3084">
        <f>"Credentialing"</f>
        <v/>
      </c>
      <c r="G3084">
        <f>IF(ISNUMBER(INDEX('Providers'!$U$4:$U$503,81)),TEXT(INDEX('Providers'!$U$4:$U$503,81),"yyyy-mm-dd"),"")</f>
        <v/>
      </c>
      <c r="H3084">
        <f>"High"</f>
        <v/>
      </c>
      <c r="I3084">
        <f>TRIM(IF(LEN(IF(LEN(INDEX('Providers'!$T$4:$T$503,81))=0,"",INDEX('Providers'!$T$4:$T$503,81)))=0,"","CAQH ID: "&amp;IF(LEN(INDEX('Providers'!$T$4:$T$503,81))=0,"",INDEX('Providers'!$T$4:$T$503,81))&amp;". ")&amp;IF(LEN(IF(ISNUMBER(INDEX('Providers'!$U$4:$U$503,81)),TEXT(INDEX('Providers'!$U$4:$U$503,81),"yyyy-mm-dd"),""))=0,"","Last attested: "&amp;IF(ISNUMBER(INDEX('Providers'!$U$4:$U$503,81)),TEXT(INDEX('Providers'!$U$4:$U$503,81),"yyyy-mm-dd"),"")&amp;". "))</f>
        <v/>
      </c>
      <c r="J3084">
        <f>IF(LEN(INDEX('Providers'!$AJ$4:$AJ$503,81))=0,"",INDEX('Providers'!$AJ$4:$AJ$503,81))</f>
        <v/>
      </c>
      <c r="K3084">
        <f>IF(LEN(INDEX('Providers'!$AI$4:$AI$503,81))=0,"",INDEX('Providers'!$AI$4:$AI$503,81))</f>
        <v/>
      </c>
    </row>
    <row r="3085">
      <c r="A3085">
        <f>IF(AND(LEN('Providers'!A85)&gt;0,ISNUMBER('Providers'!W85)),1,0)</f>
        <v/>
      </c>
      <c r="B3085">
        <f>B3084+A3085</f>
        <v/>
      </c>
      <c r="C3085">
        <f>IF(3082&gt;$B$4503,"",MATCH(3082-0.5,$B$3:$B$4503,1))</f>
        <v/>
      </c>
      <c r="D3085">
        <f>"CAQH re-attestation – "&amp;IF(LEN(INDEX('Providers'!$A$4:$A$503,82))=0,"",INDEX('Providers'!$A$4:$A$503,82))</f>
        <v/>
      </c>
      <c r="E3085">
        <f>IF(ISNUMBER(INDEX('Providers'!$W$4:$W$503,82)),TEXT(INDEX('Providers'!$W$4:$W$503,82),"yyyy-mm-dd"),"")</f>
        <v/>
      </c>
      <c r="F3085">
        <f>"Credentialing"</f>
        <v/>
      </c>
      <c r="G3085">
        <f>IF(ISNUMBER(INDEX('Providers'!$U$4:$U$503,82)),TEXT(INDEX('Providers'!$U$4:$U$503,82),"yyyy-mm-dd"),"")</f>
        <v/>
      </c>
      <c r="H3085">
        <f>"High"</f>
        <v/>
      </c>
      <c r="I3085">
        <f>TRIM(IF(LEN(IF(LEN(INDEX('Providers'!$T$4:$T$503,82))=0,"",INDEX('Providers'!$T$4:$T$503,82)))=0,"","CAQH ID: "&amp;IF(LEN(INDEX('Providers'!$T$4:$T$503,82))=0,"",INDEX('Providers'!$T$4:$T$503,82))&amp;". ")&amp;IF(LEN(IF(ISNUMBER(INDEX('Providers'!$U$4:$U$503,82)),TEXT(INDEX('Providers'!$U$4:$U$503,82),"yyyy-mm-dd"),""))=0,"","Last attested: "&amp;IF(ISNUMBER(INDEX('Providers'!$U$4:$U$503,82)),TEXT(INDEX('Providers'!$U$4:$U$503,82),"yyyy-mm-dd"),"")&amp;". "))</f>
        <v/>
      </c>
      <c r="J3085">
        <f>IF(LEN(INDEX('Providers'!$AJ$4:$AJ$503,82))=0,"",INDEX('Providers'!$AJ$4:$AJ$503,82))</f>
        <v/>
      </c>
      <c r="K3085">
        <f>IF(LEN(INDEX('Providers'!$AI$4:$AI$503,82))=0,"",INDEX('Providers'!$AI$4:$AI$503,82))</f>
        <v/>
      </c>
    </row>
    <row r="3086">
      <c r="A3086">
        <f>IF(AND(LEN('Providers'!A86)&gt;0,ISNUMBER('Providers'!W86)),1,0)</f>
        <v/>
      </c>
      <c r="B3086">
        <f>B3085+A3086</f>
        <v/>
      </c>
      <c r="C3086">
        <f>IF(3083&gt;$B$4503,"",MATCH(3083-0.5,$B$3:$B$4503,1))</f>
        <v/>
      </c>
      <c r="D3086">
        <f>"CAQH re-attestation – "&amp;IF(LEN(INDEX('Providers'!$A$4:$A$503,83))=0,"",INDEX('Providers'!$A$4:$A$503,83))</f>
        <v/>
      </c>
      <c r="E3086">
        <f>IF(ISNUMBER(INDEX('Providers'!$W$4:$W$503,83)),TEXT(INDEX('Providers'!$W$4:$W$503,83),"yyyy-mm-dd"),"")</f>
        <v/>
      </c>
      <c r="F3086">
        <f>"Credentialing"</f>
        <v/>
      </c>
      <c r="G3086">
        <f>IF(ISNUMBER(INDEX('Providers'!$U$4:$U$503,83)),TEXT(INDEX('Providers'!$U$4:$U$503,83),"yyyy-mm-dd"),"")</f>
        <v/>
      </c>
      <c r="H3086">
        <f>"High"</f>
        <v/>
      </c>
      <c r="I3086">
        <f>TRIM(IF(LEN(IF(LEN(INDEX('Providers'!$T$4:$T$503,83))=0,"",INDEX('Providers'!$T$4:$T$503,83)))=0,"","CAQH ID: "&amp;IF(LEN(INDEX('Providers'!$T$4:$T$503,83))=0,"",INDEX('Providers'!$T$4:$T$503,83))&amp;". ")&amp;IF(LEN(IF(ISNUMBER(INDEX('Providers'!$U$4:$U$503,83)),TEXT(INDEX('Providers'!$U$4:$U$503,83),"yyyy-mm-dd"),""))=0,"","Last attested: "&amp;IF(ISNUMBER(INDEX('Providers'!$U$4:$U$503,83)),TEXT(INDEX('Providers'!$U$4:$U$503,83),"yyyy-mm-dd"),"")&amp;". "))</f>
        <v/>
      </c>
      <c r="J3086">
        <f>IF(LEN(INDEX('Providers'!$AJ$4:$AJ$503,83))=0,"",INDEX('Providers'!$AJ$4:$AJ$503,83))</f>
        <v/>
      </c>
      <c r="K3086">
        <f>IF(LEN(INDEX('Providers'!$AI$4:$AI$503,83))=0,"",INDEX('Providers'!$AI$4:$AI$503,83))</f>
        <v/>
      </c>
    </row>
    <row r="3087">
      <c r="A3087">
        <f>IF(AND(LEN('Providers'!A87)&gt;0,ISNUMBER('Providers'!W87)),1,0)</f>
        <v/>
      </c>
      <c r="B3087">
        <f>B3086+A3087</f>
        <v/>
      </c>
      <c r="C3087">
        <f>IF(3084&gt;$B$4503,"",MATCH(3084-0.5,$B$3:$B$4503,1))</f>
        <v/>
      </c>
      <c r="D3087">
        <f>"CAQH re-attestation – "&amp;IF(LEN(INDEX('Providers'!$A$4:$A$503,84))=0,"",INDEX('Providers'!$A$4:$A$503,84))</f>
        <v/>
      </c>
      <c r="E3087">
        <f>IF(ISNUMBER(INDEX('Providers'!$W$4:$W$503,84)),TEXT(INDEX('Providers'!$W$4:$W$503,84),"yyyy-mm-dd"),"")</f>
        <v/>
      </c>
      <c r="F3087">
        <f>"Credentialing"</f>
        <v/>
      </c>
      <c r="G3087">
        <f>IF(ISNUMBER(INDEX('Providers'!$U$4:$U$503,84)),TEXT(INDEX('Providers'!$U$4:$U$503,84),"yyyy-mm-dd"),"")</f>
        <v/>
      </c>
      <c r="H3087">
        <f>"High"</f>
        <v/>
      </c>
      <c r="I3087">
        <f>TRIM(IF(LEN(IF(LEN(INDEX('Providers'!$T$4:$T$503,84))=0,"",INDEX('Providers'!$T$4:$T$503,84)))=0,"","CAQH ID: "&amp;IF(LEN(INDEX('Providers'!$T$4:$T$503,84))=0,"",INDEX('Providers'!$T$4:$T$503,84))&amp;". ")&amp;IF(LEN(IF(ISNUMBER(INDEX('Providers'!$U$4:$U$503,84)),TEXT(INDEX('Providers'!$U$4:$U$503,84),"yyyy-mm-dd"),""))=0,"","Last attested: "&amp;IF(ISNUMBER(INDEX('Providers'!$U$4:$U$503,84)),TEXT(INDEX('Providers'!$U$4:$U$503,84),"yyyy-mm-dd"),"")&amp;". "))</f>
        <v/>
      </c>
      <c r="J3087">
        <f>IF(LEN(INDEX('Providers'!$AJ$4:$AJ$503,84))=0,"",INDEX('Providers'!$AJ$4:$AJ$503,84))</f>
        <v/>
      </c>
      <c r="K3087">
        <f>IF(LEN(INDEX('Providers'!$AI$4:$AI$503,84))=0,"",INDEX('Providers'!$AI$4:$AI$503,84))</f>
        <v/>
      </c>
    </row>
    <row r="3088">
      <c r="A3088">
        <f>IF(AND(LEN('Providers'!A88)&gt;0,ISNUMBER('Providers'!W88)),1,0)</f>
        <v/>
      </c>
      <c r="B3088">
        <f>B3087+A3088</f>
        <v/>
      </c>
      <c r="C3088">
        <f>IF(3085&gt;$B$4503,"",MATCH(3085-0.5,$B$3:$B$4503,1))</f>
        <v/>
      </c>
      <c r="D3088">
        <f>"CAQH re-attestation – "&amp;IF(LEN(INDEX('Providers'!$A$4:$A$503,85))=0,"",INDEX('Providers'!$A$4:$A$503,85))</f>
        <v/>
      </c>
      <c r="E3088">
        <f>IF(ISNUMBER(INDEX('Providers'!$W$4:$W$503,85)),TEXT(INDEX('Providers'!$W$4:$W$503,85),"yyyy-mm-dd"),"")</f>
        <v/>
      </c>
      <c r="F3088">
        <f>"Credentialing"</f>
        <v/>
      </c>
      <c r="G3088">
        <f>IF(ISNUMBER(INDEX('Providers'!$U$4:$U$503,85)),TEXT(INDEX('Providers'!$U$4:$U$503,85),"yyyy-mm-dd"),"")</f>
        <v/>
      </c>
      <c r="H3088">
        <f>"High"</f>
        <v/>
      </c>
      <c r="I3088">
        <f>TRIM(IF(LEN(IF(LEN(INDEX('Providers'!$T$4:$T$503,85))=0,"",INDEX('Providers'!$T$4:$T$503,85)))=0,"","CAQH ID: "&amp;IF(LEN(INDEX('Providers'!$T$4:$T$503,85))=0,"",INDEX('Providers'!$T$4:$T$503,85))&amp;". ")&amp;IF(LEN(IF(ISNUMBER(INDEX('Providers'!$U$4:$U$503,85)),TEXT(INDEX('Providers'!$U$4:$U$503,85),"yyyy-mm-dd"),""))=0,"","Last attested: "&amp;IF(ISNUMBER(INDEX('Providers'!$U$4:$U$503,85)),TEXT(INDEX('Providers'!$U$4:$U$503,85),"yyyy-mm-dd"),"")&amp;". "))</f>
        <v/>
      </c>
      <c r="J3088">
        <f>IF(LEN(INDEX('Providers'!$AJ$4:$AJ$503,85))=0,"",INDEX('Providers'!$AJ$4:$AJ$503,85))</f>
        <v/>
      </c>
      <c r="K3088">
        <f>IF(LEN(INDEX('Providers'!$AI$4:$AI$503,85))=0,"",INDEX('Providers'!$AI$4:$AI$503,85))</f>
        <v/>
      </c>
    </row>
    <row r="3089">
      <c r="A3089">
        <f>IF(AND(LEN('Providers'!A89)&gt;0,ISNUMBER('Providers'!W89)),1,0)</f>
        <v/>
      </c>
      <c r="B3089">
        <f>B3088+A3089</f>
        <v/>
      </c>
      <c r="C3089">
        <f>IF(3086&gt;$B$4503,"",MATCH(3086-0.5,$B$3:$B$4503,1))</f>
        <v/>
      </c>
      <c r="D3089">
        <f>"CAQH re-attestation – "&amp;IF(LEN(INDEX('Providers'!$A$4:$A$503,86))=0,"",INDEX('Providers'!$A$4:$A$503,86))</f>
        <v/>
      </c>
      <c r="E3089">
        <f>IF(ISNUMBER(INDEX('Providers'!$W$4:$W$503,86)),TEXT(INDEX('Providers'!$W$4:$W$503,86),"yyyy-mm-dd"),"")</f>
        <v/>
      </c>
      <c r="F3089">
        <f>"Credentialing"</f>
        <v/>
      </c>
      <c r="G3089">
        <f>IF(ISNUMBER(INDEX('Providers'!$U$4:$U$503,86)),TEXT(INDEX('Providers'!$U$4:$U$503,86),"yyyy-mm-dd"),"")</f>
        <v/>
      </c>
      <c r="H3089">
        <f>"High"</f>
        <v/>
      </c>
      <c r="I3089">
        <f>TRIM(IF(LEN(IF(LEN(INDEX('Providers'!$T$4:$T$503,86))=0,"",INDEX('Providers'!$T$4:$T$503,86)))=0,"","CAQH ID: "&amp;IF(LEN(INDEX('Providers'!$T$4:$T$503,86))=0,"",INDEX('Providers'!$T$4:$T$503,86))&amp;". ")&amp;IF(LEN(IF(ISNUMBER(INDEX('Providers'!$U$4:$U$503,86)),TEXT(INDEX('Providers'!$U$4:$U$503,86),"yyyy-mm-dd"),""))=0,"","Last attested: "&amp;IF(ISNUMBER(INDEX('Providers'!$U$4:$U$503,86)),TEXT(INDEX('Providers'!$U$4:$U$503,86),"yyyy-mm-dd"),"")&amp;". "))</f>
        <v/>
      </c>
      <c r="J3089">
        <f>IF(LEN(INDEX('Providers'!$AJ$4:$AJ$503,86))=0,"",INDEX('Providers'!$AJ$4:$AJ$503,86))</f>
        <v/>
      </c>
      <c r="K3089">
        <f>IF(LEN(INDEX('Providers'!$AI$4:$AI$503,86))=0,"",INDEX('Providers'!$AI$4:$AI$503,86))</f>
        <v/>
      </c>
    </row>
    <row r="3090">
      <c r="A3090">
        <f>IF(AND(LEN('Providers'!A90)&gt;0,ISNUMBER('Providers'!W90)),1,0)</f>
        <v/>
      </c>
      <c r="B3090">
        <f>B3089+A3090</f>
        <v/>
      </c>
      <c r="C3090">
        <f>IF(3087&gt;$B$4503,"",MATCH(3087-0.5,$B$3:$B$4503,1))</f>
        <v/>
      </c>
      <c r="D3090">
        <f>"CAQH re-attestation – "&amp;IF(LEN(INDEX('Providers'!$A$4:$A$503,87))=0,"",INDEX('Providers'!$A$4:$A$503,87))</f>
        <v/>
      </c>
      <c r="E3090">
        <f>IF(ISNUMBER(INDEX('Providers'!$W$4:$W$503,87)),TEXT(INDEX('Providers'!$W$4:$W$503,87),"yyyy-mm-dd"),"")</f>
        <v/>
      </c>
      <c r="F3090">
        <f>"Credentialing"</f>
        <v/>
      </c>
      <c r="G3090">
        <f>IF(ISNUMBER(INDEX('Providers'!$U$4:$U$503,87)),TEXT(INDEX('Providers'!$U$4:$U$503,87),"yyyy-mm-dd"),"")</f>
        <v/>
      </c>
      <c r="H3090">
        <f>"High"</f>
        <v/>
      </c>
      <c r="I3090">
        <f>TRIM(IF(LEN(IF(LEN(INDEX('Providers'!$T$4:$T$503,87))=0,"",INDEX('Providers'!$T$4:$T$503,87)))=0,"","CAQH ID: "&amp;IF(LEN(INDEX('Providers'!$T$4:$T$503,87))=0,"",INDEX('Providers'!$T$4:$T$503,87))&amp;". ")&amp;IF(LEN(IF(ISNUMBER(INDEX('Providers'!$U$4:$U$503,87)),TEXT(INDEX('Providers'!$U$4:$U$503,87),"yyyy-mm-dd"),""))=0,"","Last attested: "&amp;IF(ISNUMBER(INDEX('Providers'!$U$4:$U$503,87)),TEXT(INDEX('Providers'!$U$4:$U$503,87),"yyyy-mm-dd"),"")&amp;". "))</f>
        <v/>
      </c>
      <c r="J3090">
        <f>IF(LEN(INDEX('Providers'!$AJ$4:$AJ$503,87))=0,"",INDEX('Providers'!$AJ$4:$AJ$503,87))</f>
        <v/>
      </c>
      <c r="K3090">
        <f>IF(LEN(INDEX('Providers'!$AI$4:$AI$503,87))=0,"",INDEX('Providers'!$AI$4:$AI$503,87))</f>
        <v/>
      </c>
    </row>
    <row r="3091">
      <c r="A3091">
        <f>IF(AND(LEN('Providers'!A91)&gt;0,ISNUMBER('Providers'!W91)),1,0)</f>
        <v/>
      </c>
      <c r="B3091">
        <f>B3090+A3091</f>
        <v/>
      </c>
      <c r="C3091">
        <f>IF(3088&gt;$B$4503,"",MATCH(3088-0.5,$B$3:$B$4503,1))</f>
        <v/>
      </c>
      <c r="D3091">
        <f>"CAQH re-attestation – "&amp;IF(LEN(INDEX('Providers'!$A$4:$A$503,88))=0,"",INDEX('Providers'!$A$4:$A$503,88))</f>
        <v/>
      </c>
      <c r="E3091">
        <f>IF(ISNUMBER(INDEX('Providers'!$W$4:$W$503,88)),TEXT(INDEX('Providers'!$W$4:$W$503,88),"yyyy-mm-dd"),"")</f>
        <v/>
      </c>
      <c r="F3091">
        <f>"Credentialing"</f>
        <v/>
      </c>
      <c r="G3091">
        <f>IF(ISNUMBER(INDEX('Providers'!$U$4:$U$503,88)),TEXT(INDEX('Providers'!$U$4:$U$503,88),"yyyy-mm-dd"),"")</f>
        <v/>
      </c>
      <c r="H3091">
        <f>"High"</f>
        <v/>
      </c>
      <c r="I3091">
        <f>TRIM(IF(LEN(IF(LEN(INDEX('Providers'!$T$4:$T$503,88))=0,"",INDEX('Providers'!$T$4:$T$503,88)))=0,"","CAQH ID: "&amp;IF(LEN(INDEX('Providers'!$T$4:$T$503,88))=0,"",INDEX('Providers'!$T$4:$T$503,88))&amp;". ")&amp;IF(LEN(IF(ISNUMBER(INDEX('Providers'!$U$4:$U$503,88)),TEXT(INDEX('Providers'!$U$4:$U$503,88),"yyyy-mm-dd"),""))=0,"","Last attested: "&amp;IF(ISNUMBER(INDEX('Providers'!$U$4:$U$503,88)),TEXT(INDEX('Providers'!$U$4:$U$503,88),"yyyy-mm-dd"),"")&amp;". "))</f>
        <v/>
      </c>
      <c r="J3091">
        <f>IF(LEN(INDEX('Providers'!$AJ$4:$AJ$503,88))=0,"",INDEX('Providers'!$AJ$4:$AJ$503,88))</f>
        <v/>
      </c>
      <c r="K3091">
        <f>IF(LEN(INDEX('Providers'!$AI$4:$AI$503,88))=0,"",INDEX('Providers'!$AI$4:$AI$503,88))</f>
        <v/>
      </c>
    </row>
    <row r="3092">
      <c r="A3092">
        <f>IF(AND(LEN('Providers'!A92)&gt;0,ISNUMBER('Providers'!W92)),1,0)</f>
        <v/>
      </c>
      <c r="B3092">
        <f>B3091+A3092</f>
        <v/>
      </c>
      <c r="C3092">
        <f>IF(3089&gt;$B$4503,"",MATCH(3089-0.5,$B$3:$B$4503,1))</f>
        <v/>
      </c>
      <c r="D3092">
        <f>"CAQH re-attestation – "&amp;IF(LEN(INDEX('Providers'!$A$4:$A$503,89))=0,"",INDEX('Providers'!$A$4:$A$503,89))</f>
        <v/>
      </c>
      <c r="E3092">
        <f>IF(ISNUMBER(INDEX('Providers'!$W$4:$W$503,89)),TEXT(INDEX('Providers'!$W$4:$W$503,89),"yyyy-mm-dd"),"")</f>
        <v/>
      </c>
      <c r="F3092">
        <f>"Credentialing"</f>
        <v/>
      </c>
      <c r="G3092">
        <f>IF(ISNUMBER(INDEX('Providers'!$U$4:$U$503,89)),TEXT(INDEX('Providers'!$U$4:$U$503,89),"yyyy-mm-dd"),"")</f>
        <v/>
      </c>
      <c r="H3092">
        <f>"High"</f>
        <v/>
      </c>
      <c r="I3092">
        <f>TRIM(IF(LEN(IF(LEN(INDEX('Providers'!$T$4:$T$503,89))=0,"",INDEX('Providers'!$T$4:$T$503,89)))=0,"","CAQH ID: "&amp;IF(LEN(INDEX('Providers'!$T$4:$T$503,89))=0,"",INDEX('Providers'!$T$4:$T$503,89))&amp;". ")&amp;IF(LEN(IF(ISNUMBER(INDEX('Providers'!$U$4:$U$503,89)),TEXT(INDEX('Providers'!$U$4:$U$503,89),"yyyy-mm-dd"),""))=0,"","Last attested: "&amp;IF(ISNUMBER(INDEX('Providers'!$U$4:$U$503,89)),TEXT(INDEX('Providers'!$U$4:$U$503,89),"yyyy-mm-dd"),"")&amp;". "))</f>
        <v/>
      </c>
      <c r="J3092">
        <f>IF(LEN(INDEX('Providers'!$AJ$4:$AJ$503,89))=0,"",INDEX('Providers'!$AJ$4:$AJ$503,89))</f>
        <v/>
      </c>
      <c r="K3092">
        <f>IF(LEN(INDEX('Providers'!$AI$4:$AI$503,89))=0,"",INDEX('Providers'!$AI$4:$AI$503,89))</f>
        <v/>
      </c>
    </row>
    <row r="3093">
      <c r="A3093">
        <f>IF(AND(LEN('Providers'!A93)&gt;0,ISNUMBER('Providers'!W93)),1,0)</f>
        <v/>
      </c>
      <c r="B3093">
        <f>B3092+A3093</f>
        <v/>
      </c>
      <c r="C3093">
        <f>IF(3090&gt;$B$4503,"",MATCH(3090-0.5,$B$3:$B$4503,1))</f>
        <v/>
      </c>
      <c r="D3093">
        <f>"CAQH re-attestation – "&amp;IF(LEN(INDEX('Providers'!$A$4:$A$503,90))=0,"",INDEX('Providers'!$A$4:$A$503,90))</f>
        <v/>
      </c>
      <c r="E3093">
        <f>IF(ISNUMBER(INDEX('Providers'!$W$4:$W$503,90)),TEXT(INDEX('Providers'!$W$4:$W$503,90),"yyyy-mm-dd"),"")</f>
        <v/>
      </c>
      <c r="F3093">
        <f>"Credentialing"</f>
        <v/>
      </c>
      <c r="G3093">
        <f>IF(ISNUMBER(INDEX('Providers'!$U$4:$U$503,90)),TEXT(INDEX('Providers'!$U$4:$U$503,90),"yyyy-mm-dd"),"")</f>
        <v/>
      </c>
      <c r="H3093">
        <f>"High"</f>
        <v/>
      </c>
      <c r="I3093">
        <f>TRIM(IF(LEN(IF(LEN(INDEX('Providers'!$T$4:$T$503,90))=0,"",INDEX('Providers'!$T$4:$T$503,90)))=0,"","CAQH ID: "&amp;IF(LEN(INDEX('Providers'!$T$4:$T$503,90))=0,"",INDEX('Providers'!$T$4:$T$503,90))&amp;". ")&amp;IF(LEN(IF(ISNUMBER(INDEX('Providers'!$U$4:$U$503,90)),TEXT(INDEX('Providers'!$U$4:$U$503,90),"yyyy-mm-dd"),""))=0,"","Last attested: "&amp;IF(ISNUMBER(INDEX('Providers'!$U$4:$U$503,90)),TEXT(INDEX('Providers'!$U$4:$U$503,90),"yyyy-mm-dd"),"")&amp;". "))</f>
        <v/>
      </c>
      <c r="J3093">
        <f>IF(LEN(INDEX('Providers'!$AJ$4:$AJ$503,90))=0,"",INDEX('Providers'!$AJ$4:$AJ$503,90))</f>
        <v/>
      </c>
      <c r="K3093">
        <f>IF(LEN(INDEX('Providers'!$AI$4:$AI$503,90))=0,"",INDEX('Providers'!$AI$4:$AI$503,90))</f>
        <v/>
      </c>
    </row>
    <row r="3094">
      <c r="A3094">
        <f>IF(AND(LEN('Providers'!A94)&gt;0,ISNUMBER('Providers'!W94)),1,0)</f>
        <v/>
      </c>
      <c r="B3094">
        <f>B3093+A3094</f>
        <v/>
      </c>
      <c r="C3094">
        <f>IF(3091&gt;$B$4503,"",MATCH(3091-0.5,$B$3:$B$4503,1))</f>
        <v/>
      </c>
      <c r="D3094">
        <f>"CAQH re-attestation – "&amp;IF(LEN(INDEX('Providers'!$A$4:$A$503,91))=0,"",INDEX('Providers'!$A$4:$A$503,91))</f>
        <v/>
      </c>
      <c r="E3094">
        <f>IF(ISNUMBER(INDEX('Providers'!$W$4:$W$503,91)),TEXT(INDEX('Providers'!$W$4:$W$503,91),"yyyy-mm-dd"),"")</f>
        <v/>
      </c>
      <c r="F3094">
        <f>"Credentialing"</f>
        <v/>
      </c>
      <c r="G3094">
        <f>IF(ISNUMBER(INDEX('Providers'!$U$4:$U$503,91)),TEXT(INDEX('Providers'!$U$4:$U$503,91),"yyyy-mm-dd"),"")</f>
        <v/>
      </c>
      <c r="H3094">
        <f>"High"</f>
        <v/>
      </c>
      <c r="I3094">
        <f>TRIM(IF(LEN(IF(LEN(INDEX('Providers'!$T$4:$T$503,91))=0,"",INDEX('Providers'!$T$4:$T$503,91)))=0,"","CAQH ID: "&amp;IF(LEN(INDEX('Providers'!$T$4:$T$503,91))=0,"",INDEX('Providers'!$T$4:$T$503,91))&amp;". ")&amp;IF(LEN(IF(ISNUMBER(INDEX('Providers'!$U$4:$U$503,91)),TEXT(INDEX('Providers'!$U$4:$U$503,91),"yyyy-mm-dd"),""))=0,"","Last attested: "&amp;IF(ISNUMBER(INDEX('Providers'!$U$4:$U$503,91)),TEXT(INDEX('Providers'!$U$4:$U$503,91),"yyyy-mm-dd"),"")&amp;". "))</f>
        <v/>
      </c>
      <c r="J3094">
        <f>IF(LEN(INDEX('Providers'!$AJ$4:$AJ$503,91))=0,"",INDEX('Providers'!$AJ$4:$AJ$503,91))</f>
        <v/>
      </c>
      <c r="K3094">
        <f>IF(LEN(INDEX('Providers'!$AI$4:$AI$503,91))=0,"",INDEX('Providers'!$AI$4:$AI$503,91))</f>
        <v/>
      </c>
    </row>
    <row r="3095">
      <c r="A3095">
        <f>IF(AND(LEN('Providers'!A95)&gt;0,ISNUMBER('Providers'!W95)),1,0)</f>
        <v/>
      </c>
      <c r="B3095">
        <f>B3094+A3095</f>
        <v/>
      </c>
      <c r="C3095">
        <f>IF(3092&gt;$B$4503,"",MATCH(3092-0.5,$B$3:$B$4503,1))</f>
        <v/>
      </c>
      <c r="D3095">
        <f>"CAQH re-attestation – "&amp;IF(LEN(INDEX('Providers'!$A$4:$A$503,92))=0,"",INDEX('Providers'!$A$4:$A$503,92))</f>
        <v/>
      </c>
      <c r="E3095">
        <f>IF(ISNUMBER(INDEX('Providers'!$W$4:$W$503,92)),TEXT(INDEX('Providers'!$W$4:$W$503,92),"yyyy-mm-dd"),"")</f>
        <v/>
      </c>
      <c r="F3095">
        <f>"Credentialing"</f>
        <v/>
      </c>
      <c r="G3095">
        <f>IF(ISNUMBER(INDEX('Providers'!$U$4:$U$503,92)),TEXT(INDEX('Providers'!$U$4:$U$503,92),"yyyy-mm-dd"),"")</f>
        <v/>
      </c>
      <c r="H3095">
        <f>"High"</f>
        <v/>
      </c>
      <c r="I3095">
        <f>TRIM(IF(LEN(IF(LEN(INDEX('Providers'!$T$4:$T$503,92))=0,"",INDEX('Providers'!$T$4:$T$503,92)))=0,"","CAQH ID: "&amp;IF(LEN(INDEX('Providers'!$T$4:$T$503,92))=0,"",INDEX('Providers'!$T$4:$T$503,92))&amp;". ")&amp;IF(LEN(IF(ISNUMBER(INDEX('Providers'!$U$4:$U$503,92)),TEXT(INDEX('Providers'!$U$4:$U$503,92),"yyyy-mm-dd"),""))=0,"","Last attested: "&amp;IF(ISNUMBER(INDEX('Providers'!$U$4:$U$503,92)),TEXT(INDEX('Providers'!$U$4:$U$503,92),"yyyy-mm-dd"),"")&amp;". "))</f>
        <v/>
      </c>
      <c r="J3095">
        <f>IF(LEN(INDEX('Providers'!$AJ$4:$AJ$503,92))=0,"",INDEX('Providers'!$AJ$4:$AJ$503,92))</f>
        <v/>
      </c>
      <c r="K3095">
        <f>IF(LEN(INDEX('Providers'!$AI$4:$AI$503,92))=0,"",INDEX('Providers'!$AI$4:$AI$503,92))</f>
        <v/>
      </c>
    </row>
    <row r="3096">
      <c r="A3096">
        <f>IF(AND(LEN('Providers'!A96)&gt;0,ISNUMBER('Providers'!W96)),1,0)</f>
        <v/>
      </c>
      <c r="B3096">
        <f>B3095+A3096</f>
        <v/>
      </c>
      <c r="C3096">
        <f>IF(3093&gt;$B$4503,"",MATCH(3093-0.5,$B$3:$B$4503,1))</f>
        <v/>
      </c>
      <c r="D3096">
        <f>"CAQH re-attestation – "&amp;IF(LEN(INDEX('Providers'!$A$4:$A$503,93))=0,"",INDEX('Providers'!$A$4:$A$503,93))</f>
        <v/>
      </c>
      <c r="E3096">
        <f>IF(ISNUMBER(INDEX('Providers'!$W$4:$W$503,93)),TEXT(INDEX('Providers'!$W$4:$W$503,93),"yyyy-mm-dd"),"")</f>
        <v/>
      </c>
      <c r="F3096">
        <f>"Credentialing"</f>
        <v/>
      </c>
      <c r="G3096">
        <f>IF(ISNUMBER(INDEX('Providers'!$U$4:$U$503,93)),TEXT(INDEX('Providers'!$U$4:$U$503,93),"yyyy-mm-dd"),"")</f>
        <v/>
      </c>
      <c r="H3096">
        <f>"High"</f>
        <v/>
      </c>
      <c r="I3096">
        <f>TRIM(IF(LEN(IF(LEN(INDEX('Providers'!$T$4:$T$503,93))=0,"",INDEX('Providers'!$T$4:$T$503,93)))=0,"","CAQH ID: "&amp;IF(LEN(INDEX('Providers'!$T$4:$T$503,93))=0,"",INDEX('Providers'!$T$4:$T$503,93))&amp;". ")&amp;IF(LEN(IF(ISNUMBER(INDEX('Providers'!$U$4:$U$503,93)),TEXT(INDEX('Providers'!$U$4:$U$503,93),"yyyy-mm-dd"),""))=0,"","Last attested: "&amp;IF(ISNUMBER(INDEX('Providers'!$U$4:$U$503,93)),TEXT(INDEX('Providers'!$U$4:$U$503,93),"yyyy-mm-dd"),"")&amp;". "))</f>
        <v/>
      </c>
      <c r="J3096">
        <f>IF(LEN(INDEX('Providers'!$AJ$4:$AJ$503,93))=0,"",INDEX('Providers'!$AJ$4:$AJ$503,93))</f>
        <v/>
      </c>
      <c r="K3096">
        <f>IF(LEN(INDEX('Providers'!$AI$4:$AI$503,93))=0,"",INDEX('Providers'!$AI$4:$AI$503,93))</f>
        <v/>
      </c>
    </row>
    <row r="3097">
      <c r="A3097">
        <f>IF(AND(LEN('Providers'!A97)&gt;0,ISNUMBER('Providers'!W97)),1,0)</f>
        <v/>
      </c>
      <c r="B3097">
        <f>B3096+A3097</f>
        <v/>
      </c>
      <c r="C3097">
        <f>IF(3094&gt;$B$4503,"",MATCH(3094-0.5,$B$3:$B$4503,1))</f>
        <v/>
      </c>
      <c r="D3097">
        <f>"CAQH re-attestation – "&amp;IF(LEN(INDEX('Providers'!$A$4:$A$503,94))=0,"",INDEX('Providers'!$A$4:$A$503,94))</f>
        <v/>
      </c>
      <c r="E3097">
        <f>IF(ISNUMBER(INDEX('Providers'!$W$4:$W$503,94)),TEXT(INDEX('Providers'!$W$4:$W$503,94),"yyyy-mm-dd"),"")</f>
        <v/>
      </c>
      <c r="F3097">
        <f>"Credentialing"</f>
        <v/>
      </c>
      <c r="G3097">
        <f>IF(ISNUMBER(INDEX('Providers'!$U$4:$U$503,94)),TEXT(INDEX('Providers'!$U$4:$U$503,94),"yyyy-mm-dd"),"")</f>
        <v/>
      </c>
      <c r="H3097">
        <f>"High"</f>
        <v/>
      </c>
      <c r="I3097">
        <f>TRIM(IF(LEN(IF(LEN(INDEX('Providers'!$T$4:$T$503,94))=0,"",INDEX('Providers'!$T$4:$T$503,94)))=0,"","CAQH ID: "&amp;IF(LEN(INDEX('Providers'!$T$4:$T$503,94))=0,"",INDEX('Providers'!$T$4:$T$503,94))&amp;". ")&amp;IF(LEN(IF(ISNUMBER(INDEX('Providers'!$U$4:$U$503,94)),TEXT(INDEX('Providers'!$U$4:$U$503,94),"yyyy-mm-dd"),""))=0,"","Last attested: "&amp;IF(ISNUMBER(INDEX('Providers'!$U$4:$U$503,94)),TEXT(INDEX('Providers'!$U$4:$U$503,94),"yyyy-mm-dd"),"")&amp;". "))</f>
        <v/>
      </c>
      <c r="J3097">
        <f>IF(LEN(INDEX('Providers'!$AJ$4:$AJ$503,94))=0,"",INDEX('Providers'!$AJ$4:$AJ$503,94))</f>
        <v/>
      </c>
      <c r="K3097">
        <f>IF(LEN(INDEX('Providers'!$AI$4:$AI$503,94))=0,"",INDEX('Providers'!$AI$4:$AI$503,94))</f>
        <v/>
      </c>
    </row>
    <row r="3098">
      <c r="A3098">
        <f>IF(AND(LEN('Providers'!A98)&gt;0,ISNUMBER('Providers'!W98)),1,0)</f>
        <v/>
      </c>
      <c r="B3098">
        <f>B3097+A3098</f>
        <v/>
      </c>
      <c r="C3098">
        <f>IF(3095&gt;$B$4503,"",MATCH(3095-0.5,$B$3:$B$4503,1))</f>
        <v/>
      </c>
      <c r="D3098">
        <f>"CAQH re-attestation – "&amp;IF(LEN(INDEX('Providers'!$A$4:$A$503,95))=0,"",INDEX('Providers'!$A$4:$A$503,95))</f>
        <v/>
      </c>
      <c r="E3098">
        <f>IF(ISNUMBER(INDEX('Providers'!$W$4:$W$503,95)),TEXT(INDEX('Providers'!$W$4:$W$503,95),"yyyy-mm-dd"),"")</f>
        <v/>
      </c>
      <c r="F3098">
        <f>"Credentialing"</f>
        <v/>
      </c>
      <c r="G3098">
        <f>IF(ISNUMBER(INDEX('Providers'!$U$4:$U$503,95)),TEXT(INDEX('Providers'!$U$4:$U$503,95),"yyyy-mm-dd"),"")</f>
        <v/>
      </c>
      <c r="H3098">
        <f>"High"</f>
        <v/>
      </c>
      <c r="I3098">
        <f>TRIM(IF(LEN(IF(LEN(INDEX('Providers'!$T$4:$T$503,95))=0,"",INDEX('Providers'!$T$4:$T$503,95)))=0,"","CAQH ID: "&amp;IF(LEN(INDEX('Providers'!$T$4:$T$503,95))=0,"",INDEX('Providers'!$T$4:$T$503,95))&amp;". ")&amp;IF(LEN(IF(ISNUMBER(INDEX('Providers'!$U$4:$U$503,95)),TEXT(INDEX('Providers'!$U$4:$U$503,95),"yyyy-mm-dd"),""))=0,"","Last attested: "&amp;IF(ISNUMBER(INDEX('Providers'!$U$4:$U$503,95)),TEXT(INDEX('Providers'!$U$4:$U$503,95),"yyyy-mm-dd"),"")&amp;". "))</f>
        <v/>
      </c>
      <c r="J3098">
        <f>IF(LEN(INDEX('Providers'!$AJ$4:$AJ$503,95))=0,"",INDEX('Providers'!$AJ$4:$AJ$503,95))</f>
        <v/>
      </c>
      <c r="K3098">
        <f>IF(LEN(INDEX('Providers'!$AI$4:$AI$503,95))=0,"",INDEX('Providers'!$AI$4:$AI$503,95))</f>
        <v/>
      </c>
    </row>
    <row r="3099">
      <c r="A3099">
        <f>IF(AND(LEN('Providers'!A99)&gt;0,ISNUMBER('Providers'!W99)),1,0)</f>
        <v/>
      </c>
      <c r="B3099">
        <f>B3098+A3099</f>
        <v/>
      </c>
      <c r="C3099">
        <f>IF(3096&gt;$B$4503,"",MATCH(3096-0.5,$B$3:$B$4503,1))</f>
        <v/>
      </c>
      <c r="D3099">
        <f>"CAQH re-attestation – "&amp;IF(LEN(INDEX('Providers'!$A$4:$A$503,96))=0,"",INDEX('Providers'!$A$4:$A$503,96))</f>
        <v/>
      </c>
      <c r="E3099">
        <f>IF(ISNUMBER(INDEX('Providers'!$W$4:$W$503,96)),TEXT(INDEX('Providers'!$W$4:$W$503,96),"yyyy-mm-dd"),"")</f>
        <v/>
      </c>
      <c r="F3099">
        <f>"Credentialing"</f>
        <v/>
      </c>
      <c r="G3099">
        <f>IF(ISNUMBER(INDEX('Providers'!$U$4:$U$503,96)),TEXT(INDEX('Providers'!$U$4:$U$503,96),"yyyy-mm-dd"),"")</f>
        <v/>
      </c>
      <c r="H3099">
        <f>"High"</f>
        <v/>
      </c>
      <c r="I3099">
        <f>TRIM(IF(LEN(IF(LEN(INDEX('Providers'!$T$4:$T$503,96))=0,"",INDEX('Providers'!$T$4:$T$503,96)))=0,"","CAQH ID: "&amp;IF(LEN(INDEX('Providers'!$T$4:$T$503,96))=0,"",INDEX('Providers'!$T$4:$T$503,96))&amp;". ")&amp;IF(LEN(IF(ISNUMBER(INDEX('Providers'!$U$4:$U$503,96)),TEXT(INDEX('Providers'!$U$4:$U$503,96),"yyyy-mm-dd"),""))=0,"","Last attested: "&amp;IF(ISNUMBER(INDEX('Providers'!$U$4:$U$503,96)),TEXT(INDEX('Providers'!$U$4:$U$503,96),"yyyy-mm-dd"),"")&amp;". "))</f>
        <v/>
      </c>
      <c r="J3099">
        <f>IF(LEN(INDEX('Providers'!$AJ$4:$AJ$503,96))=0,"",INDEX('Providers'!$AJ$4:$AJ$503,96))</f>
        <v/>
      </c>
      <c r="K3099">
        <f>IF(LEN(INDEX('Providers'!$AI$4:$AI$503,96))=0,"",INDEX('Providers'!$AI$4:$AI$503,96))</f>
        <v/>
      </c>
    </row>
    <row r="3100">
      <c r="A3100">
        <f>IF(AND(LEN('Providers'!A100)&gt;0,ISNUMBER('Providers'!W100)),1,0)</f>
        <v/>
      </c>
      <c r="B3100">
        <f>B3099+A3100</f>
        <v/>
      </c>
      <c r="C3100">
        <f>IF(3097&gt;$B$4503,"",MATCH(3097-0.5,$B$3:$B$4503,1))</f>
        <v/>
      </c>
      <c r="D3100">
        <f>"CAQH re-attestation – "&amp;IF(LEN(INDEX('Providers'!$A$4:$A$503,97))=0,"",INDEX('Providers'!$A$4:$A$503,97))</f>
        <v/>
      </c>
      <c r="E3100">
        <f>IF(ISNUMBER(INDEX('Providers'!$W$4:$W$503,97)),TEXT(INDEX('Providers'!$W$4:$W$503,97),"yyyy-mm-dd"),"")</f>
        <v/>
      </c>
      <c r="F3100">
        <f>"Credentialing"</f>
        <v/>
      </c>
      <c r="G3100">
        <f>IF(ISNUMBER(INDEX('Providers'!$U$4:$U$503,97)),TEXT(INDEX('Providers'!$U$4:$U$503,97),"yyyy-mm-dd"),"")</f>
        <v/>
      </c>
      <c r="H3100">
        <f>"High"</f>
        <v/>
      </c>
      <c r="I3100">
        <f>TRIM(IF(LEN(IF(LEN(INDEX('Providers'!$T$4:$T$503,97))=0,"",INDEX('Providers'!$T$4:$T$503,97)))=0,"","CAQH ID: "&amp;IF(LEN(INDEX('Providers'!$T$4:$T$503,97))=0,"",INDEX('Providers'!$T$4:$T$503,97))&amp;". ")&amp;IF(LEN(IF(ISNUMBER(INDEX('Providers'!$U$4:$U$503,97)),TEXT(INDEX('Providers'!$U$4:$U$503,97),"yyyy-mm-dd"),""))=0,"","Last attested: "&amp;IF(ISNUMBER(INDEX('Providers'!$U$4:$U$503,97)),TEXT(INDEX('Providers'!$U$4:$U$503,97),"yyyy-mm-dd"),"")&amp;". "))</f>
        <v/>
      </c>
      <c r="J3100">
        <f>IF(LEN(INDEX('Providers'!$AJ$4:$AJ$503,97))=0,"",INDEX('Providers'!$AJ$4:$AJ$503,97))</f>
        <v/>
      </c>
      <c r="K3100">
        <f>IF(LEN(INDEX('Providers'!$AI$4:$AI$503,97))=0,"",INDEX('Providers'!$AI$4:$AI$503,97))</f>
        <v/>
      </c>
    </row>
    <row r="3101">
      <c r="A3101">
        <f>IF(AND(LEN('Providers'!A101)&gt;0,ISNUMBER('Providers'!W101)),1,0)</f>
        <v/>
      </c>
      <c r="B3101">
        <f>B3100+A3101</f>
        <v/>
      </c>
      <c r="C3101">
        <f>IF(3098&gt;$B$4503,"",MATCH(3098-0.5,$B$3:$B$4503,1))</f>
        <v/>
      </c>
      <c r="D3101">
        <f>"CAQH re-attestation – "&amp;IF(LEN(INDEX('Providers'!$A$4:$A$503,98))=0,"",INDEX('Providers'!$A$4:$A$503,98))</f>
        <v/>
      </c>
      <c r="E3101">
        <f>IF(ISNUMBER(INDEX('Providers'!$W$4:$W$503,98)),TEXT(INDEX('Providers'!$W$4:$W$503,98),"yyyy-mm-dd"),"")</f>
        <v/>
      </c>
      <c r="F3101">
        <f>"Credentialing"</f>
        <v/>
      </c>
      <c r="G3101">
        <f>IF(ISNUMBER(INDEX('Providers'!$U$4:$U$503,98)),TEXT(INDEX('Providers'!$U$4:$U$503,98),"yyyy-mm-dd"),"")</f>
        <v/>
      </c>
      <c r="H3101">
        <f>"High"</f>
        <v/>
      </c>
      <c r="I3101">
        <f>TRIM(IF(LEN(IF(LEN(INDEX('Providers'!$T$4:$T$503,98))=0,"",INDEX('Providers'!$T$4:$T$503,98)))=0,"","CAQH ID: "&amp;IF(LEN(INDEX('Providers'!$T$4:$T$503,98))=0,"",INDEX('Providers'!$T$4:$T$503,98))&amp;". ")&amp;IF(LEN(IF(ISNUMBER(INDEX('Providers'!$U$4:$U$503,98)),TEXT(INDEX('Providers'!$U$4:$U$503,98),"yyyy-mm-dd"),""))=0,"","Last attested: "&amp;IF(ISNUMBER(INDEX('Providers'!$U$4:$U$503,98)),TEXT(INDEX('Providers'!$U$4:$U$503,98),"yyyy-mm-dd"),"")&amp;". "))</f>
        <v/>
      </c>
      <c r="J3101">
        <f>IF(LEN(INDEX('Providers'!$AJ$4:$AJ$503,98))=0,"",INDEX('Providers'!$AJ$4:$AJ$503,98))</f>
        <v/>
      </c>
      <c r="K3101">
        <f>IF(LEN(INDEX('Providers'!$AI$4:$AI$503,98))=0,"",INDEX('Providers'!$AI$4:$AI$503,98))</f>
        <v/>
      </c>
    </row>
    <row r="3102">
      <c r="A3102">
        <f>IF(AND(LEN('Providers'!A102)&gt;0,ISNUMBER('Providers'!W102)),1,0)</f>
        <v/>
      </c>
      <c r="B3102">
        <f>B3101+A3102</f>
        <v/>
      </c>
      <c r="C3102">
        <f>IF(3099&gt;$B$4503,"",MATCH(3099-0.5,$B$3:$B$4503,1))</f>
        <v/>
      </c>
      <c r="D3102">
        <f>"CAQH re-attestation – "&amp;IF(LEN(INDEX('Providers'!$A$4:$A$503,99))=0,"",INDEX('Providers'!$A$4:$A$503,99))</f>
        <v/>
      </c>
      <c r="E3102">
        <f>IF(ISNUMBER(INDEX('Providers'!$W$4:$W$503,99)),TEXT(INDEX('Providers'!$W$4:$W$503,99),"yyyy-mm-dd"),"")</f>
        <v/>
      </c>
      <c r="F3102">
        <f>"Credentialing"</f>
        <v/>
      </c>
      <c r="G3102">
        <f>IF(ISNUMBER(INDEX('Providers'!$U$4:$U$503,99)),TEXT(INDEX('Providers'!$U$4:$U$503,99),"yyyy-mm-dd"),"")</f>
        <v/>
      </c>
      <c r="H3102">
        <f>"High"</f>
        <v/>
      </c>
      <c r="I3102">
        <f>TRIM(IF(LEN(IF(LEN(INDEX('Providers'!$T$4:$T$503,99))=0,"",INDEX('Providers'!$T$4:$T$503,99)))=0,"","CAQH ID: "&amp;IF(LEN(INDEX('Providers'!$T$4:$T$503,99))=0,"",INDEX('Providers'!$T$4:$T$503,99))&amp;". ")&amp;IF(LEN(IF(ISNUMBER(INDEX('Providers'!$U$4:$U$503,99)),TEXT(INDEX('Providers'!$U$4:$U$503,99),"yyyy-mm-dd"),""))=0,"","Last attested: "&amp;IF(ISNUMBER(INDEX('Providers'!$U$4:$U$503,99)),TEXT(INDEX('Providers'!$U$4:$U$503,99),"yyyy-mm-dd"),"")&amp;". "))</f>
        <v/>
      </c>
      <c r="J3102">
        <f>IF(LEN(INDEX('Providers'!$AJ$4:$AJ$503,99))=0,"",INDEX('Providers'!$AJ$4:$AJ$503,99))</f>
        <v/>
      </c>
      <c r="K3102">
        <f>IF(LEN(INDEX('Providers'!$AI$4:$AI$503,99))=0,"",INDEX('Providers'!$AI$4:$AI$503,99))</f>
        <v/>
      </c>
    </row>
    <row r="3103">
      <c r="A3103">
        <f>IF(AND(LEN('Providers'!A103)&gt;0,ISNUMBER('Providers'!W103)),1,0)</f>
        <v/>
      </c>
      <c r="B3103">
        <f>B3102+A3103</f>
        <v/>
      </c>
      <c r="C3103">
        <f>IF(3100&gt;$B$4503,"",MATCH(3100-0.5,$B$3:$B$4503,1))</f>
        <v/>
      </c>
      <c r="D3103">
        <f>"CAQH re-attestation – "&amp;IF(LEN(INDEX('Providers'!$A$4:$A$503,100))=0,"",INDEX('Providers'!$A$4:$A$503,100))</f>
        <v/>
      </c>
      <c r="E3103">
        <f>IF(ISNUMBER(INDEX('Providers'!$W$4:$W$503,100)),TEXT(INDEX('Providers'!$W$4:$W$503,100),"yyyy-mm-dd"),"")</f>
        <v/>
      </c>
      <c r="F3103">
        <f>"Credentialing"</f>
        <v/>
      </c>
      <c r="G3103">
        <f>IF(ISNUMBER(INDEX('Providers'!$U$4:$U$503,100)),TEXT(INDEX('Providers'!$U$4:$U$503,100),"yyyy-mm-dd"),"")</f>
        <v/>
      </c>
      <c r="H3103">
        <f>"High"</f>
        <v/>
      </c>
      <c r="I3103">
        <f>TRIM(IF(LEN(IF(LEN(INDEX('Providers'!$T$4:$T$503,100))=0,"",INDEX('Providers'!$T$4:$T$503,100)))=0,"","CAQH ID: "&amp;IF(LEN(INDEX('Providers'!$T$4:$T$503,100))=0,"",INDEX('Providers'!$T$4:$T$503,100))&amp;". ")&amp;IF(LEN(IF(ISNUMBER(INDEX('Providers'!$U$4:$U$503,100)),TEXT(INDEX('Providers'!$U$4:$U$503,100),"yyyy-mm-dd"),""))=0,"","Last attested: "&amp;IF(ISNUMBER(INDEX('Providers'!$U$4:$U$503,100)),TEXT(INDEX('Providers'!$U$4:$U$503,100),"yyyy-mm-dd"),"")&amp;". "))</f>
        <v/>
      </c>
      <c r="J3103">
        <f>IF(LEN(INDEX('Providers'!$AJ$4:$AJ$503,100))=0,"",INDEX('Providers'!$AJ$4:$AJ$503,100))</f>
        <v/>
      </c>
      <c r="K3103">
        <f>IF(LEN(INDEX('Providers'!$AI$4:$AI$503,100))=0,"",INDEX('Providers'!$AI$4:$AI$503,100))</f>
        <v/>
      </c>
    </row>
    <row r="3104">
      <c r="A3104">
        <f>IF(AND(LEN('Providers'!A104)&gt;0,ISNUMBER('Providers'!W104)),1,0)</f>
        <v/>
      </c>
      <c r="B3104">
        <f>B3103+A3104</f>
        <v/>
      </c>
      <c r="C3104">
        <f>IF(3101&gt;$B$4503,"",MATCH(3101-0.5,$B$3:$B$4503,1))</f>
        <v/>
      </c>
      <c r="D3104">
        <f>"CAQH re-attestation – "&amp;IF(LEN(INDEX('Providers'!$A$4:$A$503,101))=0,"",INDEX('Providers'!$A$4:$A$503,101))</f>
        <v/>
      </c>
      <c r="E3104">
        <f>IF(ISNUMBER(INDEX('Providers'!$W$4:$W$503,101)),TEXT(INDEX('Providers'!$W$4:$W$503,101),"yyyy-mm-dd"),"")</f>
        <v/>
      </c>
      <c r="F3104">
        <f>"Credentialing"</f>
        <v/>
      </c>
      <c r="G3104">
        <f>IF(ISNUMBER(INDEX('Providers'!$U$4:$U$503,101)),TEXT(INDEX('Providers'!$U$4:$U$503,101),"yyyy-mm-dd"),"")</f>
        <v/>
      </c>
      <c r="H3104">
        <f>"High"</f>
        <v/>
      </c>
      <c r="I3104">
        <f>TRIM(IF(LEN(IF(LEN(INDEX('Providers'!$T$4:$T$503,101))=0,"",INDEX('Providers'!$T$4:$T$503,101)))=0,"","CAQH ID: "&amp;IF(LEN(INDEX('Providers'!$T$4:$T$503,101))=0,"",INDEX('Providers'!$T$4:$T$503,101))&amp;". ")&amp;IF(LEN(IF(ISNUMBER(INDEX('Providers'!$U$4:$U$503,101)),TEXT(INDEX('Providers'!$U$4:$U$503,101),"yyyy-mm-dd"),""))=0,"","Last attested: "&amp;IF(ISNUMBER(INDEX('Providers'!$U$4:$U$503,101)),TEXT(INDEX('Providers'!$U$4:$U$503,101),"yyyy-mm-dd"),"")&amp;". "))</f>
        <v/>
      </c>
      <c r="J3104">
        <f>IF(LEN(INDEX('Providers'!$AJ$4:$AJ$503,101))=0,"",INDEX('Providers'!$AJ$4:$AJ$503,101))</f>
        <v/>
      </c>
      <c r="K3104">
        <f>IF(LEN(INDEX('Providers'!$AI$4:$AI$503,101))=0,"",INDEX('Providers'!$AI$4:$AI$503,101))</f>
        <v/>
      </c>
    </row>
    <row r="3105">
      <c r="A3105">
        <f>IF(AND(LEN('Providers'!A105)&gt;0,ISNUMBER('Providers'!W105)),1,0)</f>
        <v/>
      </c>
      <c r="B3105">
        <f>B3104+A3105</f>
        <v/>
      </c>
      <c r="C3105">
        <f>IF(3102&gt;$B$4503,"",MATCH(3102-0.5,$B$3:$B$4503,1))</f>
        <v/>
      </c>
      <c r="D3105">
        <f>"CAQH re-attestation – "&amp;IF(LEN(INDEX('Providers'!$A$4:$A$503,102))=0,"",INDEX('Providers'!$A$4:$A$503,102))</f>
        <v/>
      </c>
      <c r="E3105">
        <f>IF(ISNUMBER(INDEX('Providers'!$W$4:$W$503,102)),TEXT(INDEX('Providers'!$W$4:$W$503,102),"yyyy-mm-dd"),"")</f>
        <v/>
      </c>
      <c r="F3105">
        <f>"Credentialing"</f>
        <v/>
      </c>
      <c r="G3105">
        <f>IF(ISNUMBER(INDEX('Providers'!$U$4:$U$503,102)),TEXT(INDEX('Providers'!$U$4:$U$503,102),"yyyy-mm-dd"),"")</f>
        <v/>
      </c>
      <c r="H3105">
        <f>"High"</f>
        <v/>
      </c>
      <c r="I3105">
        <f>TRIM(IF(LEN(IF(LEN(INDEX('Providers'!$T$4:$T$503,102))=0,"",INDEX('Providers'!$T$4:$T$503,102)))=0,"","CAQH ID: "&amp;IF(LEN(INDEX('Providers'!$T$4:$T$503,102))=0,"",INDEX('Providers'!$T$4:$T$503,102))&amp;". ")&amp;IF(LEN(IF(ISNUMBER(INDEX('Providers'!$U$4:$U$503,102)),TEXT(INDEX('Providers'!$U$4:$U$503,102),"yyyy-mm-dd"),""))=0,"","Last attested: "&amp;IF(ISNUMBER(INDEX('Providers'!$U$4:$U$503,102)),TEXT(INDEX('Providers'!$U$4:$U$503,102),"yyyy-mm-dd"),"")&amp;". "))</f>
        <v/>
      </c>
      <c r="J3105">
        <f>IF(LEN(INDEX('Providers'!$AJ$4:$AJ$503,102))=0,"",INDEX('Providers'!$AJ$4:$AJ$503,102))</f>
        <v/>
      </c>
      <c r="K3105">
        <f>IF(LEN(INDEX('Providers'!$AI$4:$AI$503,102))=0,"",INDEX('Providers'!$AI$4:$AI$503,102))</f>
        <v/>
      </c>
    </row>
    <row r="3106">
      <c r="A3106">
        <f>IF(AND(LEN('Providers'!A106)&gt;0,ISNUMBER('Providers'!W106)),1,0)</f>
        <v/>
      </c>
      <c r="B3106">
        <f>B3105+A3106</f>
        <v/>
      </c>
      <c r="C3106">
        <f>IF(3103&gt;$B$4503,"",MATCH(3103-0.5,$B$3:$B$4503,1))</f>
        <v/>
      </c>
      <c r="D3106">
        <f>"CAQH re-attestation – "&amp;IF(LEN(INDEX('Providers'!$A$4:$A$503,103))=0,"",INDEX('Providers'!$A$4:$A$503,103))</f>
        <v/>
      </c>
      <c r="E3106">
        <f>IF(ISNUMBER(INDEX('Providers'!$W$4:$W$503,103)),TEXT(INDEX('Providers'!$W$4:$W$503,103),"yyyy-mm-dd"),"")</f>
        <v/>
      </c>
      <c r="F3106">
        <f>"Credentialing"</f>
        <v/>
      </c>
      <c r="G3106">
        <f>IF(ISNUMBER(INDEX('Providers'!$U$4:$U$503,103)),TEXT(INDEX('Providers'!$U$4:$U$503,103),"yyyy-mm-dd"),"")</f>
        <v/>
      </c>
      <c r="H3106">
        <f>"High"</f>
        <v/>
      </c>
      <c r="I3106">
        <f>TRIM(IF(LEN(IF(LEN(INDEX('Providers'!$T$4:$T$503,103))=0,"",INDEX('Providers'!$T$4:$T$503,103)))=0,"","CAQH ID: "&amp;IF(LEN(INDEX('Providers'!$T$4:$T$503,103))=0,"",INDEX('Providers'!$T$4:$T$503,103))&amp;". ")&amp;IF(LEN(IF(ISNUMBER(INDEX('Providers'!$U$4:$U$503,103)),TEXT(INDEX('Providers'!$U$4:$U$503,103),"yyyy-mm-dd"),""))=0,"","Last attested: "&amp;IF(ISNUMBER(INDEX('Providers'!$U$4:$U$503,103)),TEXT(INDEX('Providers'!$U$4:$U$503,103),"yyyy-mm-dd"),"")&amp;". "))</f>
        <v/>
      </c>
      <c r="J3106">
        <f>IF(LEN(INDEX('Providers'!$AJ$4:$AJ$503,103))=0,"",INDEX('Providers'!$AJ$4:$AJ$503,103))</f>
        <v/>
      </c>
      <c r="K3106">
        <f>IF(LEN(INDEX('Providers'!$AI$4:$AI$503,103))=0,"",INDEX('Providers'!$AI$4:$AI$503,103))</f>
        <v/>
      </c>
    </row>
    <row r="3107">
      <c r="A3107">
        <f>IF(AND(LEN('Providers'!A107)&gt;0,ISNUMBER('Providers'!W107)),1,0)</f>
        <v/>
      </c>
      <c r="B3107">
        <f>B3106+A3107</f>
        <v/>
      </c>
      <c r="C3107">
        <f>IF(3104&gt;$B$4503,"",MATCH(3104-0.5,$B$3:$B$4503,1))</f>
        <v/>
      </c>
      <c r="D3107">
        <f>"CAQH re-attestation – "&amp;IF(LEN(INDEX('Providers'!$A$4:$A$503,104))=0,"",INDEX('Providers'!$A$4:$A$503,104))</f>
        <v/>
      </c>
      <c r="E3107">
        <f>IF(ISNUMBER(INDEX('Providers'!$W$4:$W$503,104)),TEXT(INDEX('Providers'!$W$4:$W$503,104),"yyyy-mm-dd"),"")</f>
        <v/>
      </c>
      <c r="F3107">
        <f>"Credentialing"</f>
        <v/>
      </c>
      <c r="G3107">
        <f>IF(ISNUMBER(INDEX('Providers'!$U$4:$U$503,104)),TEXT(INDEX('Providers'!$U$4:$U$503,104),"yyyy-mm-dd"),"")</f>
        <v/>
      </c>
      <c r="H3107">
        <f>"High"</f>
        <v/>
      </c>
      <c r="I3107">
        <f>TRIM(IF(LEN(IF(LEN(INDEX('Providers'!$T$4:$T$503,104))=0,"",INDEX('Providers'!$T$4:$T$503,104)))=0,"","CAQH ID: "&amp;IF(LEN(INDEX('Providers'!$T$4:$T$503,104))=0,"",INDEX('Providers'!$T$4:$T$503,104))&amp;". ")&amp;IF(LEN(IF(ISNUMBER(INDEX('Providers'!$U$4:$U$503,104)),TEXT(INDEX('Providers'!$U$4:$U$503,104),"yyyy-mm-dd"),""))=0,"","Last attested: "&amp;IF(ISNUMBER(INDEX('Providers'!$U$4:$U$503,104)),TEXT(INDEX('Providers'!$U$4:$U$503,104),"yyyy-mm-dd"),"")&amp;". "))</f>
        <v/>
      </c>
      <c r="J3107">
        <f>IF(LEN(INDEX('Providers'!$AJ$4:$AJ$503,104))=0,"",INDEX('Providers'!$AJ$4:$AJ$503,104))</f>
        <v/>
      </c>
      <c r="K3107">
        <f>IF(LEN(INDEX('Providers'!$AI$4:$AI$503,104))=0,"",INDEX('Providers'!$AI$4:$AI$503,104))</f>
        <v/>
      </c>
    </row>
    <row r="3108">
      <c r="A3108">
        <f>IF(AND(LEN('Providers'!A108)&gt;0,ISNUMBER('Providers'!W108)),1,0)</f>
        <v/>
      </c>
      <c r="B3108">
        <f>B3107+A3108</f>
        <v/>
      </c>
      <c r="C3108">
        <f>IF(3105&gt;$B$4503,"",MATCH(3105-0.5,$B$3:$B$4503,1))</f>
        <v/>
      </c>
      <c r="D3108">
        <f>"CAQH re-attestation – "&amp;IF(LEN(INDEX('Providers'!$A$4:$A$503,105))=0,"",INDEX('Providers'!$A$4:$A$503,105))</f>
        <v/>
      </c>
      <c r="E3108">
        <f>IF(ISNUMBER(INDEX('Providers'!$W$4:$W$503,105)),TEXT(INDEX('Providers'!$W$4:$W$503,105),"yyyy-mm-dd"),"")</f>
        <v/>
      </c>
      <c r="F3108">
        <f>"Credentialing"</f>
        <v/>
      </c>
      <c r="G3108">
        <f>IF(ISNUMBER(INDEX('Providers'!$U$4:$U$503,105)),TEXT(INDEX('Providers'!$U$4:$U$503,105),"yyyy-mm-dd"),"")</f>
        <v/>
      </c>
      <c r="H3108">
        <f>"High"</f>
        <v/>
      </c>
      <c r="I3108">
        <f>TRIM(IF(LEN(IF(LEN(INDEX('Providers'!$T$4:$T$503,105))=0,"",INDEX('Providers'!$T$4:$T$503,105)))=0,"","CAQH ID: "&amp;IF(LEN(INDEX('Providers'!$T$4:$T$503,105))=0,"",INDEX('Providers'!$T$4:$T$503,105))&amp;". ")&amp;IF(LEN(IF(ISNUMBER(INDEX('Providers'!$U$4:$U$503,105)),TEXT(INDEX('Providers'!$U$4:$U$503,105),"yyyy-mm-dd"),""))=0,"","Last attested: "&amp;IF(ISNUMBER(INDEX('Providers'!$U$4:$U$503,105)),TEXT(INDEX('Providers'!$U$4:$U$503,105),"yyyy-mm-dd"),"")&amp;". "))</f>
        <v/>
      </c>
      <c r="J3108">
        <f>IF(LEN(INDEX('Providers'!$AJ$4:$AJ$503,105))=0,"",INDEX('Providers'!$AJ$4:$AJ$503,105))</f>
        <v/>
      </c>
      <c r="K3108">
        <f>IF(LEN(INDEX('Providers'!$AI$4:$AI$503,105))=0,"",INDEX('Providers'!$AI$4:$AI$503,105))</f>
        <v/>
      </c>
    </row>
    <row r="3109">
      <c r="A3109">
        <f>IF(AND(LEN('Providers'!A109)&gt;0,ISNUMBER('Providers'!W109)),1,0)</f>
        <v/>
      </c>
      <c r="B3109">
        <f>B3108+A3109</f>
        <v/>
      </c>
      <c r="C3109">
        <f>IF(3106&gt;$B$4503,"",MATCH(3106-0.5,$B$3:$B$4503,1))</f>
        <v/>
      </c>
      <c r="D3109">
        <f>"CAQH re-attestation – "&amp;IF(LEN(INDEX('Providers'!$A$4:$A$503,106))=0,"",INDEX('Providers'!$A$4:$A$503,106))</f>
        <v/>
      </c>
      <c r="E3109">
        <f>IF(ISNUMBER(INDEX('Providers'!$W$4:$W$503,106)),TEXT(INDEX('Providers'!$W$4:$W$503,106),"yyyy-mm-dd"),"")</f>
        <v/>
      </c>
      <c r="F3109">
        <f>"Credentialing"</f>
        <v/>
      </c>
      <c r="G3109">
        <f>IF(ISNUMBER(INDEX('Providers'!$U$4:$U$503,106)),TEXT(INDEX('Providers'!$U$4:$U$503,106),"yyyy-mm-dd"),"")</f>
        <v/>
      </c>
      <c r="H3109">
        <f>"High"</f>
        <v/>
      </c>
      <c r="I3109">
        <f>TRIM(IF(LEN(IF(LEN(INDEX('Providers'!$T$4:$T$503,106))=0,"",INDEX('Providers'!$T$4:$T$503,106)))=0,"","CAQH ID: "&amp;IF(LEN(INDEX('Providers'!$T$4:$T$503,106))=0,"",INDEX('Providers'!$T$4:$T$503,106))&amp;". ")&amp;IF(LEN(IF(ISNUMBER(INDEX('Providers'!$U$4:$U$503,106)),TEXT(INDEX('Providers'!$U$4:$U$503,106),"yyyy-mm-dd"),""))=0,"","Last attested: "&amp;IF(ISNUMBER(INDEX('Providers'!$U$4:$U$503,106)),TEXT(INDEX('Providers'!$U$4:$U$503,106),"yyyy-mm-dd"),"")&amp;". "))</f>
        <v/>
      </c>
      <c r="J3109">
        <f>IF(LEN(INDEX('Providers'!$AJ$4:$AJ$503,106))=0,"",INDEX('Providers'!$AJ$4:$AJ$503,106))</f>
        <v/>
      </c>
      <c r="K3109">
        <f>IF(LEN(INDEX('Providers'!$AI$4:$AI$503,106))=0,"",INDEX('Providers'!$AI$4:$AI$503,106))</f>
        <v/>
      </c>
    </row>
    <row r="3110">
      <c r="A3110">
        <f>IF(AND(LEN('Providers'!A110)&gt;0,ISNUMBER('Providers'!W110)),1,0)</f>
        <v/>
      </c>
      <c r="B3110">
        <f>B3109+A3110</f>
        <v/>
      </c>
      <c r="C3110">
        <f>IF(3107&gt;$B$4503,"",MATCH(3107-0.5,$B$3:$B$4503,1))</f>
        <v/>
      </c>
      <c r="D3110">
        <f>"CAQH re-attestation – "&amp;IF(LEN(INDEX('Providers'!$A$4:$A$503,107))=0,"",INDEX('Providers'!$A$4:$A$503,107))</f>
        <v/>
      </c>
      <c r="E3110">
        <f>IF(ISNUMBER(INDEX('Providers'!$W$4:$W$503,107)),TEXT(INDEX('Providers'!$W$4:$W$503,107),"yyyy-mm-dd"),"")</f>
        <v/>
      </c>
      <c r="F3110">
        <f>"Credentialing"</f>
        <v/>
      </c>
      <c r="G3110">
        <f>IF(ISNUMBER(INDEX('Providers'!$U$4:$U$503,107)),TEXT(INDEX('Providers'!$U$4:$U$503,107),"yyyy-mm-dd"),"")</f>
        <v/>
      </c>
      <c r="H3110">
        <f>"High"</f>
        <v/>
      </c>
      <c r="I3110">
        <f>TRIM(IF(LEN(IF(LEN(INDEX('Providers'!$T$4:$T$503,107))=0,"",INDEX('Providers'!$T$4:$T$503,107)))=0,"","CAQH ID: "&amp;IF(LEN(INDEX('Providers'!$T$4:$T$503,107))=0,"",INDEX('Providers'!$T$4:$T$503,107))&amp;". ")&amp;IF(LEN(IF(ISNUMBER(INDEX('Providers'!$U$4:$U$503,107)),TEXT(INDEX('Providers'!$U$4:$U$503,107),"yyyy-mm-dd"),""))=0,"","Last attested: "&amp;IF(ISNUMBER(INDEX('Providers'!$U$4:$U$503,107)),TEXT(INDEX('Providers'!$U$4:$U$503,107),"yyyy-mm-dd"),"")&amp;". "))</f>
        <v/>
      </c>
      <c r="J3110">
        <f>IF(LEN(INDEX('Providers'!$AJ$4:$AJ$503,107))=0,"",INDEX('Providers'!$AJ$4:$AJ$503,107))</f>
        <v/>
      </c>
      <c r="K3110">
        <f>IF(LEN(INDEX('Providers'!$AI$4:$AI$503,107))=0,"",INDEX('Providers'!$AI$4:$AI$503,107))</f>
        <v/>
      </c>
    </row>
    <row r="3111">
      <c r="A3111">
        <f>IF(AND(LEN('Providers'!A111)&gt;0,ISNUMBER('Providers'!W111)),1,0)</f>
        <v/>
      </c>
      <c r="B3111">
        <f>B3110+A3111</f>
        <v/>
      </c>
      <c r="C3111">
        <f>IF(3108&gt;$B$4503,"",MATCH(3108-0.5,$B$3:$B$4503,1))</f>
        <v/>
      </c>
      <c r="D3111">
        <f>"CAQH re-attestation – "&amp;IF(LEN(INDEX('Providers'!$A$4:$A$503,108))=0,"",INDEX('Providers'!$A$4:$A$503,108))</f>
        <v/>
      </c>
      <c r="E3111">
        <f>IF(ISNUMBER(INDEX('Providers'!$W$4:$W$503,108)),TEXT(INDEX('Providers'!$W$4:$W$503,108),"yyyy-mm-dd"),"")</f>
        <v/>
      </c>
      <c r="F3111">
        <f>"Credentialing"</f>
        <v/>
      </c>
      <c r="G3111">
        <f>IF(ISNUMBER(INDEX('Providers'!$U$4:$U$503,108)),TEXT(INDEX('Providers'!$U$4:$U$503,108),"yyyy-mm-dd"),"")</f>
        <v/>
      </c>
      <c r="H3111">
        <f>"High"</f>
        <v/>
      </c>
      <c r="I3111">
        <f>TRIM(IF(LEN(IF(LEN(INDEX('Providers'!$T$4:$T$503,108))=0,"",INDEX('Providers'!$T$4:$T$503,108)))=0,"","CAQH ID: "&amp;IF(LEN(INDEX('Providers'!$T$4:$T$503,108))=0,"",INDEX('Providers'!$T$4:$T$503,108))&amp;". ")&amp;IF(LEN(IF(ISNUMBER(INDEX('Providers'!$U$4:$U$503,108)),TEXT(INDEX('Providers'!$U$4:$U$503,108),"yyyy-mm-dd"),""))=0,"","Last attested: "&amp;IF(ISNUMBER(INDEX('Providers'!$U$4:$U$503,108)),TEXT(INDEX('Providers'!$U$4:$U$503,108),"yyyy-mm-dd"),"")&amp;". "))</f>
        <v/>
      </c>
      <c r="J3111">
        <f>IF(LEN(INDEX('Providers'!$AJ$4:$AJ$503,108))=0,"",INDEX('Providers'!$AJ$4:$AJ$503,108))</f>
        <v/>
      </c>
      <c r="K3111">
        <f>IF(LEN(INDEX('Providers'!$AI$4:$AI$503,108))=0,"",INDEX('Providers'!$AI$4:$AI$503,108))</f>
        <v/>
      </c>
    </row>
    <row r="3112">
      <c r="A3112">
        <f>IF(AND(LEN('Providers'!A112)&gt;0,ISNUMBER('Providers'!W112)),1,0)</f>
        <v/>
      </c>
      <c r="B3112">
        <f>B3111+A3112</f>
        <v/>
      </c>
      <c r="C3112">
        <f>IF(3109&gt;$B$4503,"",MATCH(3109-0.5,$B$3:$B$4503,1))</f>
        <v/>
      </c>
      <c r="D3112">
        <f>"CAQH re-attestation – "&amp;IF(LEN(INDEX('Providers'!$A$4:$A$503,109))=0,"",INDEX('Providers'!$A$4:$A$503,109))</f>
        <v/>
      </c>
      <c r="E3112">
        <f>IF(ISNUMBER(INDEX('Providers'!$W$4:$W$503,109)),TEXT(INDEX('Providers'!$W$4:$W$503,109),"yyyy-mm-dd"),"")</f>
        <v/>
      </c>
      <c r="F3112">
        <f>"Credentialing"</f>
        <v/>
      </c>
      <c r="G3112">
        <f>IF(ISNUMBER(INDEX('Providers'!$U$4:$U$503,109)),TEXT(INDEX('Providers'!$U$4:$U$503,109),"yyyy-mm-dd"),"")</f>
        <v/>
      </c>
      <c r="H3112">
        <f>"High"</f>
        <v/>
      </c>
      <c r="I3112">
        <f>TRIM(IF(LEN(IF(LEN(INDEX('Providers'!$T$4:$T$503,109))=0,"",INDEX('Providers'!$T$4:$T$503,109)))=0,"","CAQH ID: "&amp;IF(LEN(INDEX('Providers'!$T$4:$T$503,109))=0,"",INDEX('Providers'!$T$4:$T$503,109))&amp;". ")&amp;IF(LEN(IF(ISNUMBER(INDEX('Providers'!$U$4:$U$503,109)),TEXT(INDEX('Providers'!$U$4:$U$503,109),"yyyy-mm-dd"),""))=0,"","Last attested: "&amp;IF(ISNUMBER(INDEX('Providers'!$U$4:$U$503,109)),TEXT(INDEX('Providers'!$U$4:$U$503,109),"yyyy-mm-dd"),"")&amp;". "))</f>
        <v/>
      </c>
      <c r="J3112">
        <f>IF(LEN(INDEX('Providers'!$AJ$4:$AJ$503,109))=0,"",INDEX('Providers'!$AJ$4:$AJ$503,109))</f>
        <v/>
      </c>
      <c r="K3112">
        <f>IF(LEN(INDEX('Providers'!$AI$4:$AI$503,109))=0,"",INDEX('Providers'!$AI$4:$AI$503,109))</f>
        <v/>
      </c>
    </row>
    <row r="3113">
      <c r="A3113">
        <f>IF(AND(LEN('Providers'!A113)&gt;0,ISNUMBER('Providers'!W113)),1,0)</f>
        <v/>
      </c>
      <c r="B3113">
        <f>B3112+A3113</f>
        <v/>
      </c>
      <c r="C3113">
        <f>IF(3110&gt;$B$4503,"",MATCH(3110-0.5,$B$3:$B$4503,1))</f>
        <v/>
      </c>
      <c r="D3113">
        <f>"CAQH re-attestation – "&amp;IF(LEN(INDEX('Providers'!$A$4:$A$503,110))=0,"",INDEX('Providers'!$A$4:$A$503,110))</f>
        <v/>
      </c>
      <c r="E3113">
        <f>IF(ISNUMBER(INDEX('Providers'!$W$4:$W$503,110)),TEXT(INDEX('Providers'!$W$4:$W$503,110),"yyyy-mm-dd"),"")</f>
        <v/>
      </c>
      <c r="F3113">
        <f>"Credentialing"</f>
        <v/>
      </c>
      <c r="G3113">
        <f>IF(ISNUMBER(INDEX('Providers'!$U$4:$U$503,110)),TEXT(INDEX('Providers'!$U$4:$U$503,110),"yyyy-mm-dd"),"")</f>
        <v/>
      </c>
      <c r="H3113">
        <f>"High"</f>
        <v/>
      </c>
      <c r="I3113">
        <f>TRIM(IF(LEN(IF(LEN(INDEX('Providers'!$T$4:$T$503,110))=0,"",INDEX('Providers'!$T$4:$T$503,110)))=0,"","CAQH ID: "&amp;IF(LEN(INDEX('Providers'!$T$4:$T$503,110))=0,"",INDEX('Providers'!$T$4:$T$503,110))&amp;". ")&amp;IF(LEN(IF(ISNUMBER(INDEX('Providers'!$U$4:$U$503,110)),TEXT(INDEX('Providers'!$U$4:$U$503,110),"yyyy-mm-dd"),""))=0,"","Last attested: "&amp;IF(ISNUMBER(INDEX('Providers'!$U$4:$U$503,110)),TEXT(INDEX('Providers'!$U$4:$U$503,110),"yyyy-mm-dd"),"")&amp;". "))</f>
        <v/>
      </c>
      <c r="J3113">
        <f>IF(LEN(INDEX('Providers'!$AJ$4:$AJ$503,110))=0,"",INDEX('Providers'!$AJ$4:$AJ$503,110))</f>
        <v/>
      </c>
      <c r="K3113">
        <f>IF(LEN(INDEX('Providers'!$AI$4:$AI$503,110))=0,"",INDEX('Providers'!$AI$4:$AI$503,110))</f>
        <v/>
      </c>
    </row>
    <row r="3114">
      <c r="A3114">
        <f>IF(AND(LEN('Providers'!A114)&gt;0,ISNUMBER('Providers'!W114)),1,0)</f>
        <v/>
      </c>
      <c r="B3114">
        <f>B3113+A3114</f>
        <v/>
      </c>
      <c r="C3114">
        <f>IF(3111&gt;$B$4503,"",MATCH(3111-0.5,$B$3:$B$4503,1))</f>
        <v/>
      </c>
      <c r="D3114">
        <f>"CAQH re-attestation – "&amp;IF(LEN(INDEX('Providers'!$A$4:$A$503,111))=0,"",INDEX('Providers'!$A$4:$A$503,111))</f>
        <v/>
      </c>
      <c r="E3114">
        <f>IF(ISNUMBER(INDEX('Providers'!$W$4:$W$503,111)),TEXT(INDEX('Providers'!$W$4:$W$503,111),"yyyy-mm-dd"),"")</f>
        <v/>
      </c>
      <c r="F3114">
        <f>"Credentialing"</f>
        <v/>
      </c>
      <c r="G3114">
        <f>IF(ISNUMBER(INDEX('Providers'!$U$4:$U$503,111)),TEXT(INDEX('Providers'!$U$4:$U$503,111),"yyyy-mm-dd"),"")</f>
        <v/>
      </c>
      <c r="H3114">
        <f>"High"</f>
        <v/>
      </c>
      <c r="I3114">
        <f>TRIM(IF(LEN(IF(LEN(INDEX('Providers'!$T$4:$T$503,111))=0,"",INDEX('Providers'!$T$4:$T$503,111)))=0,"","CAQH ID: "&amp;IF(LEN(INDEX('Providers'!$T$4:$T$503,111))=0,"",INDEX('Providers'!$T$4:$T$503,111))&amp;". ")&amp;IF(LEN(IF(ISNUMBER(INDEX('Providers'!$U$4:$U$503,111)),TEXT(INDEX('Providers'!$U$4:$U$503,111),"yyyy-mm-dd"),""))=0,"","Last attested: "&amp;IF(ISNUMBER(INDEX('Providers'!$U$4:$U$503,111)),TEXT(INDEX('Providers'!$U$4:$U$503,111),"yyyy-mm-dd"),"")&amp;". "))</f>
        <v/>
      </c>
      <c r="J3114">
        <f>IF(LEN(INDEX('Providers'!$AJ$4:$AJ$503,111))=0,"",INDEX('Providers'!$AJ$4:$AJ$503,111))</f>
        <v/>
      </c>
      <c r="K3114">
        <f>IF(LEN(INDEX('Providers'!$AI$4:$AI$503,111))=0,"",INDEX('Providers'!$AI$4:$AI$503,111))</f>
        <v/>
      </c>
    </row>
    <row r="3115">
      <c r="A3115">
        <f>IF(AND(LEN('Providers'!A115)&gt;0,ISNUMBER('Providers'!W115)),1,0)</f>
        <v/>
      </c>
      <c r="B3115">
        <f>B3114+A3115</f>
        <v/>
      </c>
      <c r="C3115">
        <f>IF(3112&gt;$B$4503,"",MATCH(3112-0.5,$B$3:$B$4503,1))</f>
        <v/>
      </c>
      <c r="D3115">
        <f>"CAQH re-attestation – "&amp;IF(LEN(INDEX('Providers'!$A$4:$A$503,112))=0,"",INDEX('Providers'!$A$4:$A$503,112))</f>
        <v/>
      </c>
      <c r="E3115">
        <f>IF(ISNUMBER(INDEX('Providers'!$W$4:$W$503,112)),TEXT(INDEX('Providers'!$W$4:$W$503,112),"yyyy-mm-dd"),"")</f>
        <v/>
      </c>
      <c r="F3115">
        <f>"Credentialing"</f>
        <v/>
      </c>
      <c r="G3115">
        <f>IF(ISNUMBER(INDEX('Providers'!$U$4:$U$503,112)),TEXT(INDEX('Providers'!$U$4:$U$503,112),"yyyy-mm-dd"),"")</f>
        <v/>
      </c>
      <c r="H3115">
        <f>"High"</f>
        <v/>
      </c>
      <c r="I3115">
        <f>TRIM(IF(LEN(IF(LEN(INDEX('Providers'!$T$4:$T$503,112))=0,"",INDEX('Providers'!$T$4:$T$503,112)))=0,"","CAQH ID: "&amp;IF(LEN(INDEX('Providers'!$T$4:$T$503,112))=0,"",INDEX('Providers'!$T$4:$T$503,112))&amp;". ")&amp;IF(LEN(IF(ISNUMBER(INDEX('Providers'!$U$4:$U$503,112)),TEXT(INDEX('Providers'!$U$4:$U$503,112),"yyyy-mm-dd"),""))=0,"","Last attested: "&amp;IF(ISNUMBER(INDEX('Providers'!$U$4:$U$503,112)),TEXT(INDEX('Providers'!$U$4:$U$503,112),"yyyy-mm-dd"),"")&amp;". "))</f>
        <v/>
      </c>
      <c r="J3115">
        <f>IF(LEN(INDEX('Providers'!$AJ$4:$AJ$503,112))=0,"",INDEX('Providers'!$AJ$4:$AJ$503,112))</f>
        <v/>
      </c>
      <c r="K3115">
        <f>IF(LEN(INDEX('Providers'!$AI$4:$AI$503,112))=0,"",INDEX('Providers'!$AI$4:$AI$503,112))</f>
        <v/>
      </c>
    </row>
    <row r="3116">
      <c r="A3116">
        <f>IF(AND(LEN('Providers'!A116)&gt;0,ISNUMBER('Providers'!W116)),1,0)</f>
        <v/>
      </c>
      <c r="B3116">
        <f>B3115+A3116</f>
        <v/>
      </c>
      <c r="C3116">
        <f>IF(3113&gt;$B$4503,"",MATCH(3113-0.5,$B$3:$B$4503,1))</f>
        <v/>
      </c>
      <c r="D3116">
        <f>"CAQH re-attestation – "&amp;IF(LEN(INDEX('Providers'!$A$4:$A$503,113))=0,"",INDEX('Providers'!$A$4:$A$503,113))</f>
        <v/>
      </c>
      <c r="E3116">
        <f>IF(ISNUMBER(INDEX('Providers'!$W$4:$W$503,113)),TEXT(INDEX('Providers'!$W$4:$W$503,113),"yyyy-mm-dd"),"")</f>
        <v/>
      </c>
      <c r="F3116">
        <f>"Credentialing"</f>
        <v/>
      </c>
      <c r="G3116">
        <f>IF(ISNUMBER(INDEX('Providers'!$U$4:$U$503,113)),TEXT(INDEX('Providers'!$U$4:$U$503,113),"yyyy-mm-dd"),"")</f>
        <v/>
      </c>
      <c r="H3116">
        <f>"High"</f>
        <v/>
      </c>
      <c r="I3116">
        <f>TRIM(IF(LEN(IF(LEN(INDEX('Providers'!$T$4:$T$503,113))=0,"",INDEX('Providers'!$T$4:$T$503,113)))=0,"","CAQH ID: "&amp;IF(LEN(INDEX('Providers'!$T$4:$T$503,113))=0,"",INDEX('Providers'!$T$4:$T$503,113))&amp;". ")&amp;IF(LEN(IF(ISNUMBER(INDEX('Providers'!$U$4:$U$503,113)),TEXT(INDEX('Providers'!$U$4:$U$503,113),"yyyy-mm-dd"),""))=0,"","Last attested: "&amp;IF(ISNUMBER(INDEX('Providers'!$U$4:$U$503,113)),TEXT(INDEX('Providers'!$U$4:$U$503,113),"yyyy-mm-dd"),"")&amp;". "))</f>
        <v/>
      </c>
      <c r="J3116">
        <f>IF(LEN(INDEX('Providers'!$AJ$4:$AJ$503,113))=0,"",INDEX('Providers'!$AJ$4:$AJ$503,113))</f>
        <v/>
      </c>
      <c r="K3116">
        <f>IF(LEN(INDEX('Providers'!$AI$4:$AI$503,113))=0,"",INDEX('Providers'!$AI$4:$AI$503,113))</f>
        <v/>
      </c>
    </row>
    <row r="3117">
      <c r="A3117">
        <f>IF(AND(LEN('Providers'!A117)&gt;0,ISNUMBER('Providers'!W117)),1,0)</f>
        <v/>
      </c>
      <c r="B3117">
        <f>B3116+A3117</f>
        <v/>
      </c>
      <c r="C3117">
        <f>IF(3114&gt;$B$4503,"",MATCH(3114-0.5,$B$3:$B$4503,1))</f>
        <v/>
      </c>
      <c r="D3117">
        <f>"CAQH re-attestation – "&amp;IF(LEN(INDEX('Providers'!$A$4:$A$503,114))=0,"",INDEX('Providers'!$A$4:$A$503,114))</f>
        <v/>
      </c>
      <c r="E3117">
        <f>IF(ISNUMBER(INDEX('Providers'!$W$4:$W$503,114)),TEXT(INDEX('Providers'!$W$4:$W$503,114),"yyyy-mm-dd"),"")</f>
        <v/>
      </c>
      <c r="F3117">
        <f>"Credentialing"</f>
        <v/>
      </c>
      <c r="G3117">
        <f>IF(ISNUMBER(INDEX('Providers'!$U$4:$U$503,114)),TEXT(INDEX('Providers'!$U$4:$U$503,114),"yyyy-mm-dd"),"")</f>
        <v/>
      </c>
      <c r="H3117">
        <f>"High"</f>
        <v/>
      </c>
      <c r="I3117">
        <f>TRIM(IF(LEN(IF(LEN(INDEX('Providers'!$T$4:$T$503,114))=0,"",INDEX('Providers'!$T$4:$T$503,114)))=0,"","CAQH ID: "&amp;IF(LEN(INDEX('Providers'!$T$4:$T$503,114))=0,"",INDEX('Providers'!$T$4:$T$503,114))&amp;". ")&amp;IF(LEN(IF(ISNUMBER(INDEX('Providers'!$U$4:$U$503,114)),TEXT(INDEX('Providers'!$U$4:$U$503,114),"yyyy-mm-dd"),""))=0,"","Last attested: "&amp;IF(ISNUMBER(INDEX('Providers'!$U$4:$U$503,114)),TEXT(INDEX('Providers'!$U$4:$U$503,114),"yyyy-mm-dd"),"")&amp;". "))</f>
        <v/>
      </c>
      <c r="J3117">
        <f>IF(LEN(INDEX('Providers'!$AJ$4:$AJ$503,114))=0,"",INDEX('Providers'!$AJ$4:$AJ$503,114))</f>
        <v/>
      </c>
      <c r="K3117">
        <f>IF(LEN(INDEX('Providers'!$AI$4:$AI$503,114))=0,"",INDEX('Providers'!$AI$4:$AI$503,114))</f>
        <v/>
      </c>
    </row>
    <row r="3118">
      <c r="A3118">
        <f>IF(AND(LEN('Providers'!A118)&gt;0,ISNUMBER('Providers'!W118)),1,0)</f>
        <v/>
      </c>
      <c r="B3118">
        <f>B3117+A3118</f>
        <v/>
      </c>
      <c r="C3118">
        <f>IF(3115&gt;$B$4503,"",MATCH(3115-0.5,$B$3:$B$4503,1))</f>
        <v/>
      </c>
      <c r="D3118">
        <f>"CAQH re-attestation – "&amp;IF(LEN(INDEX('Providers'!$A$4:$A$503,115))=0,"",INDEX('Providers'!$A$4:$A$503,115))</f>
        <v/>
      </c>
      <c r="E3118">
        <f>IF(ISNUMBER(INDEX('Providers'!$W$4:$W$503,115)),TEXT(INDEX('Providers'!$W$4:$W$503,115),"yyyy-mm-dd"),"")</f>
        <v/>
      </c>
      <c r="F3118">
        <f>"Credentialing"</f>
        <v/>
      </c>
      <c r="G3118">
        <f>IF(ISNUMBER(INDEX('Providers'!$U$4:$U$503,115)),TEXT(INDEX('Providers'!$U$4:$U$503,115),"yyyy-mm-dd"),"")</f>
        <v/>
      </c>
      <c r="H3118">
        <f>"High"</f>
        <v/>
      </c>
      <c r="I3118">
        <f>TRIM(IF(LEN(IF(LEN(INDEX('Providers'!$T$4:$T$503,115))=0,"",INDEX('Providers'!$T$4:$T$503,115)))=0,"","CAQH ID: "&amp;IF(LEN(INDEX('Providers'!$T$4:$T$503,115))=0,"",INDEX('Providers'!$T$4:$T$503,115))&amp;". ")&amp;IF(LEN(IF(ISNUMBER(INDEX('Providers'!$U$4:$U$503,115)),TEXT(INDEX('Providers'!$U$4:$U$503,115),"yyyy-mm-dd"),""))=0,"","Last attested: "&amp;IF(ISNUMBER(INDEX('Providers'!$U$4:$U$503,115)),TEXT(INDEX('Providers'!$U$4:$U$503,115),"yyyy-mm-dd"),"")&amp;". "))</f>
        <v/>
      </c>
      <c r="J3118">
        <f>IF(LEN(INDEX('Providers'!$AJ$4:$AJ$503,115))=0,"",INDEX('Providers'!$AJ$4:$AJ$503,115))</f>
        <v/>
      </c>
      <c r="K3118">
        <f>IF(LEN(INDEX('Providers'!$AI$4:$AI$503,115))=0,"",INDEX('Providers'!$AI$4:$AI$503,115))</f>
        <v/>
      </c>
    </row>
    <row r="3119">
      <c r="A3119">
        <f>IF(AND(LEN('Providers'!A119)&gt;0,ISNUMBER('Providers'!W119)),1,0)</f>
        <v/>
      </c>
      <c r="B3119">
        <f>B3118+A3119</f>
        <v/>
      </c>
      <c r="C3119">
        <f>IF(3116&gt;$B$4503,"",MATCH(3116-0.5,$B$3:$B$4503,1))</f>
        <v/>
      </c>
      <c r="D3119">
        <f>"CAQH re-attestation – "&amp;IF(LEN(INDEX('Providers'!$A$4:$A$503,116))=0,"",INDEX('Providers'!$A$4:$A$503,116))</f>
        <v/>
      </c>
      <c r="E3119">
        <f>IF(ISNUMBER(INDEX('Providers'!$W$4:$W$503,116)),TEXT(INDEX('Providers'!$W$4:$W$503,116),"yyyy-mm-dd"),"")</f>
        <v/>
      </c>
      <c r="F3119">
        <f>"Credentialing"</f>
        <v/>
      </c>
      <c r="G3119">
        <f>IF(ISNUMBER(INDEX('Providers'!$U$4:$U$503,116)),TEXT(INDEX('Providers'!$U$4:$U$503,116),"yyyy-mm-dd"),"")</f>
        <v/>
      </c>
      <c r="H3119">
        <f>"High"</f>
        <v/>
      </c>
      <c r="I3119">
        <f>TRIM(IF(LEN(IF(LEN(INDEX('Providers'!$T$4:$T$503,116))=0,"",INDEX('Providers'!$T$4:$T$503,116)))=0,"","CAQH ID: "&amp;IF(LEN(INDEX('Providers'!$T$4:$T$503,116))=0,"",INDEX('Providers'!$T$4:$T$503,116))&amp;". ")&amp;IF(LEN(IF(ISNUMBER(INDEX('Providers'!$U$4:$U$503,116)),TEXT(INDEX('Providers'!$U$4:$U$503,116),"yyyy-mm-dd"),""))=0,"","Last attested: "&amp;IF(ISNUMBER(INDEX('Providers'!$U$4:$U$503,116)),TEXT(INDEX('Providers'!$U$4:$U$503,116),"yyyy-mm-dd"),"")&amp;". "))</f>
        <v/>
      </c>
      <c r="J3119">
        <f>IF(LEN(INDEX('Providers'!$AJ$4:$AJ$503,116))=0,"",INDEX('Providers'!$AJ$4:$AJ$503,116))</f>
        <v/>
      </c>
      <c r="K3119">
        <f>IF(LEN(INDEX('Providers'!$AI$4:$AI$503,116))=0,"",INDEX('Providers'!$AI$4:$AI$503,116))</f>
        <v/>
      </c>
    </row>
    <row r="3120">
      <c r="A3120">
        <f>IF(AND(LEN('Providers'!A120)&gt;0,ISNUMBER('Providers'!W120)),1,0)</f>
        <v/>
      </c>
      <c r="B3120">
        <f>B3119+A3120</f>
        <v/>
      </c>
      <c r="C3120">
        <f>IF(3117&gt;$B$4503,"",MATCH(3117-0.5,$B$3:$B$4503,1))</f>
        <v/>
      </c>
      <c r="D3120">
        <f>"CAQH re-attestation – "&amp;IF(LEN(INDEX('Providers'!$A$4:$A$503,117))=0,"",INDEX('Providers'!$A$4:$A$503,117))</f>
        <v/>
      </c>
      <c r="E3120">
        <f>IF(ISNUMBER(INDEX('Providers'!$W$4:$W$503,117)),TEXT(INDEX('Providers'!$W$4:$W$503,117),"yyyy-mm-dd"),"")</f>
        <v/>
      </c>
      <c r="F3120">
        <f>"Credentialing"</f>
        <v/>
      </c>
      <c r="G3120">
        <f>IF(ISNUMBER(INDEX('Providers'!$U$4:$U$503,117)),TEXT(INDEX('Providers'!$U$4:$U$503,117),"yyyy-mm-dd"),"")</f>
        <v/>
      </c>
      <c r="H3120">
        <f>"High"</f>
        <v/>
      </c>
      <c r="I3120">
        <f>TRIM(IF(LEN(IF(LEN(INDEX('Providers'!$T$4:$T$503,117))=0,"",INDEX('Providers'!$T$4:$T$503,117)))=0,"","CAQH ID: "&amp;IF(LEN(INDEX('Providers'!$T$4:$T$503,117))=0,"",INDEX('Providers'!$T$4:$T$503,117))&amp;". ")&amp;IF(LEN(IF(ISNUMBER(INDEX('Providers'!$U$4:$U$503,117)),TEXT(INDEX('Providers'!$U$4:$U$503,117),"yyyy-mm-dd"),""))=0,"","Last attested: "&amp;IF(ISNUMBER(INDEX('Providers'!$U$4:$U$503,117)),TEXT(INDEX('Providers'!$U$4:$U$503,117),"yyyy-mm-dd"),"")&amp;". "))</f>
        <v/>
      </c>
      <c r="J3120">
        <f>IF(LEN(INDEX('Providers'!$AJ$4:$AJ$503,117))=0,"",INDEX('Providers'!$AJ$4:$AJ$503,117))</f>
        <v/>
      </c>
      <c r="K3120">
        <f>IF(LEN(INDEX('Providers'!$AI$4:$AI$503,117))=0,"",INDEX('Providers'!$AI$4:$AI$503,117))</f>
        <v/>
      </c>
    </row>
    <row r="3121">
      <c r="A3121">
        <f>IF(AND(LEN('Providers'!A121)&gt;0,ISNUMBER('Providers'!W121)),1,0)</f>
        <v/>
      </c>
      <c r="B3121">
        <f>B3120+A3121</f>
        <v/>
      </c>
      <c r="C3121">
        <f>IF(3118&gt;$B$4503,"",MATCH(3118-0.5,$B$3:$B$4503,1))</f>
        <v/>
      </c>
      <c r="D3121">
        <f>"CAQH re-attestation – "&amp;IF(LEN(INDEX('Providers'!$A$4:$A$503,118))=0,"",INDEX('Providers'!$A$4:$A$503,118))</f>
        <v/>
      </c>
      <c r="E3121">
        <f>IF(ISNUMBER(INDEX('Providers'!$W$4:$W$503,118)),TEXT(INDEX('Providers'!$W$4:$W$503,118),"yyyy-mm-dd"),"")</f>
        <v/>
      </c>
      <c r="F3121">
        <f>"Credentialing"</f>
        <v/>
      </c>
      <c r="G3121">
        <f>IF(ISNUMBER(INDEX('Providers'!$U$4:$U$503,118)),TEXT(INDEX('Providers'!$U$4:$U$503,118),"yyyy-mm-dd"),"")</f>
        <v/>
      </c>
      <c r="H3121">
        <f>"High"</f>
        <v/>
      </c>
      <c r="I3121">
        <f>TRIM(IF(LEN(IF(LEN(INDEX('Providers'!$T$4:$T$503,118))=0,"",INDEX('Providers'!$T$4:$T$503,118)))=0,"","CAQH ID: "&amp;IF(LEN(INDEX('Providers'!$T$4:$T$503,118))=0,"",INDEX('Providers'!$T$4:$T$503,118))&amp;". ")&amp;IF(LEN(IF(ISNUMBER(INDEX('Providers'!$U$4:$U$503,118)),TEXT(INDEX('Providers'!$U$4:$U$503,118),"yyyy-mm-dd"),""))=0,"","Last attested: "&amp;IF(ISNUMBER(INDEX('Providers'!$U$4:$U$503,118)),TEXT(INDEX('Providers'!$U$4:$U$503,118),"yyyy-mm-dd"),"")&amp;". "))</f>
        <v/>
      </c>
      <c r="J3121">
        <f>IF(LEN(INDEX('Providers'!$AJ$4:$AJ$503,118))=0,"",INDEX('Providers'!$AJ$4:$AJ$503,118))</f>
        <v/>
      </c>
      <c r="K3121">
        <f>IF(LEN(INDEX('Providers'!$AI$4:$AI$503,118))=0,"",INDEX('Providers'!$AI$4:$AI$503,118))</f>
        <v/>
      </c>
    </row>
    <row r="3122">
      <c r="A3122">
        <f>IF(AND(LEN('Providers'!A122)&gt;0,ISNUMBER('Providers'!W122)),1,0)</f>
        <v/>
      </c>
      <c r="B3122">
        <f>B3121+A3122</f>
        <v/>
      </c>
      <c r="C3122">
        <f>IF(3119&gt;$B$4503,"",MATCH(3119-0.5,$B$3:$B$4503,1))</f>
        <v/>
      </c>
      <c r="D3122">
        <f>"CAQH re-attestation – "&amp;IF(LEN(INDEX('Providers'!$A$4:$A$503,119))=0,"",INDEX('Providers'!$A$4:$A$503,119))</f>
        <v/>
      </c>
      <c r="E3122">
        <f>IF(ISNUMBER(INDEX('Providers'!$W$4:$W$503,119)),TEXT(INDEX('Providers'!$W$4:$W$503,119),"yyyy-mm-dd"),"")</f>
        <v/>
      </c>
      <c r="F3122">
        <f>"Credentialing"</f>
        <v/>
      </c>
      <c r="G3122">
        <f>IF(ISNUMBER(INDEX('Providers'!$U$4:$U$503,119)),TEXT(INDEX('Providers'!$U$4:$U$503,119),"yyyy-mm-dd"),"")</f>
        <v/>
      </c>
      <c r="H3122">
        <f>"High"</f>
        <v/>
      </c>
      <c r="I3122">
        <f>TRIM(IF(LEN(IF(LEN(INDEX('Providers'!$T$4:$T$503,119))=0,"",INDEX('Providers'!$T$4:$T$503,119)))=0,"","CAQH ID: "&amp;IF(LEN(INDEX('Providers'!$T$4:$T$503,119))=0,"",INDEX('Providers'!$T$4:$T$503,119))&amp;". ")&amp;IF(LEN(IF(ISNUMBER(INDEX('Providers'!$U$4:$U$503,119)),TEXT(INDEX('Providers'!$U$4:$U$503,119),"yyyy-mm-dd"),""))=0,"","Last attested: "&amp;IF(ISNUMBER(INDEX('Providers'!$U$4:$U$503,119)),TEXT(INDEX('Providers'!$U$4:$U$503,119),"yyyy-mm-dd"),"")&amp;". "))</f>
        <v/>
      </c>
      <c r="J3122">
        <f>IF(LEN(INDEX('Providers'!$AJ$4:$AJ$503,119))=0,"",INDEX('Providers'!$AJ$4:$AJ$503,119))</f>
        <v/>
      </c>
      <c r="K3122">
        <f>IF(LEN(INDEX('Providers'!$AI$4:$AI$503,119))=0,"",INDEX('Providers'!$AI$4:$AI$503,119))</f>
        <v/>
      </c>
    </row>
    <row r="3123">
      <c r="A3123">
        <f>IF(AND(LEN('Providers'!A123)&gt;0,ISNUMBER('Providers'!W123)),1,0)</f>
        <v/>
      </c>
      <c r="B3123">
        <f>B3122+A3123</f>
        <v/>
      </c>
      <c r="C3123">
        <f>IF(3120&gt;$B$4503,"",MATCH(3120-0.5,$B$3:$B$4503,1))</f>
        <v/>
      </c>
      <c r="D3123">
        <f>"CAQH re-attestation – "&amp;IF(LEN(INDEX('Providers'!$A$4:$A$503,120))=0,"",INDEX('Providers'!$A$4:$A$503,120))</f>
        <v/>
      </c>
      <c r="E3123">
        <f>IF(ISNUMBER(INDEX('Providers'!$W$4:$W$503,120)),TEXT(INDEX('Providers'!$W$4:$W$503,120),"yyyy-mm-dd"),"")</f>
        <v/>
      </c>
      <c r="F3123">
        <f>"Credentialing"</f>
        <v/>
      </c>
      <c r="G3123">
        <f>IF(ISNUMBER(INDEX('Providers'!$U$4:$U$503,120)),TEXT(INDEX('Providers'!$U$4:$U$503,120),"yyyy-mm-dd"),"")</f>
        <v/>
      </c>
      <c r="H3123">
        <f>"High"</f>
        <v/>
      </c>
      <c r="I3123">
        <f>TRIM(IF(LEN(IF(LEN(INDEX('Providers'!$T$4:$T$503,120))=0,"",INDEX('Providers'!$T$4:$T$503,120)))=0,"","CAQH ID: "&amp;IF(LEN(INDEX('Providers'!$T$4:$T$503,120))=0,"",INDEX('Providers'!$T$4:$T$503,120))&amp;". ")&amp;IF(LEN(IF(ISNUMBER(INDEX('Providers'!$U$4:$U$503,120)),TEXT(INDEX('Providers'!$U$4:$U$503,120),"yyyy-mm-dd"),""))=0,"","Last attested: "&amp;IF(ISNUMBER(INDEX('Providers'!$U$4:$U$503,120)),TEXT(INDEX('Providers'!$U$4:$U$503,120),"yyyy-mm-dd"),"")&amp;". "))</f>
        <v/>
      </c>
      <c r="J3123">
        <f>IF(LEN(INDEX('Providers'!$AJ$4:$AJ$503,120))=0,"",INDEX('Providers'!$AJ$4:$AJ$503,120))</f>
        <v/>
      </c>
      <c r="K3123">
        <f>IF(LEN(INDEX('Providers'!$AI$4:$AI$503,120))=0,"",INDEX('Providers'!$AI$4:$AI$503,120))</f>
        <v/>
      </c>
    </row>
    <row r="3124">
      <c r="A3124">
        <f>IF(AND(LEN('Providers'!A124)&gt;0,ISNUMBER('Providers'!W124)),1,0)</f>
        <v/>
      </c>
      <c r="B3124">
        <f>B3123+A3124</f>
        <v/>
      </c>
      <c r="C3124">
        <f>IF(3121&gt;$B$4503,"",MATCH(3121-0.5,$B$3:$B$4503,1))</f>
        <v/>
      </c>
      <c r="D3124">
        <f>"CAQH re-attestation – "&amp;IF(LEN(INDEX('Providers'!$A$4:$A$503,121))=0,"",INDEX('Providers'!$A$4:$A$503,121))</f>
        <v/>
      </c>
      <c r="E3124">
        <f>IF(ISNUMBER(INDEX('Providers'!$W$4:$W$503,121)),TEXT(INDEX('Providers'!$W$4:$W$503,121),"yyyy-mm-dd"),"")</f>
        <v/>
      </c>
      <c r="F3124">
        <f>"Credentialing"</f>
        <v/>
      </c>
      <c r="G3124">
        <f>IF(ISNUMBER(INDEX('Providers'!$U$4:$U$503,121)),TEXT(INDEX('Providers'!$U$4:$U$503,121),"yyyy-mm-dd"),"")</f>
        <v/>
      </c>
      <c r="H3124">
        <f>"High"</f>
        <v/>
      </c>
      <c r="I3124">
        <f>TRIM(IF(LEN(IF(LEN(INDEX('Providers'!$T$4:$T$503,121))=0,"",INDEX('Providers'!$T$4:$T$503,121)))=0,"","CAQH ID: "&amp;IF(LEN(INDEX('Providers'!$T$4:$T$503,121))=0,"",INDEX('Providers'!$T$4:$T$503,121))&amp;". ")&amp;IF(LEN(IF(ISNUMBER(INDEX('Providers'!$U$4:$U$503,121)),TEXT(INDEX('Providers'!$U$4:$U$503,121),"yyyy-mm-dd"),""))=0,"","Last attested: "&amp;IF(ISNUMBER(INDEX('Providers'!$U$4:$U$503,121)),TEXT(INDEX('Providers'!$U$4:$U$503,121),"yyyy-mm-dd"),"")&amp;". "))</f>
        <v/>
      </c>
      <c r="J3124">
        <f>IF(LEN(INDEX('Providers'!$AJ$4:$AJ$503,121))=0,"",INDEX('Providers'!$AJ$4:$AJ$503,121))</f>
        <v/>
      </c>
      <c r="K3124">
        <f>IF(LEN(INDEX('Providers'!$AI$4:$AI$503,121))=0,"",INDEX('Providers'!$AI$4:$AI$503,121))</f>
        <v/>
      </c>
    </row>
    <row r="3125">
      <c r="A3125">
        <f>IF(AND(LEN('Providers'!A125)&gt;0,ISNUMBER('Providers'!W125)),1,0)</f>
        <v/>
      </c>
      <c r="B3125">
        <f>B3124+A3125</f>
        <v/>
      </c>
      <c r="C3125">
        <f>IF(3122&gt;$B$4503,"",MATCH(3122-0.5,$B$3:$B$4503,1))</f>
        <v/>
      </c>
      <c r="D3125">
        <f>"CAQH re-attestation – "&amp;IF(LEN(INDEX('Providers'!$A$4:$A$503,122))=0,"",INDEX('Providers'!$A$4:$A$503,122))</f>
        <v/>
      </c>
      <c r="E3125">
        <f>IF(ISNUMBER(INDEX('Providers'!$W$4:$W$503,122)),TEXT(INDEX('Providers'!$W$4:$W$503,122),"yyyy-mm-dd"),"")</f>
        <v/>
      </c>
      <c r="F3125">
        <f>"Credentialing"</f>
        <v/>
      </c>
      <c r="G3125">
        <f>IF(ISNUMBER(INDEX('Providers'!$U$4:$U$503,122)),TEXT(INDEX('Providers'!$U$4:$U$503,122),"yyyy-mm-dd"),"")</f>
        <v/>
      </c>
      <c r="H3125">
        <f>"High"</f>
        <v/>
      </c>
      <c r="I3125">
        <f>TRIM(IF(LEN(IF(LEN(INDEX('Providers'!$T$4:$T$503,122))=0,"",INDEX('Providers'!$T$4:$T$503,122)))=0,"","CAQH ID: "&amp;IF(LEN(INDEX('Providers'!$T$4:$T$503,122))=0,"",INDEX('Providers'!$T$4:$T$503,122))&amp;". ")&amp;IF(LEN(IF(ISNUMBER(INDEX('Providers'!$U$4:$U$503,122)),TEXT(INDEX('Providers'!$U$4:$U$503,122),"yyyy-mm-dd"),""))=0,"","Last attested: "&amp;IF(ISNUMBER(INDEX('Providers'!$U$4:$U$503,122)),TEXT(INDEX('Providers'!$U$4:$U$503,122),"yyyy-mm-dd"),"")&amp;". "))</f>
        <v/>
      </c>
      <c r="J3125">
        <f>IF(LEN(INDEX('Providers'!$AJ$4:$AJ$503,122))=0,"",INDEX('Providers'!$AJ$4:$AJ$503,122))</f>
        <v/>
      </c>
      <c r="K3125">
        <f>IF(LEN(INDEX('Providers'!$AI$4:$AI$503,122))=0,"",INDEX('Providers'!$AI$4:$AI$503,122))</f>
        <v/>
      </c>
    </row>
    <row r="3126">
      <c r="A3126">
        <f>IF(AND(LEN('Providers'!A126)&gt;0,ISNUMBER('Providers'!W126)),1,0)</f>
        <v/>
      </c>
      <c r="B3126">
        <f>B3125+A3126</f>
        <v/>
      </c>
      <c r="C3126">
        <f>IF(3123&gt;$B$4503,"",MATCH(3123-0.5,$B$3:$B$4503,1))</f>
        <v/>
      </c>
      <c r="D3126">
        <f>"CAQH re-attestation – "&amp;IF(LEN(INDEX('Providers'!$A$4:$A$503,123))=0,"",INDEX('Providers'!$A$4:$A$503,123))</f>
        <v/>
      </c>
      <c r="E3126">
        <f>IF(ISNUMBER(INDEX('Providers'!$W$4:$W$503,123)),TEXT(INDEX('Providers'!$W$4:$W$503,123),"yyyy-mm-dd"),"")</f>
        <v/>
      </c>
      <c r="F3126">
        <f>"Credentialing"</f>
        <v/>
      </c>
      <c r="G3126">
        <f>IF(ISNUMBER(INDEX('Providers'!$U$4:$U$503,123)),TEXT(INDEX('Providers'!$U$4:$U$503,123),"yyyy-mm-dd"),"")</f>
        <v/>
      </c>
      <c r="H3126">
        <f>"High"</f>
        <v/>
      </c>
      <c r="I3126">
        <f>TRIM(IF(LEN(IF(LEN(INDEX('Providers'!$T$4:$T$503,123))=0,"",INDEX('Providers'!$T$4:$T$503,123)))=0,"","CAQH ID: "&amp;IF(LEN(INDEX('Providers'!$T$4:$T$503,123))=0,"",INDEX('Providers'!$T$4:$T$503,123))&amp;". ")&amp;IF(LEN(IF(ISNUMBER(INDEX('Providers'!$U$4:$U$503,123)),TEXT(INDEX('Providers'!$U$4:$U$503,123),"yyyy-mm-dd"),""))=0,"","Last attested: "&amp;IF(ISNUMBER(INDEX('Providers'!$U$4:$U$503,123)),TEXT(INDEX('Providers'!$U$4:$U$503,123),"yyyy-mm-dd"),"")&amp;". "))</f>
        <v/>
      </c>
      <c r="J3126">
        <f>IF(LEN(INDEX('Providers'!$AJ$4:$AJ$503,123))=0,"",INDEX('Providers'!$AJ$4:$AJ$503,123))</f>
        <v/>
      </c>
      <c r="K3126">
        <f>IF(LEN(INDEX('Providers'!$AI$4:$AI$503,123))=0,"",INDEX('Providers'!$AI$4:$AI$503,123))</f>
        <v/>
      </c>
    </row>
    <row r="3127">
      <c r="A3127">
        <f>IF(AND(LEN('Providers'!A127)&gt;0,ISNUMBER('Providers'!W127)),1,0)</f>
        <v/>
      </c>
      <c r="B3127">
        <f>B3126+A3127</f>
        <v/>
      </c>
      <c r="C3127">
        <f>IF(3124&gt;$B$4503,"",MATCH(3124-0.5,$B$3:$B$4503,1))</f>
        <v/>
      </c>
      <c r="D3127">
        <f>"CAQH re-attestation – "&amp;IF(LEN(INDEX('Providers'!$A$4:$A$503,124))=0,"",INDEX('Providers'!$A$4:$A$503,124))</f>
        <v/>
      </c>
      <c r="E3127">
        <f>IF(ISNUMBER(INDEX('Providers'!$W$4:$W$503,124)),TEXT(INDEX('Providers'!$W$4:$W$503,124),"yyyy-mm-dd"),"")</f>
        <v/>
      </c>
      <c r="F3127">
        <f>"Credentialing"</f>
        <v/>
      </c>
      <c r="G3127">
        <f>IF(ISNUMBER(INDEX('Providers'!$U$4:$U$503,124)),TEXT(INDEX('Providers'!$U$4:$U$503,124),"yyyy-mm-dd"),"")</f>
        <v/>
      </c>
      <c r="H3127">
        <f>"High"</f>
        <v/>
      </c>
      <c r="I3127">
        <f>TRIM(IF(LEN(IF(LEN(INDEX('Providers'!$T$4:$T$503,124))=0,"",INDEX('Providers'!$T$4:$T$503,124)))=0,"","CAQH ID: "&amp;IF(LEN(INDEX('Providers'!$T$4:$T$503,124))=0,"",INDEX('Providers'!$T$4:$T$503,124))&amp;". ")&amp;IF(LEN(IF(ISNUMBER(INDEX('Providers'!$U$4:$U$503,124)),TEXT(INDEX('Providers'!$U$4:$U$503,124),"yyyy-mm-dd"),""))=0,"","Last attested: "&amp;IF(ISNUMBER(INDEX('Providers'!$U$4:$U$503,124)),TEXT(INDEX('Providers'!$U$4:$U$503,124),"yyyy-mm-dd"),"")&amp;". "))</f>
        <v/>
      </c>
      <c r="J3127">
        <f>IF(LEN(INDEX('Providers'!$AJ$4:$AJ$503,124))=0,"",INDEX('Providers'!$AJ$4:$AJ$503,124))</f>
        <v/>
      </c>
      <c r="K3127">
        <f>IF(LEN(INDEX('Providers'!$AI$4:$AI$503,124))=0,"",INDEX('Providers'!$AI$4:$AI$503,124))</f>
        <v/>
      </c>
    </row>
    <row r="3128">
      <c r="A3128">
        <f>IF(AND(LEN('Providers'!A128)&gt;0,ISNUMBER('Providers'!W128)),1,0)</f>
        <v/>
      </c>
      <c r="B3128">
        <f>B3127+A3128</f>
        <v/>
      </c>
      <c r="C3128">
        <f>IF(3125&gt;$B$4503,"",MATCH(3125-0.5,$B$3:$B$4503,1))</f>
        <v/>
      </c>
      <c r="D3128">
        <f>"CAQH re-attestation – "&amp;IF(LEN(INDEX('Providers'!$A$4:$A$503,125))=0,"",INDEX('Providers'!$A$4:$A$503,125))</f>
        <v/>
      </c>
      <c r="E3128">
        <f>IF(ISNUMBER(INDEX('Providers'!$W$4:$W$503,125)),TEXT(INDEX('Providers'!$W$4:$W$503,125),"yyyy-mm-dd"),"")</f>
        <v/>
      </c>
      <c r="F3128">
        <f>"Credentialing"</f>
        <v/>
      </c>
      <c r="G3128">
        <f>IF(ISNUMBER(INDEX('Providers'!$U$4:$U$503,125)),TEXT(INDEX('Providers'!$U$4:$U$503,125),"yyyy-mm-dd"),"")</f>
        <v/>
      </c>
      <c r="H3128">
        <f>"High"</f>
        <v/>
      </c>
      <c r="I3128">
        <f>TRIM(IF(LEN(IF(LEN(INDEX('Providers'!$T$4:$T$503,125))=0,"",INDEX('Providers'!$T$4:$T$503,125)))=0,"","CAQH ID: "&amp;IF(LEN(INDEX('Providers'!$T$4:$T$503,125))=0,"",INDEX('Providers'!$T$4:$T$503,125))&amp;". ")&amp;IF(LEN(IF(ISNUMBER(INDEX('Providers'!$U$4:$U$503,125)),TEXT(INDEX('Providers'!$U$4:$U$503,125),"yyyy-mm-dd"),""))=0,"","Last attested: "&amp;IF(ISNUMBER(INDEX('Providers'!$U$4:$U$503,125)),TEXT(INDEX('Providers'!$U$4:$U$503,125),"yyyy-mm-dd"),"")&amp;". "))</f>
        <v/>
      </c>
      <c r="J3128">
        <f>IF(LEN(INDEX('Providers'!$AJ$4:$AJ$503,125))=0,"",INDEX('Providers'!$AJ$4:$AJ$503,125))</f>
        <v/>
      </c>
      <c r="K3128">
        <f>IF(LEN(INDEX('Providers'!$AI$4:$AI$503,125))=0,"",INDEX('Providers'!$AI$4:$AI$503,125))</f>
        <v/>
      </c>
    </row>
    <row r="3129">
      <c r="A3129">
        <f>IF(AND(LEN('Providers'!A129)&gt;0,ISNUMBER('Providers'!W129)),1,0)</f>
        <v/>
      </c>
      <c r="B3129">
        <f>B3128+A3129</f>
        <v/>
      </c>
      <c r="C3129">
        <f>IF(3126&gt;$B$4503,"",MATCH(3126-0.5,$B$3:$B$4503,1))</f>
        <v/>
      </c>
      <c r="D3129">
        <f>"CAQH re-attestation – "&amp;IF(LEN(INDEX('Providers'!$A$4:$A$503,126))=0,"",INDEX('Providers'!$A$4:$A$503,126))</f>
        <v/>
      </c>
      <c r="E3129">
        <f>IF(ISNUMBER(INDEX('Providers'!$W$4:$W$503,126)),TEXT(INDEX('Providers'!$W$4:$W$503,126),"yyyy-mm-dd"),"")</f>
        <v/>
      </c>
      <c r="F3129">
        <f>"Credentialing"</f>
        <v/>
      </c>
      <c r="G3129">
        <f>IF(ISNUMBER(INDEX('Providers'!$U$4:$U$503,126)),TEXT(INDEX('Providers'!$U$4:$U$503,126),"yyyy-mm-dd"),"")</f>
        <v/>
      </c>
      <c r="H3129">
        <f>"High"</f>
        <v/>
      </c>
      <c r="I3129">
        <f>TRIM(IF(LEN(IF(LEN(INDEX('Providers'!$T$4:$T$503,126))=0,"",INDEX('Providers'!$T$4:$T$503,126)))=0,"","CAQH ID: "&amp;IF(LEN(INDEX('Providers'!$T$4:$T$503,126))=0,"",INDEX('Providers'!$T$4:$T$503,126))&amp;". ")&amp;IF(LEN(IF(ISNUMBER(INDEX('Providers'!$U$4:$U$503,126)),TEXT(INDEX('Providers'!$U$4:$U$503,126),"yyyy-mm-dd"),""))=0,"","Last attested: "&amp;IF(ISNUMBER(INDEX('Providers'!$U$4:$U$503,126)),TEXT(INDEX('Providers'!$U$4:$U$503,126),"yyyy-mm-dd"),"")&amp;". "))</f>
        <v/>
      </c>
      <c r="J3129">
        <f>IF(LEN(INDEX('Providers'!$AJ$4:$AJ$503,126))=0,"",INDEX('Providers'!$AJ$4:$AJ$503,126))</f>
        <v/>
      </c>
      <c r="K3129">
        <f>IF(LEN(INDEX('Providers'!$AI$4:$AI$503,126))=0,"",INDEX('Providers'!$AI$4:$AI$503,126))</f>
        <v/>
      </c>
    </row>
    <row r="3130">
      <c r="A3130">
        <f>IF(AND(LEN('Providers'!A130)&gt;0,ISNUMBER('Providers'!W130)),1,0)</f>
        <v/>
      </c>
      <c r="B3130">
        <f>B3129+A3130</f>
        <v/>
      </c>
      <c r="C3130">
        <f>IF(3127&gt;$B$4503,"",MATCH(3127-0.5,$B$3:$B$4503,1))</f>
        <v/>
      </c>
      <c r="D3130">
        <f>"CAQH re-attestation – "&amp;IF(LEN(INDEX('Providers'!$A$4:$A$503,127))=0,"",INDEX('Providers'!$A$4:$A$503,127))</f>
        <v/>
      </c>
      <c r="E3130">
        <f>IF(ISNUMBER(INDEX('Providers'!$W$4:$W$503,127)),TEXT(INDEX('Providers'!$W$4:$W$503,127),"yyyy-mm-dd"),"")</f>
        <v/>
      </c>
      <c r="F3130">
        <f>"Credentialing"</f>
        <v/>
      </c>
      <c r="G3130">
        <f>IF(ISNUMBER(INDEX('Providers'!$U$4:$U$503,127)),TEXT(INDEX('Providers'!$U$4:$U$503,127),"yyyy-mm-dd"),"")</f>
        <v/>
      </c>
      <c r="H3130">
        <f>"High"</f>
        <v/>
      </c>
      <c r="I3130">
        <f>TRIM(IF(LEN(IF(LEN(INDEX('Providers'!$T$4:$T$503,127))=0,"",INDEX('Providers'!$T$4:$T$503,127)))=0,"","CAQH ID: "&amp;IF(LEN(INDEX('Providers'!$T$4:$T$503,127))=0,"",INDEX('Providers'!$T$4:$T$503,127))&amp;". ")&amp;IF(LEN(IF(ISNUMBER(INDEX('Providers'!$U$4:$U$503,127)),TEXT(INDEX('Providers'!$U$4:$U$503,127),"yyyy-mm-dd"),""))=0,"","Last attested: "&amp;IF(ISNUMBER(INDEX('Providers'!$U$4:$U$503,127)),TEXT(INDEX('Providers'!$U$4:$U$503,127),"yyyy-mm-dd"),"")&amp;". "))</f>
        <v/>
      </c>
      <c r="J3130">
        <f>IF(LEN(INDEX('Providers'!$AJ$4:$AJ$503,127))=0,"",INDEX('Providers'!$AJ$4:$AJ$503,127))</f>
        <v/>
      </c>
      <c r="K3130">
        <f>IF(LEN(INDEX('Providers'!$AI$4:$AI$503,127))=0,"",INDEX('Providers'!$AI$4:$AI$503,127))</f>
        <v/>
      </c>
    </row>
    <row r="3131">
      <c r="A3131">
        <f>IF(AND(LEN('Providers'!A131)&gt;0,ISNUMBER('Providers'!W131)),1,0)</f>
        <v/>
      </c>
      <c r="B3131">
        <f>B3130+A3131</f>
        <v/>
      </c>
      <c r="C3131">
        <f>IF(3128&gt;$B$4503,"",MATCH(3128-0.5,$B$3:$B$4503,1))</f>
        <v/>
      </c>
      <c r="D3131">
        <f>"CAQH re-attestation – "&amp;IF(LEN(INDEX('Providers'!$A$4:$A$503,128))=0,"",INDEX('Providers'!$A$4:$A$503,128))</f>
        <v/>
      </c>
      <c r="E3131">
        <f>IF(ISNUMBER(INDEX('Providers'!$W$4:$W$503,128)),TEXT(INDEX('Providers'!$W$4:$W$503,128),"yyyy-mm-dd"),"")</f>
        <v/>
      </c>
      <c r="F3131">
        <f>"Credentialing"</f>
        <v/>
      </c>
      <c r="G3131">
        <f>IF(ISNUMBER(INDEX('Providers'!$U$4:$U$503,128)),TEXT(INDEX('Providers'!$U$4:$U$503,128),"yyyy-mm-dd"),"")</f>
        <v/>
      </c>
      <c r="H3131">
        <f>"High"</f>
        <v/>
      </c>
      <c r="I3131">
        <f>TRIM(IF(LEN(IF(LEN(INDEX('Providers'!$T$4:$T$503,128))=0,"",INDEX('Providers'!$T$4:$T$503,128)))=0,"","CAQH ID: "&amp;IF(LEN(INDEX('Providers'!$T$4:$T$503,128))=0,"",INDEX('Providers'!$T$4:$T$503,128))&amp;". ")&amp;IF(LEN(IF(ISNUMBER(INDEX('Providers'!$U$4:$U$503,128)),TEXT(INDEX('Providers'!$U$4:$U$503,128),"yyyy-mm-dd"),""))=0,"","Last attested: "&amp;IF(ISNUMBER(INDEX('Providers'!$U$4:$U$503,128)),TEXT(INDEX('Providers'!$U$4:$U$503,128),"yyyy-mm-dd"),"")&amp;". "))</f>
        <v/>
      </c>
      <c r="J3131">
        <f>IF(LEN(INDEX('Providers'!$AJ$4:$AJ$503,128))=0,"",INDEX('Providers'!$AJ$4:$AJ$503,128))</f>
        <v/>
      </c>
      <c r="K3131">
        <f>IF(LEN(INDEX('Providers'!$AI$4:$AI$503,128))=0,"",INDEX('Providers'!$AI$4:$AI$503,128))</f>
        <v/>
      </c>
    </row>
    <row r="3132">
      <c r="A3132">
        <f>IF(AND(LEN('Providers'!A132)&gt;0,ISNUMBER('Providers'!W132)),1,0)</f>
        <v/>
      </c>
      <c r="B3132">
        <f>B3131+A3132</f>
        <v/>
      </c>
      <c r="C3132">
        <f>IF(3129&gt;$B$4503,"",MATCH(3129-0.5,$B$3:$B$4503,1))</f>
        <v/>
      </c>
      <c r="D3132">
        <f>"CAQH re-attestation – "&amp;IF(LEN(INDEX('Providers'!$A$4:$A$503,129))=0,"",INDEX('Providers'!$A$4:$A$503,129))</f>
        <v/>
      </c>
      <c r="E3132">
        <f>IF(ISNUMBER(INDEX('Providers'!$W$4:$W$503,129)),TEXT(INDEX('Providers'!$W$4:$W$503,129),"yyyy-mm-dd"),"")</f>
        <v/>
      </c>
      <c r="F3132">
        <f>"Credentialing"</f>
        <v/>
      </c>
      <c r="G3132">
        <f>IF(ISNUMBER(INDEX('Providers'!$U$4:$U$503,129)),TEXT(INDEX('Providers'!$U$4:$U$503,129),"yyyy-mm-dd"),"")</f>
        <v/>
      </c>
      <c r="H3132">
        <f>"High"</f>
        <v/>
      </c>
      <c r="I3132">
        <f>TRIM(IF(LEN(IF(LEN(INDEX('Providers'!$T$4:$T$503,129))=0,"",INDEX('Providers'!$T$4:$T$503,129)))=0,"","CAQH ID: "&amp;IF(LEN(INDEX('Providers'!$T$4:$T$503,129))=0,"",INDEX('Providers'!$T$4:$T$503,129))&amp;". ")&amp;IF(LEN(IF(ISNUMBER(INDEX('Providers'!$U$4:$U$503,129)),TEXT(INDEX('Providers'!$U$4:$U$503,129),"yyyy-mm-dd"),""))=0,"","Last attested: "&amp;IF(ISNUMBER(INDEX('Providers'!$U$4:$U$503,129)),TEXT(INDEX('Providers'!$U$4:$U$503,129),"yyyy-mm-dd"),"")&amp;". "))</f>
        <v/>
      </c>
      <c r="J3132">
        <f>IF(LEN(INDEX('Providers'!$AJ$4:$AJ$503,129))=0,"",INDEX('Providers'!$AJ$4:$AJ$503,129))</f>
        <v/>
      </c>
      <c r="K3132">
        <f>IF(LEN(INDEX('Providers'!$AI$4:$AI$503,129))=0,"",INDEX('Providers'!$AI$4:$AI$503,129))</f>
        <v/>
      </c>
    </row>
    <row r="3133">
      <c r="A3133">
        <f>IF(AND(LEN('Providers'!A133)&gt;0,ISNUMBER('Providers'!W133)),1,0)</f>
        <v/>
      </c>
      <c r="B3133">
        <f>B3132+A3133</f>
        <v/>
      </c>
      <c r="C3133">
        <f>IF(3130&gt;$B$4503,"",MATCH(3130-0.5,$B$3:$B$4503,1))</f>
        <v/>
      </c>
      <c r="D3133">
        <f>"CAQH re-attestation – "&amp;IF(LEN(INDEX('Providers'!$A$4:$A$503,130))=0,"",INDEX('Providers'!$A$4:$A$503,130))</f>
        <v/>
      </c>
      <c r="E3133">
        <f>IF(ISNUMBER(INDEX('Providers'!$W$4:$W$503,130)),TEXT(INDEX('Providers'!$W$4:$W$503,130),"yyyy-mm-dd"),"")</f>
        <v/>
      </c>
      <c r="F3133">
        <f>"Credentialing"</f>
        <v/>
      </c>
      <c r="G3133">
        <f>IF(ISNUMBER(INDEX('Providers'!$U$4:$U$503,130)),TEXT(INDEX('Providers'!$U$4:$U$503,130),"yyyy-mm-dd"),"")</f>
        <v/>
      </c>
      <c r="H3133">
        <f>"High"</f>
        <v/>
      </c>
      <c r="I3133">
        <f>TRIM(IF(LEN(IF(LEN(INDEX('Providers'!$T$4:$T$503,130))=0,"",INDEX('Providers'!$T$4:$T$503,130)))=0,"","CAQH ID: "&amp;IF(LEN(INDEX('Providers'!$T$4:$T$503,130))=0,"",INDEX('Providers'!$T$4:$T$503,130))&amp;". ")&amp;IF(LEN(IF(ISNUMBER(INDEX('Providers'!$U$4:$U$503,130)),TEXT(INDEX('Providers'!$U$4:$U$503,130),"yyyy-mm-dd"),""))=0,"","Last attested: "&amp;IF(ISNUMBER(INDEX('Providers'!$U$4:$U$503,130)),TEXT(INDEX('Providers'!$U$4:$U$503,130),"yyyy-mm-dd"),"")&amp;". "))</f>
        <v/>
      </c>
      <c r="J3133">
        <f>IF(LEN(INDEX('Providers'!$AJ$4:$AJ$503,130))=0,"",INDEX('Providers'!$AJ$4:$AJ$503,130))</f>
        <v/>
      </c>
      <c r="K3133">
        <f>IF(LEN(INDEX('Providers'!$AI$4:$AI$503,130))=0,"",INDEX('Providers'!$AI$4:$AI$503,130))</f>
        <v/>
      </c>
    </row>
    <row r="3134">
      <c r="A3134">
        <f>IF(AND(LEN('Providers'!A134)&gt;0,ISNUMBER('Providers'!W134)),1,0)</f>
        <v/>
      </c>
      <c r="B3134">
        <f>B3133+A3134</f>
        <v/>
      </c>
      <c r="C3134">
        <f>IF(3131&gt;$B$4503,"",MATCH(3131-0.5,$B$3:$B$4503,1))</f>
        <v/>
      </c>
      <c r="D3134">
        <f>"CAQH re-attestation – "&amp;IF(LEN(INDEX('Providers'!$A$4:$A$503,131))=0,"",INDEX('Providers'!$A$4:$A$503,131))</f>
        <v/>
      </c>
      <c r="E3134">
        <f>IF(ISNUMBER(INDEX('Providers'!$W$4:$W$503,131)),TEXT(INDEX('Providers'!$W$4:$W$503,131),"yyyy-mm-dd"),"")</f>
        <v/>
      </c>
      <c r="F3134">
        <f>"Credentialing"</f>
        <v/>
      </c>
      <c r="G3134">
        <f>IF(ISNUMBER(INDEX('Providers'!$U$4:$U$503,131)),TEXT(INDEX('Providers'!$U$4:$U$503,131),"yyyy-mm-dd"),"")</f>
        <v/>
      </c>
      <c r="H3134">
        <f>"High"</f>
        <v/>
      </c>
      <c r="I3134">
        <f>TRIM(IF(LEN(IF(LEN(INDEX('Providers'!$T$4:$T$503,131))=0,"",INDEX('Providers'!$T$4:$T$503,131)))=0,"","CAQH ID: "&amp;IF(LEN(INDEX('Providers'!$T$4:$T$503,131))=0,"",INDEX('Providers'!$T$4:$T$503,131))&amp;". ")&amp;IF(LEN(IF(ISNUMBER(INDEX('Providers'!$U$4:$U$503,131)),TEXT(INDEX('Providers'!$U$4:$U$503,131),"yyyy-mm-dd"),""))=0,"","Last attested: "&amp;IF(ISNUMBER(INDEX('Providers'!$U$4:$U$503,131)),TEXT(INDEX('Providers'!$U$4:$U$503,131),"yyyy-mm-dd"),"")&amp;". "))</f>
        <v/>
      </c>
      <c r="J3134">
        <f>IF(LEN(INDEX('Providers'!$AJ$4:$AJ$503,131))=0,"",INDEX('Providers'!$AJ$4:$AJ$503,131))</f>
        <v/>
      </c>
      <c r="K3134">
        <f>IF(LEN(INDEX('Providers'!$AI$4:$AI$503,131))=0,"",INDEX('Providers'!$AI$4:$AI$503,131))</f>
        <v/>
      </c>
    </row>
    <row r="3135">
      <c r="A3135">
        <f>IF(AND(LEN('Providers'!A135)&gt;0,ISNUMBER('Providers'!W135)),1,0)</f>
        <v/>
      </c>
      <c r="B3135">
        <f>B3134+A3135</f>
        <v/>
      </c>
      <c r="C3135">
        <f>IF(3132&gt;$B$4503,"",MATCH(3132-0.5,$B$3:$B$4503,1))</f>
        <v/>
      </c>
      <c r="D3135">
        <f>"CAQH re-attestation – "&amp;IF(LEN(INDEX('Providers'!$A$4:$A$503,132))=0,"",INDEX('Providers'!$A$4:$A$503,132))</f>
        <v/>
      </c>
      <c r="E3135">
        <f>IF(ISNUMBER(INDEX('Providers'!$W$4:$W$503,132)),TEXT(INDEX('Providers'!$W$4:$W$503,132),"yyyy-mm-dd"),"")</f>
        <v/>
      </c>
      <c r="F3135">
        <f>"Credentialing"</f>
        <v/>
      </c>
      <c r="G3135">
        <f>IF(ISNUMBER(INDEX('Providers'!$U$4:$U$503,132)),TEXT(INDEX('Providers'!$U$4:$U$503,132),"yyyy-mm-dd"),"")</f>
        <v/>
      </c>
      <c r="H3135">
        <f>"High"</f>
        <v/>
      </c>
      <c r="I3135">
        <f>TRIM(IF(LEN(IF(LEN(INDEX('Providers'!$T$4:$T$503,132))=0,"",INDEX('Providers'!$T$4:$T$503,132)))=0,"","CAQH ID: "&amp;IF(LEN(INDEX('Providers'!$T$4:$T$503,132))=0,"",INDEX('Providers'!$T$4:$T$503,132))&amp;". ")&amp;IF(LEN(IF(ISNUMBER(INDEX('Providers'!$U$4:$U$503,132)),TEXT(INDEX('Providers'!$U$4:$U$503,132),"yyyy-mm-dd"),""))=0,"","Last attested: "&amp;IF(ISNUMBER(INDEX('Providers'!$U$4:$U$503,132)),TEXT(INDEX('Providers'!$U$4:$U$503,132),"yyyy-mm-dd"),"")&amp;". "))</f>
        <v/>
      </c>
      <c r="J3135">
        <f>IF(LEN(INDEX('Providers'!$AJ$4:$AJ$503,132))=0,"",INDEX('Providers'!$AJ$4:$AJ$503,132))</f>
        <v/>
      </c>
      <c r="K3135">
        <f>IF(LEN(INDEX('Providers'!$AI$4:$AI$503,132))=0,"",INDEX('Providers'!$AI$4:$AI$503,132))</f>
        <v/>
      </c>
    </row>
    <row r="3136">
      <c r="A3136">
        <f>IF(AND(LEN('Providers'!A136)&gt;0,ISNUMBER('Providers'!W136)),1,0)</f>
        <v/>
      </c>
      <c r="B3136">
        <f>B3135+A3136</f>
        <v/>
      </c>
      <c r="C3136">
        <f>IF(3133&gt;$B$4503,"",MATCH(3133-0.5,$B$3:$B$4503,1))</f>
        <v/>
      </c>
      <c r="D3136">
        <f>"CAQH re-attestation – "&amp;IF(LEN(INDEX('Providers'!$A$4:$A$503,133))=0,"",INDEX('Providers'!$A$4:$A$503,133))</f>
        <v/>
      </c>
      <c r="E3136">
        <f>IF(ISNUMBER(INDEX('Providers'!$W$4:$W$503,133)),TEXT(INDEX('Providers'!$W$4:$W$503,133),"yyyy-mm-dd"),"")</f>
        <v/>
      </c>
      <c r="F3136">
        <f>"Credentialing"</f>
        <v/>
      </c>
      <c r="G3136">
        <f>IF(ISNUMBER(INDEX('Providers'!$U$4:$U$503,133)),TEXT(INDEX('Providers'!$U$4:$U$503,133),"yyyy-mm-dd"),"")</f>
        <v/>
      </c>
      <c r="H3136">
        <f>"High"</f>
        <v/>
      </c>
      <c r="I3136">
        <f>TRIM(IF(LEN(IF(LEN(INDEX('Providers'!$T$4:$T$503,133))=0,"",INDEX('Providers'!$T$4:$T$503,133)))=0,"","CAQH ID: "&amp;IF(LEN(INDEX('Providers'!$T$4:$T$503,133))=0,"",INDEX('Providers'!$T$4:$T$503,133))&amp;". ")&amp;IF(LEN(IF(ISNUMBER(INDEX('Providers'!$U$4:$U$503,133)),TEXT(INDEX('Providers'!$U$4:$U$503,133),"yyyy-mm-dd"),""))=0,"","Last attested: "&amp;IF(ISNUMBER(INDEX('Providers'!$U$4:$U$503,133)),TEXT(INDEX('Providers'!$U$4:$U$503,133),"yyyy-mm-dd"),"")&amp;". "))</f>
        <v/>
      </c>
      <c r="J3136">
        <f>IF(LEN(INDEX('Providers'!$AJ$4:$AJ$503,133))=0,"",INDEX('Providers'!$AJ$4:$AJ$503,133))</f>
        <v/>
      </c>
      <c r="K3136">
        <f>IF(LEN(INDEX('Providers'!$AI$4:$AI$503,133))=0,"",INDEX('Providers'!$AI$4:$AI$503,133))</f>
        <v/>
      </c>
    </row>
    <row r="3137">
      <c r="A3137">
        <f>IF(AND(LEN('Providers'!A137)&gt;0,ISNUMBER('Providers'!W137)),1,0)</f>
        <v/>
      </c>
      <c r="B3137">
        <f>B3136+A3137</f>
        <v/>
      </c>
      <c r="C3137">
        <f>IF(3134&gt;$B$4503,"",MATCH(3134-0.5,$B$3:$B$4503,1))</f>
        <v/>
      </c>
      <c r="D3137">
        <f>"CAQH re-attestation – "&amp;IF(LEN(INDEX('Providers'!$A$4:$A$503,134))=0,"",INDEX('Providers'!$A$4:$A$503,134))</f>
        <v/>
      </c>
      <c r="E3137">
        <f>IF(ISNUMBER(INDEX('Providers'!$W$4:$W$503,134)),TEXT(INDEX('Providers'!$W$4:$W$503,134),"yyyy-mm-dd"),"")</f>
        <v/>
      </c>
      <c r="F3137">
        <f>"Credentialing"</f>
        <v/>
      </c>
      <c r="G3137">
        <f>IF(ISNUMBER(INDEX('Providers'!$U$4:$U$503,134)),TEXT(INDEX('Providers'!$U$4:$U$503,134),"yyyy-mm-dd"),"")</f>
        <v/>
      </c>
      <c r="H3137">
        <f>"High"</f>
        <v/>
      </c>
      <c r="I3137">
        <f>TRIM(IF(LEN(IF(LEN(INDEX('Providers'!$T$4:$T$503,134))=0,"",INDEX('Providers'!$T$4:$T$503,134)))=0,"","CAQH ID: "&amp;IF(LEN(INDEX('Providers'!$T$4:$T$503,134))=0,"",INDEX('Providers'!$T$4:$T$503,134))&amp;". ")&amp;IF(LEN(IF(ISNUMBER(INDEX('Providers'!$U$4:$U$503,134)),TEXT(INDEX('Providers'!$U$4:$U$503,134),"yyyy-mm-dd"),""))=0,"","Last attested: "&amp;IF(ISNUMBER(INDEX('Providers'!$U$4:$U$503,134)),TEXT(INDEX('Providers'!$U$4:$U$503,134),"yyyy-mm-dd"),"")&amp;". "))</f>
        <v/>
      </c>
      <c r="J3137">
        <f>IF(LEN(INDEX('Providers'!$AJ$4:$AJ$503,134))=0,"",INDEX('Providers'!$AJ$4:$AJ$503,134))</f>
        <v/>
      </c>
      <c r="K3137">
        <f>IF(LEN(INDEX('Providers'!$AI$4:$AI$503,134))=0,"",INDEX('Providers'!$AI$4:$AI$503,134))</f>
        <v/>
      </c>
    </row>
    <row r="3138">
      <c r="A3138">
        <f>IF(AND(LEN('Providers'!A138)&gt;0,ISNUMBER('Providers'!W138)),1,0)</f>
        <v/>
      </c>
      <c r="B3138">
        <f>B3137+A3138</f>
        <v/>
      </c>
      <c r="C3138">
        <f>IF(3135&gt;$B$4503,"",MATCH(3135-0.5,$B$3:$B$4503,1))</f>
        <v/>
      </c>
      <c r="D3138">
        <f>"CAQH re-attestation – "&amp;IF(LEN(INDEX('Providers'!$A$4:$A$503,135))=0,"",INDEX('Providers'!$A$4:$A$503,135))</f>
        <v/>
      </c>
      <c r="E3138">
        <f>IF(ISNUMBER(INDEX('Providers'!$W$4:$W$503,135)),TEXT(INDEX('Providers'!$W$4:$W$503,135),"yyyy-mm-dd"),"")</f>
        <v/>
      </c>
      <c r="F3138">
        <f>"Credentialing"</f>
        <v/>
      </c>
      <c r="G3138">
        <f>IF(ISNUMBER(INDEX('Providers'!$U$4:$U$503,135)),TEXT(INDEX('Providers'!$U$4:$U$503,135),"yyyy-mm-dd"),"")</f>
        <v/>
      </c>
      <c r="H3138">
        <f>"High"</f>
        <v/>
      </c>
      <c r="I3138">
        <f>TRIM(IF(LEN(IF(LEN(INDEX('Providers'!$T$4:$T$503,135))=0,"",INDEX('Providers'!$T$4:$T$503,135)))=0,"","CAQH ID: "&amp;IF(LEN(INDEX('Providers'!$T$4:$T$503,135))=0,"",INDEX('Providers'!$T$4:$T$503,135))&amp;". ")&amp;IF(LEN(IF(ISNUMBER(INDEX('Providers'!$U$4:$U$503,135)),TEXT(INDEX('Providers'!$U$4:$U$503,135),"yyyy-mm-dd"),""))=0,"","Last attested: "&amp;IF(ISNUMBER(INDEX('Providers'!$U$4:$U$503,135)),TEXT(INDEX('Providers'!$U$4:$U$503,135),"yyyy-mm-dd"),"")&amp;". "))</f>
        <v/>
      </c>
      <c r="J3138">
        <f>IF(LEN(INDEX('Providers'!$AJ$4:$AJ$503,135))=0,"",INDEX('Providers'!$AJ$4:$AJ$503,135))</f>
        <v/>
      </c>
      <c r="K3138">
        <f>IF(LEN(INDEX('Providers'!$AI$4:$AI$503,135))=0,"",INDEX('Providers'!$AI$4:$AI$503,135))</f>
        <v/>
      </c>
    </row>
    <row r="3139">
      <c r="A3139">
        <f>IF(AND(LEN('Providers'!A139)&gt;0,ISNUMBER('Providers'!W139)),1,0)</f>
        <v/>
      </c>
      <c r="B3139">
        <f>B3138+A3139</f>
        <v/>
      </c>
      <c r="C3139">
        <f>IF(3136&gt;$B$4503,"",MATCH(3136-0.5,$B$3:$B$4503,1))</f>
        <v/>
      </c>
      <c r="D3139">
        <f>"CAQH re-attestation – "&amp;IF(LEN(INDEX('Providers'!$A$4:$A$503,136))=0,"",INDEX('Providers'!$A$4:$A$503,136))</f>
        <v/>
      </c>
      <c r="E3139">
        <f>IF(ISNUMBER(INDEX('Providers'!$W$4:$W$503,136)),TEXT(INDEX('Providers'!$W$4:$W$503,136),"yyyy-mm-dd"),"")</f>
        <v/>
      </c>
      <c r="F3139">
        <f>"Credentialing"</f>
        <v/>
      </c>
      <c r="G3139">
        <f>IF(ISNUMBER(INDEX('Providers'!$U$4:$U$503,136)),TEXT(INDEX('Providers'!$U$4:$U$503,136),"yyyy-mm-dd"),"")</f>
        <v/>
      </c>
      <c r="H3139">
        <f>"High"</f>
        <v/>
      </c>
      <c r="I3139">
        <f>TRIM(IF(LEN(IF(LEN(INDEX('Providers'!$T$4:$T$503,136))=0,"",INDEX('Providers'!$T$4:$T$503,136)))=0,"","CAQH ID: "&amp;IF(LEN(INDEX('Providers'!$T$4:$T$503,136))=0,"",INDEX('Providers'!$T$4:$T$503,136))&amp;". ")&amp;IF(LEN(IF(ISNUMBER(INDEX('Providers'!$U$4:$U$503,136)),TEXT(INDEX('Providers'!$U$4:$U$503,136),"yyyy-mm-dd"),""))=0,"","Last attested: "&amp;IF(ISNUMBER(INDEX('Providers'!$U$4:$U$503,136)),TEXT(INDEX('Providers'!$U$4:$U$503,136),"yyyy-mm-dd"),"")&amp;". "))</f>
        <v/>
      </c>
      <c r="J3139">
        <f>IF(LEN(INDEX('Providers'!$AJ$4:$AJ$503,136))=0,"",INDEX('Providers'!$AJ$4:$AJ$503,136))</f>
        <v/>
      </c>
      <c r="K3139">
        <f>IF(LEN(INDEX('Providers'!$AI$4:$AI$503,136))=0,"",INDEX('Providers'!$AI$4:$AI$503,136))</f>
        <v/>
      </c>
    </row>
    <row r="3140">
      <c r="A3140">
        <f>IF(AND(LEN('Providers'!A140)&gt;0,ISNUMBER('Providers'!W140)),1,0)</f>
        <v/>
      </c>
      <c r="B3140">
        <f>B3139+A3140</f>
        <v/>
      </c>
      <c r="C3140">
        <f>IF(3137&gt;$B$4503,"",MATCH(3137-0.5,$B$3:$B$4503,1))</f>
        <v/>
      </c>
      <c r="D3140">
        <f>"CAQH re-attestation – "&amp;IF(LEN(INDEX('Providers'!$A$4:$A$503,137))=0,"",INDEX('Providers'!$A$4:$A$503,137))</f>
        <v/>
      </c>
      <c r="E3140">
        <f>IF(ISNUMBER(INDEX('Providers'!$W$4:$W$503,137)),TEXT(INDEX('Providers'!$W$4:$W$503,137),"yyyy-mm-dd"),"")</f>
        <v/>
      </c>
      <c r="F3140">
        <f>"Credentialing"</f>
        <v/>
      </c>
      <c r="G3140">
        <f>IF(ISNUMBER(INDEX('Providers'!$U$4:$U$503,137)),TEXT(INDEX('Providers'!$U$4:$U$503,137),"yyyy-mm-dd"),"")</f>
        <v/>
      </c>
      <c r="H3140">
        <f>"High"</f>
        <v/>
      </c>
      <c r="I3140">
        <f>TRIM(IF(LEN(IF(LEN(INDEX('Providers'!$T$4:$T$503,137))=0,"",INDEX('Providers'!$T$4:$T$503,137)))=0,"","CAQH ID: "&amp;IF(LEN(INDEX('Providers'!$T$4:$T$503,137))=0,"",INDEX('Providers'!$T$4:$T$503,137))&amp;". ")&amp;IF(LEN(IF(ISNUMBER(INDEX('Providers'!$U$4:$U$503,137)),TEXT(INDEX('Providers'!$U$4:$U$503,137),"yyyy-mm-dd"),""))=0,"","Last attested: "&amp;IF(ISNUMBER(INDEX('Providers'!$U$4:$U$503,137)),TEXT(INDEX('Providers'!$U$4:$U$503,137),"yyyy-mm-dd"),"")&amp;". "))</f>
        <v/>
      </c>
      <c r="J3140">
        <f>IF(LEN(INDEX('Providers'!$AJ$4:$AJ$503,137))=0,"",INDEX('Providers'!$AJ$4:$AJ$503,137))</f>
        <v/>
      </c>
      <c r="K3140">
        <f>IF(LEN(INDEX('Providers'!$AI$4:$AI$503,137))=0,"",INDEX('Providers'!$AI$4:$AI$503,137))</f>
        <v/>
      </c>
    </row>
    <row r="3141">
      <c r="A3141">
        <f>IF(AND(LEN('Providers'!A141)&gt;0,ISNUMBER('Providers'!W141)),1,0)</f>
        <v/>
      </c>
      <c r="B3141">
        <f>B3140+A3141</f>
        <v/>
      </c>
      <c r="C3141">
        <f>IF(3138&gt;$B$4503,"",MATCH(3138-0.5,$B$3:$B$4503,1))</f>
        <v/>
      </c>
      <c r="D3141">
        <f>"CAQH re-attestation – "&amp;IF(LEN(INDEX('Providers'!$A$4:$A$503,138))=0,"",INDEX('Providers'!$A$4:$A$503,138))</f>
        <v/>
      </c>
      <c r="E3141">
        <f>IF(ISNUMBER(INDEX('Providers'!$W$4:$W$503,138)),TEXT(INDEX('Providers'!$W$4:$W$503,138),"yyyy-mm-dd"),"")</f>
        <v/>
      </c>
      <c r="F3141">
        <f>"Credentialing"</f>
        <v/>
      </c>
      <c r="G3141">
        <f>IF(ISNUMBER(INDEX('Providers'!$U$4:$U$503,138)),TEXT(INDEX('Providers'!$U$4:$U$503,138),"yyyy-mm-dd"),"")</f>
        <v/>
      </c>
      <c r="H3141">
        <f>"High"</f>
        <v/>
      </c>
      <c r="I3141">
        <f>TRIM(IF(LEN(IF(LEN(INDEX('Providers'!$T$4:$T$503,138))=0,"",INDEX('Providers'!$T$4:$T$503,138)))=0,"","CAQH ID: "&amp;IF(LEN(INDEX('Providers'!$T$4:$T$503,138))=0,"",INDEX('Providers'!$T$4:$T$503,138))&amp;". ")&amp;IF(LEN(IF(ISNUMBER(INDEX('Providers'!$U$4:$U$503,138)),TEXT(INDEX('Providers'!$U$4:$U$503,138),"yyyy-mm-dd"),""))=0,"","Last attested: "&amp;IF(ISNUMBER(INDEX('Providers'!$U$4:$U$503,138)),TEXT(INDEX('Providers'!$U$4:$U$503,138),"yyyy-mm-dd"),"")&amp;". "))</f>
        <v/>
      </c>
      <c r="J3141">
        <f>IF(LEN(INDEX('Providers'!$AJ$4:$AJ$503,138))=0,"",INDEX('Providers'!$AJ$4:$AJ$503,138))</f>
        <v/>
      </c>
      <c r="K3141">
        <f>IF(LEN(INDEX('Providers'!$AI$4:$AI$503,138))=0,"",INDEX('Providers'!$AI$4:$AI$503,138))</f>
        <v/>
      </c>
    </row>
    <row r="3142">
      <c r="A3142">
        <f>IF(AND(LEN('Providers'!A142)&gt;0,ISNUMBER('Providers'!W142)),1,0)</f>
        <v/>
      </c>
      <c r="B3142">
        <f>B3141+A3142</f>
        <v/>
      </c>
      <c r="C3142">
        <f>IF(3139&gt;$B$4503,"",MATCH(3139-0.5,$B$3:$B$4503,1))</f>
        <v/>
      </c>
      <c r="D3142">
        <f>"CAQH re-attestation – "&amp;IF(LEN(INDEX('Providers'!$A$4:$A$503,139))=0,"",INDEX('Providers'!$A$4:$A$503,139))</f>
        <v/>
      </c>
      <c r="E3142">
        <f>IF(ISNUMBER(INDEX('Providers'!$W$4:$W$503,139)),TEXT(INDEX('Providers'!$W$4:$W$503,139),"yyyy-mm-dd"),"")</f>
        <v/>
      </c>
      <c r="F3142">
        <f>"Credentialing"</f>
        <v/>
      </c>
      <c r="G3142">
        <f>IF(ISNUMBER(INDEX('Providers'!$U$4:$U$503,139)),TEXT(INDEX('Providers'!$U$4:$U$503,139),"yyyy-mm-dd"),"")</f>
        <v/>
      </c>
      <c r="H3142">
        <f>"High"</f>
        <v/>
      </c>
      <c r="I3142">
        <f>TRIM(IF(LEN(IF(LEN(INDEX('Providers'!$T$4:$T$503,139))=0,"",INDEX('Providers'!$T$4:$T$503,139)))=0,"","CAQH ID: "&amp;IF(LEN(INDEX('Providers'!$T$4:$T$503,139))=0,"",INDEX('Providers'!$T$4:$T$503,139))&amp;". ")&amp;IF(LEN(IF(ISNUMBER(INDEX('Providers'!$U$4:$U$503,139)),TEXT(INDEX('Providers'!$U$4:$U$503,139),"yyyy-mm-dd"),""))=0,"","Last attested: "&amp;IF(ISNUMBER(INDEX('Providers'!$U$4:$U$503,139)),TEXT(INDEX('Providers'!$U$4:$U$503,139),"yyyy-mm-dd"),"")&amp;". "))</f>
        <v/>
      </c>
      <c r="J3142">
        <f>IF(LEN(INDEX('Providers'!$AJ$4:$AJ$503,139))=0,"",INDEX('Providers'!$AJ$4:$AJ$503,139))</f>
        <v/>
      </c>
      <c r="K3142">
        <f>IF(LEN(INDEX('Providers'!$AI$4:$AI$503,139))=0,"",INDEX('Providers'!$AI$4:$AI$503,139))</f>
        <v/>
      </c>
    </row>
    <row r="3143">
      <c r="A3143">
        <f>IF(AND(LEN('Providers'!A143)&gt;0,ISNUMBER('Providers'!W143)),1,0)</f>
        <v/>
      </c>
      <c r="B3143">
        <f>B3142+A3143</f>
        <v/>
      </c>
      <c r="C3143">
        <f>IF(3140&gt;$B$4503,"",MATCH(3140-0.5,$B$3:$B$4503,1))</f>
        <v/>
      </c>
      <c r="D3143">
        <f>"CAQH re-attestation – "&amp;IF(LEN(INDEX('Providers'!$A$4:$A$503,140))=0,"",INDEX('Providers'!$A$4:$A$503,140))</f>
        <v/>
      </c>
      <c r="E3143">
        <f>IF(ISNUMBER(INDEX('Providers'!$W$4:$W$503,140)),TEXT(INDEX('Providers'!$W$4:$W$503,140),"yyyy-mm-dd"),"")</f>
        <v/>
      </c>
      <c r="F3143">
        <f>"Credentialing"</f>
        <v/>
      </c>
      <c r="G3143">
        <f>IF(ISNUMBER(INDEX('Providers'!$U$4:$U$503,140)),TEXT(INDEX('Providers'!$U$4:$U$503,140),"yyyy-mm-dd"),"")</f>
        <v/>
      </c>
      <c r="H3143">
        <f>"High"</f>
        <v/>
      </c>
      <c r="I3143">
        <f>TRIM(IF(LEN(IF(LEN(INDEX('Providers'!$T$4:$T$503,140))=0,"",INDEX('Providers'!$T$4:$T$503,140)))=0,"","CAQH ID: "&amp;IF(LEN(INDEX('Providers'!$T$4:$T$503,140))=0,"",INDEX('Providers'!$T$4:$T$503,140))&amp;". ")&amp;IF(LEN(IF(ISNUMBER(INDEX('Providers'!$U$4:$U$503,140)),TEXT(INDEX('Providers'!$U$4:$U$503,140),"yyyy-mm-dd"),""))=0,"","Last attested: "&amp;IF(ISNUMBER(INDEX('Providers'!$U$4:$U$503,140)),TEXT(INDEX('Providers'!$U$4:$U$503,140),"yyyy-mm-dd"),"")&amp;". "))</f>
        <v/>
      </c>
      <c r="J3143">
        <f>IF(LEN(INDEX('Providers'!$AJ$4:$AJ$503,140))=0,"",INDEX('Providers'!$AJ$4:$AJ$503,140))</f>
        <v/>
      </c>
      <c r="K3143">
        <f>IF(LEN(INDEX('Providers'!$AI$4:$AI$503,140))=0,"",INDEX('Providers'!$AI$4:$AI$503,140))</f>
        <v/>
      </c>
    </row>
    <row r="3144">
      <c r="A3144">
        <f>IF(AND(LEN('Providers'!A144)&gt;0,ISNUMBER('Providers'!W144)),1,0)</f>
        <v/>
      </c>
      <c r="B3144">
        <f>B3143+A3144</f>
        <v/>
      </c>
      <c r="C3144">
        <f>IF(3141&gt;$B$4503,"",MATCH(3141-0.5,$B$3:$B$4503,1))</f>
        <v/>
      </c>
      <c r="D3144">
        <f>"CAQH re-attestation – "&amp;IF(LEN(INDEX('Providers'!$A$4:$A$503,141))=0,"",INDEX('Providers'!$A$4:$A$503,141))</f>
        <v/>
      </c>
      <c r="E3144">
        <f>IF(ISNUMBER(INDEX('Providers'!$W$4:$W$503,141)),TEXT(INDEX('Providers'!$W$4:$W$503,141),"yyyy-mm-dd"),"")</f>
        <v/>
      </c>
      <c r="F3144">
        <f>"Credentialing"</f>
        <v/>
      </c>
      <c r="G3144">
        <f>IF(ISNUMBER(INDEX('Providers'!$U$4:$U$503,141)),TEXT(INDEX('Providers'!$U$4:$U$503,141),"yyyy-mm-dd"),"")</f>
        <v/>
      </c>
      <c r="H3144">
        <f>"High"</f>
        <v/>
      </c>
      <c r="I3144">
        <f>TRIM(IF(LEN(IF(LEN(INDEX('Providers'!$T$4:$T$503,141))=0,"",INDEX('Providers'!$T$4:$T$503,141)))=0,"","CAQH ID: "&amp;IF(LEN(INDEX('Providers'!$T$4:$T$503,141))=0,"",INDEX('Providers'!$T$4:$T$503,141))&amp;". ")&amp;IF(LEN(IF(ISNUMBER(INDEX('Providers'!$U$4:$U$503,141)),TEXT(INDEX('Providers'!$U$4:$U$503,141),"yyyy-mm-dd"),""))=0,"","Last attested: "&amp;IF(ISNUMBER(INDEX('Providers'!$U$4:$U$503,141)),TEXT(INDEX('Providers'!$U$4:$U$503,141),"yyyy-mm-dd"),"")&amp;". "))</f>
        <v/>
      </c>
      <c r="J3144">
        <f>IF(LEN(INDEX('Providers'!$AJ$4:$AJ$503,141))=0,"",INDEX('Providers'!$AJ$4:$AJ$503,141))</f>
        <v/>
      </c>
      <c r="K3144">
        <f>IF(LEN(INDEX('Providers'!$AI$4:$AI$503,141))=0,"",INDEX('Providers'!$AI$4:$AI$503,141))</f>
        <v/>
      </c>
    </row>
    <row r="3145">
      <c r="A3145">
        <f>IF(AND(LEN('Providers'!A145)&gt;0,ISNUMBER('Providers'!W145)),1,0)</f>
        <v/>
      </c>
      <c r="B3145">
        <f>B3144+A3145</f>
        <v/>
      </c>
      <c r="C3145">
        <f>IF(3142&gt;$B$4503,"",MATCH(3142-0.5,$B$3:$B$4503,1))</f>
        <v/>
      </c>
      <c r="D3145">
        <f>"CAQH re-attestation – "&amp;IF(LEN(INDEX('Providers'!$A$4:$A$503,142))=0,"",INDEX('Providers'!$A$4:$A$503,142))</f>
        <v/>
      </c>
      <c r="E3145">
        <f>IF(ISNUMBER(INDEX('Providers'!$W$4:$W$503,142)),TEXT(INDEX('Providers'!$W$4:$W$503,142),"yyyy-mm-dd"),"")</f>
        <v/>
      </c>
      <c r="F3145">
        <f>"Credentialing"</f>
        <v/>
      </c>
      <c r="G3145">
        <f>IF(ISNUMBER(INDEX('Providers'!$U$4:$U$503,142)),TEXT(INDEX('Providers'!$U$4:$U$503,142),"yyyy-mm-dd"),"")</f>
        <v/>
      </c>
      <c r="H3145">
        <f>"High"</f>
        <v/>
      </c>
      <c r="I3145">
        <f>TRIM(IF(LEN(IF(LEN(INDEX('Providers'!$T$4:$T$503,142))=0,"",INDEX('Providers'!$T$4:$T$503,142)))=0,"","CAQH ID: "&amp;IF(LEN(INDEX('Providers'!$T$4:$T$503,142))=0,"",INDEX('Providers'!$T$4:$T$503,142))&amp;". ")&amp;IF(LEN(IF(ISNUMBER(INDEX('Providers'!$U$4:$U$503,142)),TEXT(INDEX('Providers'!$U$4:$U$503,142),"yyyy-mm-dd"),""))=0,"","Last attested: "&amp;IF(ISNUMBER(INDEX('Providers'!$U$4:$U$503,142)),TEXT(INDEX('Providers'!$U$4:$U$503,142),"yyyy-mm-dd"),"")&amp;". "))</f>
        <v/>
      </c>
      <c r="J3145">
        <f>IF(LEN(INDEX('Providers'!$AJ$4:$AJ$503,142))=0,"",INDEX('Providers'!$AJ$4:$AJ$503,142))</f>
        <v/>
      </c>
      <c r="K3145">
        <f>IF(LEN(INDEX('Providers'!$AI$4:$AI$503,142))=0,"",INDEX('Providers'!$AI$4:$AI$503,142))</f>
        <v/>
      </c>
    </row>
    <row r="3146">
      <c r="A3146">
        <f>IF(AND(LEN('Providers'!A146)&gt;0,ISNUMBER('Providers'!W146)),1,0)</f>
        <v/>
      </c>
      <c r="B3146">
        <f>B3145+A3146</f>
        <v/>
      </c>
      <c r="C3146">
        <f>IF(3143&gt;$B$4503,"",MATCH(3143-0.5,$B$3:$B$4503,1))</f>
        <v/>
      </c>
      <c r="D3146">
        <f>"CAQH re-attestation – "&amp;IF(LEN(INDEX('Providers'!$A$4:$A$503,143))=0,"",INDEX('Providers'!$A$4:$A$503,143))</f>
        <v/>
      </c>
      <c r="E3146">
        <f>IF(ISNUMBER(INDEX('Providers'!$W$4:$W$503,143)),TEXT(INDEX('Providers'!$W$4:$W$503,143),"yyyy-mm-dd"),"")</f>
        <v/>
      </c>
      <c r="F3146">
        <f>"Credentialing"</f>
        <v/>
      </c>
      <c r="G3146">
        <f>IF(ISNUMBER(INDEX('Providers'!$U$4:$U$503,143)),TEXT(INDEX('Providers'!$U$4:$U$503,143),"yyyy-mm-dd"),"")</f>
        <v/>
      </c>
      <c r="H3146">
        <f>"High"</f>
        <v/>
      </c>
      <c r="I3146">
        <f>TRIM(IF(LEN(IF(LEN(INDEX('Providers'!$T$4:$T$503,143))=0,"",INDEX('Providers'!$T$4:$T$503,143)))=0,"","CAQH ID: "&amp;IF(LEN(INDEX('Providers'!$T$4:$T$503,143))=0,"",INDEX('Providers'!$T$4:$T$503,143))&amp;". ")&amp;IF(LEN(IF(ISNUMBER(INDEX('Providers'!$U$4:$U$503,143)),TEXT(INDEX('Providers'!$U$4:$U$503,143),"yyyy-mm-dd"),""))=0,"","Last attested: "&amp;IF(ISNUMBER(INDEX('Providers'!$U$4:$U$503,143)),TEXT(INDEX('Providers'!$U$4:$U$503,143),"yyyy-mm-dd"),"")&amp;". "))</f>
        <v/>
      </c>
      <c r="J3146">
        <f>IF(LEN(INDEX('Providers'!$AJ$4:$AJ$503,143))=0,"",INDEX('Providers'!$AJ$4:$AJ$503,143))</f>
        <v/>
      </c>
      <c r="K3146">
        <f>IF(LEN(INDEX('Providers'!$AI$4:$AI$503,143))=0,"",INDEX('Providers'!$AI$4:$AI$503,143))</f>
        <v/>
      </c>
    </row>
    <row r="3147">
      <c r="A3147">
        <f>IF(AND(LEN('Providers'!A147)&gt;0,ISNUMBER('Providers'!W147)),1,0)</f>
        <v/>
      </c>
      <c r="B3147">
        <f>B3146+A3147</f>
        <v/>
      </c>
      <c r="C3147">
        <f>IF(3144&gt;$B$4503,"",MATCH(3144-0.5,$B$3:$B$4503,1))</f>
        <v/>
      </c>
      <c r="D3147">
        <f>"CAQH re-attestation – "&amp;IF(LEN(INDEX('Providers'!$A$4:$A$503,144))=0,"",INDEX('Providers'!$A$4:$A$503,144))</f>
        <v/>
      </c>
      <c r="E3147">
        <f>IF(ISNUMBER(INDEX('Providers'!$W$4:$W$503,144)),TEXT(INDEX('Providers'!$W$4:$W$503,144),"yyyy-mm-dd"),"")</f>
        <v/>
      </c>
      <c r="F3147">
        <f>"Credentialing"</f>
        <v/>
      </c>
      <c r="G3147">
        <f>IF(ISNUMBER(INDEX('Providers'!$U$4:$U$503,144)),TEXT(INDEX('Providers'!$U$4:$U$503,144),"yyyy-mm-dd"),"")</f>
        <v/>
      </c>
      <c r="H3147">
        <f>"High"</f>
        <v/>
      </c>
      <c r="I3147">
        <f>TRIM(IF(LEN(IF(LEN(INDEX('Providers'!$T$4:$T$503,144))=0,"",INDEX('Providers'!$T$4:$T$503,144)))=0,"","CAQH ID: "&amp;IF(LEN(INDEX('Providers'!$T$4:$T$503,144))=0,"",INDEX('Providers'!$T$4:$T$503,144))&amp;". ")&amp;IF(LEN(IF(ISNUMBER(INDEX('Providers'!$U$4:$U$503,144)),TEXT(INDEX('Providers'!$U$4:$U$503,144),"yyyy-mm-dd"),""))=0,"","Last attested: "&amp;IF(ISNUMBER(INDEX('Providers'!$U$4:$U$503,144)),TEXT(INDEX('Providers'!$U$4:$U$503,144),"yyyy-mm-dd"),"")&amp;". "))</f>
        <v/>
      </c>
      <c r="J3147">
        <f>IF(LEN(INDEX('Providers'!$AJ$4:$AJ$503,144))=0,"",INDEX('Providers'!$AJ$4:$AJ$503,144))</f>
        <v/>
      </c>
      <c r="K3147">
        <f>IF(LEN(INDEX('Providers'!$AI$4:$AI$503,144))=0,"",INDEX('Providers'!$AI$4:$AI$503,144))</f>
        <v/>
      </c>
    </row>
    <row r="3148">
      <c r="A3148">
        <f>IF(AND(LEN('Providers'!A148)&gt;0,ISNUMBER('Providers'!W148)),1,0)</f>
        <v/>
      </c>
      <c r="B3148">
        <f>B3147+A3148</f>
        <v/>
      </c>
      <c r="C3148">
        <f>IF(3145&gt;$B$4503,"",MATCH(3145-0.5,$B$3:$B$4503,1))</f>
        <v/>
      </c>
      <c r="D3148">
        <f>"CAQH re-attestation – "&amp;IF(LEN(INDEX('Providers'!$A$4:$A$503,145))=0,"",INDEX('Providers'!$A$4:$A$503,145))</f>
        <v/>
      </c>
      <c r="E3148">
        <f>IF(ISNUMBER(INDEX('Providers'!$W$4:$W$503,145)),TEXT(INDEX('Providers'!$W$4:$W$503,145),"yyyy-mm-dd"),"")</f>
        <v/>
      </c>
      <c r="F3148">
        <f>"Credentialing"</f>
        <v/>
      </c>
      <c r="G3148">
        <f>IF(ISNUMBER(INDEX('Providers'!$U$4:$U$503,145)),TEXT(INDEX('Providers'!$U$4:$U$503,145),"yyyy-mm-dd"),"")</f>
        <v/>
      </c>
      <c r="H3148">
        <f>"High"</f>
        <v/>
      </c>
      <c r="I3148">
        <f>TRIM(IF(LEN(IF(LEN(INDEX('Providers'!$T$4:$T$503,145))=0,"",INDEX('Providers'!$T$4:$T$503,145)))=0,"","CAQH ID: "&amp;IF(LEN(INDEX('Providers'!$T$4:$T$503,145))=0,"",INDEX('Providers'!$T$4:$T$503,145))&amp;". ")&amp;IF(LEN(IF(ISNUMBER(INDEX('Providers'!$U$4:$U$503,145)),TEXT(INDEX('Providers'!$U$4:$U$503,145),"yyyy-mm-dd"),""))=0,"","Last attested: "&amp;IF(ISNUMBER(INDEX('Providers'!$U$4:$U$503,145)),TEXT(INDEX('Providers'!$U$4:$U$503,145),"yyyy-mm-dd"),"")&amp;". "))</f>
        <v/>
      </c>
      <c r="J3148">
        <f>IF(LEN(INDEX('Providers'!$AJ$4:$AJ$503,145))=0,"",INDEX('Providers'!$AJ$4:$AJ$503,145))</f>
        <v/>
      </c>
      <c r="K3148">
        <f>IF(LEN(INDEX('Providers'!$AI$4:$AI$503,145))=0,"",INDEX('Providers'!$AI$4:$AI$503,145))</f>
        <v/>
      </c>
    </row>
    <row r="3149">
      <c r="A3149">
        <f>IF(AND(LEN('Providers'!A149)&gt;0,ISNUMBER('Providers'!W149)),1,0)</f>
        <v/>
      </c>
      <c r="B3149">
        <f>B3148+A3149</f>
        <v/>
      </c>
      <c r="C3149">
        <f>IF(3146&gt;$B$4503,"",MATCH(3146-0.5,$B$3:$B$4503,1))</f>
        <v/>
      </c>
      <c r="D3149">
        <f>"CAQH re-attestation – "&amp;IF(LEN(INDEX('Providers'!$A$4:$A$503,146))=0,"",INDEX('Providers'!$A$4:$A$503,146))</f>
        <v/>
      </c>
      <c r="E3149">
        <f>IF(ISNUMBER(INDEX('Providers'!$W$4:$W$503,146)),TEXT(INDEX('Providers'!$W$4:$W$503,146),"yyyy-mm-dd"),"")</f>
        <v/>
      </c>
      <c r="F3149">
        <f>"Credentialing"</f>
        <v/>
      </c>
      <c r="G3149">
        <f>IF(ISNUMBER(INDEX('Providers'!$U$4:$U$503,146)),TEXT(INDEX('Providers'!$U$4:$U$503,146),"yyyy-mm-dd"),"")</f>
        <v/>
      </c>
      <c r="H3149">
        <f>"High"</f>
        <v/>
      </c>
      <c r="I3149">
        <f>TRIM(IF(LEN(IF(LEN(INDEX('Providers'!$T$4:$T$503,146))=0,"",INDEX('Providers'!$T$4:$T$503,146)))=0,"","CAQH ID: "&amp;IF(LEN(INDEX('Providers'!$T$4:$T$503,146))=0,"",INDEX('Providers'!$T$4:$T$503,146))&amp;". ")&amp;IF(LEN(IF(ISNUMBER(INDEX('Providers'!$U$4:$U$503,146)),TEXT(INDEX('Providers'!$U$4:$U$503,146),"yyyy-mm-dd"),""))=0,"","Last attested: "&amp;IF(ISNUMBER(INDEX('Providers'!$U$4:$U$503,146)),TEXT(INDEX('Providers'!$U$4:$U$503,146),"yyyy-mm-dd"),"")&amp;". "))</f>
        <v/>
      </c>
      <c r="J3149">
        <f>IF(LEN(INDEX('Providers'!$AJ$4:$AJ$503,146))=0,"",INDEX('Providers'!$AJ$4:$AJ$503,146))</f>
        <v/>
      </c>
      <c r="K3149">
        <f>IF(LEN(INDEX('Providers'!$AI$4:$AI$503,146))=0,"",INDEX('Providers'!$AI$4:$AI$503,146))</f>
        <v/>
      </c>
    </row>
    <row r="3150">
      <c r="A3150">
        <f>IF(AND(LEN('Providers'!A150)&gt;0,ISNUMBER('Providers'!W150)),1,0)</f>
        <v/>
      </c>
      <c r="B3150">
        <f>B3149+A3150</f>
        <v/>
      </c>
      <c r="C3150">
        <f>IF(3147&gt;$B$4503,"",MATCH(3147-0.5,$B$3:$B$4503,1))</f>
        <v/>
      </c>
      <c r="D3150">
        <f>"CAQH re-attestation – "&amp;IF(LEN(INDEX('Providers'!$A$4:$A$503,147))=0,"",INDEX('Providers'!$A$4:$A$503,147))</f>
        <v/>
      </c>
      <c r="E3150">
        <f>IF(ISNUMBER(INDEX('Providers'!$W$4:$W$503,147)),TEXT(INDEX('Providers'!$W$4:$W$503,147),"yyyy-mm-dd"),"")</f>
        <v/>
      </c>
      <c r="F3150">
        <f>"Credentialing"</f>
        <v/>
      </c>
      <c r="G3150">
        <f>IF(ISNUMBER(INDEX('Providers'!$U$4:$U$503,147)),TEXT(INDEX('Providers'!$U$4:$U$503,147),"yyyy-mm-dd"),"")</f>
        <v/>
      </c>
      <c r="H3150">
        <f>"High"</f>
        <v/>
      </c>
      <c r="I3150">
        <f>TRIM(IF(LEN(IF(LEN(INDEX('Providers'!$T$4:$T$503,147))=0,"",INDEX('Providers'!$T$4:$T$503,147)))=0,"","CAQH ID: "&amp;IF(LEN(INDEX('Providers'!$T$4:$T$503,147))=0,"",INDEX('Providers'!$T$4:$T$503,147))&amp;". ")&amp;IF(LEN(IF(ISNUMBER(INDEX('Providers'!$U$4:$U$503,147)),TEXT(INDEX('Providers'!$U$4:$U$503,147),"yyyy-mm-dd"),""))=0,"","Last attested: "&amp;IF(ISNUMBER(INDEX('Providers'!$U$4:$U$503,147)),TEXT(INDEX('Providers'!$U$4:$U$503,147),"yyyy-mm-dd"),"")&amp;". "))</f>
        <v/>
      </c>
      <c r="J3150">
        <f>IF(LEN(INDEX('Providers'!$AJ$4:$AJ$503,147))=0,"",INDEX('Providers'!$AJ$4:$AJ$503,147))</f>
        <v/>
      </c>
      <c r="K3150">
        <f>IF(LEN(INDEX('Providers'!$AI$4:$AI$503,147))=0,"",INDEX('Providers'!$AI$4:$AI$503,147))</f>
        <v/>
      </c>
    </row>
    <row r="3151">
      <c r="A3151">
        <f>IF(AND(LEN('Providers'!A151)&gt;0,ISNUMBER('Providers'!W151)),1,0)</f>
        <v/>
      </c>
      <c r="B3151">
        <f>B3150+A3151</f>
        <v/>
      </c>
      <c r="C3151">
        <f>IF(3148&gt;$B$4503,"",MATCH(3148-0.5,$B$3:$B$4503,1))</f>
        <v/>
      </c>
      <c r="D3151">
        <f>"CAQH re-attestation – "&amp;IF(LEN(INDEX('Providers'!$A$4:$A$503,148))=0,"",INDEX('Providers'!$A$4:$A$503,148))</f>
        <v/>
      </c>
      <c r="E3151">
        <f>IF(ISNUMBER(INDEX('Providers'!$W$4:$W$503,148)),TEXT(INDEX('Providers'!$W$4:$W$503,148),"yyyy-mm-dd"),"")</f>
        <v/>
      </c>
      <c r="F3151">
        <f>"Credentialing"</f>
        <v/>
      </c>
      <c r="G3151">
        <f>IF(ISNUMBER(INDEX('Providers'!$U$4:$U$503,148)),TEXT(INDEX('Providers'!$U$4:$U$503,148),"yyyy-mm-dd"),"")</f>
        <v/>
      </c>
      <c r="H3151">
        <f>"High"</f>
        <v/>
      </c>
      <c r="I3151">
        <f>TRIM(IF(LEN(IF(LEN(INDEX('Providers'!$T$4:$T$503,148))=0,"",INDEX('Providers'!$T$4:$T$503,148)))=0,"","CAQH ID: "&amp;IF(LEN(INDEX('Providers'!$T$4:$T$503,148))=0,"",INDEX('Providers'!$T$4:$T$503,148))&amp;". ")&amp;IF(LEN(IF(ISNUMBER(INDEX('Providers'!$U$4:$U$503,148)),TEXT(INDEX('Providers'!$U$4:$U$503,148),"yyyy-mm-dd"),""))=0,"","Last attested: "&amp;IF(ISNUMBER(INDEX('Providers'!$U$4:$U$503,148)),TEXT(INDEX('Providers'!$U$4:$U$503,148),"yyyy-mm-dd"),"")&amp;". "))</f>
        <v/>
      </c>
      <c r="J3151">
        <f>IF(LEN(INDEX('Providers'!$AJ$4:$AJ$503,148))=0,"",INDEX('Providers'!$AJ$4:$AJ$503,148))</f>
        <v/>
      </c>
      <c r="K3151">
        <f>IF(LEN(INDEX('Providers'!$AI$4:$AI$503,148))=0,"",INDEX('Providers'!$AI$4:$AI$503,148))</f>
        <v/>
      </c>
    </row>
    <row r="3152">
      <c r="A3152">
        <f>IF(AND(LEN('Providers'!A152)&gt;0,ISNUMBER('Providers'!W152)),1,0)</f>
        <v/>
      </c>
      <c r="B3152">
        <f>B3151+A3152</f>
        <v/>
      </c>
      <c r="C3152">
        <f>IF(3149&gt;$B$4503,"",MATCH(3149-0.5,$B$3:$B$4503,1))</f>
        <v/>
      </c>
      <c r="D3152">
        <f>"CAQH re-attestation – "&amp;IF(LEN(INDEX('Providers'!$A$4:$A$503,149))=0,"",INDEX('Providers'!$A$4:$A$503,149))</f>
        <v/>
      </c>
      <c r="E3152">
        <f>IF(ISNUMBER(INDEX('Providers'!$W$4:$W$503,149)),TEXT(INDEX('Providers'!$W$4:$W$503,149),"yyyy-mm-dd"),"")</f>
        <v/>
      </c>
      <c r="F3152">
        <f>"Credentialing"</f>
        <v/>
      </c>
      <c r="G3152">
        <f>IF(ISNUMBER(INDEX('Providers'!$U$4:$U$503,149)),TEXT(INDEX('Providers'!$U$4:$U$503,149),"yyyy-mm-dd"),"")</f>
        <v/>
      </c>
      <c r="H3152">
        <f>"High"</f>
        <v/>
      </c>
      <c r="I3152">
        <f>TRIM(IF(LEN(IF(LEN(INDEX('Providers'!$T$4:$T$503,149))=0,"",INDEX('Providers'!$T$4:$T$503,149)))=0,"","CAQH ID: "&amp;IF(LEN(INDEX('Providers'!$T$4:$T$503,149))=0,"",INDEX('Providers'!$T$4:$T$503,149))&amp;". ")&amp;IF(LEN(IF(ISNUMBER(INDEX('Providers'!$U$4:$U$503,149)),TEXT(INDEX('Providers'!$U$4:$U$503,149),"yyyy-mm-dd"),""))=0,"","Last attested: "&amp;IF(ISNUMBER(INDEX('Providers'!$U$4:$U$503,149)),TEXT(INDEX('Providers'!$U$4:$U$503,149),"yyyy-mm-dd"),"")&amp;". "))</f>
        <v/>
      </c>
      <c r="J3152">
        <f>IF(LEN(INDEX('Providers'!$AJ$4:$AJ$503,149))=0,"",INDEX('Providers'!$AJ$4:$AJ$503,149))</f>
        <v/>
      </c>
      <c r="K3152">
        <f>IF(LEN(INDEX('Providers'!$AI$4:$AI$503,149))=0,"",INDEX('Providers'!$AI$4:$AI$503,149))</f>
        <v/>
      </c>
    </row>
    <row r="3153">
      <c r="A3153">
        <f>IF(AND(LEN('Providers'!A153)&gt;0,ISNUMBER('Providers'!W153)),1,0)</f>
        <v/>
      </c>
      <c r="B3153">
        <f>B3152+A3153</f>
        <v/>
      </c>
      <c r="C3153">
        <f>IF(3150&gt;$B$4503,"",MATCH(3150-0.5,$B$3:$B$4503,1))</f>
        <v/>
      </c>
      <c r="D3153">
        <f>"CAQH re-attestation – "&amp;IF(LEN(INDEX('Providers'!$A$4:$A$503,150))=0,"",INDEX('Providers'!$A$4:$A$503,150))</f>
        <v/>
      </c>
      <c r="E3153">
        <f>IF(ISNUMBER(INDEX('Providers'!$W$4:$W$503,150)),TEXT(INDEX('Providers'!$W$4:$W$503,150),"yyyy-mm-dd"),"")</f>
        <v/>
      </c>
      <c r="F3153">
        <f>"Credentialing"</f>
        <v/>
      </c>
      <c r="G3153">
        <f>IF(ISNUMBER(INDEX('Providers'!$U$4:$U$503,150)),TEXT(INDEX('Providers'!$U$4:$U$503,150),"yyyy-mm-dd"),"")</f>
        <v/>
      </c>
      <c r="H3153">
        <f>"High"</f>
        <v/>
      </c>
      <c r="I3153">
        <f>TRIM(IF(LEN(IF(LEN(INDEX('Providers'!$T$4:$T$503,150))=0,"",INDEX('Providers'!$T$4:$T$503,150)))=0,"","CAQH ID: "&amp;IF(LEN(INDEX('Providers'!$T$4:$T$503,150))=0,"",INDEX('Providers'!$T$4:$T$503,150))&amp;". ")&amp;IF(LEN(IF(ISNUMBER(INDEX('Providers'!$U$4:$U$503,150)),TEXT(INDEX('Providers'!$U$4:$U$503,150),"yyyy-mm-dd"),""))=0,"","Last attested: "&amp;IF(ISNUMBER(INDEX('Providers'!$U$4:$U$503,150)),TEXT(INDEX('Providers'!$U$4:$U$503,150),"yyyy-mm-dd"),"")&amp;". "))</f>
        <v/>
      </c>
      <c r="J3153">
        <f>IF(LEN(INDEX('Providers'!$AJ$4:$AJ$503,150))=0,"",INDEX('Providers'!$AJ$4:$AJ$503,150))</f>
        <v/>
      </c>
      <c r="K3153">
        <f>IF(LEN(INDEX('Providers'!$AI$4:$AI$503,150))=0,"",INDEX('Providers'!$AI$4:$AI$503,150))</f>
        <v/>
      </c>
    </row>
    <row r="3154">
      <c r="A3154">
        <f>IF(AND(LEN('Providers'!A154)&gt;0,ISNUMBER('Providers'!W154)),1,0)</f>
        <v/>
      </c>
      <c r="B3154">
        <f>B3153+A3154</f>
        <v/>
      </c>
      <c r="C3154">
        <f>IF(3151&gt;$B$4503,"",MATCH(3151-0.5,$B$3:$B$4503,1))</f>
        <v/>
      </c>
      <c r="D3154">
        <f>"CAQH re-attestation – "&amp;IF(LEN(INDEX('Providers'!$A$4:$A$503,151))=0,"",INDEX('Providers'!$A$4:$A$503,151))</f>
        <v/>
      </c>
      <c r="E3154">
        <f>IF(ISNUMBER(INDEX('Providers'!$W$4:$W$503,151)),TEXT(INDEX('Providers'!$W$4:$W$503,151),"yyyy-mm-dd"),"")</f>
        <v/>
      </c>
      <c r="F3154">
        <f>"Credentialing"</f>
        <v/>
      </c>
      <c r="G3154">
        <f>IF(ISNUMBER(INDEX('Providers'!$U$4:$U$503,151)),TEXT(INDEX('Providers'!$U$4:$U$503,151),"yyyy-mm-dd"),"")</f>
        <v/>
      </c>
      <c r="H3154">
        <f>"High"</f>
        <v/>
      </c>
      <c r="I3154">
        <f>TRIM(IF(LEN(IF(LEN(INDEX('Providers'!$T$4:$T$503,151))=0,"",INDEX('Providers'!$T$4:$T$503,151)))=0,"","CAQH ID: "&amp;IF(LEN(INDEX('Providers'!$T$4:$T$503,151))=0,"",INDEX('Providers'!$T$4:$T$503,151))&amp;". ")&amp;IF(LEN(IF(ISNUMBER(INDEX('Providers'!$U$4:$U$503,151)),TEXT(INDEX('Providers'!$U$4:$U$503,151),"yyyy-mm-dd"),""))=0,"","Last attested: "&amp;IF(ISNUMBER(INDEX('Providers'!$U$4:$U$503,151)),TEXT(INDEX('Providers'!$U$4:$U$503,151),"yyyy-mm-dd"),"")&amp;". "))</f>
        <v/>
      </c>
      <c r="J3154">
        <f>IF(LEN(INDEX('Providers'!$AJ$4:$AJ$503,151))=0,"",INDEX('Providers'!$AJ$4:$AJ$503,151))</f>
        <v/>
      </c>
      <c r="K3154">
        <f>IF(LEN(INDEX('Providers'!$AI$4:$AI$503,151))=0,"",INDEX('Providers'!$AI$4:$AI$503,151))</f>
        <v/>
      </c>
    </row>
    <row r="3155">
      <c r="A3155">
        <f>IF(AND(LEN('Providers'!A155)&gt;0,ISNUMBER('Providers'!W155)),1,0)</f>
        <v/>
      </c>
      <c r="B3155">
        <f>B3154+A3155</f>
        <v/>
      </c>
      <c r="C3155">
        <f>IF(3152&gt;$B$4503,"",MATCH(3152-0.5,$B$3:$B$4503,1))</f>
        <v/>
      </c>
      <c r="D3155">
        <f>"CAQH re-attestation – "&amp;IF(LEN(INDEX('Providers'!$A$4:$A$503,152))=0,"",INDEX('Providers'!$A$4:$A$503,152))</f>
        <v/>
      </c>
      <c r="E3155">
        <f>IF(ISNUMBER(INDEX('Providers'!$W$4:$W$503,152)),TEXT(INDEX('Providers'!$W$4:$W$503,152),"yyyy-mm-dd"),"")</f>
        <v/>
      </c>
      <c r="F3155">
        <f>"Credentialing"</f>
        <v/>
      </c>
      <c r="G3155">
        <f>IF(ISNUMBER(INDEX('Providers'!$U$4:$U$503,152)),TEXT(INDEX('Providers'!$U$4:$U$503,152),"yyyy-mm-dd"),"")</f>
        <v/>
      </c>
      <c r="H3155">
        <f>"High"</f>
        <v/>
      </c>
      <c r="I3155">
        <f>TRIM(IF(LEN(IF(LEN(INDEX('Providers'!$T$4:$T$503,152))=0,"",INDEX('Providers'!$T$4:$T$503,152)))=0,"","CAQH ID: "&amp;IF(LEN(INDEX('Providers'!$T$4:$T$503,152))=0,"",INDEX('Providers'!$T$4:$T$503,152))&amp;". ")&amp;IF(LEN(IF(ISNUMBER(INDEX('Providers'!$U$4:$U$503,152)),TEXT(INDEX('Providers'!$U$4:$U$503,152),"yyyy-mm-dd"),""))=0,"","Last attested: "&amp;IF(ISNUMBER(INDEX('Providers'!$U$4:$U$503,152)),TEXT(INDEX('Providers'!$U$4:$U$503,152),"yyyy-mm-dd"),"")&amp;". "))</f>
        <v/>
      </c>
      <c r="J3155">
        <f>IF(LEN(INDEX('Providers'!$AJ$4:$AJ$503,152))=0,"",INDEX('Providers'!$AJ$4:$AJ$503,152))</f>
        <v/>
      </c>
      <c r="K3155">
        <f>IF(LEN(INDEX('Providers'!$AI$4:$AI$503,152))=0,"",INDEX('Providers'!$AI$4:$AI$503,152))</f>
        <v/>
      </c>
    </row>
    <row r="3156">
      <c r="A3156">
        <f>IF(AND(LEN('Providers'!A156)&gt;0,ISNUMBER('Providers'!W156)),1,0)</f>
        <v/>
      </c>
      <c r="B3156">
        <f>B3155+A3156</f>
        <v/>
      </c>
      <c r="C3156">
        <f>IF(3153&gt;$B$4503,"",MATCH(3153-0.5,$B$3:$B$4503,1))</f>
        <v/>
      </c>
      <c r="D3156">
        <f>"CAQH re-attestation – "&amp;IF(LEN(INDEX('Providers'!$A$4:$A$503,153))=0,"",INDEX('Providers'!$A$4:$A$503,153))</f>
        <v/>
      </c>
      <c r="E3156">
        <f>IF(ISNUMBER(INDEX('Providers'!$W$4:$W$503,153)),TEXT(INDEX('Providers'!$W$4:$W$503,153),"yyyy-mm-dd"),"")</f>
        <v/>
      </c>
      <c r="F3156">
        <f>"Credentialing"</f>
        <v/>
      </c>
      <c r="G3156">
        <f>IF(ISNUMBER(INDEX('Providers'!$U$4:$U$503,153)),TEXT(INDEX('Providers'!$U$4:$U$503,153),"yyyy-mm-dd"),"")</f>
        <v/>
      </c>
      <c r="H3156">
        <f>"High"</f>
        <v/>
      </c>
      <c r="I3156">
        <f>TRIM(IF(LEN(IF(LEN(INDEX('Providers'!$T$4:$T$503,153))=0,"",INDEX('Providers'!$T$4:$T$503,153)))=0,"","CAQH ID: "&amp;IF(LEN(INDEX('Providers'!$T$4:$T$503,153))=0,"",INDEX('Providers'!$T$4:$T$503,153))&amp;". ")&amp;IF(LEN(IF(ISNUMBER(INDEX('Providers'!$U$4:$U$503,153)),TEXT(INDEX('Providers'!$U$4:$U$503,153),"yyyy-mm-dd"),""))=0,"","Last attested: "&amp;IF(ISNUMBER(INDEX('Providers'!$U$4:$U$503,153)),TEXT(INDEX('Providers'!$U$4:$U$503,153),"yyyy-mm-dd"),"")&amp;". "))</f>
        <v/>
      </c>
      <c r="J3156">
        <f>IF(LEN(INDEX('Providers'!$AJ$4:$AJ$503,153))=0,"",INDEX('Providers'!$AJ$4:$AJ$503,153))</f>
        <v/>
      </c>
      <c r="K3156">
        <f>IF(LEN(INDEX('Providers'!$AI$4:$AI$503,153))=0,"",INDEX('Providers'!$AI$4:$AI$503,153))</f>
        <v/>
      </c>
    </row>
    <row r="3157">
      <c r="A3157">
        <f>IF(AND(LEN('Providers'!A157)&gt;0,ISNUMBER('Providers'!W157)),1,0)</f>
        <v/>
      </c>
      <c r="B3157">
        <f>B3156+A3157</f>
        <v/>
      </c>
      <c r="C3157">
        <f>IF(3154&gt;$B$4503,"",MATCH(3154-0.5,$B$3:$B$4503,1))</f>
        <v/>
      </c>
      <c r="D3157">
        <f>"CAQH re-attestation – "&amp;IF(LEN(INDEX('Providers'!$A$4:$A$503,154))=0,"",INDEX('Providers'!$A$4:$A$503,154))</f>
        <v/>
      </c>
      <c r="E3157">
        <f>IF(ISNUMBER(INDEX('Providers'!$W$4:$W$503,154)),TEXT(INDEX('Providers'!$W$4:$W$503,154),"yyyy-mm-dd"),"")</f>
        <v/>
      </c>
      <c r="F3157">
        <f>"Credentialing"</f>
        <v/>
      </c>
      <c r="G3157">
        <f>IF(ISNUMBER(INDEX('Providers'!$U$4:$U$503,154)),TEXT(INDEX('Providers'!$U$4:$U$503,154),"yyyy-mm-dd"),"")</f>
        <v/>
      </c>
      <c r="H3157">
        <f>"High"</f>
        <v/>
      </c>
      <c r="I3157">
        <f>TRIM(IF(LEN(IF(LEN(INDEX('Providers'!$T$4:$T$503,154))=0,"",INDEX('Providers'!$T$4:$T$503,154)))=0,"","CAQH ID: "&amp;IF(LEN(INDEX('Providers'!$T$4:$T$503,154))=0,"",INDEX('Providers'!$T$4:$T$503,154))&amp;". ")&amp;IF(LEN(IF(ISNUMBER(INDEX('Providers'!$U$4:$U$503,154)),TEXT(INDEX('Providers'!$U$4:$U$503,154),"yyyy-mm-dd"),""))=0,"","Last attested: "&amp;IF(ISNUMBER(INDEX('Providers'!$U$4:$U$503,154)),TEXT(INDEX('Providers'!$U$4:$U$503,154),"yyyy-mm-dd"),"")&amp;". "))</f>
        <v/>
      </c>
      <c r="J3157">
        <f>IF(LEN(INDEX('Providers'!$AJ$4:$AJ$503,154))=0,"",INDEX('Providers'!$AJ$4:$AJ$503,154))</f>
        <v/>
      </c>
      <c r="K3157">
        <f>IF(LEN(INDEX('Providers'!$AI$4:$AI$503,154))=0,"",INDEX('Providers'!$AI$4:$AI$503,154))</f>
        <v/>
      </c>
    </row>
    <row r="3158">
      <c r="A3158">
        <f>IF(AND(LEN('Providers'!A158)&gt;0,ISNUMBER('Providers'!W158)),1,0)</f>
        <v/>
      </c>
      <c r="B3158">
        <f>B3157+A3158</f>
        <v/>
      </c>
      <c r="C3158">
        <f>IF(3155&gt;$B$4503,"",MATCH(3155-0.5,$B$3:$B$4503,1))</f>
        <v/>
      </c>
      <c r="D3158">
        <f>"CAQH re-attestation – "&amp;IF(LEN(INDEX('Providers'!$A$4:$A$503,155))=0,"",INDEX('Providers'!$A$4:$A$503,155))</f>
        <v/>
      </c>
      <c r="E3158">
        <f>IF(ISNUMBER(INDEX('Providers'!$W$4:$W$503,155)),TEXT(INDEX('Providers'!$W$4:$W$503,155),"yyyy-mm-dd"),"")</f>
        <v/>
      </c>
      <c r="F3158">
        <f>"Credentialing"</f>
        <v/>
      </c>
      <c r="G3158">
        <f>IF(ISNUMBER(INDEX('Providers'!$U$4:$U$503,155)),TEXT(INDEX('Providers'!$U$4:$U$503,155),"yyyy-mm-dd"),"")</f>
        <v/>
      </c>
      <c r="H3158">
        <f>"High"</f>
        <v/>
      </c>
      <c r="I3158">
        <f>TRIM(IF(LEN(IF(LEN(INDEX('Providers'!$T$4:$T$503,155))=0,"",INDEX('Providers'!$T$4:$T$503,155)))=0,"","CAQH ID: "&amp;IF(LEN(INDEX('Providers'!$T$4:$T$503,155))=0,"",INDEX('Providers'!$T$4:$T$503,155))&amp;". ")&amp;IF(LEN(IF(ISNUMBER(INDEX('Providers'!$U$4:$U$503,155)),TEXT(INDEX('Providers'!$U$4:$U$503,155),"yyyy-mm-dd"),""))=0,"","Last attested: "&amp;IF(ISNUMBER(INDEX('Providers'!$U$4:$U$503,155)),TEXT(INDEX('Providers'!$U$4:$U$503,155),"yyyy-mm-dd"),"")&amp;". "))</f>
        <v/>
      </c>
      <c r="J3158">
        <f>IF(LEN(INDEX('Providers'!$AJ$4:$AJ$503,155))=0,"",INDEX('Providers'!$AJ$4:$AJ$503,155))</f>
        <v/>
      </c>
      <c r="K3158">
        <f>IF(LEN(INDEX('Providers'!$AI$4:$AI$503,155))=0,"",INDEX('Providers'!$AI$4:$AI$503,155))</f>
        <v/>
      </c>
    </row>
    <row r="3159">
      <c r="A3159">
        <f>IF(AND(LEN('Providers'!A159)&gt;0,ISNUMBER('Providers'!W159)),1,0)</f>
        <v/>
      </c>
      <c r="B3159">
        <f>B3158+A3159</f>
        <v/>
      </c>
      <c r="C3159">
        <f>IF(3156&gt;$B$4503,"",MATCH(3156-0.5,$B$3:$B$4503,1))</f>
        <v/>
      </c>
      <c r="D3159">
        <f>"CAQH re-attestation – "&amp;IF(LEN(INDEX('Providers'!$A$4:$A$503,156))=0,"",INDEX('Providers'!$A$4:$A$503,156))</f>
        <v/>
      </c>
      <c r="E3159">
        <f>IF(ISNUMBER(INDEX('Providers'!$W$4:$W$503,156)),TEXT(INDEX('Providers'!$W$4:$W$503,156),"yyyy-mm-dd"),"")</f>
        <v/>
      </c>
      <c r="F3159">
        <f>"Credentialing"</f>
        <v/>
      </c>
      <c r="G3159">
        <f>IF(ISNUMBER(INDEX('Providers'!$U$4:$U$503,156)),TEXT(INDEX('Providers'!$U$4:$U$503,156),"yyyy-mm-dd"),"")</f>
        <v/>
      </c>
      <c r="H3159">
        <f>"High"</f>
        <v/>
      </c>
      <c r="I3159">
        <f>TRIM(IF(LEN(IF(LEN(INDEX('Providers'!$T$4:$T$503,156))=0,"",INDEX('Providers'!$T$4:$T$503,156)))=0,"","CAQH ID: "&amp;IF(LEN(INDEX('Providers'!$T$4:$T$503,156))=0,"",INDEX('Providers'!$T$4:$T$503,156))&amp;". ")&amp;IF(LEN(IF(ISNUMBER(INDEX('Providers'!$U$4:$U$503,156)),TEXT(INDEX('Providers'!$U$4:$U$503,156),"yyyy-mm-dd"),""))=0,"","Last attested: "&amp;IF(ISNUMBER(INDEX('Providers'!$U$4:$U$503,156)),TEXT(INDEX('Providers'!$U$4:$U$503,156),"yyyy-mm-dd"),"")&amp;". "))</f>
        <v/>
      </c>
      <c r="J3159">
        <f>IF(LEN(INDEX('Providers'!$AJ$4:$AJ$503,156))=0,"",INDEX('Providers'!$AJ$4:$AJ$503,156))</f>
        <v/>
      </c>
      <c r="K3159">
        <f>IF(LEN(INDEX('Providers'!$AI$4:$AI$503,156))=0,"",INDEX('Providers'!$AI$4:$AI$503,156))</f>
        <v/>
      </c>
    </row>
    <row r="3160">
      <c r="A3160">
        <f>IF(AND(LEN('Providers'!A160)&gt;0,ISNUMBER('Providers'!W160)),1,0)</f>
        <v/>
      </c>
      <c r="B3160">
        <f>B3159+A3160</f>
        <v/>
      </c>
      <c r="C3160">
        <f>IF(3157&gt;$B$4503,"",MATCH(3157-0.5,$B$3:$B$4503,1))</f>
        <v/>
      </c>
      <c r="D3160">
        <f>"CAQH re-attestation – "&amp;IF(LEN(INDEX('Providers'!$A$4:$A$503,157))=0,"",INDEX('Providers'!$A$4:$A$503,157))</f>
        <v/>
      </c>
      <c r="E3160">
        <f>IF(ISNUMBER(INDEX('Providers'!$W$4:$W$503,157)),TEXT(INDEX('Providers'!$W$4:$W$503,157),"yyyy-mm-dd"),"")</f>
        <v/>
      </c>
      <c r="F3160">
        <f>"Credentialing"</f>
        <v/>
      </c>
      <c r="G3160">
        <f>IF(ISNUMBER(INDEX('Providers'!$U$4:$U$503,157)),TEXT(INDEX('Providers'!$U$4:$U$503,157),"yyyy-mm-dd"),"")</f>
        <v/>
      </c>
      <c r="H3160">
        <f>"High"</f>
        <v/>
      </c>
      <c r="I3160">
        <f>TRIM(IF(LEN(IF(LEN(INDEX('Providers'!$T$4:$T$503,157))=0,"",INDEX('Providers'!$T$4:$T$503,157)))=0,"","CAQH ID: "&amp;IF(LEN(INDEX('Providers'!$T$4:$T$503,157))=0,"",INDEX('Providers'!$T$4:$T$503,157))&amp;". ")&amp;IF(LEN(IF(ISNUMBER(INDEX('Providers'!$U$4:$U$503,157)),TEXT(INDEX('Providers'!$U$4:$U$503,157),"yyyy-mm-dd"),""))=0,"","Last attested: "&amp;IF(ISNUMBER(INDEX('Providers'!$U$4:$U$503,157)),TEXT(INDEX('Providers'!$U$4:$U$503,157),"yyyy-mm-dd"),"")&amp;". "))</f>
        <v/>
      </c>
      <c r="J3160">
        <f>IF(LEN(INDEX('Providers'!$AJ$4:$AJ$503,157))=0,"",INDEX('Providers'!$AJ$4:$AJ$503,157))</f>
        <v/>
      </c>
      <c r="K3160">
        <f>IF(LEN(INDEX('Providers'!$AI$4:$AI$503,157))=0,"",INDEX('Providers'!$AI$4:$AI$503,157))</f>
        <v/>
      </c>
    </row>
    <row r="3161">
      <c r="A3161">
        <f>IF(AND(LEN('Providers'!A161)&gt;0,ISNUMBER('Providers'!W161)),1,0)</f>
        <v/>
      </c>
      <c r="B3161">
        <f>B3160+A3161</f>
        <v/>
      </c>
      <c r="C3161">
        <f>IF(3158&gt;$B$4503,"",MATCH(3158-0.5,$B$3:$B$4503,1))</f>
        <v/>
      </c>
      <c r="D3161">
        <f>"CAQH re-attestation – "&amp;IF(LEN(INDEX('Providers'!$A$4:$A$503,158))=0,"",INDEX('Providers'!$A$4:$A$503,158))</f>
        <v/>
      </c>
      <c r="E3161">
        <f>IF(ISNUMBER(INDEX('Providers'!$W$4:$W$503,158)),TEXT(INDEX('Providers'!$W$4:$W$503,158),"yyyy-mm-dd"),"")</f>
        <v/>
      </c>
      <c r="F3161">
        <f>"Credentialing"</f>
        <v/>
      </c>
      <c r="G3161">
        <f>IF(ISNUMBER(INDEX('Providers'!$U$4:$U$503,158)),TEXT(INDEX('Providers'!$U$4:$U$503,158),"yyyy-mm-dd"),"")</f>
        <v/>
      </c>
      <c r="H3161">
        <f>"High"</f>
        <v/>
      </c>
      <c r="I3161">
        <f>TRIM(IF(LEN(IF(LEN(INDEX('Providers'!$T$4:$T$503,158))=0,"",INDEX('Providers'!$T$4:$T$503,158)))=0,"","CAQH ID: "&amp;IF(LEN(INDEX('Providers'!$T$4:$T$503,158))=0,"",INDEX('Providers'!$T$4:$T$503,158))&amp;". ")&amp;IF(LEN(IF(ISNUMBER(INDEX('Providers'!$U$4:$U$503,158)),TEXT(INDEX('Providers'!$U$4:$U$503,158),"yyyy-mm-dd"),""))=0,"","Last attested: "&amp;IF(ISNUMBER(INDEX('Providers'!$U$4:$U$503,158)),TEXT(INDEX('Providers'!$U$4:$U$503,158),"yyyy-mm-dd"),"")&amp;". "))</f>
        <v/>
      </c>
      <c r="J3161">
        <f>IF(LEN(INDEX('Providers'!$AJ$4:$AJ$503,158))=0,"",INDEX('Providers'!$AJ$4:$AJ$503,158))</f>
        <v/>
      </c>
      <c r="K3161">
        <f>IF(LEN(INDEX('Providers'!$AI$4:$AI$503,158))=0,"",INDEX('Providers'!$AI$4:$AI$503,158))</f>
        <v/>
      </c>
    </row>
    <row r="3162">
      <c r="A3162">
        <f>IF(AND(LEN('Providers'!A162)&gt;0,ISNUMBER('Providers'!W162)),1,0)</f>
        <v/>
      </c>
      <c r="B3162">
        <f>B3161+A3162</f>
        <v/>
      </c>
      <c r="C3162">
        <f>IF(3159&gt;$B$4503,"",MATCH(3159-0.5,$B$3:$B$4503,1))</f>
        <v/>
      </c>
      <c r="D3162">
        <f>"CAQH re-attestation – "&amp;IF(LEN(INDEX('Providers'!$A$4:$A$503,159))=0,"",INDEX('Providers'!$A$4:$A$503,159))</f>
        <v/>
      </c>
      <c r="E3162">
        <f>IF(ISNUMBER(INDEX('Providers'!$W$4:$W$503,159)),TEXT(INDEX('Providers'!$W$4:$W$503,159),"yyyy-mm-dd"),"")</f>
        <v/>
      </c>
      <c r="F3162">
        <f>"Credentialing"</f>
        <v/>
      </c>
      <c r="G3162">
        <f>IF(ISNUMBER(INDEX('Providers'!$U$4:$U$503,159)),TEXT(INDEX('Providers'!$U$4:$U$503,159),"yyyy-mm-dd"),"")</f>
        <v/>
      </c>
      <c r="H3162">
        <f>"High"</f>
        <v/>
      </c>
      <c r="I3162">
        <f>TRIM(IF(LEN(IF(LEN(INDEX('Providers'!$T$4:$T$503,159))=0,"",INDEX('Providers'!$T$4:$T$503,159)))=0,"","CAQH ID: "&amp;IF(LEN(INDEX('Providers'!$T$4:$T$503,159))=0,"",INDEX('Providers'!$T$4:$T$503,159))&amp;". ")&amp;IF(LEN(IF(ISNUMBER(INDEX('Providers'!$U$4:$U$503,159)),TEXT(INDEX('Providers'!$U$4:$U$503,159),"yyyy-mm-dd"),""))=0,"","Last attested: "&amp;IF(ISNUMBER(INDEX('Providers'!$U$4:$U$503,159)),TEXT(INDEX('Providers'!$U$4:$U$503,159),"yyyy-mm-dd"),"")&amp;". "))</f>
        <v/>
      </c>
      <c r="J3162">
        <f>IF(LEN(INDEX('Providers'!$AJ$4:$AJ$503,159))=0,"",INDEX('Providers'!$AJ$4:$AJ$503,159))</f>
        <v/>
      </c>
      <c r="K3162">
        <f>IF(LEN(INDEX('Providers'!$AI$4:$AI$503,159))=0,"",INDEX('Providers'!$AI$4:$AI$503,159))</f>
        <v/>
      </c>
    </row>
    <row r="3163">
      <c r="A3163">
        <f>IF(AND(LEN('Providers'!A163)&gt;0,ISNUMBER('Providers'!W163)),1,0)</f>
        <v/>
      </c>
      <c r="B3163">
        <f>B3162+A3163</f>
        <v/>
      </c>
      <c r="C3163">
        <f>IF(3160&gt;$B$4503,"",MATCH(3160-0.5,$B$3:$B$4503,1))</f>
        <v/>
      </c>
      <c r="D3163">
        <f>"CAQH re-attestation – "&amp;IF(LEN(INDEX('Providers'!$A$4:$A$503,160))=0,"",INDEX('Providers'!$A$4:$A$503,160))</f>
        <v/>
      </c>
      <c r="E3163">
        <f>IF(ISNUMBER(INDEX('Providers'!$W$4:$W$503,160)),TEXT(INDEX('Providers'!$W$4:$W$503,160),"yyyy-mm-dd"),"")</f>
        <v/>
      </c>
      <c r="F3163">
        <f>"Credentialing"</f>
        <v/>
      </c>
      <c r="G3163">
        <f>IF(ISNUMBER(INDEX('Providers'!$U$4:$U$503,160)),TEXT(INDEX('Providers'!$U$4:$U$503,160),"yyyy-mm-dd"),"")</f>
        <v/>
      </c>
      <c r="H3163">
        <f>"High"</f>
        <v/>
      </c>
      <c r="I3163">
        <f>TRIM(IF(LEN(IF(LEN(INDEX('Providers'!$T$4:$T$503,160))=0,"",INDEX('Providers'!$T$4:$T$503,160)))=0,"","CAQH ID: "&amp;IF(LEN(INDEX('Providers'!$T$4:$T$503,160))=0,"",INDEX('Providers'!$T$4:$T$503,160))&amp;". ")&amp;IF(LEN(IF(ISNUMBER(INDEX('Providers'!$U$4:$U$503,160)),TEXT(INDEX('Providers'!$U$4:$U$503,160),"yyyy-mm-dd"),""))=0,"","Last attested: "&amp;IF(ISNUMBER(INDEX('Providers'!$U$4:$U$503,160)),TEXT(INDEX('Providers'!$U$4:$U$503,160),"yyyy-mm-dd"),"")&amp;". "))</f>
        <v/>
      </c>
      <c r="J3163">
        <f>IF(LEN(INDEX('Providers'!$AJ$4:$AJ$503,160))=0,"",INDEX('Providers'!$AJ$4:$AJ$503,160))</f>
        <v/>
      </c>
      <c r="K3163">
        <f>IF(LEN(INDEX('Providers'!$AI$4:$AI$503,160))=0,"",INDEX('Providers'!$AI$4:$AI$503,160))</f>
        <v/>
      </c>
    </row>
    <row r="3164">
      <c r="A3164">
        <f>IF(AND(LEN('Providers'!A164)&gt;0,ISNUMBER('Providers'!W164)),1,0)</f>
        <v/>
      </c>
      <c r="B3164">
        <f>B3163+A3164</f>
        <v/>
      </c>
      <c r="C3164">
        <f>IF(3161&gt;$B$4503,"",MATCH(3161-0.5,$B$3:$B$4503,1))</f>
        <v/>
      </c>
      <c r="D3164">
        <f>"CAQH re-attestation – "&amp;IF(LEN(INDEX('Providers'!$A$4:$A$503,161))=0,"",INDEX('Providers'!$A$4:$A$503,161))</f>
        <v/>
      </c>
      <c r="E3164">
        <f>IF(ISNUMBER(INDEX('Providers'!$W$4:$W$503,161)),TEXT(INDEX('Providers'!$W$4:$W$503,161),"yyyy-mm-dd"),"")</f>
        <v/>
      </c>
      <c r="F3164">
        <f>"Credentialing"</f>
        <v/>
      </c>
      <c r="G3164">
        <f>IF(ISNUMBER(INDEX('Providers'!$U$4:$U$503,161)),TEXT(INDEX('Providers'!$U$4:$U$503,161),"yyyy-mm-dd"),"")</f>
        <v/>
      </c>
      <c r="H3164">
        <f>"High"</f>
        <v/>
      </c>
      <c r="I3164">
        <f>TRIM(IF(LEN(IF(LEN(INDEX('Providers'!$T$4:$T$503,161))=0,"",INDEX('Providers'!$T$4:$T$503,161)))=0,"","CAQH ID: "&amp;IF(LEN(INDEX('Providers'!$T$4:$T$503,161))=0,"",INDEX('Providers'!$T$4:$T$503,161))&amp;". ")&amp;IF(LEN(IF(ISNUMBER(INDEX('Providers'!$U$4:$U$503,161)),TEXT(INDEX('Providers'!$U$4:$U$503,161),"yyyy-mm-dd"),""))=0,"","Last attested: "&amp;IF(ISNUMBER(INDEX('Providers'!$U$4:$U$503,161)),TEXT(INDEX('Providers'!$U$4:$U$503,161),"yyyy-mm-dd"),"")&amp;". "))</f>
        <v/>
      </c>
      <c r="J3164">
        <f>IF(LEN(INDEX('Providers'!$AJ$4:$AJ$503,161))=0,"",INDEX('Providers'!$AJ$4:$AJ$503,161))</f>
        <v/>
      </c>
      <c r="K3164">
        <f>IF(LEN(INDEX('Providers'!$AI$4:$AI$503,161))=0,"",INDEX('Providers'!$AI$4:$AI$503,161))</f>
        <v/>
      </c>
    </row>
    <row r="3165">
      <c r="A3165">
        <f>IF(AND(LEN('Providers'!A165)&gt;0,ISNUMBER('Providers'!W165)),1,0)</f>
        <v/>
      </c>
      <c r="B3165">
        <f>B3164+A3165</f>
        <v/>
      </c>
      <c r="C3165">
        <f>IF(3162&gt;$B$4503,"",MATCH(3162-0.5,$B$3:$B$4503,1))</f>
        <v/>
      </c>
      <c r="D3165">
        <f>"CAQH re-attestation – "&amp;IF(LEN(INDEX('Providers'!$A$4:$A$503,162))=0,"",INDEX('Providers'!$A$4:$A$503,162))</f>
        <v/>
      </c>
      <c r="E3165">
        <f>IF(ISNUMBER(INDEX('Providers'!$W$4:$W$503,162)),TEXT(INDEX('Providers'!$W$4:$W$503,162),"yyyy-mm-dd"),"")</f>
        <v/>
      </c>
      <c r="F3165">
        <f>"Credentialing"</f>
        <v/>
      </c>
      <c r="G3165">
        <f>IF(ISNUMBER(INDEX('Providers'!$U$4:$U$503,162)),TEXT(INDEX('Providers'!$U$4:$U$503,162),"yyyy-mm-dd"),"")</f>
        <v/>
      </c>
      <c r="H3165">
        <f>"High"</f>
        <v/>
      </c>
      <c r="I3165">
        <f>TRIM(IF(LEN(IF(LEN(INDEX('Providers'!$T$4:$T$503,162))=0,"",INDEX('Providers'!$T$4:$T$503,162)))=0,"","CAQH ID: "&amp;IF(LEN(INDEX('Providers'!$T$4:$T$503,162))=0,"",INDEX('Providers'!$T$4:$T$503,162))&amp;". ")&amp;IF(LEN(IF(ISNUMBER(INDEX('Providers'!$U$4:$U$503,162)),TEXT(INDEX('Providers'!$U$4:$U$503,162),"yyyy-mm-dd"),""))=0,"","Last attested: "&amp;IF(ISNUMBER(INDEX('Providers'!$U$4:$U$503,162)),TEXT(INDEX('Providers'!$U$4:$U$503,162),"yyyy-mm-dd"),"")&amp;". "))</f>
        <v/>
      </c>
      <c r="J3165">
        <f>IF(LEN(INDEX('Providers'!$AJ$4:$AJ$503,162))=0,"",INDEX('Providers'!$AJ$4:$AJ$503,162))</f>
        <v/>
      </c>
      <c r="K3165">
        <f>IF(LEN(INDEX('Providers'!$AI$4:$AI$503,162))=0,"",INDEX('Providers'!$AI$4:$AI$503,162))</f>
        <v/>
      </c>
    </row>
    <row r="3166">
      <c r="A3166">
        <f>IF(AND(LEN('Providers'!A166)&gt;0,ISNUMBER('Providers'!W166)),1,0)</f>
        <v/>
      </c>
      <c r="B3166">
        <f>B3165+A3166</f>
        <v/>
      </c>
      <c r="C3166">
        <f>IF(3163&gt;$B$4503,"",MATCH(3163-0.5,$B$3:$B$4503,1))</f>
        <v/>
      </c>
      <c r="D3166">
        <f>"CAQH re-attestation – "&amp;IF(LEN(INDEX('Providers'!$A$4:$A$503,163))=0,"",INDEX('Providers'!$A$4:$A$503,163))</f>
        <v/>
      </c>
      <c r="E3166">
        <f>IF(ISNUMBER(INDEX('Providers'!$W$4:$W$503,163)),TEXT(INDEX('Providers'!$W$4:$W$503,163),"yyyy-mm-dd"),"")</f>
        <v/>
      </c>
      <c r="F3166">
        <f>"Credentialing"</f>
        <v/>
      </c>
      <c r="G3166">
        <f>IF(ISNUMBER(INDEX('Providers'!$U$4:$U$503,163)),TEXT(INDEX('Providers'!$U$4:$U$503,163),"yyyy-mm-dd"),"")</f>
        <v/>
      </c>
      <c r="H3166">
        <f>"High"</f>
        <v/>
      </c>
      <c r="I3166">
        <f>TRIM(IF(LEN(IF(LEN(INDEX('Providers'!$T$4:$T$503,163))=0,"",INDEX('Providers'!$T$4:$T$503,163)))=0,"","CAQH ID: "&amp;IF(LEN(INDEX('Providers'!$T$4:$T$503,163))=0,"",INDEX('Providers'!$T$4:$T$503,163))&amp;". ")&amp;IF(LEN(IF(ISNUMBER(INDEX('Providers'!$U$4:$U$503,163)),TEXT(INDEX('Providers'!$U$4:$U$503,163),"yyyy-mm-dd"),""))=0,"","Last attested: "&amp;IF(ISNUMBER(INDEX('Providers'!$U$4:$U$503,163)),TEXT(INDEX('Providers'!$U$4:$U$503,163),"yyyy-mm-dd"),"")&amp;". "))</f>
        <v/>
      </c>
      <c r="J3166">
        <f>IF(LEN(INDEX('Providers'!$AJ$4:$AJ$503,163))=0,"",INDEX('Providers'!$AJ$4:$AJ$503,163))</f>
        <v/>
      </c>
      <c r="K3166">
        <f>IF(LEN(INDEX('Providers'!$AI$4:$AI$503,163))=0,"",INDEX('Providers'!$AI$4:$AI$503,163))</f>
        <v/>
      </c>
    </row>
    <row r="3167">
      <c r="A3167">
        <f>IF(AND(LEN('Providers'!A167)&gt;0,ISNUMBER('Providers'!W167)),1,0)</f>
        <v/>
      </c>
      <c r="B3167">
        <f>B3166+A3167</f>
        <v/>
      </c>
      <c r="C3167">
        <f>IF(3164&gt;$B$4503,"",MATCH(3164-0.5,$B$3:$B$4503,1))</f>
        <v/>
      </c>
      <c r="D3167">
        <f>"CAQH re-attestation – "&amp;IF(LEN(INDEX('Providers'!$A$4:$A$503,164))=0,"",INDEX('Providers'!$A$4:$A$503,164))</f>
        <v/>
      </c>
      <c r="E3167">
        <f>IF(ISNUMBER(INDEX('Providers'!$W$4:$W$503,164)),TEXT(INDEX('Providers'!$W$4:$W$503,164),"yyyy-mm-dd"),"")</f>
        <v/>
      </c>
      <c r="F3167">
        <f>"Credentialing"</f>
        <v/>
      </c>
      <c r="G3167">
        <f>IF(ISNUMBER(INDEX('Providers'!$U$4:$U$503,164)),TEXT(INDEX('Providers'!$U$4:$U$503,164),"yyyy-mm-dd"),"")</f>
        <v/>
      </c>
      <c r="H3167">
        <f>"High"</f>
        <v/>
      </c>
      <c r="I3167">
        <f>TRIM(IF(LEN(IF(LEN(INDEX('Providers'!$T$4:$T$503,164))=0,"",INDEX('Providers'!$T$4:$T$503,164)))=0,"","CAQH ID: "&amp;IF(LEN(INDEX('Providers'!$T$4:$T$503,164))=0,"",INDEX('Providers'!$T$4:$T$503,164))&amp;". ")&amp;IF(LEN(IF(ISNUMBER(INDEX('Providers'!$U$4:$U$503,164)),TEXT(INDEX('Providers'!$U$4:$U$503,164),"yyyy-mm-dd"),""))=0,"","Last attested: "&amp;IF(ISNUMBER(INDEX('Providers'!$U$4:$U$503,164)),TEXT(INDEX('Providers'!$U$4:$U$503,164),"yyyy-mm-dd"),"")&amp;". "))</f>
        <v/>
      </c>
      <c r="J3167">
        <f>IF(LEN(INDEX('Providers'!$AJ$4:$AJ$503,164))=0,"",INDEX('Providers'!$AJ$4:$AJ$503,164))</f>
        <v/>
      </c>
      <c r="K3167">
        <f>IF(LEN(INDEX('Providers'!$AI$4:$AI$503,164))=0,"",INDEX('Providers'!$AI$4:$AI$503,164))</f>
        <v/>
      </c>
    </row>
    <row r="3168">
      <c r="A3168">
        <f>IF(AND(LEN('Providers'!A168)&gt;0,ISNUMBER('Providers'!W168)),1,0)</f>
        <v/>
      </c>
      <c r="B3168">
        <f>B3167+A3168</f>
        <v/>
      </c>
      <c r="C3168">
        <f>IF(3165&gt;$B$4503,"",MATCH(3165-0.5,$B$3:$B$4503,1))</f>
        <v/>
      </c>
      <c r="D3168">
        <f>"CAQH re-attestation – "&amp;IF(LEN(INDEX('Providers'!$A$4:$A$503,165))=0,"",INDEX('Providers'!$A$4:$A$503,165))</f>
        <v/>
      </c>
      <c r="E3168">
        <f>IF(ISNUMBER(INDEX('Providers'!$W$4:$W$503,165)),TEXT(INDEX('Providers'!$W$4:$W$503,165),"yyyy-mm-dd"),"")</f>
        <v/>
      </c>
      <c r="F3168">
        <f>"Credentialing"</f>
        <v/>
      </c>
      <c r="G3168">
        <f>IF(ISNUMBER(INDEX('Providers'!$U$4:$U$503,165)),TEXT(INDEX('Providers'!$U$4:$U$503,165),"yyyy-mm-dd"),"")</f>
        <v/>
      </c>
      <c r="H3168">
        <f>"High"</f>
        <v/>
      </c>
      <c r="I3168">
        <f>TRIM(IF(LEN(IF(LEN(INDEX('Providers'!$T$4:$T$503,165))=0,"",INDEX('Providers'!$T$4:$T$503,165)))=0,"","CAQH ID: "&amp;IF(LEN(INDEX('Providers'!$T$4:$T$503,165))=0,"",INDEX('Providers'!$T$4:$T$503,165))&amp;". ")&amp;IF(LEN(IF(ISNUMBER(INDEX('Providers'!$U$4:$U$503,165)),TEXT(INDEX('Providers'!$U$4:$U$503,165),"yyyy-mm-dd"),""))=0,"","Last attested: "&amp;IF(ISNUMBER(INDEX('Providers'!$U$4:$U$503,165)),TEXT(INDEX('Providers'!$U$4:$U$503,165),"yyyy-mm-dd"),"")&amp;". "))</f>
        <v/>
      </c>
      <c r="J3168">
        <f>IF(LEN(INDEX('Providers'!$AJ$4:$AJ$503,165))=0,"",INDEX('Providers'!$AJ$4:$AJ$503,165))</f>
        <v/>
      </c>
      <c r="K3168">
        <f>IF(LEN(INDEX('Providers'!$AI$4:$AI$503,165))=0,"",INDEX('Providers'!$AI$4:$AI$503,165))</f>
        <v/>
      </c>
    </row>
    <row r="3169">
      <c r="A3169">
        <f>IF(AND(LEN('Providers'!A169)&gt;0,ISNUMBER('Providers'!W169)),1,0)</f>
        <v/>
      </c>
      <c r="B3169">
        <f>B3168+A3169</f>
        <v/>
      </c>
      <c r="C3169">
        <f>IF(3166&gt;$B$4503,"",MATCH(3166-0.5,$B$3:$B$4503,1))</f>
        <v/>
      </c>
      <c r="D3169">
        <f>"CAQH re-attestation – "&amp;IF(LEN(INDEX('Providers'!$A$4:$A$503,166))=0,"",INDEX('Providers'!$A$4:$A$503,166))</f>
        <v/>
      </c>
      <c r="E3169">
        <f>IF(ISNUMBER(INDEX('Providers'!$W$4:$W$503,166)),TEXT(INDEX('Providers'!$W$4:$W$503,166),"yyyy-mm-dd"),"")</f>
        <v/>
      </c>
      <c r="F3169">
        <f>"Credentialing"</f>
        <v/>
      </c>
      <c r="G3169">
        <f>IF(ISNUMBER(INDEX('Providers'!$U$4:$U$503,166)),TEXT(INDEX('Providers'!$U$4:$U$503,166),"yyyy-mm-dd"),"")</f>
        <v/>
      </c>
      <c r="H3169">
        <f>"High"</f>
        <v/>
      </c>
      <c r="I3169">
        <f>TRIM(IF(LEN(IF(LEN(INDEX('Providers'!$T$4:$T$503,166))=0,"",INDEX('Providers'!$T$4:$T$503,166)))=0,"","CAQH ID: "&amp;IF(LEN(INDEX('Providers'!$T$4:$T$503,166))=0,"",INDEX('Providers'!$T$4:$T$503,166))&amp;". ")&amp;IF(LEN(IF(ISNUMBER(INDEX('Providers'!$U$4:$U$503,166)),TEXT(INDEX('Providers'!$U$4:$U$503,166),"yyyy-mm-dd"),""))=0,"","Last attested: "&amp;IF(ISNUMBER(INDEX('Providers'!$U$4:$U$503,166)),TEXT(INDEX('Providers'!$U$4:$U$503,166),"yyyy-mm-dd"),"")&amp;". "))</f>
        <v/>
      </c>
      <c r="J3169">
        <f>IF(LEN(INDEX('Providers'!$AJ$4:$AJ$503,166))=0,"",INDEX('Providers'!$AJ$4:$AJ$503,166))</f>
        <v/>
      </c>
      <c r="K3169">
        <f>IF(LEN(INDEX('Providers'!$AI$4:$AI$503,166))=0,"",INDEX('Providers'!$AI$4:$AI$503,166))</f>
        <v/>
      </c>
    </row>
    <row r="3170">
      <c r="A3170">
        <f>IF(AND(LEN('Providers'!A170)&gt;0,ISNUMBER('Providers'!W170)),1,0)</f>
        <v/>
      </c>
      <c r="B3170">
        <f>B3169+A3170</f>
        <v/>
      </c>
      <c r="C3170">
        <f>IF(3167&gt;$B$4503,"",MATCH(3167-0.5,$B$3:$B$4503,1))</f>
        <v/>
      </c>
      <c r="D3170">
        <f>"CAQH re-attestation – "&amp;IF(LEN(INDEX('Providers'!$A$4:$A$503,167))=0,"",INDEX('Providers'!$A$4:$A$503,167))</f>
        <v/>
      </c>
      <c r="E3170">
        <f>IF(ISNUMBER(INDEX('Providers'!$W$4:$W$503,167)),TEXT(INDEX('Providers'!$W$4:$W$503,167),"yyyy-mm-dd"),"")</f>
        <v/>
      </c>
      <c r="F3170">
        <f>"Credentialing"</f>
        <v/>
      </c>
      <c r="G3170">
        <f>IF(ISNUMBER(INDEX('Providers'!$U$4:$U$503,167)),TEXT(INDEX('Providers'!$U$4:$U$503,167),"yyyy-mm-dd"),"")</f>
        <v/>
      </c>
      <c r="H3170">
        <f>"High"</f>
        <v/>
      </c>
      <c r="I3170">
        <f>TRIM(IF(LEN(IF(LEN(INDEX('Providers'!$T$4:$T$503,167))=0,"",INDEX('Providers'!$T$4:$T$503,167)))=0,"","CAQH ID: "&amp;IF(LEN(INDEX('Providers'!$T$4:$T$503,167))=0,"",INDEX('Providers'!$T$4:$T$503,167))&amp;". ")&amp;IF(LEN(IF(ISNUMBER(INDEX('Providers'!$U$4:$U$503,167)),TEXT(INDEX('Providers'!$U$4:$U$503,167),"yyyy-mm-dd"),""))=0,"","Last attested: "&amp;IF(ISNUMBER(INDEX('Providers'!$U$4:$U$503,167)),TEXT(INDEX('Providers'!$U$4:$U$503,167),"yyyy-mm-dd"),"")&amp;". "))</f>
        <v/>
      </c>
      <c r="J3170">
        <f>IF(LEN(INDEX('Providers'!$AJ$4:$AJ$503,167))=0,"",INDEX('Providers'!$AJ$4:$AJ$503,167))</f>
        <v/>
      </c>
      <c r="K3170">
        <f>IF(LEN(INDEX('Providers'!$AI$4:$AI$503,167))=0,"",INDEX('Providers'!$AI$4:$AI$503,167))</f>
        <v/>
      </c>
    </row>
    <row r="3171">
      <c r="A3171">
        <f>IF(AND(LEN('Providers'!A171)&gt;0,ISNUMBER('Providers'!W171)),1,0)</f>
        <v/>
      </c>
      <c r="B3171">
        <f>B3170+A3171</f>
        <v/>
      </c>
      <c r="C3171">
        <f>IF(3168&gt;$B$4503,"",MATCH(3168-0.5,$B$3:$B$4503,1))</f>
        <v/>
      </c>
      <c r="D3171">
        <f>"CAQH re-attestation – "&amp;IF(LEN(INDEX('Providers'!$A$4:$A$503,168))=0,"",INDEX('Providers'!$A$4:$A$503,168))</f>
        <v/>
      </c>
      <c r="E3171">
        <f>IF(ISNUMBER(INDEX('Providers'!$W$4:$W$503,168)),TEXT(INDEX('Providers'!$W$4:$W$503,168),"yyyy-mm-dd"),"")</f>
        <v/>
      </c>
      <c r="F3171">
        <f>"Credentialing"</f>
        <v/>
      </c>
      <c r="G3171">
        <f>IF(ISNUMBER(INDEX('Providers'!$U$4:$U$503,168)),TEXT(INDEX('Providers'!$U$4:$U$503,168),"yyyy-mm-dd"),"")</f>
        <v/>
      </c>
      <c r="H3171">
        <f>"High"</f>
        <v/>
      </c>
      <c r="I3171">
        <f>TRIM(IF(LEN(IF(LEN(INDEX('Providers'!$T$4:$T$503,168))=0,"",INDEX('Providers'!$T$4:$T$503,168)))=0,"","CAQH ID: "&amp;IF(LEN(INDEX('Providers'!$T$4:$T$503,168))=0,"",INDEX('Providers'!$T$4:$T$503,168))&amp;". ")&amp;IF(LEN(IF(ISNUMBER(INDEX('Providers'!$U$4:$U$503,168)),TEXT(INDEX('Providers'!$U$4:$U$503,168),"yyyy-mm-dd"),""))=0,"","Last attested: "&amp;IF(ISNUMBER(INDEX('Providers'!$U$4:$U$503,168)),TEXT(INDEX('Providers'!$U$4:$U$503,168),"yyyy-mm-dd"),"")&amp;". "))</f>
        <v/>
      </c>
      <c r="J3171">
        <f>IF(LEN(INDEX('Providers'!$AJ$4:$AJ$503,168))=0,"",INDEX('Providers'!$AJ$4:$AJ$503,168))</f>
        <v/>
      </c>
      <c r="K3171">
        <f>IF(LEN(INDEX('Providers'!$AI$4:$AI$503,168))=0,"",INDEX('Providers'!$AI$4:$AI$503,168))</f>
        <v/>
      </c>
    </row>
    <row r="3172">
      <c r="A3172">
        <f>IF(AND(LEN('Providers'!A172)&gt;0,ISNUMBER('Providers'!W172)),1,0)</f>
        <v/>
      </c>
      <c r="B3172">
        <f>B3171+A3172</f>
        <v/>
      </c>
      <c r="C3172">
        <f>IF(3169&gt;$B$4503,"",MATCH(3169-0.5,$B$3:$B$4503,1))</f>
        <v/>
      </c>
      <c r="D3172">
        <f>"CAQH re-attestation – "&amp;IF(LEN(INDEX('Providers'!$A$4:$A$503,169))=0,"",INDEX('Providers'!$A$4:$A$503,169))</f>
        <v/>
      </c>
      <c r="E3172">
        <f>IF(ISNUMBER(INDEX('Providers'!$W$4:$W$503,169)),TEXT(INDEX('Providers'!$W$4:$W$503,169),"yyyy-mm-dd"),"")</f>
        <v/>
      </c>
      <c r="F3172">
        <f>"Credentialing"</f>
        <v/>
      </c>
      <c r="G3172">
        <f>IF(ISNUMBER(INDEX('Providers'!$U$4:$U$503,169)),TEXT(INDEX('Providers'!$U$4:$U$503,169),"yyyy-mm-dd"),"")</f>
        <v/>
      </c>
      <c r="H3172">
        <f>"High"</f>
        <v/>
      </c>
      <c r="I3172">
        <f>TRIM(IF(LEN(IF(LEN(INDEX('Providers'!$T$4:$T$503,169))=0,"",INDEX('Providers'!$T$4:$T$503,169)))=0,"","CAQH ID: "&amp;IF(LEN(INDEX('Providers'!$T$4:$T$503,169))=0,"",INDEX('Providers'!$T$4:$T$503,169))&amp;". ")&amp;IF(LEN(IF(ISNUMBER(INDEX('Providers'!$U$4:$U$503,169)),TEXT(INDEX('Providers'!$U$4:$U$503,169),"yyyy-mm-dd"),""))=0,"","Last attested: "&amp;IF(ISNUMBER(INDEX('Providers'!$U$4:$U$503,169)),TEXT(INDEX('Providers'!$U$4:$U$503,169),"yyyy-mm-dd"),"")&amp;". "))</f>
        <v/>
      </c>
      <c r="J3172">
        <f>IF(LEN(INDEX('Providers'!$AJ$4:$AJ$503,169))=0,"",INDEX('Providers'!$AJ$4:$AJ$503,169))</f>
        <v/>
      </c>
      <c r="K3172">
        <f>IF(LEN(INDEX('Providers'!$AI$4:$AI$503,169))=0,"",INDEX('Providers'!$AI$4:$AI$503,169))</f>
        <v/>
      </c>
    </row>
    <row r="3173">
      <c r="A3173">
        <f>IF(AND(LEN('Providers'!A173)&gt;0,ISNUMBER('Providers'!W173)),1,0)</f>
        <v/>
      </c>
      <c r="B3173">
        <f>B3172+A3173</f>
        <v/>
      </c>
      <c r="C3173">
        <f>IF(3170&gt;$B$4503,"",MATCH(3170-0.5,$B$3:$B$4503,1))</f>
        <v/>
      </c>
      <c r="D3173">
        <f>"CAQH re-attestation – "&amp;IF(LEN(INDEX('Providers'!$A$4:$A$503,170))=0,"",INDEX('Providers'!$A$4:$A$503,170))</f>
        <v/>
      </c>
      <c r="E3173">
        <f>IF(ISNUMBER(INDEX('Providers'!$W$4:$W$503,170)),TEXT(INDEX('Providers'!$W$4:$W$503,170),"yyyy-mm-dd"),"")</f>
        <v/>
      </c>
      <c r="F3173">
        <f>"Credentialing"</f>
        <v/>
      </c>
      <c r="G3173">
        <f>IF(ISNUMBER(INDEX('Providers'!$U$4:$U$503,170)),TEXT(INDEX('Providers'!$U$4:$U$503,170),"yyyy-mm-dd"),"")</f>
        <v/>
      </c>
      <c r="H3173">
        <f>"High"</f>
        <v/>
      </c>
      <c r="I3173">
        <f>TRIM(IF(LEN(IF(LEN(INDEX('Providers'!$T$4:$T$503,170))=0,"",INDEX('Providers'!$T$4:$T$503,170)))=0,"","CAQH ID: "&amp;IF(LEN(INDEX('Providers'!$T$4:$T$503,170))=0,"",INDEX('Providers'!$T$4:$T$503,170))&amp;". ")&amp;IF(LEN(IF(ISNUMBER(INDEX('Providers'!$U$4:$U$503,170)),TEXT(INDEX('Providers'!$U$4:$U$503,170),"yyyy-mm-dd"),""))=0,"","Last attested: "&amp;IF(ISNUMBER(INDEX('Providers'!$U$4:$U$503,170)),TEXT(INDEX('Providers'!$U$4:$U$503,170),"yyyy-mm-dd"),"")&amp;". "))</f>
        <v/>
      </c>
      <c r="J3173">
        <f>IF(LEN(INDEX('Providers'!$AJ$4:$AJ$503,170))=0,"",INDEX('Providers'!$AJ$4:$AJ$503,170))</f>
        <v/>
      </c>
      <c r="K3173">
        <f>IF(LEN(INDEX('Providers'!$AI$4:$AI$503,170))=0,"",INDEX('Providers'!$AI$4:$AI$503,170))</f>
        <v/>
      </c>
    </row>
    <row r="3174">
      <c r="A3174">
        <f>IF(AND(LEN('Providers'!A174)&gt;0,ISNUMBER('Providers'!W174)),1,0)</f>
        <v/>
      </c>
      <c r="B3174">
        <f>B3173+A3174</f>
        <v/>
      </c>
      <c r="C3174">
        <f>IF(3171&gt;$B$4503,"",MATCH(3171-0.5,$B$3:$B$4503,1))</f>
        <v/>
      </c>
      <c r="D3174">
        <f>"CAQH re-attestation – "&amp;IF(LEN(INDEX('Providers'!$A$4:$A$503,171))=0,"",INDEX('Providers'!$A$4:$A$503,171))</f>
        <v/>
      </c>
      <c r="E3174">
        <f>IF(ISNUMBER(INDEX('Providers'!$W$4:$W$503,171)),TEXT(INDEX('Providers'!$W$4:$W$503,171),"yyyy-mm-dd"),"")</f>
        <v/>
      </c>
      <c r="F3174">
        <f>"Credentialing"</f>
        <v/>
      </c>
      <c r="G3174">
        <f>IF(ISNUMBER(INDEX('Providers'!$U$4:$U$503,171)),TEXT(INDEX('Providers'!$U$4:$U$503,171),"yyyy-mm-dd"),"")</f>
        <v/>
      </c>
      <c r="H3174">
        <f>"High"</f>
        <v/>
      </c>
      <c r="I3174">
        <f>TRIM(IF(LEN(IF(LEN(INDEX('Providers'!$T$4:$T$503,171))=0,"",INDEX('Providers'!$T$4:$T$503,171)))=0,"","CAQH ID: "&amp;IF(LEN(INDEX('Providers'!$T$4:$T$503,171))=0,"",INDEX('Providers'!$T$4:$T$503,171))&amp;". ")&amp;IF(LEN(IF(ISNUMBER(INDEX('Providers'!$U$4:$U$503,171)),TEXT(INDEX('Providers'!$U$4:$U$503,171),"yyyy-mm-dd"),""))=0,"","Last attested: "&amp;IF(ISNUMBER(INDEX('Providers'!$U$4:$U$503,171)),TEXT(INDEX('Providers'!$U$4:$U$503,171),"yyyy-mm-dd"),"")&amp;". "))</f>
        <v/>
      </c>
      <c r="J3174">
        <f>IF(LEN(INDEX('Providers'!$AJ$4:$AJ$503,171))=0,"",INDEX('Providers'!$AJ$4:$AJ$503,171))</f>
        <v/>
      </c>
      <c r="K3174">
        <f>IF(LEN(INDEX('Providers'!$AI$4:$AI$503,171))=0,"",INDEX('Providers'!$AI$4:$AI$503,171))</f>
        <v/>
      </c>
    </row>
    <row r="3175">
      <c r="A3175">
        <f>IF(AND(LEN('Providers'!A175)&gt;0,ISNUMBER('Providers'!W175)),1,0)</f>
        <v/>
      </c>
      <c r="B3175">
        <f>B3174+A3175</f>
        <v/>
      </c>
      <c r="C3175">
        <f>IF(3172&gt;$B$4503,"",MATCH(3172-0.5,$B$3:$B$4503,1))</f>
        <v/>
      </c>
      <c r="D3175">
        <f>"CAQH re-attestation – "&amp;IF(LEN(INDEX('Providers'!$A$4:$A$503,172))=0,"",INDEX('Providers'!$A$4:$A$503,172))</f>
        <v/>
      </c>
      <c r="E3175">
        <f>IF(ISNUMBER(INDEX('Providers'!$W$4:$W$503,172)),TEXT(INDEX('Providers'!$W$4:$W$503,172),"yyyy-mm-dd"),"")</f>
        <v/>
      </c>
      <c r="F3175">
        <f>"Credentialing"</f>
        <v/>
      </c>
      <c r="G3175">
        <f>IF(ISNUMBER(INDEX('Providers'!$U$4:$U$503,172)),TEXT(INDEX('Providers'!$U$4:$U$503,172),"yyyy-mm-dd"),"")</f>
        <v/>
      </c>
      <c r="H3175">
        <f>"High"</f>
        <v/>
      </c>
      <c r="I3175">
        <f>TRIM(IF(LEN(IF(LEN(INDEX('Providers'!$T$4:$T$503,172))=0,"",INDEX('Providers'!$T$4:$T$503,172)))=0,"","CAQH ID: "&amp;IF(LEN(INDEX('Providers'!$T$4:$T$503,172))=0,"",INDEX('Providers'!$T$4:$T$503,172))&amp;". ")&amp;IF(LEN(IF(ISNUMBER(INDEX('Providers'!$U$4:$U$503,172)),TEXT(INDEX('Providers'!$U$4:$U$503,172),"yyyy-mm-dd"),""))=0,"","Last attested: "&amp;IF(ISNUMBER(INDEX('Providers'!$U$4:$U$503,172)),TEXT(INDEX('Providers'!$U$4:$U$503,172),"yyyy-mm-dd"),"")&amp;". "))</f>
        <v/>
      </c>
      <c r="J3175">
        <f>IF(LEN(INDEX('Providers'!$AJ$4:$AJ$503,172))=0,"",INDEX('Providers'!$AJ$4:$AJ$503,172))</f>
        <v/>
      </c>
      <c r="K3175">
        <f>IF(LEN(INDEX('Providers'!$AI$4:$AI$503,172))=0,"",INDEX('Providers'!$AI$4:$AI$503,172))</f>
        <v/>
      </c>
    </row>
    <row r="3176">
      <c r="A3176">
        <f>IF(AND(LEN('Providers'!A176)&gt;0,ISNUMBER('Providers'!W176)),1,0)</f>
        <v/>
      </c>
      <c r="B3176">
        <f>B3175+A3176</f>
        <v/>
      </c>
      <c r="C3176">
        <f>IF(3173&gt;$B$4503,"",MATCH(3173-0.5,$B$3:$B$4503,1))</f>
        <v/>
      </c>
      <c r="D3176">
        <f>"CAQH re-attestation – "&amp;IF(LEN(INDEX('Providers'!$A$4:$A$503,173))=0,"",INDEX('Providers'!$A$4:$A$503,173))</f>
        <v/>
      </c>
      <c r="E3176">
        <f>IF(ISNUMBER(INDEX('Providers'!$W$4:$W$503,173)),TEXT(INDEX('Providers'!$W$4:$W$503,173),"yyyy-mm-dd"),"")</f>
        <v/>
      </c>
      <c r="F3176">
        <f>"Credentialing"</f>
        <v/>
      </c>
      <c r="G3176">
        <f>IF(ISNUMBER(INDEX('Providers'!$U$4:$U$503,173)),TEXT(INDEX('Providers'!$U$4:$U$503,173),"yyyy-mm-dd"),"")</f>
        <v/>
      </c>
      <c r="H3176">
        <f>"High"</f>
        <v/>
      </c>
      <c r="I3176">
        <f>TRIM(IF(LEN(IF(LEN(INDEX('Providers'!$T$4:$T$503,173))=0,"",INDEX('Providers'!$T$4:$T$503,173)))=0,"","CAQH ID: "&amp;IF(LEN(INDEX('Providers'!$T$4:$T$503,173))=0,"",INDEX('Providers'!$T$4:$T$503,173))&amp;". ")&amp;IF(LEN(IF(ISNUMBER(INDEX('Providers'!$U$4:$U$503,173)),TEXT(INDEX('Providers'!$U$4:$U$503,173),"yyyy-mm-dd"),""))=0,"","Last attested: "&amp;IF(ISNUMBER(INDEX('Providers'!$U$4:$U$503,173)),TEXT(INDEX('Providers'!$U$4:$U$503,173),"yyyy-mm-dd"),"")&amp;". "))</f>
        <v/>
      </c>
      <c r="J3176">
        <f>IF(LEN(INDEX('Providers'!$AJ$4:$AJ$503,173))=0,"",INDEX('Providers'!$AJ$4:$AJ$503,173))</f>
        <v/>
      </c>
      <c r="K3176">
        <f>IF(LEN(INDEX('Providers'!$AI$4:$AI$503,173))=0,"",INDEX('Providers'!$AI$4:$AI$503,173))</f>
        <v/>
      </c>
    </row>
    <row r="3177">
      <c r="A3177">
        <f>IF(AND(LEN('Providers'!A177)&gt;0,ISNUMBER('Providers'!W177)),1,0)</f>
        <v/>
      </c>
      <c r="B3177">
        <f>B3176+A3177</f>
        <v/>
      </c>
      <c r="C3177">
        <f>IF(3174&gt;$B$4503,"",MATCH(3174-0.5,$B$3:$B$4503,1))</f>
        <v/>
      </c>
      <c r="D3177">
        <f>"CAQH re-attestation – "&amp;IF(LEN(INDEX('Providers'!$A$4:$A$503,174))=0,"",INDEX('Providers'!$A$4:$A$503,174))</f>
        <v/>
      </c>
      <c r="E3177">
        <f>IF(ISNUMBER(INDEX('Providers'!$W$4:$W$503,174)),TEXT(INDEX('Providers'!$W$4:$W$503,174),"yyyy-mm-dd"),"")</f>
        <v/>
      </c>
      <c r="F3177">
        <f>"Credentialing"</f>
        <v/>
      </c>
      <c r="G3177">
        <f>IF(ISNUMBER(INDEX('Providers'!$U$4:$U$503,174)),TEXT(INDEX('Providers'!$U$4:$U$503,174),"yyyy-mm-dd"),"")</f>
        <v/>
      </c>
      <c r="H3177">
        <f>"High"</f>
        <v/>
      </c>
      <c r="I3177">
        <f>TRIM(IF(LEN(IF(LEN(INDEX('Providers'!$T$4:$T$503,174))=0,"",INDEX('Providers'!$T$4:$T$503,174)))=0,"","CAQH ID: "&amp;IF(LEN(INDEX('Providers'!$T$4:$T$503,174))=0,"",INDEX('Providers'!$T$4:$T$503,174))&amp;". ")&amp;IF(LEN(IF(ISNUMBER(INDEX('Providers'!$U$4:$U$503,174)),TEXT(INDEX('Providers'!$U$4:$U$503,174),"yyyy-mm-dd"),""))=0,"","Last attested: "&amp;IF(ISNUMBER(INDEX('Providers'!$U$4:$U$503,174)),TEXT(INDEX('Providers'!$U$4:$U$503,174),"yyyy-mm-dd"),"")&amp;". "))</f>
        <v/>
      </c>
      <c r="J3177">
        <f>IF(LEN(INDEX('Providers'!$AJ$4:$AJ$503,174))=0,"",INDEX('Providers'!$AJ$4:$AJ$503,174))</f>
        <v/>
      </c>
      <c r="K3177">
        <f>IF(LEN(INDEX('Providers'!$AI$4:$AI$503,174))=0,"",INDEX('Providers'!$AI$4:$AI$503,174))</f>
        <v/>
      </c>
    </row>
    <row r="3178">
      <c r="A3178">
        <f>IF(AND(LEN('Providers'!A178)&gt;0,ISNUMBER('Providers'!W178)),1,0)</f>
        <v/>
      </c>
      <c r="B3178">
        <f>B3177+A3178</f>
        <v/>
      </c>
      <c r="C3178">
        <f>IF(3175&gt;$B$4503,"",MATCH(3175-0.5,$B$3:$B$4503,1))</f>
        <v/>
      </c>
      <c r="D3178">
        <f>"CAQH re-attestation – "&amp;IF(LEN(INDEX('Providers'!$A$4:$A$503,175))=0,"",INDEX('Providers'!$A$4:$A$503,175))</f>
        <v/>
      </c>
      <c r="E3178">
        <f>IF(ISNUMBER(INDEX('Providers'!$W$4:$W$503,175)),TEXT(INDEX('Providers'!$W$4:$W$503,175),"yyyy-mm-dd"),"")</f>
        <v/>
      </c>
      <c r="F3178">
        <f>"Credentialing"</f>
        <v/>
      </c>
      <c r="G3178">
        <f>IF(ISNUMBER(INDEX('Providers'!$U$4:$U$503,175)),TEXT(INDEX('Providers'!$U$4:$U$503,175),"yyyy-mm-dd"),"")</f>
        <v/>
      </c>
      <c r="H3178">
        <f>"High"</f>
        <v/>
      </c>
      <c r="I3178">
        <f>TRIM(IF(LEN(IF(LEN(INDEX('Providers'!$T$4:$T$503,175))=0,"",INDEX('Providers'!$T$4:$T$503,175)))=0,"","CAQH ID: "&amp;IF(LEN(INDEX('Providers'!$T$4:$T$503,175))=0,"",INDEX('Providers'!$T$4:$T$503,175))&amp;". ")&amp;IF(LEN(IF(ISNUMBER(INDEX('Providers'!$U$4:$U$503,175)),TEXT(INDEX('Providers'!$U$4:$U$503,175),"yyyy-mm-dd"),""))=0,"","Last attested: "&amp;IF(ISNUMBER(INDEX('Providers'!$U$4:$U$503,175)),TEXT(INDEX('Providers'!$U$4:$U$503,175),"yyyy-mm-dd"),"")&amp;". "))</f>
        <v/>
      </c>
      <c r="J3178">
        <f>IF(LEN(INDEX('Providers'!$AJ$4:$AJ$503,175))=0,"",INDEX('Providers'!$AJ$4:$AJ$503,175))</f>
        <v/>
      </c>
      <c r="K3178">
        <f>IF(LEN(INDEX('Providers'!$AI$4:$AI$503,175))=0,"",INDEX('Providers'!$AI$4:$AI$503,175))</f>
        <v/>
      </c>
    </row>
    <row r="3179">
      <c r="A3179">
        <f>IF(AND(LEN('Providers'!A179)&gt;0,ISNUMBER('Providers'!W179)),1,0)</f>
        <v/>
      </c>
      <c r="B3179">
        <f>B3178+A3179</f>
        <v/>
      </c>
      <c r="C3179">
        <f>IF(3176&gt;$B$4503,"",MATCH(3176-0.5,$B$3:$B$4503,1))</f>
        <v/>
      </c>
      <c r="D3179">
        <f>"CAQH re-attestation – "&amp;IF(LEN(INDEX('Providers'!$A$4:$A$503,176))=0,"",INDEX('Providers'!$A$4:$A$503,176))</f>
        <v/>
      </c>
      <c r="E3179">
        <f>IF(ISNUMBER(INDEX('Providers'!$W$4:$W$503,176)),TEXT(INDEX('Providers'!$W$4:$W$503,176),"yyyy-mm-dd"),"")</f>
        <v/>
      </c>
      <c r="F3179">
        <f>"Credentialing"</f>
        <v/>
      </c>
      <c r="G3179">
        <f>IF(ISNUMBER(INDEX('Providers'!$U$4:$U$503,176)),TEXT(INDEX('Providers'!$U$4:$U$503,176),"yyyy-mm-dd"),"")</f>
        <v/>
      </c>
      <c r="H3179">
        <f>"High"</f>
        <v/>
      </c>
      <c r="I3179">
        <f>TRIM(IF(LEN(IF(LEN(INDEX('Providers'!$T$4:$T$503,176))=0,"",INDEX('Providers'!$T$4:$T$503,176)))=0,"","CAQH ID: "&amp;IF(LEN(INDEX('Providers'!$T$4:$T$503,176))=0,"",INDEX('Providers'!$T$4:$T$503,176))&amp;". ")&amp;IF(LEN(IF(ISNUMBER(INDEX('Providers'!$U$4:$U$503,176)),TEXT(INDEX('Providers'!$U$4:$U$503,176),"yyyy-mm-dd"),""))=0,"","Last attested: "&amp;IF(ISNUMBER(INDEX('Providers'!$U$4:$U$503,176)),TEXT(INDEX('Providers'!$U$4:$U$503,176),"yyyy-mm-dd"),"")&amp;". "))</f>
        <v/>
      </c>
      <c r="J3179">
        <f>IF(LEN(INDEX('Providers'!$AJ$4:$AJ$503,176))=0,"",INDEX('Providers'!$AJ$4:$AJ$503,176))</f>
        <v/>
      </c>
      <c r="K3179">
        <f>IF(LEN(INDEX('Providers'!$AI$4:$AI$503,176))=0,"",INDEX('Providers'!$AI$4:$AI$503,176))</f>
        <v/>
      </c>
    </row>
    <row r="3180">
      <c r="A3180">
        <f>IF(AND(LEN('Providers'!A180)&gt;0,ISNUMBER('Providers'!W180)),1,0)</f>
        <v/>
      </c>
      <c r="B3180">
        <f>B3179+A3180</f>
        <v/>
      </c>
      <c r="C3180">
        <f>IF(3177&gt;$B$4503,"",MATCH(3177-0.5,$B$3:$B$4503,1))</f>
        <v/>
      </c>
      <c r="D3180">
        <f>"CAQH re-attestation – "&amp;IF(LEN(INDEX('Providers'!$A$4:$A$503,177))=0,"",INDEX('Providers'!$A$4:$A$503,177))</f>
        <v/>
      </c>
      <c r="E3180">
        <f>IF(ISNUMBER(INDEX('Providers'!$W$4:$W$503,177)),TEXT(INDEX('Providers'!$W$4:$W$503,177),"yyyy-mm-dd"),"")</f>
        <v/>
      </c>
      <c r="F3180">
        <f>"Credentialing"</f>
        <v/>
      </c>
      <c r="G3180">
        <f>IF(ISNUMBER(INDEX('Providers'!$U$4:$U$503,177)),TEXT(INDEX('Providers'!$U$4:$U$503,177),"yyyy-mm-dd"),"")</f>
        <v/>
      </c>
      <c r="H3180">
        <f>"High"</f>
        <v/>
      </c>
      <c r="I3180">
        <f>TRIM(IF(LEN(IF(LEN(INDEX('Providers'!$T$4:$T$503,177))=0,"",INDEX('Providers'!$T$4:$T$503,177)))=0,"","CAQH ID: "&amp;IF(LEN(INDEX('Providers'!$T$4:$T$503,177))=0,"",INDEX('Providers'!$T$4:$T$503,177))&amp;". ")&amp;IF(LEN(IF(ISNUMBER(INDEX('Providers'!$U$4:$U$503,177)),TEXT(INDEX('Providers'!$U$4:$U$503,177),"yyyy-mm-dd"),""))=0,"","Last attested: "&amp;IF(ISNUMBER(INDEX('Providers'!$U$4:$U$503,177)),TEXT(INDEX('Providers'!$U$4:$U$503,177),"yyyy-mm-dd"),"")&amp;". "))</f>
        <v/>
      </c>
      <c r="J3180">
        <f>IF(LEN(INDEX('Providers'!$AJ$4:$AJ$503,177))=0,"",INDEX('Providers'!$AJ$4:$AJ$503,177))</f>
        <v/>
      </c>
      <c r="K3180">
        <f>IF(LEN(INDEX('Providers'!$AI$4:$AI$503,177))=0,"",INDEX('Providers'!$AI$4:$AI$503,177))</f>
        <v/>
      </c>
    </row>
    <row r="3181">
      <c r="A3181">
        <f>IF(AND(LEN('Providers'!A181)&gt;0,ISNUMBER('Providers'!W181)),1,0)</f>
        <v/>
      </c>
      <c r="B3181">
        <f>B3180+A3181</f>
        <v/>
      </c>
      <c r="C3181">
        <f>IF(3178&gt;$B$4503,"",MATCH(3178-0.5,$B$3:$B$4503,1))</f>
        <v/>
      </c>
      <c r="D3181">
        <f>"CAQH re-attestation – "&amp;IF(LEN(INDEX('Providers'!$A$4:$A$503,178))=0,"",INDEX('Providers'!$A$4:$A$503,178))</f>
        <v/>
      </c>
      <c r="E3181">
        <f>IF(ISNUMBER(INDEX('Providers'!$W$4:$W$503,178)),TEXT(INDEX('Providers'!$W$4:$W$503,178),"yyyy-mm-dd"),"")</f>
        <v/>
      </c>
      <c r="F3181">
        <f>"Credentialing"</f>
        <v/>
      </c>
      <c r="G3181">
        <f>IF(ISNUMBER(INDEX('Providers'!$U$4:$U$503,178)),TEXT(INDEX('Providers'!$U$4:$U$503,178),"yyyy-mm-dd"),"")</f>
        <v/>
      </c>
      <c r="H3181">
        <f>"High"</f>
        <v/>
      </c>
      <c r="I3181">
        <f>TRIM(IF(LEN(IF(LEN(INDEX('Providers'!$T$4:$T$503,178))=0,"",INDEX('Providers'!$T$4:$T$503,178)))=0,"","CAQH ID: "&amp;IF(LEN(INDEX('Providers'!$T$4:$T$503,178))=0,"",INDEX('Providers'!$T$4:$T$503,178))&amp;". ")&amp;IF(LEN(IF(ISNUMBER(INDEX('Providers'!$U$4:$U$503,178)),TEXT(INDEX('Providers'!$U$4:$U$503,178),"yyyy-mm-dd"),""))=0,"","Last attested: "&amp;IF(ISNUMBER(INDEX('Providers'!$U$4:$U$503,178)),TEXT(INDEX('Providers'!$U$4:$U$503,178),"yyyy-mm-dd"),"")&amp;". "))</f>
        <v/>
      </c>
      <c r="J3181">
        <f>IF(LEN(INDEX('Providers'!$AJ$4:$AJ$503,178))=0,"",INDEX('Providers'!$AJ$4:$AJ$503,178))</f>
        <v/>
      </c>
      <c r="K3181">
        <f>IF(LEN(INDEX('Providers'!$AI$4:$AI$503,178))=0,"",INDEX('Providers'!$AI$4:$AI$503,178))</f>
        <v/>
      </c>
    </row>
    <row r="3182">
      <c r="A3182">
        <f>IF(AND(LEN('Providers'!A182)&gt;0,ISNUMBER('Providers'!W182)),1,0)</f>
        <v/>
      </c>
      <c r="B3182">
        <f>B3181+A3182</f>
        <v/>
      </c>
      <c r="C3182">
        <f>IF(3179&gt;$B$4503,"",MATCH(3179-0.5,$B$3:$B$4503,1))</f>
        <v/>
      </c>
      <c r="D3182">
        <f>"CAQH re-attestation – "&amp;IF(LEN(INDEX('Providers'!$A$4:$A$503,179))=0,"",INDEX('Providers'!$A$4:$A$503,179))</f>
        <v/>
      </c>
      <c r="E3182">
        <f>IF(ISNUMBER(INDEX('Providers'!$W$4:$W$503,179)),TEXT(INDEX('Providers'!$W$4:$W$503,179),"yyyy-mm-dd"),"")</f>
        <v/>
      </c>
      <c r="F3182">
        <f>"Credentialing"</f>
        <v/>
      </c>
      <c r="G3182">
        <f>IF(ISNUMBER(INDEX('Providers'!$U$4:$U$503,179)),TEXT(INDEX('Providers'!$U$4:$U$503,179),"yyyy-mm-dd"),"")</f>
        <v/>
      </c>
      <c r="H3182">
        <f>"High"</f>
        <v/>
      </c>
      <c r="I3182">
        <f>TRIM(IF(LEN(IF(LEN(INDEX('Providers'!$T$4:$T$503,179))=0,"",INDEX('Providers'!$T$4:$T$503,179)))=0,"","CAQH ID: "&amp;IF(LEN(INDEX('Providers'!$T$4:$T$503,179))=0,"",INDEX('Providers'!$T$4:$T$503,179))&amp;". ")&amp;IF(LEN(IF(ISNUMBER(INDEX('Providers'!$U$4:$U$503,179)),TEXT(INDEX('Providers'!$U$4:$U$503,179),"yyyy-mm-dd"),""))=0,"","Last attested: "&amp;IF(ISNUMBER(INDEX('Providers'!$U$4:$U$503,179)),TEXT(INDEX('Providers'!$U$4:$U$503,179),"yyyy-mm-dd"),"")&amp;". "))</f>
        <v/>
      </c>
      <c r="J3182">
        <f>IF(LEN(INDEX('Providers'!$AJ$4:$AJ$503,179))=0,"",INDEX('Providers'!$AJ$4:$AJ$503,179))</f>
        <v/>
      </c>
      <c r="K3182">
        <f>IF(LEN(INDEX('Providers'!$AI$4:$AI$503,179))=0,"",INDEX('Providers'!$AI$4:$AI$503,179))</f>
        <v/>
      </c>
    </row>
    <row r="3183">
      <c r="A3183">
        <f>IF(AND(LEN('Providers'!A183)&gt;0,ISNUMBER('Providers'!W183)),1,0)</f>
        <v/>
      </c>
      <c r="B3183">
        <f>B3182+A3183</f>
        <v/>
      </c>
      <c r="C3183">
        <f>IF(3180&gt;$B$4503,"",MATCH(3180-0.5,$B$3:$B$4503,1))</f>
        <v/>
      </c>
      <c r="D3183">
        <f>"CAQH re-attestation – "&amp;IF(LEN(INDEX('Providers'!$A$4:$A$503,180))=0,"",INDEX('Providers'!$A$4:$A$503,180))</f>
        <v/>
      </c>
      <c r="E3183">
        <f>IF(ISNUMBER(INDEX('Providers'!$W$4:$W$503,180)),TEXT(INDEX('Providers'!$W$4:$W$503,180),"yyyy-mm-dd"),"")</f>
        <v/>
      </c>
      <c r="F3183">
        <f>"Credentialing"</f>
        <v/>
      </c>
      <c r="G3183">
        <f>IF(ISNUMBER(INDEX('Providers'!$U$4:$U$503,180)),TEXT(INDEX('Providers'!$U$4:$U$503,180),"yyyy-mm-dd"),"")</f>
        <v/>
      </c>
      <c r="H3183">
        <f>"High"</f>
        <v/>
      </c>
      <c r="I3183">
        <f>TRIM(IF(LEN(IF(LEN(INDEX('Providers'!$T$4:$T$503,180))=0,"",INDEX('Providers'!$T$4:$T$503,180)))=0,"","CAQH ID: "&amp;IF(LEN(INDEX('Providers'!$T$4:$T$503,180))=0,"",INDEX('Providers'!$T$4:$T$503,180))&amp;". ")&amp;IF(LEN(IF(ISNUMBER(INDEX('Providers'!$U$4:$U$503,180)),TEXT(INDEX('Providers'!$U$4:$U$503,180),"yyyy-mm-dd"),""))=0,"","Last attested: "&amp;IF(ISNUMBER(INDEX('Providers'!$U$4:$U$503,180)),TEXT(INDEX('Providers'!$U$4:$U$503,180),"yyyy-mm-dd"),"")&amp;". "))</f>
        <v/>
      </c>
      <c r="J3183">
        <f>IF(LEN(INDEX('Providers'!$AJ$4:$AJ$503,180))=0,"",INDEX('Providers'!$AJ$4:$AJ$503,180))</f>
        <v/>
      </c>
      <c r="K3183">
        <f>IF(LEN(INDEX('Providers'!$AI$4:$AI$503,180))=0,"",INDEX('Providers'!$AI$4:$AI$503,180))</f>
        <v/>
      </c>
    </row>
    <row r="3184">
      <c r="A3184">
        <f>IF(AND(LEN('Providers'!A184)&gt;0,ISNUMBER('Providers'!W184)),1,0)</f>
        <v/>
      </c>
      <c r="B3184">
        <f>B3183+A3184</f>
        <v/>
      </c>
      <c r="C3184">
        <f>IF(3181&gt;$B$4503,"",MATCH(3181-0.5,$B$3:$B$4503,1))</f>
        <v/>
      </c>
      <c r="D3184">
        <f>"CAQH re-attestation – "&amp;IF(LEN(INDEX('Providers'!$A$4:$A$503,181))=0,"",INDEX('Providers'!$A$4:$A$503,181))</f>
        <v/>
      </c>
      <c r="E3184">
        <f>IF(ISNUMBER(INDEX('Providers'!$W$4:$W$503,181)),TEXT(INDEX('Providers'!$W$4:$W$503,181),"yyyy-mm-dd"),"")</f>
        <v/>
      </c>
      <c r="F3184">
        <f>"Credentialing"</f>
        <v/>
      </c>
      <c r="G3184">
        <f>IF(ISNUMBER(INDEX('Providers'!$U$4:$U$503,181)),TEXT(INDEX('Providers'!$U$4:$U$503,181),"yyyy-mm-dd"),"")</f>
        <v/>
      </c>
      <c r="H3184">
        <f>"High"</f>
        <v/>
      </c>
      <c r="I3184">
        <f>TRIM(IF(LEN(IF(LEN(INDEX('Providers'!$T$4:$T$503,181))=0,"",INDEX('Providers'!$T$4:$T$503,181)))=0,"","CAQH ID: "&amp;IF(LEN(INDEX('Providers'!$T$4:$T$503,181))=0,"",INDEX('Providers'!$T$4:$T$503,181))&amp;". ")&amp;IF(LEN(IF(ISNUMBER(INDEX('Providers'!$U$4:$U$503,181)),TEXT(INDEX('Providers'!$U$4:$U$503,181),"yyyy-mm-dd"),""))=0,"","Last attested: "&amp;IF(ISNUMBER(INDEX('Providers'!$U$4:$U$503,181)),TEXT(INDEX('Providers'!$U$4:$U$503,181),"yyyy-mm-dd"),"")&amp;". "))</f>
        <v/>
      </c>
      <c r="J3184">
        <f>IF(LEN(INDEX('Providers'!$AJ$4:$AJ$503,181))=0,"",INDEX('Providers'!$AJ$4:$AJ$503,181))</f>
        <v/>
      </c>
      <c r="K3184">
        <f>IF(LEN(INDEX('Providers'!$AI$4:$AI$503,181))=0,"",INDEX('Providers'!$AI$4:$AI$503,181))</f>
        <v/>
      </c>
    </row>
    <row r="3185">
      <c r="A3185">
        <f>IF(AND(LEN('Providers'!A185)&gt;0,ISNUMBER('Providers'!W185)),1,0)</f>
        <v/>
      </c>
      <c r="B3185">
        <f>B3184+A3185</f>
        <v/>
      </c>
      <c r="C3185">
        <f>IF(3182&gt;$B$4503,"",MATCH(3182-0.5,$B$3:$B$4503,1))</f>
        <v/>
      </c>
      <c r="D3185">
        <f>"CAQH re-attestation – "&amp;IF(LEN(INDEX('Providers'!$A$4:$A$503,182))=0,"",INDEX('Providers'!$A$4:$A$503,182))</f>
        <v/>
      </c>
      <c r="E3185">
        <f>IF(ISNUMBER(INDEX('Providers'!$W$4:$W$503,182)),TEXT(INDEX('Providers'!$W$4:$W$503,182),"yyyy-mm-dd"),"")</f>
        <v/>
      </c>
      <c r="F3185">
        <f>"Credentialing"</f>
        <v/>
      </c>
      <c r="G3185">
        <f>IF(ISNUMBER(INDEX('Providers'!$U$4:$U$503,182)),TEXT(INDEX('Providers'!$U$4:$U$503,182),"yyyy-mm-dd"),"")</f>
        <v/>
      </c>
      <c r="H3185">
        <f>"High"</f>
        <v/>
      </c>
      <c r="I3185">
        <f>TRIM(IF(LEN(IF(LEN(INDEX('Providers'!$T$4:$T$503,182))=0,"",INDEX('Providers'!$T$4:$T$503,182)))=0,"","CAQH ID: "&amp;IF(LEN(INDEX('Providers'!$T$4:$T$503,182))=0,"",INDEX('Providers'!$T$4:$T$503,182))&amp;". ")&amp;IF(LEN(IF(ISNUMBER(INDEX('Providers'!$U$4:$U$503,182)),TEXT(INDEX('Providers'!$U$4:$U$503,182),"yyyy-mm-dd"),""))=0,"","Last attested: "&amp;IF(ISNUMBER(INDEX('Providers'!$U$4:$U$503,182)),TEXT(INDEX('Providers'!$U$4:$U$503,182),"yyyy-mm-dd"),"")&amp;". "))</f>
        <v/>
      </c>
      <c r="J3185">
        <f>IF(LEN(INDEX('Providers'!$AJ$4:$AJ$503,182))=0,"",INDEX('Providers'!$AJ$4:$AJ$503,182))</f>
        <v/>
      </c>
      <c r="K3185">
        <f>IF(LEN(INDEX('Providers'!$AI$4:$AI$503,182))=0,"",INDEX('Providers'!$AI$4:$AI$503,182))</f>
        <v/>
      </c>
    </row>
    <row r="3186">
      <c r="A3186">
        <f>IF(AND(LEN('Providers'!A186)&gt;0,ISNUMBER('Providers'!W186)),1,0)</f>
        <v/>
      </c>
      <c r="B3186">
        <f>B3185+A3186</f>
        <v/>
      </c>
      <c r="C3186">
        <f>IF(3183&gt;$B$4503,"",MATCH(3183-0.5,$B$3:$B$4503,1))</f>
        <v/>
      </c>
      <c r="D3186">
        <f>"CAQH re-attestation – "&amp;IF(LEN(INDEX('Providers'!$A$4:$A$503,183))=0,"",INDEX('Providers'!$A$4:$A$503,183))</f>
        <v/>
      </c>
      <c r="E3186">
        <f>IF(ISNUMBER(INDEX('Providers'!$W$4:$W$503,183)),TEXT(INDEX('Providers'!$W$4:$W$503,183),"yyyy-mm-dd"),"")</f>
        <v/>
      </c>
      <c r="F3186">
        <f>"Credentialing"</f>
        <v/>
      </c>
      <c r="G3186">
        <f>IF(ISNUMBER(INDEX('Providers'!$U$4:$U$503,183)),TEXT(INDEX('Providers'!$U$4:$U$503,183),"yyyy-mm-dd"),"")</f>
        <v/>
      </c>
      <c r="H3186">
        <f>"High"</f>
        <v/>
      </c>
      <c r="I3186">
        <f>TRIM(IF(LEN(IF(LEN(INDEX('Providers'!$T$4:$T$503,183))=0,"",INDEX('Providers'!$T$4:$T$503,183)))=0,"","CAQH ID: "&amp;IF(LEN(INDEX('Providers'!$T$4:$T$503,183))=0,"",INDEX('Providers'!$T$4:$T$503,183))&amp;". ")&amp;IF(LEN(IF(ISNUMBER(INDEX('Providers'!$U$4:$U$503,183)),TEXT(INDEX('Providers'!$U$4:$U$503,183),"yyyy-mm-dd"),""))=0,"","Last attested: "&amp;IF(ISNUMBER(INDEX('Providers'!$U$4:$U$503,183)),TEXT(INDEX('Providers'!$U$4:$U$503,183),"yyyy-mm-dd"),"")&amp;". "))</f>
        <v/>
      </c>
      <c r="J3186">
        <f>IF(LEN(INDEX('Providers'!$AJ$4:$AJ$503,183))=0,"",INDEX('Providers'!$AJ$4:$AJ$503,183))</f>
        <v/>
      </c>
      <c r="K3186">
        <f>IF(LEN(INDEX('Providers'!$AI$4:$AI$503,183))=0,"",INDEX('Providers'!$AI$4:$AI$503,183))</f>
        <v/>
      </c>
    </row>
    <row r="3187">
      <c r="A3187">
        <f>IF(AND(LEN('Providers'!A187)&gt;0,ISNUMBER('Providers'!W187)),1,0)</f>
        <v/>
      </c>
      <c r="B3187">
        <f>B3186+A3187</f>
        <v/>
      </c>
      <c r="C3187">
        <f>IF(3184&gt;$B$4503,"",MATCH(3184-0.5,$B$3:$B$4503,1))</f>
        <v/>
      </c>
      <c r="D3187">
        <f>"CAQH re-attestation – "&amp;IF(LEN(INDEX('Providers'!$A$4:$A$503,184))=0,"",INDEX('Providers'!$A$4:$A$503,184))</f>
        <v/>
      </c>
      <c r="E3187">
        <f>IF(ISNUMBER(INDEX('Providers'!$W$4:$W$503,184)),TEXT(INDEX('Providers'!$W$4:$W$503,184),"yyyy-mm-dd"),"")</f>
        <v/>
      </c>
      <c r="F3187">
        <f>"Credentialing"</f>
        <v/>
      </c>
      <c r="G3187">
        <f>IF(ISNUMBER(INDEX('Providers'!$U$4:$U$503,184)),TEXT(INDEX('Providers'!$U$4:$U$503,184),"yyyy-mm-dd"),"")</f>
        <v/>
      </c>
      <c r="H3187">
        <f>"High"</f>
        <v/>
      </c>
      <c r="I3187">
        <f>TRIM(IF(LEN(IF(LEN(INDEX('Providers'!$T$4:$T$503,184))=0,"",INDEX('Providers'!$T$4:$T$503,184)))=0,"","CAQH ID: "&amp;IF(LEN(INDEX('Providers'!$T$4:$T$503,184))=0,"",INDEX('Providers'!$T$4:$T$503,184))&amp;". ")&amp;IF(LEN(IF(ISNUMBER(INDEX('Providers'!$U$4:$U$503,184)),TEXT(INDEX('Providers'!$U$4:$U$503,184),"yyyy-mm-dd"),""))=0,"","Last attested: "&amp;IF(ISNUMBER(INDEX('Providers'!$U$4:$U$503,184)),TEXT(INDEX('Providers'!$U$4:$U$503,184),"yyyy-mm-dd"),"")&amp;". "))</f>
        <v/>
      </c>
      <c r="J3187">
        <f>IF(LEN(INDEX('Providers'!$AJ$4:$AJ$503,184))=0,"",INDEX('Providers'!$AJ$4:$AJ$503,184))</f>
        <v/>
      </c>
      <c r="K3187">
        <f>IF(LEN(INDEX('Providers'!$AI$4:$AI$503,184))=0,"",INDEX('Providers'!$AI$4:$AI$503,184))</f>
        <v/>
      </c>
    </row>
    <row r="3188">
      <c r="A3188">
        <f>IF(AND(LEN('Providers'!A188)&gt;0,ISNUMBER('Providers'!W188)),1,0)</f>
        <v/>
      </c>
      <c r="B3188">
        <f>B3187+A3188</f>
        <v/>
      </c>
      <c r="C3188">
        <f>IF(3185&gt;$B$4503,"",MATCH(3185-0.5,$B$3:$B$4503,1))</f>
        <v/>
      </c>
      <c r="D3188">
        <f>"CAQH re-attestation – "&amp;IF(LEN(INDEX('Providers'!$A$4:$A$503,185))=0,"",INDEX('Providers'!$A$4:$A$503,185))</f>
        <v/>
      </c>
      <c r="E3188">
        <f>IF(ISNUMBER(INDEX('Providers'!$W$4:$W$503,185)),TEXT(INDEX('Providers'!$W$4:$W$503,185),"yyyy-mm-dd"),"")</f>
        <v/>
      </c>
      <c r="F3188">
        <f>"Credentialing"</f>
        <v/>
      </c>
      <c r="G3188">
        <f>IF(ISNUMBER(INDEX('Providers'!$U$4:$U$503,185)),TEXT(INDEX('Providers'!$U$4:$U$503,185),"yyyy-mm-dd"),"")</f>
        <v/>
      </c>
      <c r="H3188">
        <f>"High"</f>
        <v/>
      </c>
      <c r="I3188">
        <f>TRIM(IF(LEN(IF(LEN(INDEX('Providers'!$T$4:$T$503,185))=0,"",INDEX('Providers'!$T$4:$T$503,185)))=0,"","CAQH ID: "&amp;IF(LEN(INDEX('Providers'!$T$4:$T$503,185))=0,"",INDEX('Providers'!$T$4:$T$503,185))&amp;". ")&amp;IF(LEN(IF(ISNUMBER(INDEX('Providers'!$U$4:$U$503,185)),TEXT(INDEX('Providers'!$U$4:$U$503,185),"yyyy-mm-dd"),""))=0,"","Last attested: "&amp;IF(ISNUMBER(INDEX('Providers'!$U$4:$U$503,185)),TEXT(INDEX('Providers'!$U$4:$U$503,185),"yyyy-mm-dd"),"")&amp;". "))</f>
        <v/>
      </c>
      <c r="J3188">
        <f>IF(LEN(INDEX('Providers'!$AJ$4:$AJ$503,185))=0,"",INDEX('Providers'!$AJ$4:$AJ$503,185))</f>
        <v/>
      </c>
      <c r="K3188">
        <f>IF(LEN(INDEX('Providers'!$AI$4:$AI$503,185))=0,"",INDEX('Providers'!$AI$4:$AI$503,185))</f>
        <v/>
      </c>
    </row>
    <row r="3189">
      <c r="A3189">
        <f>IF(AND(LEN('Providers'!A189)&gt;0,ISNUMBER('Providers'!W189)),1,0)</f>
        <v/>
      </c>
      <c r="B3189">
        <f>B3188+A3189</f>
        <v/>
      </c>
      <c r="C3189">
        <f>IF(3186&gt;$B$4503,"",MATCH(3186-0.5,$B$3:$B$4503,1))</f>
        <v/>
      </c>
      <c r="D3189">
        <f>"CAQH re-attestation – "&amp;IF(LEN(INDEX('Providers'!$A$4:$A$503,186))=0,"",INDEX('Providers'!$A$4:$A$503,186))</f>
        <v/>
      </c>
      <c r="E3189">
        <f>IF(ISNUMBER(INDEX('Providers'!$W$4:$W$503,186)),TEXT(INDEX('Providers'!$W$4:$W$503,186),"yyyy-mm-dd"),"")</f>
        <v/>
      </c>
      <c r="F3189">
        <f>"Credentialing"</f>
        <v/>
      </c>
      <c r="G3189">
        <f>IF(ISNUMBER(INDEX('Providers'!$U$4:$U$503,186)),TEXT(INDEX('Providers'!$U$4:$U$503,186),"yyyy-mm-dd"),"")</f>
        <v/>
      </c>
      <c r="H3189">
        <f>"High"</f>
        <v/>
      </c>
      <c r="I3189">
        <f>TRIM(IF(LEN(IF(LEN(INDEX('Providers'!$T$4:$T$503,186))=0,"",INDEX('Providers'!$T$4:$T$503,186)))=0,"","CAQH ID: "&amp;IF(LEN(INDEX('Providers'!$T$4:$T$503,186))=0,"",INDEX('Providers'!$T$4:$T$503,186))&amp;". ")&amp;IF(LEN(IF(ISNUMBER(INDEX('Providers'!$U$4:$U$503,186)),TEXT(INDEX('Providers'!$U$4:$U$503,186),"yyyy-mm-dd"),""))=0,"","Last attested: "&amp;IF(ISNUMBER(INDEX('Providers'!$U$4:$U$503,186)),TEXT(INDEX('Providers'!$U$4:$U$503,186),"yyyy-mm-dd"),"")&amp;". "))</f>
        <v/>
      </c>
      <c r="J3189">
        <f>IF(LEN(INDEX('Providers'!$AJ$4:$AJ$503,186))=0,"",INDEX('Providers'!$AJ$4:$AJ$503,186))</f>
        <v/>
      </c>
      <c r="K3189">
        <f>IF(LEN(INDEX('Providers'!$AI$4:$AI$503,186))=0,"",INDEX('Providers'!$AI$4:$AI$503,186))</f>
        <v/>
      </c>
    </row>
    <row r="3190">
      <c r="A3190">
        <f>IF(AND(LEN('Providers'!A190)&gt;0,ISNUMBER('Providers'!W190)),1,0)</f>
        <v/>
      </c>
      <c r="B3190">
        <f>B3189+A3190</f>
        <v/>
      </c>
      <c r="C3190">
        <f>IF(3187&gt;$B$4503,"",MATCH(3187-0.5,$B$3:$B$4503,1))</f>
        <v/>
      </c>
      <c r="D3190">
        <f>"CAQH re-attestation – "&amp;IF(LEN(INDEX('Providers'!$A$4:$A$503,187))=0,"",INDEX('Providers'!$A$4:$A$503,187))</f>
        <v/>
      </c>
      <c r="E3190">
        <f>IF(ISNUMBER(INDEX('Providers'!$W$4:$W$503,187)),TEXT(INDEX('Providers'!$W$4:$W$503,187),"yyyy-mm-dd"),"")</f>
        <v/>
      </c>
      <c r="F3190">
        <f>"Credentialing"</f>
        <v/>
      </c>
      <c r="G3190">
        <f>IF(ISNUMBER(INDEX('Providers'!$U$4:$U$503,187)),TEXT(INDEX('Providers'!$U$4:$U$503,187),"yyyy-mm-dd"),"")</f>
        <v/>
      </c>
      <c r="H3190">
        <f>"High"</f>
        <v/>
      </c>
      <c r="I3190">
        <f>TRIM(IF(LEN(IF(LEN(INDEX('Providers'!$T$4:$T$503,187))=0,"",INDEX('Providers'!$T$4:$T$503,187)))=0,"","CAQH ID: "&amp;IF(LEN(INDEX('Providers'!$T$4:$T$503,187))=0,"",INDEX('Providers'!$T$4:$T$503,187))&amp;". ")&amp;IF(LEN(IF(ISNUMBER(INDEX('Providers'!$U$4:$U$503,187)),TEXT(INDEX('Providers'!$U$4:$U$503,187),"yyyy-mm-dd"),""))=0,"","Last attested: "&amp;IF(ISNUMBER(INDEX('Providers'!$U$4:$U$503,187)),TEXT(INDEX('Providers'!$U$4:$U$503,187),"yyyy-mm-dd"),"")&amp;". "))</f>
        <v/>
      </c>
      <c r="J3190">
        <f>IF(LEN(INDEX('Providers'!$AJ$4:$AJ$503,187))=0,"",INDEX('Providers'!$AJ$4:$AJ$503,187))</f>
        <v/>
      </c>
      <c r="K3190">
        <f>IF(LEN(INDEX('Providers'!$AI$4:$AI$503,187))=0,"",INDEX('Providers'!$AI$4:$AI$503,187))</f>
        <v/>
      </c>
    </row>
    <row r="3191">
      <c r="A3191">
        <f>IF(AND(LEN('Providers'!A191)&gt;0,ISNUMBER('Providers'!W191)),1,0)</f>
        <v/>
      </c>
      <c r="B3191">
        <f>B3190+A3191</f>
        <v/>
      </c>
      <c r="C3191">
        <f>IF(3188&gt;$B$4503,"",MATCH(3188-0.5,$B$3:$B$4503,1))</f>
        <v/>
      </c>
      <c r="D3191">
        <f>"CAQH re-attestation – "&amp;IF(LEN(INDEX('Providers'!$A$4:$A$503,188))=0,"",INDEX('Providers'!$A$4:$A$503,188))</f>
        <v/>
      </c>
      <c r="E3191">
        <f>IF(ISNUMBER(INDEX('Providers'!$W$4:$W$503,188)),TEXT(INDEX('Providers'!$W$4:$W$503,188),"yyyy-mm-dd"),"")</f>
        <v/>
      </c>
      <c r="F3191">
        <f>"Credentialing"</f>
        <v/>
      </c>
      <c r="G3191">
        <f>IF(ISNUMBER(INDEX('Providers'!$U$4:$U$503,188)),TEXT(INDEX('Providers'!$U$4:$U$503,188),"yyyy-mm-dd"),"")</f>
        <v/>
      </c>
      <c r="H3191">
        <f>"High"</f>
        <v/>
      </c>
      <c r="I3191">
        <f>TRIM(IF(LEN(IF(LEN(INDEX('Providers'!$T$4:$T$503,188))=0,"",INDEX('Providers'!$T$4:$T$503,188)))=0,"","CAQH ID: "&amp;IF(LEN(INDEX('Providers'!$T$4:$T$503,188))=0,"",INDEX('Providers'!$T$4:$T$503,188))&amp;". ")&amp;IF(LEN(IF(ISNUMBER(INDEX('Providers'!$U$4:$U$503,188)),TEXT(INDEX('Providers'!$U$4:$U$503,188),"yyyy-mm-dd"),""))=0,"","Last attested: "&amp;IF(ISNUMBER(INDEX('Providers'!$U$4:$U$503,188)),TEXT(INDEX('Providers'!$U$4:$U$503,188),"yyyy-mm-dd"),"")&amp;". "))</f>
        <v/>
      </c>
      <c r="J3191">
        <f>IF(LEN(INDEX('Providers'!$AJ$4:$AJ$503,188))=0,"",INDEX('Providers'!$AJ$4:$AJ$503,188))</f>
        <v/>
      </c>
      <c r="K3191">
        <f>IF(LEN(INDEX('Providers'!$AI$4:$AI$503,188))=0,"",INDEX('Providers'!$AI$4:$AI$503,188))</f>
        <v/>
      </c>
    </row>
    <row r="3192">
      <c r="A3192">
        <f>IF(AND(LEN('Providers'!A192)&gt;0,ISNUMBER('Providers'!W192)),1,0)</f>
        <v/>
      </c>
      <c r="B3192">
        <f>B3191+A3192</f>
        <v/>
      </c>
      <c r="C3192">
        <f>IF(3189&gt;$B$4503,"",MATCH(3189-0.5,$B$3:$B$4503,1))</f>
        <v/>
      </c>
      <c r="D3192">
        <f>"CAQH re-attestation – "&amp;IF(LEN(INDEX('Providers'!$A$4:$A$503,189))=0,"",INDEX('Providers'!$A$4:$A$503,189))</f>
        <v/>
      </c>
      <c r="E3192">
        <f>IF(ISNUMBER(INDEX('Providers'!$W$4:$W$503,189)),TEXT(INDEX('Providers'!$W$4:$W$503,189),"yyyy-mm-dd"),"")</f>
        <v/>
      </c>
      <c r="F3192">
        <f>"Credentialing"</f>
        <v/>
      </c>
      <c r="G3192">
        <f>IF(ISNUMBER(INDEX('Providers'!$U$4:$U$503,189)),TEXT(INDEX('Providers'!$U$4:$U$503,189),"yyyy-mm-dd"),"")</f>
        <v/>
      </c>
      <c r="H3192">
        <f>"High"</f>
        <v/>
      </c>
      <c r="I3192">
        <f>TRIM(IF(LEN(IF(LEN(INDEX('Providers'!$T$4:$T$503,189))=0,"",INDEX('Providers'!$T$4:$T$503,189)))=0,"","CAQH ID: "&amp;IF(LEN(INDEX('Providers'!$T$4:$T$503,189))=0,"",INDEX('Providers'!$T$4:$T$503,189))&amp;". ")&amp;IF(LEN(IF(ISNUMBER(INDEX('Providers'!$U$4:$U$503,189)),TEXT(INDEX('Providers'!$U$4:$U$503,189),"yyyy-mm-dd"),""))=0,"","Last attested: "&amp;IF(ISNUMBER(INDEX('Providers'!$U$4:$U$503,189)),TEXT(INDEX('Providers'!$U$4:$U$503,189),"yyyy-mm-dd"),"")&amp;". "))</f>
        <v/>
      </c>
      <c r="J3192">
        <f>IF(LEN(INDEX('Providers'!$AJ$4:$AJ$503,189))=0,"",INDEX('Providers'!$AJ$4:$AJ$503,189))</f>
        <v/>
      </c>
      <c r="K3192">
        <f>IF(LEN(INDEX('Providers'!$AI$4:$AI$503,189))=0,"",INDEX('Providers'!$AI$4:$AI$503,189))</f>
        <v/>
      </c>
    </row>
    <row r="3193">
      <c r="A3193">
        <f>IF(AND(LEN('Providers'!A193)&gt;0,ISNUMBER('Providers'!W193)),1,0)</f>
        <v/>
      </c>
      <c r="B3193">
        <f>B3192+A3193</f>
        <v/>
      </c>
      <c r="C3193">
        <f>IF(3190&gt;$B$4503,"",MATCH(3190-0.5,$B$3:$B$4503,1))</f>
        <v/>
      </c>
      <c r="D3193">
        <f>"CAQH re-attestation – "&amp;IF(LEN(INDEX('Providers'!$A$4:$A$503,190))=0,"",INDEX('Providers'!$A$4:$A$503,190))</f>
        <v/>
      </c>
      <c r="E3193">
        <f>IF(ISNUMBER(INDEX('Providers'!$W$4:$W$503,190)),TEXT(INDEX('Providers'!$W$4:$W$503,190),"yyyy-mm-dd"),"")</f>
        <v/>
      </c>
      <c r="F3193">
        <f>"Credentialing"</f>
        <v/>
      </c>
      <c r="G3193">
        <f>IF(ISNUMBER(INDEX('Providers'!$U$4:$U$503,190)),TEXT(INDEX('Providers'!$U$4:$U$503,190),"yyyy-mm-dd"),"")</f>
        <v/>
      </c>
      <c r="H3193">
        <f>"High"</f>
        <v/>
      </c>
      <c r="I3193">
        <f>TRIM(IF(LEN(IF(LEN(INDEX('Providers'!$T$4:$T$503,190))=0,"",INDEX('Providers'!$T$4:$T$503,190)))=0,"","CAQH ID: "&amp;IF(LEN(INDEX('Providers'!$T$4:$T$503,190))=0,"",INDEX('Providers'!$T$4:$T$503,190))&amp;". ")&amp;IF(LEN(IF(ISNUMBER(INDEX('Providers'!$U$4:$U$503,190)),TEXT(INDEX('Providers'!$U$4:$U$503,190),"yyyy-mm-dd"),""))=0,"","Last attested: "&amp;IF(ISNUMBER(INDEX('Providers'!$U$4:$U$503,190)),TEXT(INDEX('Providers'!$U$4:$U$503,190),"yyyy-mm-dd"),"")&amp;". "))</f>
        <v/>
      </c>
      <c r="J3193">
        <f>IF(LEN(INDEX('Providers'!$AJ$4:$AJ$503,190))=0,"",INDEX('Providers'!$AJ$4:$AJ$503,190))</f>
        <v/>
      </c>
      <c r="K3193">
        <f>IF(LEN(INDEX('Providers'!$AI$4:$AI$503,190))=0,"",INDEX('Providers'!$AI$4:$AI$503,190))</f>
        <v/>
      </c>
    </row>
    <row r="3194">
      <c r="A3194">
        <f>IF(AND(LEN('Providers'!A194)&gt;0,ISNUMBER('Providers'!W194)),1,0)</f>
        <v/>
      </c>
      <c r="B3194">
        <f>B3193+A3194</f>
        <v/>
      </c>
      <c r="C3194">
        <f>IF(3191&gt;$B$4503,"",MATCH(3191-0.5,$B$3:$B$4503,1))</f>
        <v/>
      </c>
      <c r="D3194">
        <f>"CAQH re-attestation – "&amp;IF(LEN(INDEX('Providers'!$A$4:$A$503,191))=0,"",INDEX('Providers'!$A$4:$A$503,191))</f>
        <v/>
      </c>
      <c r="E3194">
        <f>IF(ISNUMBER(INDEX('Providers'!$W$4:$W$503,191)),TEXT(INDEX('Providers'!$W$4:$W$503,191),"yyyy-mm-dd"),"")</f>
        <v/>
      </c>
      <c r="F3194">
        <f>"Credentialing"</f>
        <v/>
      </c>
      <c r="G3194">
        <f>IF(ISNUMBER(INDEX('Providers'!$U$4:$U$503,191)),TEXT(INDEX('Providers'!$U$4:$U$503,191),"yyyy-mm-dd"),"")</f>
        <v/>
      </c>
      <c r="H3194">
        <f>"High"</f>
        <v/>
      </c>
      <c r="I3194">
        <f>TRIM(IF(LEN(IF(LEN(INDEX('Providers'!$T$4:$T$503,191))=0,"",INDEX('Providers'!$T$4:$T$503,191)))=0,"","CAQH ID: "&amp;IF(LEN(INDEX('Providers'!$T$4:$T$503,191))=0,"",INDEX('Providers'!$T$4:$T$503,191))&amp;". ")&amp;IF(LEN(IF(ISNUMBER(INDEX('Providers'!$U$4:$U$503,191)),TEXT(INDEX('Providers'!$U$4:$U$503,191),"yyyy-mm-dd"),""))=0,"","Last attested: "&amp;IF(ISNUMBER(INDEX('Providers'!$U$4:$U$503,191)),TEXT(INDEX('Providers'!$U$4:$U$503,191),"yyyy-mm-dd"),"")&amp;". "))</f>
        <v/>
      </c>
      <c r="J3194">
        <f>IF(LEN(INDEX('Providers'!$AJ$4:$AJ$503,191))=0,"",INDEX('Providers'!$AJ$4:$AJ$503,191))</f>
        <v/>
      </c>
      <c r="K3194">
        <f>IF(LEN(INDEX('Providers'!$AI$4:$AI$503,191))=0,"",INDEX('Providers'!$AI$4:$AI$503,191))</f>
        <v/>
      </c>
    </row>
    <row r="3195">
      <c r="A3195">
        <f>IF(AND(LEN('Providers'!A195)&gt;0,ISNUMBER('Providers'!W195)),1,0)</f>
        <v/>
      </c>
      <c r="B3195">
        <f>B3194+A3195</f>
        <v/>
      </c>
      <c r="C3195">
        <f>IF(3192&gt;$B$4503,"",MATCH(3192-0.5,$B$3:$B$4503,1))</f>
        <v/>
      </c>
      <c r="D3195">
        <f>"CAQH re-attestation – "&amp;IF(LEN(INDEX('Providers'!$A$4:$A$503,192))=0,"",INDEX('Providers'!$A$4:$A$503,192))</f>
        <v/>
      </c>
      <c r="E3195">
        <f>IF(ISNUMBER(INDEX('Providers'!$W$4:$W$503,192)),TEXT(INDEX('Providers'!$W$4:$W$503,192),"yyyy-mm-dd"),"")</f>
        <v/>
      </c>
      <c r="F3195">
        <f>"Credentialing"</f>
        <v/>
      </c>
      <c r="G3195">
        <f>IF(ISNUMBER(INDEX('Providers'!$U$4:$U$503,192)),TEXT(INDEX('Providers'!$U$4:$U$503,192),"yyyy-mm-dd"),"")</f>
        <v/>
      </c>
      <c r="H3195">
        <f>"High"</f>
        <v/>
      </c>
      <c r="I3195">
        <f>TRIM(IF(LEN(IF(LEN(INDEX('Providers'!$T$4:$T$503,192))=0,"",INDEX('Providers'!$T$4:$T$503,192)))=0,"","CAQH ID: "&amp;IF(LEN(INDEX('Providers'!$T$4:$T$503,192))=0,"",INDEX('Providers'!$T$4:$T$503,192))&amp;". ")&amp;IF(LEN(IF(ISNUMBER(INDEX('Providers'!$U$4:$U$503,192)),TEXT(INDEX('Providers'!$U$4:$U$503,192),"yyyy-mm-dd"),""))=0,"","Last attested: "&amp;IF(ISNUMBER(INDEX('Providers'!$U$4:$U$503,192)),TEXT(INDEX('Providers'!$U$4:$U$503,192),"yyyy-mm-dd"),"")&amp;". "))</f>
        <v/>
      </c>
      <c r="J3195">
        <f>IF(LEN(INDEX('Providers'!$AJ$4:$AJ$503,192))=0,"",INDEX('Providers'!$AJ$4:$AJ$503,192))</f>
        <v/>
      </c>
      <c r="K3195">
        <f>IF(LEN(INDEX('Providers'!$AI$4:$AI$503,192))=0,"",INDEX('Providers'!$AI$4:$AI$503,192))</f>
        <v/>
      </c>
    </row>
    <row r="3196">
      <c r="A3196">
        <f>IF(AND(LEN('Providers'!A196)&gt;0,ISNUMBER('Providers'!W196)),1,0)</f>
        <v/>
      </c>
      <c r="B3196">
        <f>B3195+A3196</f>
        <v/>
      </c>
      <c r="C3196">
        <f>IF(3193&gt;$B$4503,"",MATCH(3193-0.5,$B$3:$B$4503,1))</f>
        <v/>
      </c>
      <c r="D3196">
        <f>"CAQH re-attestation – "&amp;IF(LEN(INDEX('Providers'!$A$4:$A$503,193))=0,"",INDEX('Providers'!$A$4:$A$503,193))</f>
        <v/>
      </c>
      <c r="E3196">
        <f>IF(ISNUMBER(INDEX('Providers'!$W$4:$W$503,193)),TEXT(INDEX('Providers'!$W$4:$W$503,193),"yyyy-mm-dd"),"")</f>
        <v/>
      </c>
      <c r="F3196">
        <f>"Credentialing"</f>
        <v/>
      </c>
      <c r="G3196">
        <f>IF(ISNUMBER(INDEX('Providers'!$U$4:$U$503,193)),TEXT(INDEX('Providers'!$U$4:$U$503,193),"yyyy-mm-dd"),"")</f>
        <v/>
      </c>
      <c r="H3196">
        <f>"High"</f>
        <v/>
      </c>
      <c r="I3196">
        <f>TRIM(IF(LEN(IF(LEN(INDEX('Providers'!$T$4:$T$503,193))=0,"",INDEX('Providers'!$T$4:$T$503,193)))=0,"","CAQH ID: "&amp;IF(LEN(INDEX('Providers'!$T$4:$T$503,193))=0,"",INDEX('Providers'!$T$4:$T$503,193))&amp;". ")&amp;IF(LEN(IF(ISNUMBER(INDEX('Providers'!$U$4:$U$503,193)),TEXT(INDEX('Providers'!$U$4:$U$503,193),"yyyy-mm-dd"),""))=0,"","Last attested: "&amp;IF(ISNUMBER(INDEX('Providers'!$U$4:$U$503,193)),TEXT(INDEX('Providers'!$U$4:$U$503,193),"yyyy-mm-dd"),"")&amp;". "))</f>
        <v/>
      </c>
      <c r="J3196">
        <f>IF(LEN(INDEX('Providers'!$AJ$4:$AJ$503,193))=0,"",INDEX('Providers'!$AJ$4:$AJ$503,193))</f>
        <v/>
      </c>
      <c r="K3196">
        <f>IF(LEN(INDEX('Providers'!$AI$4:$AI$503,193))=0,"",INDEX('Providers'!$AI$4:$AI$503,193))</f>
        <v/>
      </c>
    </row>
    <row r="3197">
      <c r="A3197">
        <f>IF(AND(LEN('Providers'!A197)&gt;0,ISNUMBER('Providers'!W197)),1,0)</f>
        <v/>
      </c>
      <c r="B3197">
        <f>B3196+A3197</f>
        <v/>
      </c>
      <c r="C3197">
        <f>IF(3194&gt;$B$4503,"",MATCH(3194-0.5,$B$3:$B$4503,1))</f>
        <v/>
      </c>
      <c r="D3197">
        <f>"CAQH re-attestation – "&amp;IF(LEN(INDEX('Providers'!$A$4:$A$503,194))=0,"",INDEX('Providers'!$A$4:$A$503,194))</f>
        <v/>
      </c>
      <c r="E3197">
        <f>IF(ISNUMBER(INDEX('Providers'!$W$4:$W$503,194)),TEXT(INDEX('Providers'!$W$4:$W$503,194),"yyyy-mm-dd"),"")</f>
        <v/>
      </c>
      <c r="F3197">
        <f>"Credentialing"</f>
        <v/>
      </c>
      <c r="G3197">
        <f>IF(ISNUMBER(INDEX('Providers'!$U$4:$U$503,194)),TEXT(INDEX('Providers'!$U$4:$U$503,194),"yyyy-mm-dd"),"")</f>
        <v/>
      </c>
      <c r="H3197">
        <f>"High"</f>
        <v/>
      </c>
      <c r="I3197">
        <f>TRIM(IF(LEN(IF(LEN(INDEX('Providers'!$T$4:$T$503,194))=0,"",INDEX('Providers'!$T$4:$T$503,194)))=0,"","CAQH ID: "&amp;IF(LEN(INDEX('Providers'!$T$4:$T$503,194))=0,"",INDEX('Providers'!$T$4:$T$503,194))&amp;". ")&amp;IF(LEN(IF(ISNUMBER(INDEX('Providers'!$U$4:$U$503,194)),TEXT(INDEX('Providers'!$U$4:$U$503,194),"yyyy-mm-dd"),""))=0,"","Last attested: "&amp;IF(ISNUMBER(INDEX('Providers'!$U$4:$U$503,194)),TEXT(INDEX('Providers'!$U$4:$U$503,194),"yyyy-mm-dd"),"")&amp;". "))</f>
        <v/>
      </c>
      <c r="J3197">
        <f>IF(LEN(INDEX('Providers'!$AJ$4:$AJ$503,194))=0,"",INDEX('Providers'!$AJ$4:$AJ$503,194))</f>
        <v/>
      </c>
      <c r="K3197">
        <f>IF(LEN(INDEX('Providers'!$AI$4:$AI$503,194))=0,"",INDEX('Providers'!$AI$4:$AI$503,194))</f>
        <v/>
      </c>
    </row>
    <row r="3198">
      <c r="A3198">
        <f>IF(AND(LEN('Providers'!A198)&gt;0,ISNUMBER('Providers'!W198)),1,0)</f>
        <v/>
      </c>
      <c r="B3198">
        <f>B3197+A3198</f>
        <v/>
      </c>
      <c r="C3198">
        <f>IF(3195&gt;$B$4503,"",MATCH(3195-0.5,$B$3:$B$4503,1))</f>
        <v/>
      </c>
      <c r="D3198">
        <f>"CAQH re-attestation – "&amp;IF(LEN(INDEX('Providers'!$A$4:$A$503,195))=0,"",INDEX('Providers'!$A$4:$A$503,195))</f>
        <v/>
      </c>
      <c r="E3198">
        <f>IF(ISNUMBER(INDEX('Providers'!$W$4:$W$503,195)),TEXT(INDEX('Providers'!$W$4:$W$503,195),"yyyy-mm-dd"),"")</f>
        <v/>
      </c>
      <c r="F3198">
        <f>"Credentialing"</f>
        <v/>
      </c>
      <c r="G3198">
        <f>IF(ISNUMBER(INDEX('Providers'!$U$4:$U$503,195)),TEXT(INDEX('Providers'!$U$4:$U$503,195),"yyyy-mm-dd"),"")</f>
        <v/>
      </c>
      <c r="H3198">
        <f>"High"</f>
        <v/>
      </c>
      <c r="I3198">
        <f>TRIM(IF(LEN(IF(LEN(INDEX('Providers'!$T$4:$T$503,195))=0,"",INDEX('Providers'!$T$4:$T$503,195)))=0,"","CAQH ID: "&amp;IF(LEN(INDEX('Providers'!$T$4:$T$503,195))=0,"",INDEX('Providers'!$T$4:$T$503,195))&amp;". ")&amp;IF(LEN(IF(ISNUMBER(INDEX('Providers'!$U$4:$U$503,195)),TEXT(INDEX('Providers'!$U$4:$U$503,195),"yyyy-mm-dd"),""))=0,"","Last attested: "&amp;IF(ISNUMBER(INDEX('Providers'!$U$4:$U$503,195)),TEXT(INDEX('Providers'!$U$4:$U$503,195),"yyyy-mm-dd"),"")&amp;". "))</f>
        <v/>
      </c>
      <c r="J3198">
        <f>IF(LEN(INDEX('Providers'!$AJ$4:$AJ$503,195))=0,"",INDEX('Providers'!$AJ$4:$AJ$503,195))</f>
        <v/>
      </c>
      <c r="K3198">
        <f>IF(LEN(INDEX('Providers'!$AI$4:$AI$503,195))=0,"",INDEX('Providers'!$AI$4:$AI$503,195))</f>
        <v/>
      </c>
    </row>
    <row r="3199">
      <c r="A3199">
        <f>IF(AND(LEN('Providers'!A199)&gt;0,ISNUMBER('Providers'!W199)),1,0)</f>
        <v/>
      </c>
      <c r="B3199">
        <f>B3198+A3199</f>
        <v/>
      </c>
      <c r="C3199">
        <f>IF(3196&gt;$B$4503,"",MATCH(3196-0.5,$B$3:$B$4503,1))</f>
        <v/>
      </c>
      <c r="D3199">
        <f>"CAQH re-attestation – "&amp;IF(LEN(INDEX('Providers'!$A$4:$A$503,196))=0,"",INDEX('Providers'!$A$4:$A$503,196))</f>
        <v/>
      </c>
      <c r="E3199">
        <f>IF(ISNUMBER(INDEX('Providers'!$W$4:$W$503,196)),TEXT(INDEX('Providers'!$W$4:$W$503,196),"yyyy-mm-dd"),"")</f>
        <v/>
      </c>
      <c r="F3199">
        <f>"Credentialing"</f>
        <v/>
      </c>
      <c r="G3199">
        <f>IF(ISNUMBER(INDEX('Providers'!$U$4:$U$503,196)),TEXT(INDEX('Providers'!$U$4:$U$503,196),"yyyy-mm-dd"),"")</f>
        <v/>
      </c>
      <c r="H3199">
        <f>"High"</f>
        <v/>
      </c>
      <c r="I3199">
        <f>TRIM(IF(LEN(IF(LEN(INDEX('Providers'!$T$4:$T$503,196))=0,"",INDEX('Providers'!$T$4:$T$503,196)))=0,"","CAQH ID: "&amp;IF(LEN(INDEX('Providers'!$T$4:$T$503,196))=0,"",INDEX('Providers'!$T$4:$T$503,196))&amp;". ")&amp;IF(LEN(IF(ISNUMBER(INDEX('Providers'!$U$4:$U$503,196)),TEXT(INDEX('Providers'!$U$4:$U$503,196),"yyyy-mm-dd"),""))=0,"","Last attested: "&amp;IF(ISNUMBER(INDEX('Providers'!$U$4:$U$503,196)),TEXT(INDEX('Providers'!$U$4:$U$503,196),"yyyy-mm-dd"),"")&amp;". "))</f>
        <v/>
      </c>
      <c r="J3199">
        <f>IF(LEN(INDEX('Providers'!$AJ$4:$AJ$503,196))=0,"",INDEX('Providers'!$AJ$4:$AJ$503,196))</f>
        <v/>
      </c>
      <c r="K3199">
        <f>IF(LEN(INDEX('Providers'!$AI$4:$AI$503,196))=0,"",INDEX('Providers'!$AI$4:$AI$503,196))</f>
        <v/>
      </c>
    </row>
    <row r="3200">
      <c r="A3200">
        <f>IF(AND(LEN('Providers'!A200)&gt;0,ISNUMBER('Providers'!W200)),1,0)</f>
        <v/>
      </c>
      <c r="B3200">
        <f>B3199+A3200</f>
        <v/>
      </c>
      <c r="C3200">
        <f>IF(3197&gt;$B$4503,"",MATCH(3197-0.5,$B$3:$B$4503,1))</f>
        <v/>
      </c>
      <c r="D3200">
        <f>"CAQH re-attestation – "&amp;IF(LEN(INDEX('Providers'!$A$4:$A$503,197))=0,"",INDEX('Providers'!$A$4:$A$503,197))</f>
        <v/>
      </c>
      <c r="E3200">
        <f>IF(ISNUMBER(INDEX('Providers'!$W$4:$W$503,197)),TEXT(INDEX('Providers'!$W$4:$W$503,197),"yyyy-mm-dd"),"")</f>
        <v/>
      </c>
      <c r="F3200">
        <f>"Credentialing"</f>
        <v/>
      </c>
      <c r="G3200">
        <f>IF(ISNUMBER(INDEX('Providers'!$U$4:$U$503,197)),TEXT(INDEX('Providers'!$U$4:$U$503,197),"yyyy-mm-dd"),"")</f>
        <v/>
      </c>
      <c r="H3200">
        <f>"High"</f>
        <v/>
      </c>
      <c r="I3200">
        <f>TRIM(IF(LEN(IF(LEN(INDEX('Providers'!$T$4:$T$503,197))=0,"",INDEX('Providers'!$T$4:$T$503,197)))=0,"","CAQH ID: "&amp;IF(LEN(INDEX('Providers'!$T$4:$T$503,197))=0,"",INDEX('Providers'!$T$4:$T$503,197))&amp;". ")&amp;IF(LEN(IF(ISNUMBER(INDEX('Providers'!$U$4:$U$503,197)),TEXT(INDEX('Providers'!$U$4:$U$503,197),"yyyy-mm-dd"),""))=0,"","Last attested: "&amp;IF(ISNUMBER(INDEX('Providers'!$U$4:$U$503,197)),TEXT(INDEX('Providers'!$U$4:$U$503,197),"yyyy-mm-dd"),"")&amp;". "))</f>
        <v/>
      </c>
      <c r="J3200">
        <f>IF(LEN(INDEX('Providers'!$AJ$4:$AJ$503,197))=0,"",INDEX('Providers'!$AJ$4:$AJ$503,197))</f>
        <v/>
      </c>
      <c r="K3200">
        <f>IF(LEN(INDEX('Providers'!$AI$4:$AI$503,197))=0,"",INDEX('Providers'!$AI$4:$AI$503,197))</f>
        <v/>
      </c>
    </row>
    <row r="3201">
      <c r="A3201">
        <f>IF(AND(LEN('Providers'!A201)&gt;0,ISNUMBER('Providers'!W201)),1,0)</f>
        <v/>
      </c>
      <c r="B3201">
        <f>B3200+A3201</f>
        <v/>
      </c>
      <c r="C3201">
        <f>IF(3198&gt;$B$4503,"",MATCH(3198-0.5,$B$3:$B$4503,1))</f>
        <v/>
      </c>
      <c r="D3201">
        <f>"CAQH re-attestation – "&amp;IF(LEN(INDEX('Providers'!$A$4:$A$503,198))=0,"",INDEX('Providers'!$A$4:$A$503,198))</f>
        <v/>
      </c>
      <c r="E3201">
        <f>IF(ISNUMBER(INDEX('Providers'!$W$4:$W$503,198)),TEXT(INDEX('Providers'!$W$4:$W$503,198),"yyyy-mm-dd"),"")</f>
        <v/>
      </c>
      <c r="F3201">
        <f>"Credentialing"</f>
        <v/>
      </c>
      <c r="G3201">
        <f>IF(ISNUMBER(INDEX('Providers'!$U$4:$U$503,198)),TEXT(INDEX('Providers'!$U$4:$U$503,198),"yyyy-mm-dd"),"")</f>
        <v/>
      </c>
      <c r="H3201">
        <f>"High"</f>
        <v/>
      </c>
      <c r="I3201">
        <f>TRIM(IF(LEN(IF(LEN(INDEX('Providers'!$T$4:$T$503,198))=0,"",INDEX('Providers'!$T$4:$T$503,198)))=0,"","CAQH ID: "&amp;IF(LEN(INDEX('Providers'!$T$4:$T$503,198))=0,"",INDEX('Providers'!$T$4:$T$503,198))&amp;". ")&amp;IF(LEN(IF(ISNUMBER(INDEX('Providers'!$U$4:$U$503,198)),TEXT(INDEX('Providers'!$U$4:$U$503,198),"yyyy-mm-dd"),""))=0,"","Last attested: "&amp;IF(ISNUMBER(INDEX('Providers'!$U$4:$U$503,198)),TEXT(INDEX('Providers'!$U$4:$U$503,198),"yyyy-mm-dd"),"")&amp;". "))</f>
        <v/>
      </c>
      <c r="J3201">
        <f>IF(LEN(INDEX('Providers'!$AJ$4:$AJ$503,198))=0,"",INDEX('Providers'!$AJ$4:$AJ$503,198))</f>
        <v/>
      </c>
      <c r="K3201">
        <f>IF(LEN(INDEX('Providers'!$AI$4:$AI$503,198))=0,"",INDEX('Providers'!$AI$4:$AI$503,198))</f>
        <v/>
      </c>
    </row>
    <row r="3202">
      <c r="A3202">
        <f>IF(AND(LEN('Providers'!A202)&gt;0,ISNUMBER('Providers'!W202)),1,0)</f>
        <v/>
      </c>
      <c r="B3202">
        <f>B3201+A3202</f>
        <v/>
      </c>
      <c r="C3202">
        <f>IF(3199&gt;$B$4503,"",MATCH(3199-0.5,$B$3:$B$4503,1))</f>
        <v/>
      </c>
      <c r="D3202">
        <f>"CAQH re-attestation – "&amp;IF(LEN(INDEX('Providers'!$A$4:$A$503,199))=0,"",INDEX('Providers'!$A$4:$A$503,199))</f>
        <v/>
      </c>
      <c r="E3202">
        <f>IF(ISNUMBER(INDEX('Providers'!$W$4:$W$503,199)),TEXT(INDEX('Providers'!$W$4:$W$503,199),"yyyy-mm-dd"),"")</f>
        <v/>
      </c>
      <c r="F3202">
        <f>"Credentialing"</f>
        <v/>
      </c>
      <c r="G3202">
        <f>IF(ISNUMBER(INDEX('Providers'!$U$4:$U$503,199)),TEXT(INDEX('Providers'!$U$4:$U$503,199),"yyyy-mm-dd"),"")</f>
        <v/>
      </c>
      <c r="H3202">
        <f>"High"</f>
        <v/>
      </c>
      <c r="I3202">
        <f>TRIM(IF(LEN(IF(LEN(INDEX('Providers'!$T$4:$T$503,199))=0,"",INDEX('Providers'!$T$4:$T$503,199)))=0,"","CAQH ID: "&amp;IF(LEN(INDEX('Providers'!$T$4:$T$503,199))=0,"",INDEX('Providers'!$T$4:$T$503,199))&amp;". ")&amp;IF(LEN(IF(ISNUMBER(INDEX('Providers'!$U$4:$U$503,199)),TEXT(INDEX('Providers'!$U$4:$U$503,199),"yyyy-mm-dd"),""))=0,"","Last attested: "&amp;IF(ISNUMBER(INDEX('Providers'!$U$4:$U$503,199)),TEXT(INDEX('Providers'!$U$4:$U$503,199),"yyyy-mm-dd"),"")&amp;". "))</f>
        <v/>
      </c>
      <c r="J3202">
        <f>IF(LEN(INDEX('Providers'!$AJ$4:$AJ$503,199))=0,"",INDEX('Providers'!$AJ$4:$AJ$503,199))</f>
        <v/>
      </c>
      <c r="K3202">
        <f>IF(LEN(INDEX('Providers'!$AI$4:$AI$503,199))=0,"",INDEX('Providers'!$AI$4:$AI$503,199))</f>
        <v/>
      </c>
    </row>
    <row r="3203">
      <c r="A3203">
        <f>IF(AND(LEN('Providers'!A203)&gt;0,ISNUMBER('Providers'!W203)),1,0)</f>
        <v/>
      </c>
      <c r="B3203">
        <f>B3202+A3203</f>
        <v/>
      </c>
      <c r="C3203">
        <f>IF(3200&gt;$B$4503,"",MATCH(3200-0.5,$B$3:$B$4503,1))</f>
        <v/>
      </c>
      <c r="D3203">
        <f>"CAQH re-attestation – "&amp;IF(LEN(INDEX('Providers'!$A$4:$A$503,200))=0,"",INDEX('Providers'!$A$4:$A$503,200))</f>
        <v/>
      </c>
      <c r="E3203">
        <f>IF(ISNUMBER(INDEX('Providers'!$W$4:$W$503,200)),TEXT(INDEX('Providers'!$W$4:$W$503,200),"yyyy-mm-dd"),"")</f>
        <v/>
      </c>
      <c r="F3203">
        <f>"Credentialing"</f>
        <v/>
      </c>
      <c r="G3203">
        <f>IF(ISNUMBER(INDEX('Providers'!$U$4:$U$503,200)),TEXT(INDEX('Providers'!$U$4:$U$503,200),"yyyy-mm-dd"),"")</f>
        <v/>
      </c>
      <c r="H3203">
        <f>"High"</f>
        <v/>
      </c>
      <c r="I3203">
        <f>TRIM(IF(LEN(IF(LEN(INDEX('Providers'!$T$4:$T$503,200))=0,"",INDEX('Providers'!$T$4:$T$503,200)))=0,"","CAQH ID: "&amp;IF(LEN(INDEX('Providers'!$T$4:$T$503,200))=0,"",INDEX('Providers'!$T$4:$T$503,200))&amp;". ")&amp;IF(LEN(IF(ISNUMBER(INDEX('Providers'!$U$4:$U$503,200)),TEXT(INDEX('Providers'!$U$4:$U$503,200),"yyyy-mm-dd"),""))=0,"","Last attested: "&amp;IF(ISNUMBER(INDEX('Providers'!$U$4:$U$503,200)),TEXT(INDEX('Providers'!$U$4:$U$503,200),"yyyy-mm-dd"),"")&amp;". "))</f>
        <v/>
      </c>
      <c r="J3203">
        <f>IF(LEN(INDEX('Providers'!$AJ$4:$AJ$503,200))=0,"",INDEX('Providers'!$AJ$4:$AJ$503,200))</f>
        <v/>
      </c>
      <c r="K3203">
        <f>IF(LEN(INDEX('Providers'!$AI$4:$AI$503,200))=0,"",INDEX('Providers'!$AI$4:$AI$503,200))</f>
        <v/>
      </c>
    </row>
    <row r="3204">
      <c r="A3204">
        <f>IF(AND(LEN('Providers'!A204)&gt;0,ISNUMBER('Providers'!W204)),1,0)</f>
        <v/>
      </c>
      <c r="B3204">
        <f>B3203+A3204</f>
        <v/>
      </c>
      <c r="C3204">
        <f>IF(3201&gt;$B$4503,"",MATCH(3201-0.5,$B$3:$B$4503,1))</f>
        <v/>
      </c>
      <c r="D3204">
        <f>"CAQH re-attestation – "&amp;IF(LEN(INDEX('Providers'!$A$4:$A$503,201))=0,"",INDEX('Providers'!$A$4:$A$503,201))</f>
        <v/>
      </c>
      <c r="E3204">
        <f>IF(ISNUMBER(INDEX('Providers'!$W$4:$W$503,201)),TEXT(INDEX('Providers'!$W$4:$W$503,201),"yyyy-mm-dd"),"")</f>
        <v/>
      </c>
      <c r="F3204">
        <f>"Credentialing"</f>
        <v/>
      </c>
      <c r="G3204">
        <f>IF(ISNUMBER(INDEX('Providers'!$U$4:$U$503,201)),TEXT(INDEX('Providers'!$U$4:$U$503,201),"yyyy-mm-dd"),"")</f>
        <v/>
      </c>
      <c r="H3204">
        <f>"High"</f>
        <v/>
      </c>
      <c r="I3204">
        <f>TRIM(IF(LEN(IF(LEN(INDEX('Providers'!$T$4:$T$503,201))=0,"",INDEX('Providers'!$T$4:$T$503,201)))=0,"","CAQH ID: "&amp;IF(LEN(INDEX('Providers'!$T$4:$T$503,201))=0,"",INDEX('Providers'!$T$4:$T$503,201))&amp;". ")&amp;IF(LEN(IF(ISNUMBER(INDEX('Providers'!$U$4:$U$503,201)),TEXT(INDEX('Providers'!$U$4:$U$503,201),"yyyy-mm-dd"),""))=0,"","Last attested: "&amp;IF(ISNUMBER(INDEX('Providers'!$U$4:$U$503,201)),TEXT(INDEX('Providers'!$U$4:$U$503,201),"yyyy-mm-dd"),"")&amp;". "))</f>
        <v/>
      </c>
      <c r="J3204">
        <f>IF(LEN(INDEX('Providers'!$AJ$4:$AJ$503,201))=0,"",INDEX('Providers'!$AJ$4:$AJ$503,201))</f>
        <v/>
      </c>
      <c r="K3204">
        <f>IF(LEN(INDEX('Providers'!$AI$4:$AI$503,201))=0,"",INDEX('Providers'!$AI$4:$AI$503,201))</f>
        <v/>
      </c>
    </row>
    <row r="3205">
      <c r="A3205">
        <f>IF(AND(LEN('Providers'!A205)&gt;0,ISNUMBER('Providers'!W205)),1,0)</f>
        <v/>
      </c>
      <c r="B3205">
        <f>B3204+A3205</f>
        <v/>
      </c>
      <c r="C3205">
        <f>IF(3202&gt;$B$4503,"",MATCH(3202-0.5,$B$3:$B$4503,1))</f>
        <v/>
      </c>
      <c r="D3205">
        <f>"CAQH re-attestation – "&amp;IF(LEN(INDEX('Providers'!$A$4:$A$503,202))=0,"",INDEX('Providers'!$A$4:$A$503,202))</f>
        <v/>
      </c>
      <c r="E3205">
        <f>IF(ISNUMBER(INDEX('Providers'!$W$4:$W$503,202)),TEXT(INDEX('Providers'!$W$4:$W$503,202),"yyyy-mm-dd"),"")</f>
        <v/>
      </c>
      <c r="F3205">
        <f>"Credentialing"</f>
        <v/>
      </c>
      <c r="G3205">
        <f>IF(ISNUMBER(INDEX('Providers'!$U$4:$U$503,202)),TEXT(INDEX('Providers'!$U$4:$U$503,202),"yyyy-mm-dd"),"")</f>
        <v/>
      </c>
      <c r="H3205">
        <f>"High"</f>
        <v/>
      </c>
      <c r="I3205">
        <f>TRIM(IF(LEN(IF(LEN(INDEX('Providers'!$T$4:$T$503,202))=0,"",INDEX('Providers'!$T$4:$T$503,202)))=0,"","CAQH ID: "&amp;IF(LEN(INDEX('Providers'!$T$4:$T$503,202))=0,"",INDEX('Providers'!$T$4:$T$503,202))&amp;". ")&amp;IF(LEN(IF(ISNUMBER(INDEX('Providers'!$U$4:$U$503,202)),TEXT(INDEX('Providers'!$U$4:$U$503,202),"yyyy-mm-dd"),""))=0,"","Last attested: "&amp;IF(ISNUMBER(INDEX('Providers'!$U$4:$U$503,202)),TEXT(INDEX('Providers'!$U$4:$U$503,202),"yyyy-mm-dd"),"")&amp;". "))</f>
        <v/>
      </c>
      <c r="J3205">
        <f>IF(LEN(INDEX('Providers'!$AJ$4:$AJ$503,202))=0,"",INDEX('Providers'!$AJ$4:$AJ$503,202))</f>
        <v/>
      </c>
      <c r="K3205">
        <f>IF(LEN(INDEX('Providers'!$AI$4:$AI$503,202))=0,"",INDEX('Providers'!$AI$4:$AI$503,202))</f>
        <v/>
      </c>
    </row>
    <row r="3206">
      <c r="A3206">
        <f>IF(AND(LEN('Providers'!A206)&gt;0,ISNUMBER('Providers'!W206)),1,0)</f>
        <v/>
      </c>
      <c r="B3206">
        <f>B3205+A3206</f>
        <v/>
      </c>
      <c r="C3206">
        <f>IF(3203&gt;$B$4503,"",MATCH(3203-0.5,$B$3:$B$4503,1))</f>
        <v/>
      </c>
      <c r="D3206">
        <f>"CAQH re-attestation – "&amp;IF(LEN(INDEX('Providers'!$A$4:$A$503,203))=0,"",INDEX('Providers'!$A$4:$A$503,203))</f>
        <v/>
      </c>
      <c r="E3206">
        <f>IF(ISNUMBER(INDEX('Providers'!$W$4:$W$503,203)),TEXT(INDEX('Providers'!$W$4:$W$503,203),"yyyy-mm-dd"),"")</f>
        <v/>
      </c>
      <c r="F3206">
        <f>"Credentialing"</f>
        <v/>
      </c>
      <c r="G3206">
        <f>IF(ISNUMBER(INDEX('Providers'!$U$4:$U$503,203)),TEXT(INDEX('Providers'!$U$4:$U$503,203),"yyyy-mm-dd"),"")</f>
        <v/>
      </c>
      <c r="H3206">
        <f>"High"</f>
        <v/>
      </c>
      <c r="I3206">
        <f>TRIM(IF(LEN(IF(LEN(INDEX('Providers'!$T$4:$T$503,203))=0,"",INDEX('Providers'!$T$4:$T$503,203)))=0,"","CAQH ID: "&amp;IF(LEN(INDEX('Providers'!$T$4:$T$503,203))=0,"",INDEX('Providers'!$T$4:$T$503,203))&amp;". ")&amp;IF(LEN(IF(ISNUMBER(INDEX('Providers'!$U$4:$U$503,203)),TEXT(INDEX('Providers'!$U$4:$U$503,203),"yyyy-mm-dd"),""))=0,"","Last attested: "&amp;IF(ISNUMBER(INDEX('Providers'!$U$4:$U$503,203)),TEXT(INDEX('Providers'!$U$4:$U$503,203),"yyyy-mm-dd"),"")&amp;". "))</f>
        <v/>
      </c>
      <c r="J3206">
        <f>IF(LEN(INDEX('Providers'!$AJ$4:$AJ$503,203))=0,"",INDEX('Providers'!$AJ$4:$AJ$503,203))</f>
        <v/>
      </c>
      <c r="K3206">
        <f>IF(LEN(INDEX('Providers'!$AI$4:$AI$503,203))=0,"",INDEX('Providers'!$AI$4:$AI$503,203))</f>
        <v/>
      </c>
    </row>
    <row r="3207">
      <c r="A3207">
        <f>IF(AND(LEN('Providers'!A207)&gt;0,ISNUMBER('Providers'!W207)),1,0)</f>
        <v/>
      </c>
      <c r="B3207">
        <f>B3206+A3207</f>
        <v/>
      </c>
      <c r="C3207">
        <f>IF(3204&gt;$B$4503,"",MATCH(3204-0.5,$B$3:$B$4503,1))</f>
        <v/>
      </c>
      <c r="D3207">
        <f>"CAQH re-attestation – "&amp;IF(LEN(INDEX('Providers'!$A$4:$A$503,204))=0,"",INDEX('Providers'!$A$4:$A$503,204))</f>
        <v/>
      </c>
      <c r="E3207">
        <f>IF(ISNUMBER(INDEX('Providers'!$W$4:$W$503,204)),TEXT(INDEX('Providers'!$W$4:$W$503,204),"yyyy-mm-dd"),"")</f>
        <v/>
      </c>
      <c r="F3207">
        <f>"Credentialing"</f>
        <v/>
      </c>
      <c r="G3207">
        <f>IF(ISNUMBER(INDEX('Providers'!$U$4:$U$503,204)),TEXT(INDEX('Providers'!$U$4:$U$503,204),"yyyy-mm-dd"),"")</f>
        <v/>
      </c>
      <c r="H3207">
        <f>"High"</f>
        <v/>
      </c>
      <c r="I3207">
        <f>TRIM(IF(LEN(IF(LEN(INDEX('Providers'!$T$4:$T$503,204))=0,"",INDEX('Providers'!$T$4:$T$503,204)))=0,"","CAQH ID: "&amp;IF(LEN(INDEX('Providers'!$T$4:$T$503,204))=0,"",INDEX('Providers'!$T$4:$T$503,204))&amp;". ")&amp;IF(LEN(IF(ISNUMBER(INDEX('Providers'!$U$4:$U$503,204)),TEXT(INDEX('Providers'!$U$4:$U$503,204),"yyyy-mm-dd"),""))=0,"","Last attested: "&amp;IF(ISNUMBER(INDEX('Providers'!$U$4:$U$503,204)),TEXT(INDEX('Providers'!$U$4:$U$503,204),"yyyy-mm-dd"),"")&amp;". "))</f>
        <v/>
      </c>
      <c r="J3207">
        <f>IF(LEN(INDEX('Providers'!$AJ$4:$AJ$503,204))=0,"",INDEX('Providers'!$AJ$4:$AJ$503,204))</f>
        <v/>
      </c>
      <c r="K3207">
        <f>IF(LEN(INDEX('Providers'!$AI$4:$AI$503,204))=0,"",INDEX('Providers'!$AI$4:$AI$503,204))</f>
        <v/>
      </c>
    </row>
    <row r="3208">
      <c r="A3208">
        <f>IF(AND(LEN('Providers'!A208)&gt;0,ISNUMBER('Providers'!W208)),1,0)</f>
        <v/>
      </c>
      <c r="B3208">
        <f>B3207+A3208</f>
        <v/>
      </c>
      <c r="C3208">
        <f>IF(3205&gt;$B$4503,"",MATCH(3205-0.5,$B$3:$B$4503,1))</f>
        <v/>
      </c>
      <c r="D3208">
        <f>"CAQH re-attestation – "&amp;IF(LEN(INDEX('Providers'!$A$4:$A$503,205))=0,"",INDEX('Providers'!$A$4:$A$503,205))</f>
        <v/>
      </c>
      <c r="E3208">
        <f>IF(ISNUMBER(INDEX('Providers'!$W$4:$W$503,205)),TEXT(INDEX('Providers'!$W$4:$W$503,205),"yyyy-mm-dd"),"")</f>
        <v/>
      </c>
      <c r="F3208">
        <f>"Credentialing"</f>
        <v/>
      </c>
      <c r="G3208">
        <f>IF(ISNUMBER(INDEX('Providers'!$U$4:$U$503,205)),TEXT(INDEX('Providers'!$U$4:$U$503,205),"yyyy-mm-dd"),"")</f>
        <v/>
      </c>
      <c r="H3208">
        <f>"High"</f>
        <v/>
      </c>
      <c r="I3208">
        <f>TRIM(IF(LEN(IF(LEN(INDEX('Providers'!$T$4:$T$503,205))=0,"",INDEX('Providers'!$T$4:$T$503,205)))=0,"","CAQH ID: "&amp;IF(LEN(INDEX('Providers'!$T$4:$T$503,205))=0,"",INDEX('Providers'!$T$4:$T$503,205))&amp;". ")&amp;IF(LEN(IF(ISNUMBER(INDEX('Providers'!$U$4:$U$503,205)),TEXT(INDEX('Providers'!$U$4:$U$503,205),"yyyy-mm-dd"),""))=0,"","Last attested: "&amp;IF(ISNUMBER(INDEX('Providers'!$U$4:$U$503,205)),TEXT(INDEX('Providers'!$U$4:$U$503,205),"yyyy-mm-dd"),"")&amp;". "))</f>
        <v/>
      </c>
      <c r="J3208">
        <f>IF(LEN(INDEX('Providers'!$AJ$4:$AJ$503,205))=0,"",INDEX('Providers'!$AJ$4:$AJ$503,205))</f>
        <v/>
      </c>
      <c r="K3208">
        <f>IF(LEN(INDEX('Providers'!$AI$4:$AI$503,205))=0,"",INDEX('Providers'!$AI$4:$AI$503,205))</f>
        <v/>
      </c>
    </row>
    <row r="3209">
      <c r="A3209">
        <f>IF(AND(LEN('Providers'!A209)&gt;0,ISNUMBER('Providers'!W209)),1,0)</f>
        <v/>
      </c>
      <c r="B3209">
        <f>B3208+A3209</f>
        <v/>
      </c>
      <c r="C3209">
        <f>IF(3206&gt;$B$4503,"",MATCH(3206-0.5,$B$3:$B$4503,1))</f>
        <v/>
      </c>
      <c r="D3209">
        <f>"CAQH re-attestation – "&amp;IF(LEN(INDEX('Providers'!$A$4:$A$503,206))=0,"",INDEX('Providers'!$A$4:$A$503,206))</f>
        <v/>
      </c>
      <c r="E3209">
        <f>IF(ISNUMBER(INDEX('Providers'!$W$4:$W$503,206)),TEXT(INDEX('Providers'!$W$4:$W$503,206),"yyyy-mm-dd"),"")</f>
        <v/>
      </c>
      <c r="F3209">
        <f>"Credentialing"</f>
        <v/>
      </c>
      <c r="G3209">
        <f>IF(ISNUMBER(INDEX('Providers'!$U$4:$U$503,206)),TEXT(INDEX('Providers'!$U$4:$U$503,206),"yyyy-mm-dd"),"")</f>
        <v/>
      </c>
      <c r="H3209">
        <f>"High"</f>
        <v/>
      </c>
      <c r="I3209">
        <f>TRIM(IF(LEN(IF(LEN(INDEX('Providers'!$T$4:$T$503,206))=0,"",INDEX('Providers'!$T$4:$T$503,206)))=0,"","CAQH ID: "&amp;IF(LEN(INDEX('Providers'!$T$4:$T$503,206))=0,"",INDEX('Providers'!$T$4:$T$503,206))&amp;". ")&amp;IF(LEN(IF(ISNUMBER(INDEX('Providers'!$U$4:$U$503,206)),TEXT(INDEX('Providers'!$U$4:$U$503,206),"yyyy-mm-dd"),""))=0,"","Last attested: "&amp;IF(ISNUMBER(INDEX('Providers'!$U$4:$U$503,206)),TEXT(INDEX('Providers'!$U$4:$U$503,206),"yyyy-mm-dd"),"")&amp;". "))</f>
        <v/>
      </c>
      <c r="J3209">
        <f>IF(LEN(INDEX('Providers'!$AJ$4:$AJ$503,206))=0,"",INDEX('Providers'!$AJ$4:$AJ$503,206))</f>
        <v/>
      </c>
      <c r="K3209">
        <f>IF(LEN(INDEX('Providers'!$AI$4:$AI$503,206))=0,"",INDEX('Providers'!$AI$4:$AI$503,206))</f>
        <v/>
      </c>
    </row>
    <row r="3210">
      <c r="A3210">
        <f>IF(AND(LEN('Providers'!A210)&gt;0,ISNUMBER('Providers'!W210)),1,0)</f>
        <v/>
      </c>
      <c r="B3210">
        <f>B3209+A3210</f>
        <v/>
      </c>
      <c r="C3210">
        <f>IF(3207&gt;$B$4503,"",MATCH(3207-0.5,$B$3:$B$4503,1))</f>
        <v/>
      </c>
      <c r="D3210">
        <f>"CAQH re-attestation – "&amp;IF(LEN(INDEX('Providers'!$A$4:$A$503,207))=0,"",INDEX('Providers'!$A$4:$A$503,207))</f>
        <v/>
      </c>
      <c r="E3210">
        <f>IF(ISNUMBER(INDEX('Providers'!$W$4:$W$503,207)),TEXT(INDEX('Providers'!$W$4:$W$503,207),"yyyy-mm-dd"),"")</f>
        <v/>
      </c>
      <c r="F3210">
        <f>"Credentialing"</f>
        <v/>
      </c>
      <c r="G3210">
        <f>IF(ISNUMBER(INDEX('Providers'!$U$4:$U$503,207)),TEXT(INDEX('Providers'!$U$4:$U$503,207),"yyyy-mm-dd"),"")</f>
        <v/>
      </c>
      <c r="H3210">
        <f>"High"</f>
        <v/>
      </c>
      <c r="I3210">
        <f>TRIM(IF(LEN(IF(LEN(INDEX('Providers'!$T$4:$T$503,207))=0,"",INDEX('Providers'!$T$4:$T$503,207)))=0,"","CAQH ID: "&amp;IF(LEN(INDEX('Providers'!$T$4:$T$503,207))=0,"",INDEX('Providers'!$T$4:$T$503,207))&amp;". ")&amp;IF(LEN(IF(ISNUMBER(INDEX('Providers'!$U$4:$U$503,207)),TEXT(INDEX('Providers'!$U$4:$U$503,207),"yyyy-mm-dd"),""))=0,"","Last attested: "&amp;IF(ISNUMBER(INDEX('Providers'!$U$4:$U$503,207)),TEXT(INDEX('Providers'!$U$4:$U$503,207),"yyyy-mm-dd"),"")&amp;". "))</f>
        <v/>
      </c>
      <c r="J3210">
        <f>IF(LEN(INDEX('Providers'!$AJ$4:$AJ$503,207))=0,"",INDEX('Providers'!$AJ$4:$AJ$503,207))</f>
        <v/>
      </c>
      <c r="K3210">
        <f>IF(LEN(INDEX('Providers'!$AI$4:$AI$503,207))=0,"",INDEX('Providers'!$AI$4:$AI$503,207))</f>
        <v/>
      </c>
    </row>
    <row r="3211">
      <c r="A3211">
        <f>IF(AND(LEN('Providers'!A211)&gt;0,ISNUMBER('Providers'!W211)),1,0)</f>
        <v/>
      </c>
      <c r="B3211">
        <f>B3210+A3211</f>
        <v/>
      </c>
      <c r="C3211">
        <f>IF(3208&gt;$B$4503,"",MATCH(3208-0.5,$B$3:$B$4503,1))</f>
        <v/>
      </c>
      <c r="D3211">
        <f>"CAQH re-attestation – "&amp;IF(LEN(INDEX('Providers'!$A$4:$A$503,208))=0,"",INDEX('Providers'!$A$4:$A$503,208))</f>
        <v/>
      </c>
      <c r="E3211">
        <f>IF(ISNUMBER(INDEX('Providers'!$W$4:$W$503,208)),TEXT(INDEX('Providers'!$W$4:$W$503,208),"yyyy-mm-dd"),"")</f>
        <v/>
      </c>
      <c r="F3211">
        <f>"Credentialing"</f>
        <v/>
      </c>
      <c r="G3211">
        <f>IF(ISNUMBER(INDEX('Providers'!$U$4:$U$503,208)),TEXT(INDEX('Providers'!$U$4:$U$503,208),"yyyy-mm-dd"),"")</f>
        <v/>
      </c>
      <c r="H3211">
        <f>"High"</f>
        <v/>
      </c>
      <c r="I3211">
        <f>TRIM(IF(LEN(IF(LEN(INDEX('Providers'!$T$4:$T$503,208))=0,"",INDEX('Providers'!$T$4:$T$503,208)))=0,"","CAQH ID: "&amp;IF(LEN(INDEX('Providers'!$T$4:$T$503,208))=0,"",INDEX('Providers'!$T$4:$T$503,208))&amp;". ")&amp;IF(LEN(IF(ISNUMBER(INDEX('Providers'!$U$4:$U$503,208)),TEXT(INDEX('Providers'!$U$4:$U$503,208),"yyyy-mm-dd"),""))=0,"","Last attested: "&amp;IF(ISNUMBER(INDEX('Providers'!$U$4:$U$503,208)),TEXT(INDEX('Providers'!$U$4:$U$503,208),"yyyy-mm-dd"),"")&amp;". "))</f>
        <v/>
      </c>
      <c r="J3211">
        <f>IF(LEN(INDEX('Providers'!$AJ$4:$AJ$503,208))=0,"",INDEX('Providers'!$AJ$4:$AJ$503,208))</f>
        <v/>
      </c>
      <c r="K3211">
        <f>IF(LEN(INDEX('Providers'!$AI$4:$AI$503,208))=0,"",INDEX('Providers'!$AI$4:$AI$503,208))</f>
        <v/>
      </c>
    </row>
    <row r="3212">
      <c r="A3212">
        <f>IF(AND(LEN('Providers'!A212)&gt;0,ISNUMBER('Providers'!W212)),1,0)</f>
        <v/>
      </c>
      <c r="B3212">
        <f>B3211+A3212</f>
        <v/>
      </c>
      <c r="C3212">
        <f>IF(3209&gt;$B$4503,"",MATCH(3209-0.5,$B$3:$B$4503,1))</f>
        <v/>
      </c>
      <c r="D3212">
        <f>"CAQH re-attestation – "&amp;IF(LEN(INDEX('Providers'!$A$4:$A$503,209))=0,"",INDEX('Providers'!$A$4:$A$503,209))</f>
        <v/>
      </c>
      <c r="E3212">
        <f>IF(ISNUMBER(INDEX('Providers'!$W$4:$W$503,209)),TEXT(INDEX('Providers'!$W$4:$W$503,209),"yyyy-mm-dd"),"")</f>
        <v/>
      </c>
      <c r="F3212">
        <f>"Credentialing"</f>
        <v/>
      </c>
      <c r="G3212">
        <f>IF(ISNUMBER(INDEX('Providers'!$U$4:$U$503,209)),TEXT(INDEX('Providers'!$U$4:$U$503,209),"yyyy-mm-dd"),"")</f>
        <v/>
      </c>
      <c r="H3212">
        <f>"High"</f>
        <v/>
      </c>
      <c r="I3212">
        <f>TRIM(IF(LEN(IF(LEN(INDEX('Providers'!$T$4:$T$503,209))=0,"",INDEX('Providers'!$T$4:$T$503,209)))=0,"","CAQH ID: "&amp;IF(LEN(INDEX('Providers'!$T$4:$T$503,209))=0,"",INDEX('Providers'!$T$4:$T$503,209))&amp;". ")&amp;IF(LEN(IF(ISNUMBER(INDEX('Providers'!$U$4:$U$503,209)),TEXT(INDEX('Providers'!$U$4:$U$503,209),"yyyy-mm-dd"),""))=0,"","Last attested: "&amp;IF(ISNUMBER(INDEX('Providers'!$U$4:$U$503,209)),TEXT(INDEX('Providers'!$U$4:$U$503,209),"yyyy-mm-dd"),"")&amp;". "))</f>
        <v/>
      </c>
      <c r="J3212">
        <f>IF(LEN(INDEX('Providers'!$AJ$4:$AJ$503,209))=0,"",INDEX('Providers'!$AJ$4:$AJ$503,209))</f>
        <v/>
      </c>
      <c r="K3212">
        <f>IF(LEN(INDEX('Providers'!$AI$4:$AI$503,209))=0,"",INDEX('Providers'!$AI$4:$AI$503,209))</f>
        <v/>
      </c>
    </row>
    <row r="3213">
      <c r="A3213">
        <f>IF(AND(LEN('Providers'!A213)&gt;0,ISNUMBER('Providers'!W213)),1,0)</f>
        <v/>
      </c>
      <c r="B3213">
        <f>B3212+A3213</f>
        <v/>
      </c>
      <c r="C3213">
        <f>IF(3210&gt;$B$4503,"",MATCH(3210-0.5,$B$3:$B$4503,1))</f>
        <v/>
      </c>
      <c r="D3213">
        <f>"CAQH re-attestation – "&amp;IF(LEN(INDEX('Providers'!$A$4:$A$503,210))=0,"",INDEX('Providers'!$A$4:$A$503,210))</f>
        <v/>
      </c>
      <c r="E3213">
        <f>IF(ISNUMBER(INDEX('Providers'!$W$4:$W$503,210)),TEXT(INDEX('Providers'!$W$4:$W$503,210),"yyyy-mm-dd"),"")</f>
        <v/>
      </c>
      <c r="F3213">
        <f>"Credentialing"</f>
        <v/>
      </c>
      <c r="G3213">
        <f>IF(ISNUMBER(INDEX('Providers'!$U$4:$U$503,210)),TEXT(INDEX('Providers'!$U$4:$U$503,210),"yyyy-mm-dd"),"")</f>
        <v/>
      </c>
      <c r="H3213">
        <f>"High"</f>
        <v/>
      </c>
      <c r="I3213">
        <f>TRIM(IF(LEN(IF(LEN(INDEX('Providers'!$T$4:$T$503,210))=0,"",INDEX('Providers'!$T$4:$T$503,210)))=0,"","CAQH ID: "&amp;IF(LEN(INDEX('Providers'!$T$4:$T$503,210))=0,"",INDEX('Providers'!$T$4:$T$503,210))&amp;". ")&amp;IF(LEN(IF(ISNUMBER(INDEX('Providers'!$U$4:$U$503,210)),TEXT(INDEX('Providers'!$U$4:$U$503,210),"yyyy-mm-dd"),""))=0,"","Last attested: "&amp;IF(ISNUMBER(INDEX('Providers'!$U$4:$U$503,210)),TEXT(INDEX('Providers'!$U$4:$U$503,210),"yyyy-mm-dd"),"")&amp;". "))</f>
        <v/>
      </c>
      <c r="J3213">
        <f>IF(LEN(INDEX('Providers'!$AJ$4:$AJ$503,210))=0,"",INDEX('Providers'!$AJ$4:$AJ$503,210))</f>
        <v/>
      </c>
      <c r="K3213">
        <f>IF(LEN(INDEX('Providers'!$AI$4:$AI$503,210))=0,"",INDEX('Providers'!$AI$4:$AI$503,210))</f>
        <v/>
      </c>
    </row>
    <row r="3214">
      <c r="A3214">
        <f>IF(AND(LEN('Providers'!A214)&gt;0,ISNUMBER('Providers'!W214)),1,0)</f>
        <v/>
      </c>
      <c r="B3214">
        <f>B3213+A3214</f>
        <v/>
      </c>
      <c r="C3214">
        <f>IF(3211&gt;$B$4503,"",MATCH(3211-0.5,$B$3:$B$4503,1))</f>
        <v/>
      </c>
      <c r="D3214">
        <f>"CAQH re-attestation – "&amp;IF(LEN(INDEX('Providers'!$A$4:$A$503,211))=0,"",INDEX('Providers'!$A$4:$A$503,211))</f>
        <v/>
      </c>
      <c r="E3214">
        <f>IF(ISNUMBER(INDEX('Providers'!$W$4:$W$503,211)),TEXT(INDEX('Providers'!$W$4:$W$503,211),"yyyy-mm-dd"),"")</f>
        <v/>
      </c>
      <c r="F3214">
        <f>"Credentialing"</f>
        <v/>
      </c>
      <c r="G3214">
        <f>IF(ISNUMBER(INDEX('Providers'!$U$4:$U$503,211)),TEXT(INDEX('Providers'!$U$4:$U$503,211),"yyyy-mm-dd"),"")</f>
        <v/>
      </c>
      <c r="H3214">
        <f>"High"</f>
        <v/>
      </c>
      <c r="I3214">
        <f>TRIM(IF(LEN(IF(LEN(INDEX('Providers'!$T$4:$T$503,211))=0,"",INDEX('Providers'!$T$4:$T$503,211)))=0,"","CAQH ID: "&amp;IF(LEN(INDEX('Providers'!$T$4:$T$503,211))=0,"",INDEX('Providers'!$T$4:$T$503,211))&amp;". ")&amp;IF(LEN(IF(ISNUMBER(INDEX('Providers'!$U$4:$U$503,211)),TEXT(INDEX('Providers'!$U$4:$U$503,211),"yyyy-mm-dd"),""))=0,"","Last attested: "&amp;IF(ISNUMBER(INDEX('Providers'!$U$4:$U$503,211)),TEXT(INDEX('Providers'!$U$4:$U$503,211),"yyyy-mm-dd"),"")&amp;". "))</f>
        <v/>
      </c>
      <c r="J3214">
        <f>IF(LEN(INDEX('Providers'!$AJ$4:$AJ$503,211))=0,"",INDEX('Providers'!$AJ$4:$AJ$503,211))</f>
        <v/>
      </c>
      <c r="K3214">
        <f>IF(LEN(INDEX('Providers'!$AI$4:$AI$503,211))=0,"",INDEX('Providers'!$AI$4:$AI$503,211))</f>
        <v/>
      </c>
    </row>
    <row r="3215">
      <c r="A3215">
        <f>IF(AND(LEN('Providers'!A215)&gt;0,ISNUMBER('Providers'!W215)),1,0)</f>
        <v/>
      </c>
      <c r="B3215">
        <f>B3214+A3215</f>
        <v/>
      </c>
      <c r="C3215">
        <f>IF(3212&gt;$B$4503,"",MATCH(3212-0.5,$B$3:$B$4503,1))</f>
        <v/>
      </c>
      <c r="D3215">
        <f>"CAQH re-attestation – "&amp;IF(LEN(INDEX('Providers'!$A$4:$A$503,212))=0,"",INDEX('Providers'!$A$4:$A$503,212))</f>
        <v/>
      </c>
      <c r="E3215">
        <f>IF(ISNUMBER(INDEX('Providers'!$W$4:$W$503,212)),TEXT(INDEX('Providers'!$W$4:$W$503,212),"yyyy-mm-dd"),"")</f>
        <v/>
      </c>
      <c r="F3215">
        <f>"Credentialing"</f>
        <v/>
      </c>
      <c r="G3215">
        <f>IF(ISNUMBER(INDEX('Providers'!$U$4:$U$503,212)),TEXT(INDEX('Providers'!$U$4:$U$503,212),"yyyy-mm-dd"),"")</f>
        <v/>
      </c>
      <c r="H3215">
        <f>"High"</f>
        <v/>
      </c>
      <c r="I3215">
        <f>TRIM(IF(LEN(IF(LEN(INDEX('Providers'!$T$4:$T$503,212))=0,"",INDEX('Providers'!$T$4:$T$503,212)))=0,"","CAQH ID: "&amp;IF(LEN(INDEX('Providers'!$T$4:$T$503,212))=0,"",INDEX('Providers'!$T$4:$T$503,212))&amp;". ")&amp;IF(LEN(IF(ISNUMBER(INDEX('Providers'!$U$4:$U$503,212)),TEXT(INDEX('Providers'!$U$4:$U$503,212),"yyyy-mm-dd"),""))=0,"","Last attested: "&amp;IF(ISNUMBER(INDEX('Providers'!$U$4:$U$503,212)),TEXT(INDEX('Providers'!$U$4:$U$503,212),"yyyy-mm-dd"),"")&amp;". "))</f>
        <v/>
      </c>
      <c r="J3215">
        <f>IF(LEN(INDEX('Providers'!$AJ$4:$AJ$503,212))=0,"",INDEX('Providers'!$AJ$4:$AJ$503,212))</f>
        <v/>
      </c>
      <c r="K3215">
        <f>IF(LEN(INDEX('Providers'!$AI$4:$AI$503,212))=0,"",INDEX('Providers'!$AI$4:$AI$503,212))</f>
        <v/>
      </c>
    </row>
    <row r="3216">
      <c r="A3216">
        <f>IF(AND(LEN('Providers'!A216)&gt;0,ISNUMBER('Providers'!W216)),1,0)</f>
        <v/>
      </c>
      <c r="B3216">
        <f>B3215+A3216</f>
        <v/>
      </c>
      <c r="C3216">
        <f>IF(3213&gt;$B$4503,"",MATCH(3213-0.5,$B$3:$B$4503,1))</f>
        <v/>
      </c>
      <c r="D3216">
        <f>"CAQH re-attestation – "&amp;IF(LEN(INDEX('Providers'!$A$4:$A$503,213))=0,"",INDEX('Providers'!$A$4:$A$503,213))</f>
        <v/>
      </c>
      <c r="E3216">
        <f>IF(ISNUMBER(INDEX('Providers'!$W$4:$W$503,213)),TEXT(INDEX('Providers'!$W$4:$W$503,213),"yyyy-mm-dd"),"")</f>
        <v/>
      </c>
      <c r="F3216">
        <f>"Credentialing"</f>
        <v/>
      </c>
      <c r="G3216">
        <f>IF(ISNUMBER(INDEX('Providers'!$U$4:$U$503,213)),TEXT(INDEX('Providers'!$U$4:$U$503,213),"yyyy-mm-dd"),"")</f>
        <v/>
      </c>
      <c r="H3216">
        <f>"High"</f>
        <v/>
      </c>
      <c r="I3216">
        <f>TRIM(IF(LEN(IF(LEN(INDEX('Providers'!$T$4:$T$503,213))=0,"",INDEX('Providers'!$T$4:$T$503,213)))=0,"","CAQH ID: "&amp;IF(LEN(INDEX('Providers'!$T$4:$T$503,213))=0,"",INDEX('Providers'!$T$4:$T$503,213))&amp;". ")&amp;IF(LEN(IF(ISNUMBER(INDEX('Providers'!$U$4:$U$503,213)),TEXT(INDEX('Providers'!$U$4:$U$503,213),"yyyy-mm-dd"),""))=0,"","Last attested: "&amp;IF(ISNUMBER(INDEX('Providers'!$U$4:$U$503,213)),TEXT(INDEX('Providers'!$U$4:$U$503,213),"yyyy-mm-dd"),"")&amp;". "))</f>
        <v/>
      </c>
      <c r="J3216">
        <f>IF(LEN(INDEX('Providers'!$AJ$4:$AJ$503,213))=0,"",INDEX('Providers'!$AJ$4:$AJ$503,213))</f>
        <v/>
      </c>
      <c r="K3216">
        <f>IF(LEN(INDEX('Providers'!$AI$4:$AI$503,213))=0,"",INDEX('Providers'!$AI$4:$AI$503,213))</f>
        <v/>
      </c>
    </row>
    <row r="3217">
      <c r="A3217">
        <f>IF(AND(LEN('Providers'!A217)&gt;0,ISNUMBER('Providers'!W217)),1,0)</f>
        <v/>
      </c>
      <c r="B3217">
        <f>B3216+A3217</f>
        <v/>
      </c>
      <c r="C3217">
        <f>IF(3214&gt;$B$4503,"",MATCH(3214-0.5,$B$3:$B$4503,1))</f>
        <v/>
      </c>
      <c r="D3217">
        <f>"CAQH re-attestation – "&amp;IF(LEN(INDEX('Providers'!$A$4:$A$503,214))=0,"",INDEX('Providers'!$A$4:$A$503,214))</f>
        <v/>
      </c>
      <c r="E3217">
        <f>IF(ISNUMBER(INDEX('Providers'!$W$4:$W$503,214)),TEXT(INDEX('Providers'!$W$4:$W$503,214),"yyyy-mm-dd"),"")</f>
        <v/>
      </c>
      <c r="F3217">
        <f>"Credentialing"</f>
        <v/>
      </c>
      <c r="G3217">
        <f>IF(ISNUMBER(INDEX('Providers'!$U$4:$U$503,214)),TEXT(INDEX('Providers'!$U$4:$U$503,214),"yyyy-mm-dd"),"")</f>
        <v/>
      </c>
      <c r="H3217">
        <f>"High"</f>
        <v/>
      </c>
      <c r="I3217">
        <f>TRIM(IF(LEN(IF(LEN(INDEX('Providers'!$T$4:$T$503,214))=0,"",INDEX('Providers'!$T$4:$T$503,214)))=0,"","CAQH ID: "&amp;IF(LEN(INDEX('Providers'!$T$4:$T$503,214))=0,"",INDEX('Providers'!$T$4:$T$503,214))&amp;". ")&amp;IF(LEN(IF(ISNUMBER(INDEX('Providers'!$U$4:$U$503,214)),TEXT(INDEX('Providers'!$U$4:$U$503,214),"yyyy-mm-dd"),""))=0,"","Last attested: "&amp;IF(ISNUMBER(INDEX('Providers'!$U$4:$U$503,214)),TEXT(INDEX('Providers'!$U$4:$U$503,214),"yyyy-mm-dd"),"")&amp;". "))</f>
        <v/>
      </c>
      <c r="J3217">
        <f>IF(LEN(INDEX('Providers'!$AJ$4:$AJ$503,214))=0,"",INDEX('Providers'!$AJ$4:$AJ$503,214))</f>
        <v/>
      </c>
      <c r="K3217">
        <f>IF(LEN(INDEX('Providers'!$AI$4:$AI$503,214))=0,"",INDEX('Providers'!$AI$4:$AI$503,214))</f>
        <v/>
      </c>
    </row>
    <row r="3218">
      <c r="A3218">
        <f>IF(AND(LEN('Providers'!A218)&gt;0,ISNUMBER('Providers'!W218)),1,0)</f>
        <v/>
      </c>
      <c r="B3218">
        <f>B3217+A3218</f>
        <v/>
      </c>
      <c r="C3218">
        <f>IF(3215&gt;$B$4503,"",MATCH(3215-0.5,$B$3:$B$4503,1))</f>
        <v/>
      </c>
      <c r="D3218">
        <f>"CAQH re-attestation – "&amp;IF(LEN(INDEX('Providers'!$A$4:$A$503,215))=0,"",INDEX('Providers'!$A$4:$A$503,215))</f>
        <v/>
      </c>
      <c r="E3218">
        <f>IF(ISNUMBER(INDEX('Providers'!$W$4:$W$503,215)),TEXT(INDEX('Providers'!$W$4:$W$503,215),"yyyy-mm-dd"),"")</f>
        <v/>
      </c>
      <c r="F3218">
        <f>"Credentialing"</f>
        <v/>
      </c>
      <c r="G3218">
        <f>IF(ISNUMBER(INDEX('Providers'!$U$4:$U$503,215)),TEXT(INDEX('Providers'!$U$4:$U$503,215),"yyyy-mm-dd"),"")</f>
        <v/>
      </c>
      <c r="H3218">
        <f>"High"</f>
        <v/>
      </c>
      <c r="I3218">
        <f>TRIM(IF(LEN(IF(LEN(INDEX('Providers'!$T$4:$T$503,215))=0,"",INDEX('Providers'!$T$4:$T$503,215)))=0,"","CAQH ID: "&amp;IF(LEN(INDEX('Providers'!$T$4:$T$503,215))=0,"",INDEX('Providers'!$T$4:$T$503,215))&amp;". ")&amp;IF(LEN(IF(ISNUMBER(INDEX('Providers'!$U$4:$U$503,215)),TEXT(INDEX('Providers'!$U$4:$U$503,215),"yyyy-mm-dd"),""))=0,"","Last attested: "&amp;IF(ISNUMBER(INDEX('Providers'!$U$4:$U$503,215)),TEXT(INDEX('Providers'!$U$4:$U$503,215),"yyyy-mm-dd"),"")&amp;". "))</f>
        <v/>
      </c>
      <c r="J3218">
        <f>IF(LEN(INDEX('Providers'!$AJ$4:$AJ$503,215))=0,"",INDEX('Providers'!$AJ$4:$AJ$503,215))</f>
        <v/>
      </c>
      <c r="K3218">
        <f>IF(LEN(INDEX('Providers'!$AI$4:$AI$503,215))=0,"",INDEX('Providers'!$AI$4:$AI$503,215))</f>
        <v/>
      </c>
    </row>
    <row r="3219">
      <c r="A3219">
        <f>IF(AND(LEN('Providers'!A219)&gt;0,ISNUMBER('Providers'!W219)),1,0)</f>
        <v/>
      </c>
      <c r="B3219">
        <f>B3218+A3219</f>
        <v/>
      </c>
      <c r="C3219">
        <f>IF(3216&gt;$B$4503,"",MATCH(3216-0.5,$B$3:$B$4503,1))</f>
        <v/>
      </c>
      <c r="D3219">
        <f>"CAQH re-attestation – "&amp;IF(LEN(INDEX('Providers'!$A$4:$A$503,216))=0,"",INDEX('Providers'!$A$4:$A$503,216))</f>
        <v/>
      </c>
      <c r="E3219">
        <f>IF(ISNUMBER(INDEX('Providers'!$W$4:$W$503,216)),TEXT(INDEX('Providers'!$W$4:$W$503,216),"yyyy-mm-dd"),"")</f>
        <v/>
      </c>
      <c r="F3219">
        <f>"Credentialing"</f>
        <v/>
      </c>
      <c r="G3219">
        <f>IF(ISNUMBER(INDEX('Providers'!$U$4:$U$503,216)),TEXT(INDEX('Providers'!$U$4:$U$503,216),"yyyy-mm-dd"),"")</f>
        <v/>
      </c>
      <c r="H3219">
        <f>"High"</f>
        <v/>
      </c>
      <c r="I3219">
        <f>TRIM(IF(LEN(IF(LEN(INDEX('Providers'!$T$4:$T$503,216))=0,"",INDEX('Providers'!$T$4:$T$503,216)))=0,"","CAQH ID: "&amp;IF(LEN(INDEX('Providers'!$T$4:$T$503,216))=0,"",INDEX('Providers'!$T$4:$T$503,216))&amp;". ")&amp;IF(LEN(IF(ISNUMBER(INDEX('Providers'!$U$4:$U$503,216)),TEXT(INDEX('Providers'!$U$4:$U$503,216),"yyyy-mm-dd"),""))=0,"","Last attested: "&amp;IF(ISNUMBER(INDEX('Providers'!$U$4:$U$503,216)),TEXT(INDEX('Providers'!$U$4:$U$503,216),"yyyy-mm-dd"),"")&amp;". "))</f>
        <v/>
      </c>
      <c r="J3219">
        <f>IF(LEN(INDEX('Providers'!$AJ$4:$AJ$503,216))=0,"",INDEX('Providers'!$AJ$4:$AJ$503,216))</f>
        <v/>
      </c>
      <c r="K3219">
        <f>IF(LEN(INDEX('Providers'!$AI$4:$AI$503,216))=0,"",INDEX('Providers'!$AI$4:$AI$503,216))</f>
        <v/>
      </c>
    </row>
    <row r="3220">
      <c r="A3220">
        <f>IF(AND(LEN('Providers'!A220)&gt;0,ISNUMBER('Providers'!W220)),1,0)</f>
        <v/>
      </c>
      <c r="B3220">
        <f>B3219+A3220</f>
        <v/>
      </c>
      <c r="C3220">
        <f>IF(3217&gt;$B$4503,"",MATCH(3217-0.5,$B$3:$B$4503,1))</f>
        <v/>
      </c>
      <c r="D3220">
        <f>"CAQH re-attestation – "&amp;IF(LEN(INDEX('Providers'!$A$4:$A$503,217))=0,"",INDEX('Providers'!$A$4:$A$503,217))</f>
        <v/>
      </c>
      <c r="E3220">
        <f>IF(ISNUMBER(INDEX('Providers'!$W$4:$W$503,217)),TEXT(INDEX('Providers'!$W$4:$W$503,217),"yyyy-mm-dd"),"")</f>
        <v/>
      </c>
      <c r="F3220">
        <f>"Credentialing"</f>
        <v/>
      </c>
      <c r="G3220">
        <f>IF(ISNUMBER(INDEX('Providers'!$U$4:$U$503,217)),TEXT(INDEX('Providers'!$U$4:$U$503,217),"yyyy-mm-dd"),"")</f>
        <v/>
      </c>
      <c r="H3220">
        <f>"High"</f>
        <v/>
      </c>
      <c r="I3220">
        <f>TRIM(IF(LEN(IF(LEN(INDEX('Providers'!$T$4:$T$503,217))=0,"",INDEX('Providers'!$T$4:$T$503,217)))=0,"","CAQH ID: "&amp;IF(LEN(INDEX('Providers'!$T$4:$T$503,217))=0,"",INDEX('Providers'!$T$4:$T$503,217))&amp;". ")&amp;IF(LEN(IF(ISNUMBER(INDEX('Providers'!$U$4:$U$503,217)),TEXT(INDEX('Providers'!$U$4:$U$503,217),"yyyy-mm-dd"),""))=0,"","Last attested: "&amp;IF(ISNUMBER(INDEX('Providers'!$U$4:$U$503,217)),TEXT(INDEX('Providers'!$U$4:$U$503,217),"yyyy-mm-dd"),"")&amp;". "))</f>
        <v/>
      </c>
      <c r="J3220">
        <f>IF(LEN(INDEX('Providers'!$AJ$4:$AJ$503,217))=0,"",INDEX('Providers'!$AJ$4:$AJ$503,217))</f>
        <v/>
      </c>
      <c r="K3220">
        <f>IF(LEN(INDEX('Providers'!$AI$4:$AI$503,217))=0,"",INDEX('Providers'!$AI$4:$AI$503,217))</f>
        <v/>
      </c>
    </row>
    <row r="3221">
      <c r="A3221">
        <f>IF(AND(LEN('Providers'!A221)&gt;0,ISNUMBER('Providers'!W221)),1,0)</f>
        <v/>
      </c>
      <c r="B3221">
        <f>B3220+A3221</f>
        <v/>
      </c>
      <c r="C3221">
        <f>IF(3218&gt;$B$4503,"",MATCH(3218-0.5,$B$3:$B$4503,1))</f>
        <v/>
      </c>
      <c r="D3221">
        <f>"CAQH re-attestation – "&amp;IF(LEN(INDEX('Providers'!$A$4:$A$503,218))=0,"",INDEX('Providers'!$A$4:$A$503,218))</f>
        <v/>
      </c>
      <c r="E3221">
        <f>IF(ISNUMBER(INDEX('Providers'!$W$4:$W$503,218)),TEXT(INDEX('Providers'!$W$4:$W$503,218),"yyyy-mm-dd"),"")</f>
        <v/>
      </c>
      <c r="F3221">
        <f>"Credentialing"</f>
        <v/>
      </c>
      <c r="G3221">
        <f>IF(ISNUMBER(INDEX('Providers'!$U$4:$U$503,218)),TEXT(INDEX('Providers'!$U$4:$U$503,218),"yyyy-mm-dd"),"")</f>
        <v/>
      </c>
      <c r="H3221">
        <f>"High"</f>
        <v/>
      </c>
      <c r="I3221">
        <f>TRIM(IF(LEN(IF(LEN(INDEX('Providers'!$T$4:$T$503,218))=0,"",INDEX('Providers'!$T$4:$T$503,218)))=0,"","CAQH ID: "&amp;IF(LEN(INDEX('Providers'!$T$4:$T$503,218))=0,"",INDEX('Providers'!$T$4:$T$503,218))&amp;". ")&amp;IF(LEN(IF(ISNUMBER(INDEX('Providers'!$U$4:$U$503,218)),TEXT(INDEX('Providers'!$U$4:$U$503,218),"yyyy-mm-dd"),""))=0,"","Last attested: "&amp;IF(ISNUMBER(INDEX('Providers'!$U$4:$U$503,218)),TEXT(INDEX('Providers'!$U$4:$U$503,218),"yyyy-mm-dd"),"")&amp;". "))</f>
        <v/>
      </c>
      <c r="J3221">
        <f>IF(LEN(INDEX('Providers'!$AJ$4:$AJ$503,218))=0,"",INDEX('Providers'!$AJ$4:$AJ$503,218))</f>
        <v/>
      </c>
      <c r="K3221">
        <f>IF(LEN(INDEX('Providers'!$AI$4:$AI$503,218))=0,"",INDEX('Providers'!$AI$4:$AI$503,218))</f>
        <v/>
      </c>
    </row>
    <row r="3222">
      <c r="A3222">
        <f>IF(AND(LEN('Providers'!A222)&gt;0,ISNUMBER('Providers'!W222)),1,0)</f>
        <v/>
      </c>
      <c r="B3222">
        <f>B3221+A3222</f>
        <v/>
      </c>
      <c r="C3222">
        <f>IF(3219&gt;$B$4503,"",MATCH(3219-0.5,$B$3:$B$4503,1))</f>
        <v/>
      </c>
      <c r="D3222">
        <f>"CAQH re-attestation – "&amp;IF(LEN(INDEX('Providers'!$A$4:$A$503,219))=0,"",INDEX('Providers'!$A$4:$A$503,219))</f>
        <v/>
      </c>
      <c r="E3222">
        <f>IF(ISNUMBER(INDEX('Providers'!$W$4:$W$503,219)),TEXT(INDEX('Providers'!$W$4:$W$503,219),"yyyy-mm-dd"),"")</f>
        <v/>
      </c>
      <c r="F3222">
        <f>"Credentialing"</f>
        <v/>
      </c>
      <c r="G3222">
        <f>IF(ISNUMBER(INDEX('Providers'!$U$4:$U$503,219)),TEXT(INDEX('Providers'!$U$4:$U$503,219),"yyyy-mm-dd"),"")</f>
        <v/>
      </c>
      <c r="H3222">
        <f>"High"</f>
        <v/>
      </c>
      <c r="I3222">
        <f>TRIM(IF(LEN(IF(LEN(INDEX('Providers'!$T$4:$T$503,219))=0,"",INDEX('Providers'!$T$4:$T$503,219)))=0,"","CAQH ID: "&amp;IF(LEN(INDEX('Providers'!$T$4:$T$503,219))=0,"",INDEX('Providers'!$T$4:$T$503,219))&amp;". ")&amp;IF(LEN(IF(ISNUMBER(INDEX('Providers'!$U$4:$U$503,219)),TEXT(INDEX('Providers'!$U$4:$U$503,219),"yyyy-mm-dd"),""))=0,"","Last attested: "&amp;IF(ISNUMBER(INDEX('Providers'!$U$4:$U$503,219)),TEXT(INDEX('Providers'!$U$4:$U$503,219),"yyyy-mm-dd"),"")&amp;". "))</f>
        <v/>
      </c>
      <c r="J3222">
        <f>IF(LEN(INDEX('Providers'!$AJ$4:$AJ$503,219))=0,"",INDEX('Providers'!$AJ$4:$AJ$503,219))</f>
        <v/>
      </c>
      <c r="K3222">
        <f>IF(LEN(INDEX('Providers'!$AI$4:$AI$503,219))=0,"",INDEX('Providers'!$AI$4:$AI$503,219))</f>
        <v/>
      </c>
    </row>
    <row r="3223">
      <c r="A3223">
        <f>IF(AND(LEN('Providers'!A223)&gt;0,ISNUMBER('Providers'!W223)),1,0)</f>
        <v/>
      </c>
      <c r="B3223">
        <f>B3222+A3223</f>
        <v/>
      </c>
      <c r="C3223">
        <f>IF(3220&gt;$B$4503,"",MATCH(3220-0.5,$B$3:$B$4503,1))</f>
        <v/>
      </c>
      <c r="D3223">
        <f>"CAQH re-attestation – "&amp;IF(LEN(INDEX('Providers'!$A$4:$A$503,220))=0,"",INDEX('Providers'!$A$4:$A$503,220))</f>
        <v/>
      </c>
      <c r="E3223">
        <f>IF(ISNUMBER(INDEX('Providers'!$W$4:$W$503,220)),TEXT(INDEX('Providers'!$W$4:$W$503,220),"yyyy-mm-dd"),"")</f>
        <v/>
      </c>
      <c r="F3223">
        <f>"Credentialing"</f>
        <v/>
      </c>
      <c r="G3223">
        <f>IF(ISNUMBER(INDEX('Providers'!$U$4:$U$503,220)),TEXT(INDEX('Providers'!$U$4:$U$503,220),"yyyy-mm-dd"),"")</f>
        <v/>
      </c>
      <c r="H3223">
        <f>"High"</f>
        <v/>
      </c>
      <c r="I3223">
        <f>TRIM(IF(LEN(IF(LEN(INDEX('Providers'!$T$4:$T$503,220))=0,"",INDEX('Providers'!$T$4:$T$503,220)))=0,"","CAQH ID: "&amp;IF(LEN(INDEX('Providers'!$T$4:$T$503,220))=0,"",INDEX('Providers'!$T$4:$T$503,220))&amp;". ")&amp;IF(LEN(IF(ISNUMBER(INDEX('Providers'!$U$4:$U$503,220)),TEXT(INDEX('Providers'!$U$4:$U$503,220),"yyyy-mm-dd"),""))=0,"","Last attested: "&amp;IF(ISNUMBER(INDEX('Providers'!$U$4:$U$503,220)),TEXT(INDEX('Providers'!$U$4:$U$503,220),"yyyy-mm-dd"),"")&amp;". "))</f>
        <v/>
      </c>
      <c r="J3223">
        <f>IF(LEN(INDEX('Providers'!$AJ$4:$AJ$503,220))=0,"",INDEX('Providers'!$AJ$4:$AJ$503,220))</f>
        <v/>
      </c>
      <c r="K3223">
        <f>IF(LEN(INDEX('Providers'!$AI$4:$AI$503,220))=0,"",INDEX('Providers'!$AI$4:$AI$503,220))</f>
        <v/>
      </c>
    </row>
    <row r="3224">
      <c r="A3224">
        <f>IF(AND(LEN('Providers'!A224)&gt;0,ISNUMBER('Providers'!W224)),1,0)</f>
        <v/>
      </c>
      <c r="B3224">
        <f>B3223+A3224</f>
        <v/>
      </c>
      <c r="C3224">
        <f>IF(3221&gt;$B$4503,"",MATCH(3221-0.5,$B$3:$B$4503,1))</f>
        <v/>
      </c>
      <c r="D3224">
        <f>"CAQH re-attestation – "&amp;IF(LEN(INDEX('Providers'!$A$4:$A$503,221))=0,"",INDEX('Providers'!$A$4:$A$503,221))</f>
        <v/>
      </c>
      <c r="E3224">
        <f>IF(ISNUMBER(INDEX('Providers'!$W$4:$W$503,221)),TEXT(INDEX('Providers'!$W$4:$W$503,221),"yyyy-mm-dd"),"")</f>
        <v/>
      </c>
      <c r="F3224">
        <f>"Credentialing"</f>
        <v/>
      </c>
      <c r="G3224">
        <f>IF(ISNUMBER(INDEX('Providers'!$U$4:$U$503,221)),TEXT(INDEX('Providers'!$U$4:$U$503,221),"yyyy-mm-dd"),"")</f>
        <v/>
      </c>
      <c r="H3224">
        <f>"High"</f>
        <v/>
      </c>
      <c r="I3224">
        <f>TRIM(IF(LEN(IF(LEN(INDEX('Providers'!$T$4:$T$503,221))=0,"",INDEX('Providers'!$T$4:$T$503,221)))=0,"","CAQH ID: "&amp;IF(LEN(INDEX('Providers'!$T$4:$T$503,221))=0,"",INDEX('Providers'!$T$4:$T$503,221))&amp;". ")&amp;IF(LEN(IF(ISNUMBER(INDEX('Providers'!$U$4:$U$503,221)),TEXT(INDEX('Providers'!$U$4:$U$503,221),"yyyy-mm-dd"),""))=0,"","Last attested: "&amp;IF(ISNUMBER(INDEX('Providers'!$U$4:$U$503,221)),TEXT(INDEX('Providers'!$U$4:$U$503,221),"yyyy-mm-dd"),"")&amp;". "))</f>
        <v/>
      </c>
      <c r="J3224">
        <f>IF(LEN(INDEX('Providers'!$AJ$4:$AJ$503,221))=0,"",INDEX('Providers'!$AJ$4:$AJ$503,221))</f>
        <v/>
      </c>
      <c r="K3224">
        <f>IF(LEN(INDEX('Providers'!$AI$4:$AI$503,221))=0,"",INDEX('Providers'!$AI$4:$AI$503,221))</f>
        <v/>
      </c>
    </row>
    <row r="3225">
      <c r="A3225">
        <f>IF(AND(LEN('Providers'!A225)&gt;0,ISNUMBER('Providers'!W225)),1,0)</f>
        <v/>
      </c>
      <c r="B3225">
        <f>B3224+A3225</f>
        <v/>
      </c>
      <c r="C3225">
        <f>IF(3222&gt;$B$4503,"",MATCH(3222-0.5,$B$3:$B$4503,1))</f>
        <v/>
      </c>
      <c r="D3225">
        <f>"CAQH re-attestation – "&amp;IF(LEN(INDEX('Providers'!$A$4:$A$503,222))=0,"",INDEX('Providers'!$A$4:$A$503,222))</f>
        <v/>
      </c>
      <c r="E3225">
        <f>IF(ISNUMBER(INDEX('Providers'!$W$4:$W$503,222)),TEXT(INDEX('Providers'!$W$4:$W$503,222),"yyyy-mm-dd"),"")</f>
        <v/>
      </c>
      <c r="F3225">
        <f>"Credentialing"</f>
        <v/>
      </c>
      <c r="G3225">
        <f>IF(ISNUMBER(INDEX('Providers'!$U$4:$U$503,222)),TEXT(INDEX('Providers'!$U$4:$U$503,222),"yyyy-mm-dd"),"")</f>
        <v/>
      </c>
      <c r="H3225">
        <f>"High"</f>
        <v/>
      </c>
      <c r="I3225">
        <f>TRIM(IF(LEN(IF(LEN(INDEX('Providers'!$T$4:$T$503,222))=0,"",INDEX('Providers'!$T$4:$T$503,222)))=0,"","CAQH ID: "&amp;IF(LEN(INDEX('Providers'!$T$4:$T$503,222))=0,"",INDEX('Providers'!$T$4:$T$503,222))&amp;". ")&amp;IF(LEN(IF(ISNUMBER(INDEX('Providers'!$U$4:$U$503,222)),TEXT(INDEX('Providers'!$U$4:$U$503,222),"yyyy-mm-dd"),""))=0,"","Last attested: "&amp;IF(ISNUMBER(INDEX('Providers'!$U$4:$U$503,222)),TEXT(INDEX('Providers'!$U$4:$U$503,222),"yyyy-mm-dd"),"")&amp;". "))</f>
        <v/>
      </c>
      <c r="J3225">
        <f>IF(LEN(INDEX('Providers'!$AJ$4:$AJ$503,222))=0,"",INDEX('Providers'!$AJ$4:$AJ$503,222))</f>
        <v/>
      </c>
      <c r="K3225">
        <f>IF(LEN(INDEX('Providers'!$AI$4:$AI$503,222))=0,"",INDEX('Providers'!$AI$4:$AI$503,222))</f>
        <v/>
      </c>
    </row>
    <row r="3226">
      <c r="A3226">
        <f>IF(AND(LEN('Providers'!A226)&gt;0,ISNUMBER('Providers'!W226)),1,0)</f>
        <v/>
      </c>
      <c r="B3226">
        <f>B3225+A3226</f>
        <v/>
      </c>
      <c r="C3226">
        <f>IF(3223&gt;$B$4503,"",MATCH(3223-0.5,$B$3:$B$4503,1))</f>
        <v/>
      </c>
      <c r="D3226">
        <f>"CAQH re-attestation – "&amp;IF(LEN(INDEX('Providers'!$A$4:$A$503,223))=0,"",INDEX('Providers'!$A$4:$A$503,223))</f>
        <v/>
      </c>
      <c r="E3226">
        <f>IF(ISNUMBER(INDEX('Providers'!$W$4:$W$503,223)),TEXT(INDEX('Providers'!$W$4:$W$503,223),"yyyy-mm-dd"),"")</f>
        <v/>
      </c>
      <c r="F3226">
        <f>"Credentialing"</f>
        <v/>
      </c>
      <c r="G3226">
        <f>IF(ISNUMBER(INDEX('Providers'!$U$4:$U$503,223)),TEXT(INDEX('Providers'!$U$4:$U$503,223),"yyyy-mm-dd"),"")</f>
        <v/>
      </c>
      <c r="H3226">
        <f>"High"</f>
        <v/>
      </c>
      <c r="I3226">
        <f>TRIM(IF(LEN(IF(LEN(INDEX('Providers'!$T$4:$T$503,223))=0,"",INDEX('Providers'!$T$4:$T$503,223)))=0,"","CAQH ID: "&amp;IF(LEN(INDEX('Providers'!$T$4:$T$503,223))=0,"",INDEX('Providers'!$T$4:$T$503,223))&amp;". ")&amp;IF(LEN(IF(ISNUMBER(INDEX('Providers'!$U$4:$U$503,223)),TEXT(INDEX('Providers'!$U$4:$U$503,223),"yyyy-mm-dd"),""))=0,"","Last attested: "&amp;IF(ISNUMBER(INDEX('Providers'!$U$4:$U$503,223)),TEXT(INDEX('Providers'!$U$4:$U$503,223),"yyyy-mm-dd"),"")&amp;". "))</f>
        <v/>
      </c>
      <c r="J3226">
        <f>IF(LEN(INDEX('Providers'!$AJ$4:$AJ$503,223))=0,"",INDEX('Providers'!$AJ$4:$AJ$503,223))</f>
        <v/>
      </c>
      <c r="K3226">
        <f>IF(LEN(INDEX('Providers'!$AI$4:$AI$503,223))=0,"",INDEX('Providers'!$AI$4:$AI$503,223))</f>
        <v/>
      </c>
    </row>
    <row r="3227">
      <c r="A3227">
        <f>IF(AND(LEN('Providers'!A227)&gt;0,ISNUMBER('Providers'!W227)),1,0)</f>
        <v/>
      </c>
      <c r="B3227">
        <f>B3226+A3227</f>
        <v/>
      </c>
      <c r="C3227">
        <f>IF(3224&gt;$B$4503,"",MATCH(3224-0.5,$B$3:$B$4503,1))</f>
        <v/>
      </c>
      <c r="D3227">
        <f>"CAQH re-attestation – "&amp;IF(LEN(INDEX('Providers'!$A$4:$A$503,224))=0,"",INDEX('Providers'!$A$4:$A$503,224))</f>
        <v/>
      </c>
      <c r="E3227">
        <f>IF(ISNUMBER(INDEX('Providers'!$W$4:$W$503,224)),TEXT(INDEX('Providers'!$W$4:$W$503,224),"yyyy-mm-dd"),"")</f>
        <v/>
      </c>
      <c r="F3227">
        <f>"Credentialing"</f>
        <v/>
      </c>
      <c r="G3227">
        <f>IF(ISNUMBER(INDEX('Providers'!$U$4:$U$503,224)),TEXT(INDEX('Providers'!$U$4:$U$503,224),"yyyy-mm-dd"),"")</f>
        <v/>
      </c>
      <c r="H3227">
        <f>"High"</f>
        <v/>
      </c>
      <c r="I3227">
        <f>TRIM(IF(LEN(IF(LEN(INDEX('Providers'!$T$4:$T$503,224))=0,"",INDEX('Providers'!$T$4:$T$503,224)))=0,"","CAQH ID: "&amp;IF(LEN(INDEX('Providers'!$T$4:$T$503,224))=0,"",INDEX('Providers'!$T$4:$T$503,224))&amp;". ")&amp;IF(LEN(IF(ISNUMBER(INDEX('Providers'!$U$4:$U$503,224)),TEXT(INDEX('Providers'!$U$4:$U$503,224),"yyyy-mm-dd"),""))=0,"","Last attested: "&amp;IF(ISNUMBER(INDEX('Providers'!$U$4:$U$503,224)),TEXT(INDEX('Providers'!$U$4:$U$503,224),"yyyy-mm-dd"),"")&amp;". "))</f>
        <v/>
      </c>
      <c r="J3227">
        <f>IF(LEN(INDEX('Providers'!$AJ$4:$AJ$503,224))=0,"",INDEX('Providers'!$AJ$4:$AJ$503,224))</f>
        <v/>
      </c>
      <c r="K3227">
        <f>IF(LEN(INDEX('Providers'!$AI$4:$AI$503,224))=0,"",INDEX('Providers'!$AI$4:$AI$503,224))</f>
        <v/>
      </c>
    </row>
    <row r="3228">
      <c r="A3228">
        <f>IF(AND(LEN('Providers'!A228)&gt;0,ISNUMBER('Providers'!W228)),1,0)</f>
        <v/>
      </c>
      <c r="B3228">
        <f>B3227+A3228</f>
        <v/>
      </c>
      <c r="C3228">
        <f>IF(3225&gt;$B$4503,"",MATCH(3225-0.5,$B$3:$B$4503,1))</f>
        <v/>
      </c>
      <c r="D3228">
        <f>"CAQH re-attestation – "&amp;IF(LEN(INDEX('Providers'!$A$4:$A$503,225))=0,"",INDEX('Providers'!$A$4:$A$503,225))</f>
        <v/>
      </c>
      <c r="E3228">
        <f>IF(ISNUMBER(INDEX('Providers'!$W$4:$W$503,225)),TEXT(INDEX('Providers'!$W$4:$W$503,225),"yyyy-mm-dd"),"")</f>
        <v/>
      </c>
      <c r="F3228">
        <f>"Credentialing"</f>
        <v/>
      </c>
      <c r="G3228">
        <f>IF(ISNUMBER(INDEX('Providers'!$U$4:$U$503,225)),TEXT(INDEX('Providers'!$U$4:$U$503,225),"yyyy-mm-dd"),"")</f>
        <v/>
      </c>
      <c r="H3228">
        <f>"High"</f>
        <v/>
      </c>
      <c r="I3228">
        <f>TRIM(IF(LEN(IF(LEN(INDEX('Providers'!$T$4:$T$503,225))=0,"",INDEX('Providers'!$T$4:$T$503,225)))=0,"","CAQH ID: "&amp;IF(LEN(INDEX('Providers'!$T$4:$T$503,225))=0,"",INDEX('Providers'!$T$4:$T$503,225))&amp;". ")&amp;IF(LEN(IF(ISNUMBER(INDEX('Providers'!$U$4:$U$503,225)),TEXT(INDEX('Providers'!$U$4:$U$503,225),"yyyy-mm-dd"),""))=0,"","Last attested: "&amp;IF(ISNUMBER(INDEX('Providers'!$U$4:$U$503,225)),TEXT(INDEX('Providers'!$U$4:$U$503,225),"yyyy-mm-dd"),"")&amp;". "))</f>
        <v/>
      </c>
      <c r="J3228">
        <f>IF(LEN(INDEX('Providers'!$AJ$4:$AJ$503,225))=0,"",INDEX('Providers'!$AJ$4:$AJ$503,225))</f>
        <v/>
      </c>
      <c r="K3228">
        <f>IF(LEN(INDEX('Providers'!$AI$4:$AI$503,225))=0,"",INDEX('Providers'!$AI$4:$AI$503,225))</f>
        <v/>
      </c>
    </row>
    <row r="3229">
      <c r="A3229">
        <f>IF(AND(LEN('Providers'!A229)&gt;0,ISNUMBER('Providers'!W229)),1,0)</f>
        <v/>
      </c>
      <c r="B3229">
        <f>B3228+A3229</f>
        <v/>
      </c>
      <c r="C3229">
        <f>IF(3226&gt;$B$4503,"",MATCH(3226-0.5,$B$3:$B$4503,1))</f>
        <v/>
      </c>
      <c r="D3229">
        <f>"CAQH re-attestation – "&amp;IF(LEN(INDEX('Providers'!$A$4:$A$503,226))=0,"",INDEX('Providers'!$A$4:$A$503,226))</f>
        <v/>
      </c>
      <c r="E3229">
        <f>IF(ISNUMBER(INDEX('Providers'!$W$4:$W$503,226)),TEXT(INDEX('Providers'!$W$4:$W$503,226),"yyyy-mm-dd"),"")</f>
        <v/>
      </c>
      <c r="F3229">
        <f>"Credentialing"</f>
        <v/>
      </c>
      <c r="G3229">
        <f>IF(ISNUMBER(INDEX('Providers'!$U$4:$U$503,226)),TEXT(INDEX('Providers'!$U$4:$U$503,226),"yyyy-mm-dd"),"")</f>
        <v/>
      </c>
      <c r="H3229">
        <f>"High"</f>
        <v/>
      </c>
      <c r="I3229">
        <f>TRIM(IF(LEN(IF(LEN(INDEX('Providers'!$T$4:$T$503,226))=0,"",INDEX('Providers'!$T$4:$T$503,226)))=0,"","CAQH ID: "&amp;IF(LEN(INDEX('Providers'!$T$4:$T$503,226))=0,"",INDEX('Providers'!$T$4:$T$503,226))&amp;". ")&amp;IF(LEN(IF(ISNUMBER(INDEX('Providers'!$U$4:$U$503,226)),TEXT(INDEX('Providers'!$U$4:$U$503,226),"yyyy-mm-dd"),""))=0,"","Last attested: "&amp;IF(ISNUMBER(INDEX('Providers'!$U$4:$U$503,226)),TEXT(INDEX('Providers'!$U$4:$U$503,226),"yyyy-mm-dd"),"")&amp;". "))</f>
        <v/>
      </c>
      <c r="J3229">
        <f>IF(LEN(INDEX('Providers'!$AJ$4:$AJ$503,226))=0,"",INDEX('Providers'!$AJ$4:$AJ$503,226))</f>
        <v/>
      </c>
      <c r="K3229">
        <f>IF(LEN(INDEX('Providers'!$AI$4:$AI$503,226))=0,"",INDEX('Providers'!$AI$4:$AI$503,226))</f>
        <v/>
      </c>
    </row>
    <row r="3230">
      <c r="A3230">
        <f>IF(AND(LEN('Providers'!A230)&gt;0,ISNUMBER('Providers'!W230)),1,0)</f>
        <v/>
      </c>
      <c r="B3230">
        <f>B3229+A3230</f>
        <v/>
      </c>
      <c r="C3230">
        <f>IF(3227&gt;$B$4503,"",MATCH(3227-0.5,$B$3:$B$4503,1))</f>
        <v/>
      </c>
      <c r="D3230">
        <f>"CAQH re-attestation – "&amp;IF(LEN(INDEX('Providers'!$A$4:$A$503,227))=0,"",INDEX('Providers'!$A$4:$A$503,227))</f>
        <v/>
      </c>
      <c r="E3230">
        <f>IF(ISNUMBER(INDEX('Providers'!$W$4:$W$503,227)),TEXT(INDEX('Providers'!$W$4:$W$503,227),"yyyy-mm-dd"),"")</f>
        <v/>
      </c>
      <c r="F3230">
        <f>"Credentialing"</f>
        <v/>
      </c>
      <c r="G3230">
        <f>IF(ISNUMBER(INDEX('Providers'!$U$4:$U$503,227)),TEXT(INDEX('Providers'!$U$4:$U$503,227),"yyyy-mm-dd"),"")</f>
        <v/>
      </c>
      <c r="H3230">
        <f>"High"</f>
        <v/>
      </c>
      <c r="I3230">
        <f>TRIM(IF(LEN(IF(LEN(INDEX('Providers'!$T$4:$T$503,227))=0,"",INDEX('Providers'!$T$4:$T$503,227)))=0,"","CAQH ID: "&amp;IF(LEN(INDEX('Providers'!$T$4:$T$503,227))=0,"",INDEX('Providers'!$T$4:$T$503,227))&amp;". ")&amp;IF(LEN(IF(ISNUMBER(INDEX('Providers'!$U$4:$U$503,227)),TEXT(INDEX('Providers'!$U$4:$U$503,227),"yyyy-mm-dd"),""))=0,"","Last attested: "&amp;IF(ISNUMBER(INDEX('Providers'!$U$4:$U$503,227)),TEXT(INDEX('Providers'!$U$4:$U$503,227),"yyyy-mm-dd"),"")&amp;". "))</f>
        <v/>
      </c>
      <c r="J3230">
        <f>IF(LEN(INDEX('Providers'!$AJ$4:$AJ$503,227))=0,"",INDEX('Providers'!$AJ$4:$AJ$503,227))</f>
        <v/>
      </c>
      <c r="K3230">
        <f>IF(LEN(INDEX('Providers'!$AI$4:$AI$503,227))=0,"",INDEX('Providers'!$AI$4:$AI$503,227))</f>
        <v/>
      </c>
    </row>
    <row r="3231">
      <c r="A3231">
        <f>IF(AND(LEN('Providers'!A231)&gt;0,ISNUMBER('Providers'!W231)),1,0)</f>
        <v/>
      </c>
      <c r="B3231">
        <f>B3230+A3231</f>
        <v/>
      </c>
      <c r="C3231">
        <f>IF(3228&gt;$B$4503,"",MATCH(3228-0.5,$B$3:$B$4503,1))</f>
        <v/>
      </c>
      <c r="D3231">
        <f>"CAQH re-attestation – "&amp;IF(LEN(INDEX('Providers'!$A$4:$A$503,228))=0,"",INDEX('Providers'!$A$4:$A$503,228))</f>
        <v/>
      </c>
      <c r="E3231">
        <f>IF(ISNUMBER(INDEX('Providers'!$W$4:$W$503,228)),TEXT(INDEX('Providers'!$W$4:$W$503,228),"yyyy-mm-dd"),"")</f>
        <v/>
      </c>
      <c r="F3231">
        <f>"Credentialing"</f>
        <v/>
      </c>
      <c r="G3231">
        <f>IF(ISNUMBER(INDEX('Providers'!$U$4:$U$503,228)),TEXT(INDEX('Providers'!$U$4:$U$503,228),"yyyy-mm-dd"),"")</f>
        <v/>
      </c>
      <c r="H3231">
        <f>"High"</f>
        <v/>
      </c>
      <c r="I3231">
        <f>TRIM(IF(LEN(IF(LEN(INDEX('Providers'!$T$4:$T$503,228))=0,"",INDEX('Providers'!$T$4:$T$503,228)))=0,"","CAQH ID: "&amp;IF(LEN(INDEX('Providers'!$T$4:$T$503,228))=0,"",INDEX('Providers'!$T$4:$T$503,228))&amp;". ")&amp;IF(LEN(IF(ISNUMBER(INDEX('Providers'!$U$4:$U$503,228)),TEXT(INDEX('Providers'!$U$4:$U$503,228),"yyyy-mm-dd"),""))=0,"","Last attested: "&amp;IF(ISNUMBER(INDEX('Providers'!$U$4:$U$503,228)),TEXT(INDEX('Providers'!$U$4:$U$503,228),"yyyy-mm-dd"),"")&amp;". "))</f>
        <v/>
      </c>
      <c r="J3231">
        <f>IF(LEN(INDEX('Providers'!$AJ$4:$AJ$503,228))=0,"",INDEX('Providers'!$AJ$4:$AJ$503,228))</f>
        <v/>
      </c>
      <c r="K3231">
        <f>IF(LEN(INDEX('Providers'!$AI$4:$AI$503,228))=0,"",INDEX('Providers'!$AI$4:$AI$503,228))</f>
        <v/>
      </c>
    </row>
    <row r="3232">
      <c r="A3232">
        <f>IF(AND(LEN('Providers'!A232)&gt;0,ISNUMBER('Providers'!W232)),1,0)</f>
        <v/>
      </c>
      <c r="B3232">
        <f>B3231+A3232</f>
        <v/>
      </c>
      <c r="C3232">
        <f>IF(3229&gt;$B$4503,"",MATCH(3229-0.5,$B$3:$B$4503,1))</f>
        <v/>
      </c>
      <c r="D3232">
        <f>"CAQH re-attestation – "&amp;IF(LEN(INDEX('Providers'!$A$4:$A$503,229))=0,"",INDEX('Providers'!$A$4:$A$503,229))</f>
        <v/>
      </c>
      <c r="E3232">
        <f>IF(ISNUMBER(INDEX('Providers'!$W$4:$W$503,229)),TEXT(INDEX('Providers'!$W$4:$W$503,229),"yyyy-mm-dd"),"")</f>
        <v/>
      </c>
      <c r="F3232">
        <f>"Credentialing"</f>
        <v/>
      </c>
      <c r="G3232">
        <f>IF(ISNUMBER(INDEX('Providers'!$U$4:$U$503,229)),TEXT(INDEX('Providers'!$U$4:$U$503,229),"yyyy-mm-dd"),"")</f>
        <v/>
      </c>
      <c r="H3232">
        <f>"High"</f>
        <v/>
      </c>
      <c r="I3232">
        <f>TRIM(IF(LEN(IF(LEN(INDEX('Providers'!$T$4:$T$503,229))=0,"",INDEX('Providers'!$T$4:$T$503,229)))=0,"","CAQH ID: "&amp;IF(LEN(INDEX('Providers'!$T$4:$T$503,229))=0,"",INDEX('Providers'!$T$4:$T$503,229))&amp;". ")&amp;IF(LEN(IF(ISNUMBER(INDEX('Providers'!$U$4:$U$503,229)),TEXT(INDEX('Providers'!$U$4:$U$503,229),"yyyy-mm-dd"),""))=0,"","Last attested: "&amp;IF(ISNUMBER(INDEX('Providers'!$U$4:$U$503,229)),TEXT(INDEX('Providers'!$U$4:$U$503,229),"yyyy-mm-dd"),"")&amp;". "))</f>
        <v/>
      </c>
      <c r="J3232">
        <f>IF(LEN(INDEX('Providers'!$AJ$4:$AJ$503,229))=0,"",INDEX('Providers'!$AJ$4:$AJ$503,229))</f>
        <v/>
      </c>
      <c r="K3232">
        <f>IF(LEN(INDEX('Providers'!$AI$4:$AI$503,229))=0,"",INDEX('Providers'!$AI$4:$AI$503,229))</f>
        <v/>
      </c>
    </row>
    <row r="3233">
      <c r="A3233">
        <f>IF(AND(LEN('Providers'!A233)&gt;0,ISNUMBER('Providers'!W233)),1,0)</f>
        <v/>
      </c>
      <c r="B3233">
        <f>B3232+A3233</f>
        <v/>
      </c>
      <c r="C3233">
        <f>IF(3230&gt;$B$4503,"",MATCH(3230-0.5,$B$3:$B$4503,1))</f>
        <v/>
      </c>
      <c r="D3233">
        <f>"CAQH re-attestation – "&amp;IF(LEN(INDEX('Providers'!$A$4:$A$503,230))=0,"",INDEX('Providers'!$A$4:$A$503,230))</f>
        <v/>
      </c>
      <c r="E3233">
        <f>IF(ISNUMBER(INDEX('Providers'!$W$4:$W$503,230)),TEXT(INDEX('Providers'!$W$4:$W$503,230),"yyyy-mm-dd"),"")</f>
        <v/>
      </c>
      <c r="F3233">
        <f>"Credentialing"</f>
        <v/>
      </c>
      <c r="G3233">
        <f>IF(ISNUMBER(INDEX('Providers'!$U$4:$U$503,230)),TEXT(INDEX('Providers'!$U$4:$U$503,230),"yyyy-mm-dd"),"")</f>
        <v/>
      </c>
      <c r="H3233">
        <f>"High"</f>
        <v/>
      </c>
      <c r="I3233">
        <f>TRIM(IF(LEN(IF(LEN(INDEX('Providers'!$T$4:$T$503,230))=0,"",INDEX('Providers'!$T$4:$T$503,230)))=0,"","CAQH ID: "&amp;IF(LEN(INDEX('Providers'!$T$4:$T$503,230))=0,"",INDEX('Providers'!$T$4:$T$503,230))&amp;". ")&amp;IF(LEN(IF(ISNUMBER(INDEX('Providers'!$U$4:$U$503,230)),TEXT(INDEX('Providers'!$U$4:$U$503,230),"yyyy-mm-dd"),""))=0,"","Last attested: "&amp;IF(ISNUMBER(INDEX('Providers'!$U$4:$U$503,230)),TEXT(INDEX('Providers'!$U$4:$U$503,230),"yyyy-mm-dd"),"")&amp;". "))</f>
        <v/>
      </c>
      <c r="J3233">
        <f>IF(LEN(INDEX('Providers'!$AJ$4:$AJ$503,230))=0,"",INDEX('Providers'!$AJ$4:$AJ$503,230))</f>
        <v/>
      </c>
      <c r="K3233">
        <f>IF(LEN(INDEX('Providers'!$AI$4:$AI$503,230))=0,"",INDEX('Providers'!$AI$4:$AI$503,230))</f>
        <v/>
      </c>
    </row>
    <row r="3234">
      <c r="A3234">
        <f>IF(AND(LEN('Providers'!A234)&gt;0,ISNUMBER('Providers'!W234)),1,0)</f>
        <v/>
      </c>
      <c r="B3234">
        <f>B3233+A3234</f>
        <v/>
      </c>
      <c r="C3234">
        <f>IF(3231&gt;$B$4503,"",MATCH(3231-0.5,$B$3:$B$4503,1))</f>
        <v/>
      </c>
      <c r="D3234">
        <f>"CAQH re-attestation – "&amp;IF(LEN(INDEX('Providers'!$A$4:$A$503,231))=0,"",INDEX('Providers'!$A$4:$A$503,231))</f>
        <v/>
      </c>
      <c r="E3234">
        <f>IF(ISNUMBER(INDEX('Providers'!$W$4:$W$503,231)),TEXT(INDEX('Providers'!$W$4:$W$503,231),"yyyy-mm-dd"),"")</f>
        <v/>
      </c>
      <c r="F3234">
        <f>"Credentialing"</f>
        <v/>
      </c>
      <c r="G3234">
        <f>IF(ISNUMBER(INDEX('Providers'!$U$4:$U$503,231)),TEXT(INDEX('Providers'!$U$4:$U$503,231),"yyyy-mm-dd"),"")</f>
        <v/>
      </c>
      <c r="H3234">
        <f>"High"</f>
        <v/>
      </c>
      <c r="I3234">
        <f>TRIM(IF(LEN(IF(LEN(INDEX('Providers'!$T$4:$T$503,231))=0,"",INDEX('Providers'!$T$4:$T$503,231)))=0,"","CAQH ID: "&amp;IF(LEN(INDEX('Providers'!$T$4:$T$503,231))=0,"",INDEX('Providers'!$T$4:$T$503,231))&amp;". ")&amp;IF(LEN(IF(ISNUMBER(INDEX('Providers'!$U$4:$U$503,231)),TEXT(INDEX('Providers'!$U$4:$U$503,231),"yyyy-mm-dd"),""))=0,"","Last attested: "&amp;IF(ISNUMBER(INDEX('Providers'!$U$4:$U$503,231)),TEXT(INDEX('Providers'!$U$4:$U$503,231),"yyyy-mm-dd"),"")&amp;". "))</f>
        <v/>
      </c>
      <c r="J3234">
        <f>IF(LEN(INDEX('Providers'!$AJ$4:$AJ$503,231))=0,"",INDEX('Providers'!$AJ$4:$AJ$503,231))</f>
        <v/>
      </c>
      <c r="K3234">
        <f>IF(LEN(INDEX('Providers'!$AI$4:$AI$503,231))=0,"",INDEX('Providers'!$AI$4:$AI$503,231))</f>
        <v/>
      </c>
    </row>
    <row r="3235">
      <c r="A3235">
        <f>IF(AND(LEN('Providers'!A235)&gt;0,ISNUMBER('Providers'!W235)),1,0)</f>
        <v/>
      </c>
      <c r="B3235">
        <f>B3234+A3235</f>
        <v/>
      </c>
      <c r="C3235">
        <f>IF(3232&gt;$B$4503,"",MATCH(3232-0.5,$B$3:$B$4503,1))</f>
        <v/>
      </c>
      <c r="D3235">
        <f>"CAQH re-attestation – "&amp;IF(LEN(INDEX('Providers'!$A$4:$A$503,232))=0,"",INDEX('Providers'!$A$4:$A$503,232))</f>
        <v/>
      </c>
      <c r="E3235">
        <f>IF(ISNUMBER(INDEX('Providers'!$W$4:$W$503,232)),TEXT(INDEX('Providers'!$W$4:$W$503,232),"yyyy-mm-dd"),"")</f>
        <v/>
      </c>
      <c r="F3235">
        <f>"Credentialing"</f>
        <v/>
      </c>
      <c r="G3235">
        <f>IF(ISNUMBER(INDEX('Providers'!$U$4:$U$503,232)),TEXT(INDEX('Providers'!$U$4:$U$503,232),"yyyy-mm-dd"),"")</f>
        <v/>
      </c>
      <c r="H3235">
        <f>"High"</f>
        <v/>
      </c>
      <c r="I3235">
        <f>TRIM(IF(LEN(IF(LEN(INDEX('Providers'!$T$4:$T$503,232))=0,"",INDEX('Providers'!$T$4:$T$503,232)))=0,"","CAQH ID: "&amp;IF(LEN(INDEX('Providers'!$T$4:$T$503,232))=0,"",INDEX('Providers'!$T$4:$T$503,232))&amp;". ")&amp;IF(LEN(IF(ISNUMBER(INDEX('Providers'!$U$4:$U$503,232)),TEXT(INDEX('Providers'!$U$4:$U$503,232),"yyyy-mm-dd"),""))=0,"","Last attested: "&amp;IF(ISNUMBER(INDEX('Providers'!$U$4:$U$503,232)),TEXT(INDEX('Providers'!$U$4:$U$503,232),"yyyy-mm-dd"),"")&amp;". "))</f>
        <v/>
      </c>
      <c r="J3235">
        <f>IF(LEN(INDEX('Providers'!$AJ$4:$AJ$503,232))=0,"",INDEX('Providers'!$AJ$4:$AJ$503,232))</f>
        <v/>
      </c>
      <c r="K3235">
        <f>IF(LEN(INDEX('Providers'!$AI$4:$AI$503,232))=0,"",INDEX('Providers'!$AI$4:$AI$503,232))</f>
        <v/>
      </c>
    </row>
    <row r="3236">
      <c r="A3236">
        <f>IF(AND(LEN('Providers'!A236)&gt;0,ISNUMBER('Providers'!W236)),1,0)</f>
        <v/>
      </c>
      <c r="B3236">
        <f>B3235+A3236</f>
        <v/>
      </c>
      <c r="C3236">
        <f>IF(3233&gt;$B$4503,"",MATCH(3233-0.5,$B$3:$B$4503,1))</f>
        <v/>
      </c>
      <c r="D3236">
        <f>"CAQH re-attestation – "&amp;IF(LEN(INDEX('Providers'!$A$4:$A$503,233))=0,"",INDEX('Providers'!$A$4:$A$503,233))</f>
        <v/>
      </c>
      <c r="E3236">
        <f>IF(ISNUMBER(INDEX('Providers'!$W$4:$W$503,233)),TEXT(INDEX('Providers'!$W$4:$W$503,233),"yyyy-mm-dd"),"")</f>
        <v/>
      </c>
      <c r="F3236">
        <f>"Credentialing"</f>
        <v/>
      </c>
      <c r="G3236">
        <f>IF(ISNUMBER(INDEX('Providers'!$U$4:$U$503,233)),TEXT(INDEX('Providers'!$U$4:$U$503,233),"yyyy-mm-dd"),"")</f>
        <v/>
      </c>
      <c r="H3236">
        <f>"High"</f>
        <v/>
      </c>
      <c r="I3236">
        <f>TRIM(IF(LEN(IF(LEN(INDEX('Providers'!$T$4:$T$503,233))=0,"",INDEX('Providers'!$T$4:$T$503,233)))=0,"","CAQH ID: "&amp;IF(LEN(INDEX('Providers'!$T$4:$T$503,233))=0,"",INDEX('Providers'!$T$4:$T$503,233))&amp;". ")&amp;IF(LEN(IF(ISNUMBER(INDEX('Providers'!$U$4:$U$503,233)),TEXT(INDEX('Providers'!$U$4:$U$503,233),"yyyy-mm-dd"),""))=0,"","Last attested: "&amp;IF(ISNUMBER(INDEX('Providers'!$U$4:$U$503,233)),TEXT(INDEX('Providers'!$U$4:$U$503,233),"yyyy-mm-dd"),"")&amp;". "))</f>
        <v/>
      </c>
      <c r="J3236">
        <f>IF(LEN(INDEX('Providers'!$AJ$4:$AJ$503,233))=0,"",INDEX('Providers'!$AJ$4:$AJ$503,233))</f>
        <v/>
      </c>
      <c r="K3236">
        <f>IF(LEN(INDEX('Providers'!$AI$4:$AI$503,233))=0,"",INDEX('Providers'!$AI$4:$AI$503,233))</f>
        <v/>
      </c>
    </row>
    <row r="3237">
      <c r="A3237">
        <f>IF(AND(LEN('Providers'!A237)&gt;0,ISNUMBER('Providers'!W237)),1,0)</f>
        <v/>
      </c>
      <c r="B3237">
        <f>B3236+A3237</f>
        <v/>
      </c>
      <c r="C3237">
        <f>IF(3234&gt;$B$4503,"",MATCH(3234-0.5,$B$3:$B$4503,1))</f>
        <v/>
      </c>
      <c r="D3237">
        <f>"CAQH re-attestation – "&amp;IF(LEN(INDEX('Providers'!$A$4:$A$503,234))=0,"",INDEX('Providers'!$A$4:$A$503,234))</f>
        <v/>
      </c>
      <c r="E3237">
        <f>IF(ISNUMBER(INDEX('Providers'!$W$4:$W$503,234)),TEXT(INDEX('Providers'!$W$4:$W$503,234),"yyyy-mm-dd"),"")</f>
        <v/>
      </c>
      <c r="F3237">
        <f>"Credentialing"</f>
        <v/>
      </c>
      <c r="G3237">
        <f>IF(ISNUMBER(INDEX('Providers'!$U$4:$U$503,234)),TEXT(INDEX('Providers'!$U$4:$U$503,234),"yyyy-mm-dd"),"")</f>
        <v/>
      </c>
      <c r="H3237">
        <f>"High"</f>
        <v/>
      </c>
      <c r="I3237">
        <f>TRIM(IF(LEN(IF(LEN(INDEX('Providers'!$T$4:$T$503,234))=0,"",INDEX('Providers'!$T$4:$T$503,234)))=0,"","CAQH ID: "&amp;IF(LEN(INDEX('Providers'!$T$4:$T$503,234))=0,"",INDEX('Providers'!$T$4:$T$503,234))&amp;". ")&amp;IF(LEN(IF(ISNUMBER(INDEX('Providers'!$U$4:$U$503,234)),TEXT(INDEX('Providers'!$U$4:$U$503,234),"yyyy-mm-dd"),""))=0,"","Last attested: "&amp;IF(ISNUMBER(INDEX('Providers'!$U$4:$U$503,234)),TEXT(INDEX('Providers'!$U$4:$U$503,234),"yyyy-mm-dd"),"")&amp;". "))</f>
        <v/>
      </c>
      <c r="J3237">
        <f>IF(LEN(INDEX('Providers'!$AJ$4:$AJ$503,234))=0,"",INDEX('Providers'!$AJ$4:$AJ$503,234))</f>
        <v/>
      </c>
      <c r="K3237">
        <f>IF(LEN(INDEX('Providers'!$AI$4:$AI$503,234))=0,"",INDEX('Providers'!$AI$4:$AI$503,234))</f>
        <v/>
      </c>
    </row>
    <row r="3238">
      <c r="A3238">
        <f>IF(AND(LEN('Providers'!A238)&gt;0,ISNUMBER('Providers'!W238)),1,0)</f>
        <v/>
      </c>
      <c r="B3238">
        <f>B3237+A3238</f>
        <v/>
      </c>
      <c r="C3238">
        <f>IF(3235&gt;$B$4503,"",MATCH(3235-0.5,$B$3:$B$4503,1))</f>
        <v/>
      </c>
      <c r="D3238">
        <f>"CAQH re-attestation – "&amp;IF(LEN(INDEX('Providers'!$A$4:$A$503,235))=0,"",INDEX('Providers'!$A$4:$A$503,235))</f>
        <v/>
      </c>
      <c r="E3238">
        <f>IF(ISNUMBER(INDEX('Providers'!$W$4:$W$503,235)),TEXT(INDEX('Providers'!$W$4:$W$503,235),"yyyy-mm-dd"),"")</f>
        <v/>
      </c>
      <c r="F3238">
        <f>"Credentialing"</f>
        <v/>
      </c>
      <c r="G3238">
        <f>IF(ISNUMBER(INDEX('Providers'!$U$4:$U$503,235)),TEXT(INDEX('Providers'!$U$4:$U$503,235),"yyyy-mm-dd"),"")</f>
        <v/>
      </c>
      <c r="H3238">
        <f>"High"</f>
        <v/>
      </c>
      <c r="I3238">
        <f>TRIM(IF(LEN(IF(LEN(INDEX('Providers'!$T$4:$T$503,235))=0,"",INDEX('Providers'!$T$4:$T$503,235)))=0,"","CAQH ID: "&amp;IF(LEN(INDEX('Providers'!$T$4:$T$503,235))=0,"",INDEX('Providers'!$T$4:$T$503,235))&amp;". ")&amp;IF(LEN(IF(ISNUMBER(INDEX('Providers'!$U$4:$U$503,235)),TEXT(INDEX('Providers'!$U$4:$U$503,235),"yyyy-mm-dd"),""))=0,"","Last attested: "&amp;IF(ISNUMBER(INDEX('Providers'!$U$4:$U$503,235)),TEXT(INDEX('Providers'!$U$4:$U$503,235),"yyyy-mm-dd"),"")&amp;". "))</f>
        <v/>
      </c>
      <c r="J3238">
        <f>IF(LEN(INDEX('Providers'!$AJ$4:$AJ$503,235))=0,"",INDEX('Providers'!$AJ$4:$AJ$503,235))</f>
        <v/>
      </c>
      <c r="K3238">
        <f>IF(LEN(INDEX('Providers'!$AI$4:$AI$503,235))=0,"",INDEX('Providers'!$AI$4:$AI$503,235))</f>
        <v/>
      </c>
    </row>
    <row r="3239">
      <c r="A3239">
        <f>IF(AND(LEN('Providers'!A239)&gt;0,ISNUMBER('Providers'!W239)),1,0)</f>
        <v/>
      </c>
      <c r="B3239">
        <f>B3238+A3239</f>
        <v/>
      </c>
      <c r="C3239">
        <f>IF(3236&gt;$B$4503,"",MATCH(3236-0.5,$B$3:$B$4503,1))</f>
        <v/>
      </c>
      <c r="D3239">
        <f>"CAQH re-attestation – "&amp;IF(LEN(INDEX('Providers'!$A$4:$A$503,236))=0,"",INDEX('Providers'!$A$4:$A$503,236))</f>
        <v/>
      </c>
      <c r="E3239">
        <f>IF(ISNUMBER(INDEX('Providers'!$W$4:$W$503,236)),TEXT(INDEX('Providers'!$W$4:$W$503,236),"yyyy-mm-dd"),"")</f>
        <v/>
      </c>
      <c r="F3239">
        <f>"Credentialing"</f>
        <v/>
      </c>
      <c r="G3239">
        <f>IF(ISNUMBER(INDEX('Providers'!$U$4:$U$503,236)),TEXT(INDEX('Providers'!$U$4:$U$503,236),"yyyy-mm-dd"),"")</f>
        <v/>
      </c>
      <c r="H3239">
        <f>"High"</f>
        <v/>
      </c>
      <c r="I3239">
        <f>TRIM(IF(LEN(IF(LEN(INDEX('Providers'!$T$4:$T$503,236))=0,"",INDEX('Providers'!$T$4:$T$503,236)))=0,"","CAQH ID: "&amp;IF(LEN(INDEX('Providers'!$T$4:$T$503,236))=0,"",INDEX('Providers'!$T$4:$T$503,236))&amp;". ")&amp;IF(LEN(IF(ISNUMBER(INDEX('Providers'!$U$4:$U$503,236)),TEXT(INDEX('Providers'!$U$4:$U$503,236),"yyyy-mm-dd"),""))=0,"","Last attested: "&amp;IF(ISNUMBER(INDEX('Providers'!$U$4:$U$503,236)),TEXT(INDEX('Providers'!$U$4:$U$503,236),"yyyy-mm-dd"),"")&amp;". "))</f>
        <v/>
      </c>
      <c r="J3239">
        <f>IF(LEN(INDEX('Providers'!$AJ$4:$AJ$503,236))=0,"",INDEX('Providers'!$AJ$4:$AJ$503,236))</f>
        <v/>
      </c>
      <c r="K3239">
        <f>IF(LEN(INDEX('Providers'!$AI$4:$AI$503,236))=0,"",INDEX('Providers'!$AI$4:$AI$503,236))</f>
        <v/>
      </c>
    </row>
    <row r="3240">
      <c r="A3240">
        <f>IF(AND(LEN('Providers'!A240)&gt;0,ISNUMBER('Providers'!W240)),1,0)</f>
        <v/>
      </c>
      <c r="B3240">
        <f>B3239+A3240</f>
        <v/>
      </c>
      <c r="C3240">
        <f>IF(3237&gt;$B$4503,"",MATCH(3237-0.5,$B$3:$B$4503,1))</f>
        <v/>
      </c>
      <c r="D3240">
        <f>"CAQH re-attestation – "&amp;IF(LEN(INDEX('Providers'!$A$4:$A$503,237))=0,"",INDEX('Providers'!$A$4:$A$503,237))</f>
        <v/>
      </c>
      <c r="E3240">
        <f>IF(ISNUMBER(INDEX('Providers'!$W$4:$W$503,237)),TEXT(INDEX('Providers'!$W$4:$W$503,237),"yyyy-mm-dd"),"")</f>
        <v/>
      </c>
      <c r="F3240">
        <f>"Credentialing"</f>
        <v/>
      </c>
      <c r="G3240">
        <f>IF(ISNUMBER(INDEX('Providers'!$U$4:$U$503,237)),TEXT(INDEX('Providers'!$U$4:$U$503,237),"yyyy-mm-dd"),"")</f>
        <v/>
      </c>
      <c r="H3240">
        <f>"High"</f>
        <v/>
      </c>
      <c r="I3240">
        <f>TRIM(IF(LEN(IF(LEN(INDEX('Providers'!$T$4:$T$503,237))=0,"",INDEX('Providers'!$T$4:$T$503,237)))=0,"","CAQH ID: "&amp;IF(LEN(INDEX('Providers'!$T$4:$T$503,237))=0,"",INDEX('Providers'!$T$4:$T$503,237))&amp;". ")&amp;IF(LEN(IF(ISNUMBER(INDEX('Providers'!$U$4:$U$503,237)),TEXT(INDEX('Providers'!$U$4:$U$503,237),"yyyy-mm-dd"),""))=0,"","Last attested: "&amp;IF(ISNUMBER(INDEX('Providers'!$U$4:$U$503,237)),TEXT(INDEX('Providers'!$U$4:$U$503,237),"yyyy-mm-dd"),"")&amp;". "))</f>
        <v/>
      </c>
      <c r="J3240">
        <f>IF(LEN(INDEX('Providers'!$AJ$4:$AJ$503,237))=0,"",INDEX('Providers'!$AJ$4:$AJ$503,237))</f>
        <v/>
      </c>
      <c r="K3240">
        <f>IF(LEN(INDEX('Providers'!$AI$4:$AI$503,237))=0,"",INDEX('Providers'!$AI$4:$AI$503,237))</f>
        <v/>
      </c>
    </row>
    <row r="3241">
      <c r="A3241">
        <f>IF(AND(LEN('Providers'!A241)&gt;0,ISNUMBER('Providers'!W241)),1,0)</f>
        <v/>
      </c>
      <c r="B3241">
        <f>B3240+A3241</f>
        <v/>
      </c>
      <c r="C3241">
        <f>IF(3238&gt;$B$4503,"",MATCH(3238-0.5,$B$3:$B$4503,1))</f>
        <v/>
      </c>
      <c r="D3241">
        <f>"CAQH re-attestation – "&amp;IF(LEN(INDEX('Providers'!$A$4:$A$503,238))=0,"",INDEX('Providers'!$A$4:$A$503,238))</f>
        <v/>
      </c>
      <c r="E3241">
        <f>IF(ISNUMBER(INDEX('Providers'!$W$4:$W$503,238)),TEXT(INDEX('Providers'!$W$4:$W$503,238),"yyyy-mm-dd"),"")</f>
        <v/>
      </c>
      <c r="F3241">
        <f>"Credentialing"</f>
        <v/>
      </c>
      <c r="G3241">
        <f>IF(ISNUMBER(INDEX('Providers'!$U$4:$U$503,238)),TEXT(INDEX('Providers'!$U$4:$U$503,238),"yyyy-mm-dd"),"")</f>
        <v/>
      </c>
      <c r="H3241">
        <f>"High"</f>
        <v/>
      </c>
      <c r="I3241">
        <f>TRIM(IF(LEN(IF(LEN(INDEX('Providers'!$T$4:$T$503,238))=0,"",INDEX('Providers'!$T$4:$T$503,238)))=0,"","CAQH ID: "&amp;IF(LEN(INDEX('Providers'!$T$4:$T$503,238))=0,"",INDEX('Providers'!$T$4:$T$503,238))&amp;". ")&amp;IF(LEN(IF(ISNUMBER(INDEX('Providers'!$U$4:$U$503,238)),TEXT(INDEX('Providers'!$U$4:$U$503,238),"yyyy-mm-dd"),""))=0,"","Last attested: "&amp;IF(ISNUMBER(INDEX('Providers'!$U$4:$U$503,238)),TEXT(INDEX('Providers'!$U$4:$U$503,238),"yyyy-mm-dd"),"")&amp;". "))</f>
        <v/>
      </c>
      <c r="J3241">
        <f>IF(LEN(INDEX('Providers'!$AJ$4:$AJ$503,238))=0,"",INDEX('Providers'!$AJ$4:$AJ$503,238))</f>
        <v/>
      </c>
      <c r="K3241">
        <f>IF(LEN(INDEX('Providers'!$AI$4:$AI$503,238))=0,"",INDEX('Providers'!$AI$4:$AI$503,238))</f>
        <v/>
      </c>
    </row>
    <row r="3242">
      <c r="A3242">
        <f>IF(AND(LEN('Providers'!A242)&gt;0,ISNUMBER('Providers'!W242)),1,0)</f>
        <v/>
      </c>
      <c r="B3242">
        <f>B3241+A3242</f>
        <v/>
      </c>
      <c r="C3242">
        <f>IF(3239&gt;$B$4503,"",MATCH(3239-0.5,$B$3:$B$4503,1))</f>
        <v/>
      </c>
      <c r="D3242">
        <f>"CAQH re-attestation – "&amp;IF(LEN(INDEX('Providers'!$A$4:$A$503,239))=0,"",INDEX('Providers'!$A$4:$A$503,239))</f>
        <v/>
      </c>
      <c r="E3242">
        <f>IF(ISNUMBER(INDEX('Providers'!$W$4:$W$503,239)),TEXT(INDEX('Providers'!$W$4:$W$503,239),"yyyy-mm-dd"),"")</f>
        <v/>
      </c>
      <c r="F3242">
        <f>"Credentialing"</f>
        <v/>
      </c>
      <c r="G3242">
        <f>IF(ISNUMBER(INDEX('Providers'!$U$4:$U$503,239)),TEXT(INDEX('Providers'!$U$4:$U$503,239),"yyyy-mm-dd"),"")</f>
        <v/>
      </c>
      <c r="H3242">
        <f>"High"</f>
        <v/>
      </c>
      <c r="I3242">
        <f>TRIM(IF(LEN(IF(LEN(INDEX('Providers'!$T$4:$T$503,239))=0,"",INDEX('Providers'!$T$4:$T$503,239)))=0,"","CAQH ID: "&amp;IF(LEN(INDEX('Providers'!$T$4:$T$503,239))=0,"",INDEX('Providers'!$T$4:$T$503,239))&amp;". ")&amp;IF(LEN(IF(ISNUMBER(INDEX('Providers'!$U$4:$U$503,239)),TEXT(INDEX('Providers'!$U$4:$U$503,239),"yyyy-mm-dd"),""))=0,"","Last attested: "&amp;IF(ISNUMBER(INDEX('Providers'!$U$4:$U$503,239)),TEXT(INDEX('Providers'!$U$4:$U$503,239),"yyyy-mm-dd"),"")&amp;". "))</f>
        <v/>
      </c>
      <c r="J3242">
        <f>IF(LEN(INDEX('Providers'!$AJ$4:$AJ$503,239))=0,"",INDEX('Providers'!$AJ$4:$AJ$503,239))</f>
        <v/>
      </c>
      <c r="K3242">
        <f>IF(LEN(INDEX('Providers'!$AI$4:$AI$503,239))=0,"",INDEX('Providers'!$AI$4:$AI$503,239))</f>
        <v/>
      </c>
    </row>
    <row r="3243">
      <c r="A3243">
        <f>IF(AND(LEN('Providers'!A243)&gt;0,ISNUMBER('Providers'!W243)),1,0)</f>
        <v/>
      </c>
      <c r="B3243">
        <f>B3242+A3243</f>
        <v/>
      </c>
      <c r="C3243">
        <f>IF(3240&gt;$B$4503,"",MATCH(3240-0.5,$B$3:$B$4503,1))</f>
        <v/>
      </c>
      <c r="D3243">
        <f>"CAQH re-attestation – "&amp;IF(LEN(INDEX('Providers'!$A$4:$A$503,240))=0,"",INDEX('Providers'!$A$4:$A$503,240))</f>
        <v/>
      </c>
      <c r="E3243">
        <f>IF(ISNUMBER(INDEX('Providers'!$W$4:$W$503,240)),TEXT(INDEX('Providers'!$W$4:$W$503,240),"yyyy-mm-dd"),"")</f>
        <v/>
      </c>
      <c r="F3243">
        <f>"Credentialing"</f>
        <v/>
      </c>
      <c r="G3243">
        <f>IF(ISNUMBER(INDEX('Providers'!$U$4:$U$503,240)),TEXT(INDEX('Providers'!$U$4:$U$503,240),"yyyy-mm-dd"),"")</f>
        <v/>
      </c>
      <c r="H3243">
        <f>"High"</f>
        <v/>
      </c>
      <c r="I3243">
        <f>TRIM(IF(LEN(IF(LEN(INDEX('Providers'!$T$4:$T$503,240))=0,"",INDEX('Providers'!$T$4:$T$503,240)))=0,"","CAQH ID: "&amp;IF(LEN(INDEX('Providers'!$T$4:$T$503,240))=0,"",INDEX('Providers'!$T$4:$T$503,240))&amp;". ")&amp;IF(LEN(IF(ISNUMBER(INDEX('Providers'!$U$4:$U$503,240)),TEXT(INDEX('Providers'!$U$4:$U$503,240),"yyyy-mm-dd"),""))=0,"","Last attested: "&amp;IF(ISNUMBER(INDEX('Providers'!$U$4:$U$503,240)),TEXT(INDEX('Providers'!$U$4:$U$503,240),"yyyy-mm-dd"),"")&amp;". "))</f>
        <v/>
      </c>
      <c r="J3243">
        <f>IF(LEN(INDEX('Providers'!$AJ$4:$AJ$503,240))=0,"",INDEX('Providers'!$AJ$4:$AJ$503,240))</f>
        <v/>
      </c>
      <c r="K3243">
        <f>IF(LEN(INDEX('Providers'!$AI$4:$AI$503,240))=0,"",INDEX('Providers'!$AI$4:$AI$503,240))</f>
        <v/>
      </c>
    </row>
    <row r="3244">
      <c r="A3244">
        <f>IF(AND(LEN('Providers'!A244)&gt;0,ISNUMBER('Providers'!W244)),1,0)</f>
        <v/>
      </c>
      <c r="B3244">
        <f>B3243+A3244</f>
        <v/>
      </c>
      <c r="C3244">
        <f>IF(3241&gt;$B$4503,"",MATCH(3241-0.5,$B$3:$B$4503,1))</f>
        <v/>
      </c>
      <c r="D3244">
        <f>"CAQH re-attestation – "&amp;IF(LEN(INDEX('Providers'!$A$4:$A$503,241))=0,"",INDEX('Providers'!$A$4:$A$503,241))</f>
        <v/>
      </c>
      <c r="E3244">
        <f>IF(ISNUMBER(INDEX('Providers'!$W$4:$W$503,241)),TEXT(INDEX('Providers'!$W$4:$W$503,241),"yyyy-mm-dd"),"")</f>
        <v/>
      </c>
      <c r="F3244">
        <f>"Credentialing"</f>
        <v/>
      </c>
      <c r="G3244">
        <f>IF(ISNUMBER(INDEX('Providers'!$U$4:$U$503,241)),TEXT(INDEX('Providers'!$U$4:$U$503,241),"yyyy-mm-dd"),"")</f>
        <v/>
      </c>
      <c r="H3244">
        <f>"High"</f>
        <v/>
      </c>
      <c r="I3244">
        <f>TRIM(IF(LEN(IF(LEN(INDEX('Providers'!$T$4:$T$503,241))=0,"",INDEX('Providers'!$T$4:$T$503,241)))=0,"","CAQH ID: "&amp;IF(LEN(INDEX('Providers'!$T$4:$T$503,241))=0,"",INDEX('Providers'!$T$4:$T$503,241))&amp;". ")&amp;IF(LEN(IF(ISNUMBER(INDEX('Providers'!$U$4:$U$503,241)),TEXT(INDEX('Providers'!$U$4:$U$503,241),"yyyy-mm-dd"),""))=0,"","Last attested: "&amp;IF(ISNUMBER(INDEX('Providers'!$U$4:$U$503,241)),TEXT(INDEX('Providers'!$U$4:$U$503,241),"yyyy-mm-dd"),"")&amp;". "))</f>
        <v/>
      </c>
      <c r="J3244">
        <f>IF(LEN(INDEX('Providers'!$AJ$4:$AJ$503,241))=0,"",INDEX('Providers'!$AJ$4:$AJ$503,241))</f>
        <v/>
      </c>
      <c r="K3244">
        <f>IF(LEN(INDEX('Providers'!$AI$4:$AI$503,241))=0,"",INDEX('Providers'!$AI$4:$AI$503,241))</f>
        <v/>
      </c>
    </row>
    <row r="3245">
      <c r="A3245">
        <f>IF(AND(LEN('Providers'!A245)&gt;0,ISNUMBER('Providers'!W245)),1,0)</f>
        <v/>
      </c>
      <c r="B3245">
        <f>B3244+A3245</f>
        <v/>
      </c>
      <c r="C3245">
        <f>IF(3242&gt;$B$4503,"",MATCH(3242-0.5,$B$3:$B$4503,1))</f>
        <v/>
      </c>
      <c r="D3245">
        <f>"CAQH re-attestation – "&amp;IF(LEN(INDEX('Providers'!$A$4:$A$503,242))=0,"",INDEX('Providers'!$A$4:$A$503,242))</f>
        <v/>
      </c>
      <c r="E3245">
        <f>IF(ISNUMBER(INDEX('Providers'!$W$4:$W$503,242)),TEXT(INDEX('Providers'!$W$4:$W$503,242),"yyyy-mm-dd"),"")</f>
        <v/>
      </c>
      <c r="F3245">
        <f>"Credentialing"</f>
        <v/>
      </c>
      <c r="G3245">
        <f>IF(ISNUMBER(INDEX('Providers'!$U$4:$U$503,242)),TEXT(INDEX('Providers'!$U$4:$U$503,242),"yyyy-mm-dd"),"")</f>
        <v/>
      </c>
      <c r="H3245">
        <f>"High"</f>
        <v/>
      </c>
      <c r="I3245">
        <f>TRIM(IF(LEN(IF(LEN(INDEX('Providers'!$T$4:$T$503,242))=0,"",INDEX('Providers'!$T$4:$T$503,242)))=0,"","CAQH ID: "&amp;IF(LEN(INDEX('Providers'!$T$4:$T$503,242))=0,"",INDEX('Providers'!$T$4:$T$503,242))&amp;". ")&amp;IF(LEN(IF(ISNUMBER(INDEX('Providers'!$U$4:$U$503,242)),TEXT(INDEX('Providers'!$U$4:$U$503,242),"yyyy-mm-dd"),""))=0,"","Last attested: "&amp;IF(ISNUMBER(INDEX('Providers'!$U$4:$U$503,242)),TEXT(INDEX('Providers'!$U$4:$U$503,242),"yyyy-mm-dd"),"")&amp;". "))</f>
        <v/>
      </c>
      <c r="J3245">
        <f>IF(LEN(INDEX('Providers'!$AJ$4:$AJ$503,242))=0,"",INDEX('Providers'!$AJ$4:$AJ$503,242))</f>
        <v/>
      </c>
      <c r="K3245">
        <f>IF(LEN(INDEX('Providers'!$AI$4:$AI$503,242))=0,"",INDEX('Providers'!$AI$4:$AI$503,242))</f>
        <v/>
      </c>
    </row>
    <row r="3246">
      <c r="A3246">
        <f>IF(AND(LEN('Providers'!A246)&gt;0,ISNUMBER('Providers'!W246)),1,0)</f>
        <v/>
      </c>
      <c r="B3246">
        <f>B3245+A3246</f>
        <v/>
      </c>
      <c r="C3246">
        <f>IF(3243&gt;$B$4503,"",MATCH(3243-0.5,$B$3:$B$4503,1))</f>
        <v/>
      </c>
      <c r="D3246">
        <f>"CAQH re-attestation – "&amp;IF(LEN(INDEX('Providers'!$A$4:$A$503,243))=0,"",INDEX('Providers'!$A$4:$A$503,243))</f>
        <v/>
      </c>
      <c r="E3246">
        <f>IF(ISNUMBER(INDEX('Providers'!$W$4:$W$503,243)),TEXT(INDEX('Providers'!$W$4:$W$503,243),"yyyy-mm-dd"),"")</f>
        <v/>
      </c>
      <c r="F3246">
        <f>"Credentialing"</f>
        <v/>
      </c>
      <c r="G3246">
        <f>IF(ISNUMBER(INDEX('Providers'!$U$4:$U$503,243)),TEXT(INDEX('Providers'!$U$4:$U$503,243),"yyyy-mm-dd"),"")</f>
        <v/>
      </c>
      <c r="H3246">
        <f>"High"</f>
        <v/>
      </c>
      <c r="I3246">
        <f>TRIM(IF(LEN(IF(LEN(INDEX('Providers'!$T$4:$T$503,243))=0,"",INDEX('Providers'!$T$4:$T$503,243)))=0,"","CAQH ID: "&amp;IF(LEN(INDEX('Providers'!$T$4:$T$503,243))=0,"",INDEX('Providers'!$T$4:$T$503,243))&amp;". ")&amp;IF(LEN(IF(ISNUMBER(INDEX('Providers'!$U$4:$U$503,243)),TEXT(INDEX('Providers'!$U$4:$U$503,243),"yyyy-mm-dd"),""))=0,"","Last attested: "&amp;IF(ISNUMBER(INDEX('Providers'!$U$4:$U$503,243)),TEXT(INDEX('Providers'!$U$4:$U$503,243),"yyyy-mm-dd"),"")&amp;". "))</f>
        <v/>
      </c>
      <c r="J3246">
        <f>IF(LEN(INDEX('Providers'!$AJ$4:$AJ$503,243))=0,"",INDEX('Providers'!$AJ$4:$AJ$503,243))</f>
        <v/>
      </c>
      <c r="K3246">
        <f>IF(LEN(INDEX('Providers'!$AI$4:$AI$503,243))=0,"",INDEX('Providers'!$AI$4:$AI$503,243))</f>
        <v/>
      </c>
    </row>
    <row r="3247">
      <c r="A3247">
        <f>IF(AND(LEN('Providers'!A247)&gt;0,ISNUMBER('Providers'!W247)),1,0)</f>
        <v/>
      </c>
      <c r="B3247">
        <f>B3246+A3247</f>
        <v/>
      </c>
      <c r="C3247">
        <f>IF(3244&gt;$B$4503,"",MATCH(3244-0.5,$B$3:$B$4503,1))</f>
        <v/>
      </c>
      <c r="D3247">
        <f>"CAQH re-attestation – "&amp;IF(LEN(INDEX('Providers'!$A$4:$A$503,244))=0,"",INDEX('Providers'!$A$4:$A$503,244))</f>
        <v/>
      </c>
      <c r="E3247">
        <f>IF(ISNUMBER(INDEX('Providers'!$W$4:$W$503,244)),TEXT(INDEX('Providers'!$W$4:$W$503,244),"yyyy-mm-dd"),"")</f>
        <v/>
      </c>
      <c r="F3247">
        <f>"Credentialing"</f>
        <v/>
      </c>
      <c r="G3247">
        <f>IF(ISNUMBER(INDEX('Providers'!$U$4:$U$503,244)),TEXT(INDEX('Providers'!$U$4:$U$503,244),"yyyy-mm-dd"),"")</f>
        <v/>
      </c>
      <c r="H3247">
        <f>"High"</f>
        <v/>
      </c>
      <c r="I3247">
        <f>TRIM(IF(LEN(IF(LEN(INDEX('Providers'!$T$4:$T$503,244))=0,"",INDEX('Providers'!$T$4:$T$503,244)))=0,"","CAQH ID: "&amp;IF(LEN(INDEX('Providers'!$T$4:$T$503,244))=0,"",INDEX('Providers'!$T$4:$T$503,244))&amp;". ")&amp;IF(LEN(IF(ISNUMBER(INDEX('Providers'!$U$4:$U$503,244)),TEXT(INDEX('Providers'!$U$4:$U$503,244),"yyyy-mm-dd"),""))=0,"","Last attested: "&amp;IF(ISNUMBER(INDEX('Providers'!$U$4:$U$503,244)),TEXT(INDEX('Providers'!$U$4:$U$503,244),"yyyy-mm-dd"),"")&amp;". "))</f>
        <v/>
      </c>
      <c r="J3247">
        <f>IF(LEN(INDEX('Providers'!$AJ$4:$AJ$503,244))=0,"",INDEX('Providers'!$AJ$4:$AJ$503,244))</f>
        <v/>
      </c>
      <c r="K3247">
        <f>IF(LEN(INDEX('Providers'!$AI$4:$AI$503,244))=0,"",INDEX('Providers'!$AI$4:$AI$503,244))</f>
        <v/>
      </c>
    </row>
    <row r="3248">
      <c r="A3248">
        <f>IF(AND(LEN('Providers'!A248)&gt;0,ISNUMBER('Providers'!W248)),1,0)</f>
        <v/>
      </c>
      <c r="B3248">
        <f>B3247+A3248</f>
        <v/>
      </c>
      <c r="C3248">
        <f>IF(3245&gt;$B$4503,"",MATCH(3245-0.5,$B$3:$B$4503,1))</f>
        <v/>
      </c>
      <c r="D3248">
        <f>"CAQH re-attestation – "&amp;IF(LEN(INDEX('Providers'!$A$4:$A$503,245))=0,"",INDEX('Providers'!$A$4:$A$503,245))</f>
        <v/>
      </c>
      <c r="E3248">
        <f>IF(ISNUMBER(INDEX('Providers'!$W$4:$W$503,245)),TEXT(INDEX('Providers'!$W$4:$W$503,245),"yyyy-mm-dd"),"")</f>
        <v/>
      </c>
      <c r="F3248">
        <f>"Credentialing"</f>
        <v/>
      </c>
      <c r="G3248">
        <f>IF(ISNUMBER(INDEX('Providers'!$U$4:$U$503,245)),TEXT(INDEX('Providers'!$U$4:$U$503,245),"yyyy-mm-dd"),"")</f>
        <v/>
      </c>
      <c r="H3248">
        <f>"High"</f>
        <v/>
      </c>
      <c r="I3248">
        <f>TRIM(IF(LEN(IF(LEN(INDEX('Providers'!$T$4:$T$503,245))=0,"",INDEX('Providers'!$T$4:$T$503,245)))=0,"","CAQH ID: "&amp;IF(LEN(INDEX('Providers'!$T$4:$T$503,245))=0,"",INDEX('Providers'!$T$4:$T$503,245))&amp;". ")&amp;IF(LEN(IF(ISNUMBER(INDEX('Providers'!$U$4:$U$503,245)),TEXT(INDEX('Providers'!$U$4:$U$503,245),"yyyy-mm-dd"),""))=0,"","Last attested: "&amp;IF(ISNUMBER(INDEX('Providers'!$U$4:$U$503,245)),TEXT(INDEX('Providers'!$U$4:$U$503,245),"yyyy-mm-dd"),"")&amp;". "))</f>
        <v/>
      </c>
      <c r="J3248">
        <f>IF(LEN(INDEX('Providers'!$AJ$4:$AJ$503,245))=0,"",INDEX('Providers'!$AJ$4:$AJ$503,245))</f>
        <v/>
      </c>
      <c r="K3248">
        <f>IF(LEN(INDEX('Providers'!$AI$4:$AI$503,245))=0,"",INDEX('Providers'!$AI$4:$AI$503,245))</f>
        <v/>
      </c>
    </row>
    <row r="3249">
      <c r="A3249">
        <f>IF(AND(LEN('Providers'!A249)&gt;0,ISNUMBER('Providers'!W249)),1,0)</f>
        <v/>
      </c>
      <c r="B3249">
        <f>B3248+A3249</f>
        <v/>
      </c>
      <c r="C3249">
        <f>IF(3246&gt;$B$4503,"",MATCH(3246-0.5,$B$3:$B$4503,1))</f>
        <v/>
      </c>
      <c r="D3249">
        <f>"CAQH re-attestation – "&amp;IF(LEN(INDEX('Providers'!$A$4:$A$503,246))=0,"",INDEX('Providers'!$A$4:$A$503,246))</f>
        <v/>
      </c>
      <c r="E3249">
        <f>IF(ISNUMBER(INDEX('Providers'!$W$4:$W$503,246)),TEXT(INDEX('Providers'!$W$4:$W$503,246),"yyyy-mm-dd"),"")</f>
        <v/>
      </c>
      <c r="F3249">
        <f>"Credentialing"</f>
        <v/>
      </c>
      <c r="G3249">
        <f>IF(ISNUMBER(INDEX('Providers'!$U$4:$U$503,246)),TEXT(INDEX('Providers'!$U$4:$U$503,246),"yyyy-mm-dd"),"")</f>
        <v/>
      </c>
      <c r="H3249">
        <f>"High"</f>
        <v/>
      </c>
      <c r="I3249">
        <f>TRIM(IF(LEN(IF(LEN(INDEX('Providers'!$T$4:$T$503,246))=0,"",INDEX('Providers'!$T$4:$T$503,246)))=0,"","CAQH ID: "&amp;IF(LEN(INDEX('Providers'!$T$4:$T$503,246))=0,"",INDEX('Providers'!$T$4:$T$503,246))&amp;". ")&amp;IF(LEN(IF(ISNUMBER(INDEX('Providers'!$U$4:$U$503,246)),TEXT(INDEX('Providers'!$U$4:$U$503,246),"yyyy-mm-dd"),""))=0,"","Last attested: "&amp;IF(ISNUMBER(INDEX('Providers'!$U$4:$U$503,246)),TEXT(INDEX('Providers'!$U$4:$U$503,246),"yyyy-mm-dd"),"")&amp;". "))</f>
        <v/>
      </c>
      <c r="J3249">
        <f>IF(LEN(INDEX('Providers'!$AJ$4:$AJ$503,246))=0,"",INDEX('Providers'!$AJ$4:$AJ$503,246))</f>
        <v/>
      </c>
      <c r="K3249">
        <f>IF(LEN(INDEX('Providers'!$AI$4:$AI$503,246))=0,"",INDEX('Providers'!$AI$4:$AI$503,246))</f>
        <v/>
      </c>
    </row>
    <row r="3250">
      <c r="A3250">
        <f>IF(AND(LEN('Providers'!A250)&gt;0,ISNUMBER('Providers'!W250)),1,0)</f>
        <v/>
      </c>
      <c r="B3250">
        <f>B3249+A3250</f>
        <v/>
      </c>
      <c r="C3250">
        <f>IF(3247&gt;$B$4503,"",MATCH(3247-0.5,$B$3:$B$4503,1))</f>
        <v/>
      </c>
      <c r="D3250">
        <f>"CAQH re-attestation – "&amp;IF(LEN(INDEX('Providers'!$A$4:$A$503,247))=0,"",INDEX('Providers'!$A$4:$A$503,247))</f>
        <v/>
      </c>
      <c r="E3250">
        <f>IF(ISNUMBER(INDEX('Providers'!$W$4:$W$503,247)),TEXT(INDEX('Providers'!$W$4:$W$503,247),"yyyy-mm-dd"),"")</f>
        <v/>
      </c>
      <c r="F3250">
        <f>"Credentialing"</f>
        <v/>
      </c>
      <c r="G3250">
        <f>IF(ISNUMBER(INDEX('Providers'!$U$4:$U$503,247)),TEXT(INDEX('Providers'!$U$4:$U$503,247),"yyyy-mm-dd"),"")</f>
        <v/>
      </c>
      <c r="H3250">
        <f>"High"</f>
        <v/>
      </c>
      <c r="I3250">
        <f>TRIM(IF(LEN(IF(LEN(INDEX('Providers'!$T$4:$T$503,247))=0,"",INDEX('Providers'!$T$4:$T$503,247)))=0,"","CAQH ID: "&amp;IF(LEN(INDEX('Providers'!$T$4:$T$503,247))=0,"",INDEX('Providers'!$T$4:$T$503,247))&amp;". ")&amp;IF(LEN(IF(ISNUMBER(INDEX('Providers'!$U$4:$U$503,247)),TEXT(INDEX('Providers'!$U$4:$U$503,247),"yyyy-mm-dd"),""))=0,"","Last attested: "&amp;IF(ISNUMBER(INDEX('Providers'!$U$4:$U$503,247)),TEXT(INDEX('Providers'!$U$4:$U$503,247),"yyyy-mm-dd"),"")&amp;". "))</f>
        <v/>
      </c>
      <c r="J3250">
        <f>IF(LEN(INDEX('Providers'!$AJ$4:$AJ$503,247))=0,"",INDEX('Providers'!$AJ$4:$AJ$503,247))</f>
        <v/>
      </c>
      <c r="K3250">
        <f>IF(LEN(INDEX('Providers'!$AI$4:$AI$503,247))=0,"",INDEX('Providers'!$AI$4:$AI$503,247))</f>
        <v/>
      </c>
    </row>
    <row r="3251">
      <c r="A3251">
        <f>IF(AND(LEN('Providers'!A251)&gt;0,ISNUMBER('Providers'!W251)),1,0)</f>
        <v/>
      </c>
      <c r="B3251">
        <f>B3250+A3251</f>
        <v/>
      </c>
      <c r="C3251">
        <f>IF(3248&gt;$B$4503,"",MATCH(3248-0.5,$B$3:$B$4503,1))</f>
        <v/>
      </c>
      <c r="D3251">
        <f>"CAQH re-attestation – "&amp;IF(LEN(INDEX('Providers'!$A$4:$A$503,248))=0,"",INDEX('Providers'!$A$4:$A$503,248))</f>
        <v/>
      </c>
      <c r="E3251">
        <f>IF(ISNUMBER(INDEX('Providers'!$W$4:$W$503,248)),TEXT(INDEX('Providers'!$W$4:$W$503,248),"yyyy-mm-dd"),"")</f>
        <v/>
      </c>
      <c r="F3251">
        <f>"Credentialing"</f>
        <v/>
      </c>
      <c r="G3251">
        <f>IF(ISNUMBER(INDEX('Providers'!$U$4:$U$503,248)),TEXT(INDEX('Providers'!$U$4:$U$503,248),"yyyy-mm-dd"),"")</f>
        <v/>
      </c>
      <c r="H3251">
        <f>"High"</f>
        <v/>
      </c>
      <c r="I3251">
        <f>TRIM(IF(LEN(IF(LEN(INDEX('Providers'!$T$4:$T$503,248))=0,"",INDEX('Providers'!$T$4:$T$503,248)))=0,"","CAQH ID: "&amp;IF(LEN(INDEX('Providers'!$T$4:$T$503,248))=0,"",INDEX('Providers'!$T$4:$T$503,248))&amp;". ")&amp;IF(LEN(IF(ISNUMBER(INDEX('Providers'!$U$4:$U$503,248)),TEXT(INDEX('Providers'!$U$4:$U$503,248),"yyyy-mm-dd"),""))=0,"","Last attested: "&amp;IF(ISNUMBER(INDEX('Providers'!$U$4:$U$503,248)),TEXT(INDEX('Providers'!$U$4:$U$503,248),"yyyy-mm-dd"),"")&amp;". "))</f>
        <v/>
      </c>
      <c r="J3251">
        <f>IF(LEN(INDEX('Providers'!$AJ$4:$AJ$503,248))=0,"",INDEX('Providers'!$AJ$4:$AJ$503,248))</f>
        <v/>
      </c>
      <c r="K3251">
        <f>IF(LEN(INDEX('Providers'!$AI$4:$AI$503,248))=0,"",INDEX('Providers'!$AI$4:$AI$503,248))</f>
        <v/>
      </c>
    </row>
    <row r="3252">
      <c r="A3252">
        <f>IF(AND(LEN('Providers'!A252)&gt;0,ISNUMBER('Providers'!W252)),1,0)</f>
        <v/>
      </c>
      <c r="B3252">
        <f>B3251+A3252</f>
        <v/>
      </c>
      <c r="C3252">
        <f>IF(3249&gt;$B$4503,"",MATCH(3249-0.5,$B$3:$B$4503,1))</f>
        <v/>
      </c>
      <c r="D3252">
        <f>"CAQH re-attestation – "&amp;IF(LEN(INDEX('Providers'!$A$4:$A$503,249))=0,"",INDEX('Providers'!$A$4:$A$503,249))</f>
        <v/>
      </c>
      <c r="E3252">
        <f>IF(ISNUMBER(INDEX('Providers'!$W$4:$W$503,249)),TEXT(INDEX('Providers'!$W$4:$W$503,249),"yyyy-mm-dd"),"")</f>
        <v/>
      </c>
      <c r="F3252">
        <f>"Credentialing"</f>
        <v/>
      </c>
      <c r="G3252">
        <f>IF(ISNUMBER(INDEX('Providers'!$U$4:$U$503,249)),TEXT(INDEX('Providers'!$U$4:$U$503,249),"yyyy-mm-dd"),"")</f>
        <v/>
      </c>
      <c r="H3252">
        <f>"High"</f>
        <v/>
      </c>
      <c r="I3252">
        <f>TRIM(IF(LEN(IF(LEN(INDEX('Providers'!$T$4:$T$503,249))=0,"",INDEX('Providers'!$T$4:$T$503,249)))=0,"","CAQH ID: "&amp;IF(LEN(INDEX('Providers'!$T$4:$T$503,249))=0,"",INDEX('Providers'!$T$4:$T$503,249))&amp;". ")&amp;IF(LEN(IF(ISNUMBER(INDEX('Providers'!$U$4:$U$503,249)),TEXT(INDEX('Providers'!$U$4:$U$503,249),"yyyy-mm-dd"),""))=0,"","Last attested: "&amp;IF(ISNUMBER(INDEX('Providers'!$U$4:$U$503,249)),TEXT(INDEX('Providers'!$U$4:$U$503,249),"yyyy-mm-dd"),"")&amp;". "))</f>
        <v/>
      </c>
      <c r="J3252">
        <f>IF(LEN(INDEX('Providers'!$AJ$4:$AJ$503,249))=0,"",INDEX('Providers'!$AJ$4:$AJ$503,249))</f>
        <v/>
      </c>
      <c r="K3252">
        <f>IF(LEN(INDEX('Providers'!$AI$4:$AI$503,249))=0,"",INDEX('Providers'!$AI$4:$AI$503,249))</f>
        <v/>
      </c>
    </row>
    <row r="3253">
      <c r="A3253">
        <f>IF(AND(LEN('Providers'!A253)&gt;0,ISNUMBER('Providers'!W253)),1,0)</f>
        <v/>
      </c>
      <c r="B3253">
        <f>B3252+A3253</f>
        <v/>
      </c>
      <c r="C3253">
        <f>IF(3250&gt;$B$4503,"",MATCH(3250-0.5,$B$3:$B$4503,1))</f>
        <v/>
      </c>
      <c r="D3253">
        <f>"CAQH re-attestation – "&amp;IF(LEN(INDEX('Providers'!$A$4:$A$503,250))=0,"",INDEX('Providers'!$A$4:$A$503,250))</f>
        <v/>
      </c>
      <c r="E3253">
        <f>IF(ISNUMBER(INDEX('Providers'!$W$4:$W$503,250)),TEXT(INDEX('Providers'!$W$4:$W$503,250),"yyyy-mm-dd"),"")</f>
        <v/>
      </c>
      <c r="F3253">
        <f>"Credentialing"</f>
        <v/>
      </c>
      <c r="G3253">
        <f>IF(ISNUMBER(INDEX('Providers'!$U$4:$U$503,250)),TEXT(INDEX('Providers'!$U$4:$U$503,250),"yyyy-mm-dd"),"")</f>
        <v/>
      </c>
      <c r="H3253">
        <f>"High"</f>
        <v/>
      </c>
      <c r="I3253">
        <f>TRIM(IF(LEN(IF(LEN(INDEX('Providers'!$T$4:$T$503,250))=0,"",INDEX('Providers'!$T$4:$T$503,250)))=0,"","CAQH ID: "&amp;IF(LEN(INDEX('Providers'!$T$4:$T$503,250))=0,"",INDEX('Providers'!$T$4:$T$503,250))&amp;". ")&amp;IF(LEN(IF(ISNUMBER(INDEX('Providers'!$U$4:$U$503,250)),TEXT(INDEX('Providers'!$U$4:$U$503,250),"yyyy-mm-dd"),""))=0,"","Last attested: "&amp;IF(ISNUMBER(INDEX('Providers'!$U$4:$U$503,250)),TEXT(INDEX('Providers'!$U$4:$U$503,250),"yyyy-mm-dd"),"")&amp;". "))</f>
        <v/>
      </c>
      <c r="J3253">
        <f>IF(LEN(INDEX('Providers'!$AJ$4:$AJ$503,250))=0,"",INDEX('Providers'!$AJ$4:$AJ$503,250))</f>
        <v/>
      </c>
      <c r="K3253">
        <f>IF(LEN(INDEX('Providers'!$AI$4:$AI$503,250))=0,"",INDEX('Providers'!$AI$4:$AI$503,250))</f>
        <v/>
      </c>
    </row>
    <row r="3254">
      <c r="A3254">
        <f>IF(AND(LEN('Providers'!A254)&gt;0,ISNUMBER('Providers'!W254)),1,0)</f>
        <v/>
      </c>
      <c r="B3254">
        <f>B3253+A3254</f>
        <v/>
      </c>
      <c r="C3254">
        <f>IF(3251&gt;$B$4503,"",MATCH(3251-0.5,$B$3:$B$4503,1))</f>
        <v/>
      </c>
      <c r="D3254">
        <f>"CAQH re-attestation – "&amp;IF(LEN(INDEX('Providers'!$A$4:$A$503,251))=0,"",INDEX('Providers'!$A$4:$A$503,251))</f>
        <v/>
      </c>
      <c r="E3254">
        <f>IF(ISNUMBER(INDEX('Providers'!$W$4:$W$503,251)),TEXT(INDEX('Providers'!$W$4:$W$503,251),"yyyy-mm-dd"),"")</f>
        <v/>
      </c>
      <c r="F3254">
        <f>"Credentialing"</f>
        <v/>
      </c>
      <c r="G3254">
        <f>IF(ISNUMBER(INDEX('Providers'!$U$4:$U$503,251)),TEXT(INDEX('Providers'!$U$4:$U$503,251),"yyyy-mm-dd"),"")</f>
        <v/>
      </c>
      <c r="H3254">
        <f>"High"</f>
        <v/>
      </c>
      <c r="I3254">
        <f>TRIM(IF(LEN(IF(LEN(INDEX('Providers'!$T$4:$T$503,251))=0,"",INDEX('Providers'!$T$4:$T$503,251)))=0,"","CAQH ID: "&amp;IF(LEN(INDEX('Providers'!$T$4:$T$503,251))=0,"",INDEX('Providers'!$T$4:$T$503,251))&amp;". ")&amp;IF(LEN(IF(ISNUMBER(INDEX('Providers'!$U$4:$U$503,251)),TEXT(INDEX('Providers'!$U$4:$U$503,251),"yyyy-mm-dd"),""))=0,"","Last attested: "&amp;IF(ISNUMBER(INDEX('Providers'!$U$4:$U$503,251)),TEXT(INDEX('Providers'!$U$4:$U$503,251),"yyyy-mm-dd"),"")&amp;". "))</f>
        <v/>
      </c>
      <c r="J3254">
        <f>IF(LEN(INDEX('Providers'!$AJ$4:$AJ$503,251))=0,"",INDEX('Providers'!$AJ$4:$AJ$503,251))</f>
        <v/>
      </c>
      <c r="K3254">
        <f>IF(LEN(INDEX('Providers'!$AI$4:$AI$503,251))=0,"",INDEX('Providers'!$AI$4:$AI$503,251))</f>
        <v/>
      </c>
    </row>
    <row r="3255">
      <c r="A3255">
        <f>IF(AND(LEN('Providers'!A255)&gt;0,ISNUMBER('Providers'!W255)),1,0)</f>
        <v/>
      </c>
      <c r="B3255">
        <f>B3254+A3255</f>
        <v/>
      </c>
      <c r="C3255">
        <f>IF(3252&gt;$B$4503,"",MATCH(3252-0.5,$B$3:$B$4503,1))</f>
        <v/>
      </c>
      <c r="D3255">
        <f>"CAQH re-attestation – "&amp;IF(LEN(INDEX('Providers'!$A$4:$A$503,252))=0,"",INDEX('Providers'!$A$4:$A$503,252))</f>
        <v/>
      </c>
      <c r="E3255">
        <f>IF(ISNUMBER(INDEX('Providers'!$W$4:$W$503,252)),TEXT(INDEX('Providers'!$W$4:$W$503,252),"yyyy-mm-dd"),"")</f>
        <v/>
      </c>
      <c r="F3255">
        <f>"Credentialing"</f>
        <v/>
      </c>
      <c r="G3255">
        <f>IF(ISNUMBER(INDEX('Providers'!$U$4:$U$503,252)),TEXT(INDEX('Providers'!$U$4:$U$503,252),"yyyy-mm-dd"),"")</f>
        <v/>
      </c>
      <c r="H3255">
        <f>"High"</f>
        <v/>
      </c>
      <c r="I3255">
        <f>TRIM(IF(LEN(IF(LEN(INDEX('Providers'!$T$4:$T$503,252))=0,"",INDEX('Providers'!$T$4:$T$503,252)))=0,"","CAQH ID: "&amp;IF(LEN(INDEX('Providers'!$T$4:$T$503,252))=0,"",INDEX('Providers'!$T$4:$T$503,252))&amp;". ")&amp;IF(LEN(IF(ISNUMBER(INDEX('Providers'!$U$4:$U$503,252)),TEXT(INDEX('Providers'!$U$4:$U$503,252),"yyyy-mm-dd"),""))=0,"","Last attested: "&amp;IF(ISNUMBER(INDEX('Providers'!$U$4:$U$503,252)),TEXT(INDEX('Providers'!$U$4:$U$503,252),"yyyy-mm-dd"),"")&amp;". "))</f>
        <v/>
      </c>
      <c r="J3255">
        <f>IF(LEN(INDEX('Providers'!$AJ$4:$AJ$503,252))=0,"",INDEX('Providers'!$AJ$4:$AJ$503,252))</f>
        <v/>
      </c>
      <c r="K3255">
        <f>IF(LEN(INDEX('Providers'!$AI$4:$AI$503,252))=0,"",INDEX('Providers'!$AI$4:$AI$503,252))</f>
        <v/>
      </c>
    </row>
    <row r="3256">
      <c r="A3256">
        <f>IF(AND(LEN('Providers'!A256)&gt;0,ISNUMBER('Providers'!W256)),1,0)</f>
        <v/>
      </c>
      <c r="B3256">
        <f>B3255+A3256</f>
        <v/>
      </c>
      <c r="C3256">
        <f>IF(3253&gt;$B$4503,"",MATCH(3253-0.5,$B$3:$B$4503,1))</f>
        <v/>
      </c>
      <c r="D3256">
        <f>"CAQH re-attestation – "&amp;IF(LEN(INDEX('Providers'!$A$4:$A$503,253))=0,"",INDEX('Providers'!$A$4:$A$503,253))</f>
        <v/>
      </c>
      <c r="E3256">
        <f>IF(ISNUMBER(INDEX('Providers'!$W$4:$W$503,253)),TEXT(INDEX('Providers'!$W$4:$W$503,253),"yyyy-mm-dd"),"")</f>
        <v/>
      </c>
      <c r="F3256">
        <f>"Credentialing"</f>
        <v/>
      </c>
      <c r="G3256">
        <f>IF(ISNUMBER(INDEX('Providers'!$U$4:$U$503,253)),TEXT(INDEX('Providers'!$U$4:$U$503,253),"yyyy-mm-dd"),"")</f>
        <v/>
      </c>
      <c r="H3256">
        <f>"High"</f>
        <v/>
      </c>
      <c r="I3256">
        <f>TRIM(IF(LEN(IF(LEN(INDEX('Providers'!$T$4:$T$503,253))=0,"",INDEX('Providers'!$T$4:$T$503,253)))=0,"","CAQH ID: "&amp;IF(LEN(INDEX('Providers'!$T$4:$T$503,253))=0,"",INDEX('Providers'!$T$4:$T$503,253))&amp;". ")&amp;IF(LEN(IF(ISNUMBER(INDEX('Providers'!$U$4:$U$503,253)),TEXT(INDEX('Providers'!$U$4:$U$503,253),"yyyy-mm-dd"),""))=0,"","Last attested: "&amp;IF(ISNUMBER(INDEX('Providers'!$U$4:$U$503,253)),TEXT(INDEX('Providers'!$U$4:$U$503,253),"yyyy-mm-dd"),"")&amp;". "))</f>
        <v/>
      </c>
      <c r="J3256">
        <f>IF(LEN(INDEX('Providers'!$AJ$4:$AJ$503,253))=0,"",INDEX('Providers'!$AJ$4:$AJ$503,253))</f>
        <v/>
      </c>
      <c r="K3256">
        <f>IF(LEN(INDEX('Providers'!$AI$4:$AI$503,253))=0,"",INDEX('Providers'!$AI$4:$AI$503,253))</f>
        <v/>
      </c>
    </row>
    <row r="3257">
      <c r="A3257">
        <f>IF(AND(LEN('Providers'!A257)&gt;0,ISNUMBER('Providers'!W257)),1,0)</f>
        <v/>
      </c>
      <c r="B3257">
        <f>B3256+A3257</f>
        <v/>
      </c>
      <c r="C3257">
        <f>IF(3254&gt;$B$4503,"",MATCH(3254-0.5,$B$3:$B$4503,1))</f>
        <v/>
      </c>
      <c r="D3257">
        <f>"CAQH re-attestation – "&amp;IF(LEN(INDEX('Providers'!$A$4:$A$503,254))=0,"",INDEX('Providers'!$A$4:$A$503,254))</f>
        <v/>
      </c>
      <c r="E3257">
        <f>IF(ISNUMBER(INDEX('Providers'!$W$4:$W$503,254)),TEXT(INDEX('Providers'!$W$4:$W$503,254),"yyyy-mm-dd"),"")</f>
        <v/>
      </c>
      <c r="F3257">
        <f>"Credentialing"</f>
        <v/>
      </c>
      <c r="G3257">
        <f>IF(ISNUMBER(INDEX('Providers'!$U$4:$U$503,254)),TEXT(INDEX('Providers'!$U$4:$U$503,254),"yyyy-mm-dd"),"")</f>
        <v/>
      </c>
      <c r="H3257">
        <f>"High"</f>
        <v/>
      </c>
      <c r="I3257">
        <f>TRIM(IF(LEN(IF(LEN(INDEX('Providers'!$T$4:$T$503,254))=0,"",INDEX('Providers'!$T$4:$T$503,254)))=0,"","CAQH ID: "&amp;IF(LEN(INDEX('Providers'!$T$4:$T$503,254))=0,"",INDEX('Providers'!$T$4:$T$503,254))&amp;". ")&amp;IF(LEN(IF(ISNUMBER(INDEX('Providers'!$U$4:$U$503,254)),TEXT(INDEX('Providers'!$U$4:$U$503,254),"yyyy-mm-dd"),""))=0,"","Last attested: "&amp;IF(ISNUMBER(INDEX('Providers'!$U$4:$U$503,254)),TEXT(INDEX('Providers'!$U$4:$U$503,254),"yyyy-mm-dd"),"")&amp;". "))</f>
        <v/>
      </c>
      <c r="J3257">
        <f>IF(LEN(INDEX('Providers'!$AJ$4:$AJ$503,254))=0,"",INDEX('Providers'!$AJ$4:$AJ$503,254))</f>
        <v/>
      </c>
      <c r="K3257">
        <f>IF(LEN(INDEX('Providers'!$AI$4:$AI$503,254))=0,"",INDEX('Providers'!$AI$4:$AI$503,254))</f>
        <v/>
      </c>
    </row>
    <row r="3258">
      <c r="A3258">
        <f>IF(AND(LEN('Providers'!A258)&gt;0,ISNUMBER('Providers'!W258)),1,0)</f>
        <v/>
      </c>
      <c r="B3258">
        <f>B3257+A3258</f>
        <v/>
      </c>
      <c r="C3258">
        <f>IF(3255&gt;$B$4503,"",MATCH(3255-0.5,$B$3:$B$4503,1))</f>
        <v/>
      </c>
      <c r="D3258">
        <f>"CAQH re-attestation – "&amp;IF(LEN(INDEX('Providers'!$A$4:$A$503,255))=0,"",INDEX('Providers'!$A$4:$A$503,255))</f>
        <v/>
      </c>
      <c r="E3258">
        <f>IF(ISNUMBER(INDEX('Providers'!$W$4:$W$503,255)),TEXT(INDEX('Providers'!$W$4:$W$503,255),"yyyy-mm-dd"),"")</f>
        <v/>
      </c>
      <c r="F3258">
        <f>"Credentialing"</f>
        <v/>
      </c>
      <c r="G3258">
        <f>IF(ISNUMBER(INDEX('Providers'!$U$4:$U$503,255)),TEXT(INDEX('Providers'!$U$4:$U$503,255),"yyyy-mm-dd"),"")</f>
        <v/>
      </c>
      <c r="H3258">
        <f>"High"</f>
        <v/>
      </c>
      <c r="I3258">
        <f>TRIM(IF(LEN(IF(LEN(INDEX('Providers'!$T$4:$T$503,255))=0,"",INDEX('Providers'!$T$4:$T$503,255)))=0,"","CAQH ID: "&amp;IF(LEN(INDEX('Providers'!$T$4:$T$503,255))=0,"",INDEX('Providers'!$T$4:$T$503,255))&amp;". ")&amp;IF(LEN(IF(ISNUMBER(INDEX('Providers'!$U$4:$U$503,255)),TEXT(INDEX('Providers'!$U$4:$U$503,255),"yyyy-mm-dd"),""))=0,"","Last attested: "&amp;IF(ISNUMBER(INDEX('Providers'!$U$4:$U$503,255)),TEXT(INDEX('Providers'!$U$4:$U$503,255),"yyyy-mm-dd"),"")&amp;". "))</f>
        <v/>
      </c>
      <c r="J3258">
        <f>IF(LEN(INDEX('Providers'!$AJ$4:$AJ$503,255))=0,"",INDEX('Providers'!$AJ$4:$AJ$503,255))</f>
        <v/>
      </c>
      <c r="K3258">
        <f>IF(LEN(INDEX('Providers'!$AI$4:$AI$503,255))=0,"",INDEX('Providers'!$AI$4:$AI$503,255))</f>
        <v/>
      </c>
    </row>
    <row r="3259">
      <c r="A3259">
        <f>IF(AND(LEN('Providers'!A259)&gt;0,ISNUMBER('Providers'!W259)),1,0)</f>
        <v/>
      </c>
      <c r="B3259">
        <f>B3258+A3259</f>
        <v/>
      </c>
      <c r="C3259">
        <f>IF(3256&gt;$B$4503,"",MATCH(3256-0.5,$B$3:$B$4503,1))</f>
        <v/>
      </c>
      <c r="D3259">
        <f>"CAQH re-attestation – "&amp;IF(LEN(INDEX('Providers'!$A$4:$A$503,256))=0,"",INDEX('Providers'!$A$4:$A$503,256))</f>
        <v/>
      </c>
      <c r="E3259">
        <f>IF(ISNUMBER(INDEX('Providers'!$W$4:$W$503,256)),TEXT(INDEX('Providers'!$W$4:$W$503,256),"yyyy-mm-dd"),"")</f>
        <v/>
      </c>
      <c r="F3259">
        <f>"Credentialing"</f>
        <v/>
      </c>
      <c r="G3259">
        <f>IF(ISNUMBER(INDEX('Providers'!$U$4:$U$503,256)),TEXT(INDEX('Providers'!$U$4:$U$503,256),"yyyy-mm-dd"),"")</f>
        <v/>
      </c>
      <c r="H3259">
        <f>"High"</f>
        <v/>
      </c>
      <c r="I3259">
        <f>TRIM(IF(LEN(IF(LEN(INDEX('Providers'!$T$4:$T$503,256))=0,"",INDEX('Providers'!$T$4:$T$503,256)))=0,"","CAQH ID: "&amp;IF(LEN(INDEX('Providers'!$T$4:$T$503,256))=0,"",INDEX('Providers'!$T$4:$T$503,256))&amp;". ")&amp;IF(LEN(IF(ISNUMBER(INDEX('Providers'!$U$4:$U$503,256)),TEXT(INDEX('Providers'!$U$4:$U$503,256),"yyyy-mm-dd"),""))=0,"","Last attested: "&amp;IF(ISNUMBER(INDEX('Providers'!$U$4:$U$503,256)),TEXT(INDEX('Providers'!$U$4:$U$503,256),"yyyy-mm-dd"),"")&amp;". "))</f>
        <v/>
      </c>
      <c r="J3259">
        <f>IF(LEN(INDEX('Providers'!$AJ$4:$AJ$503,256))=0,"",INDEX('Providers'!$AJ$4:$AJ$503,256))</f>
        <v/>
      </c>
      <c r="K3259">
        <f>IF(LEN(INDEX('Providers'!$AI$4:$AI$503,256))=0,"",INDEX('Providers'!$AI$4:$AI$503,256))</f>
        <v/>
      </c>
    </row>
    <row r="3260">
      <c r="A3260">
        <f>IF(AND(LEN('Providers'!A260)&gt;0,ISNUMBER('Providers'!W260)),1,0)</f>
        <v/>
      </c>
      <c r="B3260">
        <f>B3259+A3260</f>
        <v/>
      </c>
      <c r="C3260">
        <f>IF(3257&gt;$B$4503,"",MATCH(3257-0.5,$B$3:$B$4503,1))</f>
        <v/>
      </c>
      <c r="D3260">
        <f>"CAQH re-attestation – "&amp;IF(LEN(INDEX('Providers'!$A$4:$A$503,257))=0,"",INDEX('Providers'!$A$4:$A$503,257))</f>
        <v/>
      </c>
      <c r="E3260">
        <f>IF(ISNUMBER(INDEX('Providers'!$W$4:$W$503,257)),TEXT(INDEX('Providers'!$W$4:$W$503,257),"yyyy-mm-dd"),"")</f>
        <v/>
      </c>
      <c r="F3260">
        <f>"Credentialing"</f>
        <v/>
      </c>
      <c r="G3260">
        <f>IF(ISNUMBER(INDEX('Providers'!$U$4:$U$503,257)),TEXT(INDEX('Providers'!$U$4:$U$503,257),"yyyy-mm-dd"),"")</f>
        <v/>
      </c>
      <c r="H3260">
        <f>"High"</f>
        <v/>
      </c>
      <c r="I3260">
        <f>TRIM(IF(LEN(IF(LEN(INDEX('Providers'!$T$4:$T$503,257))=0,"",INDEX('Providers'!$T$4:$T$503,257)))=0,"","CAQH ID: "&amp;IF(LEN(INDEX('Providers'!$T$4:$T$503,257))=0,"",INDEX('Providers'!$T$4:$T$503,257))&amp;". ")&amp;IF(LEN(IF(ISNUMBER(INDEX('Providers'!$U$4:$U$503,257)),TEXT(INDEX('Providers'!$U$4:$U$503,257),"yyyy-mm-dd"),""))=0,"","Last attested: "&amp;IF(ISNUMBER(INDEX('Providers'!$U$4:$U$503,257)),TEXT(INDEX('Providers'!$U$4:$U$503,257),"yyyy-mm-dd"),"")&amp;". "))</f>
        <v/>
      </c>
      <c r="J3260">
        <f>IF(LEN(INDEX('Providers'!$AJ$4:$AJ$503,257))=0,"",INDEX('Providers'!$AJ$4:$AJ$503,257))</f>
        <v/>
      </c>
      <c r="K3260">
        <f>IF(LEN(INDEX('Providers'!$AI$4:$AI$503,257))=0,"",INDEX('Providers'!$AI$4:$AI$503,257))</f>
        <v/>
      </c>
    </row>
    <row r="3261">
      <c r="A3261">
        <f>IF(AND(LEN('Providers'!A261)&gt;0,ISNUMBER('Providers'!W261)),1,0)</f>
        <v/>
      </c>
      <c r="B3261">
        <f>B3260+A3261</f>
        <v/>
      </c>
      <c r="C3261">
        <f>IF(3258&gt;$B$4503,"",MATCH(3258-0.5,$B$3:$B$4503,1))</f>
        <v/>
      </c>
      <c r="D3261">
        <f>"CAQH re-attestation – "&amp;IF(LEN(INDEX('Providers'!$A$4:$A$503,258))=0,"",INDEX('Providers'!$A$4:$A$503,258))</f>
        <v/>
      </c>
      <c r="E3261">
        <f>IF(ISNUMBER(INDEX('Providers'!$W$4:$W$503,258)),TEXT(INDEX('Providers'!$W$4:$W$503,258),"yyyy-mm-dd"),"")</f>
        <v/>
      </c>
      <c r="F3261">
        <f>"Credentialing"</f>
        <v/>
      </c>
      <c r="G3261">
        <f>IF(ISNUMBER(INDEX('Providers'!$U$4:$U$503,258)),TEXT(INDEX('Providers'!$U$4:$U$503,258),"yyyy-mm-dd"),"")</f>
        <v/>
      </c>
      <c r="H3261">
        <f>"High"</f>
        <v/>
      </c>
      <c r="I3261">
        <f>TRIM(IF(LEN(IF(LEN(INDEX('Providers'!$T$4:$T$503,258))=0,"",INDEX('Providers'!$T$4:$T$503,258)))=0,"","CAQH ID: "&amp;IF(LEN(INDEX('Providers'!$T$4:$T$503,258))=0,"",INDEX('Providers'!$T$4:$T$503,258))&amp;". ")&amp;IF(LEN(IF(ISNUMBER(INDEX('Providers'!$U$4:$U$503,258)),TEXT(INDEX('Providers'!$U$4:$U$503,258),"yyyy-mm-dd"),""))=0,"","Last attested: "&amp;IF(ISNUMBER(INDEX('Providers'!$U$4:$U$503,258)),TEXT(INDEX('Providers'!$U$4:$U$503,258),"yyyy-mm-dd"),"")&amp;". "))</f>
        <v/>
      </c>
      <c r="J3261">
        <f>IF(LEN(INDEX('Providers'!$AJ$4:$AJ$503,258))=0,"",INDEX('Providers'!$AJ$4:$AJ$503,258))</f>
        <v/>
      </c>
      <c r="K3261">
        <f>IF(LEN(INDEX('Providers'!$AI$4:$AI$503,258))=0,"",INDEX('Providers'!$AI$4:$AI$503,258))</f>
        <v/>
      </c>
    </row>
    <row r="3262">
      <c r="A3262">
        <f>IF(AND(LEN('Providers'!A262)&gt;0,ISNUMBER('Providers'!W262)),1,0)</f>
        <v/>
      </c>
      <c r="B3262">
        <f>B3261+A3262</f>
        <v/>
      </c>
      <c r="C3262">
        <f>IF(3259&gt;$B$4503,"",MATCH(3259-0.5,$B$3:$B$4503,1))</f>
        <v/>
      </c>
      <c r="D3262">
        <f>"CAQH re-attestation – "&amp;IF(LEN(INDEX('Providers'!$A$4:$A$503,259))=0,"",INDEX('Providers'!$A$4:$A$503,259))</f>
        <v/>
      </c>
      <c r="E3262">
        <f>IF(ISNUMBER(INDEX('Providers'!$W$4:$W$503,259)),TEXT(INDEX('Providers'!$W$4:$W$503,259),"yyyy-mm-dd"),"")</f>
        <v/>
      </c>
      <c r="F3262">
        <f>"Credentialing"</f>
        <v/>
      </c>
      <c r="G3262">
        <f>IF(ISNUMBER(INDEX('Providers'!$U$4:$U$503,259)),TEXT(INDEX('Providers'!$U$4:$U$503,259),"yyyy-mm-dd"),"")</f>
        <v/>
      </c>
      <c r="H3262">
        <f>"High"</f>
        <v/>
      </c>
      <c r="I3262">
        <f>TRIM(IF(LEN(IF(LEN(INDEX('Providers'!$T$4:$T$503,259))=0,"",INDEX('Providers'!$T$4:$T$503,259)))=0,"","CAQH ID: "&amp;IF(LEN(INDEX('Providers'!$T$4:$T$503,259))=0,"",INDEX('Providers'!$T$4:$T$503,259))&amp;". ")&amp;IF(LEN(IF(ISNUMBER(INDEX('Providers'!$U$4:$U$503,259)),TEXT(INDEX('Providers'!$U$4:$U$503,259),"yyyy-mm-dd"),""))=0,"","Last attested: "&amp;IF(ISNUMBER(INDEX('Providers'!$U$4:$U$503,259)),TEXT(INDEX('Providers'!$U$4:$U$503,259),"yyyy-mm-dd"),"")&amp;". "))</f>
        <v/>
      </c>
      <c r="J3262">
        <f>IF(LEN(INDEX('Providers'!$AJ$4:$AJ$503,259))=0,"",INDEX('Providers'!$AJ$4:$AJ$503,259))</f>
        <v/>
      </c>
      <c r="K3262">
        <f>IF(LEN(INDEX('Providers'!$AI$4:$AI$503,259))=0,"",INDEX('Providers'!$AI$4:$AI$503,259))</f>
        <v/>
      </c>
    </row>
    <row r="3263">
      <c r="A3263">
        <f>IF(AND(LEN('Providers'!A263)&gt;0,ISNUMBER('Providers'!W263)),1,0)</f>
        <v/>
      </c>
      <c r="B3263">
        <f>B3262+A3263</f>
        <v/>
      </c>
      <c r="C3263">
        <f>IF(3260&gt;$B$4503,"",MATCH(3260-0.5,$B$3:$B$4503,1))</f>
        <v/>
      </c>
      <c r="D3263">
        <f>"CAQH re-attestation – "&amp;IF(LEN(INDEX('Providers'!$A$4:$A$503,260))=0,"",INDEX('Providers'!$A$4:$A$503,260))</f>
        <v/>
      </c>
      <c r="E3263">
        <f>IF(ISNUMBER(INDEX('Providers'!$W$4:$W$503,260)),TEXT(INDEX('Providers'!$W$4:$W$503,260),"yyyy-mm-dd"),"")</f>
        <v/>
      </c>
      <c r="F3263">
        <f>"Credentialing"</f>
        <v/>
      </c>
      <c r="G3263">
        <f>IF(ISNUMBER(INDEX('Providers'!$U$4:$U$503,260)),TEXT(INDEX('Providers'!$U$4:$U$503,260),"yyyy-mm-dd"),"")</f>
        <v/>
      </c>
      <c r="H3263">
        <f>"High"</f>
        <v/>
      </c>
      <c r="I3263">
        <f>TRIM(IF(LEN(IF(LEN(INDEX('Providers'!$T$4:$T$503,260))=0,"",INDEX('Providers'!$T$4:$T$503,260)))=0,"","CAQH ID: "&amp;IF(LEN(INDEX('Providers'!$T$4:$T$503,260))=0,"",INDEX('Providers'!$T$4:$T$503,260))&amp;". ")&amp;IF(LEN(IF(ISNUMBER(INDEX('Providers'!$U$4:$U$503,260)),TEXT(INDEX('Providers'!$U$4:$U$503,260),"yyyy-mm-dd"),""))=0,"","Last attested: "&amp;IF(ISNUMBER(INDEX('Providers'!$U$4:$U$503,260)),TEXT(INDEX('Providers'!$U$4:$U$503,260),"yyyy-mm-dd"),"")&amp;". "))</f>
        <v/>
      </c>
      <c r="J3263">
        <f>IF(LEN(INDEX('Providers'!$AJ$4:$AJ$503,260))=0,"",INDEX('Providers'!$AJ$4:$AJ$503,260))</f>
        <v/>
      </c>
      <c r="K3263">
        <f>IF(LEN(INDEX('Providers'!$AI$4:$AI$503,260))=0,"",INDEX('Providers'!$AI$4:$AI$503,260))</f>
        <v/>
      </c>
    </row>
    <row r="3264">
      <c r="A3264">
        <f>IF(AND(LEN('Providers'!A264)&gt;0,ISNUMBER('Providers'!W264)),1,0)</f>
        <v/>
      </c>
      <c r="B3264">
        <f>B3263+A3264</f>
        <v/>
      </c>
      <c r="C3264">
        <f>IF(3261&gt;$B$4503,"",MATCH(3261-0.5,$B$3:$B$4503,1))</f>
        <v/>
      </c>
      <c r="D3264">
        <f>"CAQH re-attestation – "&amp;IF(LEN(INDEX('Providers'!$A$4:$A$503,261))=0,"",INDEX('Providers'!$A$4:$A$503,261))</f>
        <v/>
      </c>
      <c r="E3264">
        <f>IF(ISNUMBER(INDEX('Providers'!$W$4:$W$503,261)),TEXT(INDEX('Providers'!$W$4:$W$503,261),"yyyy-mm-dd"),"")</f>
        <v/>
      </c>
      <c r="F3264">
        <f>"Credentialing"</f>
        <v/>
      </c>
      <c r="G3264">
        <f>IF(ISNUMBER(INDEX('Providers'!$U$4:$U$503,261)),TEXT(INDEX('Providers'!$U$4:$U$503,261),"yyyy-mm-dd"),"")</f>
        <v/>
      </c>
      <c r="H3264">
        <f>"High"</f>
        <v/>
      </c>
      <c r="I3264">
        <f>TRIM(IF(LEN(IF(LEN(INDEX('Providers'!$T$4:$T$503,261))=0,"",INDEX('Providers'!$T$4:$T$503,261)))=0,"","CAQH ID: "&amp;IF(LEN(INDEX('Providers'!$T$4:$T$503,261))=0,"",INDEX('Providers'!$T$4:$T$503,261))&amp;". ")&amp;IF(LEN(IF(ISNUMBER(INDEX('Providers'!$U$4:$U$503,261)),TEXT(INDEX('Providers'!$U$4:$U$503,261),"yyyy-mm-dd"),""))=0,"","Last attested: "&amp;IF(ISNUMBER(INDEX('Providers'!$U$4:$U$503,261)),TEXT(INDEX('Providers'!$U$4:$U$503,261),"yyyy-mm-dd"),"")&amp;". "))</f>
        <v/>
      </c>
      <c r="J3264">
        <f>IF(LEN(INDEX('Providers'!$AJ$4:$AJ$503,261))=0,"",INDEX('Providers'!$AJ$4:$AJ$503,261))</f>
        <v/>
      </c>
      <c r="K3264">
        <f>IF(LEN(INDEX('Providers'!$AI$4:$AI$503,261))=0,"",INDEX('Providers'!$AI$4:$AI$503,261))</f>
        <v/>
      </c>
    </row>
    <row r="3265">
      <c r="A3265">
        <f>IF(AND(LEN('Providers'!A265)&gt;0,ISNUMBER('Providers'!W265)),1,0)</f>
        <v/>
      </c>
      <c r="B3265">
        <f>B3264+A3265</f>
        <v/>
      </c>
      <c r="C3265">
        <f>IF(3262&gt;$B$4503,"",MATCH(3262-0.5,$B$3:$B$4503,1))</f>
        <v/>
      </c>
      <c r="D3265">
        <f>"CAQH re-attestation – "&amp;IF(LEN(INDEX('Providers'!$A$4:$A$503,262))=0,"",INDEX('Providers'!$A$4:$A$503,262))</f>
        <v/>
      </c>
      <c r="E3265">
        <f>IF(ISNUMBER(INDEX('Providers'!$W$4:$W$503,262)),TEXT(INDEX('Providers'!$W$4:$W$503,262),"yyyy-mm-dd"),"")</f>
        <v/>
      </c>
      <c r="F3265">
        <f>"Credentialing"</f>
        <v/>
      </c>
      <c r="G3265">
        <f>IF(ISNUMBER(INDEX('Providers'!$U$4:$U$503,262)),TEXT(INDEX('Providers'!$U$4:$U$503,262),"yyyy-mm-dd"),"")</f>
        <v/>
      </c>
      <c r="H3265">
        <f>"High"</f>
        <v/>
      </c>
      <c r="I3265">
        <f>TRIM(IF(LEN(IF(LEN(INDEX('Providers'!$T$4:$T$503,262))=0,"",INDEX('Providers'!$T$4:$T$503,262)))=0,"","CAQH ID: "&amp;IF(LEN(INDEX('Providers'!$T$4:$T$503,262))=0,"",INDEX('Providers'!$T$4:$T$503,262))&amp;". ")&amp;IF(LEN(IF(ISNUMBER(INDEX('Providers'!$U$4:$U$503,262)),TEXT(INDEX('Providers'!$U$4:$U$503,262),"yyyy-mm-dd"),""))=0,"","Last attested: "&amp;IF(ISNUMBER(INDEX('Providers'!$U$4:$U$503,262)),TEXT(INDEX('Providers'!$U$4:$U$503,262),"yyyy-mm-dd"),"")&amp;". "))</f>
        <v/>
      </c>
      <c r="J3265">
        <f>IF(LEN(INDEX('Providers'!$AJ$4:$AJ$503,262))=0,"",INDEX('Providers'!$AJ$4:$AJ$503,262))</f>
        <v/>
      </c>
      <c r="K3265">
        <f>IF(LEN(INDEX('Providers'!$AI$4:$AI$503,262))=0,"",INDEX('Providers'!$AI$4:$AI$503,262))</f>
        <v/>
      </c>
    </row>
    <row r="3266">
      <c r="A3266">
        <f>IF(AND(LEN('Providers'!A266)&gt;0,ISNUMBER('Providers'!W266)),1,0)</f>
        <v/>
      </c>
      <c r="B3266">
        <f>B3265+A3266</f>
        <v/>
      </c>
      <c r="C3266">
        <f>IF(3263&gt;$B$4503,"",MATCH(3263-0.5,$B$3:$B$4503,1))</f>
        <v/>
      </c>
      <c r="D3266">
        <f>"CAQH re-attestation – "&amp;IF(LEN(INDEX('Providers'!$A$4:$A$503,263))=0,"",INDEX('Providers'!$A$4:$A$503,263))</f>
        <v/>
      </c>
      <c r="E3266">
        <f>IF(ISNUMBER(INDEX('Providers'!$W$4:$W$503,263)),TEXT(INDEX('Providers'!$W$4:$W$503,263),"yyyy-mm-dd"),"")</f>
        <v/>
      </c>
      <c r="F3266">
        <f>"Credentialing"</f>
        <v/>
      </c>
      <c r="G3266">
        <f>IF(ISNUMBER(INDEX('Providers'!$U$4:$U$503,263)),TEXT(INDEX('Providers'!$U$4:$U$503,263),"yyyy-mm-dd"),"")</f>
        <v/>
      </c>
      <c r="H3266">
        <f>"High"</f>
        <v/>
      </c>
      <c r="I3266">
        <f>TRIM(IF(LEN(IF(LEN(INDEX('Providers'!$T$4:$T$503,263))=0,"",INDEX('Providers'!$T$4:$T$503,263)))=0,"","CAQH ID: "&amp;IF(LEN(INDEX('Providers'!$T$4:$T$503,263))=0,"",INDEX('Providers'!$T$4:$T$503,263))&amp;". ")&amp;IF(LEN(IF(ISNUMBER(INDEX('Providers'!$U$4:$U$503,263)),TEXT(INDEX('Providers'!$U$4:$U$503,263),"yyyy-mm-dd"),""))=0,"","Last attested: "&amp;IF(ISNUMBER(INDEX('Providers'!$U$4:$U$503,263)),TEXT(INDEX('Providers'!$U$4:$U$503,263),"yyyy-mm-dd"),"")&amp;". "))</f>
        <v/>
      </c>
      <c r="J3266">
        <f>IF(LEN(INDEX('Providers'!$AJ$4:$AJ$503,263))=0,"",INDEX('Providers'!$AJ$4:$AJ$503,263))</f>
        <v/>
      </c>
      <c r="K3266">
        <f>IF(LEN(INDEX('Providers'!$AI$4:$AI$503,263))=0,"",INDEX('Providers'!$AI$4:$AI$503,263))</f>
        <v/>
      </c>
    </row>
    <row r="3267">
      <c r="A3267">
        <f>IF(AND(LEN('Providers'!A267)&gt;0,ISNUMBER('Providers'!W267)),1,0)</f>
        <v/>
      </c>
      <c r="B3267">
        <f>B3266+A3267</f>
        <v/>
      </c>
      <c r="C3267">
        <f>IF(3264&gt;$B$4503,"",MATCH(3264-0.5,$B$3:$B$4503,1))</f>
        <v/>
      </c>
      <c r="D3267">
        <f>"CAQH re-attestation – "&amp;IF(LEN(INDEX('Providers'!$A$4:$A$503,264))=0,"",INDEX('Providers'!$A$4:$A$503,264))</f>
        <v/>
      </c>
      <c r="E3267">
        <f>IF(ISNUMBER(INDEX('Providers'!$W$4:$W$503,264)),TEXT(INDEX('Providers'!$W$4:$W$503,264),"yyyy-mm-dd"),"")</f>
        <v/>
      </c>
      <c r="F3267">
        <f>"Credentialing"</f>
        <v/>
      </c>
      <c r="G3267">
        <f>IF(ISNUMBER(INDEX('Providers'!$U$4:$U$503,264)),TEXT(INDEX('Providers'!$U$4:$U$503,264),"yyyy-mm-dd"),"")</f>
        <v/>
      </c>
      <c r="H3267">
        <f>"High"</f>
        <v/>
      </c>
      <c r="I3267">
        <f>TRIM(IF(LEN(IF(LEN(INDEX('Providers'!$T$4:$T$503,264))=0,"",INDEX('Providers'!$T$4:$T$503,264)))=0,"","CAQH ID: "&amp;IF(LEN(INDEX('Providers'!$T$4:$T$503,264))=0,"",INDEX('Providers'!$T$4:$T$503,264))&amp;". ")&amp;IF(LEN(IF(ISNUMBER(INDEX('Providers'!$U$4:$U$503,264)),TEXT(INDEX('Providers'!$U$4:$U$503,264),"yyyy-mm-dd"),""))=0,"","Last attested: "&amp;IF(ISNUMBER(INDEX('Providers'!$U$4:$U$503,264)),TEXT(INDEX('Providers'!$U$4:$U$503,264),"yyyy-mm-dd"),"")&amp;". "))</f>
        <v/>
      </c>
      <c r="J3267">
        <f>IF(LEN(INDEX('Providers'!$AJ$4:$AJ$503,264))=0,"",INDEX('Providers'!$AJ$4:$AJ$503,264))</f>
        <v/>
      </c>
      <c r="K3267">
        <f>IF(LEN(INDEX('Providers'!$AI$4:$AI$503,264))=0,"",INDEX('Providers'!$AI$4:$AI$503,264))</f>
        <v/>
      </c>
    </row>
    <row r="3268">
      <c r="A3268">
        <f>IF(AND(LEN('Providers'!A268)&gt;0,ISNUMBER('Providers'!W268)),1,0)</f>
        <v/>
      </c>
      <c r="B3268">
        <f>B3267+A3268</f>
        <v/>
      </c>
      <c r="C3268">
        <f>IF(3265&gt;$B$4503,"",MATCH(3265-0.5,$B$3:$B$4503,1))</f>
        <v/>
      </c>
      <c r="D3268">
        <f>"CAQH re-attestation – "&amp;IF(LEN(INDEX('Providers'!$A$4:$A$503,265))=0,"",INDEX('Providers'!$A$4:$A$503,265))</f>
        <v/>
      </c>
      <c r="E3268">
        <f>IF(ISNUMBER(INDEX('Providers'!$W$4:$W$503,265)),TEXT(INDEX('Providers'!$W$4:$W$503,265),"yyyy-mm-dd"),"")</f>
        <v/>
      </c>
      <c r="F3268">
        <f>"Credentialing"</f>
        <v/>
      </c>
      <c r="G3268">
        <f>IF(ISNUMBER(INDEX('Providers'!$U$4:$U$503,265)),TEXT(INDEX('Providers'!$U$4:$U$503,265),"yyyy-mm-dd"),"")</f>
        <v/>
      </c>
      <c r="H3268">
        <f>"High"</f>
        <v/>
      </c>
      <c r="I3268">
        <f>TRIM(IF(LEN(IF(LEN(INDEX('Providers'!$T$4:$T$503,265))=0,"",INDEX('Providers'!$T$4:$T$503,265)))=0,"","CAQH ID: "&amp;IF(LEN(INDEX('Providers'!$T$4:$T$503,265))=0,"",INDEX('Providers'!$T$4:$T$503,265))&amp;". ")&amp;IF(LEN(IF(ISNUMBER(INDEX('Providers'!$U$4:$U$503,265)),TEXT(INDEX('Providers'!$U$4:$U$503,265),"yyyy-mm-dd"),""))=0,"","Last attested: "&amp;IF(ISNUMBER(INDEX('Providers'!$U$4:$U$503,265)),TEXT(INDEX('Providers'!$U$4:$U$503,265),"yyyy-mm-dd"),"")&amp;". "))</f>
        <v/>
      </c>
      <c r="J3268">
        <f>IF(LEN(INDEX('Providers'!$AJ$4:$AJ$503,265))=0,"",INDEX('Providers'!$AJ$4:$AJ$503,265))</f>
        <v/>
      </c>
      <c r="K3268">
        <f>IF(LEN(INDEX('Providers'!$AI$4:$AI$503,265))=0,"",INDEX('Providers'!$AI$4:$AI$503,265))</f>
        <v/>
      </c>
    </row>
    <row r="3269">
      <c r="A3269">
        <f>IF(AND(LEN('Providers'!A269)&gt;0,ISNUMBER('Providers'!W269)),1,0)</f>
        <v/>
      </c>
      <c r="B3269">
        <f>B3268+A3269</f>
        <v/>
      </c>
      <c r="C3269">
        <f>IF(3266&gt;$B$4503,"",MATCH(3266-0.5,$B$3:$B$4503,1))</f>
        <v/>
      </c>
      <c r="D3269">
        <f>"CAQH re-attestation – "&amp;IF(LEN(INDEX('Providers'!$A$4:$A$503,266))=0,"",INDEX('Providers'!$A$4:$A$503,266))</f>
        <v/>
      </c>
      <c r="E3269">
        <f>IF(ISNUMBER(INDEX('Providers'!$W$4:$W$503,266)),TEXT(INDEX('Providers'!$W$4:$W$503,266),"yyyy-mm-dd"),"")</f>
        <v/>
      </c>
      <c r="F3269">
        <f>"Credentialing"</f>
        <v/>
      </c>
      <c r="G3269">
        <f>IF(ISNUMBER(INDEX('Providers'!$U$4:$U$503,266)),TEXT(INDEX('Providers'!$U$4:$U$503,266),"yyyy-mm-dd"),"")</f>
        <v/>
      </c>
      <c r="H3269">
        <f>"High"</f>
        <v/>
      </c>
      <c r="I3269">
        <f>TRIM(IF(LEN(IF(LEN(INDEX('Providers'!$T$4:$T$503,266))=0,"",INDEX('Providers'!$T$4:$T$503,266)))=0,"","CAQH ID: "&amp;IF(LEN(INDEX('Providers'!$T$4:$T$503,266))=0,"",INDEX('Providers'!$T$4:$T$503,266))&amp;". ")&amp;IF(LEN(IF(ISNUMBER(INDEX('Providers'!$U$4:$U$503,266)),TEXT(INDEX('Providers'!$U$4:$U$503,266),"yyyy-mm-dd"),""))=0,"","Last attested: "&amp;IF(ISNUMBER(INDEX('Providers'!$U$4:$U$503,266)),TEXT(INDEX('Providers'!$U$4:$U$503,266),"yyyy-mm-dd"),"")&amp;". "))</f>
        <v/>
      </c>
      <c r="J3269">
        <f>IF(LEN(INDEX('Providers'!$AJ$4:$AJ$503,266))=0,"",INDEX('Providers'!$AJ$4:$AJ$503,266))</f>
        <v/>
      </c>
      <c r="K3269">
        <f>IF(LEN(INDEX('Providers'!$AI$4:$AI$503,266))=0,"",INDEX('Providers'!$AI$4:$AI$503,266))</f>
        <v/>
      </c>
    </row>
    <row r="3270">
      <c r="A3270">
        <f>IF(AND(LEN('Providers'!A270)&gt;0,ISNUMBER('Providers'!W270)),1,0)</f>
        <v/>
      </c>
      <c r="B3270">
        <f>B3269+A3270</f>
        <v/>
      </c>
      <c r="C3270">
        <f>IF(3267&gt;$B$4503,"",MATCH(3267-0.5,$B$3:$B$4503,1))</f>
        <v/>
      </c>
      <c r="D3270">
        <f>"CAQH re-attestation – "&amp;IF(LEN(INDEX('Providers'!$A$4:$A$503,267))=0,"",INDEX('Providers'!$A$4:$A$503,267))</f>
        <v/>
      </c>
      <c r="E3270">
        <f>IF(ISNUMBER(INDEX('Providers'!$W$4:$W$503,267)),TEXT(INDEX('Providers'!$W$4:$W$503,267),"yyyy-mm-dd"),"")</f>
        <v/>
      </c>
      <c r="F3270">
        <f>"Credentialing"</f>
        <v/>
      </c>
      <c r="G3270">
        <f>IF(ISNUMBER(INDEX('Providers'!$U$4:$U$503,267)),TEXT(INDEX('Providers'!$U$4:$U$503,267),"yyyy-mm-dd"),"")</f>
        <v/>
      </c>
      <c r="H3270">
        <f>"High"</f>
        <v/>
      </c>
      <c r="I3270">
        <f>TRIM(IF(LEN(IF(LEN(INDEX('Providers'!$T$4:$T$503,267))=0,"",INDEX('Providers'!$T$4:$T$503,267)))=0,"","CAQH ID: "&amp;IF(LEN(INDEX('Providers'!$T$4:$T$503,267))=0,"",INDEX('Providers'!$T$4:$T$503,267))&amp;". ")&amp;IF(LEN(IF(ISNUMBER(INDEX('Providers'!$U$4:$U$503,267)),TEXT(INDEX('Providers'!$U$4:$U$503,267),"yyyy-mm-dd"),""))=0,"","Last attested: "&amp;IF(ISNUMBER(INDEX('Providers'!$U$4:$U$503,267)),TEXT(INDEX('Providers'!$U$4:$U$503,267),"yyyy-mm-dd"),"")&amp;". "))</f>
        <v/>
      </c>
      <c r="J3270">
        <f>IF(LEN(INDEX('Providers'!$AJ$4:$AJ$503,267))=0,"",INDEX('Providers'!$AJ$4:$AJ$503,267))</f>
        <v/>
      </c>
      <c r="K3270">
        <f>IF(LEN(INDEX('Providers'!$AI$4:$AI$503,267))=0,"",INDEX('Providers'!$AI$4:$AI$503,267))</f>
        <v/>
      </c>
    </row>
    <row r="3271">
      <c r="A3271">
        <f>IF(AND(LEN('Providers'!A271)&gt;0,ISNUMBER('Providers'!W271)),1,0)</f>
        <v/>
      </c>
      <c r="B3271">
        <f>B3270+A3271</f>
        <v/>
      </c>
      <c r="C3271">
        <f>IF(3268&gt;$B$4503,"",MATCH(3268-0.5,$B$3:$B$4503,1))</f>
        <v/>
      </c>
      <c r="D3271">
        <f>"CAQH re-attestation – "&amp;IF(LEN(INDEX('Providers'!$A$4:$A$503,268))=0,"",INDEX('Providers'!$A$4:$A$503,268))</f>
        <v/>
      </c>
      <c r="E3271">
        <f>IF(ISNUMBER(INDEX('Providers'!$W$4:$W$503,268)),TEXT(INDEX('Providers'!$W$4:$W$503,268),"yyyy-mm-dd"),"")</f>
        <v/>
      </c>
      <c r="F3271">
        <f>"Credentialing"</f>
        <v/>
      </c>
      <c r="G3271">
        <f>IF(ISNUMBER(INDEX('Providers'!$U$4:$U$503,268)),TEXT(INDEX('Providers'!$U$4:$U$503,268),"yyyy-mm-dd"),"")</f>
        <v/>
      </c>
      <c r="H3271">
        <f>"High"</f>
        <v/>
      </c>
      <c r="I3271">
        <f>TRIM(IF(LEN(IF(LEN(INDEX('Providers'!$T$4:$T$503,268))=0,"",INDEX('Providers'!$T$4:$T$503,268)))=0,"","CAQH ID: "&amp;IF(LEN(INDEX('Providers'!$T$4:$T$503,268))=0,"",INDEX('Providers'!$T$4:$T$503,268))&amp;". ")&amp;IF(LEN(IF(ISNUMBER(INDEX('Providers'!$U$4:$U$503,268)),TEXT(INDEX('Providers'!$U$4:$U$503,268),"yyyy-mm-dd"),""))=0,"","Last attested: "&amp;IF(ISNUMBER(INDEX('Providers'!$U$4:$U$503,268)),TEXT(INDEX('Providers'!$U$4:$U$503,268),"yyyy-mm-dd"),"")&amp;". "))</f>
        <v/>
      </c>
      <c r="J3271">
        <f>IF(LEN(INDEX('Providers'!$AJ$4:$AJ$503,268))=0,"",INDEX('Providers'!$AJ$4:$AJ$503,268))</f>
        <v/>
      </c>
      <c r="K3271">
        <f>IF(LEN(INDEX('Providers'!$AI$4:$AI$503,268))=0,"",INDEX('Providers'!$AI$4:$AI$503,268))</f>
        <v/>
      </c>
    </row>
    <row r="3272">
      <c r="A3272">
        <f>IF(AND(LEN('Providers'!A272)&gt;0,ISNUMBER('Providers'!W272)),1,0)</f>
        <v/>
      </c>
      <c r="B3272">
        <f>B3271+A3272</f>
        <v/>
      </c>
      <c r="C3272">
        <f>IF(3269&gt;$B$4503,"",MATCH(3269-0.5,$B$3:$B$4503,1))</f>
        <v/>
      </c>
      <c r="D3272">
        <f>"CAQH re-attestation – "&amp;IF(LEN(INDEX('Providers'!$A$4:$A$503,269))=0,"",INDEX('Providers'!$A$4:$A$503,269))</f>
        <v/>
      </c>
      <c r="E3272">
        <f>IF(ISNUMBER(INDEX('Providers'!$W$4:$W$503,269)),TEXT(INDEX('Providers'!$W$4:$W$503,269),"yyyy-mm-dd"),"")</f>
        <v/>
      </c>
      <c r="F3272">
        <f>"Credentialing"</f>
        <v/>
      </c>
      <c r="G3272">
        <f>IF(ISNUMBER(INDEX('Providers'!$U$4:$U$503,269)),TEXT(INDEX('Providers'!$U$4:$U$503,269),"yyyy-mm-dd"),"")</f>
        <v/>
      </c>
      <c r="H3272">
        <f>"High"</f>
        <v/>
      </c>
      <c r="I3272">
        <f>TRIM(IF(LEN(IF(LEN(INDEX('Providers'!$T$4:$T$503,269))=0,"",INDEX('Providers'!$T$4:$T$503,269)))=0,"","CAQH ID: "&amp;IF(LEN(INDEX('Providers'!$T$4:$T$503,269))=0,"",INDEX('Providers'!$T$4:$T$503,269))&amp;". ")&amp;IF(LEN(IF(ISNUMBER(INDEX('Providers'!$U$4:$U$503,269)),TEXT(INDEX('Providers'!$U$4:$U$503,269),"yyyy-mm-dd"),""))=0,"","Last attested: "&amp;IF(ISNUMBER(INDEX('Providers'!$U$4:$U$503,269)),TEXT(INDEX('Providers'!$U$4:$U$503,269),"yyyy-mm-dd"),"")&amp;". "))</f>
        <v/>
      </c>
      <c r="J3272">
        <f>IF(LEN(INDEX('Providers'!$AJ$4:$AJ$503,269))=0,"",INDEX('Providers'!$AJ$4:$AJ$503,269))</f>
        <v/>
      </c>
      <c r="K3272">
        <f>IF(LEN(INDEX('Providers'!$AI$4:$AI$503,269))=0,"",INDEX('Providers'!$AI$4:$AI$503,269))</f>
        <v/>
      </c>
    </row>
    <row r="3273">
      <c r="A3273">
        <f>IF(AND(LEN('Providers'!A273)&gt;0,ISNUMBER('Providers'!W273)),1,0)</f>
        <v/>
      </c>
      <c r="B3273">
        <f>B3272+A3273</f>
        <v/>
      </c>
      <c r="C3273">
        <f>IF(3270&gt;$B$4503,"",MATCH(3270-0.5,$B$3:$B$4503,1))</f>
        <v/>
      </c>
      <c r="D3273">
        <f>"CAQH re-attestation – "&amp;IF(LEN(INDEX('Providers'!$A$4:$A$503,270))=0,"",INDEX('Providers'!$A$4:$A$503,270))</f>
        <v/>
      </c>
      <c r="E3273">
        <f>IF(ISNUMBER(INDEX('Providers'!$W$4:$W$503,270)),TEXT(INDEX('Providers'!$W$4:$W$503,270),"yyyy-mm-dd"),"")</f>
        <v/>
      </c>
      <c r="F3273">
        <f>"Credentialing"</f>
        <v/>
      </c>
      <c r="G3273">
        <f>IF(ISNUMBER(INDEX('Providers'!$U$4:$U$503,270)),TEXT(INDEX('Providers'!$U$4:$U$503,270),"yyyy-mm-dd"),"")</f>
        <v/>
      </c>
      <c r="H3273">
        <f>"High"</f>
        <v/>
      </c>
      <c r="I3273">
        <f>TRIM(IF(LEN(IF(LEN(INDEX('Providers'!$T$4:$T$503,270))=0,"",INDEX('Providers'!$T$4:$T$503,270)))=0,"","CAQH ID: "&amp;IF(LEN(INDEX('Providers'!$T$4:$T$503,270))=0,"",INDEX('Providers'!$T$4:$T$503,270))&amp;". ")&amp;IF(LEN(IF(ISNUMBER(INDEX('Providers'!$U$4:$U$503,270)),TEXT(INDEX('Providers'!$U$4:$U$503,270),"yyyy-mm-dd"),""))=0,"","Last attested: "&amp;IF(ISNUMBER(INDEX('Providers'!$U$4:$U$503,270)),TEXT(INDEX('Providers'!$U$4:$U$503,270),"yyyy-mm-dd"),"")&amp;". "))</f>
        <v/>
      </c>
      <c r="J3273">
        <f>IF(LEN(INDEX('Providers'!$AJ$4:$AJ$503,270))=0,"",INDEX('Providers'!$AJ$4:$AJ$503,270))</f>
        <v/>
      </c>
      <c r="K3273">
        <f>IF(LEN(INDEX('Providers'!$AI$4:$AI$503,270))=0,"",INDEX('Providers'!$AI$4:$AI$503,270))</f>
        <v/>
      </c>
    </row>
    <row r="3274">
      <c r="A3274">
        <f>IF(AND(LEN('Providers'!A274)&gt;0,ISNUMBER('Providers'!W274)),1,0)</f>
        <v/>
      </c>
      <c r="B3274">
        <f>B3273+A3274</f>
        <v/>
      </c>
      <c r="C3274">
        <f>IF(3271&gt;$B$4503,"",MATCH(3271-0.5,$B$3:$B$4503,1))</f>
        <v/>
      </c>
      <c r="D3274">
        <f>"CAQH re-attestation – "&amp;IF(LEN(INDEX('Providers'!$A$4:$A$503,271))=0,"",INDEX('Providers'!$A$4:$A$503,271))</f>
        <v/>
      </c>
      <c r="E3274">
        <f>IF(ISNUMBER(INDEX('Providers'!$W$4:$W$503,271)),TEXT(INDEX('Providers'!$W$4:$W$503,271),"yyyy-mm-dd"),"")</f>
        <v/>
      </c>
      <c r="F3274">
        <f>"Credentialing"</f>
        <v/>
      </c>
      <c r="G3274">
        <f>IF(ISNUMBER(INDEX('Providers'!$U$4:$U$503,271)),TEXT(INDEX('Providers'!$U$4:$U$503,271),"yyyy-mm-dd"),"")</f>
        <v/>
      </c>
      <c r="H3274">
        <f>"High"</f>
        <v/>
      </c>
      <c r="I3274">
        <f>TRIM(IF(LEN(IF(LEN(INDEX('Providers'!$T$4:$T$503,271))=0,"",INDEX('Providers'!$T$4:$T$503,271)))=0,"","CAQH ID: "&amp;IF(LEN(INDEX('Providers'!$T$4:$T$503,271))=0,"",INDEX('Providers'!$T$4:$T$503,271))&amp;". ")&amp;IF(LEN(IF(ISNUMBER(INDEX('Providers'!$U$4:$U$503,271)),TEXT(INDEX('Providers'!$U$4:$U$503,271),"yyyy-mm-dd"),""))=0,"","Last attested: "&amp;IF(ISNUMBER(INDEX('Providers'!$U$4:$U$503,271)),TEXT(INDEX('Providers'!$U$4:$U$503,271),"yyyy-mm-dd"),"")&amp;". "))</f>
        <v/>
      </c>
      <c r="J3274">
        <f>IF(LEN(INDEX('Providers'!$AJ$4:$AJ$503,271))=0,"",INDEX('Providers'!$AJ$4:$AJ$503,271))</f>
        <v/>
      </c>
      <c r="K3274">
        <f>IF(LEN(INDEX('Providers'!$AI$4:$AI$503,271))=0,"",INDEX('Providers'!$AI$4:$AI$503,271))</f>
        <v/>
      </c>
    </row>
    <row r="3275">
      <c r="A3275">
        <f>IF(AND(LEN('Providers'!A275)&gt;0,ISNUMBER('Providers'!W275)),1,0)</f>
        <v/>
      </c>
      <c r="B3275">
        <f>B3274+A3275</f>
        <v/>
      </c>
      <c r="C3275">
        <f>IF(3272&gt;$B$4503,"",MATCH(3272-0.5,$B$3:$B$4503,1))</f>
        <v/>
      </c>
      <c r="D3275">
        <f>"CAQH re-attestation – "&amp;IF(LEN(INDEX('Providers'!$A$4:$A$503,272))=0,"",INDEX('Providers'!$A$4:$A$503,272))</f>
        <v/>
      </c>
      <c r="E3275">
        <f>IF(ISNUMBER(INDEX('Providers'!$W$4:$W$503,272)),TEXT(INDEX('Providers'!$W$4:$W$503,272),"yyyy-mm-dd"),"")</f>
        <v/>
      </c>
      <c r="F3275">
        <f>"Credentialing"</f>
        <v/>
      </c>
      <c r="G3275">
        <f>IF(ISNUMBER(INDEX('Providers'!$U$4:$U$503,272)),TEXT(INDEX('Providers'!$U$4:$U$503,272),"yyyy-mm-dd"),"")</f>
        <v/>
      </c>
      <c r="H3275">
        <f>"High"</f>
        <v/>
      </c>
      <c r="I3275">
        <f>TRIM(IF(LEN(IF(LEN(INDEX('Providers'!$T$4:$T$503,272))=0,"",INDEX('Providers'!$T$4:$T$503,272)))=0,"","CAQH ID: "&amp;IF(LEN(INDEX('Providers'!$T$4:$T$503,272))=0,"",INDEX('Providers'!$T$4:$T$503,272))&amp;". ")&amp;IF(LEN(IF(ISNUMBER(INDEX('Providers'!$U$4:$U$503,272)),TEXT(INDEX('Providers'!$U$4:$U$503,272),"yyyy-mm-dd"),""))=0,"","Last attested: "&amp;IF(ISNUMBER(INDEX('Providers'!$U$4:$U$503,272)),TEXT(INDEX('Providers'!$U$4:$U$503,272),"yyyy-mm-dd"),"")&amp;". "))</f>
        <v/>
      </c>
      <c r="J3275">
        <f>IF(LEN(INDEX('Providers'!$AJ$4:$AJ$503,272))=0,"",INDEX('Providers'!$AJ$4:$AJ$503,272))</f>
        <v/>
      </c>
      <c r="K3275">
        <f>IF(LEN(INDEX('Providers'!$AI$4:$AI$503,272))=0,"",INDEX('Providers'!$AI$4:$AI$503,272))</f>
        <v/>
      </c>
    </row>
    <row r="3276">
      <c r="A3276">
        <f>IF(AND(LEN('Providers'!A276)&gt;0,ISNUMBER('Providers'!W276)),1,0)</f>
        <v/>
      </c>
      <c r="B3276">
        <f>B3275+A3276</f>
        <v/>
      </c>
      <c r="C3276">
        <f>IF(3273&gt;$B$4503,"",MATCH(3273-0.5,$B$3:$B$4503,1))</f>
        <v/>
      </c>
      <c r="D3276">
        <f>"CAQH re-attestation – "&amp;IF(LEN(INDEX('Providers'!$A$4:$A$503,273))=0,"",INDEX('Providers'!$A$4:$A$503,273))</f>
        <v/>
      </c>
      <c r="E3276">
        <f>IF(ISNUMBER(INDEX('Providers'!$W$4:$W$503,273)),TEXT(INDEX('Providers'!$W$4:$W$503,273),"yyyy-mm-dd"),"")</f>
        <v/>
      </c>
      <c r="F3276">
        <f>"Credentialing"</f>
        <v/>
      </c>
      <c r="G3276">
        <f>IF(ISNUMBER(INDEX('Providers'!$U$4:$U$503,273)),TEXT(INDEX('Providers'!$U$4:$U$503,273),"yyyy-mm-dd"),"")</f>
        <v/>
      </c>
      <c r="H3276">
        <f>"High"</f>
        <v/>
      </c>
      <c r="I3276">
        <f>TRIM(IF(LEN(IF(LEN(INDEX('Providers'!$T$4:$T$503,273))=0,"",INDEX('Providers'!$T$4:$T$503,273)))=0,"","CAQH ID: "&amp;IF(LEN(INDEX('Providers'!$T$4:$T$503,273))=0,"",INDEX('Providers'!$T$4:$T$503,273))&amp;". ")&amp;IF(LEN(IF(ISNUMBER(INDEX('Providers'!$U$4:$U$503,273)),TEXT(INDEX('Providers'!$U$4:$U$503,273),"yyyy-mm-dd"),""))=0,"","Last attested: "&amp;IF(ISNUMBER(INDEX('Providers'!$U$4:$U$503,273)),TEXT(INDEX('Providers'!$U$4:$U$503,273),"yyyy-mm-dd"),"")&amp;". "))</f>
        <v/>
      </c>
      <c r="J3276">
        <f>IF(LEN(INDEX('Providers'!$AJ$4:$AJ$503,273))=0,"",INDEX('Providers'!$AJ$4:$AJ$503,273))</f>
        <v/>
      </c>
      <c r="K3276">
        <f>IF(LEN(INDEX('Providers'!$AI$4:$AI$503,273))=0,"",INDEX('Providers'!$AI$4:$AI$503,273))</f>
        <v/>
      </c>
    </row>
    <row r="3277">
      <c r="A3277">
        <f>IF(AND(LEN('Providers'!A277)&gt;0,ISNUMBER('Providers'!W277)),1,0)</f>
        <v/>
      </c>
      <c r="B3277">
        <f>B3276+A3277</f>
        <v/>
      </c>
      <c r="C3277">
        <f>IF(3274&gt;$B$4503,"",MATCH(3274-0.5,$B$3:$B$4503,1))</f>
        <v/>
      </c>
      <c r="D3277">
        <f>"CAQH re-attestation – "&amp;IF(LEN(INDEX('Providers'!$A$4:$A$503,274))=0,"",INDEX('Providers'!$A$4:$A$503,274))</f>
        <v/>
      </c>
      <c r="E3277">
        <f>IF(ISNUMBER(INDEX('Providers'!$W$4:$W$503,274)),TEXT(INDEX('Providers'!$W$4:$W$503,274),"yyyy-mm-dd"),"")</f>
        <v/>
      </c>
      <c r="F3277">
        <f>"Credentialing"</f>
        <v/>
      </c>
      <c r="G3277">
        <f>IF(ISNUMBER(INDEX('Providers'!$U$4:$U$503,274)),TEXT(INDEX('Providers'!$U$4:$U$503,274),"yyyy-mm-dd"),"")</f>
        <v/>
      </c>
      <c r="H3277">
        <f>"High"</f>
        <v/>
      </c>
      <c r="I3277">
        <f>TRIM(IF(LEN(IF(LEN(INDEX('Providers'!$T$4:$T$503,274))=0,"",INDEX('Providers'!$T$4:$T$503,274)))=0,"","CAQH ID: "&amp;IF(LEN(INDEX('Providers'!$T$4:$T$503,274))=0,"",INDEX('Providers'!$T$4:$T$503,274))&amp;". ")&amp;IF(LEN(IF(ISNUMBER(INDEX('Providers'!$U$4:$U$503,274)),TEXT(INDEX('Providers'!$U$4:$U$503,274),"yyyy-mm-dd"),""))=0,"","Last attested: "&amp;IF(ISNUMBER(INDEX('Providers'!$U$4:$U$503,274)),TEXT(INDEX('Providers'!$U$4:$U$503,274),"yyyy-mm-dd"),"")&amp;". "))</f>
        <v/>
      </c>
      <c r="J3277">
        <f>IF(LEN(INDEX('Providers'!$AJ$4:$AJ$503,274))=0,"",INDEX('Providers'!$AJ$4:$AJ$503,274))</f>
        <v/>
      </c>
      <c r="K3277">
        <f>IF(LEN(INDEX('Providers'!$AI$4:$AI$503,274))=0,"",INDEX('Providers'!$AI$4:$AI$503,274))</f>
        <v/>
      </c>
    </row>
    <row r="3278">
      <c r="A3278">
        <f>IF(AND(LEN('Providers'!A278)&gt;0,ISNUMBER('Providers'!W278)),1,0)</f>
        <v/>
      </c>
      <c r="B3278">
        <f>B3277+A3278</f>
        <v/>
      </c>
      <c r="C3278">
        <f>IF(3275&gt;$B$4503,"",MATCH(3275-0.5,$B$3:$B$4503,1))</f>
        <v/>
      </c>
      <c r="D3278">
        <f>"CAQH re-attestation – "&amp;IF(LEN(INDEX('Providers'!$A$4:$A$503,275))=0,"",INDEX('Providers'!$A$4:$A$503,275))</f>
        <v/>
      </c>
      <c r="E3278">
        <f>IF(ISNUMBER(INDEX('Providers'!$W$4:$W$503,275)),TEXT(INDEX('Providers'!$W$4:$W$503,275),"yyyy-mm-dd"),"")</f>
        <v/>
      </c>
      <c r="F3278">
        <f>"Credentialing"</f>
        <v/>
      </c>
      <c r="G3278">
        <f>IF(ISNUMBER(INDEX('Providers'!$U$4:$U$503,275)),TEXT(INDEX('Providers'!$U$4:$U$503,275),"yyyy-mm-dd"),"")</f>
        <v/>
      </c>
      <c r="H3278">
        <f>"High"</f>
        <v/>
      </c>
      <c r="I3278">
        <f>TRIM(IF(LEN(IF(LEN(INDEX('Providers'!$T$4:$T$503,275))=0,"",INDEX('Providers'!$T$4:$T$503,275)))=0,"","CAQH ID: "&amp;IF(LEN(INDEX('Providers'!$T$4:$T$503,275))=0,"",INDEX('Providers'!$T$4:$T$503,275))&amp;". ")&amp;IF(LEN(IF(ISNUMBER(INDEX('Providers'!$U$4:$U$503,275)),TEXT(INDEX('Providers'!$U$4:$U$503,275),"yyyy-mm-dd"),""))=0,"","Last attested: "&amp;IF(ISNUMBER(INDEX('Providers'!$U$4:$U$503,275)),TEXT(INDEX('Providers'!$U$4:$U$503,275),"yyyy-mm-dd"),"")&amp;". "))</f>
        <v/>
      </c>
      <c r="J3278">
        <f>IF(LEN(INDEX('Providers'!$AJ$4:$AJ$503,275))=0,"",INDEX('Providers'!$AJ$4:$AJ$503,275))</f>
        <v/>
      </c>
      <c r="K3278">
        <f>IF(LEN(INDEX('Providers'!$AI$4:$AI$503,275))=0,"",INDEX('Providers'!$AI$4:$AI$503,275))</f>
        <v/>
      </c>
    </row>
    <row r="3279">
      <c r="A3279">
        <f>IF(AND(LEN('Providers'!A279)&gt;0,ISNUMBER('Providers'!W279)),1,0)</f>
        <v/>
      </c>
      <c r="B3279">
        <f>B3278+A3279</f>
        <v/>
      </c>
      <c r="C3279">
        <f>IF(3276&gt;$B$4503,"",MATCH(3276-0.5,$B$3:$B$4503,1))</f>
        <v/>
      </c>
      <c r="D3279">
        <f>"CAQH re-attestation – "&amp;IF(LEN(INDEX('Providers'!$A$4:$A$503,276))=0,"",INDEX('Providers'!$A$4:$A$503,276))</f>
        <v/>
      </c>
      <c r="E3279">
        <f>IF(ISNUMBER(INDEX('Providers'!$W$4:$W$503,276)),TEXT(INDEX('Providers'!$W$4:$W$503,276),"yyyy-mm-dd"),"")</f>
        <v/>
      </c>
      <c r="F3279">
        <f>"Credentialing"</f>
        <v/>
      </c>
      <c r="G3279">
        <f>IF(ISNUMBER(INDEX('Providers'!$U$4:$U$503,276)),TEXT(INDEX('Providers'!$U$4:$U$503,276),"yyyy-mm-dd"),"")</f>
        <v/>
      </c>
      <c r="H3279">
        <f>"High"</f>
        <v/>
      </c>
      <c r="I3279">
        <f>TRIM(IF(LEN(IF(LEN(INDEX('Providers'!$T$4:$T$503,276))=0,"",INDEX('Providers'!$T$4:$T$503,276)))=0,"","CAQH ID: "&amp;IF(LEN(INDEX('Providers'!$T$4:$T$503,276))=0,"",INDEX('Providers'!$T$4:$T$503,276))&amp;". ")&amp;IF(LEN(IF(ISNUMBER(INDEX('Providers'!$U$4:$U$503,276)),TEXT(INDEX('Providers'!$U$4:$U$503,276),"yyyy-mm-dd"),""))=0,"","Last attested: "&amp;IF(ISNUMBER(INDEX('Providers'!$U$4:$U$503,276)),TEXT(INDEX('Providers'!$U$4:$U$503,276),"yyyy-mm-dd"),"")&amp;". "))</f>
        <v/>
      </c>
      <c r="J3279">
        <f>IF(LEN(INDEX('Providers'!$AJ$4:$AJ$503,276))=0,"",INDEX('Providers'!$AJ$4:$AJ$503,276))</f>
        <v/>
      </c>
      <c r="K3279">
        <f>IF(LEN(INDEX('Providers'!$AI$4:$AI$503,276))=0,"",INDEX('Providers'!$AI$4:$AI$503,276))</f>
        <v/>
      </c>
    </row>
    <row r="3280">
      <c r="A3280">
        <f>IF(AND(LEN('Providers'!A280)&gt;0,ISNUMBER('Providers'!W280)),1,0)</f>
        <v/>
      </c>
      <c r="B3280">
        <f>B3279+A3280</f>
        <v/>
      </c>
      <c r="C3280">
        <f>IF(3277&gt;$B$4503,"",MATCH(3277-0.5,$B$3:$B$4503,1))</f>
        <v/>
      </c>
      <c r="D3280">
        <f>"CAQH re-attestation – "&amp;IF(LEN(INDEX('Providers'!$A$4:$A$503,277))=0,"",INDEX('Providers'!$A$4:$A$503,277))</f>
        <v/>
      </c>
      <c r="E3280">
        <f>IF(ISNUMBER(INDEX('Providers'!$W$4:$W$503,277)),TEXT(INDEX('Providers'!$W$4:$W$503,277),"yyyy-mm-dd"),"")</f>
        <v/>
      </c>
      <c r="F3280">
        <f>"Credentialing"</f>
        <v/>
      </c>
      <c r="G3280">
        <f>IF(ISNUMBER(INDEX('Providers'!$U$4:$U$503,277)),TEXT(INDEX('Providers'!$U$4:$U$503,277),"yyyy-mm-dd"),"")</f>
        <v/>
      </c>
      <c r="H3280">
        <f>"High"</f>
        <v/>
      </c>
      <c r="I3280">
        <f>TRIM(IF(LEN(IF(LEN(INDEX('Providers'!$T$4:$T$503,277))=0,"",INDEX('Providers'!$T$4:$T$503,277)))=0,"","CAQH ID: "&amp;IF(LEN(INDEX('Providers'!$T$4:$T$503,277))=0,"",INDEX('Providers'!$T$4:$T$503,277))&amp;". ")&amp;IF(LEN(IF(ISNUMBER(INDEX('Providers'!$U$4:$U$503,277)),TEXT(INDEX('Providers'!$U$4:$U$503,277),"yyyy-mm-dd"),""))=0,"","Last attested: "&amp;IF(ISNUMBER(INDEX('Providers'!$U$4:$U$503,277)),TEXT(INDEX('Providers'!$U$4:$U$503,277),"yyyy-mm-dd"),"")&amp;". "))</f>
        <v/>
      </c>
      <c r="J3280">
        <f>IF(LEN(INDEX('Providers'!$AJ$4:$AJ$503,277))=0,"",INDEX('Providers'!$AJ$4:$AJ$503,277))</f>
        <v/>
      </c>
      <c r="K3280">
        <f>IF(LEN(INDEX('Providers'!$AI$4:$AI$503,277))=0,"",INDEX('Providers'!$AI$4:$AI$503,277))</f>
        <v/>
      </c>
    </row>
    <row r="3281">
      <c r="A3281">
        <f>IF(AND(LEN('Providers'!A281)&gt;0,ISNUMBER('Providers'!W281)),1,0)</f>
        <v/>
      </c>
      <c r="B3281">
        <f>B3280+A3281</f>
        <v/>
      </c>
      <c r="C3281">
        <f>IF(3278&gt;$B$4503,"",MATCH(3278-0.5,$B$3:$B$4503,1))</f>
        <v/>
      </c>
      <c r="D3281">
        <f>"CAQH re-attestation – "&amp;IF(LEN(INDEX('Providers'!$A$4:$A$503,278))=0,"",INDEX('Providers'!$A$4:$A$503,278))</f>
        <v/>
      </c>
      <c r="E3281">
        <f>IF(ISNUMBER(INDEX('Providers'!$W$4:$W$503,278)),TEXT(INDEX('Providers'!$W$4:$W$503,278),"yyyy-mm-dd"),"")</f>
        <v/>
      </c>
      <c r="F3281">
        <f>"Credentialing"</f>
        <v/>
      </c>
      <c r="G3281">
        <f>IF(ISNUMBER(INDEX('Providers'!$U$4:$U$503,278)),TEXT(INDEX('Providers'!$U$4:$U$503,278),"yyyy-mm-dd"),"")</f>
        <v/>
      </c>
      <c r="H3281">
        <f>"High"</f>
        <v/>
      </c>
      <c r="I3281">
        <f>TRIM(IF(LEN(IF(LEN(INDEX('Providers'!$T$4:$T$503,278))=0,"",INDEX('Providers'!$T$4:$T$503,278)))=0,"","CAQH ID: "&amp;IF(LEN(INDEX('Providers'!$T$4:$T$503,278))=0,"",INDEX('Providers'!$T$4:$T$503,278))&amp;". ")&amp;IF(LEN(IF(ISNUMBER(INDEX('Providers'!$U$4:$U$503,278)),TEXT(INDEX('Providers'!$U$4:$U$503,278),"yyyy-mm-dd"),""))=0,"","Last attested: "&amp;IF(ISNUMBER(INDEX('Providers'!$U$4:$U$503,278)),TEXT(INDEX('Providers'!$U$4:$U$503,278),"yyyy-mm-dd"),"")&amp;". "))</f>
        <v/>
      </c>
      <c r="J3281">
        <f>IF(LEN(INDEX('Providers'!$AJ$4:$AJ$503,278))=0,"",INDEX('Providers'!$AJ$4:$AJ$503,278))</f>
        <v/>
      </c>
      <c r="K3281">
        <f>IF(LEN(INDEX('Providers'!$AI$4:$AI$503,278))=0,"",INDEX('Providers'!$AI$4:$AI$503,278))</f>
        <v/>
      </c>
    </row>
    <row r="3282">
      <c r="A3282">
        <f>IF(AND(LEN('Providers'!A282)&gt;0,ISNUMBER('Providers'!W282)),1,0)</f>
        <v/>
      </c>
      <c r="B3282">
        <f>B3281+A3282</f>
        <v/>
      </c>
      <c r="C3282">
        <f>IF(3279&gt;$B$4503,"",MATCH(3279-0.5,$B$3:$B$4503,1))</f>
        <v/>
      </c>
      <c r="D3282">
        <f>"CAQH re-attestation – "&amp;IF(LEN(INDEX('Providers'!$A$4:$A$503,279))=0,"",INDEX('Providers'!$A$4:$A$503,279))</f>
        <v/>
      </c>
      <c r="E3282">
        <f>IF(ISNUMBER(INDEX('Providers'!$W$4:$W$503,279)),TEXT(INDEX('Providers'!$W$4:$W$503,279),"yyyy-mm-dd"),"")</f>
        <v/>
      </c>
      <c r="F3282">
        <f>"Credentialing"</f>
        <v/>
      </c>
      <c r="G3282">
        <f>IF(ISNUMBER(INDEX('Providers'!$U$4:$U$503,279)),TEXT(INDEX('Providers'!$U$4:$U$503,279),"yyyy-mm-dd"),"")</f>
        <v/>
      </c>
      <c r="H3282">
        <f>"High"</f>
        <v/>
      </c>
      <c r="I3282">
        <f>TRIM(IF(LEN(IF(LEN(INDEX('Providers'!$T$4:$T$503,279))=0,"",INDEX('Providers'!$T$4:$T$503,279)))=0,"","CAQH ID: "&amp;IF(LEN(INDEX('Providers'!$T$4:$T$503,279))=0,"",INDEX('Providers'!$T$4:$T$503,279))&amp;". ")&amp;IF(LEN(IF(ISNUMBER(INDEX('Providers'!$U$4:$U$503,279)),TEXT(INDEX('Providers'!$U$4:$U$503,279),"yyyy-mm-dd"),""))=0,"","Last attested: "&amp;IF(ISNUMBER(INDEX('Providers'!$U$4:$U$503,279)),TEXT(INDEX('Providers'!$U$4:$U$503,279),"yyyy-mm-dd"),"")&amp;". "))</f>
        <v/>
      </c>
      <c r="J3282">
        <f>IF(LEN(INDEX('Providers'!$AJ$4:$AJ$503,279))=0,"",INDEX('Providers'!$AJ$4:$AJ$503,279))</f>
        <v/>
      </c>
      <c r="K3282">
        <f>IF(LEN(INDEX('Providers'!$AI$4:$AI$503,279))=0,"",INDEX('Providers'!$AI$4:$AI$503,279))</f>
        <v/>
      </c>
    </row>
    <row r="3283">
      <c r="A3283">
        <f>IF(AND(LEN('Providers'!A283)&gt;0,ISNUMBER('Providers'!W283)),1,0)</f>
        <v/>
      </c>
      <c r="B3283">
        <f>B3282+A3283</f>
        <v/>
      </c>
      <c r="C3283">
        <f>IF(3280&gt;$B$4503,"",MATCH(3280-0.5,$B$3:$B$4503,1))</f>
        <v/>
      </c>
      <c r="D3283">
        <f>"CAQH re-attestation – "&amp;IF(LEN(INDEX('Providers'!$A$4:$A$503,280))=0,"",INDEX('Providers'!$A$4:$A$503,280))</f>
        <v/>
      </c>
      <c r="E3283">
        <f>IF(ISNUMBER(INDEX('Providers'!$W$4:$W$503,280)),TEXT(INDEX('Providers'!$W$4:$W$503,280),"yyyy-mm-dd"),"")</f>
        <v/>
      </c>
      <c r="F3283">
        <f>"Credentialing"</f>
        <v/>
      </c>
      <c r="G3283">
        <f>IF(ISNUMBER(INDEX('Providers'!$U$4:$U$503,280)),TEXT(INDEX('Providers'!$U$4:$U$503,280),"yyyy-mm-dd"),"")</f>
        <v/>
      </c>
      <c r="H3283">
        <f>"High"</f>
        <v/>
      </c>
      <c r="I3283">
        <f>TRIM(IF(LEN(IF(LEN(INDEX('Providers'!$T$4:$T$503,280))=0,"",INDEX('Providers'!$T$4:$T$503,280)))=0,"","CAQH ID: "&amp;IF(LEN(INDEX('Providers'!$T$4:$T$503,280))=0,"",INDEX('Providers'!$T$4:$T$503,280))&amp;". ")&amp;IF(LEN(IF(ISNUMBER(INDEX('Providers'!$U$4:$U$503,280)),TEXT(INDEX('Providers'!$U$4:$U$503,280),"yyyy-mm-dd"),""))=0,"","Last attested: "&amp;IF(ISNUMBER(INDEX('Providers'!$U$4:$U$503,280)),TEXT(INDEX('Providers'!$U$4:$U$503,280),"yyyy-mm-dd"),"")&amp;". "))</f>
        <v/>
      </c>
      <c r="J3283">
        <f>IF(LEN(INDEX('Providers'!$AJ$4:$AJ$503,280))=0,"",INDEX('Providers'!$AJ$4:$AJ$503,280))</f>
        <v/>
      </c>
      <c r="K3283">
        <f>IF(LEN(INDEX('Providers'!$AI$4:$AI$503,280))=0,"",INDEX('Providers'!$AI$4:$AI$503,280))</f>
        <v/>
      </c>
    </row>
    <row r="3284">
      <c r="A3284">
        <f>IF(AND(LEN('Providers'!A284)&gt;0,ISNUMBER('Providers'!W284)),1,0)</f>
        <v/>
      </c>
      <c r="B3284">
        <f>B3283+A3284</f>
        <v/>
      </c>
      <c r="C3284">
        <f>IF(3281&gt;$B$4503,"",MATCH(3281-0.5,$B$3:$B$4503,1))</f>
        <v/>
      </c>
      <c r="D3284">
        <f>"CAQH re-attestation – "&amp;IF(LEN(INDEX('Providers'!$A$4:$A$503,281))=0,"",INDEX('Providers'!$A$4:$A$503,281))</f>
        <v/>
      </c>
      <c r="E3284">
        <f>IF(ISNUMBER(INDEX('Providers'!$W$4:$W$503,281)),TEXT(INDEX('Providers'!$W$4:$W$503,281),"yyyy-mm-dd"),"")</f>
        <v/>
      </c>
      <c r="F3284">
        <f>"Credentialing"</f>
        <v/>
      </c>
      <c r="G3284">
        <f>IF(ISNUMBER(INDEX('Providers'!$U$4:$U$503,281)),TEXT(INDEX('Providers'!$U$4:$U$503,281),"yyyy-mm-dd"),"")</f>
        <v/>
      </c>
      <c r="H3284">
        <f>"High"</f>
        <v/>
      </c>
      <c r="I3284">
        <f>TRIM(IF(LEN(IF(LEN(INDEX('Providers'!$T$4:$T$503,281))=0,"",INDEX('Providers'!$T$4:$T$503,281)))=0,"","CAQH ID: "&amp;IF(LEN(INDEX('Providers'!$T$4:$T$503,281))=0,"",INDEX('Providers'!$T$4:$T$503,281))&amp;". ")&amp;IF(LEN(IF(ISNUMBER(INDEX('Providers'!$U$4:$U$503,281)),TEXT(INDEX('Providers'!$U$4:$U$503,281),"yyyy-mm-dd"),""))=0,"","Last attested: "&amp;IF(ISNUMBER(INDEX('Providers'!$U$4:$U$503,281)),TEXT(INDEX('Providers'!$U$4:$U$503,281),"yyyy-mm-dd"),"")&amp;". "))</f>
        <v/>
      </c>
      <c r="J3284">
        <f>IF(LEN(INDEX('Providers'!$AJ$4:$AJ$503,281))=0,"",INDEX('Providers'!$AJ$4:$AJ$503,281))</f>
        <v/>
      </c>
      <c r="K3284">
        <f>IF(LEN(INDEX('Providers'!$AI$4:$AI$503,281))=0,"",INDEX('Providers'!$AI$4:$AI$503,281))</f>
        <v/>
      </c>
    </row>
    <row r="3285">
      <c r="A3285">
        <f>IF(AND(LEN('Providers'!A285)&gt;0,ISNUMBER('Providers'!W285)),1,0)</f>
        <v/>
      </c>
      <c r="B3285">
        <f>B3284+A3285</f>
        <v/>
      </c>
      <c r="C3285">
        <f>IF(3282&gt;$B$4503,"",MATCH(3282-0.5,$B$3:$B$4503,1))</f>
        <v/>
      </c>
      <c r="D3285">
        <f>"CAQH re-attestation – "&amp;IF(LEN(INDEX('Providers'!$A$4:$A$503,282))=0,"",INDEX('Providers'!$A$4:$A$503,282))</f>
        <v/>
      </c>
      <c r="E3285">
        <f>IF(ISNUMBER(INDEX('Providers'!$W$4:$W$503,282)),TEXT(INDEX('Providers'!$W$4:$W$503,282),"yyyy-mm-dd"),"")</f>
        <v/>
      </c>
      <c r="F3285">
        <f>"Credentialing"</f>
        <v/>
      </c>
      <c r="G3285">
        <f>IF(ISNUMBER(INDEX('Providers'!$U$4:$U$503,282)),TEXT(INDEX('Providers'!$U$4:$U$503,282),"yyyy-mm-dd"),"")</f>
        <v/>
      </c>
      <c r="H3285">
        <f>"High"</f>
        <v/>
      </c>
      <c r="I3285">
        <f>TRIM(IF(LEN(IF(LEN(INDEX('Providers'!$T$4:$T$503,282))=0,"",INDEX('Providers'!$T$4:$T$503,282)))=0,"","CAQH ID: "&amp;IF(LEN(INDEX('Providers'!$T$4:$T$503,282))=0,"",INDEX('Providers'!$T$4:$T$503,282))&amp;". ")&amp;IF(LEN(IF(ISNUMBER(INDEX('Providers'!$U$4:$U$503,282)),TEXT(INDEX('Providers'!$U$4:$U$503,282),"yyyy-mm-dd"),""))=0,"","Last attested: "&amp;IF(ISNUMBER(INDEX('Providers'!$U$4:$U$503,282)),TEXT(INDEX('Providers'!$U$4:$U$503,282),"yyyy-mm-dd"),"")&amp;". "))</f>
        <v/>
      </c>
      <c r="J3285">
        <f>IF(LEN(INDEX('Providers'!$AJ$4:$AJ$503,282))=0,"",INDEX('Providers'!$AJ$4:$AJ$503,282))</f>
        <v/>
      </c>
      <c r="K3285">
        <f>IF(LEN(INDEX('Providers'!$AI$4:$AI$503,282))=0,"",INDEX('Providers'!$AI$4:$AI$503,282))</f>
        <v/>
      </c>
    </row>
    <row r="3286">
      <c r="A3286">
        <f>IF(AND(LEN('Providers'!A286)&gt;0,ISNUMBER('Providers'!W286)),1,0)</f>
        <v/>
      </c>
      <c r="B3286">
        <f>B3285+A3286</f>
        <v/>
      </c>
      <c r="C3286">
        <f>IF(3283&gt;$B$4503,"",MATCH(3283-0.5,$B$3:$B$4503,1))</f>
        <v/>
      </c>
      <c r="D3286">
        <f>"CAQH re-attestation – "&amp;IF(LEN(INDEX('Providers'!$A$4:$A$503,283))=0,"",INDEX('Providers'!$A$4:$A$503,283))</f>
        <v/>
      </c>
      <c r="E3286">
        <f>IF(ISNUMBER(INDEX('Providers'!$W$4:$W$503,283)),TEXT(INDEX('Providers'!$W$4:$W$503,283),"yyyy-mm-dd"),"")</f>
        <v/>
      </c>
      <c r="F3286">
        <f>"Credentialing"</f>
        <v/>
      </c>
      <c r="G3286">
        <f>IF(ISNUMBER(INDEX('Providers'!$U$4:$U$503,283)),TEXT(INDEX('Providers'!$U$4:$U$503,283),"yyyy-mm-dd"),"")</f>
        <v/>
      </c>
      <c r="H3286">
        <f>"High"</f>
        <v/>
      </c>
      <c r="I3286">
        <f>TRIM(IF(LEN(IF(LEN(INDEX('Providers'!$T$4:$T$503,283))=0,"",INDEX('Providers'!$T$4:$T$503,283)))=0,"","CAQH ID: "&amp;IF(LEN(INDEX('Providers'!$T$4:$T$503,283))=0,"",INDEX('Providers'!$T$4:$T$503,283))&amp;". ")&amp;IF(LEN(IF(ISNUMBER(INDEX('Providers'!$U$4:$U$503,283)),TEXT(INDEX('Providers'!$U$4:$U$503,283),"yyyy-mm-dd"),""))=0,"","Last attested: "&amp;IF(ISNUMBER(INDEX('Providers'!$U$4:$U$503,283)),TEXT(INDEX('Providers'!$U$4:$U$503,283),"yyyy-mm-dd"),"")&amp;". "))</f>
        <v/>
      </c>
      <c r="J3286">
        <f>IF(LEN(INDEX('Providers'!$AJ$4:$AJ$503,283))=0,"",INDEX('Providers'!$AJ$4:$AJ$503,283))</f>
        <v/>
      </c>
      <c r="K3286">
        <f>IF(LEN(INDEX('Providers'!$AI$4:$AI$503,283))=0,"",INDEX('Providers'!$AI$4:$AI$503,283))</f>
        <v/>
      </c>
    </row>
    <row r="3287">
      <c r="A3287">
        <f>IF(AND(LEN('Providers'!A287)&gt;0,ISNUMBER('Providers'!W287)),1,0)</f>
        <v/>
      </c>
      <c r="B3287">
        <f>B3286+A3287</f>
        <v/>
      </c>
      <c r="C3287">
        <f>IF(3284&gt;$B$4503,"",MATCH(3284-0.5,$B$3:$B$4503,1))</f>
        <v/>
      </c>
      <c r="D3287">
        <f>"CAQH re-attestation – "&amp;IF(LEN(INDEX('Providers'!$A$4:$A$503,284))=0,"",INDEX('Providers'!$A$4:$A$503,284))</f>
        <v/>
      </c>
      <c r="E3287">
        <f>IF(ISNUMBER(INDEX('Providers'!$W$4:$W$503,284)),TEXT(INDEX('Providers'!$W$4:$W$503,284),"yyyy-mm-dd"),"")</f>
        <v/>
      </c>
      <c r="F3287">
        <f>"Credentialing"</f>
        <v/>
      </c>
      <c r="G3287">
        <f>IF(ISNUMBER(INDEX('Providers'!$U$4:$U$503,284)),TEXT(INDEX('Providers'!$U$4:$U$503,284),"yyyy-mm-dd"),"")</f>
        <v/>
      </c>
      <c r="H3287">
        <f>"High"</f>
        <v/>
      </c>
      <c r="I3287">
        <f>TRIM(IF(LEN(IF(LEN(INDEX('Providers'!$T$4:$T$503,284))=0,"",INDEX('Providers'!$T$4:$T$503,284)))=0,"","CAQH ID: "&amp;IF(LEN(INDEX('Providers'!$T$4:$T$503,284))=0,"",INDEX('Providers'!$T$4:$T$503,284))&amp;". ")&amp;IF(LEN(IF(ISNUMBER(INDEX('Providers'!$U$4:$U$503,284)),TEXT(INDEX('Providers'!$U$4:$U$503,284),"yyyy-mm-dd"),""))=0,"","Last attested: "&amp;IF(ISNUMBER(INDEX('Providers'!$U$4:$U$503,284)),TEXT(INDEX('Providers'!$U$4:$U$503,284),"yyyy-mm-dd"),"")&amp;". "))</f>
        <v/>
      </c>
      <c r="J3287">
        <f>IF(LEN(INDEX('Providers'!$AJ$4:$AJ$503,284))=0,"",INDEX('Providers'!$AJ$4:$AJ$503,284))</f>
        <v/>
      </c>
      <c r="K3287">
        <f>IF(LEN(INDEX('Providers'!$AI$4:$AI$503,284))=0,"",INDEX('Providers'!$AI$4:$AI$503,284))</f>
        <v/>
      </c>
    </row>
    <row r="3288">
      <c r="A3288">
        <f>IF(AND(LEN('Providers'!A288)&gt;0,ISNUMBER('Providers'!W288)),1,0)</f>
        <v/>
      </c>
      <c r="B3288">
        <f>B3287+A3288</f>
        <v/>
      </c>
      <c r="C3288">
        <f>IF(3285&gt;$B$4503,"",MATCH(3285-0.5,$B$3:$B$4503,1))</f>
        <v/>
      </c>
      <c r="D3288">
        <f>"CAQH re-attestation – "&amp;IF(LEN(INDEX('Providers'!$A$4:$A$503,285))=0,"",INDEX('Providers'!$A$4:$A$503,285))</f>
        <v/>
      </c>
      <c r="E3288">
        <f>IF(ISNUMBER(INDEX('Providers'!$W$4:$W$503,285)),TEXT(INDEX('Providers'!$W$4:$W$503,285),"yyyy-mm-dd"),"")</f>
        <v/>
      </c>
      <c r="F3288">
        <f>"Credentialing"</f>
        <v/>
      </c>
      <c r="G3288">
        <f>IF(ISNUMBER(INDEX('Providers'!$U$4:$U$503,285)),TEXT(INDEX('Providers'!$U$4:$U$503,285),"yyyy-mm-dd"),"")</f>
        <v/>
      </c>
      <c r="H3288">
        <f>"High"</f>
        <v/>
      </c>
      <c r="I3288">
        <f>TRIM(IF(LEN(IF(LEN(INDEX('Providers'!$T$4:$T$503,285))=0,"",INDEX('Providers'!$T$4:$T$503,285)))=0,"","CAQH ID: "&amp;IF(LEN(INDEX('Providers'!$T$4:$T$503,285))=0,"",INDEX('Providers'!$T$4:$T$503,285))&amp;". ")&amp;IF(LEN(IF(ISNUMBER(INDEX('Providers'!$U$4:$U$503,285)),TEXT(INDEX('Providers'!$U$4:$U$503,285),"yyyy-mm-dd"),""))=0,"","Last attested: "&amp;IF(ISNUMBER(INDEX('Providers'!$U$4:$U$503,285)),TEXT(INDEX('Providers'!$U$4:$U$503,285),"yyyy-mm-dd"),"")&amp;". "))</f>
        <v/>
      </c>
      <c r="J3288">
        <f>IF(LEN(INDEX('Providers'!$AJ$4:$AJ$503,285))=0,"",INDEX('Providers'!$AJ$4:$AJ$503,285))</f>
        <v/>
      </c>
      <c r="K3288">
        <f>IF(LEN(INDEX('Providers'!$AI$4:$AI$503,285))=0,"",INDEX('Providers'!$AI$4:$AI$503,285))</f>
        <v/>
      </c>
    </row>
    <row r="3289">
      <c r="A3289">
        <f>IF(AND(LEN('Providers'!A289)&gt;0,ISNUMBER('Providers'!W289)),1,0)</f>
        <v/>
      </c>
      <c r="B3289">
        <f>B3288+A3289</f>
        <v/>
      </c>
      <c r="C3289">
        <f>IF(3286&gt;$B$4503,"",MATCH(3286-0.5,$B$3:$B$4503,1))</f>
        <v/>
      </c>
      <c r="D3289">
        <f>"CAQH re-attestation – "&amp;IF(LEN(INDEX('Providers'!$A$4:$A$503,286))=0,"",INDEX('Providers'!$A$4:$A$503,286))</f>
        <v/>
      </c>
      <c r="E3289">
        <f>IF(ISNUMBER(INDEX('Providers'!$W$4:$W$503,286)),TEXT(INDEX('Providers'!$W$4:$W$503,286),"yyyy-mm-dd"),"")</f>
        <v/>
      </c>
      <c r="F3289">
        <f>"Credentialing"</f>
        <v/>
      </c>
      <c r="G3289">
        <f>IF(ISNUMBER(INDEX('Providers'!$U$4:$U$503,286)),TEXT(INDEX('Providers'!$U$4:$U$503,286),"yyyy-mm-dd"),"")</f>
        <v/>
      </c>
      <c r="H3289">
        <f>"High"</f>
        <v/>
      </c>
      <c r="I3289">
        <f>TRIM(IF(LEN(IF(LEN(INDEX('Providers'!$T$4:$T$503,286))=0,"",INDEX('Providers'!$T$4:$T$503,286)))=0,"","CAQH ID: "&amp;IF(LEN(INDEX('Providers'!$T$4:$T$503,286))=0,"",INDEX('Providers'!$T$4:$T$503,286))&amp;". ")&amp;IF(LEN(IF(ISNUMBER(INDEX('Providers'!$U$4:$U$503,286)),TEXT(INDEX('Providers'!$U$4:$U$503,286),"yyyy-mm-dd"),""))=0,"","Last attested: "&amp;IF(ISNUMBER(INDEX('Providers'!$U$4:$U$503,286)),TEXT(INDEX('Providers'!$U$4:$U$503,286),"yyyy-mm-dd"),"")&amp;". "))</f>
        <v/>
      </c>
      <c r="J3289">
        <f>IF(LEN(INDEX('Providers'!$AJ$4:$AJ$503,286))=0,"",INDEX('Providers'!$AJ$4:$AJ$503,286))</f>
        <v/>
      </c>
      <c r="K3289">
        <f>IF(LEN(INDEX('Providers'!$AI$4:$AI$503,286))=0,"",INDEX('Providers'!$AI$4:$AI$503,286))</f>
        <v/>
      </c>
    </row>
    <row r="3290">
      <c r="A3290">
        <f>IF(AND(LEN('Providers'!A290)&gt;0,ISNUMBER('Providers'!W290)),1,0)</f>
        <v/>
      </c>
      <c r="B3290">
        <f>B3289+A3290</f>
        <v/>
      </c>
      <c r="C3290">
        <f>IF(3287&gt;$B$4503,"",MATCH(3287-0.5,$B$3:$B$4503,1))</f>
        <v/>
      </c>
      <c r="D3290">
        <f>"CAQH re-attestation – "&amp;IF(LEN(INDEX('Providers'!$A$4:$A$503,287))=0,"",INDEX('Providers'!$A$4:$A$503,287))</f>
        <v/>
      </c>
      <c r="E3290">
        <f>IF(ISNUMBER(INDEX('Providers'!$W$4:$W$503,287)),TEXT(INDEX('Providers'!$W$4:$W$503,287),"yyyy-mm-dd"),"")</f>
        <v/>
      </c>
      <c r="F3290">
        <f>"Credentialing"</f>
        <v/>
      </c>
      <c r="G3290">
        <f>IF(ISNUMBER(INDEX('Providers'!$U$4:$U$503,287)),TEXT(INDEX('Providers'!$U$4:$U$503,287),"yyyy-mm-dd"),"")</f>
        <v/>
      </c>
      <c r="H3290">
        <f>"High"</f>
        <v/>
      </c>
      <c r="I3290">
        <f>TRIM(IF(LEN(IF(LEN(INDEX('Providers'!$T$4:$T$503,287))=0,"",INDEX('Providers'!$T$4:$T$503,287)))=0,"","CAQH ID: "&amp;IF(LEN(INDEX('Providers'!$T$4:$T$503,287))=0,"",INDEX('Providers'!$T$4:$T$503,287))&amp;". ")&amp;IF(LEN(IF(ISNUMBER(INDEX('Providers'!$U$4:$U$503,287)),TEXT(INDEX('Providers'!$U$4:$U$503,287),"yyyy-mm-dd"),""))=0,"","Last attested: "&amp;IF(ISNUMBER(INDEX('Providers'!$U$4:$U$503,287)),TEXT(INDEX('Providers'!$U$4:$U$503,287),"yyyy-mm-dd"),"")&amp;". "))</f>
        <v/>
      </c>
      <c r="J3290">
        <f>IF(LEN(INDEX('Providers'!$AJ$4:$AJ$503,287))=0,"",INDEX('Providers'!$AJ$4:$AJ$503,287))</f>
        <v/>
      </c>
      <c r="K3290">
        <f>IF(LEN(INDEX('Providers'!$AI$4:$AI$503,287))=0,"",INDEX('Providers'!$AI$4:$AI$503,287))</f>
        <v/>
      </c>
    </row>
    <row r="3291">
      <c r="A3291">
        <f>IF(AND(LEN('Providers'!A291)&gt;0,ISNUMBER('Providers'!W291)),1,0)</f>
        <v/>
      </c>
      <c r="B3291">
        <f>B3290+A3291</f>
        <v/>
      </c>
      <c r="C3291">
        <f>IF(3288&gt;$B$4503,"",MATCH(3288-0.5,$B$3:$B$4503,1))</f>
        <v/>
      </c>
      <c r="D3291">
        <f>"CAQH re-attestation – "&amp;IF(LEN(INDEX('Providers'!$A$4:$A$503,288))=0,"",INDEX('Providers'!$A$4:$A$503,288))</f>
        <v/>
      </c>
      <c r="E3291">
        <f>IF(ISNUMBER(INDEX('Providers'!$W$4:$W$503,288)),TEXT(INDEX('Providers'!$W$4:$W$503,288),"yyyy-mm-dd"),"")</f>
        <v/>
      </c>
      <c r="F3291">
        <f>"Credentialing"</f>
        <v/>
      </c>
      <c r="G3291">
        <f>IF(ISNUMBER(INDEX('Providers'!$U$4:$U$503,288)),TEXT(INDEX('Providers'!$U$4:$U$503,288),"yyyy-mm-dd"),"")</f>
        <v/>
      </c>
      <c r="H3291">
        <f>"High"</f>
        <v/>
      </c>
      <c r="I3291">
        <f>TRIM(IF(LEN(IF(LEN(INDEX('Providers'!$T$4:$T$503,288))=0,"",INDEX('Providers'!$T$4:$T$503,288)))=0,"","CAQH ID: "&amp;IF(LEN(INDEX('Providers'!$T$4:$T$503,288))=0,"",INDEX('Providers'!$T$4:$T$503,288))&amp;". ")&amp;IF(LEN(IF(ISNUMBER(INDEX('Providers'!$U$4:$U$503,288)),TEXT(INDEX('Providers'!$U$4:$U$503,288),"yyyy-mm-dd"),""))=0,"","Last attested: "&amp;IF(ISNUMBER(INDEX('Providers'!$U$4:$U$503,288)),TEXT(INDEX('Providers'!$U$4:$U$503,288),"yyyy-mm-dd"),"")&amp;". "))</f>
        <v/>
      </c>
      <c r="J3291">
        <f>IF(LEN(INDEX('Providers'!$AJ$4:$AJ$503,288))=0,"",INDEX('Providers'!$AJ$4:$AJ$503,288))</f>
        <v/>
      </c>
      <c r="K3291">
        <f>IF(LEN(INDEX('Providers'!$AI$4:$AI$503,288))=0,"",INDEX('Providers'!$AI$4:$AI$503,288))</f>
        <v/>
      </c>
    </row>
    <row r="3292">
      <c r="A3292">
        <f>IF(AND(LEN('Providers'!A292)&gt;0,ISNUMBER('Providers'!W292)),1,0)</f>
        <v/>
      </c>
      <c r="B3292">
        <f>B3291+A3292</f>
        <v/>
      </c>
      <c r="C3292">
        <f>IF(3289&gt;$B$4503,"",MATCH(3289-0.5,$B$3:$B$4503,1))</f>
        <v/>
      </c>
      <c r="D3292">
        <f>"CAQH re-attestation – "&amp;IF(LEN(INDEX('Providers'!$A$4:$A$503,289))=0,"",INDEX('Providers'!$A$4:$A$503,289))</f>
        <v/>
      </c>
      <c r="E3292">
        <f>IF(ISNUMBER(INDEX('Providers'!$W$4:$W$503,289)),TEXT(INDEX('Providers'!$W$4:$W$503,289),"yyyy-mm-dd"),"")</f>
        <v/>
      </c>
      <c r="F3292">
        <f>"Credentialing"</f>
        <v/>
      </c>
      <c r="G3292">
        <f>IF(ISNUMBER(INDEX('Providers'!$U$4:$U$503,289)),TEXT(INDEX('Providers'!$U$4:$U$503,289),"yyyy-mm-dd"),"")</f>
        <v/>
      </c>
      <c r="H3292">
        <f>"High"</f>
        <v/>
      </c>
      <c r="I3292">
        <f>TRIM(IF(LEN(IF(LEN(INDEX('Providers'!$T$4:$T$503,289))=0,"",INDEX('Providers'!$T$4:$T$503,289)))=0,"","CAQH ID: "&amp;IF(LEN(INDEX('Providers'!$T$4:$T$503,289))=0,"",INDEX('Providers'!$T$4:$T$503,289))&amp;". ")&amp;IF(LEN(IF(ISNUMBER(INDEX('Providers'!$U$4:$U$503,289)),TEXT(INDEX('Providers'!$U$4:$U$503,289),"yyyy-mm-dd"),""))=0,"","Last attested: "&amp;IF(ISNUMBER(INDEX('Providers'!$U$4:$U$503,289)),TEXT(INDEX('Providers'!$U$4:$U$503,289),"yyyy-mm-dd"),"")&amp;". "))</f>
        <v/>
      </c>
      <c r="J3292">
        <f>IF(LEN(INDEX('Providers'!$AJ$4:$AJ$503,289))=0,"",INDEX('Providers'!$AJ$4:$AJ$503,289))</f>
        <v/>
      </c>
      <c r="K3292">
        <f>IF(LEN(INDEX('Providers'!$AI$4:$AI$503,289))=0,"",INDEX('Providers'!$AI$4:$AI$503,289))</f>
        <v/>
      </c>
    </row>
    <row r="3293">
      <c r="A3293">
        <f>IF(AND(LEN('Providers'!A293)&gt;0,ISNUMBER('Providers'!W293)),1,0)</f>
        <v/>
      </c>
      <c r="B3293">
        <f>B3292+A3293</f>
        <v/>
      </c>
      <c r="C3293">
        <f>IF(3290&gt;$B$4503,"",MATCH(3290-0.5,$B$3:$B$4503,1))</f>
        <v/>
      </c>
      <c r="D3293">
        <f>"CAQH re-attestation – "&amp;IF(LEN(INDEX('Providers'!$A$4:$A$503,290))=0,"",INDEX('Providers'!$A$4:$A$503,290))</f>
        <v/>
      </c>
      <c r="E3293">
        <f>IF(ISNUMBER(INDEX('Providers'!$W$4:$W$503,290)),TEXT(INDEX('Providers'!$W$4:$W$503,290),"yyyy-mm-dd"),"")</f>
        <v/>
      </c>
      <c r="F3293">
        <f>"Credentialing"</f>
        <v/>
      </c>
      <c r="G3293">
        <f>IF(ISNUMBER(INDEX('Providers'!$U$4:$U$503,290)),TEXT(INDEX('Providers'!$U$4:$U$503,290),"yyyy-mm-dd"),"")</f>
        <v/>
      </c>
      <c r="H3293">
        <f>"High"</f>
        <v/>
      </c>
      <c r="I3293">
        <f>TRIM(IF(LEN(IF(LEN(INDEX('Providers'!$T$4:$T$503,290))=0,"",INDEX('Providers'!$T$4:$T$503,290)))=0,"","CAQH ID: "&amp;IF(LEN(INDEX('Providers'!$T$4:$T$503,290))=0,"",INDEX('Providers'!$T$4:$T$503,290))&amp;". ")&amp;IF(LEN(IF(ISNUMBER(INDEX('Providers'!$U$4:$U$503,290)),TEXT(INDEX('Providers'!$U$4:$U$503,290),"yyyy-mm-dd"),""))=0,"","Last attested: "&amp;IF(ISNUMBER(INDEX('Providers'!$U$4:$U$503,290)),TEXT(INDEX('Providers'!$U$4:$U$503,290),"yyyy-mm-dd"),"")&amp;". "))</f>
        <v/>
      </c>
      <c r="J3293">
        <f>IF(LEN(INDEX('Providers'!$AJ$4:$AJ$503,290))=0,"",INDEX('Providers'!$AJ$4:$AJ$503,290))</f>
        <v/>
      </c>
      <c r="K3293">
        <f>IF(LEN(INDEX('Providers'!$AI$4:$AI$503,290))=0,"",INDEX('Providers'!$AI$4:$AI$503,290))</f>
        <v/>
      </c>
    </row>
    <row r="3294">
      <c r="A3294">
        <f>IF(AND(LEN('Providers'!A294)&gt;0,ISNUMBER('Providers'!W294)),1,0)</f>
        <v/>
      </c>
      <c r="B3294">
        <f>B3293+A3294</f>
        <v/>
      </c>
      <c r="C3294">
        <f>IF(3291&gt;$B$4503,"",MATCH(3291-0.5,$B$3:$B$4503,1))</f>
        <v/>
      </c>
      <c r="D3294">
        <f>"CAQH re-attestation – "&amp;IF(LEN(INDEX('Providers'!$A$4:$A$503,291))=0,"",INDEX('Providers'!$A$4:$A$503,291))</f>
        <v/>
      </c>
      <c r="E3294">
        <f>IF(ISNUMBER(INDEX('Providers'!$W$4:$W$503,291)),TEXT(INDEX('Providers'!$W$4:$W$503,291),"yyyy-mm-dd"),"")</f>
        <v/>
      </c>
      <c r="F3294">
        <f>"Credentialing"</f>
        <v/>
      </c>
      <c r="G3294">
        <f>IF(ISNUMBER(INDEX('Providers'!$U$4:$U$503,291)),TEXT(INDEX('Providers'!$U$4:$U$503,291),"yyyy-mm-dd"),"")</f>
        <v/>
      </c>
      <c r="H3294">
        <f>"High"</f>
        <v/>
      </c>
      <c r="I3294">
        <f>TRIM(IF(LEN(IF(LEN(INDEX('Providers'!$T$4:$T$503,291))=0,"",INDEX('Providers'!$T$4:$T$503,291)))=0,"","CAQH ID: "&amp;IF(LEN(INDEX('Providers'!$T$4:$T$503,291))=0,"",INDEX('Providers'!$T$4:$T$503,291))&amp;". ")&amp;IF(LEN(IF(ISNUMBER(INDEX('Providers'!$U$4:$U$503,291)),TEXT(INDEX('Providers'!$U$4:$U$503,291),"yyyy-mm-dd"),""))=0,"","Last attested: "&amp;IF(ISNUMBER(INDEX('Providers'!$U$4:$U$503,291)),TEXT(INDEX('Providers'!$U$4:$U$503,291),"yyyy-mm-dd"),"")&amp;". "))</f>
        <v/>
      </c>
      <c r="J3294">
        <f>IF(LEN(INDEX('Providers'!$AJ$4:$AJ$503,291))=0,"",INDEX('Providers'!$AJ$4:$AJ$503,291))</f>
        <v/>
      </c>
      <c r="K3294">
        <f>IF(LEN(INDEX('Providers'!$AI$4:$AI$503,291))=0,"",INDEX('Providers'!$AI$4:$AI$503,291))</f>
        <v/>
      </c>
    </row>
    <row r="3295">
      <c r="A3295">
        <f>IF(AND(LEN('Providers'!A295)&gt;0,ISNUMBER('Providers'!W295)),1,0)</f>
        <v/>
      </c>
      <c r="B3295">
        <f>B3294+A3295</f>
        <v/>
      </c>
      <c r="C3295">
        <f>IF(3292&gt;$B$4503,"",MATCH(3292-0.5,$B$3:$B$4503,1))</f>
        <v/>
      </c>
      <c r="D3295">
        <f>"CAQH re-attestation – "&amp;IF(LEN(INDEX('Providers'!$A$4:$A$503,292))=0,"",INDEX('Providers'!$A$4:$A$503,292))</f>
        <v/>
      </c>
      <c r="E3295">
        <f>IF(ISNUMBER(INDEX('Providers'!$W$4:$W$503,292)),TEXT(INDEX('Providers'!$W$4:$W$503,292),"yyyy-mm-dd"),"")</f>
        <v/>
      </c>
      <c r="F3295">
        <f>"Credentialing"</f>
        <v/>
      </c>
      <c r="G3295">
        <f>IF(ISNUMBER(INDEX('Providers'!$U$4:$U$503,292)),TEXT(INDEX('Providers'!$U$4:$U$503,292),"yyyy-mm-dd"),"")</f>
        <v/>
      </c>
      <c r="H3295">
        <f>"High"</f>
        <v/>
      </c>
      <c r="I3295">
        <f>TRIM(IF(LEN(IF(LEN(INDEX('Providers'!$T$4:$T$503,292))=0,"",INDEX('Providers'!$T$4:$T$503,292)))=0,"","CAQH ID: "&amp;IF(LEN(INDEX('Providers'!$T$4:$T$503,292))=0,"",INDEX('Providers'!$T$4:$T$503,292))&amp;". ")&amp;IF(LEN(IF(ISNUMBER(INDEX('Providers'!$U$4:$U$503,292)),TEXT(INDEX('Providers'!$U$4:$U$503,292),"yyyy-mm-dd"),""))=0,"","Last attested: "&amp;IF(ISNUMBER(INDEX('Providers'!$U$4:$U$503,292)),TEXT(INDEX('Providers'!$U$4:$U$503,292),"yyyy-mm-dd"),"")&amp;". "))</f>
        <v/>
      </c>
      <c r="J3295">
        <f>IF(LEN(INDEX('Providers'!$AJ$4:$AJ$503,292))=0,"",INDEX('Providers'!$AJ$4:$AJ$503,292))</f>
        <v/>
      </c>
      <c r="K3295">
        <f>IF(LEN(INDEX('Providers'!$AI$4:$AI$503,292))=0,"",INDEX('Providers'!$AI$4:$AI$503,292))</f>
        <v/>
      </c>
    </row>
    <row r="3296">
      <c r="A3296">
        <f>IF(AND(LEN('Providers'!A296)&gt;0,ISNUMBER('Providers'!W296)),1,0)</f>
        <v/>
      </c>
      <c r="B3296">
        <f>B3295+A3296</f>
        <v/>
      </c>
      <c r="C3296">
        <f>IF(3293&gt;$B$4503,"",MATCH(3293-0.5,$B$3:$B$4503,1))</f>
        <v/>
      </c>
      <c r="D3296">
        <f>"CAQH re-attestation – "&amp;IF(LEN(INDEX('Providers'!$A$4:$A$503,293))=0,"",INDEX('Providers'!$A$4:$A$503,293))</f>
        <v/>
      </c>
      <c r="E3296">
        <f>IF(ISNUMBER(INDEX('Providers'!$W$4:$W$503,293)),TEXT(INDEX('Providers'!$W$4:$W$503,293),"yyyy-mm-dd"),"")</f>
        <v/>
      </c>
      <c r="F3296">
        <f>"Credentialing"</f>
        <v/>
      </c>
      <c r="G3296">
        <f>IF(ISNUMBER(INDEX('Providers'!$U$4:$U$503,293)),TEXT(INDEX('Providers'!$U$4:$U$503,293),"yyyy-mm-dd"),"")</f>
        <v/>
      </c>
      <c r="H3296">
        <f>"High"</f>
        <v/>
      </c>
      <c r="I3296">
        <f>TRIM(IF(LEN(IF(LEN(INDEX('Providers'!$T$4:$T$503,293))=0,"",INDEX('Providers'!$T$4:$T$503,293)))=0,"","CAQH ID: "&amp;IF(LEN(INDEX('Providers'!$T$4:$T$503,293))=0,"",INDEX('Providers'!$T$4:$T$503,293))&amp;". ")&amp;IF(LEN(IF(ISNUMBER(INDEX('Providers'!$U$4:$U$503,293)),TEXT(INDEX('Providers'!$U$4:$U$503,293),"yyyy-mm-dd"),""))=0,"","Last attested: "&amp;IF(ISNUMBER(INDEX('Providers'!$U$4:$U$503,293)),TEXT(INDEX('Providers'!$U$4:$U$503,293),"yyyy-mm-dd"),"")&amp;". "))</f>
        <v/>
      </c>
      <c r="J3296">
        <f>IF(LEN(INDEX('Providers'!$AJ$4:$AJ$503,293))=0,"",INDEX('Providers'!$AJ$4:$AJ$503,293))</f>
        <v/>
      </c>
      <c r="K3296">
        <f>IF(LEN(INDEX('Providers'!$AI$4:$AI$503,293))=0,"",INDEX('Providers'!$AI$4:$AI$503,293))</f>
        <v/>
      </c>
    </row>
    <row r="3297">
      <c r="A3297">
        <f>IF(AND(LEN('Providers'!A297)&gt;0,ISNUMBER('Providers'!W297)),1,0)</f>
        <v/>
      </c>
      <c r="B3297">
        <f>B3296+A3297</f>
        <v/>
      </c>
      <c r="C3297">
        <f>IF(3294&gt;$B$4503,"",MATCH(3294-0.5,$B$3:$B$4503,1))</f>
        <v/>
      </c>
      <c r="D3297">
        <f>"CAQH re-attestation – "&amp;IF(LEN(INDEX('Providers'!$A$4:$A$503,294))=0,"",INDEX('Providers'!$A$4:$A$503,294))</f>
        <v/>
      </c>
      <c r="E3297">
        <f>IF(ISNUMBER(INDEX('Providers'!$W$4:$W$503,294)),TEXT(INDEX('Providers'!$W$4:$W$503,294),"yyyy-mm-dd"),"")</f>
        <v/>
      </c>
      <c r="F3297">
        <f>"Credentialing"</f>
        <v/>
      </c>
      <c r="G3297">
        <f>IF(ISNUMBER(INDEX('Providers'!$U$4:$U$503,294)),TEXT(INDEX('Providers'!$U$4:$U$503,294),"yyyy-mm-dd"),"")</f>
        <v/>
      </c>
      <c r="H3297">
        <f>"High"</f>
        <v/>
      </c>
      <c r="I3297">
        <f>TRIM(IF(LEN(IF(LEN(INDEX('Providers'!$T$4:$T$503,294))=0,"",INDEX('Providers'!$T$4:$T$503,294)))=0,"","CAQH ID: "&amp;IF(LEN(INDEX('Providers'!$T$4:$T$503,294))=0,"",INDEX('Providers'!$T$4:$T$503,294))&amp;". ")&amp;IF(LEN(IF(ISNUMBER(INDEX('Providers'!$U$4:$U$503,294)),TEXT(INDEX('Providers'!$U$4:$U$503,294),"yyyy-mm-dd"),""))=0,"","Last attested: "&amp;IF(ISNUMBER(INDEX('Providers'!$U$4:$U$503,294)),TEXT(INDEX('Providers'!$U$4:$U$503,294),"yyyy-mm-dd"),"")&amp;". "))</f>
        <v/>
      </c>
      <c r="J3297">
        <f>IF(LEN(INDEX('Providers'!$AJ$4:$AJ$503,294))=0,"",INDEX('Providers'!$AJ$4:$AJ$503,294))</f>
        <v/>
      </c>
      <c r="K3297">
        <f>IF(LEN(INDEX('Providers'!$AI$4:$AI$503,294))=0,"",INDEX('Providers'!$AI$4:$AI$503,294))</f>
        <v/>
      </c>
    </row>
    <row r="3298">
      <c r="A3298">
        <f>IF(AND(LEN('Providers'!A298)&gt;0,ISNUMBER('Providers'!W298)),1,0)</f>
        <v/>
      </c>
      <c r="B3298">
        <f>B3297+A3298</f>
        <v/>
      </c>
      <c r="C3298">
        <f>IF(3295&gt;$B$4503,"",MATCH(3295-0.5,$B$3:$B$4503,1))</f>
        <v/>
      </c>
      <c r="D3298">
        <f>"CAQH re-attestation – "&amp;IF(LEN(INDEX('Providers'!$A$4:$A$503,295))=0,"",INDEX('Providers'!$A$4:$A$503,295))</f>
        <v/>
      </c>
      <c r="E3298">
        <f>IF(ISNUMBER(INDEX('Providers'!$W$4:$W$503,295)),TEXT(INDEX('Providers'!$W$4:$W$503,295),"yyyy-mm-dd"),"")</f>
        <v/>
      </c>
      <c r="F3298">
        <f>"Credentialing"</f>
        <v/>
      </c>
      <c r="G3298">
        <f>IF(ISNUMBER(INDEX('Providers'!$U$4:$U$503,295)),TEXT(INDEX('Providers'!$U$4:$U$503,295),"yyyy-mm-dd"),"")</f>
        <v/>
      </c>
      <c r="H3298">
        <f>"High"</f>
        <v/>
      </c>
      <c r="I3298">
        <f>TRIM(IF(LEN(IF(LEN(INDEX('Providers'!$T$4:$T$503,295))=0,"",INDEX('Providers'!$T$4:$T$503,295)))=0,"","CAQH ID: "&amp;IF(LEN(INDEX('Providers'!$T$4:$T$503,295))=0,"",INDEX('Providers'!$T$4:$T$503,295))&amp;". ")&amp;IF(LEN(IF(ISNUMBER(INDEX('Providers'!$U$4:$U$503,295)),TEXT(INDEX('Providers'!$U$4:$U$503,295),"yyyy-mm-dd"),""))=0,"","Last attested: "&amp;IF(ISNUMBER(INDEX('Providers'!$U$4:$U$503,295)),TEXT(INDEX('Providers'!$U$4:$U$503,295),"yyyy-mm-dd"),"")&amp;". "))</f>
        <v/>
      </c>
      <c r="J3298">
        <f>IF(LEN(INDEX('Providers'!$AJ$4:$AJ$503,295))=0,"",INDEX('Providers'!$AJ$4:$AJ$503,295))</f>
        <v/>
      </c>
      <c r="K3298">
        <f>IF(LEN(INDEX('Providers'!$AI$4:$AI$503,295))=0,"",INDEX('Providers'!$AI$4:$AI$503,295))</f>
        <v/>
      </c>
    </row>
    <row r="3299">
      <c r="A3299">
        <f>IF(AND(LEN('Providers'!A299)&gt;0,ISNUMBER('Providers'!W299)),1,0)</f>
        <v/>
      </c>
      <c r="B3299">
        <f>B3298+A3299</f>
        <v/>
      </c>
      <c r="C3299">
        <f>IF(3296&gt;$B$4503,"",MATCH(3296-0.5,$B$3:$B$4503,1))</f>
        <v/>
      </c>
      <c r="D3299">
        <f>"CAQH re-attestation – "&amp;IF(LEN(INDEX('Providers'!$A$4:$A$503,296))=0,"",INDEX('Providers'!$A$4:$A$503,296))</f>
        <v/>
      </c>
      <c r="E3299">
        <f>IF(ISNUMBER(INDEX('Providers'!$W$4:$W$503,296)),TEXT(INDEX('Providers'!$W$4:$W$503,296),"yyyy-mm-dd"),"")</f>
        <v/>
      </c>
      <c r="F3299">
        <f>"Credentialing"</f>
        <v/>
      </c>
      <c r="G3299">
        <f>IF(ISNUMBER(INDEX('Providers'!$U$4:$U$503,296)),TEXT(INDEX('Providers'!$U$4:$U$503,296),"yyyy-mm-dd"),"")</f>
        <v/>
      </c>
      <c r="H3299">
        <f>"High"</f>
        <v/>
      </c>
      <c r="I3299">
        <f>TRIM(IF(LEN(IF(LEN(INDEX('Providers'!$T$4:$T$503,296))=0,"",INDEX('Providers'!$T$4:$T$503,296)))=0,"","CAQH ID: "&amp;IF(LEN(INDEX('Providers'!$T$4:$T$503,296))=0,"",INDEX('Providers'!$T$4:$T$503,296))&amp;". ")&amp;IF(LEN(IF(ISNUMBER(INDEX('Providers'!$U$4:$U$503,296)),TEXT(INDEX('Providers'!$U$4:$U$503,296),"yyyy-mm-dd"),""))=0,"","Last attested: "&amp;IF(ISNUMBER(INDEX('Providers'!$U$4:$U$503,296)),TEXT(INDEX('Providers'!$U$4:$U$503,296),"yyyy-mm-dd"),"")&amp;". "))</f>
        <v/>
      </c>
      <c r="J3299">
        <f>IF(LEN(INDEX('Providers'!$AJ$4:$AJ$503,296))=0,"",INDEX('Providers'!$AJ$4:$AJ$503,296))</f>
        <v/>
      </c>
      <c r="K3299">
        <f>IF(LEN(INDEX('Providers'!$AI$4:$AI$503,296))=0,"",INDEX('Providers'!$AI$4:$AI$503,296))</f>
        <v/>
      </c>
    </row>
    <row r="3300">
      <c r="A3300">
        <f>IF(AND(LEN('Providers'!A300)&gt;0,ISNUMBER('Providers'!W300)),1,0)</f>
        <v/>
      </c>
      <c r="B3300">
        <f>B3299+A3300</f>
        <v/>
      </c>
      <c r="C3300">
        <f>IF(3297&gt;$B$4503,"",MATCH(3297-0.5,$B$3:$B$4503,1))</f>
        <v/>
      </c>
      <c r="D3300">
        <f>"CAQH re-attestation – "&amp;IF(LEN(INDEX('Providers'!$A$4:$A$503,297))=0,"",INDEX('Providers'!$A$4:$A$503,297))</f>
        <v/>
      </c>
      <c r="E3300">
        <f>IF(ISNUMBER(INDEX('Providers'!$W$4:$W$503,297)),TEXT(INDEX('Providers'!$W$4:$W$503,297),"yyyy-mm-dd"),"")</f>
        <v/>
      </c>
      <c r="F3300">
        <f>"Credentialing"</f>
        <v/>
      </c>
      <c r="G3300">
        <f>IF(ISNUMBER(INDEX('Providers'!$U$4:$U$503,297)),TEXT(INDEX('Providers'!$U$4:$U$503,297),"yyyy-mm-dd"),"")</f>
        <v/>
      </c>
      <c r="H3300">
        <f>"High"</f>
        <v/>
      </c>
      <c r="I3300">
        <f>TRIM(IF(LEN(IF(LEN(INDEX('Providers'!$T$4:$T$503,297))=0,"",INDEX('Providers'!$T$4:$T$503,297)))=0,"","CAQH ID: "&amp;IF(LEN(INDEX('Providers'!$T$4:$T$503,297))=0,"",INDEX('Providers'!$T$4:$T$503,297))&amp;". ")&amp;IF(LEN(IF(ISNUMBER(INDEX('Providers'!$U$4:$U$503,297)),TEXT(INDEX('Providers'!$U$4:$U$503,297),"yyyy-mm-dd"),""))=0,"","Last attested: "&amp;IF(ISNUMBER(INDEX('Providers'!$U$4:$U$503,297)),TEXT(INDEX('Providers'!$U$4:$U$503,297),"yyyy-mm-dd"),"")&amp;". "))</f>
        <v/>
      </c>
      <c r="J3300">
        <f>IF(LEN(INDEX('Providers'!$AJ$4:$AJ$503,297))=0,"",INDEX('Providers'!$AJ$4:$AJ$503,297))</f>
        <v/>
      </c>
      <c r="K3300">
        <f>IF(LEN(INDEX('Providers'!$AI$4:$AI$503,297))=0,"",INDEX('Providers'!$AI$4:$AI$503,297))</f>
        <v/>
      </c>
    </row>
    <row r="3301">
      <c r="A3301">
        <f>IF(AND(LEN('Providers'!A301)&gt;0,ISNUMBER('Providers'!W301)),1,0)</f>
        <v/>
      </c>
      <c r="B3301">
        <f>B3300+A3301</f>
        <v/>
      </c>
      <c r="C3301">
        <f>IF(3298&gt;$B$4503,"",MATCH(3298-0.5,$B$3:$B$4503,1))</f>
        <v/>
      </c>
      <c r="D3301">
        <f>"CAQH re-attestation – "&amp;IF(LEN(INDEX('Providers'!$A$4:$A$503,298))=0,"",INDEX('Providers'!$A$4:$A$503,298))</f>
        <v/>
      </c>
      <c r="E3301">
        <f>IF(ISNUMBER(INDEX('Providers'!$W$4:$W$503,298)),TEXT(INDEX('Providers'!$W$4:$W$503,298),"yyyy-mm-dd"),"")</f>
        <v/>
      </c>
      <c r="F3301">
        <f>"Credentialing"</f>
        <v/>
      </c>
      <c r="G3301">
        <f>IF(ISNUMBER(INDEX('Providers'!$U$4:$U$503,298)),TEXT(INDEX('Providers'!$U$4:$U$503,298),"yyyy-mm-dd"),"")</f>
        <v/>
      </c>
      <c r="H3301">
        <f>"High"</f>
        <v/>
      </c>
      <c r="I3301">
        <f>TRIM(IF(LEN(IF(LEN(INDEX('Providers'!$T$4:$T$503,298))=0,"",INDEX('Providers'!$T$4:$T$503,298)))=0,"","CAQH ID: "&amp;IF(LEN(INDEX('Providers'!$T$4:$T$503,298))=0,"",INDEX('Providers'!$T$4:$T$503,298))&amp;". ")&amp;IF(LEN(IF(ISNUMBER(INDEX('Providers'!$U$4:$U$503,298)),TEXT(INDEX('Providers'!$U$4:$U$503,298),"yyyy-mm-dd"),""))=0,"","Last attested: "&amp;IF(ISNUMBER(INDEX('Providers'!$U$4:$U$503,298)),TEXT(INDEX('Providers'!$U$4:$U$503,298),"yyyy-mm-dd"),"")&amp;". "))</f>
        <v/>
      </c>
      <c r="J3301">
        <f>IF(LEN(INDEX('Providers'!$AJ$4:$AJ$503,298))=0,"",INDEX('Providers'!$AJ$4:$AJ$503,298))</f>
        <v/>
      </c>
      <c r="K3301">
        <f>IF(LEN(INDEX('Providers'!$AI$4:$AI$503,298))=0,"",INDEX('Providers'!$AI$4:$AI$503,298))</f>
        <v/>
      </c>
    </row>
    <row r="3302">
      <c r="A3302">
        <f>IF(AND(LEN('Providers'!A302)&gt;0,ISNUMBER('Providers'!W302)),1,0)</f>
        <v/>
      </c>
      <c r="B3302">
        <f>B3301+A3302</f>
        <v/>
      </c>
      <c r="C3302">
        <f>IF(3299&gt;$B$4503,"",MATCH(3299-0.5,$B$3:$B$4503,1))</f>
        <v/>
      </c>
      <c r="D3302">
        <f>"CAQH re-attestation – "&amp;IF(LEN(INDEX('Providers'!$A$4:$A$503,299))=0,"",INDEX('Providers'!$A$4:$A$503,299))</f>
        <v/>
      </c>
      <c r="E3302">
        <f>IF(ISNUMBER(INDEX('Providers'!$W$4:$W$503,299)),TEXT(INDEX('Providers'!$W$4:$W$503,299),"yyyy-mm-dd"),"")</f>
        <v/>
      </c>
      <c r="F3302">
        <f>"Credentialing"</f>
        <v/>
      </c>
      <c r="G3302">
        <f>IF(ISNUMBER(INDEX('Providers'!$U$4:$U$503,299)),TEXT(INDEX('Providers'!$U$4:$U$503,299),"yyyy-mm-dd"),"")</f>
        <v/>
      </c>
      <c r="H3302">
        <f>"High"</f>
        <v/>
      </c>
      <c r="I3302">
        <f>TRIM(IF(LEN(IF(LEN(INDEX('Providers'!$T$4:$T$503,299))=0,"",INDEX('Providers'!$T$4:$T$503,299)))=0,"","CAQH ID: "&amp;IF(LEN(INDEX('Providers'!$T$4:$T$503,299))=0,"",INDEX('Providers'!$T$4:$T$503,299))&amp;". ")&amp;IF(LEN(IF(ISNUMBER(INDEX('Providers'!$U$4:$U$503,299)),TEXT(INDEX('Providers'!$U$4:$U$503,299),"yyyy-mm-dd"),""))=0,"","Last attested: "&amp;IF(ISNUMBER(INDEX('Providers'!$U$4:$U$503,299)),TEXT(INDEX('Providers'!$U$4:$U$503,299),"yyyy-mm-dd"),"")&amp;". "))</f>
        <v/>
      </c>
      <c r="J3302">
        <f>IF(LEN(INDEX('Providers'!$AJ$4:$AJ$503,299))=0,"",INDEX('Providers'!$AJ$4:$AJ$503,299))</f>
        <v/>
      </c>
      <c r="K3302">
        <f>IF(LEN(INDEX('Providers'!$AI$4:$AI$503,299))=0,"",INDEX('Providers'!$AI$4:$AI$503,299))</f>
        <v/>
      </c>
    </row>
    <row r="3303">
      <c r="A3303">
        <f>IF(AND(LEN('Providers'!A303)&gt;0,ISNUMBER('Providers'!W303)),1,0)</f>
        <v/>
      </c>
      <c r="B3303">
        <f>B3302+A3303</f>
        <v/>
      </c>
      <c r="C3303">
        <f>IF(3300&gt;$B$4503,"",MATCH(3300-0.5,$B$3:$B$4503,1))</f>
        <v/>
      </c>
      <c r="D3303">
        <f>"CAQH re-attestation – "&amp;IF(LEN(INDEX('Providers'!$A$4:$A$503,300))=0,"",INDEX('Providers'!$A$4:$A$503,300))</f>
        <v/>
      </c>
      <c r="E3303">
        <f>IF(ISNUMBER(INDEX('Providers'!$W$4:$W$503,300)),TEXT(INDEX('Providers'!$W$4:$W$503,300),"yyyy-mm-dd"),"")</f>
        <v/>
      </c>
      <c r="F3303">
        <f>"Credentialing"</f>
        <v/>
      </c>
      <c r="G3303">
        <f>IF(ISNUMBER(INDEX('Providers'!$U$4:$U$503,300)),TEXT(INDEX('Providers'!$U$4:$U$503,300),"yyyy-mm-dd"),"")</f>
        <v/>
      </c>
      <c r="H3303">
        <f>"High"</f>
        <v/>
      </c>
      <c r="I3303">
        <f>TRIM(IF(LEN(IF(LEN(INDEX('Providers'!$T$4:$T$503,300))=0,"",INDEX('Providers'!$T$4:$T$503,300)))=0,"","CAQH ID: "&amp;IF(LEN(INDEX('Providers'!$T$4:$T$503,300))=0,"",INDEX('Providers'!$T$4:$T$503,300))&amp;". ")&amp;IF(LEN(IF(ISNUMBER(INDEX('Providers'!$U$4:$U$503,300)),TEXT(INDEX('Providers'!$U$4:$U$503,300),"yyyy-mm-dd"),""))=0,"","Last attested: "&amp;IF(ISNUMBER(INDEX('Providers'!$U$4:$U$503,300)),TEXT(INDEX('Providers'!$U$4:$U$503,300),"yyyy-mm-dd"),"")&amp;". "))</f>
        <v/>
      </c>
      <c r="J3303">
        <f>IF(LEN(INDEX('Providers'!$AJ$4:$AJ$503,300))=0,"",INDEX('Providers'!$AJ$4:$AJ$503,300))</f>
        <v/>
      </c>
      <c r="K3303">
        <f>IF(LEN(INDEX('Providers'!$AI$4:$AI$503,300))=0,"",INDEX('Providers'!$AI$4:$AI$503,300))</f>
        <v/>
      </c>
    </row>
    <row r="3304">
      <c r="A3304">
        <f>IF(AND(LEN('Providers'!A304)&gt;0,ISNUMBER('Providers'!W304)),1,0)</f>
        <v/>
      </c>
      <c r="B3304">
        <f>B3303+A3304</f>
        <v/>
      </c>
      <c r="C3304">
        <f>IF(3301&gt;$B$4503,"",MATCH(3301-0.5,$B$3:$B$4503,1))</f>
        <v/>
      </c>
      <c r="D3304">
        <f>"CAQH re-attestation – "&amp;IF(LEN(INDEX('Providers'!$A$4:$A$503,301))=0,"",INDEX('Providers'!$A$4:$A$503,301))</f>
        <v/>
      </c>
      <c r="E3304">
        <f>IF(ISNUMBER(INDEX('Providers'!$W$4:$W$503,301)),TEXT(INDEX('Providers'!$W$4:$W$503,301),"yyyy-mm-dd"),"")</f>
        <v/>
      </c>
      <c r="F3304">
        <f>"Credentialing"</f>
        <v/>
      </c>
      <c r="G3304">
        <f>IF(ISNUMBER(INDEX('Providers'!$U$4:$U$503,301)),TEXT(INDEX('Providers'!$U$4:$U$503,301),"yyyy-mm-dd"),"")</f>
        <v/>
      </c>
      <c r="H3304">
        <f>"High"</f>
        <v/>
      </c>
      <c r="I3304">
        <f>TRIM(IF(LEN(IF(LEN(INDEX('Providers'!$T$4:$T$503,301))=0,"",INDEX('Providers'!$T$4:$T$503,301)))=0,"","CAQH ID: "&amp;IF(LEN(INDEX('Providers'!$T$4:$T$503,301))=0,"",INDEX('Providers'!$T$4:$T$503,301))&amp;". ")&amp;IF(LEN(IF(ISNUMBER(INDEX('Providers'!$U$4:$U$503,301)),TEXT(INDEX('Providers'!$U$4:$U$503,301),"yyyy-mm-dd"),""))=0,"","Last attested: "&amp;IF(ISNUMBER(INDEX('Providers'!$U$4:$U$503,301)),TEXT(INDEX('Providers'!$U$4:$U$503,301),"yyyy-mm-dd"),"")&amp;". "))</f>
        <v/>
      </c>
      <c r="J3304">
        <f>IF(LEN(INDEX('Providers'!$AJ$4:$AJ$503,301))=0,"",INDEX('Providers'!$AJ$4:$AJ$503,301))</f>
        <v/>
      </c>
      <c r="K3304">
        <f>IF(LEN(INDEX('Providers'!$AI$4:$AI$503,301))=0,"",INDEX('Providers'!$AI$4:$AI$503,301))</f>
        <v/>
      </c>
    </row>
    <row r="3305">
      <c r="A3305">
        <f>IF(AND(LEN('Providers'!A305)&gt;0,ISNUMBER('Providers'!W305)),1,0)</f>
        <v/>
      </c>
      <c r="B3305">
        <f>B3304+A3305</f>
        <v/>
      </c>
      <c r="C3305">
        <f>IF(3302&gt;$B$4503,"",MATCH(3302-0.5,$B$3:$B$4503,1))</f>
        <v/>
      </c>
      <c r="D3305">
        <f>"CAQH re-attestation – "&amp;IF(LEN(INDEX('Providers'!$A$4:$A$503,302))=0,"",INDEX('Providers'!$A$4:$A$503,302))</f>
        <v/>
      </c>
      <c r="E3305">
        <f>IF(ISNUMBER(INDEX('Providers'!$W$4:$W$503,302)),TEXT(INDEX('Providers'!$W$4:$W$503,302),"yyyy-mm-dd"),"")</f>
        <v/>
      </c>
      <c r="F3305">
        <f>"Credentialing"</f>
        <v/>
      </c>
      <c r="G3305">
        <f>IF(ISNUMBER(INDEX('Providers'!$U$4:$U$503,302)),TEXT(INDEX('Providers'!$U$4:$U$503,302),"yyyy-mm-dd"),"")</f>
        <v/>
      </c>
      <c r="H3305">
        <f>"High"</f>
        <v/>
      </c>
      <c r="I3305">
        <f>TRIM(IF(LEN(IF(LEN(INDEX('Providers'!$T$4:$T$503,302))=0,"",INDEX('Providers'!$T$4:$T$503,302)))=0,"","CAQH ID: "&amp;IF(LEN(INDEX('Providers'!$T$4:$T$503,302))=0,"",INDEX('Providers'!$T$4:$T$503,302))&amp;". ")&amp;IF(LEN(IF(ISNUMBER(INDEX('Providers'!$U$4:$U$503,302)),TEXT(INDEX('Providers'!$U$4:$U$503,302),"yyyy-mm-dd"),""))=0,"","Last attested: "&amp;IF(ISNUMBER(INDEX('Providers'!$U$4:$U$503,302)),TEXT(INDEX('Providers'!$U$4:$U$503,302),"yyyy-mm-dd"),"")&amp;". "))</f>
        <v/>
      </c>
      <c r="J3305">
        <f>IF(LEN(INDEX('Providers'!$AJ$4:$AJ$503,302))=0,"",INDEX('Providers'!$AJ$4:$AJ$503,302))</f>
        <v/>
      </c>
      <c r="K3305">
        <f>IF(LEN(INDEX('Providers'!$AI$4:$AI$503,302))=0,"",INDEX('Providers'!$AI$4:$AI$503,302))</f>
        <v/>
      </c>
    </row>
    <row r="3306">
      <c r="A3306">
        <f>IF(AND(LEN('Providers'!A306)&gt;0,ISNUMBER('Providers'!W306)),1,0)</f>
        <v/>
      </c>
      <c r="B3306">
        <f>B3305+A3306</f>
        <v/>
      </c>
      <c r="C3306">
        <f>IF(3303&gt;$B$4503,"",MATCH(3303-0.5,$B$3:$B$4503,1))</f>
        <v/>
      </c>
      <c r="D3306">
        <f>"CAQH re-attestation – "&amp;IF(LEN(INDEX('Providers'!$A$4:$A$503,303))=0,"",INDEX('Providers'!$A$4:$A$503,303))</f>
        <v/>
      </c>
      <c r="E3306">
        <f>IF(ISNUMBER(INDEX('Providers'!$W$4:$W$503,303)),TEXT(INDEX('Providers'!$W$4:$W$503,303),"yyyy-mm-dd"),"")</f>
        <v/>
      </c>
      <c r="F3306">
        <f>"Credentialing"</f>
        <v/>
      </c>
      <c r="G3306">
        <f>IF(ISNUMBER(INDEX('Providers'!$U$4:$U$503,303)),TEXT(INDEX('Providers'!$U$4:$U$503,303),"yyyy-mm-dd"),"")</f>
        <v/>
      </c>
      <c r="H3306">
        <f>"High"</f>
        <v/>
      </c>
      <c r="I3306">
        <f>TRIM(IF(LEN(IF(LEN(INDEX('Providers'!$T$4:$T$503,303))=0,"",INDEX('Providers'!$T$4:$T$503,303)))=0,"","CAQH ID: "&amp;IF(LEN(INDEX('Providers'!$T$4:$T$503,303))=0,"",INDEX('Providers'!$T$4:$T$503,303))&amp;". ")&amp;IF(LEN(IF(ISNUMBER(INDEX('Providers'!$U$4:$U$503,303)),TEXT(INDEX('Providers'!$U$4:$U$503,303),"yyyy-mm-dd"),""))=0,"","Last attested: "&amp;IF(ISNUMBER(INDEX('Providers'!$U$4:$U$503,303)),TEXT(INDEX('Providers'!$U$4:$U$503,303),"yyyy-mm-dd"),"")&amp;". "))</f>
        <v/>
      </c>
      <c r="J3306">
        <f>IF(LEN(INDEX('Providers'!$AJ$4:$AJ$503,303))=0,"",INDEX('Providers'!$AJ$4:$AJ$503,303))</f>
        <v/>
      </c>
      <c r="K3306">
        <f>IF(LEN(INDEX('Providers'!$AI$4:$AI$503,303))=0,"",INDEX('Providers'!$AI$4:$AI$503,303))</f>
        <v/>
      </c>
    </row>
    <row r="3307">
      <c r="A3307">
        <f>IF(AND(LEN('Providers'!A307)&gt;0,ISNUMBER('Providers'!W307)),1,0)</f>
        <v/>
      </c>
      <c r="B3307">
        <f>B3306+A3307</f>
        <v/>
      </c>
      <c r="C3307">
        <f>IF(3304&gt;$B$4503,"",MATCH(3304-0.5,$B$3:$B$4503,1))</f>
        <v/>
      </c>
      <c r="D3307">
        <f>"CAQH re-attestation – "&amp;IF(LEN(INDEX('Providers'!$A$4:$A$503,304))=0,"",INDEX('Providers'!$A$4:$A$503,304))</f>
        <v/>
      </c>
      <c r="E3307">
        <f>IF(ISNUMBER(INDEX('Providers'!$W$4:$W$503,304)),TEXT(INDEX('Providers'!$W$4:$W$503,304),"yyyy-mm-dd"),"")</f>
        <v/>
      </c>
      <c r="F3307">
        <f>"Credentialing"</f>
        <v/>
      </c>
      <c r="G3307">
        <f>IF(ISNUMBER(INDEX('Providers'!$U$4:$U$503,304)),TEXT(INDEX('Providers'!$U$4:$U$503,304),"yyyy-mm-dd"),"")</f>
        <v/>
      </c>
      <c r="H3307">
        <f>"High"</f>
        <v/>
      </c>
      <c r="I3307">
        <f>TRIM(IF(LEN(IF(LEN(INDEX('Providers'!$T$4:$T$503,304))=0,"",INDEX('Providers'!$T$4:$T$503,304)))=0,"","CAQH ID: "&amp;IF(LEN(INDEX('Providers'!$T$4:$T$503,304))=0,"",INDEX('Providers'!$T$4:$T$503,304))&amp;". ")&amp;IF(LEN(IF(ISNUMBER(INDEX('Providers'!$U$4:$U$503,304)),TEXT(INDEX('Providers'!$U$4:$U$503,304),"yyyy-mm-dd"),""))=0,"","Last attested: "&amp;IF(ISNUMBER(INDEX('Providers'!$U$4:$U$503,304)),TEXT(INDEX('Providers'!$U$4:$U$503,304),"yyyy-mm-dd"),"")&amp;". "))</f>
        <v/>
      </c>
      <c r="J3307">
        <f>IF(LEN(INDEX('Providers'!$AJ$4:$AJ$503,304))=0,"",INDEX('Providers'!$AJ$4:$AJ$503,304))</f>
        <v/>
      </c>
      <c r="K3307">
        <f>IF(LEN(INDEX('Providers'!$AI$4:$AI$503,304))=0,"",INDEX('Providers'!$AI$4:$AI$503,304))</f>
        <v/>
      </c>
    </row>
    <row r="3308">
      <c r="A3308">
        <f>IF(AND(LEN('Providers'!A308)&gt;0,ISNUMBER('Providers'!W308)),1,0)</f>
        <v/>
      </c>
      <c r="B3308">
        <f>B3307+A3308</f>
        <v/>
      </c>
      <c r="C3308">
        <f>IF(3305&gt;$B$4503,"",MATCH(3305-0.5,$B$3:$B$4503,1))</f>
        <v/>
      </c>
      <c r="D3308">
        <f>"CAQH re-attestation – "&amp;IF(LEN(INDEX('Providers'!$A$4:$A$503,305))=0,"",INDEX('Providers'!$A$4:$A$503,305))</f>
        <v/>
      </c>
      <c r="E3308">
        <f>IF(ISNUMBER(INDEX('Providers'!$W$4:$W$503,305)),TEXT(INDEX('Providers'!$W$4:$W$503,305),"yyyy-mm-dd"),"")</f>
        <v/>
      </c>
      <c r="F3308">
        <f>"Credentialing"</f>
        <v/>
      </c>
      <c r="G3308">
        <f>IF(ISNUMBER(INDEX('Providers'!$U$4:$U$503,305)),TEXT(INDEX('Providers'!$U$4:$U$503,305),"yyyy-mm-dd"),"")</f>
        <v/>
      </c>
      <c r="H3308">
        <f>"High"</f>
        <v/>
      </c>
      <c r="I3308">
        <f>TRIM(IF(LEN(IF(LEN(INDEX('Providers'!$T$4:$T$503,305))=0,"",INDEX('Providers'!$T$4:$T$503,305)))=0,"","CAQH ID: "&amp;IF(LEN(INDEX('Providers'!$T$4:$T$503,305))=0,"",INDEX('Providers'!$T$4:$T$503,305))&amp;". ")&amp;IF(LEN(IF(ISNUMBER(INDEX('Providers'!$U$4:$U$503,305)),TEXT(INDEX('Providers'!$U$4:$U$503,305),"yyyy-mm-dd"),""))=0,"","Last attested: "&amp;IF(ISNUMBER(INDEX('Providers'!$U$4:$U$503,305)),TEXT(INDEX('Providers'!$U$4:$U$503,305),"yyyy-mm-dd"),"")&amp;". "))</f>
        <v/>
      </c>
      <c r="J3308">
        <f>IF(LEN(INDEX('Providers'!$AJ$4:$AJ$503,305))=0,"",INDEX('Providers'!$AJ$4:$AJ$503,305))</f>
        <v/>
      </c>
      <c r="K3308">
        <f>IF(LEN(INDEX('Providers'!$AI$4:$AI$503,305))=0,"",INDEX('Providers'!$AI$4:$AI$503,305))</f>
        <v/>
      </c>
    </row>
    <row r="3309">
      <c r="A3309">
        <f>IF(AND(LEN('Providers'!A309)&gt;0,ISNUMBER('Providers'!W309)),1,0)</f>
        <v/>
      </c>
      <c r="B3309">
        <f>B3308+A3309</f>
        <v/>
      </c>
      <c r="C3309">
        <f>IF(3306&gt;$B$4503,"",MATCH(3306-0.5,$B$3:$B$4503,1))</f>
        <v/>
      </c>
      <c r="D3309">
        <f>"CAQH re-attestation – "&amp;IF(LEN(INDEX('Providers'!$A$4:$A$503,306))=0,"",INDEX('Providers'!$A$4:$A$503,306))</f>
        <v/>
      </c>
      <c r="E3309">
        <f>IF(ISNUMBER(INDEX('Providers'!$W$4:$W$503,306)),TEXT(INDEX('Providers'!$W$4:$W$503,306),"yyyy-mm-dd"),"")</f>
        <v/>
      </c>
      <c r="F3309">
        <f>"Credentialing"</f>
        <v/>
      </c>
      <c r="G3309">
        <f>IF(ISNUMBER(INDEX('Providers'!$U$4:$U$503,306)),TEXT(INDEX('Providers'!$U$4:$U$503,306),"yyyy-mm-dd"),"")</f>
        <v/>
      </c>
      <c r="H3309">
        <f>"High"</f>
        <v/>
      </c>
      <c r="I3309">
        <f>TRIM(IF(LEN(IF(LEN(INDEX('Providers'!$T$4:$T$503,306))=0,"",INDEX('Providers'!$T$4:$T$503,306)))=0,"","CAQH ID: "&amp;IF(LEN(INDEX('Providers'!$T$4:$T$503,306))=0,"",INDEX('Providers'!$T$4:$T$503,306))&amp;". ")&amp;IF(LEN(IF(ISNUMBER(INDEX('Providers'!$U$4:$U$503,306)),TEXT(INDEX('Providers'!$U$4:$U$503,306),"yyyy-mm-dd"),""))=0,"","Last attested: "&amp;IF(ISNUMBER(INDEX('Providers'!$U$4:$U$503,306)),TEXT(INDEX('Providers'!$U$4:$U$503,306),"yyyy-mm-dd"),"")&amp;". "))</f>
        <v/>
      </c>
      <c r="J3309">
        <f>IF(LEN(INDEX('Providers'!$AJ$4:$AJ$503,306))=0,"",INDEX('Providers'!$AJ$4:$AJ$503,306))</f>
        <v/>
      </c>
      <c r="K3309">
        <f>IF(LEN(INDEX('Providers'!$AI$4:$AI$503,306))=0,"",INDEX('Providers'!$AI$4:$AI$503,306))</f>
        <v/>
      </c>
    </row>
    <row r="3310">
      <c r="A3310">
        <f>IF(AND(LEN('Providers'!A310)&gt;0,ISNUMBER('Providers'!W310)),1,0)</f>
        <v/>
      </c>
      <c r="B3310">
        <f>B3309+A3310</f>
        <v/>
      </c>
      <c r="C3310">
        <f>IF(3307&gt;$B$4503,"",MATCH(3307-0.5,$B$3:$B$4503,1))</f>
        <v/>
      </c>
      <c r="D3310">
        <f>"CAQH re-attestation – "&amp;IF(LEN(INDEX('Providers'!$A$4:$A$503,307))=0,"",INDEX('Providers'!$A$4:$A$503,307))</f>
        <v/>
      </c>
      <c r="E3310">
        <f>IF(ISNUMBER(INDEX('Providers'!$W$4:$W$503,307)),TEXT(INDEX('Providers'!$W$4:$W$503,307),"yyyy-mm-dd"),"")</f>
        <v/>
      </c>
      <c r="F3310">
        <f>"Credentialing"</f>
        <v/>
      </c>
      <c r="G3310">
        <f>IF(ISNUMBER(INDEX('Providers'!$U$4:$U$503,307)),TEXT(INDEX('Providers'!$U$4:$U$503,307),"yyyy-mm-dd"),"")</f>
        <v/>
      </c>
      <c r="H3310">
        <f>"High"</f>
        <v/>
      </c>
      <c r="I3310">
        <f>TRIM(IF(LEN(IF(LEN(INDEX('Providers'!$T$4:$T$503,307))=0,"",INDEX('Providers'!$T$4:$T$503,307)))=0,"","CAQH ID: "&amp;IF(LEN(INDEX('Providers'!$T$4:$T$503,307))=0,"",INDEX('Providers'!$T$4:$T$503,307))&amp;". ")&amp;IF(LEN(IF(ISNUMBER(INDEX('Providers'!$U$4:$U$503,307)),TEXT(INDEX('Providers'!$U$4:$U$503,307),"yyyy-mm-dd"),""))=0,"","Last attested: "&amp;IF(ISNUMBER(INDEX('Providers'!$U$4:$U$503,307)),TEXT(INDEX('Providers'!$U$4:$U$503,307),"yyyy-mm-dd"),"")&amp;". "))</f>
        <v/>
      </c>
      <c r="J3310">
        <f>IF(LEN(INDEX('Providers'!$AJ$4:$AJ$503,307))=0,"",INDEX('Providers'!$AJ$4:$AJ$503,307))</f>
        <v/>
      </c>
      <c r="K3310">
        <f>IF(LEN(INDEX('Providers'!$AI$4:$AI$503,307))=0,"",INDEX('Providers'!$AI$4:$AI$503,307))</f>
        <v/>
      </c>
    </row>
    <row r="3311">
      <c r="A3311">
        <f>IF(AND(LEN('Providers'!A311)&gt;0,ISNUMBER('Providers'!W311)),1,0)</f>
        <v/>
      </c>
      <c r="B3311">
        <f>B3310+A3311</f>
        <v/>
      </c>
      <c r="C3311">
        <f>IF(3308&gt;$B$4503,"",MATCH(3308-0.5,$B$3:$B$4503,1))</f>
        <v/>
      </c>
      <c r="D3311">
        <f>"CAQH re-attestation – "&amp;IF(LEN(INDEX('Providers'!$A$4:$A$503,308))=0,"",INDEX('Providers'!$A$4:$A$503,308))</f>
        <v/>
      </c>
      <c r="E3311">
        <f>IF(ISNUMBER(INDEX('Providers'!$W$4:$W$503,308)),TEXT(INDEX('Providers'!$W$4:$W$503,308),"yyyy-mm-dd"),"")</f>
        <v/>
      </c>
      <c r="F3311">
        <f>"Credentialing"</f>
        <v/>
      </c>
      <c r="G3311">
        <f>IF(ISNUMBER(INDEX('Providers'!$U$4:$U$503,308)),TEXT(INDEX('Providers'!$U$4:$U$503,308),"yyyy-mm-dd"),"")</f>
        <v/>
      </c>
      <c r="H3311">
        <f>"High"</f>
        <v/>
      </c>
      <c r="I3311">
        <f>TRIM(IF(LEN(IF(LEN(INDEX('Providers'!$T$4:$T$503,308))=0,"",INDEX('Providers'!$T$4:$T$503,308)))=0,"","CAQH ID: "&amp;IF(LEN(INDEX('Providers'!$T$4:$T$503,308))=0,"",INDEX('Providers'!$T$4:$T$503,308))&amp;". ")&amp;IF(LEN(IF(ISNUMBER(INDEX('Providers'!$U$4:$U$503,308)),TEXT(INDEX('Providers'!$U$4:$U$503,308),"yyyy-mm-dd"),""))=0,"","Last attested: "&amp;IF(ISNUMBER(INDEX('Providers'!$U$4:$U$503,308)),TEXT(INDEX('Providers'!$U$4:$U$503,308),"yyyy-mm-dd"),"")&amp;". "))</f>
        <v/>
      </c>
      <c r="J3311">
        <f>IF(LEN(INDEX('Providers'!$AJ$4:$AJ$503,308))=0,"",INDEX('Providers'!$AJ$4:$AJ$503,308))</f>
        <v/>
      </c>
      <c r="K3311">
        <f>IF(LEN(INDEX('Providers'!$AI$4:$AI$503,308))=0,"",INDEX('Providers'!$AI$4:$AI$503,308))</f>
        <v/>
      </c>
    </row>
    <row r="3312">
      <c r="A3312">
        <f>IF(AND(LEN('Providers'!A312)&gt;0,ISNUMBER('Providers'!W312)),1,0)</f>
        <v/>
      </c>
      <c r="B3312">
        <f>B3311+A3312</f>
        <v/>
      </c>
      <c r="C3312">
        <f>IF(3309&gt;$B$4503,"",MATCH(3309-0.5,$B$3:$B$4503,1))</f>
        <v/>
      </c>
      <c r="D3312">
        <f>"CAQH re-attestation – "&amp;IF(LEN(INDEX('Providers'!$A$4:$A$503,309))=0,"",INDEX('Providers'!$A$4:$A$503,309))</f>
        <v/>
      </c>
      <c r="E3312">
        <f>IF(ISNUMBER(INDEX('Providers'!$W$4:$W$503,309)),TEXT(INDEX('Providers'!$W$4:$W$503,309),"yyyy-mm-dd"),"")</f>
        <v/>
      </c>
      <c r="F3312">
        <f>"Credentialing"</f>
        <v/>
      </c>
      <c r="G3312">
        <f>IF(ISNUMBER(INDEX('Providers'!$U$4:$U$503,309)),TEXT(INDEX('Providers'!$U$4:$U$503,309),"yyyy-mm-dd"),"")</f>
        <v/>
      </c>
      <c r="H3312">
        <f>"High"</f>
        <v/>
      </c>
      <c r="I3312">
        <f>TRIM(IF(LEN(IF(LEN(INDEX('Providers'!$T$4:$T$503,309))=0,"",INDEX('Providers'!$T$4:$T$503,309)))=0,"","CAQH ID: "&amp;IF(LEN(INDEX('Providers'!$T$4:$T$503,309))=0,"",INDEX('Providers'!$T$4:$T$503,309))&amp;". ")&amp;IF(LEN(IF(ISNUMBER(INDEX('Providers'!$U$4:$U$503,309)),TEXT(INDEX('Providers'!$U$4:$U$503,309),"yyyy-mm-dd"),""))=0,"","Last attested: "&amp;IF(ISNUMBER(INDEX('Providers'!$U$4:$U$503,309)),TEXT(INDEX('Providers'!$U$4:$U$503,309),"yyyy-mm-dd"),"")&amp;". "))</f>
        <v/>
      </c>
      <c r="J3312">
        <f>IF(LEN(INDEX('Providers'!$AJ$4:$AJ$503,309))=0,"",INDEX('Providers'!$AJ$4:$AJ$503,309))</f>
        <v/>
      </c>
      <c r="K3312">
        <f>IF(LEN(INDEX('Providers'!$AI$4:$AI$503,309))=0,"",INDEX('Providers'!$AI$4:$AI$503,309))</f>
        <v/>
      </c>
    </row>
    <row r="3313">
      <c r="A3313">
        <f>IF(AND(LEN('Providers'!A313)&gt;0,ISNUMBER('Providers'!W313)),1,0)</f>
        <v/>
      </c>
      <c r="B3313">
        <f>B3312+A3313</f>
        <v/>
      </c>
      <c r="C3313">
        <f>IF(3310&gt;$B$4503,"",MATCH(3310-0.5,$B$3:$B$4503,1))</f>
        <v/>
      </c>
      <c r="D3313">
        <f>"CAQH re-attestation – "&amp;IF(LEN(INDEX('Providers'!$A$4:$A$503,310))=0,"",INDEX('Providers'!$A$4:$A$503,310))</f>
        <v/>
      </c>
      <c r="E3313">
        <f>IF(ISNUMBER(INDEX('Providers'!$W$4:$W$503,310)),TEXT(INDEX('Providers'!$W$4:$W$503,310),"yyyy-mm-dd"),"")</f>
        <v/>
      </c>
      <c r="F3313">
        <f>"Credentialing"</f>
        <v/>
      </c>
      <c r="G3313">
        <f>IF(ISNUMBER(INDEX('Providers'!$U$4:$U$503,310)),TEXT(INDEX('Providers'!$U$4:$U$503,310),"yyyy-mm-dd"),"")</f>
        <v/>
      </c>
      <c r="H3313">
        <f>"High"</f>
        <v/>
      </c>
      <c r="I3313">
        <f>TRIM(IF(LEN(IF(LEN(INDEX('Providers'!$T$4:$T$503,310))=0,"",INDEX('Providers'!$T$4:$T$503,310)))=0,"","CAQH ID: "&amp;IF(LEN(INDEX('Providers'!$T$4:$T$503,310))=0,"",INDEX('Providers'!$T$4:$T$503,310))&amp;". ")&amp;IF(LEN(IF(ISNUMBER(INDEX('Providers'!$U$4:$U$503,310)),TEXT(INDEX('Providers'!$U$4:$U$503,310),"yyyy-mm-dd"),""))=0,"","Last attested: "&amp;IF(ISNUMBER(INDEX('Providers'!$U$4:$U$503,310)),TEXT(INDEX('Providers'!$U$4:$U$503,310),"yyyy-mm-dd"),"")&amp;". "))</f>
        <v/>
      </c>
      <c r="J3313">
        <f>IF(LEN(INDEX('Providers'!$AJ$4:$AJ$503,310))=0,"",INDEX('Providers'!$AJ$4:$AJ$503,310))</f>
        <v/>
      </c>
      <c r="K3313">
        <f>IF(LEN(INDEX('Providers'!$AI$4:$AI$503,310))=0,"",INDEX('Providers'!$AI$4:$AI$503,310))</f>
        <v/>
      </c>
    </row>
    <row r="3314">
      <c r="A3314">
        <f>IF(AND(LEN('Providers'!A314)&gt;0,ISNUMBER('Providers'!W314)),1,0)</f>
        <v/>
      </c>
      <c r="B3314">
        <f>B3313+A3314</f>
        <v/>
      </c>
      <c r="C3314">
        <f>IF(3311&gt;$B$4503,"",MATCH(3311-0.5,$B$3:$B$4503,1))</f>
        <v/>
      </c>
      <c r="D3314">
        <f>"CAQH re-attestation – "&amp;IF(LEN(INDEX('Providers'!$A$4:$A$503,311))=0,"",INDEX('Providers'!$A$4:$A$503,311))</f>
        <v/>
      </c>
      <c r="E3314">
        <f>IF(ISNUMBER(INDEX('Providers'!$W$4:$W$503,311)),TEXT(INDEX('Providers'!$W$4:$W$503,311),"yyyy-mm-dd"),"")</f>
        <v/>
      </c>
      <c r="F3314">
        <f>"Credentialing"</f>
        <v/>
      </c>
      <c r="G3314">
        <f>IF(ISNUMBER(INDEX('Providers'!$U$4:$U$503,311)),TEXT(INDEX('Providers'!$U$4:$U$503,311),"yyyy-mm-dd"),"")</f>
        <v/>
      </c>
      <c r="H3314">
        <f>"High"</f>
        <v/>
      </c>
      <c r="I3314">
        <f>TRIM(IF(LEN(IF(LEN(INDEX('Providers'!$T$4:$T$503,311))=0,"",INDEX('Providers'!$T$4:$T$503,311)))=0,"","CAQH ID: "&amp;IF(LEN(INDEX('Providers'!$T$4:$T$503,311))=0,"",INDEX('Providers'!$T$4:$T$503,311))&amp;". ")&amp;IF(LEN(IF(ISNUMBER(INDEX('Providers'!$U$4:$U$503,311)),TEXT(INDEX('Providers'!$U$4:$U$503,311),"yyyy-mm-dd"),""))=0,"","Last attested: "&amp;IF(ISNUMBER(INDEX('Providers'!$U$4:$U$503,311)),TEXT(INDEX('Providers'!$U$4:$U$503,311),"yyyy-mm-dd"),"")&amp;". "))</f>
        <v/>
      </c>
      <c r="J3314">
        <f>IF(LEN(INDEX('Providers'!$AJ$4:$AJ$503,311))=0,"",INDEX('Providers'!$AJ$4:$AJ$503,311))</f>
        <v/>
      </c>
      <c r="K3314">
        <f>IF(LEN(INDEX('Providers'!$AI$4:$AI$503,311))=0,"",INDEX('Providers'!$AI$4:$AI$503,311))</f>
        <v/>
      </c>
    </row>
    <row r="3315">
      <c r="A3315">
        <f>IF(AND(LEN('Providers'!A315)&gt;0,ISNUMBER('Providers'!W315)),1,0)</f>
        <v/>
      </c>
      <c r="B3315">
        <f>B3314+A3315</f>
        <v/>
      </c>
      <c r="C3315">
        <f>IF(3312&gt;$B$4503,"",MATCH(3312-0.5,$B$3:$B$4503,1))</f>
        <v/>
      </c>
      <c r="D3315">
        <f>"CAQH re-attestation – "&amp;IF(LEN(INDEX('Providers'!$A$4:$A$503,312))=0,"",INDEX('Providers'!$A$4:$A$503,312))</f>
        <v/>
      </c>
      <c r="E3315">
        <f>IF(ISNUMBER(INDEX('Providers'!$W$4:$W$503,312)),TEXT(INDEX('Providers'!$W$4:$W$503,312),"yyyy-mm-dd"),"")</f>
        <v/>
      </c>
      <c r="F3315">
        <f>"Credentialing"</f>
        <v/>
      </c>
      <c r="G3315">
        <f>IF(ISNUMBER(INDEX('Providers'!$U$4:$U$503,312)),TEXT(INDEX('Providers'!$U$4:$U$503,312),"yyyy-mm-dd"),"")</f>
        <v/>
      </c>
      <c r="H3315">
        <f>"High"</f>
        <v/>
      </c>
      <c r="I3315">
        <f>TRIM(IF(LEN(IF(LEN(INDEX('Providers'!$T$4:$T$503,312))=0,"",INDEX('Providers'!$T$4:$T$503,312)))=0,"","CAQH ID: "&amp;IF(LEN(INDEX('Providers'!$T$4:$T$503,312))=0,"",INDEX('Providers'!$T$4:$T$503,312))&amp;". ")&amp;IF(LEN(IF(ISNUMBER(INDEX('Providers'!$U$4:$U$503,312)),TEXT(INDEX('Providers'!$U$4:$U$503,312),"yyyy-mm-dd"),""))=0,"","Last attested: "&amp;IF(ISNUMBER(INDEX('Providers'!$U$4:$U$503,312)),TEXT(INDEX('Providers'!$U$4:$U$503,312),"yyyy-mm-dd"),"")&amp;". "))</f>
        <v/>
      </c>
      <c r="J3315">
        <f>IF(LEN(INDEX('Providers'!$AJ$4:$AJ$503,312))=0,"",INDEX('Providers'!$AJ$4:$AJ$503,312))</f>
        <v/>
      </c>
      <c r="K3315">
        <f>IF(LEN(INDEX('Providers'!$AI$4:$AI$503,312))=0,"",INDEX('Providers'!$AI$4:$AI$503,312))</f>
        <v/>
      </c>
    </row>
    <row r="3316">
      <c r="A3316">
        <f>IF(AND(LEN('Providers'!A316)&gt;0,ISNUMBER('Providers'!W316)),1,0)</f>
        <v/>
      </c>
      <c r="B3316">
        <f>B3315+A3316</f>
        <v/>
      </c>
      <c r="C3316">
        <f>IF(3313&gt;$B$4503,"",MATCH(3313-0.5,$B$3:$B$4503,1))</f>
        <v/>
      </c>
      <c r="D3316">
        <f>"CAQH re-attestation – "&amp;IF(LEN(INDEX('Providers'!$A$4:$A$503,313))=0,"",INDEX('Providers'!$A$4:$A$503,313))</f>
        <v/>
      </c>
      <c r="E3316">
        <f>IF(ISNUMBER(INDEX('Providers'!$W$4:$W$503,313)),TEXT(INDEX('Providers'!$W$4:$W$503,313),"yyyy-mm-dd"),"")</f>
        <v/>
      </c>
      <c r="F3316">
        <f>"Credentialing"</f>
        <v/>
      </c>
      <c r="G3316">
        <f>IF(ISNUMBER(INDEX('Providers'!$U$4:$U$503,313)),TEXT(INDEX('Providers'!$U$4:$U$503,313),"yyyy-mm-dd"),"")</f>
        <v/>
      </c>
      <c r="H3316">
        <f>"High"</f>
        <v/>
      </c>
      <c r="I3316">
        <f>TRIM(IF(LEN(IF(LEN(INDEX('Providers'!$T$4:$T$503,313))=0,"",INDEX('Providers'!$T$4:$T$503,313)))=0,"","CAQH ID: "&amp;IF(LEN(INDEX('Providers'!$T$4:$T$503,313))=0,"",INDEX('Providers'!$T$4:$T$503,313))&amp;". ")&amp;IF(LEN(IF(ISNUMBER(INDEX('Providers'!$U$4:$U$503,313)),TEXT(INDEX('Providers'!$U$4:$U$503,313),"yyyy-mm-dd"),""))=0,"","Last attested: "&amp;IF(ISNUMBER(INDEX('Providers'!$U$4:$U$503,313)),TEXT(INDEX('Providers'!$U$4:$U$503,313),"yyyy-mm-dd"),"")&amp;". "))</f>
        <v/>
      </c>
      <c r="J3316">
        <f>IF(LEN(INDEX('Providers'!$AJ$4:$AJ$503,313))=0,"",INDEX('Providers'!$AJ$4:$AJ$503,313))</f>
        <v/>
      </c>
      <c r="K3316">
        <f>IF(LEN(INDEX('Providers'!$AI$4:$AI$503,313))=0,"",INDEX('Providers'!$AI$4:$AI$503,313))</f>
        <v/>
      </c>
    </row>
    <row r="3317">
      <c r="A3317">
        <f>IF(AND(LEN('Providers'!A317)&gt;0,ISNUMBER('Providers'!W317)),1,0)</f>
        <v/>
      </c>
      <c r="B3317">
        <f>B3316+A3317</f>
        <v/>
      </c>
      <c r="C3317">
        <f>IF(3314&gt;$B$4503,"",MATCH(3314-0.5,$B$3:$B$4503,1))</f>
        <v/>
      </c>
      <c r="D3317">
        <f>"CAQH re-attestation – "&amp;IF(LEN(INDEX('Providers'!$A$4:$A$503,314))=0,"",INDEX('Providers'!$A$4:$A$503,314))</f>
        <v/>
      </c>
      <c r="E3317">
        <f>IF(ISNUMBER(INDEX('Providers'!$W$4:$W$503,314)),TEXT(INDEX('Providers'!$W$4:$W$503,314),"yyyy-mm-dd"),"")</f>
        <v/>
      </c>
      <c r="F3317">
        <f>"Credentialing"</f>
        <v/>
      </c>
      <c r="G3317">
        <f>IF(ISNUMBER(INDEX('Providers'!$U$4:$U$503,314)),TEXT(INDEX('Providers'!$U$4:$U$503,314),"yyyy-mm-dd"),"")</f>
        <v/>
      </c>
      <c r="H3317">
        <f>"High"</f>
        <v/>
      </c>
      <c r="I3317">
        <f>TRIM(IF(LEN(IF(LEN(INDEX('Providers'!$T$4:$T$503,314))=0,"",INDEX('Providers'!$T$4:$T$503,314)))=0,"","CAQH ID: "&amp;IF(LEN(INDEX('Providers'!$T$4:$T$503,314))=0,"",INDEX('Providers'!$T$4:$T$503,314))&amp;". ")&amp;IF(LEN(IF(ISNUMBER(INDEX('Providers'!$U$4:$U$503,314)),TEXT(INDEX('Providers'!$U$4:$U$503,314),"yyyy-mm-dd"),""))=0,"","Last attested: "&amp;IF(ISNUMBER(INDEX('Providers'!$U$4:$U$503,314)),TEXT(INDEX('Providers'!$U$4:$U$503,314),"yyyy-mm-dd"),"")&amp;". "))</f>
        <v/>
      </c>
      <c r="J3317">
        <f>IF(LEN(INDEX('Providers'!$AJ$4:$AJ$503,314))=0,"",INDEX('Providers'!$AJ$4:$AJ$503,314))</f>
        <v/>
      </c>
      <c r="K3317">
        <f>IF(LEN(INDEX('Providers'!$AI$4:$AI$503,314))=0,"",INDEX('Providers'!$AI$4:$AI$503,314))</f>
        <v/>
      </c>
    </row>
    <row r="3318">
      <c r="A3318">
        <f>IF(AND(LEN('Providers'!A318)&gt;0,ISNUMBER('Providers'!W318)),1,0)</f>
        <v/>
      </c>
      <c r="B3318">
        <f>B3317+A3318</f>
        <v/>
      </c>
      <c r="C3318">
        <f>IF(3315&gt;$B$4503,"",MATCH(3315-0.5,$B$3:$B$4503,1))</f>
        <v/>
      </c>
      <c r="D3318">
        <f>"CAQH re-attestation – "&amp;IF(LEN(INDEX('Providers'!$A$4:$A$503,315))=0,"",INDEX('Providers'!$A$4:$A$503,315))</f>
        <v/>
      </c>
      <c r="E3318">
        <f>IF(ISNUMBER(INDEX('Providers'!$W$4:$W$503,315)),TEXT(INDEX('Providers'!$W$4:$W$503,315),"yyyy-mm-dd"),"")</f>
        <v/>
      </c>
      <c r="F3318">
        <f>"Credentialing"</f>
        <v/>
      </c>
      <c r="G3318">
        <f>IF(ISNUMBER(INDEX('Providers'!$U$4:$U$503,315)),TEXT(INDEX('Providers'!$U$4:$U$503,315),"yyyy-mm-dd"),"")</f>
        <v/>
      </c>
      <c r="H3318">
        <f>"High"</f>
        <v/>
      </c>
      <c r="I3318">
        <f>TRIM(IF(LEN(IF(LEN(INDEX('Providers'!$T$4:$T$503,315))=0,"",INDEX('Providers'!$T$4:$T$503,315)))=0,"","CAQH ID: "&amp;IF(LEN(INDEX('Providers'!$T$4:$T$503,315))=0,"",INDEX('Providers'!$T$4:$T$503,315))&amp;". ")&amp;IF(LEN(IF(ISNUMBER(INDEX('Providers'!$U$4:$U$503,315)),TEXT(INDEX('Providers'!$U$4:$U$503,315),"yyyy-mm-dd"),""))=0,"","Last attested: "&amp;IF(ISNUMBER(INDEX('Providers'!$U$4:$U$503,315)),TEXT(INDEX('Providers'!$U$4:$U$503,315),"yyyy-mm-dd"),"")&amp;". "))</f>
        <v/>
      </c>
      <c r="J3318">
        <f>IF(LEN(INDEX('Providers'!$AJ$4:$AJ$503,315))=0,"",INDEX('Providers'!$AJ$4:$AJ$503,315))</f>
        <v/>
      </c>
      <c r="K3318">
        <f>IF(LEN(INDEX('Providers'!$AI$4:$AI$503,315))=0,"",INDEX('Providers'!$AI$4:$AI$503,315))</f>
        <v/>
      </c>
    </row>
    <row r="3319">
      <c r="A3319">
        <f>IF(AND(LEN('Providers'!A319)&gt;0,ISNUMBER('Providers'!W319)),1,0)</f>
        <v/>
      </c>
      <c r="B3319">
        <f>B3318+A3319</f>
        <v/>
      </c>
      <c r="C3319">
        <f>IF(3316&gt;$B$4503,"",MATCH(3316-0.5,$B$3:$B$4503,1))</f>
        <v/>
      </c>
      <c r="D3319">
        <f>"CAQH re-attestation – "&amp;IF(LEN(INDEX('Providers'!$A$4:$A$503,316))=0,"",INDEX('Providers'!$A$4:$A$503,316))</f>
        <v/>
      </c>
      <c r="E3319">
        <f>IF(ISNUMBER(INDEX('Providers'!$W$4:$W$503,316)),TEXT(INDEX('Providers'!$W$4:$W$503,316),"yyyy-mm-dd"),"")</f>
        <v/>
      </c>
      <c r="F3319">
        <f>"Credentialing"</f>
        <v/>
      </c>
      <c r="G3319">
        <f>IF(ISNUMBER(INDEX('Providers'!$U$4:$U$503,316)),TEXT(INDEX('Providers'!$U$4:$U$503,316),"yyyy-mm-dd"),"")</f>
        <v/>
      </c>
      <c r="H3319">
        <f>"High"</f>
        <v/>
      </c>
      <c r="I3319">
        <f>TRIM(IF(LEN(IF(LEN(INDEX('Providers'!$T$4:$T$503,316))=0,"",INDEX('Providers'!$T$4:$T$503,316)))=0,"","CAQH ID: "&amp;IF(LEN(INDEX('Providers'!$T$4:$T$503,316))=0,"",INDEX('Providers'!$T$4:$T$503,316))&amp;". ")&amp;IF(LEN(IF(ISNUMBER(INDEX('Providers'!$U$4:$U$503,316)),TEXT(INDEX('Providers'!$U$4:$U$503,316),"yyyy-mm-dd"),""))=0,"","Last attested: "&amp;IF(ISNUMBER(INDEX('Providers'!$U$4:$U$503,316)),TEXT(INDEX('Providers'!$U$4:$U$503,316),"yyyy-mm-dd"),"")&amp;". "))</f>
        <v/>
      </c>
      <c r="J3319">
        <f>IF(LEN(INDEX('Providers'!$AJ$4:$AJ$503,316))=0,"",INDEX('Providers'!$AJ$4:$AJ$503,316))</f>
        <v/>
      </c>
      <c r="K3319">
        <f>IF(LEN(INDEX('Providers'!$AI$4:$AI$503,316))=0,"",INDEX('Providers'!$AI$4:$AI$503,316))</f>
        <v/>
      </c>
    </row>
    <row r="3320">
      <c r="A3320">
        <f>IF(AND(LEN('Providers'!A320)&gt;0,ISNUMBER('Providers'!W320)),1,0)</f>
        <v/>
      </c>
      <c r="B3320">
        <f>B3319+A3320</f>
        <v/>
      </c>
      <c r="C3320">
        <f>IF(3317&gt;$B$4503,"",MATCH(3317-0.5,$B$3:$B$4503,1))</f>
        <v/>
      </c>
      <c r="D3320">
        <f>"CAQH re-attestation – "&amp;IF(LEN(INDEX('Providers'!$A$4:$A$503,317))=0,"",INDEX('Providers'!$A$4:$A$503,317))</f>
        <v/>
      </c>
      <c r="E3320">
        <f>IF(ISNUMBER(INDEX('Providers'!$W$4:$W$503,317)),TEXT(INDEX('Providers'!$W$4:$W$503,317),"yyyy-mm-dd"),"")</f>
        <v/>
      </c>
      <c r="F3320">
        <f>"Credentialing"</f>
        <v/>
      </c>
      <c r="G3320">
        <f>IF(ISNUMBER(INDEX('Providers'!$U$4:$U$503,317)),TEXT(INDEX('Providers'!$U$4:$U$503,317),"yyyy-mm-dd"),"")</f>
        <v/>
      </c>
      <c r="H3320">
        <f>"High"</f>
        <v/>
      </c>
      <c r="I3320">
        <f>TRIM(IF(LEN(IF(LEN(INDEX('Providers'!$T$4:$T$503,317))=0,"",INDEX('Providers'!$T$4:$T$503,317)))=0,"","CAQH ID: "&amp;IF(LEN(INDEX('Providers'!$T$4:$T$503,317))=0,"",INDEX('Providers'!$T$4:$T$503,317))&amp;". ")&amp;IF(LEN(IF(ISNUMBER(INDEX('Providers'!$U$4:$U$503,317)),TEXT(INDEX('Providers'!$U$4:$U$503,317),"yyyy-mm-dd"),""))=0,"","Last attested: "&amp;IF(ISNUMBER(INDEX('Providers'!$U$4:$U$503,317)),TEXT(INDEX('Providers'!$U$4:$U$503,317),"yyyy-mm-dd"),"")&amp;". "))</f>
        <v/>
      </c>
      <c r="J3320">
        <f>IF(LEN(INDEX('Providers'!$AJ$4:$AJ$503,317))=0,"",INDEX('Providers'!$AJ$4:$AJ$503,317))</f>
        <v/>
      </c>
      <c r="K3320">
        <f>IF(LEN(INDEX('Providers'!$AI$4:$AI$503,317))=0,"",INDEX('Providers'!$AI$4:$AI$503,317))</f>
        <v/>
      </c>
    </row>
    <row r="3321">
      <c r="A3321">
        <f>IF(AND(LEN('Providers'!A321)&gt;0,ISNUMBER('Providers'!W321)),1,0)</f>
        <v/>
      </c>
      <c r="B3321">
        <f>B3320+A3321</f>
        <v/>
      </c>
      <c r="C3321">
        <f>IF(3318&gt;$B$4503,"",MATCH(3318-0.5,$B$3:$B$4503,1))</f>
        <v/>
      </c>
      <c r="D3321">
        <f>"CAQH re-attestation – "&amp;IF(LEN(INDEX('Providers'!$A$4:$A$503,318))=0,"",INDEX('Providers'!$A$4:$A$503,318))</f>
        <v/>
      </c>
      <c r="E3321">
        <f>IF(ISNUMBER(INDEX('Providers'!$W$4:$W$503,318)),TEXT(INDEX('Providers'!$W$4:$W$503,318),"yyyy-mm-dd"),"")</f>
        <v/>
      </c>
      <c r="F3321">
        <f>"Credentialing"</f>
        <v/>
      </c>
      <c r="G3321">
        <f>IF(ISNUMBER(INDEX('Providers'!$U$4:$U$503,318)),TEXT(INDEX('Providers'!$U$4:$U$503,318),"yyyy-mm-dd"),"")</f>
        <v/>
      </c>
      <c r="H3321">
        <f>"High"</f>
        <v/>
      </c>
      <c r="I3321">
        <f>TRIM(IF(LEN(IF(LEN(INDEX('Providers'!$T$4:$T$503,318))=0,"",INDEX('Providers'!$T$4:$T$503,318)))=0,"","CAQH ID: "&amp;IF(LEN(INDEX('Providers'!$T$4:$T$503,318))=0,"",INDEX('Providers'!$T$4:$T$503,318))&amp;". ")&amp;IF(LEN(IF(ISNUMBER(INDEX('Providers'!$U$4:$U$503,318)),TEXT(INDEX('Providers'!$U$4:$U$503,318),"yyyy-mm-dd"),""))=0,"","Last attested: "&amp;IF(ISNUMBER(INDEX('Providers'!$U$4:$U$503,318)),TEXT(INDEX('Providers'!$U$4:$U$503,318),"yyyy-mm-dd"),"")&amp;". "))</f>
        <v/>
      </c>
      <c r="J3321">
        <f>IF(LEN(INDEX('Providers'!$AJ$4:$AJ$503,318))=0,"",INDEX('Providers'!$AJ$4:$AJ$503,318))</f>
        <v/>
      </c>
      <c r="K3321">
        <f>IF(LEN(INDEX('Providers'!$AI$4:$AI$503,318))=0,"",INDEX('Providers'!$AI$4:$AI$503,318))</f>
        <v/>
      </c>
    </row>
    <row r="3322">
      <c r="A3322">
        <f>IF(AND(LEN('Providers'!A322)&gt;0,ISNUMBER('Providers'!W322)),1,0)</f>
        <v/>
      </c>
      <c r="B3322">
        <f>B3321+A3322</f>
        <v/>
      </c>
      <c r="C3322">
        <f>IF(3319&gt;$B$4503,"",MATCH(3319-0.5,$B$3:$B$4503,1))</f>
        <v/>
      </c>
      <c r="D3322">
        <f>"CAQH re-attestation – "&amp;IF(LEN(INDEX('Providers'!$A$4:$A$503,319))=0,"",INDEX('Providers'!$A$4:$A$503,319))</f>
        <v/>
      </c>
      <c r="E3322">
        <f>IF(ISNUMBER(INDEX('Providers'!$W$4:$W$503,319)),TEXT(INDEX('Providers'!$W$4:$W$503,319),"yyyy-mm-dd"),"")</f>
        <v/>
      </c>
      <c r="F3322">
        <f>"Credentialing"</f>
        <v/>
      </c>
      <c r="G3322">
        <f>IF(ISNUMBER(INDEX('Providers'!$U$4:$U$503,319)),TEXT(INDEX('Providers'!$U$4:$U$503,319),"yyyy-mm-dd"),"")</f>
        <v/>
      </c>
      <c r="H3322">
        <f>"High"</f>
        <v/>
      </c>
      <c r="I3322">
        <f>TRIM(IF(LEN(IF(LEN(INDEX('Providers'!$T$4:$T$503,319))=0,"",INDEX('Providers'!$T$4:$T$503,319)))=0,"","CAQH ID: "&amp;IF(LEN(INDEX('Providers'!$T$4:$T$503,319))=0,"",INDEX('Providers'!$T$4:$T$503,319))&amp;". ")&amp;IF(LEN(IF(ISNUMBER(INDEX('Providers'!$U$4:$U$503,319)),TEXT(INDEX('Providers'!$U$4:$U$503,319),"yyyy-mm-dd"),""))=0,"","Last attested: "&amp;IF(ISNUMBER(INDEX('Providers'!$U$4:$U$503,319)),TEXT(INDEX('Providers'!$U$4:$U$503,319),"yyyy-mm-dd"),"")&amp;". "))</f>
        <v/>
      </c>
      <c r="J3322">
        <f>IF(LEN(INDEX('Providers'!$AJ$4:$AJ$503,319))=0,"",INDEX('Providers'!$AJ$4:$AJ$503,319))</f>
        <v/>
      </c>
      <c r="K3322">
        <f>IF(LEN(INDEX('Providers'!$AI$4:$AI$503,319))=0,"",INDEX('Providers'!$AI$4:$AI$503,319))</f>
        <v/>
      </c>
    </row>
    <row r="3323">
      <c r="A3323">
        <f>IF(AND(LEN('Providers'!A323)&gt;0,ISNUMBER('Providers'!W323)),1,0)</f>
        <v/>
      </c>
      <c r="B3323">
        <f>B3322+A3323</f>
        <v/>
      </c>
      <c r="C3323">
        <f>IF(3320&gt;$B$4503,"",MATCH(3320-0.5,$B$3:$B$4503,1))</f>
        <v/>
      </c>
      <c r="D3323">
        <f>"CAQH re-attestation – "&amp;IF(LEN(INDEX('Providers'!$A$4:$A$503,320))=0,"",INDEX('Providers'!$A$4:$A$503,320))</f>
        <v/>
      </c>
      <c r="E3323">
        <f>IF(ISNUMBER(INDEX('Providers'!$W$4:$W$503,320)),TEXT(INDEX('Providers'!$W$4:$W$503,320),"yyyy-mm-dd"),"")</f>
        <v/>
      </c>
      <c r="F3323">
        <f>"Credentialing"</f>
        <v/>
      </c>
      <c r="G3323">
        <f>IF(ISNUMBER(INDEX('Providers'!$U$4:$U$503,320)),TEXT(INDEX('Providers'!$U$4:$U$503,320),"yyyy-mm-dd"),"")</f>
        <v/>
      </c>
      <c r="H3323">
        <f>"High"</f>
        <v/>
      </c>
      <c r="I3323">
        <f>TRIM(IF(LEN(IF(LEN(INDEX('Providers'!$T$4:$T$503,320))=0,"",INDEX('Providers'!$T$4:$T$503,320)))=0,"","CAQH ID: "&amp;IF(LEN(INDEX('Providers'!$T$4:$T$503,320))=0,"",INDEX('Providers'!$T$4:$T$503,320))&amp;". ")&amp;IF(LEN(IF(ISNUMBER(INDEX('Providers'!$U$4:$U$503,320)),TEXT(INDEX('Providers'!$U$4:$U$503,320),"yyyy-mm-dd"),""))=0,"","Last attested: "&amp;IF(ISNUMBER(INDEX('Providers'!$U$4:$U$503,320)),TEXT(INDEX('Providers'!$U$4:$U$503,320),"yyyy-mm-dd"),"")&amp;". "))</f>
        <v/>
      </c>
      <c r="J3323">
        <f>IF(LEN(INDEX('Providers'!$AJ$4:$AJ$503,320))=0,"",INDEX('Providers'!$AJ$4:$AJ$503,320))</f>
        <v/>
      </c>
      <c r="K3323">
        <f>IF(LEN(INDEX('Providers'!$AI$4:$AI$503,320))=0,"",INDEX('Providers'!$AI$4:$AI$503,320))</f>
        <v/>
      </c>
    </row>
    <row r="3324">
      <c r="A3324">
        <f>IF(AND(LEN('Providers'!A324)&gt;0,ISNUMBER('Providers'!W324)),1,0)</f>
        <v/>
      </c>
      <c r="B3324">
        <f>B3323+A3324</f>
        <v/>
      </c>
      <c r="C3324">
        <f>IF(3321&gt;$B$4503,"",MATCH(3321-0.5,$B$3:$B$4503,1))</f>
        <v/>
      </c>
      <c r="D3324">
        <f>"CAQH re-attestation – "&amp;IF(LEN(INDEX('Providers'!$A$4:$A$503,321))=0,"",INDEX('Providers'!$A$4:$A$503,321))</f>
        <v/>
      </c>
      <c r="E3324">
        <f>IF(ISNUMBER(INDEX('Providers'!$W$4:$W$503,321)),TEXT(INDEX('Providers'!$W$4:$W$503,321),"yyyy-mm-dd"),"")</f>
        <v/>
      </c>
      <c r="F3324">
        <f>"Credentialing"</f>
        <v/>
      </c>
      <c r="G3324">
        <f>IF(ISNUMBER(INDEX('Providers'!$U$4:$U$503,321)),TEXT(INDEX('Providers'!$U$4:$U$503,321),"yyyy-mm-dd"),"")</f>
        <v/>
      </c>
      <c r="H3324">
        <f>"High"</f>
        <v/>
      </c>
      <c r="I3324">
        <f>TRIM(IF(LEN(IF(LEN(INDEX('Providers'!$T$4:$T$503,321))=0,"",INDEX('Providers'!$T$4:$T$503,321)))=0,"","CAQH ID: "&amp;IF(LEN(INDEX('Providers'!$T$4:$T$503,321))=0,"",INDEX('Providers'!$T$4:$T$503,321))&amp;". ")&amp;IF(LEN(IF(ISNUMBER(INDEX('Providers'!$U$4:$U$503,321)),TEXT(INDEX('Providers'!$U$4:$U$503,321),"yyyy-mm-dd"),""))=0,"","Last attested: "&amp;IF(ISNUMBER(INDEX('Providers'!$U$4:$U$503,321)),TEXT(INDEX('Providers'!$U$4:$U$503,321),"yyyy-mm-dd"),"")&amp;". "))</f>
        <v/>
      </c>
      <c r="J3324">
        <f>IF(LEN(INDEX('Providers'!$AJ$4:$AJ$503,321))=0,"",INDEX('Providers'!$AJ$4:$AJ$503,321))</f>
        <v/>
      </c>
      <c r="K3324">
        <f>IF(LEN(INDEX('Providers'!$AI$4:$AI$503,321))=0,"",INDEX('Providers'!$AI$4:$AI$503,321))</f>
        <v/>
      </c>
    </row>
    <row r="3325">
      <c r="A3325">
        <f>IF(AND(LEN('Providers'!A325)&gt;0,ISNUMBER('Providers'!W325)),1,0)</f>
        <v/>
      </c>
      <c r="B3325">
        <f>B3324+A3325</f>
        <v/>
      </c>
      <c r="C3325">
        <f>IF(3322&gt;$B$4503,"",MATCH(3322-0.5,$B$3:$B$4503,1))</f>
        <v/>
      </c>
      <c r="D3325">
        <f>"CAQH re-attestation – "&amp;IF(LEN(INDEX('Providers'!$A$4:$A$503,322))=0,"",INDEX('Providers'!$A$4:$A$503,322))</f>
        <v/>
      </c>
      <c r="E3325">
        <f>IF(ISNUMBER(INDEX('Providers'!$W$4:$W$503,322)),TEXT(INDEX('Providers'!$W$4:$W$503,322),"yyyy-mm-dd"),"")</f>
        <v/>
      </c>
      <c r="F3325">
        <f>"Credentialing"</f>
        <v/>
      </c>
      <c r="G3325">
        <f>IF(ISNUMBER(INDEX('Providers'!$U$4:$U$503,322)),TEXT(INDEX('Providers'!$U$4:$U$503,322),"yyyy-mm-dd"),"")</f>
        <v/>
      </c>
      <c r="H3325">
        <f>"High"</f>
        <v/>
      </c>
      <c r="I3325">
        <f>TRIM(IF(LEN(IF(LEN(INDEX('Providers'!$T$4:$T$503,322))=0,"",INDEX('Providers'!$T$4:$T$503,322)))=0,"","CAQH ID: "&amp;IF(LEN(INDEX('Providers'!$T$4:$T$503,322))=0,"",INDEX('Providers'!$T$4:$T$503,322))&amp;". ")&amp;IF(LEN(IF(ISNUMBER(INDEX('Providers'!$U$4:$U$503,322)),TEXT(INDEX('Providers'!$U$4:$U$503,322),"yyyy-mm-dd"),""))=0,"","Last attested: "&amp;IF(ISNUMBER(INDEX('Providers'!$U$4:$U$503,322)),TEXT(INDEX('Providers'!$U$4:$U$503,322),"yyyy-mm-dd"),"")&amp;". "))</f>
        <v/>
      </c>
      <c r="J3325">
        <f>IF(LEN(INDEX('Providers'!$AJ$4:$AJ$503,322))=0,"",INDEX('Providers'!$AJ$4:$AJ$503,322))</f>
        <v/>
      </c>
      <c r="K3325">
        <f>IF(LEN(INDEX('Providers'!$AI$4:$AI$503,322))=0,"",INDEX('Providers'!$AI$4:$AI$503,322))</f>
        <v/>
      </c>
    </row>
    <row r="3326">
      <c r="A3326">
        <f>IF(AND(LEN('Providers'!A326)&gt;0,ISNUMBER('Providers'!W326)),1,0)</f>
        <v/>
      </c>
      <c r="B3326">
        <f>B3325+A3326</f>
        <v/>
      </c>
      <c r="C3326">
        <f>IF(3323&gt;$B$4503,"",MATCH(3323-0.5,$B$3:$B$4503,1))</f>
        <v/>
      </c>
      <c r="D3326">
        <f>"CAQH re-attestation – "&amp;IF(LEN(INDEX('Providers'!$A$4:$A$503,323))=0,"",INDEX('Providers'!$A$4:$A$503,323))</f>
        <v/>
      </c>
      <c r="E3326">
        <f>IF(ISNUMBER(INDEX('Providers'!$W$4:$W$503,323)),TEXT(INDEX('Providers'!$W$4:$W$503,323),"yyyy-mm-dd"),"")</f>
        <v/>
      </c>
      <c r="F3326">
        <f>"Credentialing"</f>
        <v/>
      </c>
      <c r="G3326">
        <f>IF(ISNUMBER(INDEX('Providers'!$U$4:$U$503,323)),TEXT(INDEX('Providers'!$U$4:$U$503,323),"yyyy-mm-dd"),"")</f>
        <v/>
      </c>
      <c r="H3326">
        <f>"High"</f>
        <v/>
      </c>
      <c r="I3326">
        <f>TRIM(IF(LEN(IF(LEN(INDEX('Providers'!$T$4:$T$503,323))=0,"",INDEX('Providers'!$T$4:$T$503,323)))=0,"","CAQH ID: "&amp;IF(LEN(INDEX('Providers'!$T$4:$T$503,323))=0,"",INDEX('Providers'!$T$4:$T$503,323))&amp;". ")&amp;IF(LEN(IF(ISNUMBER(INDEX('Providers'!$U$4:$U$503,323)),TEXT(INDEX('Providers'!$U$4:$U$503,323),"yyyy-mm-dd"),""))=0,"","Last attested: "&amp;IF(ISNUMBER(INDEX('Providers'!$U$4:$U$503,323)),TEXT(INDEX('Providers'!$U$4:$U$503,323),"yyyy-mm-dd"),"")&amp;". "))</f>
        <v/>
      </c>
      <c r="J3326">
        <f>IF(LEN(INDEX('Providers'!$AJ$4:$AJ$503,323))=0,"",INDEX('Providers'!$AJ$4:$AJ$503,323))</f>
        <v/>
      </c>
      <c r="K3326">
        <f>IF(LEN(INDEX('Providers'!$AI$4:$AI$503,323))=0,"",INDEX('Providers'!$AI$4:$AI$503,323))</f>
        <v/>
      </c>
    </row>
    <row r="3327">
      <c r="A3327">
        <f>IF(AND(LEN('Providers'!A327)&gt;0,ISNUMBER('Providers'!W327)),1,0)</f>
        <v/>
      </c>
      <c r="B3327">
        <f>B3326+A3327</f>
        <v/>
      </c>
      <c r="C3327">
        <f>IF(3324&gt;$B$4503,"",MATCH(3324-0.5,$B$3:$B$4503,1))</f>
        <v/>
      </c>
      <c r="D3327">
        <f>"CAQH re-attestation – "&amp;IF(LEN(INDEX('Providers'!$A$4:$A$503,324))=0,"",INDEX('Providers'!$A$4:$A$503,324))</f>
        <v/>
      </c>
      <c r="E3327">
        <f>IF(ISNUMBER(INDEX('Providers'!$W$4:$W$503,324)),TEXT(INDEX('Providers'!$W$4:$W$503,324),"yyyy-mm-dd"),"")</f>
        <v/>
      </c>
      <c r="F3327">
        <f>"Credentialing"</f>
        <v/>
      </c>
      <c r="G3327">
        <f>IF(ISNUMBER(INDEX('Providers'!$U$4:$U$503,324)),TEXT(INDEX('Providers'!$U$4:$U$503,324),"yyyy-mm-dd"),"")</f>
        <v/>
      </c>
      <c r="H3327">
        <f>"High"</f>
        <v/>
      </c>
      <c r="I3327">
        <f>TRIM(IF(LEN(IF(LEN(INDEX('Providers'!$T$4:$T$503,324))=0,"",INDEX('Providers'!$T$4:$T$503,324)))=0,"","CAQH ID: "&amp;IF(LEN(INDEX('Providers'!$T$4:$T$503,324))=0,"",INDEX('Providers'!$T$4:$T$503,324))&amp;". ")&amp;IF(LEN(IF(ISNUMBER(INDEX('Providers'!$U$4:$U$503,324)),TEXT(INDEX('Providers'!$U$4:$U$503,324),"yyyy-mm-dd"),""))=0,"","Last attested: "&amp;IF(ISNUMBER(INDEX('Providers'!$U$4:$U$503,324)),TEXT(INDEX('Providers'!$U$4:$U$503,324),"yyyy-mm-dd"),"")&amp;". "))</f>
        <v/>
      </c>
      <c r="J3327">
        <f>IF(LEN(INDEX('Providers'!$AJ$4:$AJ$503,324))=0,"",INDEX('Providers'!$AJ$4:$AJ$503,324))</f>
        <v/>
      </c>
      <c r="K3327">
        <f>IF(LEN(INDEX('Providers'!$AI$4:$AI$503,324))=0,"",INDEX('Providers'!$AI$4:$AI$503,324))</f>
        <v/>
      </c>
    </row>
    <row r="3328">
      <c r="A3328">
        <f>IF(AND(LEN('Providers'!A328)&gt;0,ISNUMBER('Providers'!W328)),1,0)</f>
        <v/>
      </c>
      <c r="B3328">
        <f>B3327+A3328</f>
        <v/>
      </c>
      <c r="C3328">
        <f>IF(3325&gt;$B$4503,"",MATCH(3325-0.5,$B$3:$B$4503,1))</f>
        <v/>
      </c>
      <c r="D3328">
        <f>"CAQH re-attestation – "&amp;IF(LEN(INDEX('Providers'!$A$4:$A$503,325))=0,"",INDEX('Providers'!$A$4:$A$503,325))</f>
        <v/>
      </c>
      <c r="E3328">
        <f>IF(ISNUMBER(INDEX('Providers'!$W$4:$W$503,325)),TEXT(INDEX('Providers'!$W$4:$W$503,325),"yyyy-mm-dd"),"")</f>
        <v/>
      </c>
      <c r="F3328">
        <f>"Credentialing"</f>
        <v/>
      </c>
      <c r="G3328">
        <f>IF(ISNUMBER(INDEX('Providers'!$U$4:$U$503,325)),TEXT(INDEX('Providers'!$U$4:$U$503,325),"yyyy-mm-dd"),"")</f>
        <v/>
      </c>
      <c r="H3328">
        <f>"High"</f>
        <v/>
      </c>
      <c r="I3328">
        <f>TRIM(IF(LEN(IF(LEN(INDEX('Providers'!$T$4:$T$503,325))=0,"",INDEX('Providers'!$T$4:$T$503,325)))=0,"","CAQH ID: "&amp;IF(LEN(INDEX('Providers'!$T$4:$T$503,325))=0,"",INDEX('Providers'!$T$4:$T$503,325))&amp;". ")&amp;IF(LEN(IF(ISNUMBER(INDEX('Providers'!$U$4:$U$503,325)),TEXT(INDEX('Providers'!$U$4:$U$503,325),"yyyy-mm-dd"),""))=0,"","Last attested: "&amp;IF(ISNUMBER(INDEX('Providers'!$U$4:$U$503,325)),TEXT(INDEX('Providers'!$U$4:$U$503,325),"yyyy-mm-dd"),"")&amp;". "))</f>
        <v/>
      </c>
      <c r="J3328">
        <f>IF(LEN(INDEX('Providers'!$AJ$4:$AJ$503,325))=0,"",INDEX('Providers'!$AJ$4:$AJ$503,325))</f>
        <v/>
      </c>
      <c r="K3328">
        <f>IF(LEN(INDEX('Providers'!$AI$4:$AI$503,325))=0,"",INDEX('Providers'!$AI$4:$AI$503,325))</f>
        <v/>
      </c>
    </row>
    <row r="3329">
      <c r="A3329">
        <f>IF(AND(LEN('Providers'!A329)&gt;0,ISNUMBER('Providers'!W329)),1,0)</f>
        <v/>
      </c>
      <c r="B3329">
        <f>B3328+A3329</f>
        <v/>
      </c>
      <c r="C3329">
        <f>IF(3326&gt;$B$4503,"",MATCH(3326-0.5,$B$3:$B$4503,1))</f>
        <v/>
      </c>
      <c r="D3329">
        <f>"CAQH re-attestation – "&amp;IF(LEN(INDEX('Providers'!$A$4:$A$503,326))=0,"",INDEX('Providers'!$A$4:$A$503,326))</f>
        <v/>
      </c>
      <c r="E3329">
        <f>IF(ISNUMBER(INDEX('Providers'!$W$4:$W$503,326)),TEXT(INDEX('Providers'!$W$4:$W$503,326),"yyyy-mm-dd"),"")</f>
        <v/>
      </c>
      <c r="F3329">
        <f>"Credentialing"</f>
        <v/>
      </c>
      <c r="G3329">
        <f>IF(ISNUMBER(INDEX('Providers'!$U$4:$U$503,326)),TEXT(INDEX('Providers'!$U$4:$U$503,326),"yyyy-mm-dd"),"")</f>
        <v/>
      </c>
      <c r="H3329">
        <f>"High"</f>
        <v/>
      </c>
      <c r="I3329">
        <f>TRIM(IF(LEN(IF(LEN(INDEX('Providers'!$T$4:$T$503,326))=0,"",INDEX('Providers'!$T$4:$T$503,326)))=0,"","CAQH ID: "&amp;IF(LEN(INDEX('Providers'!$T$4:$T$503,326))=0,"",INDEX('Providers'!$T$4:$T$503,326))&amp;". ")&amp;IF(LEN(IF(ISNUMBER(INDEX('Providers'!$U$4:$U$503,326)),TEXT(INDEX('Providers'!$U$4:$U$503,326),"yyyy-mm-dd"),""))=0,"","Last attested: "&amp;IF(ISNUMBER(INDEX('Providers'!$U$4:$U$503,326)),TEXT(INDEX('Providers'!$U$4:$U$503,326),"yyyy-mm-dd"),"")&amp;". "))</f>
        <v/>
      </c>
      <c r="J3329">
        <f>IF(LEN(INDEX('Providers'!$AJ$4:$AJ$503,326))=0,"",INDEX('Providers'!$AJ$4:$AJ$503,326))</f>
        <v/>
      </c>
      <c r="K3329">
        <f>IF(LEN(INDEX('Providers'!$AI$4:$AI$503,326))=0,"",INDEX('Providers'!$AI$4:$AI$503,326))</f>
        <v/>
      </c>
    </row>
    <row r="3330">
      <c r="A3330">
        <f>IF(AND(LEN('Providers'!A330)&gt;0,ISNUMBER('Providers'!W330)),1,0)</f>
        <v/>
      </c>
      <c r="B3330">
        <f>B3329+A3330</f>
        <v/>
      </c>
      <c r="C3330">
        <f>IF(3327&gt;$B$4503,"",MATCH(3327-0.5,$B$3:$B$4503,1))</f>
        <v/>
      </c>
      <c r="D3330">
        <f>"CAQH re-attestation – "&amp;IF(LEN(INDEX('Providers'!$A$4:$A$503,327))=0,"",INDEX('Providers'!$A$4:$A$503,327))</f>
        <v/>
      </c>
      <c r="E3330">
        <f>IF(ISNUMBER(INDEX('Providers'!$W$4:$W$503,327)),TEXT(INDEX('Providers'!$W$4:$W$503,327),"yyyy-mm-dd"),"")</f>
        <v/>
      </c>
      <c r="F3330">
        <f>"Credentialing"</f>
        <v/>
      </c>
      <c r="G3330">
        <f>IF(ISNUMBER(INDEX('Providers'!$U$4:$U$503,327)),TEXT(INDEX('Providers'!$U$4:$U$503,327),"yyyy-mm-dd"),"")</f>
        <v/>
      </c>
      <c r="H3330">
        <f>"High"</f>
        <v/>
      </c>
      <c r="I3330">
        <f>TRIM(IF(LEN(IF(LEN(INDEX('Providers'!$T$4:$T$503,327))=0,"",INDEX('Providers'!$T$4:$T$503,327)))=0,"","CAQH ID: "&amp;IF(LEN(INDEX('Providers'!$T$4:$T$503,327))=0,"",INDEX('Providers'!$T$4:$T$503,327))&amp;". ")&amp;IF(LEN(IF(ISNUMBER(INDEX('Providers'!$U$4:$U$503,327)),TEXT(INDEX('Providers'!$U$4:$U$503,327),"yyyy-mm-dd"),""))=0,"","Last attested: "&amp;IF(ISNUMBER(INDEX('Providers'!$U$4:$U$503,327)),TEXT(INDEX('Providers'!$U$4:$U$503,327),"yyyy-mm-dd"),"")&amp;". "))</f>
        <v/>
      </c>
      <c r="J3330">
        <f>IF(LEN(INDEX('Providers'!$AJ$4:$AJ$503,327))=0,"",INDEX('Providers'!$AJ$4:$AJ$503,327))</f>
        <v/>
      </c>
      <c r="K3330">
        <f>IF(LEN(INDEX('Providers'!$AI$4:$AI$503,327))=0,"",INDEX('Providers'!$AI$4:$AI$503,327))</f>
        <v/>
      </c>
    </row>
    <row r="3331">
      <c r="A3331">
        <f>IF(AND(LEN('Providers'!A331)&gt;0,ISNUMBER('Providers'!W331)),1,0)</f>
        <v/>
      </c>
      <c r="B3331">
        <f>B3330+A3331</f>
        <v/>
      </c>
      <c r="C3331">
        <f>IF(3328&gt;$B$4503,"",MATCH(3328-0.5,$B$3:$B$4503,1))</f>
        <v/>
      </c>
      <c r="D3331">
        <f>"CAQH re-attestation – "&amp;IF(LEN(INDEX('Providers'!$A$4:$A$503,328))=0,"",INDEX('Providers'!$A$4:$A$503,328))</f>
        <v/>
      </c>
      <c r="E3331">
        <f>IF(ISNUMBER(INDEX('Providers'!$W$4:$W$503,328)),TEXT(INDEX('Providers'!$W$4:$W$503,328),"yyyy-mm-dd"),"")</f>
        <v/>
      </c>
      <c r="F3331">
        <f>"Credentialing"</f>
        <v/>
      </c>
      <c r="G3331">
        <f>IF(ISNUMBER(INDEX('Providers'!$U$4:$U$503,328)),TEXT(INDEX('Providers'!$U$4:$U$503,328),"yyyy-mm-dd"),"")</f>
        <v/>
      </c>
      <c r="H3331">
        <f>"High"</f>
        <v/>
      </c>
      <c r="I3331">
        <f>TRIM(IF(LEN(IF(LEN(INDEX('Providers'!$T$4:$T$503,328))=0,"",INDEX('Providers'!$T$4:$T$503,328)))=0,"","CAQH ID: "&amp;IF(LEN(INDEX('Providers'!$T$4:$T$503,328))=0,"",INDEX('Providers'!$T$4:$T$503,328))&amp;". ")&amp;IF(LEN(IF(ISNUMBER(INDEX('Providers'!$U$4:$U$503,328)),TEXT(INDEX('Providers'!$U$4:$U$503,328),"yyyy-mm-dd"),""))=0,"","Last attested: "&amp;IF(ISNUMBER(INDEX('Providers'!$U$4:$U$503,328)),TEXT(INDEX('Providers'!$U$4:$U$503,328),"yyyy-mm-dd"),"")&amp;". "))</f>
        <v/>
      </c>
      <c r="J3331">
        <f>IF(LEN(INDEX('Providers'!$AJ$4:$AJ$503,328))=0,"",INDEX('Providers'!$AJ$4:$AJ$503,328))</f>
        <v/>
      </c>
      <c r="K3331">
        <f>IF(LEN(INDEX('Providers'!$AI$4:$AI$503,328))=0,"",INDEX('Providers'!$AI$4:$AI$503,328))</f>
        <v/>
      </c>
    </row>
    <row r="3332">
      <c r="A3332">
        <f>IF(AND(LEN('Providers'!A332)&gt;0,ISNUMBER('Providers'!W332)),1,0)</f>
        <v/>
      </c>
      <c r="B3332">
        <f>B3331+A3332</f>
        <v/>
      </c>
      <c r="C3332">
        <f>IF(3329&gt;$B$4503,"",MATCH(3329-0.5,$B$3:$B$4503,1))</f>
        <v/>
      </c>
      <c r="D3332">
        <f>"CAQH re-attestation – "&amp;IF(LEN(INDEX('Providers'!$A$4:$A$503,329))=0,"",INDEX('Providers'!$A$4:$A$503,329))</f>
        <v/>
      </c>
      <c r="E3332">
        <f>IF(ISNUMBER(INDEX('Providers'!$W$4:$W$503,329)),TEXT(INDEX('Providers'!$W$4:$W$503,329),"yyyy-mm-dd"),"")</f>
        <v/>
      </c>
      <c r="F3332">
        <f>"Credentialing"</f>
        <v/>
      </c>
      <c r="G3332">
        <f>IF(ISNUMBER(INDEX('Providers'!$U$4:$U$503,329)),TEXT(INDEX('Providers'!$U$4:$U$503,329),"yyyy-mm-dd"),"")</f>
        <v/>
      </c>
      <c r="H3332">
        <f>"High"</f>
        <v/>
      </c>
      <c r="I3332">
        <f>TRIM(IF(LEN(IF(LEN(INDEX('Providers'!$T$4:$T$503,329))=0,"",INDEX('Providers'!$T$4:$T$503,329)))=0,"","CAQH ID: "&amp;IF(LEN(INDEX('Providers'!$T$4:$T$503,329))=0,"",INDEX('Providers'!$T$4:$T$503,329))&amp;". ")&amp;IF(LEN(IF(ISNUMBER(INDEX('Providers'!$U$4:$U$503,329)),TEXT(INDEX('Providers'!$U$4:$U$503,329),"yyyy-mm-dd"),""))=0,"","Last attested: "&amp;IF(ISNUMBER(INDEX('Providers'!$U$4:$U$503,329)),TEXT(INDEX('Providers'!$U$4:$U$503,329),"yyyy-mm-dd"),"")&amp;". "))</f>
        <v/>
      </c>
      <c r="J3332">
        <f>IF(LEN(INDEX('Providers'!$AJ$4:$AJ$503,329))=0,"",INDEX('Providers'!$AJ$4:$AJ$503,329))</f>
        <v/>
      </c>
      <c r="K3332">
        <f>IF(LEN(INDEX('Providers'!$AI$4:$AI$503,329))=0,"",INDEX('Providers'!$AI$4:$AI$503,329))</f>
        <v/>
      </c>
    </row>
    <row r="3333">
      <c r="A3333">
        <f>IF(AND(LEN('Providers'!A333)&gt;0,ISNUMBER('Providers'!W333)),1,0)</f>
        <v/>
      </c>
      <c r="B3333">
        <f>B3332+A3333</f>
        <v/>
      </c>
      <c r="C3333">
        <f>IF(3330&gt;$B$4503,"",MATCH(3330-0.5,$B$3:$B$4503,1))</f>
        <v/>
      </c>
      <c r="D3333">
        <f>"CAQH re-attestation – "&amp;IF(LEN(INDEX('Providers'!$A$4:$A$503,330))=0,"",INDEX('Providers'!$A$4:$A$503,330))</f>
        <v/>
      </c>
      <c r="E3333">
        <f>IF(ISNUMBER(INDEX('Providers'!$W$4:$W$503,330)),TEXT(INDEX('Providers'!$W$4:$W$503,330),"yyyy-mm-dd"),"")</f>
        <v/>
      </c>
      <c r="F3333">
        <f>"Credentialing"</f>
        <v/>
      </c>
      <c r="G3333">
        <f>IF(ISNUMBER(INDEX('Providers'!$U$4:$U$503,330)),TEXT(INDEX('Providers'!$U$4:$U$503,330),"yyyy-mm-dd"),"")</f>
        <v/>
      </c>
      <c r="H3333">
        <f>"High"</f>
        <v/>
      </c>
      <c r="I3333">
        <f>TRIM(IF(LEN(IF(LEN(INDEX('Providers'!$T$4:$T$503,330))=0,"",INDEX('Providers'!$T$4:$T$503,330)))=0,"","CAQH ID: "&amp;IF(LEN(INDEX('Providers'!$T$4:$T$503,330))=0,"",INDEX('Providers'!$T$4:$T$503,330))&amp;". ")&amp;IF(LEN(IF(ISNUMBER(INDEX('Providers'!$U$4:$U$503,330)),TEXT(INDEX('Providers'!$U$4:$U$503,330),"yyyy-mm-dd"),""))=0,"","Last attested: "&amp;IF(ISNUMBER(INDEX('Providers'!$U$4:$U$503,330)),TEXT(INDEX('Providers'!$U$4:$U$503,330),"yyyy-mm-dd"),"")&amp;". "))</f>
        <v/>
      </c>
      <c r="J3333">
        <f>IF(LEN(INDEX('Providers'!$AJ$4:$AJ$503,330))=0,"",INDEX('Providers'!$AJ$4:$AJ$503,330))</f>
        <v/>
      </c>
      <c r="K3333">
        <f>IF(LEN(INDEX('Providers'!$AI$4:$AI$503,330))=0,"",INDEX('Providers'!$AI$4:$AI$503,330))</f>
        <v/>
      </c>
    </row>
    <row r="3334">
      <c r="A3334">
        <f>IF(AND(LEN('Providers'!A334)&gt;0,ISNUMBER('Providers'!W334)),1,0)</f>
        <v/>
      </c>
      <c r="B3334">
        <f>B3333+A3334</f>
        <v/>
      </c>
      <c r="C3334">
        <f>IF(3331&gt;$B$4503,"",MATCH(3331-0.5,$B$3:$B$4503,1))</f>
        <v/>
      </c>
      <c r="D3334">
        <f>"CAQH re-attestation – "&amp;IF(LEN(INDEX('Providers'!$A$4:$A$503,331))=0,"",INDEX('Providers'!$A$4:$A$503,331))</f>
        <v/>
      </c>
      <c r="E3334">
        <f>IF(ISNUMBER(INDEX('Providers'!$W$4:$W$503,331)),TEXT(INDEX('Providers'!$W$4:$W$503,331),"yyyy-mm-dd"),"")</f>
        <v/>
      </c>
      <c r="F3334">
        <f>"Credentialing"</f>
        <v/>
      </c>
      <c r="G3334">
        <f>IF(ISNUMBER(INDEX('Providers'!$U$4:$U$503,331)),TEXT(INDEX('Providers'!$U$4:$U$503,331),"yyyy-mm-dd"),"")</f>
        <v/>
      </c>
      <c r="H3334">
        <f>"High"</f>
        <v/>
      </c>
      <c r="I3334">
        <f>TRIM(IF(LEN(IF(LEN(INDEX('Providers'!$T$4:$T$503,331))=0,"",INDEX('Providers'!$T$4:$T$503,331)))=0,"","CAQH ID: "&amp;IF(LEN(INDEX('Providers'!$T$4:$T$503,331))=0,"",INDEX('Providers'!$T$4:$T$503,331))&amp;". ")&amp;IF(LEN(IF(ISNUMBER(INDEX('Providers'!$U$4:$U$503,331)),TEXT(INDEX('Providers'!$U$4:$U$503,331),"yyyy-mm-dd"),""))=0,"","Last attested: "&amp;IF(ISNUMBER(INDEX('Providers'!$U$4:$U$503,331)),TEXT(INDEX('Providers'!$U$4:$U$503,331),"yyyy-mm-dd"),"")&amp;". "))</f>
        <v/>
      </c>
      <c r="J3334">
        <f>IF(LEN(INDEX('Providers'!$AJ$4:$AJ$503,331))=0,"",INDEX('Providers'!$AJ$4:$AJ$503,331))</f>
        <v/>
      </c>
      <c r="K3334">
        <f>IF(LEN(INDEX('Providers'!$AI$4:$AI$503,331))=0,"",INDEX('Providers'!$AI$4:$AI$503,331))</f>
        <v/>
      </c>
    </row>
    <row r="3335">
      <c r="A3335">
        <f>IF(AND(LEN('Providers'!A335)&gt;0,ISNUMBER('Providers'!W335)),1,0)</f>
        <v/>
      </c>
      <c r="B3335">
        <f>B3334+A3335</f>
        <v/>
      </c>
      <c r="C3335">
        <f>IF(3332&gt;$B$4503,"",MATCH(3332-0.5,$B$3:$B$4503,1))</f>
        <v/>
      </c>
      <c r="D3335">
        <f>"CAQH re-attestation – "&amp;IF(LEN(INDEX('Providers'!$A$4:$A$503,332))=0,"",INDEX('Providers'!$A$4:$A$503,332))</f>
        <v/>
      </c>
      <c r="E3335">
        <f>IF(ISNUMBER(INDEX('Providers'!$W$4:$W$503,332)),TEXT(INDEX('Providers'!$W$4:$W$503,332),"yyyy-mm-dd"),"")</f>
        <v/>
      </c>
      <c r="F3335">
        <f>"Credentialing"</f>
        <v/>
      </c>
      <c r="G3335">
        <f>IF(ISNUMBER(INDEX('Providers'!$U$4:$U$503,332)),TEXT(INDEX('Providers'!$U$4:$U$503,332),"yyyy-mm-dd"),"")</f>
        <v/>
      </c>
      <c r="H3335">
        <f>"High"</f>
        <v/>
      </c>
      <c r="I3335">
        <f>TRIM(IF(LEN(IF(LEN(INDEX('Providers'!$T$4:$T$503,332))=0,"",INDEX('Providers'!$T$4:$T$503,332)))=0,"","CAQH ID: "&amp;IF(LEN(INDEX('Providers'!$T$4:$T$503,332))=0,"",INDEX('Providers'!$T$4:$T$503,332))&amp;". ")&amp;IF(LEN(IF(ISNUMBER(INDEX('Providers'!$U$4:$U$503,332)),TEXT(INDEX('Providers'!$U$4:$U$503,332),"yyyy-mm-dd"),""))=0,"","Last attested: "&amp;IF(ISNUMBER(INDEX('Providers'!$U$4:$U$503,332)),TEXT(INDEX('Providers'!$U$4:$U$503,332),"yyyy-mm-dd"),"")&amp;". "))</f>
        <v/>
      </c>
      <c r="J3335">
        <f>IF(LEN(INDEX('Providers'!$AJ$4:$AJ$503,332))=0,"",INDEX('Providers'!$AJ$4:$AJ$503,332))</f>
        <v/>
      </c>
      <c r="K3335">
        <f>IF(LEN(INDEX('Providers'!$AI$4:$AI$503,332))=0,"",INDEX('Providers'!$AI$4:$AI$503,332))</f>
        <v/>
      </c>
    </row>
    <row r="3336">
      <c r="A3336">
        <f>IF(AND(LEN('Providers'!A336)&gt;0,ISNUMBER('Providers'!W336)),1,0)</f>
        <v/>
      </c>
      <c r="B3336">
        <f>B3335+A3336</f>
        <v/>
      </c>
      <c r="C3336">
        <f>IF(3333&gt;$B$4503,"",MATCH(3333-0.5,$B$3:$B$4503,1))</f>
        <v/>
      </c>
      <c r="D3336">
        <f>"CAQH re-attestation – "&amp;IF(LEN(INDEX('Providers'!$A$4:$A$503,333))=0,"",INDEX('Providers'!$A$4:$A$503,333))</f>
        <v/>
      </c>
      <c r="E3336">
        <f>IF(ISNUMBER(INDEX('Providers'!$W$4:$W$503,333)),TEXT(INDEX('Providers'!$W$4:$W$503,333),"yyyy-mm-dd"),"")</f>
        <v/>
      </c>
      <c r="F3336">
        <f>"Credentialing"</f>
        <v/>
      </c>
      <c r="G3336">
        <f>IF(ISNUMBER(INDEX('Providers'!$U$4:$U$503,333)),TEXT(INDEX('Providers'!$U$4:$U$503,333),"yyyy-mm-dd"),"")</f>
        <v/>
      </c>
      <c r="H3336">
        <f>"High"</f>
        <v/>
      </c>
      <c r="I3336">
        <f>TRIM(IF(LEN(IF(LEN(INDEX('Providers'!$T$4:$T$503,333))=0,"",INDEX('Providers'!$T$4:$T$503,333)))=0,"","CAQH ID: "&amp;IF(LEN(INDEX('Providers'!$T$4:$T$503,333))=0,"",INDEX('Providers'!$T$4:$T$503,333))&amp;". ")&amp;IF(LEN(IF(ISNUMBER(INDEX('Providers'!$U$4:$U$503,333)),TEXT(INDEX('Providers'!$U$4:$U$503,333),"yyyy-mm-dd"),""))=0,"","Last attested: "&amp;IF(ISNUMBER(INDEX('Providers'!$U$4:$U$503,333)),TEXT(INDEX('Providers'!$U$4:$U$503,333),"yyyy-mm-dd"),"")&amp;". "))</f>
        <v/>
      </c>
      <c r="J3336">
        <f>IF(LEN(INDEX('Providers'!$AJ$4:$AJ$503,333))=0,"",INDEX('Providers'!$AJ$4:$AJ$503,333))</f>
        <v/>
      </c>
      <c r="K3336">
        <f>IF(LEN(INDEX('Providers'!$AI$4:$AI$503,333))=0,"",INDEX('Providers'!$AI$4:$AI$503,333))</f>
        <v/>
      </c>
    </row>
    <row r="3337">
      <c r="A3337">
        <f>IF(AND(LEN('Providers'!A337)&gt;0,ISNUMBER('Providers'!W337)),1,0)</f>
        <v/>
      </c>
      <c r="B3337">
        <f>B3336+A3337</f>
        <v/>
      </c>
      <c r="C3337">
        <f>IF(3334&gt;$B$4503,"",MATCH(3334-0.5,$B$3:$B$4503,1))</f>
        <v/>
      </c>
      <c r="D3337">
        <f>"CAQH re-attestation – "&amp;IF(LEN(INDEX('Providers'!$A$4:$A$503,334))=0,"",INDEX('Providers'!$A$4:$A$503,334))</f>
        <v/>
      </c>
      <c r="E3337">
        <f>IF(ISNUMBER(INDEX('Providers'!$W$4:$W$503,334)),TEXT(INDEX('Providers'!$W$4:$W$503,334),"yyyy-mm-dd"),"")</f>
        <v/>
      </c>
      <c r="F3337">
        <f>"Credentialing"</f>
        <v/>
      </c>
      <c r="G3337">
        <f>IF(ISNUMBER(INDEX('Providers'!$U$4:$U$503,334)),TEXT(INDEX('Providers'!$U$4:$U$503,334),"yyyy-mm-dd"),"")</f>
        <v/>
      </c>
      <c r="H3337">
        <f>"High"</f>
        <v/>
      </c>
      <c r="I3337">
        <f>TRIM(IF(LEN(IF(LEN(INDEX('Providers'!$T$4:$T$503,334))=0,"",INDEX('Providers'!$T$4:$T$503,334)))=0,"","CAQH ID: "&amp;IF(LEN(INDEX('Providers'!$T$4:$T$503,334))=0,"",INDEX('Providers'!$T$4:$T$503,334))&amp;". ")&amp;IF(LEN(IF(ISNUMBER(INDEX('Providers'!$U$4:$U$503,334)),TEXT(INDEX('Providers'!$U$4:$U$503,334),"yyyy-mm-dd"),""))=0,"","Last attested: "&amp;IF(ISNUMBER(INDEX('Providers'!$U$4:$U$503,334)),TEXT(INDEX('Providers'!$U$4:$U$503,334),"yyyy-mm-dd"),"")&amp;". "))</f>
        <v/>
      </c>
      <c r="J3337">
        <f>IF(LEN(INDEX('Providers'!$AJ$4:$AJ$503,334))=0,"",INDEX('Providers'!$AJ$4:$AJ$503,334))</f>
        <v/>
      </c>
      <c r="K3337">
        <f>IF(LEN(INDEX('Providers'!$AI$4:$AI$503,334))=0,"",INDEX('Providers'!$AI$4:$AI$503,334))</f>
        <v/>
      </c>
    </row>
    <row r="3338">
      <c r="A3338">
        <f>IF(AND(LEN('Providers'!A338)&gt;0,ISNUMBER('Providers'!W338)),1,0)</f>
        <v/>
      </c>
      <c r="B3338">
        <f>B3337+A3338</f>
        <v/>
      </c>
      <c r="C3338">
        <f>IF(3335&gt;$B$4503,"",MATCH(3335-0.5,$B$3:$B$4503,1))</f>
        <v/>
      </c>
      <c r="D3338">
        <f>"CAQH re-attestation – "&amp;IF(LEN(INDEX('Providers'!$A$4:$A$503,335))=0,"",INDEX('Providers'!$A$4:$A$503,335))</f>
        <v/>
      </c>
      <c r="E3338">
        <f>IF(ISNUMBER(INDEX('Providers'!$W$4:$W$503,335)),TEXT(INDEX('Providers'!$W$4:$W$503,335),"yyyy-mm-dd"),"")</f>
        <v/>
      </c>
      <c r="F3338">
        <f>"Credentialing"</f>
        <v/>
      </c>
      <c r="G3338">
        <f>IF(ISNUMBER(INDEX('Providers'!$U$4:$U$503,335)),TEXT(INDEX('Providers'!$U$4:$U$503,335),"yyyy-mm-dd"),"")</f>
        <v/>
      </c>
      <c r="H3338">
        <f>"High"</f>
        <v/>
      </c>
      <c r="I3338">
        <f>TRIM(IF(LEN(IF(LEN(INDEX('Providers'!$T$4:$T$503,335))=0,"",INDEX('Providers'!$T$4:$T$503,335)))=0,"","CAQH ID: "&amp;IF(LEN(INDEX('Providers'!$T$4:$T$503,335))=0,"",INDEX('Providers'!$T$4:$T$503,335))&amp;". ")&amp;IF(LEN(IF(ISNUMBER(INDEX('Providers'!$U$4:$U$503,335)),TEXT(INDEX('Providers'!$U$4:$U$503,335),"yyyy-mm-dd"),""))=0,"","Last attested: "&amp;IF(ISNUMBER(INDEX('Providers'!$U$4:$U$503,335)),TEXT(INDEX('Providers'!$U$4:$U$503,335),"yyyy-mm-dd"),"")&amp;". "))</f>
        <v/>
      </c>
      <c r="J3338">
        <f>IF(LEN(INDEX('Providers'!$AJ$4:$AJ$503,335))=0,"",INDEX('Providers'!$AJ$4:$AJ$503,335))</f>
        <v/>
      </c>
      <c r="K3338">
        <f>IF(LEN(INDEX('Providers'!$AI$4:$AI$503,335))=0,"",INDEX('Providers'!$AI$4:$AI$503,335))</f>
        <v/>
      </c>
    </row>
    <row r="3339">
      <c r="A3339">
        <f>IF(AND(LEN('Providers'!A339)&gt;0,ISNUMBER('Providers'!W339)),1,0)</f>
        <v/>
      </c>
      <c r="B3339">
        <f>B3338+A3339</f>
        <v/>
      </c>
      <c r="C3339">
        <f>IF(3336&gt;$B$4503,"",MATCH(3336-0.5,$B$3:$B$4503,1))</f>
        <v/>
      </c>
      <c r="D3339">
        <f>"CAQH re-attestation – "&amp;IF(LEN(INDEX('Providers'!$A$4:$A$503,336))=0,"",INDEX('Providers'!$A$4:$A$503,336))</f>
        <v/>
      </c>
      <c r="E3339">
        <f>IF(ISNUMBER(INDEX('Providers'!$W$4:$W$503,336)),TEXT(INDEX('Providers'!$W$4:$W$503,336),"yyyy-mm-dd"),"")</f>
        <v/>
      </c>
      <c r="F3339">
        <f>"Credentialing"</f>
        <v/>
      </c>
      <c r="G3339">
        <f>IF(ISNUMBER(INDEX('Providers'!$U$4:$U$503,336)),TEXT(INDEX('Providers'!$U$4:$U$503,336),"yyyy-mm-dd"),"")</f>
        <v/>
      </c>
      <c r="H3339">
        <f>"High"</f>
        <v/>
      </c>
      <c r="I3339">
        <f>TRIM(IF(LEN(IF(LEN(INDEX('Providers'!$T$4:$T$503,336))=0,"",INDEX('Providers'!$T$4:$T$503,336)))=0,"","CAQH ID: "&amp;IF(LEN(INDEX('Providers'!$T$4:$T$503,336))=0,"",INDEX('Providers'!$T$4:$T$503,336))&amp;". ")&amp;IF(LEN(IF(ISNUMBER(INDEX('Providers'!$U$4:$U$503,336)),TEXT(INDEX('Providers'!$U$4:$U$503,336),"yyyy-mm-dd"),""))=0,"","Last attested: "&amp;IF(ISNUMBER(INDEX('Providers'!$U$4:$U$503,336)),TEXT(INDEX('Providers'!$U$4:$U$503,336),"yyyy-mm-dd"),"")&amp;". "))</f>
        <v/>
      </c>
      <c r="J3339">
        <f>IF(LEN(INDEX('Providers'!$AJ$4:$AJ$503,336))=0,"",INDEX('Providers'!$AJ$4:$AJ$503,336))</f>
        <v/>
      </c>
      <c r="K3339">
        <f>IF(LEN(INDEX('Providers'!$AI$4:$AI$503,336))=0,"",INDEX('Providers'!$AI$4:$AI$503,336))</f>
        <v/>
      </c>
    </row>
    <row r="3340">
      <c r="A3340">
        <f>IF(AND(LEN('Providers'!A340)&gt;0,ISNUMBER('Providers'!W340)),1,0)</f>
        <v/>
      </c>
      <c r="B3340">
        <f>B3339+A3340</f>
        <v/>
      </c>
      <c r="C3340">
        <f>IF(3337&gt;$B$4503,"",MATCH(3337-0.5,$B$3:$B$4503,1))</f>
        <v/>
      </c>
      <c r="D3340">
        <f>"CAQH re-attestation – "&amp;IF(LEN(INDEX('Providers'!$A$4:$A$503,337))=0,"",INDEX('Providers'!$A$4:$A$503,337))</f>
        <v/>
      </c>
      <c r="E3340">
        <f>IF(ISNUMBER(INDEX('Providers'!$W$4:$W$503,337)),TEXT(INDEX('Providers'!$W$4:$W$503,337),"yyyy-mm-dd"),"")</f>
        <v/>
      </c>
      <c r="F3340">
        <f>"Credentialing"</f>
        <v/>
      </c>
      <c r="G3340">
        <f>IF(ISNUMBER(INDEX('Providers'!$U$4:$U$503,337)),TEXT(INDEX('Providers'!$U$4:$U$503,337),"yyyy-mm-dd"),"")</f>
        <v/>
      </c>
      <c r="H3340">
        <f>"High"</f>
        <v/>
      </c>
      <c r="I3340">
        <f>TRIM(IF(LEN(IF(LEN(INDEX('Providers'!$T$4:$T$503,337))=0,"",INDEX('Providers'!$T$4:$T$503,337)))=0,"","CAQH ID: "&amp;IF(LEN(INDEX('Providers'!$T$4:$T$503,337))=0,"",INDEX('Providers'!$T$4:$T$503,337))&amp;". ")&amp;IF(LEN(IF(ISNUMBER(INDEX('Providers'!$U$4:$U$503,337)),TEXT(INDEX('Providers'!$U$4:$U$503,337),"yyyy-mm-dd"),""))=0,"","Last attested: "&amp;IF(ISNUMBER(INDEX('Providers'!$U$4:$U$503,337)),TEXT(INDEX('Providers'!$U$4:$U$503,337),"yyyy-mm-dd"),"")&amp;". "))</f>
        <v/>
      </c>
      <c r="J3340">
        <f>IF(LEN(INDEX('Providers'!$AJ$4:$AJ$503,337))=0,"",INDEX('Providers'!$AJ$4:$AJ$503,337))</f>
        <v/>
      </c>
      <c r="K3340">
        <f>IF(LEN(INDEX('Providers'!$AI$4:$AI$503,337))=0,"",INDEX('Providers'!$AI$4:$AI$503,337))</f>
        <v/>
      </c>
    </row>
    <row r="3341">
      <c r="A3341">
        <f>IF(AND(LEN('Providers'!A341)&gt;0,ISNUMBER('Providers'!W341)),1,0)</f>
        <v/>
      </c>
      <c r="B3341">
        <f>B3340+A3341</f>
        <v/>
      </c>
      <c r="C3341">
        <f>IF(3338&gt;$B$4503,"",MATCH(3338-0.5,$B$3:$B$4503,1))</f>
        <v/>
      </c>
      <c r="D3341">
        <f>"CAQH re-attestation – "&amp;IF(LEN(INDEX('Providers'!$A$4:$A$503,338))=0,"",INDEX('Providers'!$A$4:$A$503,338))</f>
        <v/>
      </c>
      <c r="E3341">
        <f>IF(ISNUMBER(INDEX('Providers'!$W$4:$W$503,338)),TEXT(INDEX('Providers'!$W$4:$W$503,338),"yyyy-mm-dd"),"")</f>
        <v/>
      </c>
      <c r="F3341">
        <f>"Credentialing"</f>
        <v/>
      </c>
      <c r="G3341">
        <f>IF(ISNUMBER(INDEX('Providers'!$U$4:$U$503,338)),TEXT(INDEX('Providers'!$U$4:$U$503,338),"yyyy-mm-dd"),"")</f>
        <v/>
      </c>
      <c r="H3341">
        <f>"High"</f>
        <v/>
      </c>
      <c r="I3341">
        <f>TRIM(IF(LEN(IF(LEN(INDEX('Providers'!$T$4:$T$503,338))=0,"",INDEX('Providers'!$T$4:$T$503,338)))=0,"","CAQH ID: "&amp;IF(LEN(INDEX('Providers'!$T$4:$T$503,338))=0,"",INDEX('Providers'!$T$4:$T$503,338))&amp;". ")&amp;IF(LEN(IF(ISNUMBER(INDEX('Providers'!$U$4:$U$503,338)),TEXT(INDEX('Providers'!$U$4:$U$503,338),"yyyy-mm-dd"),""))=0,"","Last attested: "&amp;IF(ISNUMBER(INDEX('Providers'!$U$4:$U$503,338)),TEXT(INDEX('Providers'!$U$4:$U$503,338),"yyyy-mm-dd"),"")&amp;". "))</f>
        <v/>
      </c>
      <c r="J3341">
        <f>IF(LEN(INDEX('Providers'!$AJ$4:$AJ$503,338))=0,"",INDEX('Providers'!$AJ$4:$AJ$503,338))</f>
        <v/>
      </c>
      <c r="K3341">
        <f>IF(LEN(INDEX('Providers'!$AI$4:$AI$503,338))=0,"",INDEX('Providers'!$AI$4:$AI$503,338))</f>
        <v/>
      </c>
    </row>
    <row r="3342">
      <c r="A3342">
        <f>IF(AND(LEN('Providers'!A342)&gt;0,ISNUMBER('Providers'!W342)),1,0)</f>
        <v/>
      </c>
      <c r="B3342">
        <f>B3341+A3342</f>
        <v/>
      </c>
      <c r="C3342">
        <f>IF(3339&gt;$B$4503,"",MATCH(3339-0.5,$B$3:$B$4503,1))</f>
        <v/>
      </c>
      <c r="D3342">
        <f>"CAQH re-attestation – "&amp;IF(LEN(INDEX('Providers'!$A$4:$A$503,339))=0,"",INDEX('Providers'!$A$4:$A$503,339))</f>
        <v/>
      </c>
      <c r="E3342">
        <f>IF(ISNUMBER(INDEX('Providers'!$W$4:$W$503,339)),TEXT(INDEX('Providers'!$W$4:$W$503,339),"yyyy-mm-dd"),"")</f>
        <v/>
      </c>
      <c r="F3342">
        <f>"Credentialing"</f>
        <v/>
      </c>
      <c r="G3342">
        <f>IF(ISNUMBER(INDEX('Providers'!$U$4:$U$503,339)),TEXT(INDEX('Providers'!$U$4:$U$503,339),"yyyy-mm-dd"),"")</f>
        <v/>
      </c>
      <c r="H3342">
        <f>"High"</f>
        <v/>
      </c>
      <c r="I3342">
        <f>TRIM(IF(LEN(IF(LEN(INDEX('Providers'!$T$4:$T$503,339))=0,"",INDEX('Providers'!$T$4:$T$503,339)))=0,"","CAQH ID: "&amp;IF(LEN(INDEX('Providers'!$T$4:$T$503,339))=0,"",INDEX('Providers'!$T$4:$T$503,339))&amp;". ")&amp;IF(LEN(IF(ISNUMBER(INDEX('Providers'!$U$4:$U$503,339)),TEXT(INDEX('Providers'!$U$4:$U$503,339),"yyyy-mm-dd"),""))=0,"","Last attested: "&amp;IF(ISNUMBER(INDEX('Providers'!$U$4:$U$503,339)),TEXT(INDEX('Providers'!$U$4:$U$503,339),"yyyy-mm-dd"),"")&amp;". "))</f>
        <v/>
      </c>
      <c r="J3342">
        <f>IF(LEN(INDEX('Providers'!$AJ$4:$AJ$503,339))=0,"",INDEX('Providers'!$AJ$4:$AJ$503,339))</f>
        <v/>
      </c>
      <c r="K3342">
        <f>IF(LEN(INDEX('Providers'!$AI$4:$AI$503,339))=0,"",INDEX('Providers'!$AI$4:$AI$503,339))</f>
        <v/>
      </c>
    </row>
    <row r="3343">
      <c r="A3343">
        <f>IF(AND(LEN('Providers'!A343)&gt;0,ISNUMBER('Providers'!W343)),1,0)</f>
        <v/>
      </c>
      <c r="B3343">
        <f>B3342+A3343</f>
        <v/>
      </c>
      <c r="C3343">
        <f>IF(3340&gt;$B$4503,"",MATCH(3340-0.5,$B$3:$B$4503,1))</f>
        <v/>
      </c>
      <c r="D3343">
        <f>"CAQH re-attestation – "&amp;IF(LEN(INDEX('Providers'!$A$4:$A$503,340))=0,"",INDEX('Providers'!$A$4:$A$503,340))</f>
        <v/>
      </c>
      <c r="E3343">
        <f>IF(ISNUMBER(INDEX('Providers'!$W$4:$W$503,340)),TEXT(INDEX('Providers'!$W$4:$W$503,340),"yyyy-mm-dd"),"")</f>
        <v/>
      </c>
      <c r="F3343">
        <f>"Credentialing"</f>
        <v/>
      </c>
      <c r="G3343">
        <f>IF(ISNUMBER(INDEX('Providers'!$U$4:$U$503,340)),TEXT(INDEX('Providers'!$U$4:$U$503,340),"yyyy-mm-dd"),"")</f>
        <v/>
      </c>
      <c r="H3343">
        <f>"High"</f>
        <v/>
      </c>
      <c r="I3343">
        <f>TRIM(IF(LEN(IF(LEN(INDEX('Providers'!$T$4:$T$503,340))=0,"",INDEX('Providers'!$T$4:$T$503,340)))=0,"","CAQH ID: "&amp;IF(LEN(INDEX('Providers'!$T$4:$T$503,340))=0,"",INDEX('Providers'!$T$4:$T$503,340))&amp;". ")&amp;IF(LEN(IF(ISNUMBER(INDEX('Providers'!$U$4:$U$503,340)),TEXT(INDEX('Providers'!$U$4:$U$503,340),"yyyy-mm-dd"),""))=0,"","Last attested: "&amp;IF(ISNUMBER(INDEX('Providers'!$U$4:$U$503,340)),TEXT(INDEX('Providers'!$U$4:$U$503,340),"yyyy-mm-dd"),"")&amp;". "))</f>
        <v/>
      </c>
      <c r="J3343">
        <f>IF(LEN(INDEX('Providers'!$AJ$4:$AJ$503,340))=0,"",INDEX('Providers'!$AJ$4:$AJ$503,340))</f>
        <v/>
      </c>
      <c r="K3343">
        <f>IF(LEN(INDEX('Providers'!$AI$4:$AI$503,340))=0,"",INDEX('Providers'!$AI$4:$AI$503,340))</f>
        <v/>
      </c>
    </row>
    <row r="3344">
      <c r="A3344">
        <f>IF(AND(LEN('Providers'!A344)&gt;0,ISNUMBER('Providers'!W344)),1,0)</f>
        <v/>
      </c>
      <c r="B3344">
        <f>B3343+A3344</f>
        <v/>
      </c>
      <c r="C3344">
        <f>IF(3341&gt;$B$4503,"",MATCH(3341-0.5,$B$3:$B$4503,1))</f>
        <v/>
      </c>
      <c r="D3344">
        <f>"CAQH re-attestation – "&amp;IF(LEN(INDEX('Providers'!$A$4:$A$503,341))=0,"",INDEX('Providers'!$A$4:$A$503,341))</f>
        <v/>
      </c>
      <c r="E3344">
        <f>IF(ISNUMBER(INDEX('Providers'!$W$4:$W$503,341)),TEXT(INDEX('Providers'!$W$4:$W$503,341),"yyyy-mm-dd"),"")</f>
        <v/>
      </c>
      <c r="F3344">
        <f>"Credentialing"</f>
        <v/>
      </c>
      <c r="G3344">
        <f>IF(ISNUMBER(INDEX('Providers'!$U$4:$U$503,341)),TEXT(INDEX('Providers'!$U$4:$U$503,341),"yyyy-mm-dd"),"")</f>
        <v/>
      </c>
      <c r="H3344">
        <f>"High"</f>
        <v/>
      </c>
      <c r="I3344">
        <f>TRIM(IF(LEN(IF(LEN(INDEX('Providers'!$T$4:$T$503,341))=0,"",INDEX('Providers'!$T$4:$T$503,341)))=0,"","CAQH ID: "&amp;IF(LEN(INDEX('Providers'!$T$4:$T$503,341))=0,"",INDEX('Providers'!$T$4:$T$503,341))&amp;". ")&amp;IF(LEN(IF(ISNUMBER(INDEX('Providers'!$U$4:$U$503,341)),TEXT(INDEX('Providers'!$U$4:$U$503,341),"yyyy-mm-dd"),""))=0,"","Last attested: "&amp;IF(ISNUMBER(INDEX('Providers'!$U$4:$U$503,341)),TEXT(INDEX('Providers'!$U$4:$U$503,341),"yyyy-mm-dd"),"")&amp;". "))</f>
        <v/>
      </c>
      <c r="J3344">
        <f>IF(LEN(INDEX('Providers'!$AJ$4:$AJ$503,341))=0,"",INDEX('Providers'!$AJ$4:$AJ$503,341))</f>
        <v/>
      </c>
      <c r="K3344">
        <f>IF(LEN(INDEX('Providers'!$AI$4:$AI$503,341))=0,"",INDEX('Providers'!$AI$4:$AI$503,341))</f>
        <v/>
      </c>
    </row>
    <row r="3345">
      <c r="A3345">
        <f>IF(AND(LEN('Providers'!A345)&gt;0,ISNUMBER('Providers'!W345)),1,0)</f>
        <v/>
      </c>
      <c r="B3345">
        <f>B3344+A3345</f>
        <v/>
      </c>
      <c r="C3345">
        <f>IF(3342&gt;$B$4503,"",MATCH(3342-0.5,$B$3:$B$4503,1))</f>
        <v/>
      </c>
      <c r="D3345">
        <f>"CAQH re-attestation – "&amp;IF(LEN(INDEX('Providers'!$A$4:$A$503,342))=0,"",INDEX('Providers'!$A$4:$A$503,342))</f>
        <v/>
      </c>
      <c r="E3345">
        <f>IF(ISNUMBER(INDEX('Providers'!$W$4:$W$503,342)),TEXT(INDEX('Providers'!$W$4:$W$503,342),"yyyy-mm-dd"),"")</f>
        <v/>
      </c>
      <c r="F3345">
        <f>"Credentialing"</f>
        <v/>
      </c>
      <c r="G3345">
        <f>IF(ISNUMBER(INDEX('Providers'!$U$4:$U$503,342)),TEXT(INDEX('Providers'!$U$4:$U$503,342),"yyyy-mm-dd"),"")</f>
        <v/>
      </c>
      <c r="H3345">
        <f>"High"</f>
        <v/>
      </c>
      <c r="I3345">
        <f>TRIM(IF(LEN(IF(LEN(INDEX('Providers'!$T$4:$T$503,342))=0,"",INDEX('Providers'!$T$4:$T$503,342)))=0,"","CAQH ID: "&amp;IF(LEN(INDEX('Providers'!$T$4:$T$503,342))=0,"",INDEX('Providers'!$T$4:$T$503,342))&amp;". ")&amp;IF(LEN(IF(ISNUMBER(INDEX('Providers'!$U$4:$U$503,342)),TEXT(INDEX('Providers'!$U$4:$U$503,342),"yyyy-mm-dd"),""))=0,"","Last attested: "&amp;IF(ISNUMBER(INDEX('Providers'!$U$4:$U$503,342)),TEXT(INDEX('Providers'!$U$4:$U$503,342),"yyyy-mm-dd"),"")&amp;". "))</f>
        <v/>
      </c>
      <c r="J3345">
        <f>IF(LEN(INDEX('Providers'!$AJ$4:$AJ$503,342))=0,"",INDEX('Providers'!$AJ$4:$AJ$503,342))</f>
        <v/>
      </c>
      <c r="K3345">
        <f>IF(LEN(INDEX('Providers'!$AI$4:$AI$503,342))=0,"",INDEX('Providers'!$AI$4:$AI$503,342))</f>
        <v/>
      </c>
    </row>
    <row r="3346">
      <c r="A3346">
        <f>IF(AND(LEN('Providers'!A346)&gt;0,ISNUMBER('Providers'!W346)),1,0)</f>
        <v/>
      </c>
      <c r="B3346">
        <f>B3345+A3346</f>
        <v/>
      </c>
      <c r="C3346">
        <f>IF(3343&gt;$B$4503,"",MATCH(3343-0.5,$B$3:$B$4503,1))</f>
        <v/>
      </c>
      <c r="D3346">
        <f>"CAQH re-attestation – "&amp;IF(LEN(INDEX('Providers'!$A$4:$A$503,343))=0,"",INDEX('Providers'!$A$4:$A$503,343))</f>
        <v/>
      </c>
      <c r="E3346">
        <f>IF(ISNUMBER(INDEX('Providers'!$W$4:$W$503,343)),TEXT(INDEX('Providers'!$W$4:$W$503,343),"yyyy-mm-dd"),"")</f>
        <v/>
      </c>
      <c r="F3346">
        <f>"Credentialing"</f>
        <v/>
      </c>
      <c r="G3346">
        <f>IF(ISNUMBER(INDEX('Providers'!$U$4:$U$503,343)),TEXT(INDEX('Providers'!$U$4:$U$503,343),"yyyy-mm-dd"),"")</f>
        <v/>
      </c>
      <c r="H3346">
        <f>"High"</f>
        <v/>
      </c>
      <c r="I3346">
        <f>TRIM(IF(LEN(IF(LEN(INDEX('Providers'!$T$4:$T$503,343))=0,"",INDEX('Providers'!$T$4:$T$503,343)))=0,"","CAQH ID: "&amp;IF(LEN(INDEX('Providers'!$T$4:$T$503,343))=0,"",INDEX('Providers'!$T$4:$T$503,343))&amp;". ")&amp;IF(LEN(IF(ISNUMBER(INDEX('Providers'!$U$4:$U$503,343)),TEXT(INDEX('Providers'!$U$4:$U$503,343),"yyyy-mm-dd"),""))=0,"","Last attested: "&amp;IF(ISNUMBER(INDEX('Providers'!$U$4:$U$503,343)),TEXT(INDEX('Providers'!$U$4:$U$503,343),"yyyy-mm-dd"),"")&amp;". "))</f>
        <v/>
      </c>
      <c r="J3346">
        <f>IF(LEN(INDEX('Providers'!$AJ$4:$AJ$503,343))=0,"",INDEX('Providers'!$AJ$4:$AJ$503,343))</f>
        <v/>
      </c>
      <c r="K3346">
        <f>IF(LEN(INDEX('Providers'!$AI$4:$AI$503,343))=0,"",INDEX('Providers'!$AI$4:$AI$503,343))</f>
        <v/>
      </c>
    </row>
    <row r="3347">
      <c r="A3347">
        <f>IF(AND(LEN('Providers'!A347)&gt;0,ISNUMBER('Providers'!W347)),1,0)</f>
        <v/>
      </c>
      <c r="B3347">
        <f>B3346+A3347</f>
        <v/>
      </c>
      <c r="C3347">
        <f>IF(3344&gt;$B$4503,"",MATCH(3344-0.5,$B$3:$B$4503,1))</f>
        <v/>
      </c>
      <c r="D3347">
        <f>"CAQH re-attestation – "&amp;IF(LEN(INDEX('Providers'!$A$4:$A$503,344))=0,"",INDEX('Providers'!$A$4:$A$503,344))</f>
        <v/>
      </c>
      <c r="E3347">
        <f>IF(ISNUMBER(INDEX('Providers'!$W$4:$W$503,344)),TEXT(INDEX('Providers'!$W$4:$W$503,344),"yyyy-mm-dd"),"")</f>
        <v/>
      </c>
      <c r="F3347">
        <f>"Credentialing"</f>
        <v/>
      </c>
      <c r="G3347">
        <f>IF(ISNUMBER(INDEX('Providers'!$U$4:$U$503,344)),TEXT(INDEX('Providers'!$U$4:$U$503,344),"yyyy-mm-dd"),"")</f>
        <v/>
      </c>
      <c r="H3347">
        <f>"High"</f>
        <v/>
      </c>
      <c r="I3347">
        <f>TRIM(IF(LEN(IF(LEN(INDEX('Providers'!$T$4:$T$503,344))=0,"",INDEX('Providers'!$T$4:$T$503,344)))=0,"","CAQH ID: "&amp;IF(LEN(INDEX('Providers'!$T$4:$T$503,344))=0,"",INDEX('Providers'!$T$4:$T$503,344))&amp;". ")&amp;IF(LEN(IF(ISNUMBER(INDEX('Providers'!$U$4:$U$503,344)),TEXT(INDEX('Providers'!$U$4:$U$503,344),"yyyy-mm-dd"),""))=0,"","Last attested: "&amp;IF(ISNUMBER(INDEX('Providers'!$U$4:$U$503,344)),TEXT(INDEX('Providers'!$U$4:$U$503,344),"yyyy-mm-dd"),"")&amp;". "))</f>
        <v/>
      </c>
      <c r="J3347">
        <f>IF(LEN(INDEX('Providers'!$AJ$4:$AJ$503,344))=0,"",INDEX('Providers'!$AJ$4:$AJ$503,344))</f>
        <v/>
      </c>
      <c r="K3347">
        <f>IF(LEN(INDEX('Providers'!$AI$4:$AI$503,344))=0,"",INDEX('Providers'!$AI$4:$AI$503,344))</f>
        <v/>
      </c>
    </row>
    <row r="3348">
      <c r="A3348">
        <f>IF(AND(LEN('Providers'!A348)&gt;0,ISNUMBER('Providers'!W348)),1,0)</f>
        <v/>
      </c>
      <c r="B3348">
        <f>B3347+A3348</f>
        <v/>
      </c>
      <c r="C3348">
        <f>IF(3345&gt;$B$4503,"",MATCH(3345-0.5,$B$3:$B$4503,1))</f>
        <v/>
      </c>
      <c r="D3348">
        <f>"CAQH re-attestation – "&amp;IF(LEN(INDEX('Providers'!$A$4:$A$503,345))=0,"",INDEX('Providers'!$A$4:$A$503,345))</f>
        <v/>
      </c>
      <c r="E3348">
        <f>IF(ISNUMBER(INDEX('Providers'!$W$4:$W$503,345)),TEXT(INDEX('Providers'!$W$4:$W$503,345),"yyyy-mm-dd"),"")</f>
        <v/>
      </c>
      <c r="F3348">
        <f>"Credentialing"</f>
        <v/>
      </c>
      <c r="G3348">
        <f>IF(ISNUMBER(INDEX('Providers'!$U$4:$U$503,345)),TEXT(INDEX('Providers'!$U$4:$U$503,345),"yyyy-mm-dd"),"")</f>
        <v/>
      </c>
      <c r="H3348">
        <f>"High"</f>
        <v/>
      </c>
      <c r="I3348">
        <f>TRIM(IF(LEN(IF(LEN(INDEX('Providers'!$T$4:$T$503,345))=0,"",INDEX('Providers'!$T$4:$T$503,345)))=0,"","CAQH ID: "&amp;IF(LEN(INDEX('Providers'!$T$4:$T$503,345))=0,"",INDEX('Providers'!$T$4:$T$503,345))&amp;". ")&amp;IF(LEN(IF(ISNUMBER(INDEX('Providers'!$U$4:$U$503,345)),TEXT(INDEX('Providers'!$U$4:$U$503,345),"yyyy-mm-dd"),""))=0,"","Last attested: "&amp;IF(ISNUMBER(INDEX('Providers'!$U$4:$U$503,345)),TEXT(INDEX('Providers'!$U$4:$U$503,345),"yyyy-mm-dd"),"")&amp;". "))</f>
        <v/>
      </c>
      <c r="J3348">
        <f>IF(LEN(INDEX('Providers'!$AJ$4:$AJ$503,345))=0,"",INDEX('Providers'!$AJ$4:$AJ$503,345))</f>
        <v/>
      </c>
      <c r="K3348">
        <f>IF(LEN(INDEX('Providers'!$AI$4:$AI$503,345))=0,"",INDEX('Providers'!$AI$4:$AI$503,345))</f>
        <v/>
      </c>
    </row>
    <row r="3349">
      <c r="A3349">
        <f>IF(AND(LEN('Providers'!A349)&gt;0,ISNUMBER('Providers'!W349)),1,0)</f>
        <v/>
      </c>
      <c r="B3349">
        <f>B3348+A3349</f>
        <v/>
      </c>
      <c r="C3349">
        <f>IF(3346&gt;$B$4503,"",MATCH(3346-0.5,$B$3:$B$4503,1))</f>
        <v/>
      </c>
      <c r="D3349">
        <f>"CAQH re-attestation – "&amp;IF(LEN(INDEX('Providers'!$A$4:$A$503,346))=0,"",INDEX('Providers'!$A$4:$A$503,346))</f>
        <v/>
      </c>
      <c r="E3349">
        <f>IF(ISNUMBER(INDEX('Providers'!$W$4:$W$503,346)),TEXT(INDEX('Providers'!$W$4:$W$503,346),"yyyy-mm-dd"),"")</f>
        <v/>
      </c>
      <c r="F3349">
        <f>"Credentialing"</f>
        <v/>
      </c>
      <c r="G3349">
        <f>IF(ISNUMBER(INDEX('Providers'!$U$4:$U$503,346)),TEXT(INDEX('Providers'!$U$4:$U$503,346),"yyyy-mm-dd"),"")</f>
        <v/>
      </c>
      <c r="H3349">
        <f>"High"</f>
        <v/>
      </c>
      <c r="I3349">
        <f>TRIM(IF(LEN(IF(LEN(INDEX('Providers'!$T$4:$T$503,346))=0,"",INDEX('Providers'!$T$4:$T$503,346)))=0,"","CAQH ID: "&amp;IF(LEN(INDEX('Providers'!$T$4:$T$503,346))=0,"",INDEX('Providers'!$T$4:$T$503,346))&amp;". ")&amp;IF(LEN(IF(ISNUMBER(INDEX('Providers'!$U$4:$U$503,346)),TEXT(INDEX('Providers'!$U$4:$U$503,346),"yyyy-mm-dd"),""))=0,"","Last attested: "&amp;IF(ISNUMBER(INDEX('Providers'!$U$4:$U$503,346)),TEXT(INDEX('Providers'!$U$4:$U$503,346),"yyyy-mm-dd"),"")&amp;". "))</f>
        <v/>
      </c>
      <c r="J3349">
        <f>IF(LEN(INDEX('Providers'!$AJ$4:$AJ$503,346))=0,"",INDEX('Providers'!$AJ$4:$AJ$503,346))</f>
        <v/>
      </c>
      <c r="K3349">
        <f>IF(LEN(INDEX('Providers'!$AI$4:$AI$503,346))=0,"",INDEX('Providers'!$AI$4:$AI$503,346))</f>
        <v/>
      </c>
    </row>
    <row r="3350">
      <c r="A3350">
        <f>IF(AND(LEN('Providers'!A350)&gt;0,ISNUMBER('Providers'!W350)),1,0)</f>
        <v/>
      </c>
      <c r="B3350">
        <f>B3349+A3350</f>
        <v/>
      </c>
      <c r="C3350">
        <f>IF(3347&gt;$B$4503,"",MATCH(3347-0.5,$B$3:$B$4503,1))</f>
        <v/>
      </c>
      <c r="D3350">
        <f>"CAQH re-attestation – "&amp;IF(LEN(INDEX('Providers'!$A$4:$A$503,347))=0,"",INDEX('Providers'!$A$4:$A$503,347))</f>
        <v/>
      </c>
      <c r="E3350">
        <f>IF(ISNUMBER(INDEX('Providers'!$W$4:$W$503,347)),TEXT(INDEX('Providers'!$W$4:$W$503,347),"yyyy-mm-dd"),"")</f>
        <v/>
      </c>
      <c r="F3350">
        <f>"Credentialing"</f>
        <v/>
      </c>
      <c r="G3350">
        <f>IF(ISNUMBER(INDEX('Providers'!$U$4:$U$503,347)),TEXT(INDEX('Providers'!$U$4:$U$503,347),"yyyy-mm-dd"),"")</f>
        <v/>
      </c>
      <c r="H3350">
        <f>"High"</f>
        <v/>
      </c>
      <c r="I3350">
        <f>TRIM(IF(LEN(IF(LEN(INDEX('Providers'!$T$4:$T$503,347))=0,"",INDEX('Providers'!$T$4:$T$503,347)))=0,"","CAQH ID: "&amp;IF(LEN(INDEX('Providers'!$T$4:$T$503,347))=0,"",INDEX('Providers'!$T$4:$T$503,347))&amp;". ")&amp;IF(LEN(IF(ISNUMBER(INDEX('Providers'!$U$4:$U$503,347)),TEXT(INDEX('Providers'!$U$4:$U$503,347),"yyyy-mm-dd"),""))=0,"","Last attested: "&amp;IF(ISNUMBER(INDEX('Providers'!$U$4:$U$503,347)),TEXT(INDEX('Providers'!$U$4:$U$503,347),"yyyy-mm-dd"),"")&amp;". "))</f>
        <v/>
      </c>
      <c r="J3350">
        <f>IF(LEN(INDEX('Providers'!$AJ$4:$AJ$503,347))=0,"",INDEX('Providers'!$AJ$4:$AJ$503,347))</f>
        <v/>
      </c>
      <c r="K3350">
        <f>IF(LEN(INDEX('Providers'!$AI$4:$AI$503,347))=0,"",INDEX('Providers'!$AI$4:$AI$503,347))</f>
        <v/>
      </c>
    </row>
    <row r="3351">
      <c r="A3351">
        <f>IF(AND(LEN('Providers'!A351)&gt;0,ISNUMBER('Providers'!W351)),1,0)</f>
        <v/>
      </c>
      <c r="B3351">
        <f>B3350+A3351</f>
        <v/>
      </c>
      <c r="C3351">
        <f>IF(3348&gt;$B$4503,"",MATCH(3348-0.5,$B$3:$B$4503,1))</f>
        <v/>
      </c>
      <c r="D3351">
        <f>"CAQH re-attestation – "&amp;IF(LEN(INDEX('Providers'!$A$4:$A$503,348))=0,"",INDEX('Providers'!$A$4:$A$503,348))</f>
        <v/>
      </c>
      <c r="E3351">
        <f>IF(ISNUMBER(INDEX('Providers'!$W$4:$W$503,348)),TEXT(INDEX('Providers'!$W$4:$W$503,348),"yyyy-mm-dd"),"")</f>
        <v/>
      </c>
      <c r="F3351">
        <f>"Credentialing"</f>
        <v/>
      </c>
      <c r="G3351">
        <f>IF(ISNUMBER(INDEX('Providers'!$U$4:$U$503,348)),TEXT(INDEX('Providers'!$U$4:$U$503,348),"yyyy-mm-dd"),"")</f>
        <v/>
      </c>
      <c r="H3351">
        <f>"High"</f>
        <v/>
      </c>
      <c r="I3351">
        <f>TRIM(IF(LEN(IF(LEN(INDEX('Providers'!$T$4:$T$503,348))=0,"",INDEX('Providers'!$T$4:$T$503,348)))=0,"","CAQH ID: "&amp;IF(LEN(INDEX('Providers'!$T$4:$T$503,348))=0,"",INDEX('Providers'!$T$4:$T$503,348))&amp;". ")&amp;IF(LEN(IF(ISNUMBER(INDEX('Providers'!$U$4:$U$503,348)),TEXT(INDEX('Providers'!$U$4:$U$503,348),"yyyy-mm-dd"),""))=0,"","Last attested: "&amp;IF(ISNUMBER(INDEX('Providers'!$U$4:$U$503,348)),TEXT(INDEX('Providers'!$U$4:$U$503,348),"yyyy-mm-dd"),"")&amp;". "))</f>
        <v/>
      </c>
      <c r="J3351">
        <f>IF(LEN(INDEX('Providers'!$AJ$4:$AJ$503,348))=0,"",INDEX('Providers'!$AJ$4:$AJ$503,348))</f>
        <v/>
      </c>
      <c r="K3351">
        <f>IF(LEN(INDEX('Providers'!$AI$4:$AI$503,348))=0,"",INDEX('Providers'!$AI$4:$AI$503,348))</f>
        <v/>
      </c>
    </row>
    <row r="3352">
      <c r="A3352">
        <f>IF(AND(LEN('Providers'!A352)&gt;0,ISNUMBER('Providers'!W352)),1,0)</f>
        <v/>
      </c>
      <c r="B3352">
        <f>B3351+A3352</f>
        <v/>
      </c>
      <c r="C3352">
        <f>IF(3349&gt;$B$4503,"",MATCH(3349-0.5,$B$3:$B$4503,1))</f>
        <v/>
      </c>
      <c r="D3352">
        <f>"CAQH re-attestation – "&amp;IF(LEN(INDEX('Providers'!$A$4:$A$503,349))=0,"",INDEX('Providers'!$A$4:$A$503,349))</f>
        <v/>
      </c>
      <c r="E3352">
        <f>IF(ISNUMBER(INDEX('Providers'!$W$4:$W$503,349)),TEXT(INDEX('Providers'!$W$4:$W$503,349),"yyyy-mm-dd"),"")</f>
        <v/>
      </c>
      <c r="F3352">
        <f>"Credentialing"</f>
        <v/>
      </c>
      <c r="G3352">
        <f>IF(ISNUMBER(INDEX('Providers'!$U$4:$U$503,349)),TEXT(INDEX('Providers'!$U$4:$U$503,349),"yyyy-mm-dd"),"")</f>
        <v/>
      </c>
      <c r="H3352">
        <f>"High"</f>
        <v/>
      </c>
      <c r="I3352">
        <f>TRIM(IF(LEN(IF(LEN(INDEX('Providers'!$T$4:$T$503,349))=0,"",INDEX('Providers'!$T$4:$T$503,349)))=0,"","CAQH ID: "&amp;IF(LEN(INDEX('Providers'!$T$4:$T$503,349))=0,"",INDEX('Providers'!$T$4:$T$503,349))&amp;". ")&amp;IF(LEN(IF(ISNUMBER(INDEX('Providers'!$U$4:$U$503,349)),TEXT(INDEX('Providers'!$U$4:$U$503,349),"yyyy-mm-dd"),""))=0,"","Last attested: "&amp;IF(ISNUMBER(INDEX('Providers'!$U$4:$U$503,349)),TEXT(INDEX('Providers'!$U$4:$U$503,349),"yyyy-mm-dd"),"")&amp;". "))</f>
        <v/>
      </c>
      <c r="J3352">
        <f>IF(LEN(INDEX('Providers'!$AJ$4:$AJ$503,349))=0,"",INDEX('Providers'!$AJ$4:$AJ$503,349))</f>
        <v/>
      </c>
      <c r="K3352">
        <f>IF(LEN(INDEX('Providers'!$AI$4:$AI$503,349))=0,"",INDEX('Providers'!$AI$4:$AI$503,349))</f>
        <v/>
      </c>
    </row>
    <row r="3353">
      <c r="A3353">
        <f>IF(AND(LEN('Providers'!A353)&gt;0,ISNUMBER('Providers'!W353)),1,0)</f>
        <v/>
      </c>
      <c r="B3353">
        <f>B3352+A3353</f>
        <v/>
      </c>
      <c r="C3353">
        <f>IF(3350&gt;$B$4503,"",MATCH(3350-0.5,$B$3:$B$4503,1))</f>
        <v/>
      </c>
      <c r="D3353">
        <f>"CAQH re-attestation – "&amp;IF(LEN(INDEX('Providers'!$A$4:$A$503,350))=0,"",INDEX('Providers'!$A$4:$A$503,350))</f>
        <v/>
      </c>
      <c r="E3353">
        <f>IF(ISNUMBER(INDEX('Providers'!$W$4:$W$503,350)),TEXT(INDEX('Providers'!$W$4:$W$503,350),"yyyy-mm-dd"),"")</f>
        <v/>
      </c>
      <c r="F3353">
        <f>"Credentialing"</f>
        <v/>
      </c>
      <c r="G3353">
        <f>IF(ISNUMBER(INDEX('Providers'!$U$4:$U$503,350)),TEXT(INDEX('Providers'!$U$4:$U$503,350),"yyyy-mm-dd"),"")</f>
        <v/>
      </c>
      <c r="H3353">
        <f>"High"</f>
        <v/>
      </c>
      <c r="I3353">
        <f>TRIM(IF(LEN(IF(LEN(INDEX('Providers'!$T$4:$T$503,350))=0,"",INDEX('Providers'!$T$4:$T$503,350)))=0,"","CAQH ID: "&amp;IF(LEN(INDEX('Providers'!$T$4:$T$503,350))=0,"",INDEX('Providers'!$T$4:$T$503,350))&amp;". ")&amp;IF(LEN(IF(ISNUMBER(INDEX('Providers'!$U$4:$U$503,350)),TEXT(INDEX('Providers'!$U$4:$U$503,350),"yyyy-mm-dd"),""))=0,"","Last attested: "&amp;IF(ISNUMBER(INDEX('Providers'!$U$4:$U$503,350)),TEXT(INDEX('Providers'!$U$4:$U$503,350),"yyyy-mm-dd"),"")&amp;". "))</f>
        <v/>
      </c>
      <c r="J3353">
        <f>IF(LEN(INDEX('Providers'!$AJ$4:$AJ$503,350))=0,"",INDEX('Providers'!$AJ$4:$AJ$503,350))</f>
        <v/>
      </c>
      <c r="K3353">
        <f>IF(LEN(INDEX('Providers'!$AI$4:$AI$503,350))=0,"",INDEX('Providers'!$AI$4:$AI$503,350))</f>
        <v/>
      </c>
    </row>
    <row r="3354">
      <c r="A3354">
        <f>IF(AND(LEN('Providers'!A354)&gt;0,ISNUMBER('Providers'!W354)),1,0)</f>
        <v/>
      </c>
      <c r="B3354">
        <f>B3353+A3354</f>
        <v/>
      </c>
      <c r="C3354">
        <f>IF(3351&gt;$B$4503,"",MATCH(3351-0.5,$B$3:$B$4503,1))</f>
        <v/>
      </c>
      <c r="D3354">
        <f>"CAQH re-attestation – "&amp;IF(LEN(INDEX('Providers'!$A$4:$A$503,351))=0,"",INDEX('Providers'!$A$4:$A$503,351))</f>
        <v/>
      </c>
      <c r="E3354">
        <f>IF(ISNUMBER(INDEX('Providers'!$W$4:$W$503,351)),TEXT(INDEX('Providers'!$W$4:$W$503,351),"yyyy-mm-dd"),"")</f>
        <v/>
      </c>
      <c r="F3354">
        <f>"Credentialing"</f>
        <v/>
      </c>
      <c r="G3354">
        <f>IF(ISNUMBER(INDEX('Providers'!$U$4:$U$503,351)),TEXT(INDEX('Providers'!$U$4:$U$503,351),"yyyy-mm-dd"),"")</f>
        <v/>
      </c>
      <c r="H3354">
        <f>"High"</f>
        <v/>
      </c>
      <c r="I3354">
        <f>TRIM(IF(LEN(IF(LEN(INDEX('Providers'!$T$4:$T$503,351))=0,"",INDEX('Providers'!$T$4:$T$503,351)))=0,"","CAQH ID: "&amp;IF(LEN(INDEX('Providers'!$T$4:$T$503,351))=0,"",INDEX('Providers'!$T$4:$T$503,351))&amp;". ")&amp;IF(LEN(IF(ISNUMBER(INDEX('Providers'!$U$4:$U$503,351)),TEXT(INDEX('Providers'!$U$4:$U$503,351),"yyyy-mm-dd"),""))=0,"","Last attested: "&amp;IF(ISNUMBER(INDEX('Providers'!$U$4:$U$503,351)),TEXT(INDEX('Providers'!$U$4:$U$503,351),"yyyy-mm-dd"),"")&amp;". "))</f>
        <v/>
      </c>
      <c r="J3354">
        <f>IF(LEN(INDEX('Providers'!$AJ$4:$AJ$503,351))=0,"",INDEX('Providers'!$AJ$4:$AJ$503,351))</f>
        <v/>
      </c>
      <c r="K3354">
        <f>IF(LEN(INDEX('Providers'!$AI$4:$AI$503,351))=0,"",INDEX('Providers'!$AI$4:$AI$503,351))</f>
        <v/>
      </c>
    </row>
    <row r="3355">
      <c r="A3355">
        <f>IF(AND(LEN('Providers'!A355)&gt;0,ISNUMBER('Providers'!W355)),1,0)</f>
        <v/>
      </c>
      <c r="B3355">
        <f>B3354+A3355</f>
        <v/>
      </c>
      <c r="C3355">
        <f>IF(3352&gt;$B$4503,"",MATCH(3352-0.5,$B$3:$B$4503,1))</f>
        <v/>
      </c>
      <c r="D3355">
        <f>"CAQH re-attestation – "&amp;IF(LEN(INDEX('Providers'!$A$4:$A$503,352))=0,"",INDEX('Providers'!$A$4:$A$503,352))</f>
        <v/>
      </c>
      <c r="E3355">
        <f>IF(ISNUMBER(INDEX('Providers'!$W$4:$W$503,352)),TEXT(INDEX('Providers'!$W$4:$W$503,352),"yyyy-mm-dd"),"")</f>
        <v/>
      </c>
      <c r="F3355">
        <f>"Credentialing"</f>
        <v/>
      </c>
      <c r="G3355">
        <f>IF(ISNUMBER(INDEX('Providers'!$U$4:$U$503,352)),TEXT(INDEX('Providers'!$U$4:$U$503,352),"yyyy-mm-dd"),"")</f>
        <v/>
      </c>
      <c r="H3355">
        <f>"High"</f>
        <v/>
      </c>
      <c r="I3355">
        <f>TRIM(IF(LEN(IF(LEN(INDEX('Providers'!$T$4:$T$503,352))=0,"",INDEX('Providers'!$T$4:$T$503,352)))=0,"","CAQH ID: "&amp;IF(LEN(INDEX('Providers'!$T$4:$T$503,352))=0,"",INDEX('Providers'!$T$4:$T$503,352))&amp;". ")&amp;IF(LEN(IF(ISNUMBER(INDEX('Providers'!$U$4:$U$503,352)),TEXT(INDEX('Providers'!$U$4:$U$503,352),"yyyy-mm-dd"),""))=0,"","Last attested: "&amp;IF(ISNUMBER(INDEX('Providers'!$U$4:$U$503,352)),TEXT(INDEX('Providers'!$U$4:$U$503,352),"yyyy-mm-dd"),"")&amp;". "))</f>
        <v/>
      </c>
      <c r="J3355">
        <f>IF(LEN(INDEX('Providers'!$AJ$4:$AJ$503,352))=0,"",INDEX('Providers'!$AJ$4:$AJ$503,352))</f>
        <v/>
      </c>
      <c r="K3355">
        <f>IF(LEN(INDEX('Providers'!$AI$4:$AI$503,352))=0,"",INDEX('Providers'!$AI$4:$AI$503,352))</f>
        <v/>
      </c>
    </row>
    <row r="3356">
      <c r="A3356">
        <f>IF(AND(LEN('Providers'!A356)&gt;0,ISNUMBER('Providers'!W356)),1,0)</f>
        <v/>
      </c>
      <c r="B3356">
        <f>B3355+A3356</f>
        <v/>
      </c>
      <c r="C3356">
        <f>IF(3353&gt;$B$4503,"",MATCH(3353-0.5,$B$3:$B$4503,1))</f>
        <v/>
      </c>
      <c r="D3356">
        <f>"CAQH re-attestation – "&amp;IF(LEN(INDEX('Providers'!$A$4:$A$503,353))=0,"",INDEX('Providers'!$A$4:$A$503,353))</f>
        <v/>
      </c>
      <c r="E3356">
        <f>IF(ISNUMBER(INDEX('Providers'!$W$4:$W$503,353)),TEXT(INDEX('Providers'!$W$4:$W$503,353),"yyyy-mm-dd"),"")</f>
        <v/>
      </c>
      <c r="F3356">
        <f>"Credentialing"</f>
        <v/>
      </c>
      <c r="G3356">
        <f>IF(ISNUMBER(INDEX('Providers'!$U$4:$U$503,353)),TEXT(INDEX('Providers'!$U$4:$U$503,353),"yyyy-mm-dd"),"")</f>
        <v/>
      </c>
      <c r="H3356">
        <f>"High"</f>
        <v/>
      </c>
      <c r="I3356">
        <f>TRIM(IF(LEN(IF(LEN(INDEX('Providers'!$T$4:$T$503,353))=0,"",INDEX('Providers'!$T$4:$T$503,353)))=0,"","CAQH ID: "&amp;IF(LEN(INDEX('Providers'!$T$4:$T$503,353))=0,"",INDEX('Providers'!$T$4:$T$503,353))&amp;". ")&amp;IF(LEN(IF(ISNUMBER(INDEX('Providers'!$U$4:$U$503,353)),TEXT(INDEX('Providers'!$U$4:$U$503,353),"yyyy-mm-dd"),""))=0,"","Last attested: "&amp;IF(ISNUMBER(INDEX('Providers'!$U$4:$U$503,353)),TEXT(INDEX('Providers'!$U$4:$U$503,353),"yyyy-mm-dd"),"")&amp;". "))</f>
        <v/>
      </c>
      <c r="J3356">
        <f>IF(LEN(INDEX('Providers'!$AJ$4:$AJ$503,353))=0,"",INDEX('Providers'!$AJ$4:$AJ$503,353))</f>
        <v/>
      </c>
      <c r="K3356">
        <f>IF(LEN(INDEX('Providers'!$AI$4:$AI$503,353))=0,"",INDEX('Providers'!$AI$4:$AI$503,353))</f>
        <v/>
      </c>
    </row>
    <row r="3357">
      <c r="A3357">
        <f>IF(AND(LEN('Providers'!A357)&gt;0,ISNUMBER('Providers'!W357)),1,0)</f>
        <v/>
      </c>
      <c r="B3357">
        <f>B3356+A3357</f>
        <v/>
      </c>
      <c r="C3357">
        <f>IF(3354&gt;$B$4503,"",MATCH(3354-0.5,$B$3:$B$4503,1))</f>
        <v/>
      </c>
      <c r="D3357">
        <f>"CAQH re-attestation – "&amp;IF(LEN(INDEX('Providers'!$A$4:$A$503,354))=0,"",INDEX('Providers'!$A$4:$A$503,354))</f>
        <v/>
      </c>
      <c r="E3357">
        <f>IF(ISNUMBER(INDEX('Providers'!$W$4:$W$503,354)),TEXT(INDEX('Providers'!$W$4:$W$503,354),"yyyy-mm-dd"),"")</f>
        <v/>
      </c>
      <c r="F3357">
        <f>"Credentialing"</f>
        <v/>
      </c>
      <c r="G3357">
        <f>IF(ISNUMBER(INDEX('Providers'!$U$4:$U$503,354)),TEXT(INDEX('Providers'!$U$4:$U$503,354),"yyyy-mm-dd"),"")</f>
        <v/>
      </c>
      <c r="H3357">
        <f>"High"</f>
        <v/>
      </c>
      <c r="I3357">
        <f>TRIM(IF(LEN(IF(LEN(INDEX('Providers'!$T$4:$T$503,354))=0,"",INDEX('Providers'!$T$4:$T$503,354)))=0,"","CAQH ID: "&amp;IF(LEN(INDEX('Providers'!$T$4:$T$503,354))=0,"",INDEX('Providers'!$T$4:$T$503,354))&amp;". ")&amp;IF(LEN(IF(ISNUMBER(INDEX('Providers'!$U$4:$U$503,354)),TEXT(INDEX('Providers'!$U$4:$U$503,354),"yyyy-mm-dd"),""))=0,"","Last attested: "&amp;IF(ISNUMBER(INDEX('Providers'!$U$4:$U$503,354)),TEXT(INDEX('Providers'!$U$4:$U$503,354),"yyyy-mm-dd"),"")&amp;". "))</f>
        <v/>
      </c>
      <c r="J3357">
        <f>IF(LEN(INDEX('Providers'!$AJ$4:$AJ$503,354))=0,"",INDEX('Providers'!$AJ$4:$AJ$503,354))</f>
        <v/>
      </c>
      <c r="K3357">
        <f>IF(LEN(INDEX('Providers'!$AI$4:$AI$503,354))=0,"",INDEX('Providers'!$AI$4:$AI$503,354))</f>
        <v/>
      </c>
    </row>
    <row r="3358">
      <c r="A3358">
        <f>IF(AND(LEN('Providers'!A358)&gt;0,ISNUMBER('Providers'!W358)),1,0)</f>
        <v/>
      </c>
      <c r="B3358">
        <f>B3357+A3358</f>
        <v/>
      </c>
      <c r="C3358">
        <f>IF(3355&gt;$B$4503,"",MATCH(3355-0.5,$B$3:$B$4503,1))</f>
        <v/>
      </c>
      <c r="D3358">
        <f>"CAQH re-attestation – "&amp;IF(LEN(INDEX('Providers'!$A$4:$A$503,355))=0,"",INDEX('Providers'!$A$4:$A$503,355))</f>
        <v/>
      </c>
      <c r="E3358">
        <f>IF(ISNUMBER(INDEX('Providers'!$W$4:$W$503,355)),TEXT(INDEX('Providers'!$W$4:$W$503,355),"yyyy-mm-dd"),"")</f>
        <v/>
      </c>
      <c r="F3358">
        <f>"Credentialing"</f>
        <v/>
      </c>
      <c r="G3358">
        <f>IF(ISNUMBER(INDEX('Providers'!$U$4:$U$503,355)),TEXT(INDEX('Providers'!$U$4:$U$503,355),"yyyy-mm-dd"),"")</f>
        <v/>
      </c>
      <c r="H3358">
        <f>"High"</f>
        <v/>
      </c>
      <c r="I3358">
        <f>TRIM(IF(LEN(IF(LEN(INDEX('Providers'!$T$4:$T$503,355))=0,"",INDEX('Providers'!$T$4:$T$503,355)))=0,"","CAQH ID: "&amp;IF(LEN(INDEX('Providers'!$T$4:$T$503,355))=0,"",INDEX('Providers'!$T$4:$T$503,355))&amp;". ")&amp;IF(LEN(IF(ISNUMBER(INDEX('Providers'!$U$4:$U$503,355)),TEXT(INDEX('Providers'!$U$4:$U$503,355),"yyyy-mm-dd"),""))=0,"","Last attested: "&amp;IF(ISNUMBER(INDEX('Providers'!$U$4:$U$503,355)),TEXT(INDEX('Providers'!$U$4:$U$503,355),"yyyy-mm-dd"),"")&amp;". "))</f>
        <v/>
      </c>
      <c r="J3358">
        <f>IF(LEN(INDEX('Providers'!$AJ$4:$AJ$503,355))=0,"",INDEX('Providers'!$AJ$4:$AJ$503,355))</f>
        <v/>
      </c>
      <c r="K3358">
        <f>IF(LEN(INDEX('Providers'!$AI$4:$AI$503,355))=0,"",INDEX('Providers'!$AI$4:$AI$503,355))</f>
        <v/>
      </c>
    </row>
    <row r="3359">
      <c r="A3359">
        <f>IF(AND(LEN('Providers'!A359)&gt;0,ISNUMBER('Providers'!W359)),1,0)</f>
        <v/>
      </c>
      <c r="B3359">
        <f>B3358+A3359</f>
        <v/>
      </c>
      <c r="C3359">
        <f>IF(3356&gt;$B$4503,"",MATCH(3356-0.5,$B$3:$B$4503,1))</f>
        <v/>
      </c>
      <c r="D3359">
        <f>"CAQH re-attestation – "&amp;IF(LEN(INDEX('Providers'!$A$4:$A$503,356))=0,"",INDEX('Providers'!$A$4:$A$503,356))</f>
        <v/>
      </c>
      <c r="E3359">
        <f>IF(ISNUMBER(INDEX('Providers'!$W$4:$W$503,356)),TEXT(INDEX('Providers'!$W$4:$W$503,356),"yyyy-mm-dd"),"")</f>
        <v/>
      </c>
      <c r="F3359">
        <f>"Credentialing"</f>
        <v/>
      </c>
      <c r="G3359">
        <f>IF(ISNUMBER(INDEX('Providers'!$U$4:$U$503,356)),TEXT(INDEX('Providers'!$U$4:$U$503,356),"yyyy-mm-dd"),"")</f>
        <v/>
      </c>
      <c r="H3359">
        <f>"High"</f>
        <v/>
      </c>
      <c r="I3359">
        <f>TRIM(IF(LEN(IF(LEN(INDEX('Providers'!$T$4:$T$503,356))=0,"",INDEX('Providers'!$T$4:$T$503,356)))=0,"","CAQH ID: "&amp;IF(LEN(INDEX('Providers'!$T$4:$T$503,356))=0,"",INDEX('Providers'!$T$4:$T$503,356))&amp;". ")&amp;IF(LEN(IF(ISNUMBER(INDEX('Providers'!$U$4:$U$503,356)),TEXT(INDEX('Providers'!$U$4:$U$503,356),"yyyy-mm-dd"),""))=0,"","Last attested: "&amp;IF(ISNUMBER(INDEX('Providers'!$U$4:$U$503,356)),TEXT(INDEX('Providers'!$U$4:$U$503,356),"yyyy-mm-dd"),"")&amp;". "))</f>
        <v/>
      </c>
      <c r="J3359">
        <f>IF(LEN(INDEX('Providers'!$AJ$4:$AJ$503,356))=0,"",INDEX('Providers'!$AJ$4:$AJ$503,356))</f>
        <v/>
      </c>
      <c r="K3359">
        <f>IF(LEN(INDEX('Providers'!$AI$4:$AI$503,356))=0,"",INDEX('Providers'!$AI$4:$AI$503,356))</f>
        <v/>
      </c>
    </row>
    <row r="3360">
      <c r="A3360">
        <f>IF(AND(LEN('Providers'!A360)&gt;0,ISNUMBER('Providers'!W360)),1,0)</f>
        <v/>
      </c>
      <c r="B3360">
        <f>B3359+A3360</f>
        <v/>
      </c>
      <c r="C3360">
        <f>IF(3357&gt;$B$4503,"",MATCH(3357-0.5,$B$3:$B$4503,1))</f>
        <v/>
      </c>
      <c r="D3360">
        <f>"CAQH re-attestation – "&amp;IF(LEN(INDEX('Providers'!$A$4:$A$503,357))=0,"",INDEX('Providers'!$A$4:$A$503,357))</f>
        <v/>
      </c>
      <c r="E3360">
        <f>IF(ISNUMBER(INDEX('Providers'!$W$4:$W$503,357)),TEXT(INDEX('Providers'!$W$4:$W$503,357),"yyyy-mm-dd"),"")</f>
        <v/>
      </c>
      <c r="F3360">
        <f>"Credentialing"</f>
        <v/>
      </c>
      <c r="G3360">
        <f>IF(ISNUMBER(INDEX('Providers'!$U$4:$U$503,357)),TEXT(INDEX('Providers'!$U$4:$U$503,357),"yyyy-mm-dd"),"")</f>
        <v/>
      </c>
      <c r="H3360">
        <f>"High"</f>
        <v/>
      </c>
      <c r="I3360">
        <f>TRIM(IF(LEN(IF(LEN(INDEX('Providers'!$T$4:$T$503,357))=0,"",INDEX('Providers'!$T$4:$T$503,357)))=0,"","CAQH ID: "&amp;IF(LEN(INDEX('Providers'!$T$4:$T$503,357))=0,"",INDEX('Providers'!$T$4:$T$503,357))&amp;". ")&amp;IF(LEN(IF(ISNUMBER(INDEX('Providers'!$U$4:$U$503,357)),TEXT(INDEX('Providers'!$U$4:$U$503,357),"yyyy-mm-dd"),""))=0,"","Last attested: "&amp;IF(ISNUMBER(INDEX('Providers'!$U$4:$U$503,357)),TEXT(INDEX('Providers'!$U$4:$U$503,357),"yyyy-mm-dd"),"")&amp;". "))</f>
        <v/>
      </c>
      <c r="J3360">
        <f>IF(LEN(INDEX('Providers'!$AJ$4:$AJ$503,357))=0,"",INDEX('Providers'!$AJ$4:$AJ$503,357))</f>
        <v/>
      </c>
      <c r="K3360">
        <f>IF(LEN(INDEX('Providers'!$AI$4:$AI$503,357))=0,"",INDEX('Providers'!$AI$4:$AI$503,357))</f>
        <v/>
      </c>
    </row>
    <row r="3361">
      <c r="A3361">
        <f>IF(AND(LEN('Providers'!A361)&gt;0,ISNUMBER('Providers'!W361)),1,0)</f>
        <v/>
      </c>
      <c r="B3361">
        <f>B3360+A3361</f>
        <v/>
      </c>
      <c r="C3361">
        <f>IF(3358&gt;$B$4503,"",MATCH(3358-0.5,$B$3:$B$4503,1))</f>
        <v/>
      </c>
      <c r="D3361">
        <f>"CAQH re-attestation – "&amp;IF(LEN(INDEX('Providers'!$A$4:$A$503,358))=0,"",INDEX('Providers'!$A$4:$A$503,358))</f>
        <v/>
      </c>
      <c r="E3361">
        <f>IF(ISNUMBER(INDEX('Providers'!$W$4:$W$503,358)),TEXT(INDEX('Providers'!$W$4:$W$503,358),"yyyy-mm-dd"),"")</f>
        <v/>
      </c>
      <c r="F3361">
        <f>"Credentialing"</f>
        <v/>
      </c>
      <c r="G3361">
        <f>IF(ISNUMBER(INDEX('Providers'!$U$4:$U$503,358)),TEXT(INDEX('Providers'!$U$4:$U$503,358),"yyyy-mm-dd"),"")</f>
        <v/>
      </c>
      <c r="H3361">
        <f>"High"</f>
        <v/>
      </c>
      <c r="I3361">
        <f>TRIM(IF(LEN(IF(LEN(INDEX('Providers'!$T$4:$T$503,358))=0,"",INDEX('Providers'!$T$4:$T$503,358)))=0,"","CAQH ID: "&amp;IF(LEN(INDEX('Providers'!$T$4:$T$503,358))=0,"",INDEX('Providers'!$T$4:$T$503,358))&amp;". ")&amp;IF(LEN(IF(ISNUMBER(INDEX('Providers'!$U$4:$U$503,358)),TEXT(INDEX('Providers'!$U$4:$U$503,358),"yyyy-mm-dd"),""))=0,"","Last attested: "&amp;IF(ISNUMBER(INDEX('Providers'!$U$4:$U$503,358)),TEXT(INDEX('Providers'!$U$4:$U$503,358),"yyyy-mm-dd"),"")&amp;". "))</f>
        <v/>
      </c>
      <c r="J3361">
        <f>IF(LEN(INDEX('Providers'!$AJ$4:$AJ$503,358))=0,"",INDEX('Providers'!$AJ$4:$AJ$503,358))</f>
        <v/>
      </c>
      <c r="K3361">
        <f>IF(LEN(INDEX('Providers'!$AI$4:$AI$503,358))=0,"",INDEX('Providers'!$AI$4:$AI$503,358))</f>
        <v/>
      </c>
    </row>
    <row r="3362">
      <c r="A3362">
        <f>IF(AND(LEN('Providers'!A362)&gt;0,ISNUMBER('Providers'!W362)),1,0)</f>
        <v/>
      </c>
      <c r="B3362">
        <f>B3361+A3362</f>
        <v/>
      </c>
      <c r="C3362">
        <f>IF(3359&gt;$B$4503,"",MATCH(3359-0.5,$B$3:$B$4503,1))</f>
        <v/>
      </c>
      <c r="D3362">
        <f>"CAQH re-attestation – "&amp;IF(LEN(INDEX('Providers'!$A$4:$A$503,359))=0,"",INDEX('Providers'!$A$4:$A$503,359))</f>
        <v/>
      </c>
      <c r="E3362">
        <f>IF(ISNUMBER(INDEX('Providers'!$W$4:$W$503,359)),TEXT(INDEX('Providers'!$W$4:$W$503,359),"yyyy-mm-dd"),"")</f>
        <v/>
      </c>
      <c r="F3362">
        <f>"Credentialing"</f>
        <v/>
      </c>
      <c r="G3362">
        <f>IF(ISNUMBER(INDEX('Providers'!$U$4:$U$503,359)),TEXT(INDEX('Providers'!$U$4:$U$503,359),"yyyy-mm-dd"),"")</f>
        <v/>
      </c>
      <c r="H3362">
        <f>"High"</f>
        <v/>
      </c>
      <c r="I3362">
        <f>TRIM(IF(LEN(IF(LEN(INDEX('Providers'!$T$4:$T$503,359))=0,"",INDEX('Providers'!$T$4:$T$503,359)))=0,"","CAQH ID: "&amp;IF(LEN(INDEX('Providers'!$T$4:$T$503,359))=0,"",INDEX('Providers'!$T$4:$T$503,359))&amp;". ")&amp;IF(LEN(IF(ISNUMBER(INDEX('Providers'!$U$4:$U$503,359)),TEXT(INDEX('Providers'!$U$4:$U$503,359),"yyyy-mm-dd"),""))=0,"","Last attested: "&amp;IF(ISNUMBER(INDEX('Providers'!$U$4:$U$503,359)),TEXT(INDEX('Providers'!$U$4:$U$503,359),"yyyy-mm-dd"),"")&amp;". "))</f>
        <v/>
      </c>
      <c r="J3362">
        <f>IF(LEN(INDEX('Providers'!$AJ$4:$AJ$503,359))=0,"",INDEX('Providers'!$AJ$4:$AJ$503,359))</f>
        <v/>
      </c>
      <c r="K3362">
        <f>IF(LEN(INDEX('Providers'!$AI$4:$AI$503,359))=0,"",INDEX('Providers'!$AI$4:$AI$503,359))</f>
        <v/>
      </c>
    </row>
    <row r="3363">
      <c r="A3363">
        <f>IF(AND(LEN('Providers'!A363)&gt;0,ISNUMBER('Providers'!W363)),1,0)</f>
        <v/>
      </c>
      <c r="B3363">
        <f>B3362+A3363</f>
        <v/>
      </c>
      <c r="C3363">
        <f>IF(3360&gt;$B$4503,"",MATCH(3360-0.5,$B$3:$B$4503,1))</f>
        <v/>
      </c>
      <c r="D3363">
        <f>"CAQH re-attestation – "&amp;IF(LEN(INDEX('Providers'!$A$4:$A$503,360))=0,"",INDEX('Providers'!$A$4:$A$503,360))</f>
        <v/>
      </c>
      <c r="E3363">
        <f>IF(ISNUMBER(INDEX('Providers'!$W$4:$W$503,360)),TEXT(INDEX('Providers'!$W$4:$W$503,360),"yyyy-mm-dd"),"")</f>
        <v/>
      </c>
      <c r="F3363">
        <f>"Credentialing"</f>
        <v/>
      </c>
      <c r="G3363">
        <f>IF(ISNUMBER(INDEX('Providers'!$U$4:$U$503,360)),TEXT(INDEX('Providers'!$U$4:$U$503,360),"yyyy-mm-dd"),"")</f>
        <v/>
      </c>
      <c r="H3363">
        <f>"High"</f>
        <v/>
      </c>
      <c r="I3363">
        <f>TRIM(IF(LEN(IF(LEN(INDEX('Providers'!$T$4:$T$503,360))=0,"",INDEX('Providers'!$T$4:$T$503,360)))=0,"","CAQH ID: "&amp;IF(LEN(INDEX('Providers'!$T$4:$T$503,360))=0,"",INDEX('Providers'!$T$4:$T$503,360))&amp;". ")&amp;IF(LEN(IF(ISNUMBER(INDEX('Providers'!$U$4:$U$503,360)),TEXT(INDEX('Providers'!$U$4:$U$503,360),"yyyy-mm-dd"),""))=0,"","Last attested: "&amp;IF(ISNUMBER(INDEX('Providers'!$U$4:$U$503,360)),TEXT(INDEX('Providers'!$U$4:$U$503,360),"yyyy-mm-dd"),"")&amp;". "))</f>
        <v/>
      </c>
      <c r="J3363">
        <f>IF(LEN(INDEX('Providers'!$AJ$4:$AJ$503,360))=0,"",INDEX('Providers'!$AJ$4:$AJ$503,360))</f>
        <v/>
      </c>
      <c r="K3363">
        <f>IF(LEN(INDEX('Providers'!$AI$4:$AI$503,360))=0,"",INDEX('Providers'!$AI$4:$AI$503,360))</f>
        <v/>
      </c>
    </row>
    <row r="3364">
      <c r="A3364">
        <f>IF(AND(LEN('Providers'!A364)&gt;0,ISNUMBER('Providers'!W364)),1,0)</f>
        <v/>
      </c>
      <c r="B3364">
        <f>B3363+A3364</f>
        <v/>
      </c>
      <c r="C3364">
        <f>IF(3361&gt;$B$4503,"",MATCH(3361-0.5,$B$3:$B$4503,1))</f>
        <v/>
      </c>
      <c r="D3364">
        <f>"CAQH re-attestation – "&amp;IF(LEN(INDEX('Providers'!$A$4:$A$503,361))=0,"",INDEX('Providers'!$A$4:$A$503,361))</f>
        <v/>
      </c>
      <c r="E3364">
        <f>IF(ISNUMBER(INDEX('Providers'!$W$4:$W$503,361)),TEXT(INDEX('Providers'!$W$4:$W$503,361),"yyyy-mm-dd"),"")</f>
        <v/>
      </c>
      <c r="F3364">
        <f>"Credentialing"</f>
        <v/>
      </c>
      <c r="G3364">
        <f>IF(ISNUMBER(INDEX('Providers'!$U$4:$U$503,361)),TEXT(INDEX('Providers'!$U$4:$U$503,361),"yyyy-mm-dd"),"")</f>
        <v/>
      </c>
      <c r="H3364">
        <f>"High"</f>
        <v/>
      </c>
      <c r="I3364">
        <f>TRIM(IF(LEN(IF(LEN(INDEX('Providers'!$T$4:$T$503,361))=0,"",INDEX('Providers'!$T$4:$T$503,361)))=0,"","CAQH ID: "&amp;IF(LEN(INDEX('Providers'!$T$4:$T$503,361))=0,"",INDEX('Providers'!$T$4:$T$503,361))&amp;". ")&amp;IF(LEN(IF(ISNUMBER(INDEX('Providers'!$U$4:$U$503,361)),TEXT(INDEX('Providers'!$U$4:$U$503,361),"yyyy-mm-dd"),""))=0,"","Last attested: "&amp;IF(ISNUMBER(INDEX('Providers'!$U$4:$U$503,361)),TEXT(INDEX('Providers'!$U$4:$U$503,361),"yyyy-mm-dd"),"")&amp;". "))</f>
        <v/>
      </c>
      <c r="J3364">
        <f>IF(LEN(INDEX('Providers'!$AJ$4:$AJ$503,361))=0,"",INDEX('Providers'!$AJ$4:$AJ$503,361))</f>
        <v/>
      </c>
      <c r="K3364">
        <f>IF(LEN(INDEX('Providers'!$AI$4:$AI$503,361))=0,"",INDEX('Providers'!$AI$4:$AI$503,361))</f>
        <v/>
      </c>
    </row>
    <row r="3365">
      <c r="A3365">
        <f>IF(AND(LEN('Providers'!A365)&gt;0,ISNUMBER('Providers'!W365)),1,0)</f>
        <v/>
      </c>
      <c r="B3365">
        <f>B3364+A3365</f>
        <v/>
      </c>
      <c r="C3365">
        <f>IF(3362&gt;$B$4503,"",MATCH(3362-0.5,$B$3:$B$4503,1))</f>
        <v/>
      </c>
      <c r="D3365">
        <f>"CAQH re-attestation – "&amp;IF(LEN(INDEX('Providers'!$A$4:$A$503,362))=0,"",INDEX('Providers'!$A$4:$A$503,362))</f>
        <v/>
      </c>
      <c r="E3365">
        <f>IF(ISNUMBER(INDEX('Providers'!$W$4:$W$503,362)),TEXT(INDEX('Providers'!$W$4:$W$503,362),"yyyy-mm-dd"),"")</f>
        <v/>
      </c>
      <c r="F3365">
        <f>"Credentialing"</f>
        <v/>
      </c>
      <c r="G3365">
        <f>IF(ISNUMBER(INDEX('Providers'!$U$4:$U$503,362)),TEXT(INDEX('Providers'!$U$4:$U$503,362),"yyyy-mm-dd"),"")</f>
        <v/>
      </c>
      <c r="H3365">
        <f>"High"</f>
        <v/>
      </c>
      <c r="I3365">
        <f>TRIM(IF(LEN(IF(LEN(INDEX('Providers'!$T$4:$T$503,362))=0,"",INDEX('Providers'!$T$4:$T$503,362)))=0,"","CAQH ID: "&amp;IF(LEN(INDEX('Providers'!$T$4:$T$503,362))=0,"",INDEX('Providers'!$T$4:$T$503,362))&amp;". ")&amp;IF(LEN(IF(ISNUMBER(INDEX('Providers'!$U$4:$U$503,362)),TEXT(INDEX('Providers'!$U$4:$U$503,362),"yyyy-mm-dd"),""))=0,"","Last attested: "&amp;IF(ISNUMBER(INDEX('Providers'!$U$4:$U$503,362)),TEXT(INDEX('Providers'!$U$4:$U$503,362),"yyyy-mm-dd"),"")&amp;". "))</f>
        <v/>
      </c>
      <c r="J3365">
        <f>IF(LEN(INDEX('Providers'!$AJ$4:$AJ$503,362))=0,"",INDEX('Providers'!$AJ$4:$AJ$503,362))</f>
        <v/>
      </c>
      <c r="K3365">
        <f>IF(LEN(INDEX('Providers'!$AI$4:$AI$503,362))=0,"",INDEX('Providers'!$AI$4:$AI$503,362))</f>
        <v/>
      </c>
    </row>
    <row r="3366">
      <c r="A3366">
        <f>IF(AND(LEN('Providers'!A366)&gt;0,ISNUMBER('Providers'!W366)),1,0)</f>
        <v/>
      </c>
      <c r="B3366">
        <f>B3365+A3366</f>
        <v/>
      </c>
      <c r="C3366">
        <f>IF(3363&gt;$B$4503,"",MATCH(3363-0.5,$B$3:$B$4503,1))</f>
        <v/>
      </c>
      <c r="D3366">
        <f>"CAQH re-attestation – "&amp;IF(LEN(INDEX('Providers'!$A$4:$A$503,363))=0,"",INDEX('Providers'!$A$4:$A$503,363))</f>
        <v/>
      </c>
      <c r="E3366">
        <f>IF(ISNUMBER(INDEX('Providers'!$W$4:$W$503,363)),TEXT(INDEX('Providers'!$W$4:$W$503,363),"yyyy-mm-dd"),"")</f>
        <v/>
      </c>
      <c r="F3366">
        <f>"Credentialing"</f>
        <v/>
      </c>
      <c r="G3366">
        <f>IF(ISNUMBER(INDEX('Providers'!$U$4:$U$503,363)),TEXT(INDEX('Providers'!$U$4:$U$503,363),"yyyy-mm-dd"),"")</f>
        <v/>
      </c>
      <c r="H3366">
        <f>"High"</f>
        <v/>
      </c>
      <c r="I3366">
        <f>TRIM(IF(LEN(IF(LEN(INDEX('Providers'!$T$4:$T$503,363))=0,"",INDEX('Providers'!$T$4:$T$503,363)))=0,"","CAQH ID: "&amp;IF(LEN(INDEX('Providers'!$T$4:$T$503,363))=0,"",INDEX('Providers'!$T$4:$T$503,363))&amp;". ")&amp;IF(LEN(IF(ISNUMBER(INDEX('Providers'!$U$4:$U$503,363)),TEXT(INDEX('Providers'!$U$4:$U$503,363),"yyyy-mm-dd"),""))=0,"","Last attested: "&amp;IF(ISNUMBER(INDEX('Providers'!$U$4:$U$503,363)),TEXT(INDEX('Providers'!$U$4:$U$503,363),"yyyy-mm-dd"),"")&amp;". "))</f>
        <v/>
      </c>
      <c r="J3366">
        <f>IF(LEN(INDEX('Providers'!$AJ$4:$AJ$503,363))=0,"",INDEX('Providers'!$AJ$4:$AJ$503,363))</f>
        <v/>
      </c>
      <c r="K3366">
        <f>IF(LEN(INDEX('Providers'!$AI$4:$AI$503,363))=0,"",INDEX('Providers'!$AI$4:$AI$503,363))</f>
        <v/>
      </c>
    </row>
    <row r="3367">
      <c r="A3367">
        <f>IF(AND(LEN('Providers'!A367)&gt;0,ISNUMBER('Providers'!W367)),1,0)</f>
        <v/>
      </c>
      <c r="B3367">
        <f>B3366+A3367</f>
        <v/>
      </c>
      <c r="C3367">
        <f>IF(3364&gt;$B$4503,"",MATCH(3364-0.5,$B$3:$B$4503,1))</f>
        <v/>
      </c>
      <c r="D3367">
        <f>"CAQH re-attestation – "&amp;IF(LEN(INDEX('Providers'!$A$4:$A$503,364))=0,"",INDEX('Providers'!$A$4:$A$503,364))</f>
        <v/>
      </c>
      <c r="E3367">
        <f>IF(ISNUMBER(INDEX('Providers'!$W$4:$W$503,364)),TEXT(INDEX('Providers'!$W$4:$W$503,364),"yyyy-mm-dd"),"")</f>
        <v/>
      </c>
      <c r="F3367">
        <f>"Credentialing"</f>
        <v/>
      </c>
      <c r="G3367">
        <f>IF(ISNUMBER(INDEX('Providers'!$U$4:$U$503,364)),TEXT(INDEX('Providers'!$U$4:$U$503,364),"yyyy-mm-dd"),"")</f>
        <v/>
      </c>
      <c r="H3367">
        <f>"High"</f>
        <v/>
      </c>
      <c r="I3367">
        <f>TRIM(IF(LEN(IF(LEN(INDEX('Providers'!$T$4:$T$503,364))=0,"",INDEX('Providers'!$T$4:$T$503,364)))=0,"","CAQH ID: "&amp;IF(LEN(INDEX('Providers'!$T$4:$T$503,364))=0,"",INDEX('Providers'!$T$4:$T$503,364))&amp;". ")&amp;IF(LEN(IF(ISNUMBER(INDEX('Providers'!$U$4:$U$503,364)),TEXT(INDEX('Providers'!$U$4:$U$503,364),"yyyy-mm-dd"),""))=0,"","Last attested: "&amp;IF(ISNUMBER(INDEX('Providers'!$U$4:$U$503,364)),TEXT(INDEX('Providers'!$U$4:$U$503,364),"yyyy-mm-dd"),"")&amp;". "))</f>
        <v/>
      </c>
      <c r="J3367">
        <f>IF(LEN(INDEX('Providers'!$AJ$4:$AJ$503,364))=0,"",INDEX('Providers'!$AJ$4:$AJ$503,364))</f>
        <v/>
      </c>
      <c r="K3367">
        <f>IF(LEN(INDEX('Providers'!$AI$4:$AI$503,364))=0,"",INDEX('Providers'!$AI$4:$AI$503,364))</f>
        <v/>
      </c>
    </row>
    <row r="3368">
      <c r="A3368">
        <f>IF(AND(LEN('Providers'!A368)&gt;0,ISNUMBER('Providers'!W368)),1,0)</f>
        <v/>
      </c>
      <c r="B3368">
        <f>B3367+A3368</f>
        <v/>
      </c>
      <c r="C3368">
        <f>IF(3365&gt;$B$4503,"",MATCH(3365-0.5,$B$3:$B$4503,1))</f>
        <v/>
      </c>
      <c r="D3368">
        <f>"CAQH re-attestation – "&amp;IF(LEN(INDEX('Providers'!$A$4:$A$503,365))=0,"",INDEX('Providers'!$A$4:$A$503,365))</f>
        <v/>
      </c>
      <c r="E3368">
        <f>IF(ISNUMBER(INDEX('Providers'!$W$4:$W$503,365)),TEXT(INDEX('Providers'!$W$4:$W$503,365),"yyyy-mm-dd"),"")</f>
        <v/>
      </c>
      <c r="F3368">
        <f>"Credentialing"</f>
        <v/>
      </c>
      <c r="G3368">
        <f>IF(ISNUMBER(INDEX('Providers'!$U$4:$U$503,365)),TEXT(INDEX('Providers'!$U$4:$U$503,365),"yyyy-mm-dd"),"")</f>
        <v/>
      </c>
      <c r="H3368">
        <f>"High"</f>
        <v/>
      </c>
      <c r="I3368">
        <f>TRIM(IF(LEN(IF(LEN(INDEX('Providers'!$T$4:$T$503,365))=0,"",INDEX('Providers'!$T$4:$T$503,365)))=0,"","CAQH ID: "&amp;IF(LEN(INDEX('Providers'!$T$4:$T$503,365))=0,"",INDEX('Providers'!$T$4:$T$503,365))&amp;". ")&amp;IF(LEN(IF(ISNUMBER(INDEX('Providers'!$U$4:$U$503,365)),TEXT(INDEX('Providers'!$U$4:$U$503,365),"yyyy-mm-dd"),""))=0,"","Last attested: "&amp;IF(ISNUMBER(INDEX('Providers'!$U$4:$U$503,365)),TEXT(INDEX('Providers'!$U$4:$U$503,365),"yyyy-mm-dd"),"")&amp;". "))</f>
        <v/>
      </c>
      <c r="J3368">
        <f>IF(LEN(INDEX('Providers'!$AJ$4:$AJ$503,365))=0,"",INDEX('Providers'!$AJ$4:$AJ$503,365))</f>
        <v/>
      </c>
      <c r="K3368">
        <f>IF(LEN(INDEX('Providers'!$AI$4:$AI$503,365))=0,"",INDEX('Providers'!$AI$4:$AI$503,365))</f>
        <v/>
      </c>
    </row>
    <row r="3369">
      <c r="A3369">
        <f>IF(AND(LEN('Providers'!A369)&gt;0,ISNUMBER('Providers'!W369)),1,0)</f>
        <v/>
      </c>
      <c r="B3369">
        <f>B3368+A3369</f>
        <v/>
      </c>
      <c r="C3369">
        <f>IF(3366&gt;$B$4503,"",MATCH(3366-0.5,$B$3:$B$4503,1))</f>
        <v/>
      </c>
      <c r="D3369">
        <f>"CAQH re-attestation – "&amp;IF(LEN(INDEX('Providers'!$A$4:$A$503,366))=0,"",INDEX('Providers'!$A$4:$A$503,366))</f>
        <v/>
      </c>
      <c r="E3369">
        <f>IF(ISNUMBER(INDEX('Providers'!$W$4:$W$503,366)),TEXT(INDEX('Providers'!$W$4:$W$503,366),"yyyy-mm-dd"),"")</f>
        <v/>
      </c>
      <c r="F3369">
        <f>"Credentialing"</f>
        <v/>
      </c>
      <c r="G3369">
        <f>IF(ISNUMBER(INDEX('Providers'!$U$4:$U$503,366)),TEXT(INDEX('Providers'!$U$4:$U$503,366),"yyyy-mm-dd"),"")</f>
        <v/>
      </c>
      <c r="H3369">
        <f>"High"</f>
        <v/>
      </c>
      <c r="I3369">
        <f>TRIM(IF(LEN(IF(LEN(INDEX('Providers'!$T$4:$T$503,366))=0,"",INDEX('Providers'!$T$4:$T$503,366)))=0,"","CAQH ID: "&amp;IF(LEN(INDEX('Providers'!$T$4:$T$503,366))=0,"",INDEX('Providers'!$T$4:$T$503,366))&amp;". ")&amp;IF(LEN(IF(ISNUMBER(INDEX('Providers'!$U$4:$U$503,366)),TEXT(INDEX('Providers'!$U$4:$U$503,366),"yyyy-mm-dd"),""))=0,"","Last attested: "&amp;IF(ISNUMBER(INDEX('Providers'!$U$4:$U$503,366)),TEXT(INDEX('Providers'!$U$4:$U$503,366),"yyyy-mm-dd"),"")&amp;". "))</f>
        <v/>
      </c>
      <c r="J3369">
        <f>IF(LEN(INDEX('Providers'!$AJ$4:$AJ$503,366))=0,"",INDEX('Providers'!$AJ$4:$AJ$503,366))</f>
        <v/>
      </c>
      <c r="K3369">
        <f>IF(LEN(INDEX('Providers'!$AI$4:$AI$503,366))=0,"",INDEX('Providers'!$AI$4:$AI$503,366))</f>
        <v/>
      </c>
    </row>
    <row r="3370">
      <c r="A3370">
        <f>IF(AND(LEN('Providers'!A370)&gt;0,ISNUMBER('Providers'!W370)),1,0)</f>
        <v/>
      </c>
      <c r="B3370">
        <f>B3369+A3370</f>
        <v/>
      </c>
      <c r="C3370">
        <f>IF(3367&gt;$B$4503,"",MATCH(3367-0.5,$B$3:$B$4503,1))</f>
        <v/>
      </c>
      <c r="D3370">
        <f>"CAQH re-attestation – "&amp;IF(LEN(INDEX('Providers'!$A$4:$A$503,367))=0,"",INDEX('Providers'!$A$4:$A$503,367))</f>
        <v/>
      </c>
      <c r="E3370">
        <f>IF(ISNUMBER(INDEX('Providers'!$W$4:$W$503,367)),TEXT(INDEX('Providers'!$W$4:$W$503,367),"yyyy-mm-dd"),"")</f>
        <v/>
      </c>
      <c r="F3370">
        <f>"Credentialing"</f>
        <v/>
      </c>
      <c r="G3370">
        <f>IF(ISNUMBER(INDEX('Providers'!$U$4:$U$503,367)),TEXT(INDEX('Providers'!$U$4:$U$503,367),"yyyy-mm-dd"),"")</f>
        <v/>
      </c>
      <c r="H3370">
        <f>"High"</f>
        <v/>
      </c>
      <c r="I3370">
        <f>TRIM(IF(LEN(IF(LEN(INDEX('Providers'!$T$4:$T$503,367))=0,"",INDEX('Providers'!$T$4:$T$503,367)))=0,"","CAQH ID: "&amp;IF(LEN(INDEX('Providers'!$T$4:$T$503,367))=0,"",INDEX('Providers'!$T$4:$T$503,367))&amp;". ")&amp;IF(LEN(IF(ISNUMBER(INDEX('Providers'!$U$4:$U$503,367)),TEXT(INDEX('Providers'!$U$4:$U$503,367),"yyyy-mm-dd"),""))=0,"","Last attested: "&amp;IF(ISNUMBER(INDEX('Providers'!$U$4:$U$503,367)),TEXT(INDEX('Providers'!$U$4:$U$503,367),"yyyy-mm-dd"),"")&amp;". "))</f>
        <v/>
      </c>
      <c r="J3370">
        <f>IF(LEN(INDEX('Providers'!$AJ$4:$AJ$503,367))=0,"",INDEX('Providers'!$AJ$4:$AJ$503,367))</f>
        <v/>
      </c>
      <c r="K3370">
        <f>IF(LEN(INDEX('Providers'!$AI$4:$AI$503,367))=0,"",INDEX('Providers'!$AI$4:$AI$503,367))</f>
        <v/>
      </c>
    </row>
    <row r="3371">
      <c r="A3371">
        <f>IF(AND(LEN('Providers'!A371)&gt;0,ISNUMBER('Providers'!W371)),1,0)</f>
        <v/>
      </c>
      <c r="B3371">
        <f>B3370+A3371</f>
        <v/>
      </c>
      <c r="C3371">
        <f>IF(3368&gt;$B$4503,"",MATCH(3368-0.5,$B$3:$B$4503,1))</f>
        <v/>
      </c>
      <c r="D3371">
        <f>"CAQH re-attestation – "&amp;IF(LEN(INDEX('Providers'!$A$4:$A$503,368))=0,"",INDEX('Providers'!$A$4:$A$503,368))</f>
        <v/>
      </c>
      <c r="E3371">
        <f>IF(ISNUMBER(INDEX('Providers'!$W$4:$W$503,368)),TEXT(INDEX('Providers'!$W$4:$W$503,368),"yyyy-mm-dd"),"")</f>
        <v/>
      </c>
      <c r="F3371">
        <f>"Credentialing"</f>
        <v/>
      </c>
      <c r="G3371">
        <f>IF(ISNUMBER(INDEX('Providers'!$U$4:$U$503,368)),TEXT(INDEX('Providers'!$U$4:$U$503,368),"yyyy-mm-dd"),"")</f>
        <v/>
      </c>
      <c r="H3371">
        <f>"High"</f>
        <v/>
      </c>
      <c r="I3371">
        <f>TRIM(IF(LEN(IF(LEN(INDEX('Providers'!$T$4:$T$503,368))=0,"",INDEX('Providers'!$T$4:$T$503,368)))=0,"","CAQH ID: "&amp;IF(LEN(INDEX('Providers'!$T$4:$T$503,368))=0,"",INDEX('Providers'!$T$4:$T$503,368))&amp;". ")&amp;IF(LEN(IF(ISNUMBER(INDEX('Providers'!$U$4:$U$503,368)),TEXT(INDEX('Providers'!$U$4:$U$503,368),"yyyy-mm-dd"),""))=0,"","Last attested: "&amp;IF(ISNUMBER(INDEX('Providers'!$U$4:$U$503,368)),TEXT(INDEX('Providers'!$U$4:$U$503,368),"yyyy-mm-dd"),"")&amp;". "))</f>
        <v/>
      </c>
      <c r="J3371">
        <f>IF(LEN(INDEX('Providers'!$AJ$4:$AJ$503,368))=0,"",INDEX('Providers'!$AJ$4:$AJ$503,368))</f>
        <v/>
      </c>
      <c r="K3371">
        <f>IF(LEN(INDEX('Providers'!$AI$4:$AI$503,368))=0,"",INDEX('Providers'!$AI$4:$AI$503,368))</f>
        <v/>
      </c>
    </row>
    <row r="3372">
      <c r="A3372">
        <f>IF(AND(LEN('Providers'!A372)&gt;0,ISNUMBER('Providers'!W372)),1,0)</f>
        <v/>
      </c>
      <c r="B3372">
        <f>B3371+A3372</f>
        <v/>
      </c>
      <c r="C3372">
        <f>IF(3369&gt;$B$4503,"",MATCH(3369-0.5,$B$3:$B$4503,1))</f>
        <v/>
      </c>
      <c r="D3372">
        <f>"CAQH re-attestation – "&amp;IF(LEN(INDEX('Providers'!$A$4:$A$503,369))=0,"",INDEX('Providers'!$A$4:$A$503,369))</f>
        <v/>
      </c>
      <c r="E3372">
        <f>IF(ISNUMBER(INDEX('Providers'!$W$4:$W$503,369)),TEXT(INDEX('Providers'!$W$4:$W$503,369),"yyyy-mm-dd"),"")</f>
        <v/>
      </c>
      <c r="F3372">
        <f>"Credentialing"</f>
        <v/>
      </c>
      <c r="G3372">
        <f>IF(ISNUMBER(INDEX('Providers'!$U$4:$U$503,369)),TEXT(INDEX('Providers'!$U$4:$U$503,369),"yyyy-mm-dd"),"")</f>
        <v/>
      </c>
      <c r="H3372">
        <f>"High"</f>
        <v/>
      </c>
      <c r="I3372">
        <f>TRIM(IF(LEN(IF(LEN(INDEX('Providers'!$T$4:$T$503,369))=0,"",INDEX('Providers'!$T$4:$T$503,369)))=0,"","CAQH ID: "&amp;IF(LEN(INDEX('Providers'!$T$4:$T$503,369))=0,"",INDEX('Providers'!$T$4:$T$503,369))&amp;". ")&amp;IF(LEN(IF(ISNUMBER(INDEX('Providers'!$U$4:$U$503,369)),TEXT(INDEX('Providers'!$U$4:$U$503,369),"yyyy-mm-dd"),""))=0,"","Last attested: "&amp;IF(ISNUMBER(INDEX('Providers'!$U$4:$U$503,369)),TEXT(INDEX('Providers'!$U$4:$U$503,369),"yyyy-mm-dd"),"")&amp;". "))</f>
        <v/>
      </c>
      <c r="J3372">
        <f>IF(LEN(INDEX('Providers'!$AJ$4:$AJ$503,369))=0,"",INDEX('Providers'!$AJ$4:$AJ$503,369))</f>
        <v/>
      </c>
      <c r="K3372">
        <f>IF(LEN(INDEX('Providers'!$AI$4:$AI$503,369))=0,"",INDEX('Providers'!$AI$4:$AI$503,369))</f>
        <v/>
      </c>
    </row>
    <row r="3373">
      <c r="A3373">
        <f>IF(AND(LEN('Providers'!A373)&gt;0,ISNUMBER('Providers'!W373)),1,0)</f>
        <v/>
      </c>
      <c r="B3373">
        <f>B3372+A3373</f>
        <v/>
      </c>
      <c r="C3373">
        <f>IF(3370&gt;$B$4503,"",MATCH(3370-0.5,$B$3:$B$4503,1))</f>
        <v/>
      </c>
      <c r="D3373">
        <f>"CAQH re-attestation – "&amp;IF(LEN(INDEX('Providers'!$A$4:$A$503,370))=0,"",INDEX('Providers'!$A$4:$A$503,370))</f>
        <v/>
      </c>
      <c r="E3373">
        <f>IF(ISNUMBER(INDEX('Providers'!$W$4:$W$503,370)),TEXT(INDEX('Providers'!$W$4:$W$503,370),"yyyy-mm-dd"),"")</f>
        <v/>
      </c>
      <c r="F3373">
        <f>"Credentialing"</f>
        <v/>
      </c>
      <c r="G3373">
        <f>IF(ISNUMBER(INDEX('Providers'!$U$4:$U$503,370)),TEXT(INDEX('Providers'!$U$4:$U$503,370),"yyyy-mm-dd"),"")</f>
        <v/>
      </c>
      <c r="H3373">
        <f>"High"</f>
        <v/>
      </c>
      <c r="I3373">
        <f>TRIM(IF(LEN(IF(LEN(INDEX('Providers'!$T$4:$T$503,370))=0,"",INDEX('Providers'!$T$4:$T$503,370)))=0,"","CAQH ID: "&amp;IF(LEN(INDEX('Providers'!$T$4:$T$503,370))=0,"",INDEX('Providers'!$T$4:$T$503,370))&amp;". ")&amp;IF(LEN(IF(ISNUMBER(INDEX('Providers'!$U$4:$U$503,370)),TEXT(INDEX('Providers'!$U$4:$U$503,370),"yyyy-mm-dd"),""))=0,"","Last attested: "&amp;IF(ISNUMBER(INDEX('Providers'!$U$4:$U$503,370)),TEXT(INDEX('Providers'!$U$4:$U$503,370),"yyyy-mm-dd"),"")&amp;". "))</f>
        <v/>
      </c>
      <c r="J3373">
        <f>IF(LEN(INDEX('Providers'!$AJ$4:$AJ$503,370))=0,"",INDEX('Providers'!$AJ$4:$AJ$503,370))</f>
        <v/>
      </c>
      <c r="K3373">
        <f>IF(LEN(INDEX('Providers'!$AI$4:$AI$503,370))=0,"",INDEX('Providers'!$AI$4:$AI$503,370))</f>
        <v/>
      </c>
    </row>
    <row r="3374">
      <c r="A3374">
        <f>IF(AND(LEN('Providers'!A374)&gt;0,ISNUMBER('Providers'!W374)),1,0)</f>
        <v/>
      </c>
      <c r="B3374">
        <f>B3373+A3374</f>
        <v/>
      </c>
      <c r="C3374">
        <f>IF(3371&gt;$B$4503,"",MATCH(3371-0.5,$B$3:$B$4503,1))</f>
        <v/>
      </c>
      <c r="D3374">
        <f>"CAQH re-attestation – "&amp;IF(LEN(INDEX('Providers'!$A$4:$A$503,371))=0,"",INDEX('Providers'!$A$4:$A$503,371))</f>
        <v/>
      </c>
      <c r="E3374">
        <f>IF(ISNUMBER(INDEX('Providers'!$W$4:$W$503,371)),TEXT(INDEX('Providers'!$W$4:$W$503,371),"yyyy-mm-dd"),"")</f>
        <v/>
      </c>
      <c r="F3374">
        <f>"Credentialing"</f>
        <v/>
      </c>
      <c r="G3374">
        <f>IF(ISNUMBER(INDEX('Providers'!$U$4:$U$503,371)),TEXT(INDEX('Providers'!$U$4:$U$503,371),"yyyy-mm-dd"),"")</f>
        <v/>
      </c>
      <c r="H3374">
        <f>"High"</f>
        <v/>
      </c>
      <c r="I3374">
        <f>TRIM(IF(LEN(IF(LEN(INDEX('Providers'!$T$4:$T$503,371))=0,"",INDEX('Providers'!$T$4:$T$503,371)))=0,"","CAQH ID: "&amp;IF(LEN(INDEX('Providers'!$T$4:$T$503,371))=0,"",INDEX('Providers'!$T$4:$T$503,371))&amp;". ")&amp;IF(LEN(IF(ISNUMBER(INDEX('Providers'!$U$4:$U$503,371)),TEXT(INDEX('Providers'!$U$4:$U$503,371),"yyyy-mm-dd"),""))=0,"","Last attested: "&amp;IF(ISNUMBER(INDEX('Providers'!$U$4:$U$503,371)),TEXT(INDEX('Providers'!$U$4:$U$503,371),"yyyy-mm-dd"),"")&amp;". "))</f>
        <v/>
      </c>
      <c r="J3374">
        <f>IF(LEN(INDEX('Providers'!$AJ$4:$AJ$503,371))=0,"",INDEX('Providers'!$AJ$4:$AJ$503,371))</f>
        <v/>
      </c>
      <c r="K3374">
        <f>IF(LEN(INDEX('Providers'!$AI$4:$AI$503,371))=0,"",INDEX('Providers'!$AI$4:$AI$503,371))</f>
        <v/>
      </c>
    </row>
    <row r="3375">
      <c r="A3375">
        <f>IF(AND(LEN('Providers'!A375)&gt;0,ISNUMBER('Providers'!W375)),1,0)</f>
        <v/>
      </c>
      <c r="B3375">
        <f>B3374+A3375</f>
        <v/>
      </c>
      <c r="C3375">
        <f>IF(3372&gt;$B$4503,"",MATCH(3372-0.5,$B$3:$B$4503,1))</f>
        <v/>
      </c>
      <c r="D3375">
        <f>"CAQH re-attestation – "&amp;IF(LEN(INDEX('Providers'!$A$4:$A$503,372))=0,"",INDEX('Providers'!$A$4:$A$503,372))</f>
        <v/>
      </c>
      <c r="E3375">
        <f>IF(ISNUMBER(INDEX('Providers'!$W$4:$W$503,372)),TEXT(INDEX('Providers'!$W$4:$W$503,372),"yyyy-mm-dd"),"")</f>
        <v/>
      </c>
      <c r="F3375">
        <f>"Credentialing"</f>
        <v/>
      </c>
      <c r="G3375">
        <f>IF(ISNUMBER(INDEX('Providers'!$U$4:$U$503,372)),TEXT(INDEX('Providers'!$U$4:$U$503,372),"yyyy-mm-dd"),"")</f>
        <v/>
      </c>
      <c r="H3375">
        <f>"High"</f>
        <v/>
      </c>
      <c r="I3375">
        <f>TRIM(IF(LEN(IF(LEN(INDEX('Providers'!$T$4:$T$503,372))=0,"",INDEX('Providers'!$T$4:$T$503,372)))=0,"","CAQH ID: "&amp;IF(LEN(INDEX('Providers'!$T$4:$T$503,372))=0,"",INDEX('Providers'!$T$4:$T$503,372))&amp;". ")&amp;IF(LEN(IF(ISNUMBER(INDEX('Providers'!$U$4:$U$503,372)),TEXT(INDEX('Providers'!$U$4:$U$503,372),"yyyy-mm-dd"),""))=0,"","Last attested: "&amp;IF(ISNUMBER(INDEX('Providers'!$U$4:$U$503,372)),TEXT(INDEX('Providers'!$U$4:$U$503,372),"yyyy-mm-dd"),"")&amp;". "))</f>
        <v/>
      </c>
      <c r="J3375">
        <f>IF(LEN(INDEX('Providers'!$AJ$4:$AJ$503,372))=0,"",INDEX('Providers'!$AJ$4:$AJ$503,372))</f>
        <v/>
      </c>
      <c r="K3375">
        <f>IF(LEN(INDEX('Providers'!$AI$4:$AI$503,372))=0,"",INDEX('Providers'!$AI$4:$AI$503,372))</f>
        <v/>
      </c>
    </row>
    <row r="3376">
      <c r="A3376">
        <f>IF(AND(LEN('Providers'!A376)&gt;0,ISNUMBER('Providers'!W376)),1,0)</f>
        <v/>
      </c>
      <c r="B3376">
        <f>B3375+A3376</f>
        <v/>
      </c>
      <c r="C3376">
        <f>IF(3373&gt;$B$4503,"",MATCH(3373-0.5,$B$3:$B$4503,1))</f>
        <v/>
      </c>
      <c r="D3376">
        <f>"CAQH re-attestation – "&amp;IF(LEN(INDEX('Providers'!$A$4:$A$503,373))=0,"",INDEX('Providers'!$A$4:$A$503,373))</f>
        <v/>
      </c>
      <c r="E3376">
        <f>IF(ISNUMBER(INDEX('Providers'!$W$4:$W$503,373)),TEXT(INDEX('Providers'!$W$4:$W$503,373),"yyyy-mm-dd"),"")</f>
        <v/>
      </c>
      <c r="F3376">
        <f>"Credentialing"</f>
        <v/>
      </c>
      <c r="G3376">
        <f>IF(ISNUMBER(INDEX('Providers'!$U$4:$U$503,373)),TEXT(INDEX('Providers'!$U$4:$U$503,373),"yyyy-mm-dd"),"")</f>
        <v/>
      </c>
      <c r="H3376">
        <f>"High"</f>
        <v/>
      </c>
      <c r="I3376">
        <f>TRIM(IF(LEN(IF(LEN(INDEX('Providers'!$T$4:$T$503,373))=0,"",INDEX('Providers'!$T$4:$T$503,373)))=0,"","CAQH ID: "&amp;IF(LEN(INDEX('Providers'!$T$4:$T$503,373))=0,"",INDEX('Providers'!$T$4:$T$503,373))&amp;". ")&amp;IF(LEN(IF(ISNUMBER(INDEX('Providers'!$U$4:$U$503,373)),TEXT(INDEX('Providers'!$U$4:$U$503,373),"yyyy-mm-dd"),""))=0,"","Last attested: "&amp;IF(ISNUMBER(INDEX('Providers'!$U$4:$U$503,373)),TEXT(INDEX('Providers'!$U$4:$U$503,373),"yyyy-mm-dd"),"")&amp;". "))</f>
        <v/>
      </c>
      <c r="J3376">
        <f>IF(LEN(INDEX('Providers'!$AJ$4:$AJ$503,373))=0,"",INDEX('Providers'!$AJ$4:$AJ$503,373))</f>
        <v/>
      </c>
      <c r="K3376">
        <f>IF(LEN(INDEX('Providers'!$AI$4:$AI$503,373))=0,"",INDEX('Providers'!$AI$4:$AI$503,373))</f>
        <v/>
      </c>
    </row>
    <row r="3377">
      <c r="A3377">
        <f>IF(AND(LEN('Providers'!A377)&gt;0,ISNUMBER('Providers'!W377)),1,0)</f>
        <v/>
      </c>
      <c r="B3377">
        <f>B3376+A3377</f>
        <v/>
      </c>
      <c r="C3377">
        <f>IF(3374&gt;$B$4503,"",MATCH(3374-0.5,$B$3:$B$4503,1))</f>
        <v/>
      </c>
      <c r="D3377">
        <f>"CAQH re-attestation – "&amp;IF(LEN(INDEX('Providers'!$A$4:$A$503,374))=0,"",INDEX('Providers'!$A$4:$A$503,374))</f>
        <v/>
      </c>
      <c r="E3377">
        <f>IF(ISNUMBER(INDEX('Providers'!$W$4:$W$503,374)),TEXT(INDEX('Providers'!$W$4:$W$503,374),"yyyy-mm-dd"),"")</f>
        <v/>
      </c>
      <c r="F3377">
        <f>"Credentialing"</f>
        <v/>
      </c>
      <c r="G3377">
        <f>IF(ISNUMBER(INDEX('Providers'!$U$4:$U$503,374)),TEXT(INDEX('Providers'!$U$4:$U$503,374),"yyyy-mm-dd"),"")</f>
        <v/>
      </c>
      <c r="H3377">
        <f>"High"</f>
        <v/>
      </c>
      <c r="I3377">
        <f>TRIM(IF(LEN(IF(LEN(INDEX('Providers'!$T$4:$T$503,374))=0,"",INDEX('Providers'!$T$4:$T$503,374)))=0,"","CAQH ID: "&amp;IF(LEN(INDEX('Providers'!$T$4:$T$503,374))=0,"",INDEX('Providers'!$T$4:$T$503,374))&amp;". ")&amp;IF(LEN(IF(ISNUMBER(INDEX('Providers'!$U$4:$U$503,374)),TEXT(INDEX('Providers'!$U$4:$U$503,374),"yyyy-mm-dd"),""))=0,"","Last attested: "&amp;IF(ISNUMBER(INDEX('Providers'!$U$4:$U$503,374)),TEXT(INDEX('Providers'!$U$4:$U$503,374),"yyyy-mm-dd"),"")&amp;". "))</f>
        <v/>
      </c>
      <c r="J3377">
        <f>IF(LEN(INDEX('Providers'!$AJ$4:$AJ$503,374))=0,"",INDEX('Providers'!$AJ$4:$AJ$503,374))</f>
        <v/>
      </c>
      <c r="K3377">
        <f>IF(LEN(INDEX('Providers'!$AI$4:$AI$503,374))=0,"",INDEX('Providers'!$AI$4:$AI$503,374))</f>
        <v/>
      </c>
    </row>
    <row r="3378">
      <c r="A3378">
        <f>IF(AND(LEN('Providers'!A378)&gt;0,ISNUMBER('Providers'!W378)),1,0)</f>
        <v/>
      </c>
      <c r="B3378">
        <f>B3377+A3378</f>
        <v/>
      </c>
      <c r="C3378">
        <f>IF(3375&gt;$B$4503,"",MATCH(3375-0.5,$B$3:$B$4503,1))</f>
        <v/>
      </c>
      <c r="D3378">
        <f>"CAQH re-attestation – "&amp;IF(LEN(INDEX('Providers'!$A$4:$A$503,375))=0,"",INDEX('Providers'!$A$4:$A$503,375))</f>
        <v/>
      </c>
      <c r="E3378">
        <f>IF(ISNUMBER(INDEX('Providers'!$W$4:$W$503,375)),TEXT(INDEX('Providers'!$W$4:$W$503,375),"yyyy-mm-dd"),"")</f>
        <v/>
      </c>
      <c r="F3378">
        <f>"Credentialing"</f>
        <v/>
      </c>
      <c r="G3378">
        <f>IF(ISNUMBER(INDEX('Providers'!$U$4:$U$503,375)),TEXT(INDEX('Providers'!$U$4:$U$503,375),"yyyy-mm-dd"),"")</f>
        <v/>
      </c>
      <c r="H3378">
        <f>"High"</f>
        <v/>
      </c>
      <c r="I3378">
        <f>TRIM(IF(LEN(IF(LEN(INDEX('Providers'!$T$4:$T$503,375))=0,"",INDEX('Providers'!$T$4:$T$503,375)))=0,"","CAQH ID: "&amp;IF(LEN(INDEX('Providers'!$T$4:$T$503,375))=0,"",INDEX('Providers'!$T$4:$T$503,375))&amp;". ")&amp;IF(LEN(IF(ISNUMBER(INDEX('Providers'!$U$4:$U$503,375)),TEXT(INDEX('Providers'!$U$4:$U$503,375),"yyyy-mm-dd"),""))=0,"","Last attested: "&amp;IF(ISNUMBER(INDEX('Providers'!$U$4:$U$503,375)),TEXT(INDEX('Providers'!$U$4:$U$503,375),"yyyy-mm-dd"),"")&amp;". "))</f>
        <v/>
      </c>
      <c r="J3378">
        <f>IF(LEN(INDEX('Providers'!$AJ$4:$AJ$503,375))=0,"",INDEX('Providers'!$AJ$4:$AJ$503,375))</f>
        <v/>
      </c>
      <c r="K3378">
        <f>IF(LEN(INDEX('Providers'!$AI$4:$AI$503,375))=0,"",INDEX('Providers'!$AI$4:$AI$503,375))</f>
        <v/>
      </c>
    </row>
    <row r="3379">
      <c r="A3379">
        <f>IF(AND(LEN('Providers'!A379)&gt;0,ISNUMBER('Providers'!W379)),1,0)</f>
        <v/>
      </c>
      <c r="B3379">
        <f>B3378+A3379</f>
        <v/>
      </c>
      <c r="C3379">
        <f>IF(3376&gt;$B$4503,"",MATCH(3376-0.5,$B$3:$B$4503,1))</f>
        <v/>
      </c>
      <c r="D3379">
        <f>"CAQH re-attestation – "&amp;IF(LEN(INDEX('Providers'!$A$4:$A$503,376))=0,"",INDEX('Providers'!$A$4:$A$503,376))</f>
        <v/>
      </c>
      <c r="E3379">
        <f>IF(ISNUMBER(INDEX('Providers'!$W$4:$W$503,376)),TEXT(INDEX('Providers'!$W$4:$W$503,376),"yyyy-mm-dd"),"")</f>
        <v/>
      </c>
      <c r="F3379">
        <f>"Credentialing"</f>
        <v/>
      </c>
      <c r="G3379">
        <f>IF(ISNUMBER(INDEX('Providers'!$U$4:$U$503,376)),TEXT(INDEX('Providers'!$U$4:$U$503,376),"yyyy-mm-dd"),"")</f>
        <v/>
      </c>
      <c r="H3379">
        <f>"High"</f>
        <v/>
      </c>
      <c r="I3379">
        <f>TRIM(IF(LEN(IF(LEN(INDEX('Providers'!$T$4:$T$503,376))=0,"",INDEX('Providers'!$T$4:$T$503,376)))=0,"","CAQH ID: "&amp;IF(LEN(INDEX('Providers'!$T$4:$T$503,376))=0,"",INDEX('Providers'!$T$4:$T$503,376))&amp;". ")&amp;IF(LEN(IF(ISNUMBER(INDEX('Providers'!$U$4:$U$503,376)),TEXT(INDEX('Providers'!$U$4:$U$503,376),"yyyy-mm-dd"),""))=0,"","Last attested: "&amp;IF(ISNUMBER(INDEX('Providers'!$U$4:$U$503,376)),TEXT(INDEX('Providers'!$U$4:$U$503,376),"yyyy-mm-dd"),"")&amp;". "))</f>
        <v/>
      </c>
      <c r="J3379">
        <f>IF(LEN(INDEX('Providers'!$AJ$4:$AJ$503,376))=0,"",INDEX('Providers'!$AJ$4:$AJ$503,376))</f>
        <v/>
      </c>
      <c r="K3379">
        <f>IF(LEN(INDEX('Providers'!$AI$4:$AI$503,376))=0,"",INDEX('Providers'!$AI$4:$AI$503,376))</f>
        <v/>
      </c>
    </row>
    <row r="3380">
      <c r="A3380">
        <f>IF(AND(LEN('Providers'!A380)&gt;0,ISNUMBER('Providers'!W380)),1,0)</f>
        <v/>
      </c>
      <c r="B3380">
        <f>B3379+A3380</f>
        <v/>
      </c>
      <c r="C3380">
        <f>IF(3377&gt;$B$4503,"",MATCH(3377-0.5,$B$3:$B$4503,1))</f>
        <v/>
      </c>
      <c r="D3380">
        <f>"CAQH re-attestation – "&amp;IF(LEN(INDEX('Providers'!$A$4:$A$503,377))=0,"",INDEX('Providers'!$A$4:$A$503,377))</f>
        <v/>
      </c>
      <c r="E3380">
        <f>IF(ISNUMBER(INDEX('Providers'!$W$4:$W$503,377)),TEXT(INDEX('Providers'!$W$4:$W$503,377),"yyyy-mm-dd"),"")</f>
        <v/>
      </c>
      <c r="F3380">
        <f>"Credentialing"</f>
        <v/>
      </c>
      <c r="G3380">
        <f>IF(ISNUMBER(INDEX('Providers'!$U$4:$U$503,377)),TEXT(INDEX('Providers'!$U$4:$U$503,377),"yyyy-mm-dd"),"")</f>
        <v/>
      </c>
      <c r="H3380">
        <f>"High"</f>
        <v/>
      </c>
      <c r="I3380">
        <f>TRIM(IF(LEN(IF(LEN(INDEX('Providers'!$T$4:$T$503,377))=0,"",INDEX('Providers'!$T$4:$T$503,377)))=0,"","CAQH ID: "&amp;IF(LEN(INDEX('Providers'!$T$4:$T$503,377))=0,"",INDEX('Providers'!$T$4:$T$503,377))&amp;". ")&amp;IF(LEN(IF(ISNUMBER(INDEX('Providers'!$U$4:$U$503,377)),TEXT(INDEX('Providers'!$U$4:$U$503,377),"yyyy-mm-dd"),""))=0,"","Last attested: "&amp;IF(ISNUMBER(INDEX('Providers'!$U$4:$U$503,377)),TEXT(INDEX('Providers'!$U$4:$U$503,377),"yyyy-mm-dd"),"")&amp;". "))</f>
        <v/>
      </c>
      <c r="J3380">
        <f>IF(LEN(INDEX('Providers'!$AJ$4:$AJ$503,377))=0,"",INDEX('Providers'!$AJ$4:$AJ$503,377))</f>
        <v/>
      </c>
      <c r="K3380">
        <f>IF(LEN(INDEX('Providers'!$AI$4:$AI$503,377))=0,"",INDEX('Providers'!$AI$4:$AI$503,377))</f>
        <v/>
      </c>
    </row>
    <row r="3381">
      <c r="A3381">
        <f>IF(AND(LEN('Providers'!A381)&gt;0,ISNUMBER('Providers'!W381)),1,0)</f>
        <v/>
      </c>
      <c r="B3381">
        <f>B3380+A3381</f>
        <v/>
      </c>
      <c r="C3381">
        <f>IF(3378&gt;$B$4503,"",MATCH(3378-0.5,$B$3:$B$4503,1))</f>
        <v/>
      </c>
      <c r="D3381">
        <f>"CAQH re-attestation – "&amp;IF(LEN(INDEX('Providers'!$A$4:$A$503,378))=0,"",INDEX('Providers'!$A$4:$A$503,378))</f>
        <v/>
      </c>
      <c r="E3381">
        <f>IF(ISNUMBER(INDEX('Providers'!$W$4:$W$503,378)),TEXT(INDEX('Providers'!$W$4:$W$503,378),"yyyy-mm-dd"),"")</f>
        <v/>
      </c>
      <c r="F3381">
        <f>"Credentialing"</f>
        <v/>
      </c>
      <c r="G3381">
        <f>IF(ISNUMBER(INDEX('Providers'!$U$4:$U$503,378)),TEXT(INDEX('Providers'!$U$4:$U$503,378),"yyyy-mm-dd"),"")</f>
        <v/>
      </c>
      <c r="H3381">
        <f>"High"</f>
        <v/>
      </c>
      <c r="I3381">
        <f>TRIM(IF(LEN(IF(LEN(INDEX('Providers'!$T$4:$T$503,378))=0,"",INDEX('Providers'!$T$4:$T$503,378)))=0,"","CAQH ID: "&amp;IF(LEN(INDEX('Providers'!$T$4:$T$503,378))=0,"",INDEX('Providers'!$T$4:$T$503,378))&amp;". ")&amp;IF(LEN(IF(ISNUMBER(INDEX('Providers'!$U$4:$U$503,378)),TEXT(INDEX('Providers'!$U$4:$U$503,378),"yyyy-mm-dd"),""))=0,"","Last attested: "&amp;IF(ISNUMBER(INDEX('Providers'!$U$4:$U$503,378)),TEXT(INDEX('Providers'!$U$4:$U$503,378),"yyyy-mm-dd"),"")&amp;". "))</f>
        <v/>
      </c>
      <c r="J3381">
        <f>IF(LEN(INDEX('Providers'!$AJ$4:$AJ$503,378))=0,"",INDEX('Providers'!$AJ$4:$AJ$503,378))</f>
        <v/>
      </c>
      <c r="K3381">
        <f>IF(LEN(INDEX('Providers'!$AI$4:$AI$503,378))=0,"",INDEX('Providers'!$AI$4:$AI$503,378))</f>
        <v/>
      </c>
    </row>
    <row r="3382">
      <c r="A3382">
        <f>IF(AND(LEN('Providers'!A382)&gt;0,ISNUMBER('Providers'!W382)),1,0)</f>
        <v/>
      </c>
      <c r="B3382">
        <f>B3381+A3382</f>
        <v/>
      </c>
      <c r="C3382">
        <f>IF(3379&gt;$B$4503,"",MATCH(3379-0.5,$B$3:$B$4503,1))</f>
        <v/>
      </c>
      <c r="D3382">
        <f>"CAQH re-attestation – "&amp;IF(LEN(INDEX('Providers'!$A$4:$A$503,379))=0,"",INDEX('Providers'!$A$4:$A$503,379))</f>
        <v/>
      </c>
      <c r="E3382">
        <f>IF(ISNUMBER(INDEX('Providers'!$W$4:$W$503,379)),TEXT(INDEX('Providers'!$W$4:$W$503,379),"yyyy-mm-dd"),"")</f>
        <v/>
      </c>
      <c r="F3382">
        <f>"Credentialing"</f>
        <v/>
      </c>
      <c r="G3382">
        <f>IF(ISNUMBER(INDEX('Providers'!$U$4:$U$503,379)),TEXT(INDEX('Providers'!$U$4:$U$503,379),"yyyy-mm-dd"),"")</f>
        <v/>
      </c>
      <c r="H3382">
        <f>"High"</f>
        <v/>
      </c>
      <c r="I3382">
        <f>TRIM(IF(LEN(IF(LEN(INDEX('Providers'!$T$4:$T$503,379))=0,"",INDEX('Providers'!$T$4:$T$503,379)))=0,"","CAQH ID: "&amp;IF(LEN(INDEX('Providers'!$T$4:$T$503,379))=0,"",INDEX('Providers'!$T$4:$T$503,379))&amp;". ")&amp;IF(LEN(IF(ISNUMBER(INDEX('Providers'!$U$4:$U$503,379)),TEXT(INDEX('Providers'!$U$4:$U$503,379),"yyyy-mm-dd"),""))=0,"","Last attested: "&amp;IF(ISNUMBER(INDEX('Providers'!$U$4:$U$503,379)),TEXT(INDEX('Providers'!$U$4:$U$503,379),"yyyy-mm-dd"),"")&amp;". "))</f>
        <v/>
      </c>
      <c r="J3382">
        <f>IF(LEN(INDEX('Providers'!$AJ$4:$AJ$503,379))=0,"",INDEX('Providers'!$AJ$4:$AJ$503,379))</f>
        <v/>
      </c>
      <c r="K3382">
        <f>IF(LEN(INDEX('Providers'!$AI$4:$AI$503,379))=0,"",INDEX('Providers'!$AI$4:$AI$503,379))</f>
        <v/>
      </c>
    </row>
    <row r="3383">
      <c r="A3383">
        <f>IF(AND(LEN('Providers'!A383)&gt;0,ISNUMBER('Providers'!W383)),1,0)</f>
        <v/>
      </c>
      <c r="B3383">
        <f>B3382+A3383</f>
        <v/>
      </c>
      <c r="C3383">
        <f>IF(3380&gt;$B$4503,"",MATCH(3380-0.5,$B$3:$B$4503,1))</f>
        <v/>
      </c>
      <c r="D3383">
        <f>"CAQH re-attestation – "&amp;IF(LEN(INDEX('Providers'!$A$4:$A$503,380))=0,"",INDEX('Providers'!$A$4:$A$503,380))</f>
        <v/>
      </c>
      <c r="E3383">
        <f>IF(ISNUMBER(INDEX('Providers'!$W$4:$W$503,380)),TEXT(INDEX('Providers'!$W$4:$W$503,380),"yyyy-mm-dd"),"")</f>
        <v/>
      </c>
      <c r="F3383">
        <f>"Credentialing"</f>
        <v/>
      </c>
      <c r="G3383">
        <f>IF(ISNUMBER(INDEX('Providers'!$U$4:$U$503,380)),TEXT(INDEX('Providers'!$U$4:$U$503,380),"yyyy-mm-dd"),"")</f>
        <v/>
      </c>
      <c r="H3383">
        <f>"High"</f>
        <v/>
      </c>
      <c r="I3383">
        <f>TRIM(IF(LEN(IF(LEN(INDEX('Providers'!$T$4:$T$503,380))=0,"",INDEX('Providers'!$T$4:$T$503,380)))=0,"","CAQH ID: "&amp;IF(LEN(INDEX('Providers'!$T$4:$T$503,380))=0,"",INDEX('Providers'!$T$4:$T$503,380))&amp;". ")&amp;IF(LEN(IF(ISNUMBER(INDEX('Providers'!$U$4:$U$503,380)),TEXT(INDEX('Providers'!$U$4:$U$503,380),"yyyy-mm-dd"),""))=0,"","Last attested: "&amp;IF(ISNUMBER(INDEX('Providers'!$U$4:$U$503,380)),TEXT(INDEX('Providers'!$U$4:$U$503,380),"yyyy-mm-dd"),"")&amp;". "))</f>
        <v/>
      </c>
      <c r="J3383">
        <f>IF(LEN(INDEX('Providers'!$AJ$4:$AJ$503,380))=0,"",INDEX('Providers'!$AJ$4:$AJ$503,380))</f>
        <v/>
      </c>
      <c r="K3383">
        <f>IF(LEN(INDEX('Providers'!$AI$4:$AI$503,380))=0,"",INDEX('Providers'!$AI$4:$AI$503,380))</f>
        <v/>
      </c>
    </row>
    <row r="3384">
      <c r="A3384">
        <f>IF(AND(LEN('Providers'!A384)&gt;0,ISNUMBER('Providers'!W384)),1,0)</f>
        <v/>
      </c>
      <c r="B3384">
        <f>B3383+A3384</f>
        <v/>
      </c>
      <c r="C3384">
        <f>IF(3381&gt;$B$4503,"",MATCH(3381-0.5,$B$3:$B$4503,1))</f>
        <v/>
      </c>
      <c r="D3384">
        <f>"CAQH re-attestation – "&amp;IF(LEN(INDEX('Providers'!$A$4:$A$503,381))=0,"",INDEX('Providers'!$A$4:$A$503,381))</f>
        <v/>
      </c>
      <c r="E3384">
        <f>IF(ISNUMBER(INDEX('Providers'!$W$4:$W$503,381)),TEXT(INDEX('Providers'!$W$4:$W$503,381),"yyyy-mm-dd"),"")</f>
        <v/>
      </c>
      <c r="F3384">
        <f>"Credentialing"</f>
        <v/>
      </c>
      <c r="G3384">
        <f>IF(ISNUMBER(INDEX('Providers'!$U$4:$U$503,381)),TEXT(INDEX('Providers'!$U$4:$U$503,381),"yyyy-mm-dd"),"")</f>
        <v/>
      </c>
      <c r="H3384">
        <f>"High"</f>
        <v/>
      </c>
      <c r="I3384">
        <f>TRIM(IF(LEN(IF(LEN(INDEX('Providers'!$T$4:$T$503,381))=0,"",INDEX('Providers'!$T$4:$T$503,381)))=0,"","CAQH ID: "&amp;IF(LEN(INDEX('Providers'!$T$4:$T$503,381))=0,"",INDEX('Providers'!$T$4:$T$503,381))&amp;". ")&amp;IF(LEN(IF(ISNUMBER(INDEX('Providers'!$U$4:$U$503,381)),TEXT(INDEX('Providers'!$U$4:$U$503,381),"yyyy-mm-dd"),""))=0,"","Last attested: "&amp;IF(ISNUMBER(INDEX('Providers'!$U$4:$U$503,381)),TEXT(INDEX('Providers'!$U$4:$U$503,381),"yyyy-mm-dd"),"")&amp;". "))</f>
        <v/>
      </c>
      <c r="J3384">
        <f>IF(LEN(INDEX('Providers'!$AJ$4:$AJ$503,381))=0,"",INDEX('Providers'!$AJ$4:$AJ$503,381))</f>
        <v/>
      </c>
      <c r="K3384">
        <f>IF(LEN(INDEX('Providers'!$AI$4:$AI$503,381))=0,"",INDEX('Providers'!$AI$4:$AI$503,381))</f>
        <v/>
      </c>
    </row>
    <row r="3385">
      <c r="A3385">
        <f>IF(AND(LEN('Providers'!A385)&gt;0,ISNUMBER('Providers'!W385)),1,0)</f>
        <v/>
      </c>
      <c r="B3385">
        <f>B3384+A3385</f>
        <v/>
      </c>
      <c r="C3385">
        <f>IF(3382&gt;$B$4503,"",MATCH(3382-0.5,$B$3:$B$4503,1))</f>
        <v/>
      </c>
      <c r="D3385">
        <f>"CAQH re-attestation – "&amp;IF(LEN(INDEX('Providers'!$A$4:$A$503,382))=0,"",INDEX('Providers'!$A$4:$A$503,382))</f>
        <v/>
      </c>
      <c r="E3385">
        <f>IF(ISNUMBER(INDEX('Providers'!$W$4:$W$503,382)),TEXT(INDEX('Providers'!$W$4:$W$503,382),"yyyy-mm-dd"),"")</f>
        <v/>
      </c>
      <c r="F3385">
        <f>"Credentialing"</f>
        <v/>
      </c>
      <c r="G3385">
        <f>IF(ISNUMBER(INDEX('Providers'!$U$4:$U$503,382)),TEXT(INDEX('Providers'!$U$4:$U$503,382),"yyyy-mm-dd"),"")</f>
        <v/>
      </c>
      <c r="H3385">
        <f>"High"</f>
        <v/>
      </c>
      <c r="I3385">
        <f>TRIM(IF(LEN(IF(LEN(INDEX('Providers'!$T$4:$T$503,382))=0,"",INDEX('Providers'!$T$4:$T$503,382)))=0,"","CAQH ID: "&amp;IF(LEN(INDEX('Providers'!$T$4:$T$503,382))=0,"",INDEX('Providers'!$T$4:$T$503,382))&amp;". ")&amp;IF(LEN(IF(ISNUMBER(INDEX('Providers'!$U$4:$U$503,382)),TEXT(INDEX('Providers'!$U$4:$U$503,382),"yyyy-mm-dd"),""))=0,"","Last attested: "&amp;IF(ISNUMBER(INDEX('Providers'!$U$4:$U$503,382)),TEXT(INDEX('Providers'!$U$4:$U$503,382),"yyyy-mm-dd"),"")&amp;". "))</f>
        <v/>
      </c>
      <c r="J3385">
        <f>IF(LEN(INDEX('Providers'!$AJ$4:$AJ$503,382))=0,"",INDEX('Providers'!$AJ$4:$AJ$503,382))</f>
        <v/>
      </c>
      <c r="K3385">
        <f>IF(LEN(INDEX('Providers'!$AI$4:$AI$503,382))=0,"",INDEX('Providers'!$AI$4:$AI$503,382))</f>
        <v/>
      </c>
    </row>
    <row r="3386">
      <c r="A3386">
        <f>IF(AND(LEN('Providers'!A386)&gt;0,ISNUMBER('Providers'!W386)),1,0)</f>
        <v/>
      </c>
      <c r="B3386">
        <f>B3385+A3386</f>
        <v/>
      </c>
      <c r="C3386">
        <f>IF(3383&gt;$B$4503,"",MATCH(3383-0.5,$B$3:$B$4503,1))</f>
        <v/>
      </c>
      <c r="D3386">
        <f>"CAQH re-attestation – "&amp;IF(LEN(INDEX('Providers'!$A$4:$A$503,383))=0,"",INDEX('Providers'!$A$4:$A$503,383))</f>
        <v/>
      </c>
      <c r="E3386">
        <f>IF(ISNUMBER(INDEX('Providers'!$W$4:$W$503,383)),TEXT(INDEX('Providers'!$W$4:$W$503,383),"yyyy-mm-dd"),"")</f>
        <v/>
      </c>
      <c r="F3386">
        <f>"Credentialing"</f>
        <v/>
      </c>
      <c r="G3386">
        <f>IF(ISNUMBER(INDEX('Providers'!$U$4:$U$503,383)),TEXT(INDEX('Providers'!$U$4:$U$503,383),"yyyy-mm-dd"),"")</f>
        <v/>
      </c>
      <c r="H3386">
        <f>"High"</f>
        <v/>
      </c>
      <c r="I3386">
        <f>TRIM(IF(LEN(IF(LEN(INDEX('Providers'!$T$4:$T$503,383))=0,"",INDEX('Providers'!$T$4:$T$503,383)))=0,"","CAQH ID: "&amp;IF(LEN(INDEX('Providers'!$T$4:$T$503,383))=0,"",INDEX('Providers'!$T$4:$T$503,383))&amp;". ")&amp;IF(LEN(IF(ISNUMBER(INDEX('Providers'!$U$4:$U$503,383)),TEXT(INDEX('Providers'!$U$4:$U$503,383),"yyyy-mm-dd"),""))=0,"","Last attested: "&amp;IF(ISNUMBER(INDEX('Providers'!$U$4:$U$503,383)),TEXT(INDEX('Providers'!$U$4:$U$503,383),"yyyy-mm-dd"),"")&amp;". "))</f>
        <v/>
      </c>
      <c r="J3386">
        <f>IF(LEN(INDEX('Providers'!$AJ$4:$AJ$503,383))=0,"",INDEX('Providers'!$AJ$4:$AJ$503,383))</f>
        <v/>
      </c>
      <c r="K3386">
        <f>IF(LEN(INDEX('Providers'!$AI$4:$AI$503,383))=0,"",INDEX('Providers'!$AI$4:$AI$503,383))</f>
        <v/>
      </c>
    </row>
    <row r="3387">
      <c r="A3387">
        <f>IF(AND(LEN('Providers'!A387)&gt;0,ISNUMBER('Providers'!W387)),1,0)</f>
        <v/>
      </c>
      <c r="B3387">
        <f>B3386+A3387</f>
        <v/>
      </c>
      <c r="C3387">
        <f>IF(3384&gt;$B$4503,"",MATCH(3384-0.5,$B$3:$B$4503,1))</f>
        <v/>
      </c>
      <c r="D3387">
        <f>"CAQH re-attestation – "&amp;IF(LEN(INDEX('Providers'!$A$4:$A$503,384))=0,"",INDEX('Providers'!$A$4:$A$503,384))</f>
        <v/>
      </c>
      <c r="E3387">
        <f>IF(ISNUMBER(INDEX('Providers'!$W$4:$W$503,384)),TEXT(INDEX('Providers'!$W$4:$W$503,384),"yyyy-mm-dd"),"")</f>
        <v/>
      </c>
      <c r="F3387">
        <f>"Credentialing"</f>
        <v/>
      </c>
      <c r="G3387">
        <f>IF(ISNUMBER(INDEX('Providers'!$U$4:$U$503,384)),TEXT(INDEX('Providers'!$U$4:$U$503,384),"yyyy-mm-dd"),"")</f>
        <v/>
      </c>
      <c r="H3387">
        <f>"High"</f>
        <v/>
      </c>
      <c r="I3387">
        <f>TRIM(IF(LEN(IF(LEN(INDEX('Providers'!$T$4:$T$503,384))=0,"",INDEX('Providers'!$T$4:$T$503,384)))=0,"","CAQH ID: "&amp;IF(LEN(INDEX('Providers'!$T$4:$T$503,384))=0,"",INDEX('Providers'!$T$4:$T$503,384))&amp;". ")&amp;IF(LEN(IF(ISNUMBER(INDEX('Providers'!$U$4:$U$503,384)),TEXT(INDEX('Providers'!$U$4:$U$503,384),"yyyy-mm-dd"),""))=0,"","Last attested: "&amp;IF(ISNUMBER(INDEX('Providers'!$U$4:$U$503,384)),TEXT(INDEX('Providers'!$U$4:$U$503,384),"yyyy-mm-dd"),"")&amp;". "))</f>
        <v/>
      </c>
      <c r="J3387">
        <f>IF(LEN(INDEX('Providers'!$AJ$4:$AJ$503,384))=0,"",INDEX('Providers'!$AJ$4:$AJ$503,384))</f>
        <v/>
      </c>
      <c r="K3387">
        <f>IF(LEN(INDEX('Providers'!$AI$4:$AI$503,384))=0,"",INDEX('Providers'!$AI$4:$AI$503,384))</f>
        <v/>
      </c>
    </row>
    <row r="3388">
      <c r="A3388">
        <f>IF(AND(LEN('Providers'!A388)&gt;0,ISNUMBER('Providers'!W388)),1,0)</f>
        <v/>
      </c>
      <c r="B3388">
        <f>B3387+A3388</f>
        <v/>
      </c>
      <c r="C3388">
        <f>IF(3385&gt;$B$4503,"",MATCH(3385-0.5,$B$3:$B$4503,1))</f>
        <v/>
      </c>
      <c r="D3388">
        <f>"CAQH re-attestation – "&amp;IF(LEN(INDEX('Providers'!$A$4:$A$503,385))=0,"",INDEX('Providers'!$A$4:$A$503,385))</f>
        <v/>
      </c>
      <c r="E3388">
        <f>IF(ISNUMBER(INDEX('Providers'!$W$4:$W$503,385)),TEXT(INDEX('Providers'!$W$4:$W$503,385),"yyyy-mm-dd"),"")</f>
        <v/>
      </c>
      <c r="F3388">
        <f>"Credentialing"</f>
        <v/>
      </c>
      <c r="G3388">
        <f>IF(ISNUMBER(INDEX('Providers'!$U$4:$U$503,385)),TEXT(INDEX('Providers'!$U$4:$U$503,385),"yyyy-mm-dd"),"")</f>
        <v/>
      </c>
      <c r="H3388">
        <f>"High"</f>
        <v/>
      </c>
      <c r="I3388">
        <f>TRIM(IF(LEN(IF(LEN(INDEX('Providers'!$T$4:$T$503,385))=0,"",INDEX('Providers'!$T$4:$T$503,385)))=0,"","CAQH ID: "&amp;IF(LEN(INDEX('Providers'!$T$4:$T$503,385))=0,"",INDEX('Providers'!$T$4:$T$503,385))&amp;". ")&amp;IF(LEN(IF(ISNUMBER(INDEX('Providers'!$U$4:$U$503,385)),TEXT(INDEX('Providers'!$U$4:$U$503,385),"yyyy-mm-dd"),""))=0,"","Last attested: "&amp;IF(ISNUMBER(INDEX('Providers'!$U$4:$U$503,385)),TEXT(INDEX('Providers'!$U$4:$U$503,385),"yyyy-mm-dd"),"")&amp;". "))</f>
        <v/>
      </c>
      <c r="J3388">
        <f>IF(LEN(INDEX('Providers'!$AJ$4:$AJ$503,385))=0,"",INDEX('Providers'!$AJ$4:$AJ$503,385))</f>
        <v/>
      </c>
      <c r="K3388">
        <f>IF(LEN(INDEX('Providers'!$AI$4:$AI$503,385))=0,"",INDEX('Providers'!$AI$4:$AI$503,385))</f>
        <v/>
      </c>
    </row>
    <row r="3389">
      <c r="A3389">
        <f>IF(AND(LEN('Providers'!A389)&gt;0,ISNUMBER('Providers'!W389)),1,0)</f>
        <v/>
      </c>
      <c r="B3389">
        <f>B3388+A3389</f>
        <v/>
      </c>
      <c r="C3389">
        <f>IF(3386&gt;$B$4503,"",MATCH(3386-0.5,$B$3:$B$4503,1))</f>
        <v/>
      </c>
      <c r="D3389">
        <f>"CAQH re-attestation – "&amp;IF(LEN(INDEX('Providers'!$A$4:$A$503,386))=0,"",INDEX('Providers'!$A$4:$A$503,386))</f>
        <v/>
      </c>
      <c r="E3389">
        <f>IF(ISNUMBER(INDEX('Providers'!$W$4:$W$503,386)),TEXT(INDEX('Providers'!$W$4:$W$503,386),"yyyy-mm-dd"),"")</f>
        <v/>
      </c>
      <c r="F3389">
        <f>"Credentialing"</f>
        <v/>
      </c>
      <c r="G3389">
        <f>IF(ISNUMBER(INDEX('Providers'!$U$4:$U$503,386)),TEXT(INDEX('Providers'!$U$4:$U$503,386),"yyyy-mm-dd"),"")</f>
        <v/>
      </c>
      <c r="H3389">
        <f>"High"</f>
        <v/>
      </c>
      <c r="I3389">
        <f>TRIM(IF(LEN(IF(LEN(INDEX('Providers'!$T$4:$T$503,386))=0,"",INDEX('Providers'!$T$4:$T$503,386)))=0,"","CAQH ID: "&amp;IF(LEN(INDEX('Providers'!$T$4:$T$503,386))=0,"",INDEX('Providers'!$T$4:$T$503,386))&amp;". ")&amp;IF(LEN(IF(ISNUMBER(INDEX('Providers'!$U$4:$U$503,386)),TEXT(INDEX('Providers'!$U$4:$U$503,386),"yyyy-mm-dd"),""))=0,"","Last attested: "&amp;IF(ISNUMBER(INDEX('Providers'!$U$4:$U$503,386)),TEXT(INDEX('Providers'!$U$4:$U$503,386),"yyyy-mm-dd"),"")&amp;". "))</f>
        <v/>
      </c>
      <c r="J3389">
        <f>IF(LEN(INDEX('Providers'!$AJ$4:$AJ$503,386))=0,"",INDEX('Providers'!$AJ$4:$AJ$503,386))</f>
        <v/>
      </c>
      <c r="K3389">
        <f>IF(LEN(INDEX('Providers'!$AI$4:$AI$503,386))=0,"",INDEX('Providers'!$AI$4:$AI$503,386))</f>
        <v/>
      </c>
    </row>
    <row r="3390">
      <c r="A3390">
        <f>IF(AND(LEN('Providers'!A390)&gt;0,ISNUMBER('Providers'!W390)),1,0)</f>
        <v/>
      </c>
      <c r="B3390">
        <f>B3389+A3390</f>
        <v/>
      </c>
      <c r="C3390">
        <f>IF(3387&gt;$B$4503,"",MATCH(3387-0.5,$B$3:$B$4503,1))</f>
        <v/>
      </c>
      <c r="D3390">
        <f>"CAQH re-attestation – "&amp;IF(LEN(INDEX('Providers'!$A$4:$A$503,387))=0,"",INDEX('Providers'!$A$4:$A$503,387))</f>
        <v/>
      </c>
      <c r="E3390">
        <f>IF(ISNUMBER(INDEX('Providers'!$W$4:$W$503,387)),TEXT(INDEX('Providers'!$W$4:$W$503,387),"yyyy-mm-dd"),"")</f>
        <v/>
      </c>
      <c r="F3390">
        <f>"Credentialing"</f>
        <v/>
      </c>
      <c r="G3390">
        <f>IF(ISNUMBER(INDEX('Providers'!$U$4:$U$503,387)),TEXT(INDEX('Providers'!$U$4:$U$503,387),"yyyy-mm-dd"),"")</f>
        <v/>
      </c>
      <c r="H3390">
        <f>"High"</f>
        <v/>
      </c>
      <c r="I3390">
        <f>TRIM(IF(LEN(IF(LEN(INDEX('Providers'!$T$4:$T$503,387))=0,"",INDEX('Providers'!$T$4:$T$503,387)))=0,"","CAQH ID: "&amp;IF(LEN(INDEX('Providers'!$T$4:$T$503,387))=0,"",INDEX('Providers'!$T$4:$T$503,387))&amp;". ")&amp;IF(LEN(IF(ISNUMBER(INDEX('Providers'!$U$4:$U$503,387)),TEXT(INDEX('Providers'!$U$4:$U$503,387),"yyyy-mm-dd"),""))=0,"","Last attested: "&amp;IF(ISNUMBER(INDEX('Providers'!$U$4:$U$503,387)),TEXT(INDEX('Providers'!$U$4:$U$503,387),"yyyy-mm-dd"),"")&amp;". "))</f>
        <v/>
      </c>
      <c r="J3390">
        <f>IF(LEN(INDEX('Providers'!$AJ$4:$AJ$503,387))=0,"",INDEX('Providers'!$AJ$4:$AJ$503,387))</f>
        <v/>
      </c>
      <c r="K3390">
        <f>IF(LEN(INDEX('Providers'!$AI$4:$AI$503,387))=0,"",INDEX('Providers'!$AI$4:$AI$503,387))</f>
        <v/>
      </c>
    </row>
    <row r="3391">
      <c r="A3391">
        <f>IF(AND(LEN('Providers'!A391)&gt;0,ISNUMBER('Providers'!W391)),1,0)</f>
        <v/>
      </c>
      <c r="B3391">
        <f>B3390+A3391</f>
        <v/>
      </c>
      <c r="C3391">
        <f>IF(3388&gt;$B$4503,"",MATCH(3388-0.5,$B$3:$B$4503,1))</f>
        <v/>
      </c>
      <c r="D3391">
        <f>"CAQH re-attestation – "&amp;IF(LEN(INDEX('Providers'!$A$4:$A$503,388))=0,"",INDEX('Providers'!$A$4:$A$503,388))</f>
        <v/>
      </c>
      <c r="E3391">
        <f>IF(ISNUMBER(INDEX('Providers'!$W$4:$W$503,388)),TEXT(INDEX('Providers'!$W$4:$W$503,388),"yyyy-mm-dd"),"")</f>
        <v/>
      </c>
      <c r="F3391">
        <f>"Credentialing"</f>
        <v/>
      </c>
      <c r="G3391">
        <f>IF(ISNUMBER(INDEX('Providers'!$U$4:$U$503,388)),TEXT(INDEX('Providers'!$U$4:$U$503,388),"yyyy-mm-dd"),"")</f>
        <v/>
      </c>
      <c r="H3391">
        <f>"High"</f>
        <v/>
      </c>
      <c r="I3391">
        <f>TRIM(IF(LEN(IF(LEN(INDEX('Providers'!$T$4:$T$503,388))=0,"",INDEX('Providers'!$T$4:$T$503,388)))=0,"","CAQH ID: "&amp;IF(LEN(INDEX('Providers'!$T$4:$T$503,388))=0,"",INDEX('Providers'!$T$4:$T$503,388))&amp;". ")&amp;IF(LEN(IF(ISNUMBER(INDEX('Providers'!$U$4:$U$503,388)),TEXT(INDEX('Providers'!$U$4:$U$503,388),"yyyy-mm-dd"),""))=0,"","Last attested: "&amp;IF(ISNUMBER(INDEX('Providers'!$U$4:$U$503,388)),TEXT(INDEX('Providers'!$U$4:$U$503,388),"yyyy-mm-dd"),"")&amp;". "))</f>
        <v/>
      </c>
      <c r="J3391">
        <f>IF(LEN(INDEX('Providers'!$AJ$4:$AJ$503,388))=0,"",INDEX('Providers'!$AJ$4:$AJ$503,388))</f>
        <v/>
      </c>
      <c r="K3391">
        <f>IF(LEN(INDEX('Providers'!$AI$4:$AI$503,388))=0,"",INDEX('Providers'!$AI$4:$AI$503,388))</f>
        <v/>
      </c>
    </row>
    <row r="3392">
      <c r="A3392">
        <f>IF(AND(LEN('Providers'!A392)&gt;0,ISNUMBER('Providers'!W392)),1,0)</f>
        <v/>
      </c>
      <c r="B3392">
        <f>B3391+A3392</f>
        <v/>
      </c>
      <c r="C3392">
        <f>IF(3389&gt;$B$4503,"",MATCH(3389-0.5,$B$3:$B$4503,1))</f>
        <v/>
      </c>
      <c r="D3392">
        <f>"CAQH re-attestation – "&amp;IF(LEN(INDEX('Providers'!$A$4:$A$503,389))=0,"",INDEX('Providers'!$A$4:$A$503,389))</f>
        <v/>
      </c>
      <c r="E3392">
        <f>IF(ISNUMBER(INDEX('Providers'!$W$4:$W$503,389)),TEXT(INDEX('Providers'!$W$4:$W$503,389),"yyyy-mm-dd"),"")</f>
        <v/>
      </c>
      <c r="F3392">
        <f>"Credentialing"</f>
        <v/>
      </c>
      <c r="G3392">
        <f>IF(ISNUMBER(INDEX('Providers'!$U$4:$U$503,389)),TEXT(INDEX('Providers'!$U$4:$U$503,389),"yyyy-mm-dd"),"")</f>
        <v/>
      </c>
      <c r="H3392">
        <f>"High"</f>
        <v/>
      </c>
      <c r="I3392">
        <f>TRIM(IF(LEN(IF(LEN(INDEX('Providers'!$T$4:$T$503,389))=0,"",INDEX('Providers'!$T$4:$T$503,389)))=0,"","CAQH ID: "&amp;IF(LEN(INDEX('Providers'!$T$4:$T$503,389))=0,"",INDEX('Providers'!$T$4:$T$503,389))&amp;". ")&amp;IF(LEN(IF(ISNUMBER(INDEX('Providers'!$U$4:$U$503,389)),TEXT(INDEX('Providers'!$U$4:$U$503,389),"yyyy-mm-dd"),""))=0,"","Last attested: "&amp;IF(ISNUMBER(INDEX('Providers'!$U$4:$U$503,389)),TEXT(INDEX('Providers'!$U$4:$U$503,389),"yyyy-mm-dd"),"")&amp;". "))</f>
        <v/>
      </c>
      <c r="J3392">
        <f>IF(LEN(INDEX('Providers'!$AJ$4:$AJ$503,389))=0,"",INDEX('Providers'!$AJ$4:$AJ$503,389))</f>
        <v/>
      </c>
      <c r="K3392">
        <f>IF(LEN(INDEX('Providers'!$AI$4:$AI$503,389))=0,"",INDEX('Providers'!$AI$4:$AI$503,389))</f>
        <v/>
      </c>
    </row>
    <row r="3393">
      <c r="A3393">
        <f>IF(AND(LEN('Providers'!A393)&gt;0,ISNUMBER('Providers'!W393)),1,0)</f>
        <v/>
      </c>
      <c r="B3393">
        <f>B3392+A3393</f>
        <v/>
      </c>
      <c r="C3393">
        <f>IF(3390&gt;$B$4503,"",MATCH(3390-0.5,$B$3:$B$4503,1))</f>
        <v/>
      </c>
      <c r="D3393">
        <f>"CAQH re-attestation – "&amp;IF(LEN(INDEX('Providers'!$A$4:$A$503,390))=0,"",INDEX('Providers'!$A$4:$A$503,390))</f>
        <v/>
      </c>
      <c r="E3393">
        <f>IF(ISNUMBER(INDEX('Providers'!$W$4:$W$503,390)),TEXT(INDEX('Providers'!$W$4:$W$503,390),"yyyy-mm-dd"),"")</f>
        <v/>
      </c>
      <c r="F3393">
        <f>"Credentialing"</f>
        <v/>
      </c>
      <c r="G3393">
        <f>IF(ISNUMBER(INDEX('Providers'!$U$4:$U$503,390)),TEXT(INDEX('Providers'!$U$4:$U$503,390),"yyyy-mm-dd"),"")</f>
        <v/>
      </c>
      <c r="H3393">
        <f>"High"</f>
        <v/>
      </c>
      <c r="I3393">
        <f>TRIM(IF(LEN(IF(LEN(INDEX('Providers'!$T$4:$T$503,390))=0,"",INDEX('Providers'!$T$4:$T$503,390)))=0,"","CAQH ID: "&amp;IF(LEN(INDEX('Providers'!$T$4:$T$503,390))=0,"",INDEX('Providers'!$T$4:$T$503,390))&amp;". ")&amp;IF(LEN(IF(ISNUMBER(INDEX('Providers'!$U$4:$U$503,390)),TEXT(INDEX('Providers'!$U$4:$U$503,390),"yyyy-mm-dd"),""))=0,"","Last attested: "&amp;IF(ISNUMBER(INDEX('Providers'!$U$4:$U$503,390)),TEXT(INDEX('Providers'!$U$4:$U$503,390),"yyyy-mm-dd"),"")&amp;". "))</f>
        <v/>
      </c>
      <c r="J3393">
        <f>IF(LEN(INDEX('Providers'!$AJ$4:$AJ$503,390))=0,"",INDEX('Providers'!$AJ$4:$AJ$503,390))</f>
        <v/>
      </c>
      <c r="K3393">
        <f>IF(LEN(INDEX('Providers'!$AI$4:$AI$503,390))=0,"",INDEX('Providers'!$AI$4:$AI$503,390))</f>
        <v/>
      </c>
    </row>
    <row r="3394">
      <c r="A3394">
        <f>IF(AND(LEN('Providers'!A394)&gt;0,ISNUMBER('Providers'!W394)),1,0)</f>
        <v/>
      </c>
      <c r="B3394">
        <f>B3393+A3394</f>
        <v/>
      </c>
      <c r="C3394">
        <f>IF(3391&gt;$B$4503,"",MATCH(3391-0.5,$B$3:$B$4503,1))</f>
        <v/>
      </c>
      <c r="D3394">
        <f>"CAQH re-attestation – "&amp;IF(LEN(INDEX('Providers'!$A$4:$A$503,391))=0,"",INDEX('Providers'!$A$4:$A$503,391))</f>
        <v/>
      </c>
      <c r="E3394">
        <f>IF(ISNUMBER(INDEX('Providers'!$W$4:$W$503,391)),TEXT(INDEX('Providers'!$W$4:$W$503,391),"yyyy-mm-dd"),"")</f>
        <v/>
      </c>
      <c r="F3394">
        <f>"Credentialing"</f>
        <v/>
      </c>
      <c r="G3394">
        <f>IF(ISNUMBER(INDEX('Providers'!$U$4:$U$503,391)),TEXT(INDEX('Providers'!$U$4:$U$503,391),"yyyy-mm-dd"),"")</f>
        <v/>
      </c>
      <c r="H3394">
        <f>"High"</f>
        <v/>
      </c>
      <c r="I3394">
        <f>TRIM(IF(LEN(IF(LEN(INDEX('Providers'!$T$4:$T$503,391))=0,"",INDEX('Providers'!$T$4:$T$503,391)))=0,"","CAQH ID: "&amp;IF(LEN(INDEX('Providers'!$T$4:$T$503,391))=0,"",INDEX('Providers'!$T$4:$T$503,391))&amp;". ")&amp;IF(LEN(IF(ISNUMBER(INDEX('Providers'!$U$4:$U$503,391)),TEXT(INDEX('Providers'!$U$4:$U$503,391),"yyyy-mm-dd"),""))=0,"","Last attested: "&amp;IF(ISNUMBER(INDEX('Providers'!$U$4:$U$503,391)),TEXT(INDEX('Providers'!$U$4:$U$503,391),"yyyy-mm-dd"),"")&amp;". "))</f>
        <v/>
      </c>
      <c r="J3394">
        <f>IF(LEN(INDEX('Providers'!$AJ$4:$AJ$503,391))=0,"",INDEX('Providers'!$AJ$4:$AJ$503,391))</f>
        <v/>
      </c>
      <c r="K3394">
        <f>IF(LEN(INDEX('Providers'!$AI$4:$AI$503,391))=0,"",INDEX('Providers'!$AI$4:$AI$503,391))</f>
        <v/>
      </c>
    </row>
    <row r="3395">
      <c r="A3395">
        <f>IF(AND(LEN('Providers'!A395)&gt;0,ISNUMBER('Providers'!W395)),1,0)</f>
        <v/>
      </c>
      <c r="B3395">
        <f>B3394+A3395</f>
        <v/>
      </c>
      <c r="C3395">
        <f>IF(3392&gt;$B$4503,"",MATCH(3392-0.5,$B$3:$B$4503,1))</f>
        <v/>
      </c>
      <c r="D3395">
        <f>"CAQH re-attestation – "&amp;IF(LEN(INDEX('Providers'!$A$4:$A$503,392))=0,"",INDEX('Providers'!$A$4:$A$503,392))</f>
        <v/>
      </c>
      <c r="E3395">
        <f>IF(ISNUMBER(INDEX('Providers'!$W$4:$W$503,392)),TEXT(INDEX('Providers'!$W$4:$W$503,392),"yyyy-mm-dd"),"")</f>
        <v/>
      </c>
      <c r="F3395">
        <f>"Credentialing"</f>
        <v/>
      </c>
      <c r="G3395">
        <f>IF(ISNUMBER(INDEX('Providers'!$U$4:$U$503,392)),TEXT(INDEX('Providers'!$U$4:$U$503,392),"yyyy-mm-dd"),"")</f>
        <v/>
      </c>
      <c r="H3395">
        <f>"High"</f>
        <v/>
      </c>
      <c r="I3395">
        <f>TRIM(IF(LEN(IF(LEN(INDEX('Providers'!$T$4:$T$503,392))=0,"",INDEX('Providers'!$T$4:$T$503,392)))=0,"","CAQH ID: "&amp;IF(LEN(INDEX('Providers'!$T$4:$T$503,392))=0,"",INDEX('Providers'!$T$4:$T$503,392))&amp;". ")&amp;IF(LEN(IF(ISNUMBER(INDEX('Providers'!$U$4:$U$503,392)),TEXT(INDEX('Providers'!$U$4:$U$503,392),"yyyy-mm-dd"),""))=0,"","Last attested: "&amp;IF(ISNUMBER(INDEX('Providers'!$U$4:$U$503,392)),TEXT(INDEX('Providers'!$U$4:$U$503,392),"yyyy-mm-dd"),"")&amp;". "))</f>
        <v/>
      </c>
      <c r="J3395">
        <f>IF(LEN(INDEX('Providers'!$AJ$4:$AJ$503,392))=0,"",INDEX('Providers'!$AJ$4:$AJ$503,392))</f>
        <v/>
      </c>
      <c r="K3395">
        <f>IF(LEN(INDEX('Providers'!$AI$4:$AI$503,392))=0,"",INDEX('Providers'!$AI$4:$AI$503,392))</f>
        <v/>
      </c>
    </row>
    <row r="3396">
      <c r="A3396">
        <f>IF(AND(LEN('Providers'!A396)&gt;0,ISNUMBER('Providers'!W396)),1,0)</f>
        <v/>
      </c>
      <c r="B3396">
        <f>B3395+A3396</f>
        <v/>
      </c>
      <c r="C3396">
        <f>IF(3393&gt;$B$4503,"",MATCH(3393-0.5,$B$3:$B$4503,1))</f>
        <v/>
      </c>
      <c r="D3396">
        <f>"CAQH re-attestation – "&amp;IF(LEN(INDEX('Providers'!$A$4:$A$503,393))=0,"",INDEX('Providers'!$A$4:$A$503,393))</f>
        <v/>
      </c>
      <c r="E3396">
        <f>IF(ISNUMBER(INDEX('Providers'!$W$4:$W$503,393)),TEXT(INDEX('Providers'!$W$4:$W$503,393),"yyyy-mm-dd"),"")</f>
        <v/>
      </c>
      <c r="F3396">
        <f>"Credentialing"</f>
        <v/>
      </c>
      <c r="G3396">
        <f>IF(ISNUMBER(INDEX('Providers'!$U$4:$U$503,393)),TEXT(INDEX('Providers'!$U$4:$U$503,393),"yyyy-mm-dd"),"")</f>
        <v/>
      </c>
      <c r="H3396">
        <f>"High"</f>
        <v/>
      </c>
      <c r="I3396">
        <f>TRIM(IF(LEN(IF(LEN(INDEX('Providers'!$T$4:$T$503,393))=0,"",INDEX('Providers'!$T$4:$T$503,393)))=0,"","CAQH ID: "&amp;IF(LEN(INDEX('Providers'!$T$4:$T$503,393))=0,"",INDEX('Providers'!$T$4:$T$503,393))&amp;". ")&amp;IF(LEN(IF(ISNUMBER(INDEX('Providers'!$U$4:$U$503,393)),TEXT(INDEX('Providers'!$U$4:$U$503,393),"yyyy-mm-dd"),""))=0,"","Last attested: "&amp;IF(ISNUMBER(INDEX('Providers'!$U$4:$U$503,393)),TEXT(INDEX('Providers'!$U$4:$U$503,393),"yyyy-mm-dd"),"")&amp;". "))</f>
        <v/>
      </c>
      <c r="J3396">
        <f>IF(LEN(INDEX('Providers'!$AJ$4:$AJ$503,393))=0,"",INDEX('Providers'!$AJ$4:$AJ$503,393))</f>
        <v/>
      </c>
      <c r="K3396">
        <f>IF(LEN(INDEX('Providers'!$AI$4:$AI$503,393))=0,"",INDEX('Providers'!$AI$4:$AI$503,393))</f>
        <v/>
      </c>
    </row>
    <row r="3397">
      <c r="A3397">
        <f>IF(AND(LEN('Providers'!A397)&gt;0,ISNUMBER('Providers'!W397)),1,0)</f>
        <v/>
      </c>
      <c r="B3397">
        <f>B3396+A3397</f>
        <v/>
      </c>
      <c r="C3397">
        <f>IF(3394&gt;$B$4503,"",MATCH(3394-0.5,$B$3:$B$4503,1))</f>
        <v/>
      </c>
      <c r="D3397">
        <f>"CAQH re-attestation – "&amp;IF(LEN(INDEX('Providers'!$A$4:$A$503,394))=0,"",INDEX('Providers'!$A$4:$A$503,394))</f>
        <v/>
      </c>
      <c r="E3397">
        <f>IF(ISNUMBER(INDEX('Providers'!$W$4:$W$503,394)),TEXT(INDEX('Providers'!$W$4:$W$503,394),"yyyy-mm-dd"),"")</f>
        <v/>
      </c>
      <c r="F3397">
        <f>"Credentialing"</f>
        <v/>
      </c>
      <c r="G3397">
        <f>IF(ISNUMBER(INDEX('Providers'!$U$4:$U$503,394)),TEXT(INDEX('Providers'!$U$4:$U$503,394),"yyyy-mm-dd"),"")</f>
        <v/>
      </c>
      <c r="H3397">
        <f>"High"</f>
        <v/>
      </c>
      <c r="I3397">
        <f>TRIM(IF(LEN(IF(LEN(INDEX('Providers'!$T$4:$T$503,394))=0,"",INDEX('Providers'!$T$4:$T$503,394)))=0,"","CAQH ID: "&amp;IF(LEN(INDEX('Providers'!$T$4:$T$503,394))=0,"",INDEX('Providers'!$T$4:$T$503,394))&amp;". ")&amp;IF(LEN(IF(ISNUMBER(INDEX('Providers'!$U$4:$U$503,394)),TEXT(INDEX('Providers'!$U$4:$U$503,394),"yyyy-mm-dd"),""))=0,"","Last attested: "&amp;IF(ISNUMBER(INDEX('Providers'!$U$4:$U$503,394)),TEXT(INDEX('Providers'!$U$4:$U$503,394),"yyyy-mm-dd"),"")&amp;". "))</f>
        <v/>
      </c>
      <c r="J3397">
        <f>IF(LEN(INDEX('Providers'!$AJ$4:$AJ$503,394))=0,"",INDEX('Providers'!$AJ$4:$AJ$503,394))</f>
        <v/>
      </c>
      <c r="K3397">
        <f>IF(LEN(INDEX('Providers'!$AI$4:$AI$503,394))=0,"",INDEX('Providers'!$AI$4:$AI$503,394))</f>
        <v/>
      </c>
    </row>
    <row r="3398">
      <c r="A3398">
        <f>IF(AND(LEN('Providers'!A398)&gt;0,ISNUMBER('Providers'!W398)),1,0)</f>
        <v/>
      </c>
      <c r="B3398">
        <f>B3397+A3398</f>
        <v/>
      </c>
      <c r="C3398">
        <f>IF(3395&gt;$B$4503,"",MATCH(3395-0.5,$B$3:$B$4503,1))</f>
        <v/>
      </c>
      <c r="D3398">
        <f>"CAQH re-attestation – "&amp;IF(LEN(INDEX('Providers'!$A$4:$A$503,395))=0,"",INDEX('Providers'!$A$4:$A$503,395))</f>
        <v/>
      </c>
      <c r="E3398">
        <f>IF(ISNUMBER(INDEX('Providers'!$W$4:$W$503,395)),TEXT(INDEX('Providers'!$W$4:$W$503,395),"yyyy-mm-dd"),"")</f>
        <v/>
      </c>
      <c r="F3398">
        <f>"Credentialing"</f>
        <v/>
      </c>
      <c r="G3398">
        <f>IF(ISNUMBER(INDEX('Providers'!$U$4:$U$503,395)),TEXT(INDEX('Providers'!$U$4:$U$503,395),"yyyy-mm-dd"),"")</f>
        <v/>
      </c>
      <c r="H3398">
        <f>"High"</f>
        <v/>
      </c>
      <c r="I3398">
        <f>TRIM(IF(LEN(IF(LEN(INDEX('Providers'!$T$4:$T$503,395))=0,"",INDEX('Providers'!$T$4:$T$503,395)))=0,"","CAQH ID: "&amp;IF(LEN(INDEX('Providers'!$T$4:$T$503,395))=0,"",INDEX('Providers'!$T$4:$T$503,395))&amp;". ")&amp;IF(LEN(IF(ISNUMBER(INDEX('Providers'!$U$4:$U$503,395)),TEXT(INDEX('Providers'!$U$4:$U$503,395),"yyyy-mm-dd"),""))=0,"","Last attested: "&amp;IF(ISNUMBER(INDEX('Providers'!$U$4:$U$503,395)),TEXT(INDEX('Providers'!$U$4:$U$503,395),"yyyy-mm-dd"),"")&amp;". "))</f>
        <v/>
      </c>
      <c r="J3398">
        <f>IF(LEN(INDEX('Providers'!$AJ$4:$AJ$503,395))=0,"",INDEX('Providers'!$AJ$4:$AJ$503,395))</f>
        <v/>
      </c>
      <c r="K3398">
        <f>IF(LEN(INDEX('Providers'!$AI$4:$AI$503,395))=0,"",INDEX('Providers'!$AI$4:$AI$503,395))</f>
        <v/>
      </c>
    </row>
    <row r="3399">
      <c r="A3399">
        <f>IF(AND(LEN('Providers'!A399)&gt;0,ISNUMBER('Providers'!W399)),1,0)</f>
        <v/>
      </c>
      <c r="B3399">
        <f>B3398+A3399</f>
        <v/>
      </c>
      <c r="C3399">
        <f>IF(3396&gt;$B$4503,"",MATCH(3396-0.5,$B$3:$B$4503,1))</f>
        <v/>
      </c>
      <c r="D3399">
        <f>"CAQH re-attestation – "&amp;IF(LEN(INDEX('Providers'!$A$4:$A$503,396))=0,"",INDEX('Providers'!$A$4:$A$503,396))</f>
        <v/>
      </c>
      <c r="E3399">
        <f>IF(ISNUMBER(INDEX('Providers'!$W$4:$W$503,396)),TEXT(INDEX('Providers'!$W$4:$W$503,396),"yyyy-mm-dd"),"")</f>
        <v/>
      </c>
      <c r="F3399">
        <f>"Credentialing"</f>
        <v/>
      </c>
      <c r="G3399">
        <f>IF(ISNUMBER(INDEX('Providers'!$U$4:$U$503,396)),TEXT(INDEX('Providers'!$U$4:$U$503,396),"yyyy-mm-dd"),"")</f>
        <v/>
      </c>
      <c r="H3399">
        <f>"High"</f>
        <v/>
      </c>
      <c r="I3399">
        <f>TRIM(IF(LEN(IF(LEN(INDEX('Providers'!$T$4:$T$503,396))=0,"",INDEX('Providers'!$T$4:$T$503,396)))=0,"","CAQH ID: "&amp;IF(LEN(INDEX('Providers'!$T$4:$T$503,396))=0,"",INDEX('Providers'!$T$4:$T$503,396))&amp;". ")&amp;IF(LEN(IF(ISNUMBER(INDEX('Providers'!$U$4:$U$503,396)),TEXT(INDEX('Providers'!$U$4:$U$503,396),"yyyy-mm-dd"),""))=0,"","Last attested: "&amp;IF(ISNUMBER(INDEX('Providers'!$U$4:$U$503,396)),TEXT(INDEX('Providers'!$U$4:$U$503,396),"yyyy-mm-dd"),"")&amp;". "))</f>
        <v/>
      </c>
      <c r="J3399">
        <f>IF(LEN(INDEX('Providers'!$AJ$4:$AJ$503,396))=0,"",INDEX('Providers'!$AJ$4:$AJ$503,396))</f>
        <v/>
      </c>
      <c r="K3399">
        <f>IF(LEN(INDEX('Providers'!$AI$4:$AI$503,396))=0,"",INDEX('Providers'!$AI$4:$AI$503,396))</f>
        <v/>
      </c>
    </row>
    <row r="3400">
      <c r="A3400">
        <f>IF(AND(LEN('Providers'!A400)&gt;0,ISNUMBER('Providers'!W400)),1,0)</f>
        <v/>
      </c>
      <c r="B3400">
        <f>B3399+A3400</f>
        <v/>
      </c>
      <c r="C3400">
        <f>IF(3397&gt;$B$4503,"",MATCH(3397-0.5,$B$3:$B$4503,1))</f>
        <v/>
      </c>
      <c r="D3400">
        <f>"CAQH re-attestation – "&amp;IF(LEN(INDEX('Providers'!$A$4:$A$503,397))=0,"",INDEX('Providers'!$A$4:$A$503,397))</f>
        <v/>
      </c>
      <c r="E3400">
        <f>IF(ISNUMBER(INDEX('Providers'!$W$4:$W$503,397)),TEXT(INDEX('Providers'!$W$4:$W$503,397),"yyyy-mm-dd"),"")</f>
        <v/>
      </c>
      <c r="F3400">
        <f>"Credentialing"</f>
        <v/>
      </c>
      <c r="G3400">
        <f>IF(ISNUMBER(INDEX('Providers'!$U$4:$U$503,397)),TEXT(INDEX('Providers'!$U$4:$U$503,397),"yyyy-mm-dd"),"")</f>
        <v/>
      </c>
      <c r="H3400">
        <f>"High"</f>
        <v/>
      </c>
      <c r="I3400">
        <f>TRIM(IF(LEN(IF(LEN(INDEX('Providers'!$T$4:$T$503,397))=0,"",INDEX('Providers'!$T$4:$T$503,397)))=0,"","CAQH ID: "&amp;IF(LEN(INDEX('Providers'!$T$4:$T$503,397))=0,"",INDEX('Providers'!$T$4:$T$503,397))&amp;". ")&amp;IF(LEN(IF(ISNUMBER(INDEX('Providers'!$U$4:$U$503,397)),TEXT(INDEX('Providers'!$U$4:$U$503,397),"yyyy-mm-dd"),""))=0,"","Last attested: "&amp;IF(ISNUMBER(INDEX('Providers'!$U$4:$U$503,397)),TEXT(INDEX('Providers'!$U$4:$U$503,397),"yyyy-mm-dd"),"")&amp;". "))</f>
        <v/>
      </c>
      <c r="J3400">
        <f>IF(LEN(INDEX('Providers'!$AJ$4:$AJ$503,397))=0,"",INDEX('Providers'!$AJ$4:$AJ$503,397))</f>
        <v/>
      </c>
      <c r="K3400">
        <f>IF(LEN(INDEX('Providers'!$AI$4:$AI$503,397))=0,"",INDEX('Providers'!$AI$4:$AI$503,397))</f>
        <v/>
      </c>
    </row>
    <row r="3401">
      <c r="A3401">
        <f>IF(AND(LEN('Providers'!A401)&gt;0,ISNUMBER('Providers'!W401)),1,0)</f>
        <v/>
      </c>
      <c r="B3401">
        <f>B3400+A3401</f>
        <v/>
      </c>
      <c r="C3401">
        <f>IF(3398&gt;$B$4503,"",MATCH(3398-0.5,$B$3:$B$4503,1))</f>
        <v/>
      </c>
      <c r="D3401">
        <f>"CAQH re-attestation – "&amp;IF(LEN(INDEX('Providers'!$A$4:$A$503,398))=0,"",INDEX('Providers'!$A$4:$A$503,398))</f>
        <v/>
      </c>
      <c r="E3401">
        <f>IF(ISNUMBER(INDEX('Providers'!$W$4:$W$503,398)),TEXT(INDEX('Providers'!$W$4:$W$503,398),"yyyy-mm-dd"),"")</f>
        <v/>
      </c>
      <c r="F3401">
        <f>"Credentialing"</f>
        <v/>
      </c>
      <c r="G3401">
        <f>IF(ISNUMBER(INDEX('Providers'!$U$4:$U$503,398)),TEXT(INDEX('Providers'!$U$4:$U$503,398),"yyyy-mm-dd"),"")</f>
        <v/>
      </c>
      <c r="H3401">
        <f>"High"</f>
        <v/>
      </c>
      <c r="I3401">
        <f>TRIM(IF(LEN(IF(LEN(INDEX('Providers'!$T$4:$T$503,398))=0,"",INDEX('Providers'!$T$4:$T$503,398)))=0,"","CAQH ID: "&amp;IF(LEN(INDEX('Providers'!$T$4:$T$503,398))=0,"",INDEX('Providers'!$T$4:$T$503,398))&amp;". ")&amp;IF(LEN(IF(ISNUMBER(INDEX('Providers'!$U$4:$U$503,398)),TEXT(INDEX('Providers'!$U$4:$U$503,398),"yyyy-mm-dd"),""))=0,"","Last attested: "&amp;IF(ISNUMBER(INDEX('Providers'!$U$4:$U$503,398)),TEXT(INDEX('Providers'!$U$4:$U$503,398),"yyyy-mm-dd"),"")&amp;". "))</f>
        <v/>
      </c>
      <c r="J3401">
        <f>IF(LEN(INDEX('Providers'!$AJ$4:$AJ$503,398))=0,"",INDEX('Providers'!$AJ$4:$AJ$503,398))</f>
        <v/>
      </c>
      <c r="K3401">
        <f>IF(LEN(INDEX('Providers'!$AI$4:$AI$503,398))=0,"",INDEX('Providers'!$AI$4:$AI$503,398))</f>
        <v/>
      </c>
    </row>
    <row r="3402">
      <c r="A3402">
        <f>IF(AND(LEN('Providers'!A402)&gt;0,ISNUMBER('Providers'!W402)),1,0)</f>
        <v/>
      </c>
      <c r="B3402">
        <f>B3401+A3402</f>
        <v/>
      </c>
      <c r="C3402">
        <f>IF(3399&gt;$B$4503,"",MATCH(3399-0.5,$B$3:$B$4503,1))</f>
        <v/>
      </c>
      <c r="D3402">
        <f>"CAQH re-attestation – "&amp;IF(LEN(INDEX('Providers'!$A$4:$A$503,399))=0,"",INDEX('Providers'!$A$4:$A$503,399))</f>
        <v/>
      </c>
      <c r="E3402">
        <f>IF(ISNUMBER(INDEX('Providers'!$W$4:$W$503,399)),TEXT(INDEX('Providers'!$W$4:$W$503,399),"yyyy-mm-dd"),"")</f>
        <v/>
      </c>
      <c r="F3402">
        <f>"Credentialing"</f>
        <v/>
      </c>
      <c r="G3402">
        <f>IF(ISNUMBER(INDEX('Providers'!$U$4:$U$503,399)),TEXT(INDEX('Providers'!$U$4:$U$503,399),"yyyy-mm-dd"),"")</f>
        <v/>
      </c>
      <c r="H3402">
        <f>"High"</f>
        <v/>
      </c>
      <c r="I3402">
        <f>TRIM(IF(LEN(IF(LEN(INDEX('Providers'!$T$4:$T$503,399))=0,"",INDEX('Providers'!$T$4:$T$503,399)))=0,"","CAQH ID: "&amp;IF(LEN(INDEX('Providers'!$T$4:$T$503,399))=0,"",INDEX('Providers'!$T$4:$T$503,399))&amp;". ")&amp;IF(LEN(IF(ISNUMBER(INDEX('Providers'!$U$4:$U$503,399)),TEXT(INDEX('Providers'!$U$4:$U$503,399),"yyyy-mm-dd"),""))=0,"","Last attested: "&amp;IF(ISNUMBER(INDEX('Providers'!$U$4:$U$503,399)),TEXT(INDEX('Providers'!$U$4:$U$503,399),"yyyy-mm-dd"),"")&amp;". "))</f>
        <v/>
      </c>
      <c r="J3402">
        <f>IF(LEN(INDEX('Providers'!$AJ$4:$AJ$503,399))=0,"",INDEX('Providers'!$AJ$4:$AJ$503,399))</f>
        <v/>
      </c>
      <c r="K3402">
        <f>IF(LEN(INDEX('Providers'!$AI$4:$AI$503,399))=0,"",INDEX('Providers'!$AI$4:$AI$503,399))</f>
        <v/>
      </c>
    </row>
    <row r="3403">
      <c r="A3403">
        <f>IF(AND(LEN('Providers'!A403)&gt;0,ISNUMBER('Providers'!W403)),1,0)</f>
        <v/>
      </c>
      <c r="B3403">
        <f>B3402+A3403</f>
        <v/>
      </c>
      <c r="C3403">
        <f>IF(3400&gt;$B$4503,"",MATCH(3400-0.5,$B$3:$B$4503,1))</f>
        <v/>
      </c>
      <c r="D3403">
        <f>"CAQH re-attestation – "&amp;IF(LEN(INDEX('Providers'!$A$4:$A$503,400))=0,"",INDEX('Providers'!$A$4:$A$503,400))</f>
        <v/>
      </c>
      <c r="E3403">
        <f>IF(ISNUMBER(INDEX('Providers'!$W$4:$W$503,400)),TEXT(INDEX('Providers'!$W$4:$W$503,400),"yyyy-mm-dd"),"")</f>
        <v/>
      </c>
      <c r="F3403">
        <f>"Credentialing"</f>
        <v/>
      </c>
      <c r="G3403">
        <f>IF(ISNUMBER(INDEX('Providers'!$U$4:$U$503,400)),TEXT(INDEX('Providers'!$U$4:$U$503,400),"yyyy-mm-dd"),"")</f>
        <v/>
      </c>
      <c r="H3403">
        <f>"High"</f>
        <v/>
      </c>
      <c r="I3403">
        <f>TRIM(IF(LEN(IF(LEN(INDEX('Providers'!$T$4:$T$503,400))=0,"",INDEX('Providers'!$T$4:$T$503,400)))=0,"","CAQH ID: "&amp;IF(LEN(INDEX('Providers'!$T$4:$T$503,400))=0,"",INDEX('Providers'!$T$4:$T$503,400))&amp;". ")&amp;IF(LEN(IF(ISNUMBER(INDEX('Providers'!$U$4:$U$503,400)),TEXT(INDEX('Providers'!$U$4:$U$503,400),"yyyy-mm-dd"),""))=0,"","Last attested: "&amp;IF(ISNUMBER(INDEX('Providers'!$U$4:$U$503,400)),TEXT(INDEX('Providers'!$U$4:$U$503,400),"yyyy-mm-dd"),"")&amp;". "))</f>
        <v/>
      </c>
      <c r="J3403">
        <f>IF(LEN(INDEX('Providers'!$AJ$4:$AJ$503,400))=0,"",INDEX('Providers'!$AJ$4:$AJ$503,400))</f>
        <v/>
      </c>
      <c r="K3403">
        <f>IF(LEN(INDEX('Providers'!$AI$4:$AI$503,400))=0,"",INDEX('Providers'!$AI$4:$AI$503,400))</f>
        <v/>
      </c>
    </row>
    <row r="3404">
      <c r="A3404">
        <f>IF(AND(LEN('Providers'!A404)&gt;0,ISNUMBER('Providers'!W404)),1,0)</f>
        <v/>
      </c>
      <c r="B3404">
        <f>B3403+A3404</f>
        <v/>
      </c>
      <c r="C3404">
        <f>IF(3401&gt;$B$4503,"",MATCH(3401-0.5,$B$3:$B$4503,1))</f>
        <v/>
      </c>
      <c r="D3404">
        <f>"CAQH re-attestation – "&amp;IF(LEN(INDEX('Providers'!$A$4:$A$503,401))=0,"",INDEX('Providers'!$A$4:$A$503,401))</f>
        <v/>
      </c>
      <c r="E3404">
        <f>IF(ISNUMBER(INDEX('Providers'!$W$4:$W$503,401)),TEXT(INDEX('Providers'!$W$4:$W$503,401),"yyyy-mm-dd"),"")</f>
        <v/>
      </c>
      <c r="F3404">
        <f>"Credentialing"</f>
        <v/>
      </c>
      <c r="G3404">
        <f>IF(ISNUMBER(INDEX('Providers'!$U$4:$U$503,401)),TEXT(INDEX('Providers'!$U$4:$U$503,401),"yyyy-mm-dd"),"")</f>
        <v/>
      </c>
      <c r="H3404">
        <f>"High"</f>
        <v/>
      </c>
      <c r="I3404">
        <f>TRIM(IF(LEN(IF(LEN(INDEX('Providers'!$T$4:$T$503,401))=0,"",INDEX('Providers'!$T$4:$T$503,401)))=0,"","CAQH ID: "&amp;IF(LEN(INDEX('Providers'!$T$4:$T$503,401))=0,"",INDEX('Providers'!$T$4:$T$503,401))&amp;". ")&amp;IF(LEN(IF(ISNUMBER(INDEX('Providers'!$U$4:$U$503,401)),TEXT(INDEX('Providers'!$U$4:$U$503,401),"yyyy-mm-dd"),""))=0,"","Last attested: "&amp;IF(ISNUMBER(INDEX('Providers'!$U$4:$U$503,401)),TEXT(INDEX('Providers'!$U$4:$U$503,401),"yyyy-mm-dd"),"")&amp;". "))</f>
        <v/>
      </c>
      <c r="J3404">
        <f>IF(LEN(INDEX('Providers'!$AJ$4:$AJ$503,401))=0,"",INDEX('Providers'!$AJ$4:$AJ$503,401))</f>
        <v/>
      </c>
      <c r="K3404">
        <f>IF(LEN(INDEX('Providers'!$AI$4:$AI$503,401))=0,"",INDEX('Providers'!$AI$4:$AI$503,401))</f>
        <v/>
      </c>
    </row>
    <row r="3405">
      <c r="A3405">
        <f>IF(AND(LEN('Providers'!A405)&gt;0,ISNUMBER('Providers'!W405)),1,0)</f>
        <v/>
      </c>
      <c r="B3405">
        <f>B3404+A3405</f>
        <v/>
      </c>
      <c r="C3405">
        <f>IF(3402&gt;$B$4503,"",MATCH(3402-0.5,$B$3:$B$4503,1))</f>
        <v/>
      </c>
      <c r="D3405">
        <f>"CAQH re-attestation – "&amp;IF(LEN(INDEX('Providers'!$A$4:$A$503,402))=0,"",INDEX('Providers'!$A$4:$A$503,402))</f>
        <v/>
      </c>
      <c r="E3405">
        <f>IF(ISNUMBER(INDEX('Providers'!$W$4:$W$503,402)),TEXT(INDEX('Providers'!$W$4:$W$503,402),"yyyy-mm-dd"),"")</f>
        <v/>
      </c>
      <c r="F3405">
        <f>"Credentialing"</f>
        <v/>
      </c>
      <c r="G3405">
        <f>IF(ISNUMBER(INDEX('Providers'!$U$4:$U$503,402)),TEXT(INDEX('Providers'!$U$4:$U$503,402),"yyyy-mm-dd"),"")</f>
        <v/>
      </c>
      <c r="H3405">
        <f>"High"</f>
        <v/>
      </c>
      <c r="I3405">
        <f>TRIM(IF(LEN(IF(LEN(INDEX('Providers'!$T$4:$T$503,402))=0,"",INDEX('Providers'!$T$4:$T$503,402)))=0,"","CAQH ID: "&amp;IF(LEN(INDEX('Providers'!$T$4:$T$503,402))=0,"",INDEX('Providers'!$T$4:$T$503,402))&amp;". ")&amp;IF(LEN(IF(ISNUMBER(INDEX('Providers'!$U$4:$U$503,402)),TEXT(INDEX('Providers'!$U$4:$U$503,402),"yyyy-mm-dd"),""))=0,"","Last attested: "&amp;IF(ISNUMBER(INDEX('Providers'!$U$4:$U$503,402)),TEXT(INDEX('Providers'!$U$4:$U$503,402),"yyyy-mm-dd"),"")&amp;". "))</f>
        <v/>
      </c>
      <c r="J3405">
        <f>IF(LEN(INDEX('Providers'!$AJ$4:$AJ$503,402))=0,"",INDEX('Providers'!$AJ$4:$AJ$503,402))</f>
        <v/>
      </c>
      <c r="K3405">
        <f>IF(LEN(INDEX('Providers'!$AI$4:$AI$503,402))=0,"",INDEX('Providers'!$AI$4:$AI$503,402))</f>
        <v/>
      </c>
    </row>
    <row r="3406">
      <c r="A3406">
        <f>IF(AND(LEN('Providers'!A406)&gt;0,ISNUMBER('Providers'!W406)),1,0)</f>
        <v/>
      </c>
      <c r="B3406">
        <f>B3405+A3406</f>
        <v/>
      </c>
      <c r="C3406">
        <f>IF(3403&gt;$B$4503,"",MATCH(3403-0.5,$B$3:$B$4503,1))</f>
        <v/>
      </c>
      <c r="D3406">
        <f>"CAQH re-attestation – "&amp;IF(LEN(INDEX('Providers'!$A$4:$A$503,403))=0,"",INDEX('Providers'!$A$4:$A$503,403))</f>
        <v/>
      </c>
      <c r="E3406">
        <f>IF(ISNUMBER(INDEX('Providers'!$W$4:$W$503,403)),TEXT(INDEX('Providers'!$W$4:$W$503,403),"yyyy-mm-dd"),"")</f>
        <v/>
      </c>
      <c r="F3406">
        <f>"Credentialing"</f>
        <v/>
      </c>
      <c r="G3406">
        <f>IF(ISNUMBER(INDEX('Providers'!$U$4:$U$503,403)),TEXT(INDEX('Providers'!$U$4:$U$503,403),"yyyy-mm-dd"),"")</f>
        <v/>
      </c>
      <c r="H3406">
        <f>"High"</f>
        <v/>
      </c>
      <c r="I3406">
        <f>TRIM(IF(LEN(IF(LEN(INDEX('Providers'!$T$4:$T$503,403))=0,"",INDEX('Providers'!$T$4:$T$503,403)))=0,"","CAQH ID: "&amp;IF(LEN(INDEX('Providers'!$T$4:$T$503,403))=0,"",INDEX('Providers'!$T$4:$T$503,403))&amp;". ")&amp;IF(LEN(IF(ISNUMBER(INDEX('Providers'!$U$4:$U$503,403)),TEXT(INDEX('Providers'!$U$4:$U$503,403),"yyyy-mm-dd"),""))=0,"","Last attested: "&amp;IF(ISNUMBER(INDEX('Providers'!$U$4:$U$503,403)),TEXT(INDEX('Providers'!$U$4:$U$503,403),"yyyy-mm-dd"),"")&amp;". "))</f>
        <v/>
      </c>
      <c r="J3406">
        <f>IF(LEN(INDEX('Providers'!$AJ$4:$AJ$503,403))=0,"",INDEX('Providers'!$AJ$4:$AJ$503,403))</f>
        <v/>
      </c>
      <c r="K3406">
        <f>IF(LEN(INDEX('Providers'!$AI$4:$AI$503,403))=0,"",INDEX('Providers'!$AI$4:$AI$503,403))</f>
        <v/>
      </c>
    </row>
    <row r="3407">
      <c r="A3407">
        <f>IF(AND(LEN('Providers'!A407)&gt;0,ISNUMBER('Providers'!W407)),1,0)</f>
        <v/>
      </c>
      <c r="B3407">
        <f>B3406+A3407</f>
        <v/>
      </c>
      <c r="C3407">
        <f>IF(3404&gt;$B$4503,"",MATCH(3404-0.5,$B$3:$B$4503,1))</f>
        <v/>
      </c>
      <c r="D3407">
        <f>"CAQH re-attestation – "&amp;IF(LEN(INDEX('Providers'!$A$4:$A$503,404))=0,"",INDEX('Providers'!$A$4:$A$503,404))</f>
        <v/>
      </c>
      <c r="E3407">
        <f>IF(ISNUMBER(INDEX('Providers'!$W$4:$W$503,404)),TEXT(INDEX('Providers'!$W$4:$W$503,404),"yyyy-mm-dd"),"")</f>
        <v/>
      </c>
      <c r="F3407">
        <f>"Credentialing"</f>
        <v/>
      </c>
      <c r="G3407">
        <f>IF(ISNUMBER(INDEX('Providers'!$U$4:$U$503,404)),TEXT(INDEX('Providers'!$U$4:$U$503,404),"yyyy-mm-dd"),"")</f>
        <v/>
      </c>
      <c r="H3407">
        <f>"High"</f>
        <v/>
      </c>
      <c r="I3407">
        <f>TRIM(IF(LEN(IF(LEN(INDEX('Providers'!$T$4:$T$503,404))=0,"",INDEX('Providers'!$T$4:$T$503,404)))=0,"","CAQH ID: "&amp;IF(LEN(INDEX('Providers'!$T$4:$T$503,404))=0,"",INDEX('Providers'!$T$4:$T$503,404))&amp;". ")&amp;IF(LEN(IF(ISNUMBER(INDEX('Providers'!$U$4:$U$503,404)),TEXT(INDEX('Providers'!$U$4:$U$503,404),"yyyy-mm-dd"),""))=0,"","Last attested: "&amp;IF(ISNUMBER(INDEX('Providers'!$U$4:$U$503,404)),TEXT(INDEX('Providers'!$U$4:$U$503,404),"yyyy-mm-dd"),"")&amp;". "))</f>
        <v/>
      </c>
      <c r="J3407">
        <f>IF(LEN(INDEX('Providers'!$AJ$4:$AJ$503,404))=0,"",INDEX('Providers'!$AJ$4:$AJ$503,404))</f>
        <v/>
      </c>
      <c r="K3407">
        <f>IF(LEN(INDEX('Providers'!$AI$4:$AI$503,404))=0,"",INDEX('Providers'!$AI$4:$AI$503,404))</f>
        <v/>
      </c>
    </row>
    <row r="3408">
      <c r="A3408">
        <f>IF(AND(LEN('Providers'!A408)&gt;0,ISNUMBER('Providers'!W408)),1,0)</f>
        <v/>
      </c>
      <c r="B3408">
        <f>B3407+A3408</f>
        <v/>
      </c>
      <c r="C3408">
        <f>IF(3405&gt;$B$4503,"",MATCH(3405-0.5,$B$3:$B$4503,1))</f>
        <v/>
      </c>
      <c r="D3408">
        <f>"CAQH re-attestation – "&amp;IF(LEN(INDEX('Providers'!$A$4:$A$503,405))=0,"",INDEX('Providers'!$A$4:$A$503,405))</f>
        <v/>
      </c>
      <c r="E3408">
        <f>IF(ISNUMBER(INDEX('Providers'!$W$4:$W$503,405)),TEXT(INDEX('Providers'!$W$4:$W$503,405),"yyyy-mm-dd"),"")</f>
        <v/>
      </c>
      <c r="F3408">
        <f>"Credentialing"</f>
        <v/>
      </c>
      <c r="G3408">
        <f>IF(ISNUMBER(INDEX('Providers'!$U$4:$U$503,405)),TEXT(INDEX('Providers'!$U$4:$U$503,405),"yyyy-mm-dd"),"")</f>
        <v/>
      </c>
      <c r="H3408">
        <f>"High"</f>
        <v/>
      </c>
      <c r="I3408">
        <f>TRIM(IF(LEN(IF(LEN(INDEX('Providers'!$T$4:$T$503,405))=0,"",INDEX('Providers'!$T$4:$T$503,405)))=0,"","CAQH ID: "&amp;IF(LEN(INDEX('Providers'!$T$4:$T$503,405))=0,"",INDEX('Providers'!$T$4:$T$503,405))&amp;". ")&amp;IF(LEN(IF(ISNUMBER(INDEX('Providers'!$U$4:$U$503,405)),TEXT(INDEX('Providers'!$U$4:$U$503,405),"yyyy-mm-dd"),""))=0,"","Last attested: "&amp;IF(ISNUMBER(INDEX('Providers'!$U$4:$U$503,405)),TEXT(INDEX('Providers'!$U$4:$U$503,405),"yyyy-mm-dd"),"")&amp;". "))</f>
        <v/>
      </c>
      <c r="J3408">
        <f>IF(LEN(INDEX('Providers'!$AJ$4:$AJ$503,405))=0,"",INDEX('Providers'!$AJ$4:$AJ$503,405))</f>
        <v/>
      </c>
      <c r="K3408">
        <f>IF(LEN(INDEX('Providers'!$AI$4:$AI$503,405))=0,"",INDEX('Providers'!$AI$4:$AI$503,405))</f>
        <v/>
      </c>
    </row>
    <row r="3409">
      <c r="A3409">
        <f>IF(AND(LEN('Providers'!A409)&gt;0,ISNUMBER('Providers'!W409)),1,0)</f>
        <v/>
      </c>
      <c r="B3409">
        <f>B3408+A3409</f>
        <v/>
      </c>
      <c r="C3409">
        <f>IF(3406&gt;$B$4503,"",MATCH(3406-0.5,$B$3:$B$4503,1))</f>
        <v/>
      </c>
      <c r="D3409">
        <f>"CAQH re-attestation – "&amp;IF(LEN(INDEX('Providers'!$A$4:$A$503,406))=0,"",INDEX('Providers'!$A$4:$A$503,406))</f>
        <v/>
      </c>
      <c r="E3409">
        <f>IF(ISNUMBER(INDEX('Providers'!$W$4:$W$503,406)),TEXT(INDEX('Providers'!$W$4:$W$503,406),"yyyy-mm-dd"),"")</f>
        <v/>
      </c>
      <c r="F3409">
        <f>"Credentialing"</f>
        <v/>
      </c>
      <c r="G3409">
        <f>IF(ISNUMBER(INDEX('Providers'!$U$4:$U$503,406)),TEXT(INDEX('Providers'!$U$4:$U$503,406),"yyyy-mm-dd"),"")</f>
        <v/>
      </c>
      <c r="H3409">
        <f>"High"</f>
        <v/>
      </c>
      <c r="I3409">
        <f>TRIM(IF(LEN(IF(LEN(INDEX('Providers'!$T$4:$T$503,406))=0,"",INDEX('Providers'!$T$4:$T$503,406)))=0,"","CAQH ID: "&amp;IF(LEN(INDEX('Providers'!$T$4:$T$503,406))=0,"",INDEX('Providers'!$T$4:$T$503,406))&amp;". ")&amp;IF(LEN(IF(ISNUMBER(INDEX('Providers'!$U$4:$U$503,406)),TEXT(INDEX('Providers'!$U$4:$U$503,406),"yyyy-mm-dd"),""))=0,"","Last attested: "&amp;IF(ISNUMBER(INDEX('Providers'!$U$4:$U$503,406)),TEXT(INDEX('Providers'!$U$4:$U$503,406),"yyyy-mm-dd"),"")&amp;". "))</f>
        <v/>
      </c>
      <c r="J3409">
        <f>IF(LEN(INDEX('Providers'!$AJ$4:$AJ$503,406))=0,"",INDEX('Providers'!$AJ$4:$AJ$503,406))</f>
        <v/>
      </c>
      <c r="K3409">
        <f>IF(LEN(INDEX('Providers'!$AI$4:$AI$503,406))=0,"",INDEX('Providers'!$AI$4:$AI$503,406))</f>
        <v/>
      </c>
    </row>
    <row r="3410">
      <c r="A3410">
        <f>IF(AND(LEN('Providers'!A410)&gt;0,ISNUMBER('Providers'!W410)),1,0)</f>
        <v/>
      </c>
      <c r="B3410">
        <f>B3409+A3410</f>
        <v/>
      </c>
      <c r="C3410">
        <f>IF(3407&gt;$B$4503,"",MATCH(3407-0.5,$B$3:$B$4503,1))</f>
        <v/>
      </c>
      <c r="D3410">
        <f>"CAQH re-attestation – "&amp;IF(LEN(INDEX('Providers'!$A$4:$A$503,407))=0,"",INDEX('Providers'!$A$4:$A$503,407))</f>
        <v/>
      </c>
      <c r="E3410">
        <f>IF(ISNUMBER(INDEX('Providers'!$W$4:$W$503,407)),TEXT(INDEX('Providers'!$W$4:$W$503,407),"yyyy-mm-dd"),"")</f>
        <v/>
      </c>
      <c r="F3410">
        <f>"Credentialing"</f>
        <v/>
      </c>
      <c r="G3410">
        <f>IF(ISNUMBER(INDEX('Providers'!$U$4:$U$503,407)),TEXT(INDEX('Providers'!$U$4:$U$503,407),"yyyy-mm-dd"),"")</f>
        <v/>
      </c>
      <c r="H3410">
        <f>"High"</f>
        <v/>
      </c>
      <c r="I3410">
        <f>TRIM(IF(LEN(IF(LEN(INDEX('Providers'!$T$4:$T$503,407))=0,"",INDEX('Providers'!$T$4:$T$503,407)))=0,"","CAQH ID: "&amp;IF(LEN(INDEX('Providers'!$T$4:$T$503,407))=0,"",INDEX('Providers'!$T$4:$T$503,407))&amp;". ")&amp;IF(LEN(IF(ISNUMBER(INDEX('Providers'!$U$4:$U$503,407)),TEXT(INDEX('Providers'!$U$4:$U$503,407),"yyyy-mm-dd"),""))=0,"","Last attested: "&amp;IF(ISNUMBER(INDEX('Providers'!$U$4:$U$503,407)),TEXT(INDEX('Providers'!$U$4:$U$503,407),"yyyy-mm-dd"),"")&amp;". "))</f>
        <v/>
      </c>
      <c r="J3410">
        <f>IF(LEN(INDEX('Providers'!$AJ$4:$AJ$503,407))=0,"",INDEX('Providers'!$AJ$4:$AJ$503,407))</f>
        <v/>
      </c>
      <c r="K3410">
        <f>IF(LEN(INDEX('Providers'!$AI$4:$AI$503,407))=0,"",INDEX('Providers'!$AI$4:$AI$503,407))</f>
        <v/>
      </c>
    </row>
    <row r="3411">
      <c r="A3411">
        <f>IF(AND(LEN('Providers'!A411)&gt;0,ISNUMBER('Providers'!W411)),1,0)</f>
        <v/>
      </c>
      <c r="B3411">
        <f>B3410+A3411</f>
        <v/>
      </c>
      <c r="C3411">
        <f>IF(3408&gt;$B$4503,"",MATCH(3408-0.5,$B$3:$B$4503,1))</f>
        <v/>
      </c>
      <c r="D3411">
        <f>"CAQH re-attestation – "&amp;IF(LEN(INDEX('Providers'!$A$4:$A$503,408))=0,"",INDEX('Providers'!$A$4:$A$503,408))</f>
        <v/>
      </c>
      <c r="E3411">
        <f>IF(ISNUMBER(INDEX('Providers'!$W$4:$W$503,408)),TEXT(INDEX('Providers'!$W$4:$W$503,408),"yyyy-mm-dd"),"")</f>
        <v/>
      </c>
      <c r="F3411">
        <f>"Credentialing"</f>
        <v/>
      </c>
      <c r="G3411">
        <f>IF(ISNUMBER(INDEX('Providers'!$U$4:$U$503,408)),TEXT(INDEX('Providers'!$U$4:$U$503,408),"yyyy-mm-dd"),"")</f>
        <v/>
      </c>
      <c r="H3411">
        <f>"High"</f>
        <v/>
      </c>
      <c r="I3411">
        <f>TRIM(IF(LEN(IF(LEN(INDEX('Providers'!$T$4:$T$503,408))=0,"",INDEX('Providers'!$T$4:$T$503,408)))=0,"","CAQH ID: "&amp;IF(LEN(INDEX('Providers'!$T$4:$T$503,408))=0,"",INDEX('Providers'!$T$4:$T$503,408))&amp;". ")&amp;IF(LEN(IF(ISNUMBER(INDEX('Providers'!$U$4:$U$503,408)),TEXT(INDEX('Providers'!$U$4:$U$503,408),"yyyy-mm-dd"),""))=0,"","Last attested: "&amp;IF(ISNUMBER(INDEX('Providers'!$U$4:$U$503,408)),TEXT(INDEX('Providers'!$U$4:$U$503,408),"yyyy-mm-dd"),"")&amp;". "))</f>
        <v/>
      </c>
      <c r="J3411">
        <f>IF(LEN(INDEX('Providers'!$AJ$4:$AJ$503,408))=0,"",INDEX('Providers'!$AJ$4:$AJ$503,408))</f>
        <v/>
      </c>
      <c r="K3411">
        <f>IF(LEN(INDEX('Providers'!$AI$4:$AI$503,408))=0,"",INDEX('Providers'!$AI$4:$AI$503,408))</f>
        <v/>
      </c>
    </row>
    <row r="3412">
      <c r="A3412">
        <f>IF(AND(LEN('Providers'!A412)&gt;0,ISNUMBER('Providers'!W412)),1,0)</f>
        <v/>
      </c>
      <c r="B3412">
        <f>B3411+A3412</f>
        <v/>
      </c>
      <c r="C3412">
        <f>IF(3409&gt;$B$4503,"",MATCH(3409-0.5,$B$3:$B$4503,1))</f>
        <v/>
      </c>
      <c r="D3412">
        <f>"CAQH re-attestation – "&amp;IF(LEN(INDEX('Providers'!$A$4:$A$503,409))=0,"",INDEX('Providers'!$A$4:$A$503,409))</f>
        <v/>
      </c>
      <c r="E3412">
        <f>IF(ISNUMBER(INDEX('Providers'!$W$4:$W$503,409)),TEXT(INDEX('Providers'!$W$4:$W$503,409),"yyyy-mm-dd"),"")</f>
        <v/>
      </c>
      <c r="F3412">
        <f>"Credentialing"</f>
        <v/>
      </c>
      <c r="G3412">
        <f>IF(ISNUMBER(INDEX('Providers'!$U$4:$U$503,409)),TEXT(INDEX('Providers'!$U$4:$U$503,409),"yyyy-mm-dd"),"")</f>
        <v/>
      </c>
      <c r="H3412">
        <f>"High"</f>
        <v/>
      </c>
      <c r="I3412">
        <f>TRIM(IF(LEN(IF(LEN(INDEX('Providers'!$T$4:$T$503,409))=0,"",INDEX('Providers'!$T$4:$T$503,409)))=0,"","CAQH ID: "&amp;IF(LEN(INDEX('Providers'!$T$4:$T$503,409))=0,"",INDEX('Providers'!$T$4:$T$503,409))&amp;". ")&amp;IF(LEN(IF(ISNUMBER(INDEX('Providers'!$U$4:$U$503,409)),TEXT(INDEX('Providers'!$U$4:$U$503,409),"yyyy-mm-dd"),""))=0,"","Last attested: "&amp;IF(ISNUMBER(INDEX('Providers'!$U$4:$U$503,409)),TEXT(INDEX('Providers'!$U$4:$U$503,409),"yyyy-mm-dd"),"")&amp;". "))</f>
        <v/>
      </c>
      <c r="J3412">
        <f>IF(LEN(INDEX('Providers'!$AJ$4:$AJ$503,409))=0,"",INDEX('Providers'!$AJ$4:$AJ$503,409))</f>
        <v/>
      </c>
      <c r="K3412">
        <f>IF(LEN(INDEX('Providers'!$AI$4:$AI$503,409))=0,"",INDEX('Providers'!$AI$4:$AI$503,409))</f>
        <v/>
      </c>
    </row>
    <row r="3413">
      <c r="A3413">
        <f>IF(AND(LEN('Providers'!A413)&gt;0,ISNUMBER('Providers'!W413)),1,0)</f>
        <v/>
      </c>
      <c r="B3413">
        <f>B3412+A3413</f>
        <v/>
      </c>
      <c r="C3413">
        <f>IF(3410&gt;$B$4503,"",MATCH(3410-0.5,$B$3:$B$4503,1))</f>
        <v/>
      </c>
      <c r="D3413">
        <f>"CAQH re-attestation – "&amp;IF(LEN(INDEX('Providers'!$A$4:$A$503,410))=0,"",INDEX('Providers'!$A$4:$A$503,410))</f>
        <v/>
      </c>
      <c r="E3413">
        <f>IF(ISNUMBER(INDEX('Providers'!$W$4:$W$503,410)),TEXT(INDEX('Providers'!$W$4:$W$503,410),"yyyy-mm-dd"),"")</f>
        <v/>
      </c>
      <c r="F3413">
        <f>"Credentialing"</f>
        <v/>
      </c>
      <c r="G3413">
        <f>IF(ISNUMBER(INDEX('Providers'!$U$4:$U$503,410)),TEXT(INDEX('Providers'!$U$4:$U$503,410),"yyyy-mm-dd"),"")</f>
        <v/>
      </c>
      <c r="H3413">
        <f>"High"</f>
        <v/>
      </c>
      <c r="I3413">
        <f>TRIM(IF(LEN(IF(LEN(INDEX('Providers'!$T$4:$T$503,410))=0,"",INDEX('Providers'!$T$4:$T$503,410)))=0,"","CAQH ID: "&amp;IF(LEN(INDEX('Providers'!$T$4:$T$503,410))=0,"",INDEX('Providers'!$T$4:$T$503,410))&amp;". ")&amp;IF(LEN(IF(ISNUMBER(INDEX('Providers'!$U$4:$U$503,410)),TEXT(INDEX('Providers'!$U$4:$U$503,410),"yyyy-mm-dd"),""))=0,"","Last attested: "&amp;IF(ISNUMBER(INDEX('Providers'!$U$4:$U$503,410)),TEXT(INDEX('Providers'!$U$4:$U$503,410),"yyyy-mm-dd"),"")&amp;". "))</f>
        <v/>
      </c>
      <c r="J3413">
        <f>IF(LEN(INDEX('Providers'!$AJ$4:$AJ$503,410))=0,"",INDEX('Providers'!$AJ$4:$AJ$503,410))</f>
        <v/>
      </c>
      <c r="K3413">
        <f>IF(LEN(INDEX('Providers'!$AI$4:$AI$503,410))=0,"",INDEX('Providers'!$AI$4:$AI$503,410))</f>
        <v/>
      </c>
    </row>
    <row r="3414">
      <c r="A3414">
        <f>IF(AND(LEN('Providers'!A414)&gt;0,ISNUMBER('Providers'!W414)),1,0)</f>
        <v/>
      </c>
      <c r="B3414">
        <f>B3413+A3414</f>
        <v/>
      </c>
      <c r="C3414">
        <f>IF(3411&gt;$B$4503,"",MATCH(3411-0.5,$B$3:$B$4503,1))</f>
        <v/>
      </c>
      <c r="D3414">
        <f>"CAQH re-attestation – "&amp;IF(LEN(INDEX('Providers'!$A$4:$A$503,411))=0,"",INDEX('Providers'!$A$4:$A$503,411))</f>
        <v/>
      </c>
      <c r="E3414">
        <f>IF(ISNUMBER(INDEX('Providers'!$W$4:$W$503,411)),TEXT(INDEX('Providers'!$W$4:$W$503,411),"yyyy-mm-dd"),"")</f>
        <v/>
      </c>
      <c r="F3414">
        <f>"Credentialing"</f>
        <v/>
      </c>
      <c r="G3414">
        <f>IF(ISNUMBER(INDEX('Providers'!$U$4:$U$503,411)),TEXT(INDEX('Providers'!$U$4:$U$503,411),"yyyy-mm-dd"),"")</f>
        <v/>
      </c>
      <c r="H3414">
        <f>"High"</f>
        <v/>
      </c>
      <c r="I3414">
        <f>TRIM(IF(LEN(IF(LEN(INDEX('Providers'!$T$4:$T$503,411))=0,"",INDEX('Providers'!$T$4:$T$503,411)))=0,"","CAQH ID: "&amp;IF(LEN(INDEX('Providers'!$T$4:$T$503,411))=0,"",INDEX('Providers'!$T$4:$T$503,411))&amp;". ")&amp;IF(LEN(IF(ISNUMBER(INDEX('Providers'!$U$4:$U$503,411)),TEXT(INDEX('Providers'!$U$4:$U$503,411),"yyyy-mm-dd"),""))=0,"","Last attested: "&amp;IF(ISNUMBER(INDEX('Providers'!$U$4:$U$503,411)),TEXT(INDEX('Providers'!$U$4:$U$503,411),"yyyy-mm-dd"),"")&amp;". "))</f>
        <v/>
      </c>
      <c r="J3414">
        <f>IF(LEN(INDEX('Providers'!$AJ$4:$AJ$503,411))=0,"",INDEX('Providers'!$AJ$4:$AJ$503,411))</f>
        <v/>
      </c>
      <c r="K3414">
        <f>IF(LEN(INDEX('Providers'!$AI$4:$AI$503,411))=0,"",INDEX('Providers'!$AI$4:$AI$503,411))</f>
        <v/>
      </c>
    </row>
    <row r="3415">
      <c r="A3415">
        <f>IF(AND(LEN('Providers'!A415)&gt;0,ISNUMBER('Providers'!W415)),1,0)</f>
        <v/>
      </c>
      <c r="B3415">
        <f>B3414+A3415</f>
        <v/>
      </c>
      <c r="C3415">
        <f>IF(3412&gt;$B$4503,"",MATCH(3412-0.5,$B$3:$B$4503,1))</f>
        <v/>
      </c>
      <c r="D3415">
        <f>"CAQH re-attestation – "&amp;IF(LEN(INDEX('Providers'!$A$4:$A$503,412))=0,"",INDEX('Providers'!$A$4:$A$503,412))</f>
        <v/>
      </c>
      <c r="E3415">
        <f>IF(ISNUMBER(INDEX('Providers'!$W$4:$W$503,412)),TEXT(INDEX('Providers'!$W$4:$W$503,412),"yyyy-mm-dd"),"")</f>
        <v/>
      </c>
      <c r="F3415">
        <f>"Credentialing"</f>
        <v/>
      </c>
      <c r="G3415">
        <f>IF(ISNUMBER(INDEX('Providers'!$U$4:$U$503,412)),TEXT(INDEX('Providers'!$U$4:$U$503,412),"yyyy-mm-dd"),"")</f>
        <v/>
      </c>
      <c r="H3415">
        <f>"High"</f>
        <v/>
      </c>
      <c r="I3415">
        <f>TRIM(IF(LEN(IF(LEN(INDEX('Providers'!$T$4:$T$503,412))=0,"",INDEX('Providers'!$T$4:$T$503,412)))=0,"","CAQH ID: "&amp;IF(LEN(INDEX('Providers'!$T$4:$T$503,412))=0,"",INDEX('Providers'!$T$4:$T$503,412))&amp;". ")&amp;IF(LEN(IF(ISNUMBER(INDEX('Providers'!$U$4:$U$503,412)),TEXT(INDEX('Providers'!$U$4:$U$503,412),"yyyy-mm-dd"),""))=0,"","Last attested: "&amp;IF(ISNUMBER(INDEX('Providers'!$U$4:$U$503,412)),TEXT(INDEX('Providers'!$U$4:$U$503,412),"yyyy-mm-dd"),"")&amp;". "))</f>
        <v/>
      </c>
      <c r="J3415">
        <f>IF(LEN(INDEX('Providers'!$AJ$4:$AJ$503,412))=0,"",INDEX('Providers'!$AJ$4:$AJ$503,412))</f>
        <v/>
      </c>
      <c r="K3415">
        <f>IF(LEN(INDEX('Providers'!$AI$4:$AI$503,412))=0,"",INDEX('Providers'!$AI$4:$AI$503,412))</f>
        <v/>
      </c>
    </row>
    <row r="3416">
      <c r="A3416">
        <f>IF(AND(LEN('Providers'!A416)&gt;0,ISNUMBER('Providers'!W416)),1,0)</f>
        <v/>
      </c>
      <c r="B3416">
        <f>B3415+A3416</f>
        <v/>
      </c>
      <c r="C3416">
        <f>IF(3413&gt;$B$4503,"",MATCH(3413-0.5,$B$3:$B$4503,1))</f>
        <v/>
      </c>
      <c r="D3416">
        <f>"CAQH re-attestation – "&amp;IF(LEN(INDEX('Providers'!$A$4:$A$503,413))=0,"",INDEX('Providers'!$A$4:$A$503,413))</f>
        <v/>
      </c>
      <c r="E3416">
        <f>IF(ISNUMBER(INDEX('Providers'!$W$4:$W$503,413)),TEXT(INDEX('Providers'!$W$4:$W$503,413),"yyyy-mm-dd"),"")</f>
        <v/>
      </c>
      <c r="F3416">
        <f>"Credentialing"</f>
        <v/>
      </c>
      <c r="G3416">
        <f>IF(ISNUMBER(INDEX('Providers'!$U$4:$U$503,413)),TEXT(INDEX('Providers'!$U$4:$U$503,413),"yyyy-mm-dd"),"")</f>
        <v/>
      </c>
      <c r="H3416">
        <f>"High"</f>
        <v/>
      </c>
      <c r="I3416">
        <f>TRIM(IF(LEN(IF(LEN(INDEX('Providers'!$T$4:$T$503,413))=0,"",INDEX('Providers'!$T$4:$T$503,413)))=0,"","CAQH ID: "&amp;IF(LEN(INDEX('Providers'!$T$4:$T$503,413))=0,"",INDEX('Providers'!$T$4:$T$503,413))&amp;". ")&amp;IF(LEN(IF(ISNUMBER(INDEX('Providers'!$U$4:$U$503,413)),TEXT(INDEX('Providers'!$U$4:$U$503,413),"yyyy-mm-dd"),""))=0,"","Last attested: "&amp;IF(ISNUMBER(INDEX('Providers'!$U$4:$U$503,413)),TEXT(INDEX('Providers'!$U$4:$U$503,413),"yyyy-mm-dd"),"")&amp;". "))</f>
        <v/>
      </c>
      <c r="J3416">
        <f>IF(LEN(INDEX('Providers'!$AJ$4:$AJ$503,413))=0,"",INDEX('Providers'!$AJ$4:$AJ$503,413))</f>
        <v/>
      </c>
      <c r="K3416">
        <f>IF(LEN(INDEX('Providers'!$AI$4:$AI$503,413))=0,"",INDEX('Providers'!$AI$4:$AI$503,413))</f>
        <v/>
      </c>
    </row>
    <row r="3417">
      <c r="A3417">
        <f>IF(AND(LEN('Providers'!A417)&gt;0,ISNUMBER('Providers'!W417)),1,0)</f>
        <v/>
      </c>
      <c r="B3417">
        <f>B3416+A3417</f>
        <v/>
      </c>
      <c r="C3417">
        <f>IF(3414&gt;$B$4503,"",MATCH(3414-0.5,$B$3:$B$4503,1))</f>
        <v/>
      </c>
      <c r="D3417">
        <f>"CAQH re-attestation – "&amp;IF(LEN(INDEX('Providers'!$A$4:$A$503,414))=0,"",INDEX('Providers'!$A$4:$A$503,414))</f>
        <v/>
      </c>
      <c r="E3417">
        <f>IF(ISNUMBER(INDEX('Providers'!$W$4:$W$503,414)),TEXT(INDEX('Providers'!$W$4:$W$503,414),"yyyy-mm-dd"),"")</f>
        <v/>
      </c>
      <c r="F3417">
        <f>"Credentialing"</f>
        <v/>
      </c>
      <c r="G3417">
        <f>IF(ISNUMBER(INDEX('Providers'!$U$4:$U$503,414)),TEXT(INDEX('Providers'!$U$4:$U$503,414),"yyyy-mm-dd"),"")</f>
        <v/>
      </c>
      <c r="H3417">
        <f>"High"</f>
        <v/>
      </c>
      <c r="I3417">
        <f>TRIM(IF(LEN(IF(LEN(INDEX('Providers'!$T$4:$T$503,414))=0,"",INDEX('Providers'!$T$4:$T$503,414)))=0,"","CAQH ID: "&amp;IF(LEN(INDEX('Providers'!$T$4:$T$503,414))=0,"",INDEX('Providers'!$T$4:$T$503,414))&amp;". ")&amp;IF(LEN(IF(ISNUMBER(INDEX('Providers'!$U$4:$U$503,414)),TEXT(INDEX('Providers'!$U$4:$U$503,414),"yyyy-mm-dd"),""))=0,"","Last attested: "&amp;IF(ISNUMBER(INDEX('Providers'!$U$4:$U$503,414)),TEXT(INDEX('Providers'!$U$4:$U$503,414),"yyyy-mm-dd"),"")&amp;". "))</f>
        <v/>
      </c>
      <c r="J3417">
        <f>IF(LEN(INDEX('Providers'!$AJ$4:$AJ$503,414))=0,"",INDEX('Providers'!$AJ$4:$AJ$503,414))</f>
        <v/>
      </c>
      <c r="K3417">
        <f>IF(LEN(INDEX('Providers'!$AI$4:$AI$503,414))=0,"",INDEX('Providers'!$AI$4:$AI$503,414))</f>
        <v/>
      </c>
    </row>
    <row r="3418">
      <c r="A3418">
        <f>IF(AND(LEN('Providers'!A418)&gt;0,ISNUMBER('Providers'!W418)),1,0)</f>
        <v/>
      </c>
      <c r="B3418">
        <f>B3417+A3418</f>
        <v/>
      </c>
      <c r="C3418">
        <f>IF(3415&gt;$B$4503,"",MATCH(3415-0.5,$B$3:$B$4503,1))</f>
        <v/>
      </c>
      <c r="D3418">
        <f>"CAQH re-attestation – "&amp;IF(LEN(INDEX('Providers'!$A$4:$A$503,415))=0,"",INDEX('Providers'!$A$4:$A$503,415))</f>
        <v/>
      </c>
      <c r="E3418">
        <f>IF(ISNUMBER(INDEX('Providers'!$W$4:$W$503,415)),TEXT(INDEX('Providers'!$W$4:$W$503,415),"yyyy-mm-dd"),"")</f>
        <v/>
      </c>
      <c r="F3418">
        <f>"Credentialing"</f>
        <v/>
      </c>
      <c r="G3418">
        <f>IF(ISNUMBER(INDEX('Providers'!$U$4:$U$503,415)),TEXT(INDEX('Providers'!$U$4:$U$503,415),"yyyy-mm-dd"),"")</f>
        <v/>
      </c>
      <c r="H3418">
        <f>"High"</f>
        <v/>
      </c>
      <c r="I3418">
        <f>TRIM(IF(LEN(IF(LEN(INDEX('Providers'!$T$4:$T$503,415))=0,"",INDEX('Providers'!$T$4:$T$503,415)))=0,"","CAQH ID: "&amp;IF(LEN(INDEX('Providers'!$T$4:$T$503,415))=0,"",INDEX('Providers'!$T$4:$T$503,415))&amp;". ")&amp;IF(LEN(IF(ISNUMBER(INDEX('Providers'!$U$4:$U$503,415)),TEXT(INDEX('Providers'!$U$4:$U$503,415),"yyyy-mm-dd"),""))=0,"","Last attested: "&amp;IF(ISNUMBER(INDEX('Providers'!$U$4:$U$503,415)),TEXT(INDEX('Providers'!$U$4:$U$503,415),"yyyy-mm-dd"),"")&amp;". "))</f>
        <v/>
      </c>
      <c r="J3418">
        <f>IF(LEN(INDEX('Providers'!$AJ$4:$AJ$503,415))=0,"",INDEX('Providers'!$AJ$4:$AJ$503,415))</f>
        <v/>
      </c>
      <c r="K3418">
        <f>IF(LEN(INDEX('Providers'!$AI$4:$AI$503,415))=0,"",INDEX('Providers'!$AI$4:$AI$503,415))</f>
        <v/>
      </c>
    </row>
    <row r="3419">
      <c r="A3419">
        <f>IF(AND(LEN('Providers'!A419)&gt;0,ISNUMBER('Providers'!W419)),1,0)</f>
        <v/>
      </c>
      <c r="B3419">
        <f>B3418+A3419</f>
        <v/>
      </c>
      <c r="C3419">
        <f>IF(3416&gt;$B$4503,"",MATCH(3416-0.5,$B$3:$B$4503,1))</f>
        <v/>
      </c>
      <c r="D3419">
        <f>"CAQH re-attestation – "&amp;IF(LEN(INDEX('Providers'!$A$4:$A$503,416))=0,"",INDEX('Providers'!$A$4:$A$503,416))</f>
        <v/>
      </c>
      <c r="E3419">
        <f>IF(ISNUMBER(INDEX('Providers'!$W$4:$W$503,416)),TEXT(INDEX('Providers'!$W$4:$W$503,416),"yyyy-mm-dd"),"")</f>
        <v/>
      </c>
      <c r="F3419">
        <f>"Credentialing"</f>
        <v/>
      </c>
      <c r="G3419">
        <f>IF(ISNUMBER(INDEX('Providers'!$U$4:$U$503,416)),TEXT(INDEX('Providers'!$U$4:$U$503,416),"yyyy-mm-dd"),"")</f>
        <v/>
      </c>
      <c r="H3419">
        <f>"High"</f>
        <v/>
      </c>
      <c r="I3419">
        <f>TRIM(IF(LEN(IF(LEN(INDEX('Providers'!$T$4:$T$503,416))=0,"",INDEX('Providers'!$T$4:$T$503,416)))=0,"","CAQH ID: "&amp;IF(LEN(INDEX('Providers'!$T$4:$T$503,416))=0,"",INDEX('Providers'!$T$4:$T$503,416))&amp;". ")&amp;IF(LEN(IF(ISNUMBER(INDEX('Providers'!$U$4:$U$503,416)),TEXT(INDEX('Providers'!$U$4:$U$503,416),"yyyy-mm-dd"),""))=0,"","Last attested: "&amp;IF(ISNUMBER(INDEX('Providers'!$U$4:$U$503,416)),TEXT(INDEX('Providers'!$U$4:$U$503,416),"yyyy-mm-dd"),"")&amp;". "))</f>
        <v/>
      </c>
      <c r="J3419">
        <f>IF(LEN(INDEX('Providers'!$AJ$4:$AJ$503,416))=0,"",INDEX('Providers'!$AJ$4:$AJ$503,416))</f>
        <v/>
      </c>
      <c r="K3419">
        <f>IF(LEN(INDEX('Providers'!$AI$4:$AI$503,416))=0,"",INDEX('Providers'!$AI$4:$AI$503,416))</f>
        <v/>
      </c>
    </row>
    <row r="3420">
      <c r="A3420">
        <f>IF(AND(LEN('Providers'!A420)&gt;0,ISNUMBER('Providers'!W420)),1,0)</f>
        <v/>
      </c>
      <c r="B3420">
        <f>B3419+A3420</f>
        <v/>
      </c>
      <c r="C3420">
        <f>IF(3417&gt;$B$4503,"",MATCH(3417-0.5,$B$3:$B$4503,1))</f>
        <v/>
      </c>
      <c r="D3420">
        <f>"CAQH re-attestation – "&amp;IF(LEN(INDEX('Providers'!$A$4:$A$503,417))=0,"",INDEX('Providers'!$A$4:$A$503,417))</f>
        <v/>
      </c>
      <c r="E3420">
        <f>IF(ISNUMBER(INDEX('Providers'!$W$4:$W$503,417)),TEXT(INDEX('Providers'!$W$4:$W$503,417),"yyyy-mm-dd"),"")</f>
        <v/>
      </c>
      <c r="F3420">
        <f>"Credentialing"</f>
        <v/>
      </c>
      <c r="G3420">
        <f>IF(ISNUMBER(INDEX('Providers'!$U$4:$U$503,417)),TEXT(INDEX('Providers'!$U$4:$U$503,417),"yyyy-mm-dd"),"")</f>
        <v/>
      </c>
      <c r="H3420">
        <f>"High"</f>
        <v/>
      </c>
      <c r="I3420">
        <f>TRIM(IF(LEN(IF(LEN(INDEX('Providers'!$T$4:$T$503,417))=0,"",INDEX('Providers'!$T$4:$T$503,417)))=0,"","CAQH ID: "&amp;IF(LEN(INDEX('Providers'!$T$4:$T$503,417))=0,"",INDEX('Providers'!$T$4:$T$503,417))&amp;". ")&amp;IF(LEN(IF(ISNUMBER(INDEX('Providers'!$U$4:$U$503,417)),TEXT(INDEX('Providers'!$U$4:$U$503,417),"yyyy-mm-dd"),""))=0,"","Last attested: "&amp;IF(ISNUMBER(INDEX('Providers'!$U$4:$U$503,417)),TEXT(INDEX('Providers'!$U$4:$U$503,417),"yyyy-mm-dd"),"")&amp;". "))</f>
        <v/>
      </c>
      <c r="J3420">
        <f>IF(LEN(INDEX('Providers'!$AJ$4:$AJ$503,417))=0,"",INDEX('Providers'!$AJ$4:$AJ$503,417))</f>
        <v/>
      </c>
      <c r="K3420">
        <f>IF(LEN(INDEX('Providers'!$AI$4:$AI$503,417))=0,"",INDEX('Providers'!$AI$4:$AI$503,417))</f>
        <v/>
      </c>
    </row>
    <row r="3421">
      <c r="A3421">
        <f>IF(AND(LEN('Providers'!A421)&gt;0,ISNUMBER('Providers'!W421)),1,0)</f>
        <v/>
      </c>
      <c r="B3421">
        <f>B3420+A3421</f>
        <v/>
      </c>
      <c r="C3421">
        <f>IF(3418&gt;$B$4503,"",MATCH(3418-0.5,$B$3:$B$4503,1))</f>
        <v/>
      </c>
      <c r="D3421">
        <f>"CAQH re-attestation – "&amp;IF(LEN(INDEX('Providers'!$A$4:$A$503,418))=0,"",INDEX('Providers'!$A$4:$A$503,418))</f>
        <v/>
      </c>
      <c r="E3421">
        <f>IF(ISNUMBER(INDEX('Providers'!$W$4:$W$503,418)),TEXT(INDEX('Providers'!$W$4:$W$503,418),"yyyy-mm-dd"),"")</f>
        <v/>
      </c>
      <c r="F3421">
        <f>"Credentialing"</f>
        <v/>
      </c>
      <c r="G3421">
        <f>IF(ISNUMBER(INDEX('Providers'!$U$4:$U$503,418)),TEXT(INDEX('Providers'!$U$4:$U$503,418),"yyyy-mm-dd"),"")</f>
        <v/>
      </c>
      <c r="H3421">
        <f>"High"</f>
        <v/>
      </c>
      <c r="I3421">
        <f>TRIM(IF(LEN(IF(LEN(INDEX('Providers'!$T$4:$T$503,418))=0,"",INDEX('Providers'!$T$4:$T$503,418)))=0,"","CAQH ID: "&amp;IF(LEN(INDEX('Providers'!$T$4:$T$503,418))=0,"",INDEX('Providers'!$T$4:$T$503,418))&amp;". ")&amp;IF(LEN(IF(ISNUMBER(INDEX('Providers'!$U$4:$U$503,418)),TEXT(INDEX('Providers'!$U$4:$U$503,418),"yyyy-mm-dd"),""))=0,"","Last attested: "&amp;IF(ISNUMBER(INDEX('Providers'!$U$4:$U$503,418)),TEXT(INDEX('Providers'!$U$4:$U$503,418),"yyyy-mm-dd"),"")&amp;". "))</f>
        <v/>
      </c>
      <c r="J3421">
        <f>IF(LEN(INDEX('Providers'!$AJ$4:$AJ$503,418))=0,"",INDEX('Providers'!$AJ$4:$AJ$503,418))</f>
        <v/>
      </c>
      <c r="K3421">
        <f>IF(LEN(INDEX('Providers'!$AI$4:$AI$503,418))=0,"",INDEX('Providers'!$AI$4:$AI$503,418))</f>
        <v/>
      </c>
    </row>
    <row r="3422">
      <c r="A3422">
        <f>IF(AND(LEN('Providers'!A422)&gt;0,ISNUMBER('Providers'!W422)),1,0)</f>
        <v/>
      </c>
      <c r="B3422">
        <f>B3421+A3422</f>
        <v/>
      </c>
      <c r="C3422">
        <f>IF(3419&gt;$B$4503,"",MATCH(3419-0.5,$B$3:$B$4503,1))</f>
        <v/>
      </c>
      <c r="D3422">
        <f>"CAQH re-attestation – "&amp;IF(LEN(INDEX('Providers'!$A$4:$A$503,419))=0,"",INDEX('Providers'!$A$4:$A$503,419))</f>
        <v/>
      </c>
      <c r="E3422">
        <f>IF(ISNUMBER(INDEX('Providers'!$W$4:$W$503,419)),TEXT(INDEX('Providers'!$W$4:$W$503,419),"yyyy-mm-dd"),"")</f>
        <v/>
      </c>
      <c r="F3422">
        <f>"Credentialing"</f>
        <v/>
      </c>
      <c r="G3422">
        <f>IF(ISNUMBER(INDEX('Providers'!$U$4:$U$503,419)),TEXT(INDEX('Providers'!$U$4:$U$503,419),"yyyy-mm-dd"),"")</f>
        <v/>
      </c>
      <c r="H3422">
        <f>"High"</f>
        <v/>
      </c>
      <c r="I3422">
        <f>TRIM(IF(LEN(IF(LEN(INDEX('Providers'!$T$4:$T$503,419))=0,"",INDEX('Providers'!$T$4:$T$503,419)))=0,"","CAQH ID: "&amp;IF(LEN(INDEX('Providers'!$T$4:$T$503,419))=0,"",INDEX('Providers'!$T$4:$T$503,419))&amp;". ")&amp;IF(LEN(IF(ISNUMBER(INDEX('Providers'!$U$4:$U$503,419)),TEXT(INDEX('Providers'!$U$4:$U$503,419),"yyyy-mm-dd"),""))=0,"","Last attested: "&amp;IF(ISNUMBER(INDEX('Providers'!$U$4:$U$503,419)),TEXT(INDEX('Providers'!$U$4:$U$503,419),"yyyy-mm-dd"),"")&amp;". "))</f>
        <v/>
      </c>
      <c r="J3422">
        <f>IF(LEN(INDEX('Providers'!$AJ$4:$AJ$503,419))=0,"",INDEX('Providers'!$AJ$4:$AJ$503,419))</f>
        <v/>
      </c>
      <c r="K3422">
        <f>IF(LEN(INDEX('Providers'!$AI$4:$AI$503,419))=0,"",INDEX('Providers'!$AI$4:$AI$503,419))</f>
        <v/>
      </c>
    </row>
    <row r="3423">
      <c r="A3423">
        <f>IF(AND(LEN('Providers'!A423)&gt;0,ISNUMBER('Providers'!W423)),1,0)</f>
        <v/>
      </c>
      <c r="B3423">
        <f>B3422+A3423</f>
        <v/>
      </c>
      <c r="C3423">
        <f>IF(3420&gt;$B$4503,"",MATCH(3420-0.5,$B$3:$B$4503,1))</f>
        <v/>
      </c>
      <c r="D3423">
        <f>"CAQH re-attestation – "&amp;IF(LEN(INDEX('Providers'!$A$4:$A$503,420))=0,"",INDEX('Providers'!$A$4:$A$503,420))</f>
        <v/>
      </c>
      <c r="E3423">
        <f>IF(ISNUMBER(INDEX('Providers'!$W$4:$W$503,420)),TEXT(INDEX('Providers'!$W$4:$W$503,420),"yyyy-mm-dd"),"")</f>
        <v/>
      </c>
      <c r="F3423">
        <f>"Credentialing"</f>
        <v/>
      </c>
      <c r="G3423">
        <f>IF(ISNUMBER(INDEX('Providers'!$U$4:$U$503,420)),TEXT(INDEX('Providers'!$U$4:$U$503,420),"yyyy-mm-dd"),"")</f>
        <v/>
      </c>
      <c r="H3423">
        <f>"High"</f>
        <v/>
      </c>
      <c r="I3423">
        <f>TRIM(IF(LEN(IF(LEN(INDEX('Providers'!$T$4:$T$503,420))=0,"",INDEX('Providers'!$T$4:$T$503,420)))=0,"","CAQH ID: "&amp;IF(LEN(INDEX('Providers'!$T$4:$T$503,420))=0,"",INDEX('Providers'!$T$4:$T$503,420))&amp;". ")&amp;IF(LEN(IF(ISNUMBER(INDEX('Providers'!$U$4:$U$503,420)),TEXT(INDEX('Providers'!$U$4:$U$503,420),"yyyy-mm-dd"),""))=0,"","Last attested: "&amp;IF(ISNUMBER(INDEX('Providers'!$U$4:$U$503,420)),TEXT(INDEX('Providers'!$U$4:$U$503,420),"yyyy-mm-dd"),"")&amp;". "))</f>
        <v/>
      </c>
      <c r="J3423">
        <f>IF(LEN(INDEX('Providers'!$AJ$4:$AJ$503,420))=0,"",INDEX('Providers'!$AJ$4:$AJ$503,420))</f>
        <v/>
      </c>
      <c r="K3423">
        <f>IF(LEN(INDEX('Providers'!$AI$4:$AI$503,420))=0,"",INDEX('Providers'!$AI$4:$AI$503,420))</f>
        <v/>
      </c>
    </row>
    <row r="3424">
      <c r="A3424">
        <f>IF(AND(LEN('Providers'!A424)&gt;0,ISNUMBER('Providers'!W424)),1,0)</f>
        <v/>
      </c>
      <c r="B3424">
        <f>B3423+A3424</f>
        <v/>
      </c>
      <c r="C3424">
        <f>IF(3421&gt;$B$4503,"",MATCH(3421-0.5,$B$3:$B$4503,1))</f>
        <v/>
      </c>
      <c r="D3424">
        <f>"CAQH re-attestation – "&amp;IF(LEN(INDEX('Providers'!$A$4:$A$503,421))=0,"",INDEX('Providers'!$A$4:$A$503,421))</f>
        <v/>
      </c>
      <c r="E3424">
        <f>IF(ISNUMBER(INDEX('Providers'!$W$4:$W$503,421)),TEXT(INDEX('Providers'!$W$4:$W$503,421),"yyyy-mm-dd"),"")</f>
        <v/>
      </c>
      <c r="F3424">
        <f>"Credentialing"</f>
        <v/>
      </c>
      <c r="G3424">
        <f>IF(ISNUMBER(INDEX('Providers'!$U$4:$U$503,421)),TEXT(INDEX('Providers'!$U$4:$U$503,421),"yyyy-mm-dd"),"")</f>
        <v/>
      </c>
      <c r="H3424">
        <f>"High"</f>
        <v/>
      </c>
      <c r="I3424">
        <f>TRIM(IF(LEN(IF(LEN(INDEX('Providers'!$T$4:$T$503,421))=0,"",INDEX('Providers'!$T$4:$T$503,421)))=0,"","CAQH ID: "&amp;IF(LEN(INDEX('Providers'!$T$4:$T$503,421))=0,"",INDEX('Providers'!$T$4:$T$503,421))&amp;". ")&amp;IF(LEN(IF(ISNUMBER(INDEX('Providers'!$U$4:$U$503,421)),TEXT(INDEX('Providers'!$U$4:$U$503,421),"yyyy-mm-dd"),""))=0,"","Last attested: "&amp;IF(ISNUMBER(INDEX('Providers'!$U$4:$U$503,421)),TEXT(INDEX('Providers'!$U$4:$U$503,421),"yyyy-mm-dd"),"")&amp;". "))</f>
        <v/>
      </c>
      <c r="J3424">
        <f>IF(LEN(INDEX('Providers'!$AJ$4:$AJ$503,421))=0,"",INDEX('Providers'!$AJ$4:$AJ$503,421))</f>
        <v/>
      </c>
      <c r="K3424">
        <f>IF(LEN(INDEX('Providers'!$AI$4:$AI$503,421))=0,"",INDEX('Providers'!$AI$4:$AI$503,421))</f>
        <v/>
      </c>
    </row>
    <row r="3425">
      <c r="A3425">
        <f>IF(AND(LEN('Providers'!A425)&gt;0,ISNUMBER('Providers'!W425)),1,0)</f>
        <v/>
      </c>
      <c r="B3425">
        <f>B3424+A3425</f>
        <v/>
      </c>
      <c r="C3425">
        <f>IF(3422&gt;$B$4503,"",MATCH(3422-0.5,$B$3:$B$4503,1))</f>
        <v/>
      </c>
      <c r="D3425">
        <f>"CAQH re-attestation – "&amp;IF(LEN(INDEX('Providers'!$A$4:$A$503,422))=0,"",INDEX('Providers'!$A$4:$A$503,422))</f>
        <v/>
      </c>
      <c r="E3425">
        <f>IF(ISNUMBER(INDEX('Providers'!$W$4:$W$503,422)),TEXT(INDEX('Providers'!$W$4:$W$503,422),"yyyy-mm-dd"),"")</f>
        <v/>
      </c>
      <c r="F3425">
        <f>"Credentialing"</f>
        <v/>
      </c>
      <c r="G3425">
        <f>IF(ISNUMBER(INDEX('Providers'!$U$4:$U$503,422)),TEXT(INDEX('Providers'!$U$4:$U$503,422),"yyyy-mm-dd"),"")</f>
        <v/>
      </c>
      <c r="H3425">
        <f>"High"</f>
        <v/>
      </c>
      <c r="I3425">
        <f>TRIM(IF(LEN(IF(LEN(INDEX('Providers'!$T$4:$T$503,422))=0,"",INDEX('Providers'!$T$4:$T$503,422)))=0,"","CAQH ID: "&amp;IF(LEN(INDEX('Providers'!$T$4:$T$503,422))=0,"",INDEX('Providers'!$T$4:$T$503,422))&amp;". ")&amp;IF(LEN(IF(ISNUMBER(INDEX('Providers'!$U$4:$U$503,422)),TEXT(INDEX('Providers'!$U$4:$U$503,422),"yyyy-mm-dd"),""))=0,"","Last attested: "&amp;IF(ISNUMBER(INDEX('Providers'!$U$4:$U$503,422)),TEXT(INDEX('Providers'!$U$4:$U$503,422),"yyyy-mm-dd"),"")&amp;". "))</f>
        <v/>
      </c>
      <c r="J3425">
        <f>IF(LEN(INDEX('Providers'!$AJ$4:$AJ$503,422))=0,"",INDEX('Providers'!$AJ$4:$AJ$503,422))</f>
        <v/>
      </c>
      <c r="K3425">
        <f>IF(LEN(INDEX('Providers'!$AI$4:$AI$503,422))=0,"",INDEX('Providers'!$AI$4:$AI$503,422))</f>
        <v/>
      </c>
    </row>
    <row r="3426">
      <c r="A3426">
        <f>IF(AND(LEN('Providers'!A426)&gt;0,ISNUMBER('Providers'!W426)),1,0)</f>
        <v/>
      </c>
      <c r="B3426">
        <f>B3425+A3426</f>
        <v/>
      </c>
      <c r="C3426">
        <f>IF(3423&gt;$B$4503,"",MATCH(3423-0.5,$B$3:$B$4503,1))</f>
        <v/>
      </c>
      <c r="D3426">
        <f>"CAQH re-attestation – "&amp;IF(LEN(INDEX('Providers'!$A$4:$A$503,423))=0,"",INDEX('Providers'!$A$4:$A$503,423))</f>
        <v/>
      </c>
      <c r="E3426">
        <f>IF(ISNUMBER(INDEX('Providers'!$W$4:$W$503,423)),TEXT(INDEX('Providers'!$W$4:$W$503,423),"yyyy-mm-dd"),"")</f>
        <v/>
      </c>
      <c r="F3426">
        <f>"Credentialing"</f>
        <v/>
      </c>
      <c r="G3426">
        <f>IF(ISNUMBER(INDEX('Providers'!$U$4:$U$503,423)),TEXT(INDEX('Providers'!$U$4:$U$503,423),"yyyy-mm-dd"),"")</f>
        <v/>
      </c>
      <c r="H3426">
        <f>"High"</f>
        <v/>
      </c>
      <c r="I3426">
        <f>TRIM(IF(LEN(IF(LEN(INDEX('Providers'!$T$4:$T$503,423))=0,"",INDEX('Providers'!$T$4:$T$503,423)))=0,"","CAQH ID: "&amp;IF(LEN(INDEX('Providers'!$T$4:$T$503,423))=0,"",INDEX('Providers'!$T$4:$T$503,423))&amp;". ")&amp;IF(LEN(IF(ISNUMBER(INDEX('Providers'!$U$4:$U$503,423)),TEXT(INDEX('Providers'!$U$4:$U$503,423),"yyyy-mm-dd"),""))=0,"","Last attested: "&amp;IF(ISNUMBER(INDEX('Providers'!$U$4:$U$503,423)),TEXT(INDEX('Providers'!$U$4:$U$503,423),"yyyy-mm-dd"),"")&amp;". "))</f>
        <v/>
      </c>
      <c r="J3426">
        <f>IF(LEN(INDEX('Providers'!$AJ$4:$AJ$503,423))=0,"",INDEX('Providers'!$AJ$4:$AJ$503,423))</f>
        <v/>
      </c>
      <c r="K3426">
        <f>IF(LEN(INDEX('Providers'!$AI$4:$AI$503,423))=0,"",INDEX('Providers'!$AI$4:$AI$503,423))</f>
        <v/>
      </c>
    </row>
    <row r="3427">
      <c r="A3427">
        <f>IF(AND(LEN('Providers'!A427)&gt;0,ISNUMBER('Providers'!W427)),1,0)</f>
        <v/>
      </c>
      <c r="B3427">
        <f>B3426+A3427</f>
        <v/>
      </c>
      <c r="C3427">
        <f>IF(3424&gt;$B$4503,"",MATCH(3424-0.5,$B$3:$B$4503,1))</f>
        <v/>
      </c>
      <c r="D3427">
        <f>"CAQH re-attestation – "&amp;IF(LEN(INDEX('Providers'!$A$4:$A$503,424))=0,"",INDEX('Providers'!$A$4:$A$503,424))</f>
        <v/>
      </c>
      <c r="E3427">
        <f>IF(ISNUMBER(INDEX('Providers'!$W$4:$W$503,424)),TEXT(INDEX('Providers'!$W$4:$W$503,424),"yyyy-mm-dd"),"")</f>
        <v/>
      </c>
      <c r="F3427">
        <f>"Credentialing"</f>
        <v/>
      </c>
      <c r="G3427">
        <f>IF(ISNUMBER(INDEX('Providers'!$U$4:$U$503,424)),TEXT(INDEX('Providers'!$U$4:$U$503,424),"yyyy-mm-dd"),"")</f>
        <v/>
      </c>
      <c r="H3427">
        <f>"High"</f>
        <v/>
      </c>
      <c r="I3427">
        <f>TRIM(IF(LEN(IF(LEN(INDEX('Providers'!$T$4:$T$503,424))=0,"",INDEX('Providers'!$T$4:$T$503,424)))=0,"","CAQH ID: "&amp;IF(LEN(INDEX('Providers'!$T$4:$T$503,424))=0,"",INDEX('Providers'!$T$4:$T$503,424))&amp;". ")&amp;IF(LEN(IF(ISNUMBER(INDEX('Providers'!$U$4:$U$503,424)),TEXT(INDEX('Providers'!$U$4:$U$503,424),"yyyy-mm-dd"),""))=0,"","Last attested: "&amp;IF(ISNUMBER(INDEX('Providers'!$U$4:$U$503,424)),TEXT(INDEX('Providers'!$U$4:$U$503,424),"yyyy-mm-dd"),"")&amp;". "))</f>
        <v/>
      </c>
      <c r="J3427">
        <f>IF(LEN(INDEX('Providers'!$AJ$4:$AJ$503,424))=0,"",INDEX('Providers'!$AJ$4:$AJ$503,424))</f>
        <v/>
      </c>
      <c r="K3427">
        <f>IF(LEN(INDEX('Providers'!$AI$4:$AI$503,424))=0,"",INDEX('Providers'!$AI$4:$AI$503,424))</f>
        <v/>
      </c>
    </row>
    <row r="3428">
      <c r="A3428">
        <f>IF(AND(LEN('Providers'!A428)&gt;0,ISNUMBER('Providers'!W428)),1,0)</f>
        <v/>
      </c>
      <c r="B3428">
        <f>B3427+A3428</f>
        <v/>
      </c>
      <c r="C3428">
        <f>IF(3425&gt;$B$4503,"",MATCH(3425-0.5,$B$3:$B$4503,1))</f>
        <v/>
      </c>
      <c r="D3428">
        <f>"CAQH re-attestation – "&amp;IF(LEN(INDEX('Providers'!$A$4:$A$503,425))=0,"",INDEX('Providers'!$A$4:$A$503,425))</f>
        <v/>
      </c>
      <c r="E3428">
        <f>IF(ISNUMBER(INDEX('Providers'!$W$4:$W$503,425)),TEXT(INDEX('Providers'!$W$4:$W$503,425),"yyyy-mm-dd"),"")</f>
        <v/>
      </c>
      <c r="F3428">
        <f>"Credentialing"</f>
        <v/>
      </c>
      <c r="G3428">
        <f>IF(ISNUMBER(INDEX('Providers'!$U$4:$U$503,425)),TEXT(INDEX('Providers'!$U$4:$U$503,425),"yyyy-mm-dd"),"")</f>
        <v/>
      </c>
      <c r="H3428">
        <f>"High"</f>
        <v/>
      </c>
      <c r="I3428">
        <f>TRIM(IF(LEN(IF(LEN(INDEX('Providers'!$T$4:$T$503,425))=0,"",INDEX('Providers'!$T$4:$T$503,425)))=0,"","CAQH ID: "&amp;IF(LEN(INDEX('Providers'!$T$4:$T$503,425))=0,"",INDEX('Providers'!$T$4:$T$503,425))&amp;". ")&amp;IF(LEN(IF(ISNUMBER(INDEX('Providers'!$U$4:$U$503,425)),TEXT(INDEX('Providers'!$U$4:$U$503,425),"yyyy-mm-dd"),""))=0,"","Last attested: "&amp;IF(ISNUMBER(INDEX('Providers'!$U$4:$U$503,425)),TEXT(INDEX('Providers'!$U$4:$U$503,425),"yyyy-mm-dd"),"")&amp;". "))</f>
        <v/>
      </c>
      <c r="J3428">
        <f>IF(LEN(INDEX('Providers'!$AJ$4:$AJ$503,425))=0,"",INDEX('Providers'!$AJ$4:$AJ$503,425))</f>
        <v/>
      </c>
      <c r="K3428">
        <f>IF(LEN(INDEX('Providers'!$AI$4:$AI$503,425))=0,"",INDEX('Providers'!$AI$4:$AI$503,425))</f>
        <v/>
      </c>
    </row>
    <row r="3429">
      <c r="A3429">
        <f>IF(AND(LEN('Providers'!A429)&gt;0,ISNUMBER('Providers'!W429)),1,0)</f>
        <v/>
      </c>
      <c r="B3429">
        <f>B3428+A3429</f>
        <v/>
      </c>
      <c r="C3429">
        <f>IF(3426&gt;$B$4503,"",MATCH(3426-0.5,$B$3:$B$4503,1))</f>
        <v/>
      </c>
      <c r="D3429">
        <f>"CAQH re-attestation – "&amp;IF(LEN(INDEX('Providers'!$A$4:$A$503,426))=0,"",INDEX('Providers'!$A$4:$A$503,426))</f>
        <v/>
      </c>
      <c r="E3429">
        <f>IF(ISNUMBER(INDEX('Providers'!$W$4:$W$503,426)),TEXT(INDEX('Providers'!$W$4:$W$503,426),"yyyy-mm-dd"),"")</f>
        <v/>
      </c>
      <c r="F3429">
        <f>"Credentialing"</f>
        <v/>
      </c>
      <c r="G3429">
        <f>IF(ISNUMBER(INDEX('Providers'!$U$4:$U$503,426)),TEXT(INDEX('Providers'!$U$4:$U$503,426),"yyyy-mm-dd"),"")</f>
        <v/>
      </c>
      <c r="H3429">
        <f>"High"</f>
        <v/>
      </c>
      <c r="I3429">
        <f>TRIM(IF(LEN(IF(LEN(INDEX('Providers'!$T$4:$T$503,426))=0,"",INDEX('Providers'!$T$4:$T$503,426)))=0,"","CAQH ID: "&amp;IF(LEN(INDEX('Providers'!$T$4:$T$503,426))=0,"",INDEX('Providers'!$T$4:$T$503,426))&amp;". ")&amp;IF(LEN(IF(ISNUMBER(INDEX('Providers'!$U$4:$U$503,426)),TEXT(INDEX('Providers'!$U$4:$U$503,426),"yyyy-mm-dd"),""))=0,"","Last attested: "&amp;IF(ISNUMBER(INDEX('Providers'!$U$4:$U$503,426)),TEXT(INDEX('Providers'!$U$4:$U$503,426),"yyyy-mm-dd"),"")&amp;". "))</f>
        <v/>
      </c>
      <c r="J3429">
        <f>IF(LEN(INDEX('Providers'!$AJ$4:$AJ$503,426))=0,"",INDEX('Providers'!$AJ$4:$AJ$503,426))</f>
        <v/>
      </c>
      <c r="K3429">
        <f>IF(LEN(INDEX('Providers'!$AI$4:$AI$503,426))=0,"",INDEX('Providers'!$AI$4:$AI$503,426))</f>
        <v/>
      </c>
    </row>
    <row r="3430">
      <c r="A3430">
        <f>IF(AND(LEN('Providers'!A430)&gt;0,ISNUMBER('Providers'!W430)),1,0)</f>
        <v/>
      </c>
      <c r="B3430">
        <f>B3429+A3430</f>
        <v/>
      </c>
      <c r="C3430">
        <f>IF(3427&gt;$B$4503,"",MATCH(3427-0.5,$B$3:$B$4503,1))</f>
        <v/>
      </c>
      <c r="D3430">
        <f>"CAQH re-attestation – "&amp;IF(LEN(INDEX('Providers'!$A$4:$A$503,427))=0,"",INDEX('Providers'!$A$4:$A$503,427))</f>
        <v/>
      </c>
      <c r="E3430">
        <f>IF(ISNUMBER(INDEX('Providers'!$W$4:$W$503,427)),TEXT(INDEX('Providers'!$W$4:$W$503,427),"yyyy-mm-dd"),"")</f>
        <v/>
      </c>
      <c r="F3430">
        <f>"Credentialing"</f>
        <v/>
      </c>
      <c r="G3430">
        <f>IF(ISNUMBER(INDEX('Providers'!$U$4:$U$503,427)),TEXT(INDEX('Providers'!$U$4:$U$503,427),"yyyy-mm-dd"),"")</f>
        <v/>
      </c>
      <c r="H3430">
        <f>"High"</f>
        <v/>
      </c>
      <c r="I3430">
        <f>TRIM(IF(LEN(IF(LEN(INDEX('Providers'!$T$4:$T$503,427))=0,"",INDEX('Providers'!$T$4:$T$503,427)))=0,"","CAQH ID: "&amp;IF(LEN(INDEX('Providers'!$T$4:$T$503,427))=0,"",INDEX('Providers'!$T$4:$T$503,427))&amp;". ")&amp;IF(LEN(IF(ISNUMBER(INDEX('Providers'!$U$4:$U$503,427)),TEXT(INDEX('Providers'!$U$4:$U$503,427),"yyyy-mm-dd"),""))=0,"","Last attested: "&amp;IF(ISNUMBER(INDEX('Providers'!$U$4:$U$503,427)),TEXT(INDEX('Providers'!$U$4:$U$503,427),"yyyy-mm-dd"),"")&amp;". "))</f>
        <v/>
      </c>
      <c r="J3430">
        <f>IF(LEN(INDEX('Providers'!$AJ$4:$AJ$503,427))=0,"",INDEX('Providers'!$AJ$4:$AJ$503,427))</f>
        <v/>
      </c>
      <c r="K3430">
        <f>IF(LEN(INDEX('Providers'!$AI$4:$AI$503,427))=0,"",INDEX('Providers'!$AI$4:$AI$503,427))</f>
        <v/>
      </c>
    </row>
    <row r="3431">
      <c r="A3431">
        <f>IF(AND(LEN('Providers'!A431)&gt;0,ISNUMBER('Providers'!W431)),1,0)</f>
        <v/>
      </c>
      <c r="B3431">
        <f>B3430+A3431</f>
        <v/>
      </c>
      <c r="C3431">
        <f>IF(3428&gt;$B$4503,"",MATCH(3428-0.5,$B$3:$B$4503,1))</f>
        <v/>
      </c>
      <c r="D3431">
        <f>"CAQH re-attestation – "&amp;IF(LEN(INDEX('Providers'!$A$4:$A$503,428))=0,"",INDEX('Providers'!$A$4:$A$503,428))</f>
        <v/>
      </c>
      <c r="E3431">
        <f>IF(ISNUMBER(INDEX('Providers'!$W$4:$W$503,428)),TEXT(INDEX('Providers'!$W$4:$W$503,428),"yyyy-mm-dd"),"")</f>
        <v/>
      </c>
      <c r="F3431">
        <f>"Credentialing"</f>
        <v/>
      </c>
      <c r="G3431">
        <f>IF(ISNUMBER(INDEX('Providers'!$U$4:$U$503,428)),TEXT(INDEX('Providers'!$U$4:$U$503,428),"yyyy-mm-dd"),"")</f>
        <v/>
      </c>
      <c r="H3431">
        <f>"High"</f>
        <v/>
      </c>
      <c r="I3431">
        <f>TRIM(IF(LEN(IF(LEN(INDEX('Providers'!$T$4:$T$503,428))=0,"",INDEX('Providers'!$T$4:$T$503,428)))=0,"","CAQH ID: "&amp;IF(LEN(INDEX('Providers'!$T$4:$T$503,428))=0,"",INDEX('Providers'!$T$4:$T$503,428))&amp;". ")&amp;IF(LEN(IF(ISNUMBER(INDEX('Providers'!$U$4:$U$503,428)),TEXT(INDEX('Providers'!$U$4:$U$503,428),"yyyy-mm-dd"),""))=0,"","Last attested: "&amp;IF(ISNUMBER(INDEX('Providers'!$U$4:$U$503,428)),TEXT(INDEX('Providers'!$U$4:$U$503,428),"yyyy-mm-dd"),"")&amp;". "))</f>
        <v/>
      </c>
      <c r="J3431">
        <f>IF(LEN(INDEX('Providers'!$AJ$4:$AJ$503,428))=0,"",INDEX('Providers'!$AJ$4:$AJ$503,428))</f>
        <v/>
      </c>
      <c r="K3431">
        <f>IF(LEN(INDEX('Providers'!$AI$4:$AI$503,428))=0,"",INDEX('Providers'!$AI$4:$AI$503,428))</f>
        <v/>
      </c>
    </row>
    <row r="3432">
      <c r="A3432">
        <f>IF(AND(LEN('Providers'!A432)&gt;0,ISNUMBER('Providers'!W432)),1,0)</f>
        <v/>
      </c>
      <c r="B3432">
        <f>B3431+A3432</f>
        <v/>
      </c>
      <c r="C3432">
        <f>IF(3429&gt;$B$4503,"",MATCH(3429-0.5,$B$3:$B$4503,1))</f>
        <v/>
      </c>
      <c r="D3432">
        <f>"CAQH re-attestation – "&amp;IF(LEN(INDEX('Providers'!$A$4:$A$503,429))=0,"",INDEX('Providers'!$A$4:$A$503,429))</f>
        <v/>
      </c>
      <c r="E3432">
        <f>IF(ISNUMBER(INDEX('Providers'!$W$4:$W$503,429)),TEXT(INDEX('Providers'!$W$4:$W$503,429),"yyyy-mm-dd"),"")</f>
        <v/>
      </c>
      <c r="F3432">
        <f>"Credentialing"</f>
        <v/>
      </c>
      <c r="G3432">
        <f>IF(ISNUMBER(INDEX('Providers'!$U$4:$U$503,429)),TEXT(INDEX('Providers'!$U$4:$U$503,429),"yyyy-mm-dd"),"")</f>
        <v/>
      </c>
      <c r="H3432">
        <f>"High"</f>
        <v/>
      </c>
      <c r="I3432">
        <f>TRIM(IF(LEN(IF(LEN(INDEX('Providers'!$T$4:$T$503,429))=0,"",INDEX('Providers'!$T$4:$T$503,429)))=0,"","CAQH ID: "&amp;IF(LEN(INDEX('Providers'!$T$4:$T$503,429))=0,"",INDEX('Providers'!$T$4:$T$503,429))&amp;". ")&amp;IF(LEN(IF(ISNUMBER(INDEX('Providers'!$U$4:$U$503,429)),TEXT(INDEX('Providers'!$U$4:$U$503,429),"yyyy-mm-dd"),""))=0,"","Last attested: "&amp;IF(ISNUMBER(INDEX('Providers'!$U$4:$U$503,429)),TEXT(INDEX('Providers'!$U$4:$U$503,429),"yyyy-mm-dd"),"")&amp;". "))</f>
        <v/>
      </c>
      <c r="J3432">
        <f>IF(LEN(INDEX('Providers'!$AJ$4:$AJ$503,429))=0,"",INDEX('Providers'!$AJ$4:$AJ$503,429))</f>
        <v/>
      </c>
      <c r="K3432">
        <f>IF(LEN(INDEX('Providers'!$AI$4:$AI$503,429))=0,"",INDEX('Providers'!$AI$4:$AI$503,429))</f>
        <v/>
      </c>
    </row>
    <row r="3433">
      <c r="A3433">
        <f>IF(AND(LEN('Providers'!A433)&gt;0,ISNUMBER('Providers'!W433)),1,0)</f>
        <v/>
      </c>
      <c r="B3433">
        <f>B3432+A3433</f>
        <v/>
      </c>
      <c r="C3433">
        <f>IF(3430&gt;$B$4503,"",MATCH(3430-0.5,$B$3:$B$4503,1))</f>
        <v/>
      </c>
      <c r="D3433">
        <f>"CAQH re-attestation – "&amp;IF(LEN(INDEX('Providers'!$A$4:$A$503,430))=0,"",INDEX('Providers'!$A$4:$A$503,430))</f>
        <v/>
      </c>
      <c r="E3433">
        <f>IF(ISNUMBER(INDEX('Providers'!$W$4:$W$503,430)),TEXT(INDEX('Providers'!$W$4:$W$503,430),"yyyy-mm-dd"),"")</f>
        <v/>
      </c>
      <c r="F3433">
        <f>"Credentialing"</f>
        <v/>
      </c>
      <c r="G3433">
        <f>IF(ISNUMBER(INDEX('Providers'!$U$4:$U$503,430)),TEXT(INDEX('Providers'!$U$4:$U$503,430),"yyyy-mm-dd"),"")</f>
        <v/>
      </c>
      <c r="H3433">
        <f>"High"</f>
        <v/>
      </c>
      <c r="I3433">
        <f>TRIM(IF(LEN(IF(LEN(INDEX('Providers'!$T$4:$T$503,430))=0,"",INDEX('Providers'!$T$4:$T$503,430)))=0,"","CAQH ID: "&amp;IF(LEN(INDEX('Providers'!$T$4:$T$503,430))=0,"",INDEX('Providers'!$T$4:$T$503,430))&amp;". ")&amp;IF(LEN(IF(ISNUMBER(INDEX('Providers'!$U$4:$U$503,430)),TEXT(INDEX('Providers'!$U$4:$U$503,430),"yyyy-mm-dd"),""))=0,"","Last attested: "&amp;IF(ISNUMBER(INDEX('Providers'!$U$4:$U$503,430)),TEXT(INDEX('Providers'!$U$4:$U$503,430),"yyyy-mm-dd"),"")&amp;". "))</f>
        <v/>
      </c>
      <c r="J3433">
        <f>IF(LEN(INDEX('Providers'!$AJ$4:$AJ$503,430))=0,"",INDEX('Providers'!$AJ$4:$AJ$503,430))</f>
        <v/>
      </c>
      <c r="K3433">
        <f>IF(LEN(INDEX('Providers'!$AI$4:$AI$503,430))=0,"",INDEX('Providers'!$AI$4:$AI$503,430))</f>
        <v/>
      </c>
    </row>
    <row r="3434">
      <c r="A3434">
        <f>IF(AND(LEN('Providers'!A434)&gt;0,ISNUMBER('Providers'!W434)),1,0)</f>
        <v/>
      </c>
      <c r="B3434">
        <f>B3433+A3434</f>
        <v/>
      </c>
      <c r="C3434">
        <f>IF(3431&gt;$B$4503,"",MATCH(3431-0.5,$B$3:$B$4503,1))</f>
        <v/>
      </c>
      <c r="D3434">
        <f>"CAQH re-attestation – "&amp;IF(LEN(INDEX('Providers'!$A$4:$A$503,431))=0,"",INDEX('Providers'!$A$4:$A$503,431))</f>
        <v/>
      </c>
      <c r="E3434">
        <f>IF(ISNUMBER(INDEX('Providers'!$W$4:$W$503,431)),TEXT(INDEX('Providers'!$W$4:$W$503,431),"yyyy-mm-dd"),"")</f>
        <v/>
      </c>
      <c r="F3434">
        <f>"Credentialing"</f>
        <v/>
      </c>
      <c r="G3434">
        <f>IF(ISNUMBER(INDEX('Providers'!$U$4:$U$503,431)),TEXT(INDEX('Providers'!$U$4:$U$503,431),"yyyy-mm-dd"),"")</f>
        <v/>
      </c>
      <c r="H3434">
        <f>"High"</f>
        <v/>
      </c>
      <c r="I3434">
        <f>TRIM(IF(LEN(IF(LEN(INDEX('Providers'!$T$4:$T$503,431))=0,"",INDEX('Providers'!$T$4:$T$503,431)))=0,"","CAQH ID: "&amp;IF(LEN(INDEX('Providers'!$T$4:$T$503,431))=0,"",INDEX('Providers'!$T$4:$T$503,431))&amp;". ")&amp;IF(LEN(IF(ISNUMBER(INDEX('Providers'!$U$4:$U$503,431)),TEXT(INDEX('Providers'!$U$4:$U$503,431),"yyyy-mm-dd"),""))=0,"","Last attested: "&amp;IF(ISNUMBER(INDEX('Providers'!$U$4:$U$503,431)),TEXT(INDEX('Providers'!$U$4:$U$503,431),"yyyy-mm-dd"),"")&amp;". "))</f>
        <v/>
      </c>
      <c r="J3434">
        <f>IF(LEN(INDEX('Providers'!$AJ$4:$AJ$503,431))=0,"",INDEX('Providers'!$AJ$4:$AJ$503,431))</f>
        <v/>
      </c>
      <c r="K3434">
        <f>IF(LEN(INDEX('Providers'!$AI$4:$AI$503,431))=0,"",INDEX('Providers'!$AI$4:$AI$503,431))</f>
        <v/>
      </c>
    </row>
    <row r="3435">
      <c r="A3435">
        <f>IF(AND(LEN('Providers'!A435)&gt;0,ISNUMBER('Providers'!W435)),1,0)</f>
        <v/>
      </c>
      <c r="B3435">
        <f>B3434+A3435</f>
        <v/>
      </c>
      <c r="C3435">
        <f>IF(3432&gt;$B$4503,"",MATCH(3432-0.5,$B$3:$B$4503,1))</f>
        <v/>
      </c>
      <c r="D3435">
        <f>"CAQH re-attestation – "&amp;IF(LEN(INDEX('Providers'!$A$4:$A$503,432))=0,"",INDEX('Providers'!$A$4:$A$503,432))</f>
        <v/>
      </c>
      <c r="E3435">
        <f>IF(ISNUMBER(INDEX('Providers'!$W$4:$W$503,432)),TEXT(INDEX('Providers'!$W$4:$W$503,432),"yyyy-mm-dd"),"")</f>
        <v/>
      </c>
      <c r="F3435">
        <f>"Credentialing"</f>
        <v/>
      </c>
      <c r="G3435">
        <f>IF(ISNUMBER(INDEX('Providers'!$U$4:$U$503,432)),TEXT(INDEX('Providers'!$U$4:$U$503,432),"yyyy-mm-dd"),"")</f>
        <v/>
      </c>
      <c r="H3435">
        <f>"High"</f>
        <v/>
      </c>
      <c r="I3435">
        <f>TRIM(IF(LEN(IF(LEN(INDEX('Providers'!$T$4:$T$503,432))=0,"",INDEX('Providers'!$T$4:$T$503,432)))=0,"","CAQH ID: "&amp;IF(LEN(INDEX('Providers'!$T$4:$T$503,432))=0,"",INDEX('Providers'!$T$4:$T$503,432))&amp;". ")&amp;IF(LEN(IF(ISNUMBER(INDEX('Providers'!$U$4:$U$503,432)),TEXT(INDEX('Providers'!$U$4:$U$503,432),"yyyy-mm-dd"),""))=0,"","Last attested: "&amp;IF(ISNUMBER(INDEX('Providers'!$U$4:$U$503,432)),TEXT(INDEX('Providers'!$U$4:$U$503,432),"yyyy-mm-dd"),"")&amp;". "))</f>
        <v/>
      </c>
      <c r="J3435">
        <f>IF(LEN(INDEX('Providers'!$AJ$4:$AJ$503,432))=0,"",INDEX('Providers'!$AJ$4:$AJ$503,432))</f>
        <v/>
      </c>
      <c r="K3435">
        <f>IF(LEN(INDEX('Providers'!$AI$4:$AI$503,432))=0,"",INDEX('Providers'!$AI$4:$AI$503,432))</f>
        <v/>
      </c>
    </row>
    <row r="3436">
      <c r="A3436">
        <f>IF(AND(LEN('Providers'!A436)&gt;0,ISNUMBER('Providers'!W436)),1,0)</f>
        <v/>
      </c>
      <c r="B3436">
        <f>B3435+A3436</f>
        <v/>
      </c>
      <c r="C3436">
        <f>IF(3433&gt;$B$4503,"",MATCH(3433-0.5,$B$3:$B$4503,1))</f>
        <v/>
      </c>
      <c r="D3436">
        <f>"CAQH re-attestation – "&amp;IF(LEN(INDEX('Providers'!$A$4:$A$503,433))=0,"",INDEX('Providers'!$A$4:$A$503,433))</f>
        <v/>
      </c>
      <c r="E3436">
        <f>IF(ISNUMBER(INDEX('Providers'!$W$4:$W$503,433)),TEXT(INDEX('Providers'!$W$4:$W$503,433),"yyyy-mm-dd"),"")</f>
        <v/>
      </c>
      <c r="F3436">
        <f>"Credentialing"</f>
        <v/>
      </c>
      <c r="G3436">
        <f>IF(ISNUMBER(INDEX('Providers'!$U$4:$U$503,433)),TEXT(INDEX('Providers'!$U$4:$U$503,433),"yyyy-mm-dd"),"")</f>
        <v/>
      </c>
      <c r="H3436">
        <f>"High"</f>
        <v/>
      </c>
      <c r="I3436">
        <f>TRIM(IF(LEN(IF(LEN(INDEX('Providers'!$T$4:$T$503,433))=0,"",INDEX('Providers'!$T$4:$T$503,433)))=0,"","CAQH ID: "&amp;IF(LEN(INDEX('Providers'!$T$4:$T$503,433))=0,"",INDEX('Providers'!$T$4:$T$503,433))&amp;". ")&amp;IF(LEN(IF(ISNUMBER(INDEX('Providers'!$U$4:$U$503,433)),TEXT(INDEX('Providers'!$U$4:$U$503,433),"yyyy-mm-dd"),""))=0,"","Last attested: "&amp;IF(ISNUMBER(INDEX('Providers'!$U$4:$U$503,433)),TEXT(INDEX('Providers'!$U$4:$U$503,433),"yyyy-mm-dd"),"")&amp;". "))</f>
        <v/>
      </c>
      <c r="J3436">
        <f>IF(LEN(INDEX('Providers'!$AJ$4:$AJ$503,433))=0,"",INDEX('Providers'!$AJ$4:$AJ$503,433))</f>
        <v/>
      </c>
      <c r="K3436">
        <f>IF(LEN(INDEX('Providers'!$AI$4:$AI$503,433))=0,"",INDEX('Providers'!$AI$4:$AI$503,433))</f>
        <v/>
      </c>
    </row>
    <row r="3437">
      <c r="A3437">
        <f>IF(AND(LEN('Providers'!A437)&gt;0,ISNUMBER('Providers'!W437)),1,0)</f>
        <v/>
      </c>
      <c r="B3437">
        <f>B3436+A3437</f>
        <v/>
      </c>
      <c r="C3437">
        <f>IF(3434&gt;$B$4503,"",MATCH(3434-0.5,$B$3:$B$4503,1))</f>
        <v/>
      </c>
      <c r="D3437">
        <f>"CAQH re-attestation – "&amp;IF(LEN(INDEX('Providers'!$A$4:$A$503,434))=0,"",INDEX('Providers'!$A$4:$A$503,434))</f>
        <v/>
      </c>
      <c r="E3437">
        <f>IF(ISNUMBER(INDEX('Providers'!$W$4:$W$503,434)),TEXT(INDEX('Providers'!$W$4:$W$503,434),"yyyy-mm-dd"),"")</f>
        <v/>
      </c>
      <c r="F3437">
        <f>"Credentialing"</f>
        <v/>
      </c>
      <c r="G3437">
        <f>IF(ISNUMBER(INDEX('Providers'!$U$4:$U$503,434)),TEXT(INDEX('Providers'!$U$4:$U$503,434),"yyyy-mm-dd"),"")</f>
        <v/>
      </c>
      <c r="H3437">
        <f>"High"</f>
        <v/>
      </c>
      <c r="I3437">
        <f>TRIM(IF(LEN(IF(LEN(INDEX('Providers'!$T$4:$T$503,434))=0,"",INDEX('Providers'!$T$4:$T$503,434)))=0,"","CAQH ID: "&amp;IF(LEN(INDEX('Providers'!$T$4:$T$503,434))=0,"",INDEX('Providers'!$T$4:$T$503,434))&amp;". ")&amp;IF(LEN(IF(ISNUMBER(INDEX('Providers'!$U$4:$U$503,434)),TEXT(INDEX('Providers'!$U$4:$U$503,434),"yyyy-mm-dd"),""))=0,"","Last attested: "&amp;IF(ISNUMBER(INDEX('Providers'!$U$4:$U$503,434)),TEXT(INDEX('Providers'!$U$4:$U$503,434),"yyyy-mm-dd"),"")&amp;". "))</f>
        <v/>
      </c>
      <c r="J3437">
        <f>IF(LEN(INDEX('Providers'!$AJ$4:$AJ$503,434))=0,"",INDEX('Providers'!$AJ$4:$AJ$503,434))</f>
        <v/>
      </c>
      <c r="K3437">
        <f>IF(LEN(INDEX('Providers'!$AI$4:$AI$503,434))=0,"",INDEX('Providers'!$AI$4:$AI$503,434))</f>
        <v/>
      </c>
    </row>
    <row r="3438">
      <c r="A3438">
        <f>IF(AND(LEN('Providers'!A438)&gt;0,ISNUMBER('Providers'!W438)),1,0)</f>
        <v/>
      </c>
      <c r="B3438">
        <f>B3437+A3438</f>
        <v/>
      </c>
      <c r="C3438">
        <f>IF(3435&gt;$B$4503,"",MATCH(3435-0.5,$B$3:$B$4503,1))</f>
        <v/>
      </c>
      <c r="D3438">
        <f>"CAQH re-attestation – "&amp;IF(LEN(INDEX('Providers'!$A$4:$A$503,435))=0,"",INDEX('Providers'!$A$4:$A$503,435))</f>
        <v/>
      </c>
      <c r="E3438">
        <f>IF(ISNUMBER(INDEX('Providers'!$W$4:$W$503,435)),TEXT(INDEX('Providers'!$W$4:$W$503,435),"yyyy-mm-dd"),"")</f>
        <v/>
      </c>
      <c r="F3438">
        <f>"Credentialing"</f>
        <v/>
      </c>
      <c r="G3438">
        <f>IF(ISNUMBER(INDEX('Providers'!$U$4:$U$503,435)),TEXT(INDEX('Providers'!$U$4:$U$503,435),"yyyy-mm-dd"),"")</f>
        <v/>
      </c>
      <c r="H3438">
        <f>"High"</f>
        <v/>
      </c>
      <c r="I3438">
        <f>TRIM(IF(LEN(IF(LEN(INDEX('Providers'!$T$4:$T$503,435))=0,"",INDEX('Providers'!$T$4:$T$503,435)))=0,"","CAQH ID: "&amp;IF(LEN(INDEX('Providers'!$T$4:$T$503,435))=0,"",INDEX('Providers'!$T$4:$T$503,435))&amp;". ")&amp;IF(LEN(IF(ISNUMBER(INDEX('Providers'!$U$4:$U$503,435)),TEXT(INDEX('Providers'!$U$4:$U$503,435),"yyyy-mm-dd"),""))=0,"","Last attested: "&amp;IF(ISNUMBER(INDEX('Providers'!$U$4:$U$503,435)),TEXT(INDEX('Providers'!$U$4:$U$503,435),"yyyy-mm-dd"),"")&amp;". "))</f>
        <v/>
      </c>
      <c r="J3438">
        <f>IF(LEN(INDEX('Providers'!$AJ$4:$AJ$503,435))=0,"",INDEX('Providers'!$AJ$4:$AJ$503,435))</f>
        <v/>
      </c>
      <c r="K3438">
        <f>IF(LEN(INDEX('Providers'!$AI$4:$AI$503,435))=0,"",INDEX('Providers'!$AI$4:$AI$503,435))</f>
        <v/>
      </c>
    </row>
    <row r="3439">
      <c r="A3439">
        <f>IF(AND(LEN('Providers'!A439)&gt;0,ISNUMBER('Providers'!W439)),1,0)</f>
        <v/>
      </c>
      <c r="B3439">
        <f>B3438+A3439</f>
        <v/>
      </c>
      <c r="C3439">
        <f>IF(3436&gt;$B$4503,"",MATCH(3436-0.5,$B$3:$B$4503,1))</f>
        <v/>
      </c>
      <c r="D3439">
        <f>"CAQH re-attestation – "&amp;IF(LEN(INDEX('Providers'!$A$4:$A$503,436))=0,"",INDEX('Providers'!$A$4:$A$503,436))</f>
        <v/>
      </c>
      <c r="E3439">
        <f>IF(ISNUMBER(INDEX('Providers'!$W$4:$W$503,436)),TEXT(INDEX('Providers'!$W$4:$W$503,436),"yyyy-mm-dd"),"")</f>
        <v/>
      </c>
      <c r="F3439">
        <f>"Credentialing"</f>
        <v/>
      </c>
      <c r="G3439">
        <f>IF(ISNUMBER(INDEX('Providers'!$U$4:$U$503,436)),TEXT(INDEX('Providers'!$U$4:$U$503,436),"yyyy-mm-dd"),"")</f>
        <v/>
      </c>
      <c r="H3439">
        <f>"High"</f>
        <v/>
      </c>
      <c r="I3439">
        <f>TRIM(IF(LEN(IF(LEN(INDEX('Providers'!$T$4:$T$503,436))=0,"",INDEX('Providers'!$T$4:$T$503,436)))=0,"","CAQH ID: "&amp;IF(LEN(INDEX('Providers'!$T$4:$T$503,436))=0,"",INDEX('Providers'!$T$4:$T$503,436))&amp;". ")&amp;IF(LEN(IF(ISNUMBER(INDEX('Providers'!$U$4:$U$503,436)),TEXT(INDEX('Providers'!$U$4:$U$503,436),"yyyy-mm-dd"),""))=0,"","Last attested: "&amp;IF(ISNUMBER(INDEX('Providers'!$U$4:$U$503,436)),TEXT(INDEX('Providers'!$U$4:$U$503,436),"yyyy-mm-dd"),"")&amp;". "))</f>
        <v/>
      </c>
      <c r="J3439">
        <f>IF(LEN(INDEX('Providers'!$AJ$4:$AJ$503,436))=0,"",INDEX('Providers'!$AJ$4:$AJ$503,436))</f>
        <v/>
      </c>
      <c r="K3439">
        <f>IF(LEN(INDEX('Providers'!$AI$4:$AI$503,436))=0,"",INDEX('Providers'!$AI$4:$AI$503,436))</f>
        <v/>
      </c>
    </row>
    <row r="3440">
      <c r="A3440">
        <f>IF(AND(LEN('Providers'!A440)&gt;0,ISNUMBER('Providers'!W440)),1,0)</f>
        <v/>
      </c>
      <c r="B3440">
        <f>B3439+A3440</f>
        <v/>
      </c>
      <c r="C3440">
        <f>IF(3437&gt;$B$4503,"",MATCH(3437-0.5,$B$3:$B$4503,1))</f>
        <v/>
      </c>
      <c r="D3440">
        <f>"CAQH re-attestation – "&amp;IF(LEN(INDEX('Providers'!$A$4:$A$503,437))=0,"",INDEX('Providers'!$A$4:$A$503,437))</f>
        <v/>
      </c>
      <c r="E3440">
        <f>IF(ISNUMBER(INDEX('Providers'!$W$4:$W$503,437)),TEXT(INDEX('Providers'!$W$4:$W$503,437),"yyyy-mm-dd"),"")</f>
        <v/>
      </c>
      <c r="F3440">
        <f>"Credentialing"</f>
        <v/>
      </c>
      <c r="G3440">
        <f>IF(ISNUMBER(INDEX('Providers'!$U$4:$U$503,437)),TEXT(INDEX('Providers'!$U$4:$U$503,437),"yyyy-mm-dd"),"")</f>
        <v/>
      </c>
      <c r="H3440">
        <f>"High"</f>
        <v/>
      </c>
      <c r="I3440">
        <f>TRIM(IF(LEN(IF(LEN(INDEX('Providers'!$T$4:$T$503,437))=0,"",INDEX('Providers'!$T$4:$T$503,437)))=0,"","CAQH ID: "&amp;IF(LEN(INDEX('Providers'!$T$4:$T$503,437))=0,"",INDEX('Providers'!$T$4:$T$503,437))&amp;". ")&amp;IF(LEN(IF(ISNUMBER(INDEX('Providers'!$U$4:$U$503,437)),TEXT(INDEX('Providers'!$U$4:$U$503,437),"yyyy-mm-dd"),""))=0,"","Last attested: "&amp;IF(ISNUMBER(INDEX('Providers'!$U$4:$U$503,437)),TEXT(INDEX('Providers'!$U$4:$U$503,437),"yyyy-mm-dd"),"")&amp;". "))</f>
        <v/>
      </c>
      <c r="J3440">
        <f>IF(LEN(INDEX('Providers'!$AJ$4:$AJ$503,437))=0,"",INDEX('Providers'!$AJ$4:$AJ$503,437))</f>
        <v/>
      </c>
      <c r="K3440">
        <f>IF(LEN(INDEX('Providers'!$AI$4:$AI$503,437))=0,"",INDEX('Providers'!$AI$4:$AI$503,437))</f>
        <v/>
      </c>
    </row>
    <row r="3441">
      <c r="A3441">
        <f>IF(AND(LEN('Providers'!A441)&gt;0,ISNUMBER('Providers'!W441)),1,0)</f>
        <v/>
      </c>
      <c r="B3441">
        <f>B3440+A3441</f>
        <v/>
      </c>
      <c r="C3441">
        <f>IF(3438&gt;$B$4503,"",MATCH(3438-0.5,$B$3:$B$4503,1))</f>
        <v/>
      </c>
      <c r="D3441">
        <f>"CAQH re-attestation – "&amp;IF(LEN(INDEX('Providers'!$A$4:$A$503,438))=0,"",INDEX('Providers'!$A$4:$A$503,438))</f>
        <v/>
      </c>
      <c r="E3441">
        <f>IF(ISNUMBER(INDEX('Providers'!$W$4:$W$503,438)),TEXT(INDEX('Providers'!$W$4:$W$503,438),"yyyy-mm-dd"),"")</f>
        <v/>
      </c>
      <c r="F3441">
        <f>"Credentialing"</f>
        <v/>
      </c>
      <c r="G3441">
        <f>IF(ISNUMBER(INDEX('Providers'!$U$4:$U$503,438)),TEXT(INDEX('Providers'!$U$4:$U$503,438),"yyyy-mm-dd"),"")</f>
        <v/>
      </c>
      <c r="H3441">
        <f>"High"</f>
        <v/>
      </c>
      <c r="I3441">
        <f>TRIM(IF(LEN(IF(LEN(INDEX('Providers'!$T$4:$T$503,438))=0,"",INDEX('Providers'!$T$4:$T$503,438)))=0,"","CAQH ID: "&amp;IF(LEN(INDEX('Providers'!$T$4:$T$503,438))=0,"",INDEX('Providers'!$T$4:$T$503,438))&amp;". ")&amp;IF(LEN(IF(ISNUMBER(INDEX('Providers'!$U$4:$U$503,438)),TEXT(INDEX('Providers'!$U$4:$U$503,438),"yyyy-mm-dd"),""))=0,"","Last attested: "&amp;IF(ISNUMBER(INDEX('Providers'!$U$4:$U$503,438)),TEXT(INDEX('Providers'!$U$4:$U$503,438),"yyyy-mm-dd"),"")&amp;". "))</f>
        <v/>
      </c>
      <c r="J3441">
        <f>IF(LEN(INDEX('Providers'!$AJ$4:$AJ$503,438))=0,"",INDEX('Providers'!$AJ$4:$AJ$503,438))</f>
        <v/>
      </c>
      <c r="K3441">
        <f>IF(LEN(INDEX('Providers'!$AI$4:$AI$503,438))=0,"",INDEX('Providers'!$AI$4:$AI$503,438))</f>
        <v/>
      </c>
    </row>
    <row r="3442">
      <c r="A3442">
        <f>IF(AND(LEN('Providers'!A442)&gt;0,ISNUMBER('Providers'!W442)),1,0)</f>
        <v/>
      </c>
      <c r="B3442">
        <f>B3441+A3442</f>
        <v/>
      </c>
      <c r="C3442">
        <f>IF(3439&gt;$B$4503,"",MATCH(3439-0.5,$B$3:$B$4503,1))</f>
        <v/>
      </c>
      <c r="D3442">
        <f>"CAQH re-attestation – "&amp;IF(LEN(INDEX('Providers'!$A$4:$A$503,439))=0,"",INDEX('Providers'!$A$4:$A$503,439))</f>
        <v/>
      </c>
      <c r="E3442">
        <f>IF(ISNUMBER(INDEX('Providers'!$W$4:$W$503,439)),TEXT(INDEX('Providers'!$W$4:$W$503,439),"yyyy-mm-dd"),"")</f>
        <v/>
      </c>
      <c r="F3442">
        <f>"Credentialing"</f>
        <v/>
      </c>
      <c r="G3442">
        <f>IF(ISNUMBER(INDEX('Providers'!$U$4:$U$503,439)),TEXT(INDEX('Providers'!$U$4:$U$503,439),"yyyy-mm-dd"),"")</f>
        <v/>
      </c>
      <c r="H3442">
        <f>"High"</f>
        <v/>
      </c>
      <c r="I3442">
        <f>TRIM(IF(LEN(IF(LEN(INDEX('Providers'!$T$4:$T$503,439))=0,"",INDEX('Providers'!$T$4:$T$503,439)))=0,"","CAQH ID: "&amp;IF(LEN(INDEX('Providers'!$T$4:$T$503,439))=0,"",INDEX('Providers'!$T$4:$T$503,439))&amp;". ")&amp;IF(LEN(IF(ISNUMBER(INDEX('Providers'!$U$4:$U$503,439)),TEXT(INDEX('Providers'!$U$4:$U$503,439),"yyyy-mm-dd"),""))=0,"","Last attested: "&amp;IF(ISNUMBER(INDEX('Providers'!$U$4:$U$503,439)),TEXT(INDEX('Providers'!$U$4:$U$503,439),"yyyy-mm-dd"),"")&amp;". "))</f>
        <v/>
      </c>
      <c r="J3442">
        <f>IF(LEN(INDEX('Providers'!$AJ$4:$AJ$503,439))=0,"",INDEX('Providers'!$AJ$4:$AJ$503,439))</f>
        <v/>
      </c>
      <c r="K3442">
        <f>IF(LEN(INDEX('Providers'!$AI$4:$AI$503,439))=0,"",INDEX('Providers'!$AI$4:$AI$503,439))</f>
        <v/>
      </c>
    </row>
    <row r="3443">
      <c r="A3443">
        <f>IF(AND(LEN('Providers'!A443)&gt;0,ISNUMBER('Providers'!W443)),1,0)</f>
        <v/>
      </c>
      <c r="B3443">
        <f>B3442+A3443</f>
        <v/>
      </c>
      <c r="C3443">
        <f>IF(3440&gt;$B$4503,"",MATCH(3440-0.5,$B$3:$B$4503,1))</f>
        <v/>
      </c>
      <c r="D3443">
        <f>"CAQH re-attestation – "&amp;IF(LEN(INDEX('Providers'!$A$4:$A$503,440))=0,"",INDEX('Providers'!$A$4:$A$503,440))</f>
        <v/>
      </c>
      <c r="E3443">
        <f>IF(ISNUMBER(INDEX('Providers'!$W$4:$W$503,440)),TEXT(INDEX('Providers'!$W$4:$W$503,440),"yyyy-mm-dd"),"")</f>
        <v/>
      </c>
      <c r="F3443">
        <f>"Credentialing"</f>
        <v/>
      </c>
      <c r="G3443">
        <f>IF(ISNUMBER(INDEX('Providers'!$U$4:$U$503,440)),TEXT(INDEX('Providers'!$U$4:$U$503,440),"yyyy-mm-dd"),"")</f>
        <v/>
      </c>
      <c r="H3443">
        <f>"High"</f>
        <v/>
      </c>
      <c r="I3443">
        <f>TRIM(IF(LEN(IF(LEN(INDEX('Providers'!$T$4:$T$503,440))=0,"",INDEX('Providers'!$T$4:$T$503,440)))=0,"","CAQH ID: "&amp;IF(LEN(INDEX('Providers'!$T$4:$T$503,440))=0,"",INDEX('Providers'!$T$4:$T$503,440))&amp;". ")&amp;IF(LEN(IF(ISNUMBER(INDEX('Providers'!$U$4:$U$503,440)),TEXT(INDEX('Providers'!$U$4:$U$503,440),"yyyy-mm-dd"),""))=0,"","Last attested: "&amp;IF(ISNUMBER(INDEX('Providers'!$U$4:$U$503,440)),TEXT(INDEX('Providers'!$U$4:$U$503,440),"yyyy-mm-dd"),"")&amp;". "))</f>
        <v/>
      </c>
      <c r="J3443">
        <f>IF(LEN(INDEX('Providers'!$AJ$4:$AJ$503,440))=0,"",INDEX('Providers'!$AJ$4:$AJ$503,440))</f>
        <v/>
      </c>
      <c r="K3443">
        <f>IF(LEN(INDEX('Providers'!$AI$4:$AI$503,440))=0,"",INDEX('Providers'!$AI$4:$AI$503,440))</f>
        <v/>
      </c>
    </row>
    <row r="3444">
      <c r="A3444">
        <f>IF(AND(LEN('Providers'!A444)&gt;0,ISNUMBER('Providers'!W444)),1,0)</f>
        <v/>
      </c>
      <c r="B3444">
        <f>B3443+A3444</f>
        <v/>
      </c>
      <c r="C3444">
        <f>IF(3441&gt;$B$4503,"",MATCH(3441-0.5,$B$3:$B$4503,1))</f>
        <v/>
      </c>
      <c r="D3444">
        <f>"CAQH re-attestation – "&amp;IF(LEN(INDEX('Providers'!$A$4:$A$503,441))=0,"",INDEX('Providers'!$A$4:$A$503,441))</f>
        <v/>
      </c>
      <c r="E3444">
        <f>IF(ISNUMBER(INDEX('Providers'!$W$4:$W$503,441)),TEXT(INDEX('Providers'!$W$4:$W$503,441),"yyyy-mm-dd"),"")</f>
        <v/>
      </c>
      <c r="F3444">
        <f>"Credentialing"</f>
        <v/>
      </c>
      <c r="G3444">
        <f>IF(ISNUMBER(INDEX('Providers'!$U$4:$U$503,441)),TEXT(INDEX('Providers'!$U$4:$U$503,441),"yyyy-mm-dd"),"")</f>
        <v/>
      </c>
      <c r="H3444">
        <f>"High"</f>
        <v/>
      </c>
      <c r="I3444">
        <f>TRIM(IF(LEN(IF(LEN(INDEX('Providers'!$T$4:$T$503,441))=0,"",INDEX('Providers'!$T$4:$T$503,441)))=0,"","CAQH ID: "&amp;IF(LEN(INDEX('Providers'!$T$4:$T$503,441))=0,"",INDEX('Providers'!$T$4:$T$503,441))&amp;". ")&amp;IF(LEN(IF(ISNUMBER(INDEX('Providers'!$U$4:$U$503,441)),TEXT(INDEX('Providers'!$U$4:$U$503,441),"yyyy-mm-dd"),""))=0,"","Last attested: "&amp;IF(ISNUMBER(INDEX('Providers'!$U$4:$U$503,441)),TEXT(INDEX('Providers'!$U$4:$U$503,441),"yyyy-mm-dd"),"")&amp;". "))</f>
        <v/>
      </c>
      <c r="J3444">
        <f>IF(LEN(INDEX('Providers'!$AJ$4:$AJ$503,441))=0,"",INDEX('Providers'!$AJ$4:$AJ$503,441))</f>
        <v/>
      </c>
      <c r="K3444">
        <f>IF(LEN(INDEX('Providers'!$AI$4:$AI$503,441))=0,"",INDEX('Providers'!$AI$4:$AI$503,441))</f>
        <v/>
      </c>
    </row>
    <row r="3445">
      <c r="A3445">
        <f>IF(AND(LEN('Providers'!A445)&gt;0,ISNUMBER('Providers'!W445)),1,0)</f>
        <v/>
      </c>
      <c r="B3445">
        <f>B3444+A3445</f>
        <v/>
      </c>
      <c r="C3445">
        <f>IF(3442&gt;$B$4503,"",MATCH(3442-0.5,$B$3:$B$4503,1))</f>
        <v/>
      </c>
      <c r="D3445">
        <f>"CAQH re-attestation – "&amp;IF(LEN(INDEX('Providers'!$A$4:$A$503,442))=0,"",INDEX('Providers'!$A$4:$A$503,442))</f>
        <v/>
      </c>
      <c r="E3445">
        <f>IF(ISNUMBER(INDEX('Providers'!$W$4:$W$503,442)),TEXT(INDEX('Providers'!$W$4:$W$503,442),"yyyy-mm-dd"),"")</f>
        <v/>
      </c>
      <c r="F3445">
        <f>"Credentialing"</f>
        <v/>
      </c>
      <c r="G3445">
        <f>IF(ISNUMBER(INDEX('Providers'!$U$4:$U$503,442)),TEXT(INDEX('Providers'!$U$4:$U$503,442),"yyyy-mm-dd"),"")</f>
        <v/>
      </c>
      <c r="H3445">
        <f>"High"</f>
        <v/>
      </c>
      <c r="I3445">
        <f>TRIM(IF(LEN(IF(LEN(INDEX('Providers'!$T$4:$T$503,442))=0,"",INDEX('Providers'!$T$4:$T$503,442)))=0,"","CAQH ID: "&amp;IF(LEN(INDEX('Providers'!$T$4:$T$503,442))=0,"",INDEX('Providers'!$T$4:$T$503,442))&amp;". ")&amp;IF(LEN(IF(ISNUMBER(INDEX('Providers'!$U$4:$U$503,442)),TEXT(INDEX('Providers'!$U$4:$U$503,442),"yyyy-mm-dd"),""))=0,"","Last attested: "&amp;IF(ISNUMBER(INDEX('Providers'!$U$4:$U$503,442)),TEXT(INDEX('Providers'!$U$4:$U$503,442),"yyyy-mm-dd"),"")&amp;". "))</f>
        <v/>
      </c>
      <c r="J3445">
        <f>IF(LEN(INDEX('Providers'!$AJ$4:$AJ$503,442))=0,"",INDEX('Providers'!$AJ$4:$AJ$503,442))</f>
        <v/>
      </c>
      <c r="K3445">
        <f>IF(LEN(INDEX('Providers'!$AI$4:$AI$503,442))=0,"",INDEX('Providers'!$AI$4:$AI$503,442))</f>
        <v/>
      </c>
    </row>
    <row r="3446">
      <c r="A3446">
        <f>IF(AND(LEN('Providers'!A446)&gt;0,ISNUMBER('Providers'!W446)),1,0)</f>
        <v/>
      </c>
      <c r="B3446">
        <f>B3445+A3446</f>
        <v/>
      </c>
      <c r="C3446">
        <f>IF(3443&gt;$B$4503,"",MATCH(3443-0.5,$B$3:$B$4503,1))</f>
        <v/>
      </c>
      <c r="D3446">
        <f>"CAQH re-attestation – "&amp;IF(LEN(INDEX('Providers'!$A$4:$A$503,443))=0,"",INDEX('Providers'!$A$4:$A$503,443))</f>
        <v/>
      </c>
      <c r="E3446">
        <f>IF(ISNUMBER(INDEX('Providers'!$W$4:$W$503,443)),TEXT(INDEX('Providers'!$W$4:$W$503,443),"yyyy-mm-dd"),"")</f>
        <v/>
      </c>
      <c r="F3446">
        <f>"Credentialing"</f>
        <v/>
      </c>
      <c r="G3446">
        <f>IF(ISNUMBER(INDEX('Providers'!$U$4:$U$503,443)),TEXT(INDEX('Providers'!$U$4:$U$503,443),"yyyy-mm-dd"),"")</f>
        <v/>
      </c>
      <c r="H3446">
        <f>"High"</f>
        <v/>
      </c>
      <c r="I3446">
        <f>TRIM(IF(LEN(IF(LEN(INDEX('Providers'!$T$4:$T$503,443))=0,"",INDEX('Providers'!$T$4:$T$503,443)))=0,"","CAQH ID: "&amp;IF(LEN(INDEX('Providers'!$T$4:$T$503,443))=0,"",INDEX('Providers'!$T$4:$T$503,443))&amp;". ")&amp;IF(LEN(IF(ISNUMBER(INDEX('Providers'!$U$4:$U$503,443)),TEXT(INDEX('Providers'!$U$4:$U$503,443),"yyyy-mm-dd"),""))=0,"","Last attested: "&amp;IF(ISNUMBER(INDEX('Providers'!$U$4:$U$503,443)),TEXT(INDEX('Providers'!$U$4:$U$503,443),"yyyy-mm-dd"),"")&amp;". "))</f>
        <v/>
      </c>
      <c r="J3446">
        <f>IF(LEN(INDEX('Providers'!$AJ$4:$AJ$503,443))=0,"",INDEX('Providers'!$AJ$4:$AJ$503,443))</f>
        <v/>
      </c>
      <c r="K3446">
        <f>IF(LEN(INDEX('Providers'!$AI$4:$AI$503,443))=0,"",INDEX('Providers'!$AI$4:$AI$503,443))</f>
        <v/>
      </c>
    </row>
    <row r="3447">
      <c r="A3447">
        <f>IF(AND(LEN('Providers'!A447)&gt;0,ISNUMBER('Providers'!W447)),1,0)</f>
        <v/>
      </c>
      <c r="B3447">
        <f>B3446+A3447</f>
        <v/>
      </c>
      <c r="C3447">
        <f>IF(3444&gt;$B$4503,"",MATCH(3444-0.5,$B$3:$B$4503,1))</f>
        <v/>
      </c>
      <c r="D3447">
        <f>"CAQH re-attestation – "&amp;IF(LEN(INDEX('Providers'!$A$4:$A$503,444))=0,"",INDEX('Providers'!$A$4:$A$503,444))</f>
        <v/>
      </c>
      <c r="E3447">
        <f>IF(ISNUMBER(INDEX('Providers'!$W$4:$W$503,444)),TEXT(INDEX('Providers'!$W$4:$W$503,444),"yyyy-mm-dd"),"")</f>
        <v/>
      </c>
      <c r="F3447">
        <f>"Credentialing"</f>
        <v/>
      </c>
      <c r="G3447">
        <f>IF(ISNUMBER(INDEX('Providers'!$U$4:$U$503,444)),TEXT(INDEX('Providers'!$U$4:$U$503,444),"yyyy-mm-dd"),"")</f>
        <v/>
      </c>
      <c r="H3447">
        <f>"High"</f>
        <v/>
      </c>
      <c r="I3447">
        <f>TRIM(IF(LEN(IF(LEN(INDEX('Providers'!$T$4:$T$503,444))=0,"",INDEX('Providers'!$T$4:$T$503,444)))=0,"","CAQH ID: "&amp;IF(LEN(INDEX('Providers'!$T$4:$T$503,444))=0,"",INDEX('Providers'!$T$4:$T$503,444))&amp;". ")&amp;IF(LEN(IF(ISNUMBER(INDEX('Providers'!$U$4:$U$503,444)),TEXT(INDEX('Providers'!$U$4:$U$503,444),"yyyy-mm-dd"),""))=0,"","Last attested: "&amp;IF(ISNUMBER(INDEX('Providers'!$U$4:$U$503,444)),TEXT(INDEX('Providers'!$U$4:$U$503,444),"yyyy-mm-dd"),"")&amp;". "))</f>
        <v/>
      </c>
      <c r="J3447">
        <f>IF(LEN(INDEX('Providers'!$AJ$4:$AJ$503,444))=0,"",INDEX('Providers'!$AJ$4:$AJ$503,444))</f>
        <v/>
      </c>
      <c r="K3447">
        <f>IF(LEN(INDEX('Providers'!$AI$4:$AI$503,444))=0,"",INDEX('Providers'!$AI$4:$AI$503,444))</f>
        <v/>
      </c>
    </row>
    <row r="3448">
      <c r="A3448">
        <f>IF(AND(LEN('Providers'!A448)&gt;0,ISNUMBER('Providers'!W448)),1,0)</f>
        <v/>
      </c>
      <c r="B3448">
        <f>B3447+A3448</f>
        <v/>
      </c>
      <c r="C3448">
        <f>IF(3445&gt;$B$4503,"",MATCH(3445-0.5,$B$3:$B$4503,1))</f>
        <v/>
      </c>
      <c r="D3448">
        <f>"CAQH re-attestation – "&amp;IF(LEN(INDEX('Providers'!$A$4:$A$503,445))=0,"",INDEX('Providers'!$A$4:$A$503,445))</f>
        <v/>
      </c>
      <c r="E3448">
        <f>IF(ISNUMBER(INDEX('Providers'!$W$4:$W$503,445)),TEXT(INDEX('Providers'!$W$4:$W$503,445),"yyyy-mm-dd"),"")</f>
        <v/>
      </c>
      <c r="F3448">
        <f>"Credentialing"</f>
        <v/>
      </c>
      <c r="G3448">
        <f>IF(ISNUMBER(INDEX('Providers'!$U$4:$U$503,445)),TEXT(INDEX('Providers'!$U$4:$U$503,445),"yyyy-mm-dd"),"")</f>
        <v/>
      </c>
      <c r="H3448">
        <f>"High"</f>
        <v/>
      </c>
      <c r="I3448">
        <f>TRIM(IF(LEN(IF(LEN(INDEX('Providers'!$T$4:$T$503,445))=0,"",INDEX('Providers'!$T$4:$T$503,445)))=0,"","CAQH ID: "&amp;IF(LEN(INDEX('Providers'!$T$4:$T$503,445))=0,"",INDEX('Providers'!$T$4:$T$503,445))&amp;". ")&amp;IF(LEN(IF(ISNUMBER(INDEX('Providers'!$U$4:$U$503,445)),TEXT(INDEX('Providers'!$U$4:$U$503,445),"yyyy-mm-dd"),""))=0,"","Last attested: "&amp;IF(ISNUMBER(INDEX('Providers'!$U$4:$U$503,445)),TEXT(INDEX('Providers'!$U$4:$U$503,445),"yyyy-mm-dd"),"")&amp;". "))</f>
        <v/>
      </c>
      <c r="J3448">
        <f>IF(LEN(INDEX('Providers'!$AJ$4:$AJ$503,445))=0,"",INDEX('Providers'!$AJ$4:$AJ$503,445))</f>
        <v/>
      </c>
      <c r="K3448">
        <f>IF(LEN(INDEX('Providers'!$AI$4:$AI$503,445))=0,"",INDEX('Providers'!$AI$4:$AI$503,445))</f>
        <v/>
      </c>
    </row>
    <row r="3449">
      <c r="A3449">
        <f>IF(AND(LEN('Providers'!A449)&gt;0,ISNUMBER('Providers'!W449)),1,0)</f>
        <v/>
      </c>
      <c r="B3449">
        <f>B3448+A3449</f>
        <v/>
      </c>
      <c r="C3449">
        <f>IF(3446&gt;$B$4503,"",MATCH(3446-0.5,$B$3:$B$4503,1))</f>
        <v/>
      </c>
      <c r="D3449">
        <f>"CAQH re-attestation – "&amp;IF(LEN(INDEX('Providers'!$A$4:$A$503,446))=0,"",INDEX('Providers'!$A$4:$A$503,446))</f>
        <v/>
      </c>
      <c r="E3449">
        <f>IF(ISNUMBER(INDEX('Providers'!$W$4:$W$503,446)),TEXT(INDEX('Providers'!$W$4:$W$503,446),"yyyy-mm-dd"),"")</f>
        <v/>
      </c>
      <c r="F3449">
        <f>"Credentialing"</f>
        <v/>
      </c>
      <c r="G3449">
        <f>IF(ISNUMBER(INDEX('Providers'!$U$4:$U$503,446)),TEXT(INDEX('Providers'!$U$4:$U$503,446),"yyyy-mm-dd"),"")</f>
        <v/>
      </c>
      <c r="H3449">
        <f>"High"</f>
        <v/>
      </c>
      <c r="I3449">
        <f>TRIM(IF(LEN(IF(LEN(INDEX('Providers'!$T$4:$T$503,446))=0,"",INDEX('Providers'!$T$4:$T$503,446)))=0,"","CAQH ID: "&amp;IF(LEN(INDEX('Providers'!$T$4:$T$503,446))=0,"",INDEX('Providers'!$T$4:$T$503,446))&amp;". ")&amp;IF(LEN(IF(ISNUMBER(INDEX('Providers'!$U$4:$U$503,446)),TEXT(INDEX('Providers'!$U$4:$U$503,446),"yyyy-mm-dd"),""))=0,"","Last attested: "&amp;IF(ISNUMBER(INDEX('Providers'!$U$4:$U$503,446)),TEXT(INDEX('Providers'!$U$4:$U$503,446),"yyyy-mm-dd"),"")&amp;". "))</f>
        <v/>
      </c>
      <c r="J3449">
        <f>IF(LEN(INDEX('Providers'!$AJ$4:$AJ$503,446))=0,"",INDEX('Providers'!$AJ$4:$AJ$503,446))</f>
        <v/>
      </c>
      <c r="K3449">
        <f>IF(LEN(INDEX('Providers'!$AI$4:$AI$503,446))=0,"",INDEX('Providers'!$AI$4:$AI$503,446))</f>
        <v/>
      </c>
    </row>
    <row r="3450">
      <c r="A3450">
        <f>IF(AND(LEN('Providers'!A450)&gt;0,ISNUMBER('Providers'!W450)),1,0)</f>
        <v/>
      </c>
      <c r="B3450">
        <f>B3449+A3450</f>
        <v/>
      </c>
      <c r="C3450">
        <f>IF(3447&gt;$B$4503,"",MATCH(3447-0.5,$B$3:$B$4503,1))</f>
        <v/>
      </c>
      <c r="D3450">
        <f>"CAQH re-attestation – "&amp;IF(LEN(INDEX('Providers'!$A$4:$A$503,447))=0,"",INDEX('Providers'!$A$4:$A$503,447))</f>
        <v/>
      </c>
      <c r="E3450">
        <f>IF(ISNUMBER(INDEX('Providers'!$W$4:$W$503,447)),TEXT(INDEX('Providers'!$W$4:$W$503,447),"yyyy-mm-dd"),"")</f>
        <v/>
      </c>
      <c r="F3450">
        <f>"Credentialing"</f>
        <v/>
      </c>
      <c r="G3450">
        <f>IF(ISNUMBER(INDEX('Providers'!$U$4:$U$503,447)),TEXT(INDEX('Providers'!$U$4:$U$503,447),"yyyy-mm-dd"),"")</f>
        <v/>
      </c>
      <c r="H3450">
        <f>"High"</f>
        <v/>
      </c>
      <c r="I3450">
        <f>TRIM(IF(LEN(IF(LEN(INDEX('Providers'!$T$4:$T$503,447))=0,"",INDEX('Providers'!$T$4:$T$503,447)))=0,"","CAQH ID: "&amp;IF(LEN(INDEX('Providers'!$T$4:$T$503,447))=0,"",INDEX('Providers'!$T$4:$T$503,447))&amp;". ")&amp;IF(LEN(IF(ISNUMBER(INDEX('Providers'!$U$4:$U$503,447)),TEXT(INDEX('Providers'!$U$4:$U$503,447),"yyyy-mm-dd"),""))=0,"","Last attested: "&amp;IF(ISNUMBER(INDEX('Providers'!$U$4:$U$503,447)),TEXT(INDEX('Providers'!$U$4:$U$503,447),"yyyy-mm-dd"),"")&amp;". "))</f>
        <v/>
      </c>
      <c r="J3450">
        <f>IF(LEN(INDEX('Providers'!$AJ$4:$AJ$503,447))=0,"",INDEX('Providers'!$AJ$4:$AJ$503,447))</f>
        <v/>
      </c>
      <c r="K3450">
        <f>IF(LEN(INDEX('Providers'!$AI$4:$AI$503,447))=0,"",INDEX('Providers'!$AI$4:$AI$503,447))</f>
        <v/>
      </c>
    </row>
    <row r="3451">
      <c r="A3451">
        <f>IF(AND(LEN('Providers'!A451)&gt;0,ISNUMBER('Providers'!W451)),1,0)</f>
        <v/>
      </c>
      <c r="B3451">
        <f>B3450+A3451</f>
        <v/>
      </c>
      <c r="C3451">
        <f>IF(3448&gt;$B$4503,"",MATCH(3448-0.5,$B$3:$B$4503,1))</f>
        <v/>
      </c>
      <c r="D3451">
        <f>"CAQH re-attestation – "&amp;IF(LEN(INDEX('Providers'!$A$4:$A$503,448))=0,"",INDEX('Providers'!$A$4:$A$503,448))</f>
        <v/>
      </c>
      <c r="E3451">
        <f>IF(ISNUMBER(INDEX('Providers'!$W$4:$W$503,448)),TEXT(INDEX('Providers'!$W$4:$W$503,448),"yyyy-mm-dd"),"")</f>
        <v/>
      </c>
      <c r="F3451">
        <f>"Credentialing"</f>
        <v/>
      </c>
      <c r="G3451">
        <f>IF(ISNUMBER(INDEX('Providers'!$U$4:$U$503,448)),TEXT(INDEX('Providers'!$U$4:$U$503,448),"yyyy-mm-dd"),"")</f>
        <v/>
      </c>
      <c r="H3451">
        <f>"High"</f>
        <v/>
      </c>
      <c r="I3451">
        <f>TRIM(IF(LEN(IF(LEN(INDEX('Providers'!$T$4:$T$503,448))=0,"",INDEX('Providers'!$T$4:$T$503,448)))=0,"","CAQH ID: "&amp;IF(LEN(INDEX('Providers'!$T$4:$T$503,448))=0,"",INDEX('Providers'!$T$4:$T$503,448))&amp;". ")&amp;IF(LEN(IF(ISNUMBER(INDEX('Providers'!$U$4:$U$503,448)),TEXT(INDEX('Providers'!$U$4:$U$503,448),"yyyy-mm-dd"),""))=0,"","Last attested: "&amp;IF(ISNUMBER(INDEX('Providers'!$U$4:$U$503,448)),TEXT(INDEX('Providers'!$U$4:$U$503,448),"yyyy-mm-dd"),"")&amp;". "))</f>
        <v/>
      </c>
      <c r="J3451">
        <f>IF(LEN(INDEX('Providers'!$AJ$4:$AJ$503,448))=0,"",INDEX('Providers'!$AJ$4:$AJ$503,448))</f>
        <v/>
      </c>
      <c r="K3451">
        <f>IF(LEN(INDEX('Providers'!$AI$4:$AI$503,448))=0,"",INDEX('Providers'!$AI$4:$AI$503,448))</f>
        <v/>
      </c>
    </row>
    <row r="3452">
      <c r="A3452">
        <f>IF(AND(LEN('Providers'!A452)&gt;0,ISNUMBER('Providers'!W452)),1,0)</f>
        <v/>
      </c>
      <c r="B3452">
        <f>B3451+A3452</f>
        <v/>
      </c>
      <c r="C3452">
        <f>IF(3449&gt;$B$4503,"",MATCH(3449-0.5,$B$3:$B$4503,1))</f>
        <v/>
      </c>
      <c r="D3452">
        <f>"CAQH re-attestation – "&amp;IF(LEN(INDEX('Providers'!$A$4:$A$503,449))=0,"",INDEX('Providers'!$A$4:$A$503,449))</f>
        <v/>
      </c>
      <c r="E3452">
        <f>IF(ISNUMBER(INDEX('Providers'!$W$4:$W$503,449)),TEXT(INDEX('Providers'!$W$4:$W$503,449),"yyyy-mm-dd"),"")</f>
        <v/>
      </c>
      <c r="F3452">
        <f>"Credentialing"</f>
        <v/>
      </c>
      <c r="G3452">
        <f>IF(ISNUMBER(INDEX('Providers'!$U$4:$U$503,449)),TEXT(INDEX('Providers'!$U$4:$U$503,449),"yyyy-mm-dd"),"")</f>
        <v/>
      </c>
      <c r="H3452">
        <f>"High"</f>
        <v/>
      </c>
      <c r="I3452">
        <f>TRIM(IF(LEN(IF(LEN(INDEX('Providers'!$T$4:$T$503,449))=0,"",INDEX('Providers'!$T$4:$T$503,449)))=0,"","CAQH ID: "&amp;IF(LEN(INDEX('Providers'!$T$4:$T$503,449))=0,"",INDEX('Providers'!$T$4:$T$503,449))&amp;". ")&amp;IF(LEN(IF(ISNUMBER(INDEX('Providers'!$U$4:$U$503,449)),TEXT(INDEX('Providers'!$U$4:$U$503,449),"yyyy-mm-dd"),""))=0,"","Last attested: "&amp;IF(ISNUMBER(INDEX('Providers'!$U$4:$U$503,449)),TEXT(INDEX('Providers'!$U$4:$U$503,449),"yyyy-mm-dd"),"")&amp;". "))</f>
        <v/>
      </c>
      <c r="J3452">
        <f>IF(LEN(INDEX('Providers'!$AJ$4:$AJ$503,449))=0,"",INDEX('Providers'!$AJ$4:$AJ$503,449))</f>
        <v/>
      </c>
      <c r="K3452">
        <f>IF(LEN(INDEX('Providers'!$AI$4:$AI$503,449))=0,"",INDEX('Providers'!$AI$4:$AI$503,449))</f>
        <v/>
      </c>
    </row>
    <row r="3453">
      <c r="A3453">
        <f>IF(AND(LEN('Providers'!A453)&gt;0,ISNUMBER('Providers'!W453)),1,0)</f>
        <v/>
      </c>
      <c r="B3453">
        <f>B3452+A3453</f>
        <v/>
      </c>
      <c r="C3453">
        <f>IF(3450&gt;$B$4503,"",MATCH(3450-0.5,$B$3:$B$4503,1))</f>
        <v/>
      </c>
      <c r="D3453">
        <f>"CAQH re-attestation – "&amp;IF(LEN(INDEX('Providers'!$A$4:$A$503,450))=0,"",INDEX('Providers'!$A$4:$A$503,450))</f>
        <v/>
      </c>
      <c r="E3453">
        <f>IF(ISNUMBER(INDEX('Providers'!$W$4:$W$503,450)),TEXT(INDEX('Providers'!$W$4:$W$503,450),"yyyy-mm-dd"),"")</f>
        <v/>
      </c>
      <c r="F3453">
        <f>"Credentialing"</f>
        <v/>
      </c>
      <c r="G3453">
        <f>IF(ISNUMBER(INDEX('Providers'!$U$4:$U$503,450)),TEXT(INDEX('Providers'!$U$4:$U$503,450),"yyyy-mm-dd"),"")</f>
        <v/>
      </c>
      <c r="H3453">
        <f>"High"</f>
        <v/>
      </c>
      <c r="I3453">
        <f>TRIM(IF(LEN(IF(LEN(INDEX('Providers'!$T$4:$T$503,450))=0,"",INDEX('Providers'!$T$4:$T$503,450)))=0,"","CAQH ID: "&amp;IF(LEN(INDEX('Providers'!$T$4:$T$503,450))=0,"",INDEX('Providers'!$T$4:$T$503,450))&amp;". ")&amp;IF(LEN(IF(ISNUMBER(INDEX('Providers'!$U$4:$U$503,450)),TEXT(INDEX('Providers'!$U$4:$U$503,450),"yyyy-mm-dd"),""))=0,"","Last attested: "&amp;IF(ISNUMBER(INDEX('Providers'!$U$4:$U$503,450)),TEXT(INDEX('Providers'!$U$4:$U$503,450),"yyyy-mm-dd"),"")&amp;". "))</f>
        <v/>
      </c>
      <c r="J3453">
        <f>IF(LEN(INDEX('Providers'!$AJ$4:$AJ$503,450))=0,"",INDEX('Providers'!$AJ$4:$AJ$503,450))</f>
        <v/>
      </c>
      <c r="K3453">
        <f>IF(LEN(INDEX('Providers'!$AI$4:$AI$503,450))=0,"",INDEX('Providers'!$AI$4:$AI$503,450))</f>
        <v/>
      </c>
    </row>
    <row r="3454">
      <c r="A3454">
        <f>IF(AND(LEN('Providers'!A454)&gt;0,ISNUMBER('Providers'!W454)),1,0)</f>
        <v/>
      </c>
      <c r="B3454">
        <f>B3453+A3454</f>
        <v/>
      </c>
      <c r="C3454">
        <f>IF(3451&gt;$B$4503,"",MATCH(3451-0.5,$B$3:$B$4503,1))</f>
        <v/>
      </c>
      <c r="D3454">
        <f>"CAQH re-attestation – "&amp;IF(LEN(INDEX('Providers'!$A$4:$A$503,451))=0,"",INDEX('Providers'!$A$4:$A$503,451))</f>
        <v/>
      </c>
      <c r="E3454">
        <f>IF(ISNUMBER(INDEX('Providers'!$W$4:$W$503,451)),TEXT(INDEX('Providers'!$W$4:$W$503,451),"yyyy-mm-dd"),"")</f>
        <v/>
      </c>
      <c r="F3454">
        <f>"Credentialing"</f>
        <v/>
      </c>
      <c r="G3454">
        <f>IF(ISNUMBER(INDEX('Providers'!$U$4:$U$503,451)),TEXT(INDEX('Providers'!$U$4:$U$503,451),"yyyy-mm-dd"),"")</f>
        <v/>
      </c>
      <c r="H3454">
        <f>"High"</f>
        <v/>
      </c>
      <c r="I3454">
        <f>TRIM(IF(LEN(IF(LEN(INDEX('Providers'!$T$4:$T$503,451))=0,"",INDEX('Providers'!$T$4:$T$503,451)))=0,"","CAQH ID: "&amp;IF(LEN(INDEX('Providers'!$T$4:$T$503,451))=0,"",INDEX('Providers'!$T$4:$T$503,451))&amp;". ")&amp;IF(LEN(IF(ISNUMBER(INDEX('Providers'!$U$4:$U$503,451)),TEXT(INDEX('Providers'!$U$4:$U$503,451),"yyyy-mm-dd"),""))=0,"","Last attested: "&amp;IF(ISNUMBER(INDEX('Providers'!$U$4:$U$503,451)),TEXT(INDEX('Providers'!$U$4:$U$503,451),"yyyy-mm-dd"),"")&amp;". "))</f>
        <v/>
      </c>
      <c r="J3454">
        <f>IF(LEN(INDEX('Providers'!$AJ$4:$AJ$503,451))=0,"",INDEX('Providers'!$AJ$4:$AJ$503,451))</f>
        <v/>
      </c>
      <c r="K3454">
        <f>IF(LEN(INDEX('Providers'!$AI$4:$AI$503,451))=0,"",INDEX('Providers'!$AI$4:$AI$503,451))</f>
        <v/>
      </c>
    </row>
    <row r="3455">
      <c r="A3455">
        <f>IF(AND(LEN('Providers'!A455)&gt;0,ISNUMBER('Providers'!W455)),1,0)</f>
        <v/>
      </c>
      <c r="B3455">
        <f>B3454+A3455</f>
        <v/>
      </c>
      <c r="C3455">
        <f>IF(3452&gt;$B$4503,"",MATCH(3452-0.5,$B$3:$B$4503,1))</f>
        <v/>
      </c>
      <c r="D3455">
        <f>"CAQH re-attestation – "&amp;IF(LEN(INDEX('Providers'!$A$4:$A$503,452))=0,"",INDEX('Providers'!$A$4:$A$503,452))</f>
        <v/>
      </c>
      <c r="E3455">
        <f>IF(ISNUMBER(INDEX('Providers'!$W$4:$W$503,452)),TEXT(INDEX('Providers'!$W$4:$W$503,452),"yyyy-mm-dd"),"")</f>
        <v/>
      </c>
      <c r="F3455">
        <f>"Credentialing"</f>
        <v/>
      </c>
      <c r="G3455">
        <f>IF(ISNUMBER(INDEX('Providers'!$U$4:$U$503,452)),TEXT(INDEX('Providers'!$U$4:$U$503,452),"yyyy-mm-dd"),"")</f>
        <v/>
      </c>
      <c r="H3455">
        <f>"High"</f>
        <v/>
      </c>
      <c r="I3455">
        <f>TRIM(IF(LEN(IF(LEN(INDEX('Providers'!$T$4:$T$503,452))=0,"",INDEX('Providers'!$T$4:$T$503,452)))=0,"","CAQH ID: "&amp;IF(LEN(INDEX('Providers'!$T$4:$T$503,452))=0,"",INDEX('Providers'!$T$4:$T$503,452))&amp;". ")&amp;IF(LEN(IF(ISNUMBER(INDEX('Providers'!$U$4:$U$503,452)),TEXT(INDEX('Providers'!$U$4:$U$503,452),"yyyy-mm-dd"),""))=0,"","Last attested: "&amp;IF(ISNUMBER(INDEX('Providers'!$U$4:$U$503,452)),TEXT(INDEX('Providers'!$U$4:$U$503,452),"yyyy-mm-dd"),"")&amp;". "))</f>
        <v/>
      </c>
      <c r="J3455">
        <f>IF(LEN(INDEX('Providers'!$AJ$4:$AJ$503,452))=0,"",INDEX('Providers'!$AJ$4:$AJ$503,452))</f>
        <v/>
      </c>
      <c r="K3455">
        <f>IF(LEN(INDEX('Providers'!$AI$4:$AI$503,452))=0,"",INDEX('Providers'!$AI$4:$AI$503,452))</f>
        <v/>
      </c>
    </row>
    <row r="3456">
      <c r="A3456">
        <f>IF(AND(LEN('Providers'!A456)&gt;0,ISNUMBER('Providers'!W456)),1,0)</f>
        <v/>
      </c>
      <c r="B3456">
        <f>B3455+A3456</f>
        <v/>
      </c>
      <c r="C3456">
        <f>IF(3453&gt;$B$4503,"",MATCH(3453-0.5,$B$3:$B$4503,1))</f>
        <v/>
      </c>
      <c r="D3456">
        <f>"CAQH re-attestation – "&amp;IF(LEN(INDEX('Providers'!$A$4:$A$503,453))=0,"",INDEX('Providers'!$A$4:$A$503,453))</f>
        <v/>
      </c>
      <c r="E3456">
        <f>IF(ISNUMBER(INDEX('Providers'!$W$4:$W$503,453)),TEXT(INDEX('Providers'!$W$4:$W$503,453),"yyyy-mm-dd"),"")</f>
        <v/>
      </c>
      <c r="F3456">
        <f>"Credentialing"</f>
        <v/>
      </c>
      <c r="G3456">
        <f>IF(ISNUMBER(INDEX('Providers'!$U$4:$U$503,453)),TEXT(INDEX('Providers'!$U$4:$U$503,453),"yyyy-mm-dd"),"")</f>
        <v/>
      </c>
      <c r="H3456">
        <f>"High"</f>
        <v/>
      </c>
      <c r="I3456">
        <f>TRIM(IF(LEN(IF(LEN(INDEX('Providers'!$T$4:$T$503,453))=0,"",INDEX('Providers'!$T$4:$T$503,453)))=0,"","CAQH ID: "&amp;IF(LEN(INDEX('Providers'!$T$4:$T$503,453))=0,"",INDEX('Providers'!$T$4:$T$503,453))&amp;". ")&amp;IF(LEN(IF(ISNUMBER(INDEX('Providers'!$U$4:$U$503,453)),TEXT(INDEX('Providers'!$U$4:$U$503,453),"yyyy-mm-dd"),""))=0,"","Last attested: "&amp;IF(ISNUMBER(INDEX('Providers'!$U$4:$U$503,453)),TEXT(INDEX('Providers'!$U$4:$U$503,453),"yyyy-mm-dd"),"")&amp;". "))</f>
        <v/>
      </c>
      <c r="J3456">
        <f>IF(LEN(INDEX('Providers'!$AJ$4:$AJ$503,453))=0,"",INDEX('Providers'!$AJ$4:$AJ$503,453))</f>
        <v/>
      </c>
      <c r="K3456">
        <f>IF(LEN(INDEX('Providers'!$AI$4:$AI$503,453))=0,"",INDEX('Providers'!$AI$4:$AI$503,453))</f>
        <v/>
      </c>
    </row>
    <row r="3457">
      <c r="A3457">
        <f>IF(AND(LEN('Providers'!A457)&gt;0,ISNUMBER('Providers'!W457)),1,0)</f>
        <v/>
      </c>
      <c r="B3457">
        <f>B3456+A3457</f>
        <v/>
      </c>
      <c r="C3457">
        <f>IF(3454&gt;$B$4503,"",MATCH(3454-0.5,$B$3:$B$4503,1))</f>
        <v/>
      </c>
      <c r="D3457">
        <f>"CAQH re-attestation – "&amp;IF(LEN(INDEX('Providers'!$A$4:$A$503,454))=0,"",INDEX('Providers'!$A$4:$A$503,454))</f>
        <v/>
      </c>
      <c r="E3457">
        <f>IF(ISNUMBER(INDEX('Providers'!$W$4:$W$503,454)),TEXT(INDEX('Providers'!$W$4:$W$503,454),"yyyy-mm-dd"),"")</f>
        <v/>
      </c>
      <c r="F3457">
        <f>"Credentialing"</f>
        <v/>
      </c>
      <c r="G3457">
        <f>IF(ISNUMBER(INDEX('Providers'!$U$4:$U$503,454)),TEXT(INDEX('Providers'!$U$4:$U$503,454),"yyyy-mm-dd"),"")</f>
        <v/>
      </c>
      <c r="H3457">
        <f>"High"</f>
        <v/>
      </c>
      <c r="I3457">
        <f>TRIM(IF(LEN(IF(LEN(INDEX('Providers'!$T$4:$T$503,454))=0,"",INDEX('Providers'!$T$4:$T$503,454)))=0,"","CAQH ID: "&amp;IF(LEN(INDEX('Providers'!$T$4:$T$503,454))=0,"",INDEX('Providers'!$T$4:$T$503,454))&amp;". ")&amp;IF(LEN(IF(ISNUMBER(INDEX('Providers'!$U$4:$U$503,454)),TEXT(INDEX('Providers'!$U$4:$U$503,454),"yyyy-mm-dd"),""))=0,"","Last attested: "&amp;IF(ISNUMBER(INDEX('Providers'!$U$4:$U$503,454)),TEXT(INDEX('Providers'!$U$4:$U$503,454),"yyyy-mm-dd"),"")&amp;". "))</f>
        <v/>
      </c>
      <c r="J3457">
        <f>IF(LEN(INDEX('Providers'!$AJ$4:$AJ$503,454))=0,"",INDEX('Providers'!$AJ$4:$AJ$503,454))</f>
        <v/>
      </c>
      <c r="K3457">
        <f>IF(LEN(INDEX('Providers'!$AI$4:$AI$503,454))=0,"",INDEX('Providers'!$AI$4:$AI$503,454))</f>
        <v/>
      </c>
    </row>
    <row r="3458">
      <c r="A3458">
        <f>IF(AND(LEN('Providers'!A458)&gt;0,ISNUMBER('Providers'!W458)),1,0)</f>
        <v/>
      </c>
      <c r="B3458">
        <f>B3457+A3458</f>
        <v/>
      </c>
      <c r="C3458">
        <f>IF(3455&gt;$B$4503,"",MATCH(3455-0.5,$B$3:$B$4503,1))</f>
        <v/>
      </c>
      <c r="D3458">
        <f>"CAQH re-attestation – "&amp;IF(LEN(INDEX('Providers'!$A$4:$A$503,455))=0,"",INDEX('Providers'!$A$4:$A$503,455))</f>
        <v/>
      </c>
      <c r="E3458">
        <f>IF(ISNUMBER(INDEX('Providers'!$W$4:$W$503,455)),TEXT(INDEX('Providers'!$W$4:$W$503,455),"yyyy-mm-dd"),"")</f>
        <v/>
      </c>
      <c r="F3458">
        <f>"Credentialing"</f>
        <v/>
      </c>
      <c r="G3458">
        <f>IF(ISNUMBER(INDEX('Providers'!$U$4:$U$503,455)),TEXT(INDEX('Providers'!$U$4:$U$503,455),"yyyy-mm-dd"),"")</f>
        <v/>
      </c>
      <c r="H3458">
        <f>"High"</f>
        <v/>
      </c>
      <c r="I3458">
        <f>TRIM(IF(LEN(IF(LEN(INDEX('Providers'!$T$4:$T$503,455))=0,"",INDEX('Providers'!$T$4:$T$503,455)))=0,"","CAQH ID: "&amp;IF(LEN(INDEX('Providers'!$T$4:$T$503,455))=0,"",INDEX('Providers'!$T$4:$T$503,455))&amp;". ")&amp;IF(LEN(IF(ISNUMBER(INDEX('Providers'!$U$4:$U$503,455)),TEXT(INDEX('Providers'!$U$4:$U$503,455),"yyyy-mm-dd"),""))=0,"","Last attested: "&amp;IF(ISNUMBER(INDEX('Providers'!$U$4:$U$503,455)),TEXT(INDEX('Providers'!$U$4:$U$503,455),"yyyy-mm-dd"),"")&amp;". "))</f>
        <v/>
      </c>
      <c r="J3458">
        <f>IF(LEN(INDEX('Providers'!$AJ$4:$AJ$503,455))=0,"",INDEX('Providers'!$AJ$4:$AJ$503,455))</f>
        <v/>
      </c>
      <c r="K3458">
        <f>IF(LEN(INDEX('Providers'!$AI$4:$AI$503,455))=0,"",INDEX('Providers'!$AI$4:$AI$503,455))</f>
        <v/>
      </c>
    </row>
    <row r="3459">
      <c r="A3459">
        <f>IF(AND(LEN('Providers'!A459)&gt;0,ISNUMBER('Providers'!W459)),1,0)</f>
        <v/>
      </c>
      <c r="B3459">
        <f>B3458+A3459</f>
        <v/>
      </c>
      <c r="C3459">
        <f>IF(3456&gt;$B$4503,"",MATCH(3456-0.5,$B$3:$B$4503,1))</f>
        <v/>
      </c>
      <c r="D3459">
        <f>"CAQH re-attestation – "&amp;IF(LEN(INDEX('Providers'!$A$4:$A$503,456))=0,"",INDEX('Providers'!$A$4:$A$503,456))</f>
        <v/>
      </c>
      <c r="E3459">
        <f>IF(ISNUMBER(INDEX('Providers'!$W$4:$W$503,456)),TEXT(INDEX('Providers'!$W$4:$W$503,456),"yyyy-mm-dd"),"")</f>
        <v/>
      </c>
      <c r="F3459">
        <f>"Credentialing"</f>
        <v/>
      </c>
      <c r="G3459">
        <f>IF(ISNUMBER(INDEX('Providers'!$U$4:$U$503,456)),TEXT(INDEX('Providers'!$U$4:$U$503,456),"yyyy-mm-dd"),"")</f>
        <v/>
      </c>
      <c r="H3459">
        <f>"High"</f>
        <v/>
      </c>
      <c r="I3459">
        <f>TRIM(IF(LEN(IF(LEN(INDEX('Providers'!$T$4:$T$503,456))=0,"",INDEX('Providers'!$T$4:$T$503,456)))=0,"","CAQH ID: "&amp;IF(LEN(INDEX('Providers'!$T$4:$T$503,456))=0,"",INDEX('Providers'!$T$4:$T$503,456))&amp;". ")&amp;IF(LEN(IF(ISNUMBER(INDEX('Providers'!$U$4:$U$503,456)),TEXT(INDEX('Providers'!$U$4:$U$503,456),"yyyy-mm-dd"),""))=0,"","Last attested: "&amp;IF(ISNUMBER(INDEX('Providers'!$U$4:$U$503,456)),TEXT(INDEX('Providers'!$U$4:$U$503,456),"yyyy-mm-dd"),"")&amp;". "))</f>
        <v/>
      </c>
      <c r="J3459">
        <f>IF(LEN(INDEX('Providers'!$AJ$4:$AJ$503,456))=0,"",INDEX('Providers'!$AJ$4:$AJ$503,456))</f>
        <v/>
      </c>
      <c r="K3459">
        <f>IF(LEN(INDEX('Providers'!$AI$4:$AI$503,456))=0,"",INDEX('Providers'!$AI$4:$AI$503,456))</f>
        <v/>
      </c>
    </row>
    <row r="3460">
      <c r="A3460">
        <f>IF(AND(LEN('Providers'!A460)&gt;0,ISNUMBER('Providers'!W460)),1,0)</f>
        <v/>
      </c>
      <c r="B3460">
        <f>B3459+A3460</f>
        <v/>
      </c>
      <c r="C3460">
        <f>IF(3457&gt;$B$4503,"",MATCH(3457-0.5,$B$3:$B$4503,1))</f>
        <v/>
      </c>
      <c r="D3460">
        <f>"CAQH re-attestation – "&amp;IF(LEN(INDEX('Providers'!$A$4:$A$503,457))=0,"",INDEX('Providers'!$A$4:$A$503,457))</f>
        <v/>
      </c>
      <c r="E3460">
        <f>IF(ISNUMBER(INDEX('Providers'!$W$4:$W$503,457)),TEXT(INDEX('Providers'!$W$4:$W$503,457),"yyyy-mm-dd"),"")</f>
        <v/>
      </c>
      <c r="F3460">
        <f>"Credentialing"</f>
        <v/>
      </c>
      <c r="G3460">
        <f>IF(ISNUMBER(INDEX('Providers'!$U$4:$U$503,457)),TEXT(INDEX('Providers'!$U$4:$U$503,457),"yyyy-mm-dd"),"")</f>
        <v/>
      </c>
      <c r="H3460">
        <f>"High"</f>
        <v/>
      </c>
      <c r="I3460">
        <f>TRIM(IF(LEN(IF(LEN(INDEX('Providers'!$T$4:$T$503,457))=0,"",INDEX('Providers'!$T$4:$T$503,457)))=0,"","CAQH ID: "&amp;IF(LEN(INDEX('Providers'!$T$4:$T$503,457))=0,"",INDEX('Providers'!$T$4:$T$503,457))&amp;". ")&amp;IF(LEN(IF(ISNUMBER(INDEX('Providers'!$U$4:$U$503,457)),TEXT(INDEX('Providers'!$U$4:$U$503,457),"yyyy-mm-dd"),""))=0,"","Last attested: "&amp;IF(ISNUMBER(INDEX('Providers'!$U$4:$U$503,457)),TEXT(INDEX('Providers'!$U$4:$U$503,457),"yyyy-mm-dd"),"")&amp;". "))</f>
        <v/>
      </c>
      <c r="J3460">
        <f>IF(LEN(INDEX('Providers'!$AJ$4:$AJ$503,457))=0,"",INDEX('Providers'!$AJ$4:$AJ$503,457))</f>
        <v/>
      </c>
      <c r="K3460">
        <f>IF(LEN(INDEX('Providers'!$AI$4:$AI$503,457))=0,"",INDEX('Providers'!$AI$4:$AI$503,457))</f>
        <v/>
      </c>
    </row>
    <row r="3461">
      <c r="A3461">
        <f>IF(AND(LEN('Providers'!A461)&gt;0,ISNUMBER('Providers'!W461)),1,0)</f>
        <v/>
      </c>
      <c r="B3461">
        <f>B3460+A3461</f>
        <v/>
      </c>
      <c r="C3461">
        <f>IF(3458&gt;$B$4503,"",MATCH(3458-0.5,$B$3:$B$4503,1))</f>
        <v/>
      </c>
      <c r="D3461">
        <f>"CAQH re-attestation – "&amp;IF(LEN(INDEX('Providers'!$A$4:$A$503,458))=0,"",INDEX('Providers'!$A$4:$A$503,458))</f>
        <v/>
      </c>
      <c r="E3461">
        <f>IF(ISNUMBER(INDEX('Providers'!$W$4:$W$503,458)),TEXT(INDEX('Providers'!$W$4:$W$503,458),"yyyy-mm-dd"),"")</f>
        <v/>
      </c>
      <c r="F3461">
        <f>"Credentialing"</f>
        <v/>
      </c>
      <c r="G3461">
        <f>IF(ISNUMBER(INDEX('Providers'!$U$4:$U$503,458)),TEXT(INDEX('Providers'!$U$4:$U$503,458),"yyyy-mm-dd"),"")</f>
        <v/>
      </c>
      <c r="H3461">
        <f>"High"</f>
        <v/>
      </c>
      <c r="I3461">
        <f>TRIM(IF(LEN(IF(LEN(INDEX('Providers'!$T$4:$T$503,458))=0,"",INDEX('Providers'!$T$4:$T$503,458)))=0,"","CAQH ID: "&amp;IF(LEN(INDEX('Providers'!$T$4:$T$503,458))=0,"",INDEX('Providers'!$T$4:$T$503,458))&amp;". ")&amp;IF(LEN(IF(ISNUMBER(INDEX('Providers'!$U$4:$U$503,458)),TEXT(INDEX('Providers'!$U$4:$U$503,458),"yyyy-mm-dd"),""))=0,"","Last attested: "&amp;IF(ISNUMBER(INDEX('Providers'!$U$4:$U$503,458)),TEXT(INDEX('Providers'!$U$4:$U$503,458),"yyyy-mm-dd"),"")&amp;". "))</f>
        <v/>
      </c>
      <c r="J3461">
        <f>IF(LEN(INDEX('Providers'!$AJ$4:$AJ$503,458))=0,"",INDEX('Providers'!$AJ$4:$AJ$503,458))</f>
        <v/>
      </c>
      <c r="K3461">
        <f>IF(LEN(INDEX('Providers'!$AI$4:$AI$503,458))=0,"",INDEX('Providers'!$AI$4:$AI$503,458))</f>
        <v/>
      </c>
    </row>
    <row r="3462">
      <c r="A3462">
        <f>IF(AND(LEN('Providers'!A462)&gt;0,ISNUMBER('Providers'!W462)),1,0)</f>
        <v/>
      </c>
      <c r="B3462">
        <f>B3461+A3462</f>
        <v/>
      </c>
      <c r="C3462">
        <f>IF(3459&gt;$B$4503,"",MATCH(3459-0.5,$B$3:$B$4503,1))</f>
        <v/>
      </c>
      <c r="D3462">
        <f>"CAQH re-attestation – "&amp;IF(LEN(INDEX('Providers'!$A$4:$A$503,459))=0,"",INDEX('Providers'!$A$4:$A$503,459))</f>
        <v/>
      </c>
      <c r="E3462">
        <f>IF(ISNUMBER(INDEX('Providers'!$W$4:$W$503,459)),TEXT(INDEX('Providers'!$W$4:$W$503,459),"yyyy-mm-dd"),"")</f>
        <v/>
      </c>
      <c r="F3462">
        <f>"Credentialing"</f>
        <v/>
      </c>
      <c r="G3462">
        <f>IF(ISNUMBER(INDEX('Providers'!$U$4:$U$503,459)),TEXT(INDEX('Providers'!$U$4:$U$503,459),"yyyy-mm-dd"),"")</f>
        <v/>
      </c>
      <c r="H3462">
        <f>"High"</f>
        <v/>
      </c>
      <c r="I3462">
        <f>TRIM(IF(LEN(IF(LEN(INDEX('Providers'!$T$4:$T$503,459))=0,"",INDEX('Providers'!$T$4:$T$503,459)))=0,"","CAQH ID: "&amp;IF(LEN(INDEX('Providers'!$T$4:$T$503,459))=0,"",INDEX('Providers'!$T$4:$T$503,459))&amp;". ")&amp;IF(LEN(IF(ISNUMBER(INDEX('Providers'!$U$4:$U$503,459)),TEXT(INDEX('Providers'!$U$4:$U$503,459),"yyyy-mm-dd"),""))=0,"","Last attested: "&amp;IF(ISNUMBER(INDEX('Providers'!$U$4:$U$503,459)),TEXT(INDEX('Providers'!$U$4:$U$503,459),"yyyy-mm-dd"),"")&amp;". "))</f>
        <v/>
      </c>
      <c r="J3462">
        <f>IF(LEN(INDEX('Providers'!$AJ$4:$AJ$503,459))=0,"",INDEX('Providers'!$AJ$4:$AJ$503,459))</f>
        <v/>
      </c>
      <c r="K3462">
        <f>IF(LEN(INDEX('Providers'!$AI$4:$AI$503,459))=0,"",INDEX('Providers'!$AI$4:$AI$503,459))</f>
        <v/>
      </c>
    </row>
    <row r="3463">
      <c r="A3463">
        <f>IF(AND(LEN('Providers'!A463)&gt;0,ISNUMBER('Providers'!W463)),1,0)</f>
        <v/>
      </c>
      <c r="B3463">
        <f>B3462+A3463</f>
        <v/>
      </c>
      <c r="C3463">
        <f>IF(3460&gt;$B$4503,"",MATCH(3460-0.5,$B$3:$B$4503,1))</f>
        <v/>
      </c>
      <c r="D3463">
        <f>"CAQH re-attestation – "&amp;IF(LEN(INDEX('Providers'!$A$4:$A$503,460))=0,"",INDEX('Providers'!$A$4:$A$503,460))</f>
        <v/>
      </c>
      <c r="E3463">
        <f>IF(ISNUMBER(INDEX('Providers'!$W$4:$W$503,460)),TEXT(INDEX('Providers'!$W$4:$W$503,460),"yyyy-mm-dd"),"")</f>
        <v/>
      </c>
      <c r="F3463">
        <f>"Credentialing"</f>
        <v/>
      </c>
      <c r="G3463">
        <f>IF(ISNUMBER(INDEX('Providers'!$U$4:$U$503,460)),TEXT(INDEX('Providers'!$U$4:$U$503,460),"yyyy-mm-dd"),"")</f>
        <v/>
      </c>
      <c r="H3463">
        <f>"High"</f>
        <v/>
      </c>
      <c r="I3463">
        <f>TRIM(IF(LEN(IF(LEN(INDEX('Providers'!$T$4:$T$503,460))=0,"",INDEX('Providers'!$T$4:$T$503,460)))=0,"","CAQH ID: "&amp;IF(LEN(INDEX('Providers'!$T$4:$T$503,460))=0,"",INDEX('Providers'!$T$4:$T$503,460))&amp;". ")&amp;IF(LEN(IF(ISNUMBER(INDEX('Providers'!$U$4:$U$503,460)),TEXT(INDEX('Providers'!$U$4:$U$503,460),"yyyy-mm-dd"),""))=0,"","Last attested: "&amp;IF(ISNUMBER(INDEX('Providers'!$U$4:$U$503,460)),TEXT(INDEX('Providers'!$U$4:$U$503,460),"yyyy-mm-dd"),"")&amp;". "))</f>
        <v/>
      </c>
      <c r="J3463">
        <f>IF(LEN(INDEX('Providers'!$AJ$4:$AJ$503,460))=0,"",INDEX('Providers'!$AJ$4:$AJ$503,460))</f>
        <v/>
      </c>
      <c r="K3463">
        <f>IF(LEN(INDEX('Providers'!$AI$4:$AI$503,460))=0,"",INDEX('Providers'!$AI$4:$AI$503,460))</f>
        <v/>
      </c>
    </row>
    <row r="3464">
      <c r="A3464">
        <f>IF(AND(LEN('Providers'!A464)&gt;0,ISNUMBER('Providers'!W464)),1,0)</f>
        <v/>
      </c>
      <c r="B3464">
        <f>B3463+A3464</f>
        <v/>
      </c>
      <c r="C3464">
        <f>IF(3461&gt;$B$4503,"",MATCH(3461-0.5,$B$3:$B$4503,1))</f>
        <v/>
      </c>
      <c r="D3464">
        <f>"CAQH re-attestation – "&amp;IF(LEN(INDEX('Providers'!$A$4:$A$503,461))=0,"",INDEX('Providers'!$A$4:$A$503,461))</f>
        <v/>
      </c>
      <c r="E3464">
        <f>IF(ISNUMBER(INDEX('Providers'!$W$4:$W$503,461)),TEXT(INDEX('Providers'!$W$4:$W$503,461),"yyyy-mm-dd"),"")</f>
        <v/>
      </c>
      <c r="F3464">
        <f>"Credentialing"</f>
        <v/>
      </c>
      <c r="G3464">
        <f>IF(ISNUMBER(INDEX('Providers'!$U$4:$U$503,461)),TEXT(INDEX('Providers'!$U$4:$U$503,461),"yyyy-mm-dd"),"")</f>
        <v/>
      </c>
      <c r="H3464">
        <f>"High"</f>
        <v/>
      </c>
      <c r="I3464">
        <f>TRIM(IF(LEN(IF(LEN(INDEX('Providers'!$T$4:$T$503,461))=0,"",INDEX('Providers'!$T$4:$T$503,461)))=0,"","CAQH ID: "&amp;IF(LEN(INDEX('Providers'!$T$4:$T$503,461))=0,"",INDEX('Providers'!$T$4:$T$503,461))&amp;". ")&amp;IF(LEN(IF(ISNUMBER(INDEX('Providers'!$U$4:$U$503,461)),TEXT(INDEX('Providers'!$U$4:$U$503,461),"yyyy-mm-dd"),""))=0,"","Last attested: "&amp;IF(ISNUMBER(INDEX('Providers'!$U$4:$U$503,461)),TEXT(INDEX('Providers'!$U$4:$U$503,461),"yyyy-mm-dd"),"")&amp;". "))</f>
        <v/>
      </c>
      <c r="J3464">
        <f>IF(LEN(INDEX('Providers'!$AJ$4:$AJ$503,461))=0,"",INDEX('Providers'!$AJ$4:$AJ$503,461))</f>
        <v/>
      </c>
      <c r="K3464">
        <f>IF(LEN(INDEX('Providers'!$AI$4:$AI$503,461))=0,"",INDEX('Providers'!$AI$4:$AI$503,461))</f>
        <v/>
      </c>
    </row>
    <row r="3465">
      <c r="A3465">
        <f>IF(AND(LEN('Providers'!A465)&gt;0,ISNUMBER('Providers'!W465)),1,0)</f>
        <v/>
      </c>
      <c r="B3465">
        <f>B3464+A3465</f>
        <v/>
      </c>
      <c r="C3465">
        <f>IF(3462&gt;$B$4503,"",MATCH(3462-0.5,$B$3:$B$4503,1))</f>
        <v/>
      </c>
      <c r="D3465">
        <f>"CAQH re-attestation – "&amp;IF(LEN(INDEX('Providers'!$A$4:$A$503,462))=0,"",INDEX('Providers'!$A$4:$A$503,462))</f>
        <v/>
      </c>
      <c r="E3465">
        <f>IF(ISNUMBER(INDEX('Providers'!$W$4:$W$503,462)),TEXT(INDEX('Providers'!$W$4:$W$503,462),"yyyy-mm-dd"),"")</f>
        <v/>
      </c>
      <c r="F3465">
        <f>"Credentialing"</f>
        <v/>
      </c>
      <c r="G3465">
        <f>IF(ISNUMBER(INDEX('Providers'!$U$4:$U$503,462)),TEXT(INDEX('Providers'!$U$4:$U$503,462),"yyyy-mm-dd"),"")</f>
        <v/>
      </c>
      <c r="H3465">
        <f>"High"</f>
        <v/>
      </c>
      <c r="I3465">
        <f>TRIM(IF(LEN(IF(LEN(INDEX('Providers'!$T$4:$T$503,462))=0,"",INDEX('Providers'!$T$4:$T$503,462)))=0,"","CAQH ID: "&amp;IF(LEN(INDEX('Providers'!$T$4:$T$503,462))=0,"",INDEX('Providers'!$T$4:$T$503,462))&amp;". ")&amp;IF(LEN(IF(ISNUMBER(INDEX('Providers'!$U$4:$U$503,462)),TEXT(INDEX('Providers'!$U$4:$U$503,462),"yyyy-mm-dd"),""))=0,"","Last attested: "&amp;IF(ISNUMBER(INDEX('Providers'!$U$4:$U$503,462)),TEXT(INDEX('Providers'!$U$4:$U$503,462),"yyyy-mm-dd"),"")&amp;". "))</f>
        <v/>
      </c>
      <c r="J3465">
        <f>IF(LEN(INDEX('Providers'!$AJ$4:$AJ$503,462))=0,"",INDEX('Providers'!$AJ$4:$AJ$503,462))</f>
        <v/>
      </c>
      <c r="K3465">
        <f>IF(LEN(INDEX('Providers'!$AI$4:$AI$503,462))=0,"",INDEX('Providers'!$AI$4:$AI$503,462))</f>
        <v/>
      </c>
    </row>
    <row r="3466">
      <c r="A3466">
        <f>IF(AND(LEN('Providers'!A466)&gt;0,ISNUMBER('Providers'!W466)),1,0)</f>
        <v/>
      </c>
      <c r="B3466">
        <f>B3465+A3466</f>
        <v/>
      </c>
      <c r="C3466">
        <f>IF(3463&gt;$B$4503,"",MATCH(3463-0.5,$B$3:$B$4503,1))</f>
        <v/>
      </c>
      <c r="D3466">
        <f>"CAQH re-attestation – "&amp;IF(LEN(INDEX('Providers'!$A$4:$A$503,463))=0,"",INDEX('Providers'!$A$4:$A$503,463))</f>
        <v/>
      </c>
      <c r="E3466">
        <f>IF(ISNUMBER(INDEX('Providers'!$W$4:$W$503,463)),TEXT(INDEX('Providers'!$W$4:$W$503,463),"yyyy-mm-dd"),"")</f>
        <v/>
      </c>
      <c r="F3466">
        <f>"Credentialing"</f>
        <v/>
      </c>
      <c r="G3466">
        <f>IF(ISNUMBER(INDEX('Providers'!$U$4:$U$503,463)),TEXT(INDEX('Providers'!$U$4:$U$503,463),"yyyy-mm-dd"),"")</f>
        <v/>
      </c>
      <c r="H3466">
        <f>"High"</f>
        <v/>
      </c>
      <c r="I3466">
        <f>TRIM(IF(LEN(IF(LEN(INDEX('Providers'!$T$4:$T$503,463))=0,"",INDEX('Providers'!$T$4:$T$503,463)))=0,"","CAQH ID: "&amp;IF(LEN(INDEX('Providers'!$T$4:$T$503,463))=0,"",INDEX('Providers'!$T$4:$T$503,463))&amp;". ")&amp;IF(LEN(IF(ISNUMBER(INDEX('Providers'!$U$4:$U$503,463)),TEXT(INDEX('Providers'!$U$4:$U$503,463),"yyyy-mm-dd"),""))=0,"","Last attested: "&amp;IF(ISNUMBER(INDEX('Providers'!$U$4:$U$503,463)),TEXT(INDEX('Providers'!$U$4:$U$503,463),"yyyy-mm-dd"),"")&amp;". "))</f>
        <v/>
      </c>
      <c r="J3466">
        <f>IF(LEN(INDEX('Providers'!$AJ$4:$AJ$503,463))=0,"",INDEX('Providers'!$AJ$4:$AJ$503,463))</f>
        <v/>
      </c>
      <c r="K3466">
        <f>IF(LEN(INDEX('Providers'!$AI$4:$AI$503,463))=0,"",INDEX('Providers'!$AI$4:$AI$503,463))</f>
        <v/>
      </c>
    </row>
    <row r="3467">
      <c r="A3467">
        <f>IF(AND(LEN('Providers'!A467)&gt;0,ISNUMBER('Providers'!W467)),1,0)</f>
        <v/>
      </c>
      <c r="B3467">
        <f>B3466+A3467</f>
        <v/>
      </c>
      <c r="C3467">
        <f>IF(3464&gt;$B$4503,"",MATCH(3464-0.5,$B$3:$B$4503,1))</f>
        <v/>
      </c>
      <c r="D3467">
        <f>"CAQH re-attestation – "&amp;IF(LEN(INDEX('Providers'!$A$4:$A$503,464))=0,"",INDEX('Providers'!$A$4:$A$503,464))</f>
        <v/>
      </c>
      <c r="E3467">
        <f>IF(ISNUMBER(INDEX('Providers'!$W$4:$W$503,464)),TEXT(INDEX('Providers'!$W$4:$W$503,464),"yyyy-mm-dd"),"")</f>
        <v/>
      </c>
      <c r="F3467">
        <f>"Credentialing"</f>
        <v/>
      </c>
      <c r="G3467">
        <f>IF(ISNUMBER(INDEX('Providers'!$U$4:$U$503,464)),TEXT(INDEX('Providers'!$U$4:$U$503,464),"yyyy-mm-dd"),"")</f>
        <v/>
      </c>
      <c r="H3467">
        <f>"High"</f>
        <v/>
      </c>
      <c r="I3467">
        <f>TRIM(IF(LEN(IF(LEN(INDEX('Providers'!$T$4:$T$503,464))=0,"",INDEX('Providers'!$T$4:$T$503,464)))=0,"","CAQH ID: "&amp;IF(LEN(INDEX('Providers'!$T$4:$T$503,464))=0,"",INDEX('Providers'!$T$4:$T$503,464))&amp;". ")&amp;IF(LEN(IF(ISNUMBER(INDEX('Providers'!$U$4:$U$503,464)),TEXT(INDEX('Providers'!$U$4:$U$503,464),"yyyy-mm-dd"),""))=0,"","Last attested: "&amp;IF(ISNUMBER(INDEX('Providers'!$U$4:$U$503,464)),TEXT(INDEX('Providers'!$U$4:$U$503,464),"yyyy-mm-dd"),"")&amp;". "))</f>
        <v/>
      </c>
      <c r="J3467">
        <f>IF(LEN(INDEX('Providers'!$AJ$4:$AJ$503,464))=0,"",INDEX('Providers'!$AJ$4:$AJ$503,464))</f>
        <v/>
      </c>
      <c r="K3467">
        <f>IF(LEN(INDEX('Providers'!$AI$4:$AI$503,464))=0,"",INDEX('Providers'!$AI$4:$AI$503,464))</f>
        <v/>
      </c>
    </row>
    <row r="3468">
      <c r="A3468">
        <f>IF(AND(LEN('Providers'!A468)&gt;0,ISNUMBER('Providers'!W468)),1,0)</f>
        <v/>
      </c>
      <c r="B3468">
        <f>B3467+A3468</f>
        <v/>
      </c>
      <c r="C3468">
        <f>IF(3465&gt;$B$4503,"",MATCH(3465-0.5,$B$3:$B$4503,1))</f>
        <v/>
      </c>
      <c r="D3468">
        <f>"CAQH re-attestation – "&amp;IF(LEN(INDEX('Providers'!$A$4:$A$503,465))=0,"",INDEX('Providers'!$A$4:$A$503,465))</f>
        <v/>
      </c>
      <c r="E3468">
        <f>IF(ISNUMBER(INDEX('Providers'!$W$4:$W$503,465)),TEXT(INDEX('Providers'!$W$4:$W$503,465),"yyyy-mm-dd"),"")</f>
        <v/>
      </c>
      <c r="F3468">
        <f>"Credentialing"</f>
        <v/>
      </c>
      <c r="G3468">
        <f>IF(ISNUMBER(INDEX('Providers'!$U$4:$U$503,465)),TEXT(INDEX('Providers'!$U$4:$U$503,465),"yyyy-mm-dd"),"")</f>
        <v/>
      </c>
      <c r="H3468">
        <f>"High"</f>
        <v/>
      </c>
      <c r="I3468">
        <f>TRIM(IF(LEN(IF(LEN(INDEX('Providers'!$T$4:$T$503,465))=0,"",INDEX('Providers'!$T$4:$T$503,465)))=0,"","CAQH ID: "&amp;IF(LEN(INDEX('Providers'!$T$4:$T$503,465))=0,"",INDEX('Providers'!$T$4:$T$503,465))&amp;". ")&amp;IF(LEN(IF(ISNUMBER(INDEX('Providers'!$U$4:$U$503,465)),TEXT(INDEX('Providers'!$U$4:$U$503,465),"yyyy-mm-dd"),""))=0,"","Last attested: "&amp;IF(ISNUMBER(INDEX('Providers'!$U$4:$U$503,465)),TEXT(INDEX('Providers'!$U$4:$U$503,465),"yyyy-mm-dd"),"")&amp;". "))</f>
        <v/>
      </c>
      <c r="J3468">
        <f>IF(LEN(INDEX('Providers'!$AJ$4:$AJ$503,465))=0,"",INDEX('Providers'!$AJ$4:$AJ$503,465))</f>
        <v/>
      </c>
      <c r="K3468">
        <f>IF(LEN(INDEX('Providers'!$AI$4:$AI$503,465))=0,"",INDEX('Providers'!$AI$4:$AI$503,465))</f>
        <v/>
      </c>
    </row>
    <row r="3469">
      <c r="A3469">
        <f>IF(AND(LEN('Providers'!A469)&gt;0,ISNUMBER('Providers'!W469)),1,0)</f>
        <v/>
      </c>
      <c r="B3469">
        <f>B3468+A3469</f>
        <v/>
      </c>
      <c r="C3469">
        <f>IF(3466&gt;$B$4503,"",MATCH(3466-0.5,$B$3:$B$4503,1))</f>
        <v/>
      </c>
      <c r="D3469">
        <f>"CAQH re-attestation – "&amp;IF(LEN(INDEX('Providers'!$A$4:$A$503,466))=0,"",INDEX('Providers'!$A$4:$A$503,466))</f>
        <v/>
      </c>
      <c r="E3469">
        <f>IF(ISNUMBER(INDEX('Providers'!$W$4:$W$503,466)),TEXT(INDEX('Providers'!$W$4:$W$503,466),"yyyy-mm-dd"),"")</f>
        <v/>
      </c>
      <c r="F3469">
        <f>"Credentialing"</f>
        <v/>
      </c>
      <c r="G3469">
        <f>IF(ISNUMBER(INDEX('Providers'!$U$4:$U$503,466)),TEXT(INDEX('Providers'!$U$4:$U$503,466),"yyyy-mm-dd"),"")</f>
        <v/>
      </c>
      <c r="H3469">
        <f>"High"</f>
        <v/>
      </c>
      <c r="I3469">
        <f>TRIM(IF(LEN(IF(LEN(INDEX('Providers'!$T$4:$T$503,466))=0,"",INDEX('Providers'!$T$4:$T$503,466)))=0,"","CAQH ID: "&amp;IF(LEN(INDEX('Providers'!$T$4:$T$503,466))=0,"",INDEX('Providers'!$T$4:$T$503,466))&amp;". ")&amp;IF(LEN(IF(ISNUMBER(INDEX('Providers'!$U$4:$U$503,466)),TEXT(INDEX('Providers'!$U$4:$U$503,466),"yyyy-mm-dd"),""))=0,"","Last attested: "&amp;IF(ISNUMBER(INDEX('Providers'!$U$4:$U$503,466)),TEXT(INDEX('Providers'!$U$4:$U$503,466),"yyyy-mm-dd"),"")&amp;". "))</f>
        <v/>
      </c>
      <c r="J3469">
        <f>IF(LEN(INDEX('Providers'!$AJ$4:$AJ$503,466))=0,"",INDEX('Providers'!$AJ$4:$AJ$503,466))</f>
        <v/>
      </c>
      <c r="K3469">
        <f>IF(LEN(INDEX('Providers'!$AI$4:$AI$503,466))=0,"",INDEX('Providers'!$AI$4:$AI$503,466))</f>
        <v/>
      </c>
    </row>
    <row r="3470">
      <c r="A3470">
        <f>IF(AND(LEN('Providers'!A470)&gt;0,ISNUMBER('Providers'!W470)),1,0)</f>
        <v/>
      </c>
      <c r="B3470">
        <f>B3469+A3470</f>
        <v/>
      </c>
      <c r="C3470">
        <f>IF(3467&gt;$B$4503,"",MATCH(3467-0.5,$B$3:$B$4503,1))</f>
        <v/>
      </c>
      <c r="D3470">
        <f>"CAQH re-attestation – "&amp;IF(LEN(INDEX('Providers'!$A$4:$A$503,467))=0,"",INDEX('Providers'!$A$4:$A$503,467))</f>
        <v/>
      </c>
      <c r="E3470">
        <f>IF(ISNUMBER(INDEX('Providers'!$W$4:$W$503,467)),TEXT(INDEX('Providers'!$W$4:$W$503,467),"yyyy-mm-dd"),"")</f>
        <v/>
      </c>
      <c r="F3470">
        <f>"Credentialing"</f>
        <v/>
      </c>
      <c r="G3470">
        <f>IF(ISNUMBER(INDEX('Providers'!$U$4:$U$503,467)),TEXT(INDEX('Providers'!$U$4:$U$503,467),"yyyy-mm-dd"),"")</f>
        <v/>
      </c>
      <c r="H3470">
        <f>"High"</f>
        <v/>
      </c>
      <c r="I3470">
        <f>TRIM(IF(LEN(IF(LEN(INDEX('Providers'!$T$4:$T$503,467))=0,"",INDEX('Providers'!$T$4:$T$503,467)))=0,"","CAQH ID: "&amp;IF(LEN(INDEX('Providers'!$T$4:$T$503,467))=0,"",INDEX('Providers'!$T$4:$T$503,467))&amp;". ")&amp;IF(LEN(IF(ISNUMBER(INDEX('Providers'!$U$4:$U$503,467)),TEXT(INDEX('Providers'!$U$4:$U$503,467),"yyyy-mm-dd"),""))=0,"","Last attested: "&amp;IF(ISNUMBER(INDEX('Providers'!$U$4:$U$503,467)),TEXT(INDEX('Providers'!$U$4:$U$503,467),"yyyy-mm-dd"),"")&amp;". "))</f>
        <v/>
      </c>
      <c r="J3470">
        <f>IF(LEN(INDEX('Providers'!$AJ$4:$AJ$503,467))=0,"",INDEX('Providers'!$AJ$4:$AJ$503,467))</f>
        <v/>
      </c>
      <c r="K3470">
        <f>IF(LEN(INDEX('Providers'!$AI$4:$AI$503,467))=0,"",INDEX('Providers'!$AI$4:$AI$503,467))</f>
        <v/>
      </c>
    </row>
    <row r="3471">
      <c r="A3471">
        <f>IF(AND(LEN('Providers'!A471)&gt;0,ISNUMBER('Providers'!W471)),1,0)</f>
        <v/>
      </c>
      <c r="B3471">
        <f>B3470+A3471</f>
        <v/>
      </c>
      <c r="C3471">
        <f>IF(3468&gt;$B$4503,"",MATCH(3468-0.5,$B$3:$B$4503,1))</f>
        <v/>
      </c>
      <c r="D3471">
        <f>"CAQH re-attestation – "&amp;IF(LEN(INDEX('Providers'!$A$4:$A$503,468))=0,"",INDEX('Providers'!$A$4:$A$503,468))</f>
        <v/>
      </c>
      <c r="E3471">
        <f>IF(ISNUMBER(INDEX('Providers'!$W$4:$W$503,468)),TEXT(INDEX('Providers'!$W$4:$W$503,468),"yyyy-mm-dd"),"")</f>
        <v/>
      </c>
      <c r="F3471">
        <f>"Credentialing"</f>
        <v/>
      </c>
      <c r="G3471">
        <f>IF(ISNUMBER(INDEX('Providers'!$U$4:$U$503,468)),TEXT(INDEX('Providers'!$U$4:$U$503,468),"yyyy-mm-dd"),"")</f>
        <v/>
      </c>
      <c r="H3471">
        <f>"High"</f>
        <v/>
      </c>
      <c r="I3471">
        <f>TRIM(IF(LEN(IF(LEN(INDEX('Providers'!$T$4:$T$503,468))=0,"",INDEX('Providers'!$T$4:$T$503,468)))=0,"","CAQH ID: "&amp;IF(LEN(INDEX('Providers'!$T$4:$T$503,468))=0,"",INDEX('Providers'!$T$4:$T$503,468))&amp;". ")&amp;IF(LEN(IF(ISNUMBER(INDEX('Providers'!$U$4:$U$503,468)),TEXT(INDEX('Providers'!$U$4:$U$503,468),"yyyy-mm-dd"),""))=0,"","Last attested: "&amp;IF(ISNUMBER(INDEX('Providers'!$U$4:$U$503,468)),TEXT(INDEX('Providers'!$U$4:$U$503,468),"yyyy-mm-dd"),"")&amp;". "))</f>
        <v/>
      </c>
      <c r="J3471">
        <f>IF(LEN(INDEX('Providers'!$AJ$4:$AJ$503,468))=0,"",INDEX('Providers'!$AJ$4:$AJ$503,468))</f>
        <v/>
      </c>
      <c r="K3471">
        <f>IF(LEN(INDEX('Providers'!$AI$4:$AI$503,468))=0,"",INDEX('Providers'!$AI$4:$AI$503,468))</f>
        <v/>
      </c>
    </row>
    <row r="3472">
      <c r="A3472">
        <f>IF(AND(LEN('Providers'!A472)&gt;0,ISNUMBER('Providers'!W472)),1,0)</f>
        <v/>
      </c>
      <c r="B3472">
        <f>B3471+A3472</f>
        <v/>
      </c>
      <c r="C3472">
        <f>IF(3469&gt;$B$4503,"",MATCH(3469-0.5,$B$3:$B$4503,1))</f>
        <v/>
      </c>
      <c r="D3472">
        <f>"CAQH re-attestation – "&amp;IF(LEN(INDEX('Providers'!$A$4:$A$503,469))=0,"",INDEX('Providers'!$A$4:$A$503,469))</f>
        <v/>
      </c>
      <c r="E3472">
        <f>IF(ISNUMBER(INDEX('Providers'!$W$4:$W$503,469)),TEXT(INDEX('Providers'!$W$4:$W$503,469),"yyyy-mm-dd"),"")</f>
        <v/>
      </c>
      <c r="F3472">
        <f>"Credentialing"</f>
        <v/>
      </c>
      <c r="G3472">
        <f>IF(ISNUMBER(INDEX('Providers'!$U$4:$U$503,469)),TEXT(INDEX('Providers'!$U$4:$U$503,469),"yyyy-mm-dd"),"")</f>
        <v/>
      </c>
      <c r="H3472">
        <f>"High"</f>
        <v/>
      </c>
      <c r="I3472">
        <f>TRIM(IF(LEN(IF(LEN(INDEX('Providers'!$T$4:$T$503,469))=0,"",INDEX('Providers'!$T$4:$T$503,469)))=0,"","CAQH ID: "&amp;IF(LEN(INDEX('Providers'!$T$4:$T$503,469))=0,"",INDEX('Providers'!$T$4:$T$503,469))&amp;". ")&amp;IF(LEN(IF(ISNUMBER(INDEX('Providers'!$U$4:$U$503,469)),TEXT(INDEX('Providers'!$U$4:$U$503,469),"yyyy-mm-dd"),""))=0,"","Last attested: "&amp;IF(ISNUMBER(INDEX('Providers'!$U$4:$U$503,469)),TEXT(INDEX('Providers'!$U$4:$U$503,469),"yyyy-mm-dd"),"")&amp;". "))</f>
        <v/>
      </c>
      <c r="J3472">
        <f>IF(LEN(INDEX('Providers'!$AJ$4:$AJ$503,469))=0,"",INDEX('Providers'!$AJ$4:$AJ$503,469))</f>
        <v/>
      </c>
      <c r="K3472">
        <f>IF(LEN(INDEX('Providers'!$AI$4:$AI$503,469))=0,"",INDEX('Providers'!$AI$4:$AI$503,469))</f>
        <v/>
      </c>
    </row>
    <row r="3473">
      <c r="A3473">
        <f>IF(AND(LEN('Providers'!A473)&gt;0,ISNUMBER('Providers'!W473)),1,0)</f>
        <v/>
      </c>
      <c r="B3473">
        <f>B3472+A3473</f>
        <v/>
      </c>
      <c r="C3473">
        <f>IF(3470&gt;$B$4503,"",MATCH(3470-0.5,$B$3:$B$4503,1))</f>
        <v/>
      </c>
      <c r="D3473">
        <f>"CAQH re-attestation – "&amp;IF(LEN(INDEX('Providers'!$A$4:$A$503,470))=0,"",INDEX('Providers'!$A$4:$A$503,470))</f>
        <v/>
      </c>
      <c r="E3473">
        <f>IF(ISNUMBER(INDEX('Providers'!$W$4:$W$503,470)),TEXT(INDEX('Providers'!$W$4:$W$503,470),"yyyy-mm-dd"),"")</f>
        <v/>
      </c>
      <c r="F3473">
        <f>"Credentialing"</f>
        <v/>
      </c>
      <c r="G3473">
        <f>IF(ISNUMBER(INDEX('Providers'!$U$4:$U$503,470)),TEXT(INDEX('Providers'!$U$4:$U$503,470),"yyyy-mm-dd"),"")</f>
        <v/>
      </c>
      <c r="H3473">
        <f>"High"</f>
        <v/>
      </c>
      <c r="I3473">
        <f>TRIM(IF(LEN(IF(LEN(INDEX('Providers'!$T$4:$T$503,470))=0,"",INDEX('Providers'!$T$4:$T$503,470)))=0,"","CAQH ID: "&amp;IF(LEN(INDEX('Providers'!$T$4:$T$503,470))=0,"",INDEX('Providers'!$T$4:$T$503,470))&amp;". ")&amp;IF(LEN(IF(ISNUMBER(INDEX('Providers'!$U$4:$U$503,470)),TEXT(INDEX('Providers'!$U$4:$U$503,470),"yyyy-mm-dd"),""))=0,"","Last attested: "&amp;IF(ISNUMBER(INDEX('Providers'!$U$4:$U$503,470)),TEXT(INDEX('Providers'!$U$4:$U$503,470),"yyyy-mm-dd"),"")&amp;". "))</f>
        <v/>
      </c>
      <c r="J3473">
        <f>IF(LEN(INDEX('Providers'!$AJ$4:$AJ$503,470))=0,"",INDEX('Providers'!$AJ$4:$AJ$503,470))</f>
        <v/>
      </c>
      <c r="K3473">
        <f>IF(LEN(INDEX('Providers'!$AI$4:$AI$503,470))=0,"",INDEX('Providers'!$AI$4:$AI$503,470))</f>
        <v/>
      </c>
    </row>
    <row r="3474">
      <c r="A3474">
        <f>IF(AND(LEN('Providers'!A474)&gt;0,ISNUMBER('Providers'!W474)),1,0)</f>
        <v/>
      </c>
      <c r="B3474">
        <f>B3473+A3474</f>
        <v/>
      </c>
      <c r="C3474">
        <f>IF(3471&gt;$B$4503,"",MATCH(3471-0.5,$B$3:$B$4503,1))</f>
        <v/>
      </c>
      <c r="D3474">
        <f>"CAQH re-attestation – "&amp;IF(LEN(INDEX('Providers'!$A$4:$A$503,471))=0,"",INDEX('Providers'!$A$4:$A$503,471))</f>
        <v/>
      </c>
      <c r="E3474">
        <f>IF(ISNUMBER(INDEX('Providers'!$W$4:$W$503,471)),TEXT(INDEX('Providers'!$W$4:$W$503,471),"yyyy-mm-dd"),"")</f>
        <v/>
      </c>
      <c r="F3474">
        <f>"Credentialing"</f>
        <v/>
      </c>
      <c r="G3474">
        <f>IF(ISNUMBER(INDEX('Providers'!$U$4:$U$503,471)),TEXT(INDEX('Providers'!$U$4:$U$503,471),"yyyy-mm-dd"),"")</f>
        <v/>
      </c>
      <c r="H3474">
        <f>"High"</f>
        <v/>
      </c>
      <c r="I3474">
        <f>TRIM(IF(LEN(IF(LEN(INDEX('Providers'!$T$4:$T$503,471))=0,"",INDEX('Providers'!$T$4:$T$503,471)))=0,"","CAQH ID: "&amp;IF(LEN(INDEX('Providers'!$T$4:$T$503,471))=0,"",INDEX('Providers'!$T$4:$T$503,471))&amp;". ")&amp;IF(LEN(IF(ISNUMBER(INDEX('Providers'!$U$4:$U$503,471)),TEXT(INDEX('Providers'!$U$4:$U$503,471),"yyyy-mm-dd"),""))=0,"","Last attested: "&amp;IF(ISNUMBER(INDEX('Providers'!$U$4:$U$503,471)),TEXT(INDEX('Providers'!$U$4:$U$503,471),"yyyy-mm-dd"),"")&amp;". "))</f>
        <v/>
      </c>
      <c r="J3474">
        <f>IF(LEN(INDEX('Providers'!$AJ$4:$AJ$503,471))=0,"",INDEX('Providers'!$AJ$4:$AJ$503,471))</f>
        <v/>
      </c>
      <c r="K3474">
        <f>IF(LEN(INDEX('Providers'!$AI$4:$AI$503,471))=0,"",INDEX('Providers'!$AI$4:$AI$503,471))</f>
        <v/>
      </c>
    </row>
    <row r="3475">
      <c r="A3475">
        <f>IF(AND(LEN('Providers'!A475)&gt;0,ISNUMBER('Providers'!W475)),1,0)</f>
        <v/>
      </c>
      <c r="B3475">
        <f>B3474+A3475</f>
        <v/>
      </c>
      <c r="C3475">
        <f>IF(3472&gt;$B$4503,"",MATCH(3472-0.5,$B$3:$B$4503,1))</f>
        <v/>
      </c>
      <c r="D3475">
        <f>"CAQH re-attestation – "&amp;IF(LEN(INDEX('Providers'!$A$4:$A$503,472))=0,"",INDEX('Providers'!$A$4:$A$503,472))</f>
        <v/>
      </c>
      <c r="E3475">
        <f>IF(ISNUMBER(INDEX('Providers'!$W$4:$W$503,472)),TEXT(INDEX('Providers'!$W$4:$W$503,472),"yyyy-mm-dd"),"")</f>
        <v/>
      </c>
      <c r="F3475">
        <f>"Credentialing"</f>
        <v/>
      </c>
      <c r="G3475">
        <f>IF(ISNUMBER(INDEX('Providers'!$U$4:$U$503,472)),TEXT(INDEX('Providers'!$U$4:$U$503,472),"yyyy-mm-dd"),"")</f>
        <v/>
      </c>
      <c r="H3475">
        <f>"High"</f>
        <v/>
      </c>
      <c r="I3475">
        <f>TRIM(IF(LEN(IF(LEN(INDEX('Providers'!$T$4:$T$503,472))=0,"",INDEX('Providers'!$T$4:$T$503,472)))=0,"","CAQH ID: "&amp;IF(LEN(INDEX('Providers'!$T$4:$T$503,472))=0,"",INDEX('Providers'!$T$4:$T$503,472))&amp;". ")&amp;IF(LEN(IF(ISNUMBER(INDEX('Providers'!$U$4:$U$503,472)),TEXT(INDEX('Providers'!$U$4:$U$503,472),"yyyy-mm-dd"),""))=0,"","Last attested: "&amp;IF(ISNUMBER(INDEX('Providers'!$U$4:$U$503,472)),TEXT(INDEX('Providers'!$U$4:$U$503,472),"yyyy-mm-dd"),"")&amp;". "))</f>
        <v/>
      </c>
      <c r="J3475">
        <f>IF(LEN(INDEX('Providers'!$AJ$4:$AJ$503,472))=0,"",INDEX('Providers'!$AJ$4:$AJ$503,472))</f>
        <v/>
      </c>
      <c r="K3475">
        <f>IF(LEN(INDEX('Providers'!$AI$4:$AI$503,472))=0,"",INDEX('Providers'!$AI$4:$AI$503,472))</f>
        <v/>
      </c>
    </row>
    <row r="3476">
      <c r="A3476">
        <f>IF(AND(LEN('Providers'!A476)&gt;0,ISNUMBER('Providers'!W476)),1,0)</f>
        <v/>
      </c>
      <c r="B3476">
        <f>B3475+A3476</f>
        <v/>
      </c>
      <c r="C3476">
        <f>IF(3473&gt;$B$4503,"",MATCH(3473-0.5,$B$3:$B$4503,1))</f>
        <v/>
      </c>
      <c r="D3476">
        <f>"CAQH re-attestation – "&amp;IF(LEN(INDEX('Providers'!$A$4:$A$503,473))=0,"",INDEX('Providers'!$A$4:$A$503,473))</f>
        <v/>
      </c>
      <c r="E3476">
        <f>IF(ISNUMBER(INDEX('Providers'!$W$4:$W$503,473)),TEXT(INDEX('Providers'!$W$4:$W$503,473),"yyyy-mm-dd"),"")</f>
        <v/>
      </c>
      <c r="F3476">
        <f>"Credentialing"</f>
        <v/>
      </c>
      <c r="G3476">
        <f>IF(ISNUMBER(INDEX('Providers'!$U$4:$U$503,473)),TEXT(INDEX('Providers'!$U$4:$U$503,473),"yyyy-mm-dd"),"")</f>
        <v/>
      </c>
      <c r="H3476">
        <f>"High"</f>
        <v/>
      </c>
      <c r="I3476">
        <f>TRIM(IF(LEN(IF(LEN(INDEX('Providers'!$T$4:$T$503,473))=0,"",INDEX('Providers'!$T$4:$T$503,473)))=0,"","CAQH ID: "&amp;IF(LEN(INDEX('Providers'!$T$4:$T$503,473))=0,"",INDEX('Providers'!$T$4:$T$503,473))&amp;". ")&amp;IF(LEN(IF(ISNUMBER(INDEX('Providers'!$U$4:$U$503,473)),TEXT(INDEX('Providers'!$U$4:$U$503,473),"yyyy-mm-dd"),""))=0,"","Last attested: "&amp;IF(ISNUMBER(INDEX('Providers'!$U$4:$U$503,473)),TEXT(INDEX('Providers'!$U$4:$U$503,473),"yyyy-mm-dd"),"")&amp;". "))</f>
        <v/>
      </c>
      <c r="J3476">
        <f>IF(LEN(INDEX('Providers'!$AJ$4:$AJ$503,473))=0,"",INDEX('Providers'!$AJ$4:$AJ$503,473))</f>
        <v/>
      </c>
      <c r="K3476">
        <f>IF(LEN(INDEX('Providers'!$AI$4:$AI$503,473))=0,"",INDEX('Providers'!$AI$4:$AI$503,473))</f>
        <v/>
      </c>
    </row>
    <row r="3477">
      <c r="A3477">
        <f>IF(AND(LEN('Providers'!A477)&gt;0,ISNUMBER('Providers'!W477)),1,0)</f>
        <v/>
      </c>
      <c r="B3477">
        <f>B3476+A3477</f>
        <v/>
      </c>
      <c r="C3477">
        <f>IF(3474&gt;$B$4503,"",MATCH(3474-0.5,$B$3:$B$4503,1))</f>
        <v/>
      </c>
      <c r="D3477">
        <f>"CAQH re-attestation – "&amp;IF(LEN(INDEX('Providers'!$A$4:$A$503,474))=0,"",INDEX('Providers'!$A$4:$A$503,474))</f>
        <v/>
      </c>
      <c r="E3477">
        <f>IF(ISNUMBER(INDEX('Providers'!$W$4:$W$503,474)),TEXT(INDEX('Providers'!$W$4:$W$503,474),"yyyy-mm-dd"),"")</f>
        <v/>
      </c>
      <c r="F3477">
        <f>"Credentialing"</f>
        <v/>
      </c>
      <c r="G3477">
        <f>IF(ISNUMBER(INDEX('Providers'!$U$4:$U$503,474)),TEXT(INDEX('Providers'!$U$4:$U$503,474),"yyyy-mm-dd"),"")</f>
        <v/>
      </c>
      <c r="H3477">
        <f>"High"</f>
        <v/>
      </c>
      <c r="I3477">
        <f>TRIM(IF(LEN(IF(LEN(INDEX('Providers'!$T$4:$T$503,474))=0,"",INDEX('Providers'!$T$4:$T$503,474)))=0,"","CAQH ID: "&amp;IF(LEN(INDEX('Providers'!$T$4:$T$503,474))=0,"",INDEX('Providers'!$T$4:$T$503,474))&amp;". ")&amp;IF(LEN(IF(ISNUMBER(INDEX('Providers'!$U$4:$U$503,474)),TEXT(INDEX('Providers'!$U$4:$U$503,474),"yyyy-mm-dd"),""))=0,"","Last attested: "&amp;IF(ISNUMBER(INDEX('Providers'!$U$4:$U$503,474)),TEXT(INDEX('Providers'!$U$4:$U$503,474),"yyyy-mm-dd"),"")&amp;". "))</f>
        <v/>
      </c>
      <c r="J3477">
        <f>IF(LEN(INDEX('Providers'!$AJ$4:$AJ$503,474))=0,"",INDEX('Providers'!$AJ$4:$AJ$503,474))</f>
        <v/>
      </c>
      <c r="K3477">
        <f>IF(LEN(INDEX('Providers'!$AI$4:$AI$503,474))=0,"",INDEX('Providers'!$AI$4:$AI$503,474))</f>
        <v/>
      </c>
    </row>
    <row r="3478">
      <c r="A3478">
        <f>IF(AND(LEN('Providers'!A478)&gt;0,ISNUMBER('Providers'!W478)),1,0)</f>
        <v/>
      </c>
      <c r="B3478">
        <f>B3477+A3478</f>
        <v/>
      </c>
      <c r="C3478">
        <f>IF(3475&gt;$B$4503,"",MATCH(3475-0.5,$B$3:$B$4503,1))</f>
        <v/>
      </c>
      <c r="D3478">
        <f>"CAQH re-attestation – "&amp;IF(LEN(INDEX('Providers'!$A$4:$A$503,475))=0,"",INDEX('Providers'!$A$4:$A$503,475))</f>
        <v/>
      </c>
      <c r="E3478">
        <f>IF(ISNUMBER(INDEX('Providers'!$W$4:$W$503,475)),TEXT(INDEX('Providers'!$W$4:$W$503,475),"yyyy-mm-dd"),"")</f>
        <v/>
      </c>
      <c r="F3478">
        <f>"Credentialing"</f>
        <v/>
      </c>
      <c r="G3478">
        <f>IF(ISNUMBER(INDEX('Providers'!$U$4:$U$503,475)),TEXT(INDEX('Providers'!$U$4:$U$503,475),"yyyy-mm-dd"),"")</f>
        <v/>
      </c>
      <c r="H3478">
        <f>"High"</f>
        <v/>
      </c>
      <c r="I3478">
        <f>TRIM(IF(LEN(IF(LEN(INDEX('Providers'!$T$4:$T$503,475))=0,"",INDEX('Providers'!$T$4:$T$503,475)))=0,"","CAQH ID: "&amp;IF(LEN(INDEX('Providers'!$T$4:$T$503,475))=0,"",INDEX('Providers'!$T$4:$T$503,475))&amp;". ")&amp;IF(LEN(IF(ISNUMBER(INDEX('Providers'!$U$4:$U$503,475)),TEXT(INDEX('Providers'!$U$4:$U$503,475),"yyyy-mm-dd"),""))=0,"","Last attested: "&amp;IF(ISNUMBER(INDEX('Providers'!$U$4:$U$503,475)),TEXT(INDEX('Providers'!$U$4:$U$503,475),"yyyy-mm-dd"),"")&amp;". "))</f>
        <v/>
      </c>
      <c r="J3478">
        <f>IF(LEN(INDEX('Providers'!$AJ$4:$AJ$503,475))=0,"",INDEX('Providers'!$AJ$4:$AJ$503,475))</f>
        <v/>
      </c>
      <c r="K3478">
        <f>IF(LEN(INDEX('Providers'!$AI$4:$AI$503,475))=0,"",INDEX('Providers'!$AI$4:$AI$503,475))</f>
        <v/>
      </c>
    </row>
    <row r="3479">
      <c r="A3479">
        <f>IF(AND(LEN('Providers'!A479)&gt;0,ISNUMBER('Providers'!W479)),1,0)</f>
        <v/>
      </c>
      <c r="B3479">
        <f>B3478+A3479</f>
        <v/>
      </c>
      <c r="C3479">
        <f>IF(3476&gt;$B$4503,"",MATCH(3476-0.5,$B$3:$B$4503,1))</f>
        <v/>
      </c>
      <c r="D3479">
        <f>"CAQH re-attestation – "&amp;IF(LEN(INDEX('Providers'!$A$4:$A$503,476))=0,"",INDEX('Providers'!$A$4:$A$503,476))</f>
        <v/>
      </c>
      <c r="E3479">
        <f>IF(ISNUMBER(INDEX('Providers'!$W$4:$W$503,476)),TEXT(INDEX('Providers'!$W$4:$W$503,476),"yyyy-mm-dd"),"")</f>
        <v/>
      </c>
      <c r="F3479">
        <f>"Credentialing"</f>
        <v/>
      </c>
      <c r="G3479">
        <f>IF(ISNUMBER(INDEX('Providers'!$U$4:$U$503,476)),TEXT(INDEX('Providers'!$U$4:$U$503,476),"yyyy-mm-dd"),"")</f>
        <v/>
      </c>
      <c r="H3479">
        <f>"High"</f>
        <v/>
      </c>
      <c r="I3479">
        <f>TRIM(IF(LEN(IF(LEN(INDEX('Providers'!$T$4:$T$503,476))=0,"",INDEX('Providers'!$T$4:$T$503,476)))=0,"","CAQH ID: "&amp;IF(LEN(INDEX('Providers'!$T$4:$T$503,476))=0,"",INDEX('Providers'!$T$4:$T$503,476))&amp;". ")&amp;IF(LEN(IF(ISNUMBER(INDEX('Providers'!$U$4:$U$503,476)),TEXT(INDEX('Providers'!$U$4:$U$503,476),"yyyy-mm-dd"),""))=0,"","Last attested: "&amp;IF(ISNUMBER(INDEX('Providers'!$U$4:$U$503,476)),TEXT(INDEX('Providers'!$U$4:$U$503,476),"yyyy-mm-dd"),"")&amp;". "))</f>
        <v/>
      </c>
      <c r="J3479">
        <f>IF(LEN(INDEX('Providers'!$AJ$4:$AJ$503,476))=0,"",INDEX('Providers'!$AJ$4:$AJ$503,476))</f>
        <v/>
      </c>
      <c r="K3479">
        <f>IF(LEN(INDEX('Providers'!$AI$4:$AI$503,476))=0,"",INDEX('Providers'!$AI$4:$AI$503,476))</f>
        <v/>
      </c>
    </row>
    <row r="3480">
      <c r="A3480">
        <f>IF(AND(LEN('Providers'!A480)&gt;0,ISNUMBER('Providers'!W480)),1,0)</f>
        <v/>
      </c>
      <c r="B3480">
        <f>B3479+A3480</f>
        <v/>
      </c>
      <c r="C3480">
        <f>IF(3477&gt;$B$4503,"",MATCH(3477-0.5,$B$3:$B$4503,1))</f>
        <v/>
      </c>
      <c r="D3480">
        <f>"CAQH re-attestation – "&amp;IF(LEN(INDEX('Providers'!$A$4:$A$503,477))=0,"",INDEX('Providers'!$A$4:$A$503,477))</f>
        <v/>
      </c>
      <c r="E3480">
        <f>IF(ISNUMBER(INDEX('Providers'!$W$4:$W$503,477)),TEXT(INDEX('Providers'!$W$4:$W$503,477),"yyyy-mm-dd"),"")</f>
        <v/>
      </c>
      <c r="F3480">
        <f>"Credentialing"</f>
        <v/>
      </c>
      <c r="G3480">
        <f>IF(ISNUMBER(INDEX('Providers'!$U$4:$U$503,477)),TEXT(INDEX('Providers'!$U$4:$U$503,477),"yyyy-mm-dd"),"")</f>
        <v/>
      </c>
      <c r="H3480">
        <f>"High"</f>
        <v/>
      </c>
      <c r="I3480">
        <f>TRIM(IF(LEN(IF(LEN(INDEX('Providers'!$T$4:$T$503,477))=0,"",INDEX('Providers'!$T$4:$T$503,477)))=0,"","CAQH ID: "&amp;IF(LEN(INDEX('Providers'!$T$4:$T$503,477))=0,"",INDEX('Providers'!$T$4:$T$503,477))&amp;". ")&amp;IF(LEN(IF(ISNUMBER(INDEX('Providers'!$U$4:$U$503,477)),TEXT(INDEX('Providers'!$U$4:$U$503,477),"yyyy-mm-dd"),""))=0,"","Last attested: "&amp;IF(ISNUMBER(INDEX('Providers'!$U$4:$U$503,477)),TEXT(INDEX('Providers'!$U$4:$U$503,477),"yyyy-mm-dd"),"")&amp;". "))</f>
        <v/>
      </c>
      <c r="J3480">
        <f>IF(LEN(INDEX('Providers'!$AJ$4:$AJ$503,477))=0,"",INDEX('Providers'!$AJ$4:$AJ$503,477))</f>
        <v/>
      </c>
      <c r="K3480">
        <f>IF(LEN(INDEX('Providers'!$AI$4:$AI$503,477))=0,"",INDEX('Providers'!$AI$4:$AI$503,477))</f>
        <v/>
      </c>
    </row>
    <row r="3481">
      <c r="A3481">
        <f>IF(AND(LEN('Providers'!A481)&gt;0,ISNUMBER('Providers'!W481)),1,0)</f>
        <v/>
      </c>
      <c r="B3481">
        <f>B3480+A3481</f>
        <v/>
      </c>
      <c r="C3481">
        <f>IF(3478&gt;$B$4503,"",MATCH(3478-0.5,$B$3:$B$4503,1))</f>
        <v/>
      </c>
      <c r="D3481">
        <f>"CAQH re-attestation – "&amp;IF(LEN(INDEX('Providers'!$A$4:$A$503,478))=0,"",INDEX('Providers'!$A$4:$A$503,478))</f>
        <v/>
      </c>
      <c r="E3481">
        <f>IF(ISNUMBER(INDEX('Providers'!$W$4:$W$503,478)),TEXT(INDEX('Providers'!$W$4:$W$503,478),"yyyy-mm-dd"),"")</f>
        <v/>
      </c>
      <c r="F3481">
        <f>"Credentialing"</f>
        <v/>
      </c>
      <c r="G3481">
        <f>IF(ISNUMBER(INDEX('Providers'!$U$4:$U$503,478)),TEXT(INDEX('Providers'!$U$4:$U$503,478),"yyyy-mm-dd"),"")</f>
        <v/>
      </c>
      <c r="H3481">
        <f>"High"</f>
        <v/>
      </c>
      <c r="I3481">
        <f>TRIM(IF(LEN(IF(LEN(INDEX('Providers'!$T$4:$T$503,478))=0,"",INDEX('Providers'!$T$4:$T$503,478)))=0,"","CAQH ID: "&amp;IF(LEN(INDEX('Providers'!$T$4:$T$503,478))=0,"",INDEX('Providers'!$T$4:$T$503,478))&amp;". ")&amp;IF(LEN(IF(ISNUMBER(INDEX('Providers'!$U$4:$U$503,478)),TEXT(INDEX('Providers'!$U$4:$U$503,478),"yyyy-mm-dd"),""))=0,"","Last attested: "&amp;IF(ISNUMBER(INDEX('Providers'!$U$4:$U$503,478)),TEXT(INDEX('Providers'!$U$4:$U$503,478),"yyyy-mm-dd"),"")&amp;". "))</f>
        <v/>
      </c>
      <c r="J3481">
        <f>IF(LEN(INDEX('Providers'!$AJ$4:$AJ$503,478))=0,"",INDEX('Providers'!$AJ$4:$AJ$503,478))</f>
        <v/>
      </c>
      <c r="K3481">
        <f>IF(LEN(INDEX('Providers'!$AI$4:$AI$503,478))=0,"",INDEX('Providers'!$AI$4:$AI$503,478))</f>
        <v/>
      </c>
    </row>
    <row r="3482">
      <c r="A3482">
        <f>IF(AND(LEN('Providers'!A482)&gt;0,ISNUMBER('Providers'!W482)),1,0)</f>
        <v/>
      </c>
      <c r="B3482">
        <f>B3481+A3482</f>
        <v/>
      </c>
      <c r="C3482">
        <f>IF(3479&gt;$B$4503,"",MATCH(3479-0.5,$B$3:$B$4503,1))</f>
        <v/>
      </c>
      <c r="D3482">
        <f>"CAQH re-attestation – "&amp;IF(LEN(INDEX('Providers'!$A$4:$A$503,479))=0,"",INDEX('Providers'!$A$4:$A$503,479))</f>
        <v/>
      </c>
      <c r="E3482">
        <f>IF(ISNUMBER(INDEX('Providers'!$W$4:$W$503,479)),TEXT(INDEX('Providers'!$W$4:$W$503,479),"yyyy-mm-dd"),"")</f>
        <v/>
      </c>
      <c r="F3482">
        <f>"Credentialing"</f>
        <v/>
      </c>
      <c r="G3482">
        <f>IF(ISNUMBER(INDEX('Providers'!$U$4:$U$503,479)),TEXT(INDEX('Providers'!$U$4:$U$503,479),"yyyy-mm-dd"),"")</f>
        <v/>
      </c>
      <c r="H3482">
        <f>"High"</f>
        <v/>
      </c>
      <c r="I3482">
        <f>TRIM(IF(LEN(IF(LEN(INDEX('Providers'!$T$4:$T$503,479))=0,"",INDEX('Providers'!$T$4:$T$503,479)))=0,"","CAQH ID: "&amp;IF(LEN(INDEX('Providers'!$T$4:$T$503,479))=0,"",INDEX('Providers'!$T$4:$T$503,479))&amp;". ")&amp;IF(LEN(IF(ISNUMBER(INDEX('Providers'!$U$4:$U$503,479)),TEXT(INDEX('Providers'!$U$4:$U$503,479),"yyyy-mm-dd"),""))=0,"","Last attested: "&amp;IF(ISNUMBER(INDEX('Providers'!$U$4:$U$503,479)),TEXT(INDEX('Providers'!$U$4:$U$503,479),"yyyy-mm-dd"),"")&amp;". "))</f>
        <v/>
      </c>
      <c r="J3482">
        <f>IF(LEN(INDEX('Providers'!$AJ$4:$AJ$503,479))=0,"",INDEX('Providers'!$AJ$4:$AJ$503,479))</f>
        <v/>
      </c>
      <c r="K3482">
        <f>IF(LEN(INDEX('Providers'!$AI$4:$AI$503,479))=0,"",INDEX('Providers'!$AI$4:$AI$503,479))</f>
        <v/>
      </c>
    </row>
    <row r="3483">
      <c r="A3483">
        <f>IF(AND(LEN('Providers'!A483)&gt;0,ISNUMBER('Providers'!W483)),1,0)</f>
        <v/>
      </c>
      <c r="B3483">
        <f>B3482+A3483</f>
        <v/>
      </c>
      <c r="C3483">
        <f>IF(3480&gt;$B$4503,"",MATCH(3480-0.5,$B$3:$B$4503,1))</f>
        <v/>
      </c>
      <c r="D3483">
        <f>"CAQH re-attestation – "&amp;IF(LEN(INDEX('Providers'!$A$4:$A$503,480))=0,"",INDEX('Providers'!$A$4:$A$503,480))</f>
        <v/>
      </c>
      <c r="E3483">
        <f>IF(ISNUMBER(INDEX('Providers'!$W$4:$W$503,480)),TEXT(INDEX('Providers'!$W$4:$W$503,480),"yyyy-mm-dd"),"")</f>
        <v/>
      </c>
      <c r="F3483">
        <f>"Credentialing"</f>
        <v/>
      </c>
      <c r="G3483">
        <f>IF(ISNUMBER(INDEX('Providers'!$U$4:$U$503,480)),TEXT(INDEX('Providers'!$U$4:$U$503,480),"yyyy-mm-dd"),"")</f>
        <v/>
      </c>
      <c r="H3483">
        <f>"High"</f>
        <v/>
      </c>
      <c r="I3483">
        <f>TRIM(IF(LEN(IF(LEN(INDEX('Providers'!$T$4:$T$503,480))=0,"",INDEX('Providers'!$T$4:$T$503,480)))=0,"","CAQH ID: "&amp;IF(LEN(INDEX('Providers'!$T$4:$T$503,480))=0,"",INDEX('Providers'!$T$4:$T$503,480))&amp;". ")&amp;IF(LEN(IF(ISNUMBER(INDEX('Providers'!$U$4:$U$503,480)),TEXT(INDEX('Providers'!$U$4:$U$503,480),"yyyy-mm-dd"),""))=0,"","Last attested: "&amp;IF(ISNUMBER(INDEX('Providers'!$U$4:$U$503,480)),TEXT(INDEX('Providers'!$U$4:$U$503,480),"yyyy-mm-dd"),"")&amp;". "))</f>
        <v/>
      </c>
      <c r="J3483">
        <f>IF(LEN(INDEX('Providers'!$AJ$4:$AJ$503,480))=0,"",INDEX('Providers'!$AJ$4:$AJ$503,480))</f>
        <v/>
      </c>
      <c r="K3483">
        <f>IF(LEN(INDEX('Providers'!$AI$4:$AI$503,480))=0,"",INDEX('Providers'!$AI$4:$AI$503,480))</f>
        <v/>
      </c>
    </row>
    <row r="3484">
      <c r="A3484">
        <f>IF(AND(LEN('Providers'!A484)&gt;0,ISNUMBER('Providers'!W484)),1,0)</f>
        <v/>
      </c>
      <c r="B3484">
        <f>B3483+A3484</f>
        <v/>
      </c>
      <c r="C3484">
        <f>IF(3481&gt;$B$4503,"",MATCH(3481-0.5,$B$3:$B$4503,1))</f>
        <v/>
      </c>
      <c r="D3484">
        <f>"CAQH re-attestation – "&amp;IF(LEN(INDEX('Providers'!$A$4:$A$503,481))=0,"",INDEX('Providers'!$A$4:$A$503,481))</f>
        <v/>
      </c>
      <c r="E3484">
        <f>IF(ISNUMBER(INDEX('Providers'!$W$4:$W$503,481)),TEXT(INDEX('Providers'!$W$4:$W$503,481),"yyyy-mm-dd"),"")</f>
        <v/>
      </c>
      <c r="F3484">
        <f>"Credentialing"</f>
        <v/>
      </c>
      <c r="G3484">
        <f>IF(ISNUMBER(INDEX('Providers'!$U$4:$U$503,481)),TEXT(INDEX('Providers'!$U$4:$U$503,481),"yyyy-mm-dd"),"")</f>
        <v/>
      </c>
      <c r="H3484">
        <f>"High"</f>
        <v/>
      </c>
      <c r="I3484">
        <f>TRIM(IF(LEN(IF(LEN(INDEX('Providers'!$T$4:$T$503,481))=0,"",INDEX('Providers'!$T$4:$T$503,481)))=0,"","CAQH ID: "&amp;IF(LEN(INDEX('Providers'!$T$4:$T$503,481))=0,"",INDEX('Providers'!$T$4:$T$503,481))&amp;". ")&amp;IF(LEN(IF(ISNUMBER(INDEX('Providers'!$U$4:$U$503,481)),TEXT(INDEX('Providers'!$U$4:$U$503,481),"yyyy-mm-dd"),""))=0,"","Last attested: "&amp;IF(ISNUMBER(INDEX('Providers'!$U$4:$U$503,481)),TEXT(INDEX('Providers'!$U$4:$U$503,481),"yyyy-mm-dd"),"")&amp;". "))</f>
        <v/>
      </c>
      <c r="J3484">
        <f>IF(LEN(INDEX('Providers'!$AJ$4:$AJ$503,481))=0,"",INDEX('Providers'!$AJ$4:$AJ$503,481))</f>
        <v/>
      </c>
      <c r="K3484">
        <f>IF(LEN(INDEX('Providers'!$AI$4:$AI$503,481))=0,"",INDEX('Providers'!$AI$4:$AI$503,481))</f>
        <v/>
      </c>
    </row>
    <row r="3485">
      <c r="A3485">
        <f>IF(AND(LEN('Providers'!A485)&gt;0,ISNUMBER('Providers'!W485)),1,0)</f>
        <v/>
      </c>
      <c r="B3485">
        <f>B3484+A3485</f>
        <v/>
      </c>
      <c r="C3485">
        <f>IF(3482&gt;$B$4503,"",MATCH(3482-0.5,$B$3:$B$4503,1))</f>
        <v/>
      </c>
      <c r="D3485">
        <f>"CAQH re-attestation – "&amp;IF(LEN(INDEX('Providers'!$A$4:$A$503,482))=0,"",INDEX('Providers'!$A$4:$A$503,482))</f>
        <v/>
      </c>
      <c r="E3485">
        <f>IF(ISNUMBER(INDEX('Providers'!$W$4:$W$503,482)),TEXT(INDEX('Providers'!$W$4:$W$503,482),"yyyy-mm-dd"),"")</f>
        <v/>
      </c>
      <c r="F3485">
        <f>"Credentialing"</f>
        <v/>
      </c>
      <c r="G3485">
        <f>IF(ISNUMBER(INDEX('Providers'!$U$4:$U$503,482)),TEXT(INDEX('Providers'!$U$4:$U$503,482),"yyyy-mm-dd"),"")</f>
        <v/>
      </c>
      <c r="H3485">
        <f>"High"</f>
        <v/>
      </c>
      <c r="I3485">
        <f>TRIM(IF(LEN(IF(LEN(INDEX('Providers'!$T$4:$T$503,482))=0,"",INDEX('Providers'!$T$4:$T$503,482)))=0,"","CAQH ID: "&amp;IF(LEN(INDEX('Providers'!$T$4:$T$503,482))=0,"",INDEX('Providers'!$T$4:$T$503,482))&amp;". ")&amp;IF(LEN(IF(ISNUMBER(INDEX('Providers'!$U$4:$U$503,482)),TEXT(INDEX('Providers'!$U$4:$U$503,482),"yyyy-mm-dd"),""))=0,"","Last attested: "&amp;IF(ISNUMBER(INDEX('Providers'!$U$4:$U$503,482)),TEXT(INDEX('Providers'!$U$4:$U$503,482),"yyyy-mm-dd"),"")&amp;". "))</f>
        <v/>
      </c>
      <c r="J3485">
        <f>IF(LEN(INDEX('Providers'!$AJ$4:$AJ$503,482))=0,"",INDEX('Providers'!$AJ$4:$AJ$503,482))</f>
        <v/>
      </c>
      <c r="K3485">
        <f>IF(LEN(INDEX('Providers'!$AI$4:$AI$503,482))=0,"",INDEX('Providers'!$AI$4:$AI$503,482))</f>
        <v/>
      </c>
    </row>
    <row r="3486">
      <c r="A3486">
        <f>IF(AND(LEN('Providers'!A486)&gt;0,ISNUMBER('Providers'!W486)),1,0)</f>
        <v/>
      </c>
      <c r="B3486">
        <f>B3485+A3486</f>
        <v/>
      </c>
      <c r="C3486">
        <f>IF(3483&gt;$B$4503,"",MATCH(3483-0.5,$B$3:$B$4503,1))</f>
        <v/>
      </c>
      <c r="D3486">
        <f>"CAQH re-attestation – "&amp;IF(LEN(INDEX('Providers'!$A$4:$A$503,483))=0,"",INDEX('Providers'!$A$4:$A$503,483))</f>
        <v/>
      </c>
      <c r="E3486">
        <f>IF(ISNUMBER(INDEX('Providers'!$W$4:$W$503,483)),TEXT(INDEX('Providers'!$W$4:$W$503,483),"yyyy-mm-dd"),"")</f>
        <v/>
      </c>
      <c r="F3486">
        <f>"Credentialing"</f>
        <v/>
      </c>
      <c r="G3486">
        <f>IF(ISNUMBER(INDEX('Providers'!$U$4:$U$503,483)),TEXT(INDEX('Providers'!$U$4:$U$503,483),"yyyy-mm-dd"),"")</f>
        <v/>
      </c>
      <c r="H3486">
        <f>"High"</f>
        <v/>
      </c>
      <c r="I3486">
        <f>TRIM(IF(LEN(IF(LEN(INDEX('Providers'!$T$4:$T$503,483))=0,"",INDEX('Providers'!$T$4:$T$503,483)))=0,"","CAQH ID: "&amp;IF(LEN(INDEX('Providers'!$T$4:$T$503,483))=0,"",INDEX('Providers'!$T$4:$T$503,483))&amp;". ")&amp;IF(LEN(IF(ISNUMBER(INDEX('Providers'!$U$4:$U$503,483)),TEXT(INDEX('Providers'!$U$4:$U$503,483),"yyyy-mm-dd"),""))=0,"","Last attested: "&amp;IF(ISNUMBER(INDEX('Providers'!$U$4:$U$503,483)),TEXT(INDEX('Providers'!$U$4:$U$503,483),"yyyy-mm-dd"),"")&amp;". "))</f>
        <v/>
      </c>
      <c r="J3486">
        <f>IF(LEN(INDEX('Providers'!$AJ$4:$AJ$503,483))=0,"",INDEX('Providers'!$AJ$4:$AJ$503,483))</f>
        <v/>
      </c>
      <c r="K3486">
        <f>IF(LEN(INDEX('Providers'!$AI$4:$AI$503,483))=0,"",INDEX('Providers'!$AI$4:$AI$503,483))</f>
        <v/>
      </c>
    </row>
    <row r="3487">
      <c r="A3487">
        <f>IF(AND(LEN('Providers'!A487)&gt;0,ISNUMBER('Providers'!W487)),1,0)</f>
        <v/>
      </c>
      <c r="B3487">
        <f>B3486+A3487</f>
        <v/>
      </c>
      <c r="C3487">
        <f>IF(3484&gt;$B$4503,"",MATCH(3484-0.5,$B$3:$B$4503,1))</f>
        <v/>
      </c>
      <c r="D3487">
        <f>"CAQH re-attestation – "&amp;IF(LEN(INDEX('Providers'!$A$4:$A$503,484))=0,"",INDEX('Providers'!$A$4:$A$503,484))</f>
        <v/>
      </c>
      <c r="E3487">
        <f>IF(ISNUMBER(INDEX('Providers'!$W$4:$W$503,484)),TEXT(INDEX('Providers'!$W$4:$W$503,484),"yyyy-mm-dd"),"")</f>
        <v/>
      </c>
      <c r="F3487">
        <f>"Credentialing"</f>
        <v/>
      </c>
      <c r="G3487">
        <f>IF(ISNUMBER(INDEX('Providers'!$U$4:$U$503,484)),TEXT(INDEX('Providers'!$U$4:$U$503,484),"yyyy-mm-dd"),"")</f>
        <v/>
      </c>
      <c r="H3487">
        <f>"High"</f>
        <v/>
      </c>
      <c r="I3487">
        <f>TRIM(IF(LEN(IF(LEN(INDEX('Providers'!$T$4:$T$503,484))=0,"",INDEX('Providers'!$T$4:$T$503,484)))=0,"","CAQH ID: "&amp;IF(LEN(INDEX('Providers'!$T$4:$T$503,484))=0,"",INDEX('Providers'!$T$4:$T$503,484))&amp;". ")&amp;IF(LEN(IF(ISNUMBER(INDEX('Providers'!$U$4:$U$503,484)),TEXT(INDEX('Providers'!$U$4:$U$503,484),"yyyy-mm-dd"),""))=0,"","Last attested: "&amp;IF(ISNUMBER(INDEX('Providers'!$U$4:$U$503,484)),TEXT(INDEX('Providers'!$U$4:$U$503,484),"yyyy-mm-dd"),"")&amp;". "))</f>
        <v/>
      </c>
      <c r="J3487">
        <f>IF(LEN(INDEX('Providers'!$AJ$4:$AJ$503,484))=0,"",INDEX('Providers'!$AJ$4:$AJ$503,484))</f>
        <v/>
      </c>
      <c r="K3487">
        <f>IF(LEN(INDEX('Providers'!$AI$4:$AI$503,484))=0,"",INDEX('Providers'!$AI$4:$AI$503,484))</f>
        <v/>
      </c>
    </row>
    <row r="3488">
      <c r="A3488">
        <f>IF(AND(LEN('Providers'!A488)&gt;0,ISNUMBER('Providers'!W488)),1,0)</f>
        <v/>
      </c>
      <c r="B3488">
        <f>B3487+A3488</f>
        <v/>
      </c>
      <c r="C3488">
        <f>IF(3485&gt;$B$4503,"",MATCH(3485-0.5,$B$3:$B$4503,1))</f>
        <v/>
      </c>
      <c r="D3488">
        <f>"CAQH re-attestation – "&amp;IF(LEN(INDEX('Providers'!$A$4:$A$503,485))=0,"",INDEX('Providers'!$A$4:$A$503,485))</f>
        <v/>
      </c>
      <c r="E3488">
        <f>IF(ISNUMBER(INDEX('Providers'!$W$4:$W$503,485)),TEXT(INDEX('Providers'!$W$4:$W$503,485),"yyyy-mm-dd"),"")</f>
        <v/>
      </c>
      <c r="F3488">
        <f>"Credentialing"</f>
        <v/>
      </c>
      <c r="G3488">
        <f>IF(ISNUMBER(INDEX('Providers'!$U$4:$U$503,485)),TEXT(INDEX('Providers'!$U$4:$U$503,485),"yyyy-mm-dd"),"")</f>
        <v/>
      </c>
      <c r="H3488">
        <f>"High"</f>
        <v/>
      </c>
      <c r="I3488">
        <f>TRIM(IF(LEN(IF(LEN(INDEX('Providers'!$T$4:$T$503,485))=0,"",INDEX('Providers'!$T$4:$T$503,485)))=0,"","CAQH ID: "&amp;IF(LEN(INDEX('Providers'!$T$4:$T$503,485))=0,"",INDEX('Providers'!$T$4:$T$503,485))&amp;". ")&amp;IF(LEN(IF(ISNUMBER(INDEX('Providers'!$U$4:$U$503,485)),TEXT(INDEX('Providers'!$U$4:$U$503,485),"yyyy-mm-dd"),""))=0,"","Last attested: "&amp;IF(ISNUMBER(INDEX('Providers'!$U$4:$U$503,485)),TEXT(INDEX('Providers'!$U$4:$U$503,485),"yyyy-mm-dd"),"")&amp;". "))</f>
        <v/>
      </c>
      <c r="J3488">
        <f>IF(LEN(INDEX('Providers'!$AJ$4:$AJ$503,485))=0,"",INDEX('Providers'!$AJ$4:$AJ$503,485))</f>
        <v/>
      </c>
      <c r="K3488">
        <f>IF(LEN(INDEX('Providers'!$AI$4:$AI$503,485))=0,"",INDEX('Providers'!$AI$4:$AI$503,485))</f>
        <v/>
      </c>
    </row>
    <row r="3489">
      <c r="A3489">
        <f>IF(AND(LEN('Providers'!A489)&gt;0,ISNUMBER('Providers'!W489)),1,0)</f>
        <v/>
      </c>
      <c r="B3489">
        <f>B3488+A3489</f>
        <v/>
      </c>
      <c r="C3489">
        <f>IF(3486&gt;$B$4503,"",MATCH(3486-0.5,$B$3:$B$4503,1))</f>
        <v/>
      </c>
      <c r="D3489">
        <f>"CAQH re-attestation – "&amp;IF(LEN(INDEX('Providers'!$A$4:$A$503,486))=0,"",INDEX('Providers'!$A$4:$A$503,486))</f>
        <v/>
      </c>
      <c r="E3489">
        <f>IF(ISNUMBER(INDEX('Providers'!$W$4:$W$503,486)),TEXT(INDEX('Providers'!$W$4:$W$503,486),"yyyy-mm-dd"),"")</f>
        <v/>
      </c>
      <c r="F3489">
        <f>"Credentialing"</f>
        <v/>
      </c>
      <c r="G3489">
        <f>IF(ISNUMBER(INDEX('Providers'!$U$4:$U$503,486)),TEXT(INDEX('Providers'!$U$4:$U$503,486),"yyyy-mm-dd"),"")</f>
        <v/>
      </c>
      <c r="H3489">
        <f>"High"</f>
        <v/>
      </c>
      <c r="I3489">
        <f>TRIM(IF(LEN(IF(LEN(INDEX('Providers'!$T$4:$T$503,486))=0,"",INDEX('Providers'!$T$4:$T$503,486)))=0,"","CAQH ID: "&amp;IF(LEN(INDEX('Providers'!$T$4:$T$503,486))=0,"",INDEX('Providers'!$T$4:$T$503,486))&amp;". ")&amp;IF(LEN(IF(ISNUMBER(INDEX('Providers'!$U$4:$U$503,486)),TEXT(INDEX('Providers'!$U$4:$U$503,486),"yyyy-mm-dd"),""))=0,"","Last attested: "&amp;IF(ISNUMBER(INDEX('Providers'!$U$4:$U$503,486)),TEXT(INDEX('Providers'!$U$4:$U$503,486),"yyyy-mm-dd"),"")&amp;". "))</f>
        <v/>
      </c>
      <c r="J3489">
        <f>IF(LEN(INDEX('Providers'!$AJ$4:$AJ$503,486))=0,"",INDEX('Providers'!$AJ$4:$AJ$503,486))</f>
        <v/>
      </c>
      <c r="K3489">
        <f>IF(LEN(INDEX('Providers'!$AI$4:$AI$503,486))=0,"",INDEX('Providers'!$AI$4:$AI$503,486))</f>
        <v/>
      </c>
    </row>
    <row r="3490">
      <c r="A3490">
        <f>IF(AND(LEN('Providers'!A490)&gt;0,ISNUMBER('Providers'!W490)),1,0)</f>
        <v/>
      </c>
      <c r="B3490">
        <f>B3489+A3490</f>
        <v/>
      </c>
      <c r="C3490">
        <f>IF(3487&gt;$B$4503,"",MATCH(3487-0.5,$B$3:$B$4503,1))</f>
        <v/>
      </c>
      <c r="D3490">
        <f>"CAQH re-attestation – "&amp;IF(LEN(INDEX('Providers'!$A$4:$A$503,487))=0,"",INDEX('Providers'!$A$4:$A$503,487))</f>
        <v/>
      </c>
      <c r="E3490">
        <f>IF(ISNUMBER(INDEX('Providers'!$W$4:$W$503,487)),TEXT(INDEX('Providers'!$W$4:$W$503,487),"yyyy-mm-dd"),"")</f>
        <v/>
      </c>
      <c r="F3490">
        <f>"Credentialing"</f>
        <v/>
      </c>
      <c r="G3490">
        <f>IF(ISNUMBER(INDEX('Providers'!$U$4:$U$503,487)),TEXT(INDEX('Providers'!$U$4:$U$503,487),"yyyy-mm-dd"),"")</f>
        <v/>
      </c>
      <c r="H3490">
        <f>"High"</f>
        <v/>
      </c>
      <c r="I3490">
        <f>TRIM(IF(LEN(IF(LEN(INDEX('Providers'!$T$4:$T$503,487))=0,"",INDEX('Providers'!$T$4:$T$503,487)))=0,"","CAQH ID: "&amp;IF(LEN(INDEX('Providers'!$T$4:$T$503,487))=0,"",INDEX('Providers'!$T$4:$T$503,487))&amp;". ")&amp;IF(LEN(IF(ISNUMBER(INDEX('Providers'!$U$4:$U$503,487)),TEXT(INDEX('Providers'!$U$4:$U$503,487),"yyyy-mm-dd"),""))=0,"","Last attested: "&amp;IF(ISNUMBER(INDEX('Providers'!$U$4:$U$503,487)),TEXT(INDEX('Providers'!$U$4:$U$503,487),"yyyy-mm-dd"),"")&amp;". "))</f>
        <v/>
      </c>
      <c r="J3490">
        <f>IF(LEN(INDEX('Providers'!$AJ$4:$AJ$503,487))=0,"",INDEX('Providers'!$AJ$4:$AJ$503,487))</f>
        <v/>
      </c>
      <c r="K3490">
        <f>IF(LEN(INDEX('Providers'!$AI$4:$AI$503,487))=0,"",INDEX('Providers'!$AI$4:$AI$503,487))</f>
        <v/>
      </c>
    </row>
    <row r="3491">
      <c r="A3491">
        <f>IF(AND(LEN('Providers'!A491)&gt;0,ISNUMBER('Providers'!W491)),1,0)</f>
        <v/>
      </c>
      <c r="B3491">
        <f>B3490+A3491</f>
        <v/>
      </c>
      <c r="C3491">
        <f>IF(3488&gt;$B$4503,"",MATCH(3488-0.5,$B$3:$B$4503,1))</f>
        <v/>
      </c>
      <c r="D3491">
        <f>"CAQH re-attestation – "&amp;IF(LEN(INDEX('Providers'!$A$4:$A$503,488))=0,"",INDEX('Providers'!$A$4:$A$503,488))</f>
        <v/>
      </c>
      <c r="E3491">
        <f>IF(ISNUMBER(INDEX('Providers'!$W$4:$W$503,488)),TEXT(INDEX('Providers'!$W$4:$W$503,488),"yyyy-mm-dd"),"")</f>
        <v/>
      </c>
      <c r="F3491">
        <f>"Credentialing"</f>
        <v/>
      </c>
      <c r="G3491">
        <f>IF(ISNUMBER(INDEX('Providers'!$U$4:$U$503,488)),TEXT(INDEX('Providers'!$U$4:$U$503,488),"yyyy-mm-dd"),"")</f>
        <v/>
      </c>
      <c r="H3491">
        <f>"High"</f>
        <v/>
      </c>
      <c r="I3491">
        <f>TRIM(IF(LEN(IF(LEN(INDEX('Providers'!$T$4:$T$503,488))=0,"",INDEX('Providers'!$T$4:$T$503,488)))=0,"","CAQH ID: "&amp;IF(LEN(INDEX('Providers'!$T$4:$T$503,488))=0,"",INDEX('Providers'!$T$4:$T$503,488))&amp;". ")&amp;IF(LEN(IF(ISNUMBER(INDEX('Providers'!$U$4:$U$503,488)),TEXT(INDEX('Providers'!$U$4:$U$503,488),"yyyy-mm-dd"),""))=0,"","Last attested: "&amp;IF(ISNUMBER(INDEX('Providers'!$U$4:$U$503,488)),TEXT(INDEX('Providers'!$U$4:$U$503,488),"yyyy-mm-dd"),"")&amp;". "))</f>
        <v/>
      </c>
      <c r="J3491">
        <f>IF(LEN(INDEX('Providers'!$AJ$4:$AJ$503,488))=0,"",INDEX('Providers'!$AJ$4:$AJ$503,488))</f>
        <v/>
      </c>
      <c r="K3491">
        <f>IF(LEN(INDEX('Providers'!$AI$4:$AI$503,488))=0,"",INDEX('Providers'!$AI$4:$AI$503,488))</f>
        <v/>
      </c>
    </row>
    <row r="3492">
      <c r="A3492">
        <f>IF(AND(LEN('Providers'!A492)&gt;0,ISNUMBER('Providers'!W492)),1,0)</f>
        <v/>
      </c>
      <c r="B3492">
        <f>B3491+A3492</f>
        <v/>
      </c>
      <c r="C3492">
        <f>IF(3489&gt;$B$4503,"",MATCH(3489-0.5,$B$3:$B$4503,1))</f>
        <v/>
      </c>
      <c r="D3492">
        <f>"CAQH re-attestation – "&amp;IF(LEN(INDEX('Providers'!$A$4:$A$503,489))=0,"",INDEX('Providers'!$A$4:$A$503,489))</f>
        <v/>
      </c>
      <c r="E3492">
        <f>IF(ISNUMBER(INDEX('Providers'!$W$4:$W$503,489)),TEXT(INDEX('Providers'!$W$4:$W$503,489),"yyyy-mm-dd"),"")</f>
        <v/>
      </c>
      <c r="F3492">
        <f>"Credentialing"</f>
        <v/>
      </c>
      <c r="G3492">
        <f>IF(ISNUMBER(INDEX('Providers'!$U$4:$U$503,489)),TEXT(INDEX('Providers'!$U$4:$U$503,489),"yyyy-mm-dd"),"")</f>
        <v/>
      </c>
      <c r="H3492">
        <f>"High"</f>
        <v/>
      </c>
      <c r="I3492">
        <f>TRIM(IF(LEN(IF(LEN(INDEX('Providers'!$T$4:$T$503,489))=0,"",INDEX('Providers'!$T$4:$T$503,489)))=0,"","CAQH ID: "&amp;IF(LEN(INDEX('Providers'!$T$4:$T$503,489))=0,"",INDEX('Providers'!$T$4:$T$503,489))&amp;". ")&amp;IF(LEN(IF(ISNUMBER(INDEX('Providers'!$U$4:$U$503,489)),TEXT(INDEX('Providers'!$U$4:$U$503,489),"yyyy-mm-dd"),""))=0,"","Last attested: "&amp;IF(ISNUMBER(INDEX('Providers'!$U$4:$U$503,489)),TEXT(INDEX('Providers'!$U$4:$U$503,489),"yyyy-mm-dd"),"")&amp;". "))</f>
        <v/>
      </c>
      <c r="J3492">
        <f>IF(LEN(INDEX('Providers'!$AJ$4:$AJ$503,489))=0,"",INDEX('Providers'!$AJ$4:$AJ$503,489))</f>
        <v/>
      </c>
      <c r="K3492">
        <f>IF(LEN(INDEX('Providers'!$AI$4:$AI$503,489))=0,"",INDEX('Providers'!$AI$4:$AI$503,489))</f>
        <v/>
      </c>
    </row>
    <row r="3493">
      <c r="A3493">
        <f>IF(AND(LEN('Providers'!A493)&gt;0,ISNUMBER('Providers'!W493)),1,0)</f>
        <v/>
      </c>
      <c r="B3493">
        <f>B3492+A3493</f>
        <v/>
      </c>
      <c r="C3493">
        <f>IF(3490&gt;$B$4503,"",MATCH(3490-0.5,$B$3:$B$4503,1))</f>
        <v/>
      </c>
      <c r="D3493">
        <f>"CAQH re-attestation – "&amp;IF(LEN(INDEX('Providers'!$A$4:$A$503,490))=0,"",INDEX('Providers'!$A$4:$A$503,490))</f>
        <v/>
      </c>
      <c r="E3493">
        <f>IF(ISNUMBER(INDEX('Providers'!$W$4:$W$503,490)),TEXT(INDEX('Providers'!$W$4:$W$503,490),"yyyy-mm-dd"),"")</f>
        <v/>
      </c>
      <c r="F3493">
        <f>"Credentialing"</f>
        <v/>
      </c>
      <c r="G3493">
        <f>IF(ISNUMBER(INDEX('Providers'!$U$4:$U$503,490)),TEXT(INDEX('Providers'!$U$4:$U$503,490),"yyyy-mm-dd"),"")</f>
        <v/>
      </c>
      <c r="H3493">
        <f>"High"</f>
        <v/>
      </c>
      <c r="I3493">
        <f>TRIM(IF(LEN(IF(LEN(INDEX('Providers'!$T$4:$T$503,490))=0,"",INDEX('Providers'!$T$4:$T$503,490)))=0,"","CAQH ID: "&amp;IF(LEN(INDEX('Providers'!$T$4:$T$503,490))=0,"",INDEX('Providers'!$T$4:$T$503,490))&amp;". ")&amp;IF(LEN(IF(ISNUMBER(INDEX('Providers'!$U$4:$U$503,490)),TEXT(INDEX('Providers'!$U$4:$U$503,490),"yyyy-mm-dd"),""))=0,"","Last attested: "&amp;IF(ISNUMBER(INDEX('Providers'!$U$4:$U$503,490)),TEXT(INDEX('Providers'!$U$4:$U$503,490),"yyyy-mm-dd"),"")&amp;". "))</f>
        <v/>
      </c>
      <c r="J3493">
        <f>IF(LEN(INDEX('Providers'!$AJ$4:$AJ$503,490))=0,"",INDEX('Providers'!$AJ$4:$AJ$503,490))</f>
        <v/>
      </c>
      <c r="K3493">
        <f>IF(LEN(INDEX('Providers'!$AI$4:$AI$503,490))=0,"",INDEX('Providers'!$AI$4:$AI$503,490))</f>
        <v/>
      </c>
    </row>
    <row r="3494">
      <c r="A3494">
        <f>IF(AND(LEN('Providers'!A494)&gt;0,ISNUMBER('Providers'!W494)),1,0)</f>
        <v/>
      </c>
      <c r="B3494">
        <f>B3493+A3494</f>
        <v/>
      </c>
      <c r="C3494">
        <f>IF(3491&gt;$B$4503,"",MATCH(3491-0.5,$B$3:$B$4503,1))</f>
        <v/>
      </c>
      <c r="D3494">
        <f>"CAQH re-attestation – "&amp;IF(LEN(INDEX('Providers'!$A$4:$A$503,491))=0,"",INDEX('Providers'!$A$4:$A$503,491))</f>
        <v/>
      </c>
      <c r="E3494">
        <f>IF(ISNUMBER(INDEX('Providers'!$W$4:$W$503,491)),TEXT(INDEX('Providers'!$W$4:$W$503,491),"yyyy-mm-dd"),"")</f>
        <v/>
      </c>
      <c r="F3494">
        <f>"Credentialing"</f>
        <v/>
      </c>
      <c r="G3494">
        <f>IF(ISNUMBER(INDEX('Providers'!$U$4:$U$503,491)),TEXT(INDEX('Providers'!$U$4:$U$503,491),"yyyy-mm-dd"),"")</f>
        <v/>
      </c>
      <c r="H3494">
        <f>"High"</f>
        <v/>
      </c>
      <c r="I3494">
        <f>TRIM(IF(LEN(IF(LEN(INDEX('Providers'!$T$4:$T$503,491))=0,"",INDEX('Providers'!$T$4:$T$503,491)))=0,"","CAQH ID: "&amp;IF(LEN(INDEX('Providers'!$T$4:$T$503,491))=0,"",INDEX('Providers'!$T$4:$T$503,491))&amp;". ")&amp;IF(LEN(IF(ISNUMBER(INDEX('Providers'!$U$4:$U$503,491)),TEXT(INDEX('Providers'!$U$4:$U$503,491),"yyyy-mm-dd"),""))=0,"","Last attested: "&amp;IF(ISNUMBER(INDEX('Providers'!$U$4:$U$503,491)),TEXT(INDEX('Providers'!$U$4:$U$503,491),"yyyy-mm-dd"),"")&amp;". "))</f>
        <v/>
      </c>
      <c r="J3494">
        <f>IF(LEN(INDEX('Providers'!$AJ$4:$AJ$503,491))=0,"",INDEX('Providers'!$AJ$4:$AJ$503,491))</f>
        <v/>
      </c>
      <c r="K3494">
        <f>IF(LEN(INDEX('Providers'!$AI$4:$AI$503,491))=0,"",INDEX('Providers'!$AI$4:$AI$503,491))</f>
        <v/>
      </c>
    </row>
    <row r="3495">
      <c r="A3495">
        <f>IF(AND(LEN('Providers'!A495)&gt;0,ISNUMBER('Providers'!W495)),1,0)</f>
        <v/>
      </c>
      <c r="B3495">
        <f>B3494+A3495</f>
        <v/>
      </c>
      <c r="C3495">
        <f>IF(3492&gt;$B$4503,"",MATCH(3492-0.5,$B$3:$B$4503,1))</f>
        <v/>
      </c>
      <c r="D3495">
        <f>"CAQH re-attestation – "&amp;IF(LEN(INDEX('Providers'!$A$4:$A$503,492))=0,"",INDEX('Providers'!$A$4:$A$503,492))</f>
        <v/>
      </c>
      <c r="E3495">
        <f>IF(ISNUMBER(INDEX('Providers'!$W$4:$W$503,492)),TEXT(INDEX('Providers'!$W$4:$W$503,492),"yyyy-mm-dd"),"")</f>
        <v/>
      </c>
      <c r="F3495">
        <f>"Credentialing"</f>
        <v/>
      </c>
      <c r="G3495">
        <f>IF(ISNUMBER(INDEX('Providers'!$U$4:$U$503,492)),TEXT(INDEX('Providers'!$U$4:$U$503,492),"yyyy-mm-dd"),"")</f>
        <v/>
      </c>
      <c r="H3495">
        <f>"High"</f>
        <v/>
      </c>
      <c r="I3495">
        <f>TRIM(IF(LEN(IF(LEN(INDEX('Providers'!$T$4:$T$503,492))=0,"",INDEX('Providers'!$T$4:$T$503,492)))=0,"","CAQH ID: "&amp;IF(LEN(INDEX('Providers'!$T$4:$T$503,492))=0,"",INDEX('Providers'!$T$4:$T$503,492))&amp;". ")&amp;IF(LEN(IF(ISNUMBER(INDEX('Providers'!$U$4:$U$503,492)),TEXT(INDEX('Providers'!$U$4:$U$503,492),"yyyy-mm-dd"),""))=0,"","Last attested: "&amp;IF(ISNUMBER(INDEX('Providers'!$U$4:$U$503,492)),TEXT(INDEX('Providers'!$U$4:$U$503,492),"yyyy-mm-dd"),"")&amp;". "))</f>
        <v/>
      </c>
      <c r="J3495">
        <f>IF(LEN(INDEX('Providers'!$AJ$4:$AJ$503,492))=0,"",INDEX('Providers'!$AJ$4:$AJ$503,492))</f>
        <v/>
      </c>
      <c r="K3495">
        <f>IF(LEN(INDEX('Providers'!$AI$4:$AI$503,492))=0,"",INDEX('Providers'!$AI$4:$AI$503,492))</f>
        <v/>
      </c>
    </row>
    <row r="3496">
      <c r="A3496">
        <f>IF(AND(LEN('Providers'!A496)&gt;0,ISNUMBER('Providers'!W496)),1,0)</f>
        <v/>
      </c>
      <c r="B3496">
        <f>B3495+A3496</f>
        <v/>
      </c>
      <c r="C3496">
        <f>IF(3493&gt;$B$4503,"",MATCH(3493-0.5,$B$3:$B$4503,1))</f>
        <v/>
      </c>
      <c r="D3496">
        <f>"CAQH re-attestation – "&amp;IF(LEN(INDEX('Providers'!$A$4:$A$503,493))=0,"",INDEX('Providers'!$A$4:$A$503,493))</f>
        <v/>
      </c>
      <c r="E3496">
        <f>IF(ISNUMBER(INDEX('Providers'!$W$4:$W$503,493)),TEXT(INDEX('Providers'!$W$4:$W$503,493),"yyyy-mm-dd"),"")</f>
        <v/>
      </c>
      <c r="F3496">
        <f>"Credentialing"</f>
        <v/>
      </c>
      <c r="G3496">
        <f>IF(ISNUMBER(INDEX('Providers'!$U$4:$U$503,493)),TEXT(INDEX('Providers'!$U$4:$U$503,493),"yyyy-mm-dd"),"")</f>
        <v/>
      </c>
      <c r="H3496">
        <f>"High"</f>
        <v/>
      </c>
      <c r="I3496">
        <f>TRIM(IF(LEN(IF(LEN(INDEX('Providers'!$T$4:$T$503,493))=0,"",INDEX('Providers'!$T$4:$T$503,493)))=0,"","CAQH ID: "&amp;IF(LEN(INDEX('Providers'!$T$4:$T$503,493))=0,"",INDEX('Providers'!$T$4:$T$503,493))&amp;". ")&amp;IF(LEN(IF(ISNUMBER(INDEX('Providers'!$U$4:$U$503,493)),TEXT(INDEX('Providers'!$U$4:$U$503,493),"yyyy-mm-dd"),""))=0,"","Last attested: "&amp;IF(ISNUMBER(INDEX('Providers'!$U$4:$U$503,493)),TEXT(INDEX('Providers'!$U$4:$U$503,493),"yyyy-mm-dd"),"")&amp;". "))</f>
        <v/>
      </c>
      <c r="J3496">
        <f>IF(LEN(INDEX('Providers'!$AJ$4:$AJ$503,493))=0,"",INDEX('Providers'!$AJ$4:$AJ$503,493))</f>
        <v/>
      </c>
      <c r="K3496">
        <f>IF(LEN(INDEX('Providers'!$AI$4:$AI$503,493))=0,"",INDEX('Providers'!$AI$4:$AI$503,493))</f>
        <v/>
      </c>
    </row>
    <row r="3497">
      <c r="A3497">
        <f>IF(AND(LEN('Providers'!A497)&gt;0,ISNUMBER('Providers'!W497)),1,0)</f>
        <v/>
      </c>
      <c r="B3497">
        <f>B3496+A3497</f>
        <v/>
      </c>
      <c r="C3497">
        <f>IF(3494&gt;$B$4503,"",MATCH(3494-0.5,$B$3:$B$4503,1))</f>
        <v/>
      </c>
      <c r="D3497">
        <f>"CAQH re-attestation – "&amp;IF(LEN(INDEX('Providers'!$A$4:$A$503,494))=0,"",INDEX('Providers'!$A$4:$A$503,494))</f>
        <v/>
      </c>
      <c r="E3497">
        <f>IF(ISNUMBER(INDEX('Providers'!$W$4:$W$503,494)),TEXT(INDEX('Providers'!$W$4:$W$503,494),"yyyy-mm-dd"),"")</f>
        <v/>
      </c>
      <c r="F3497">
        <f>"Credentialing"</f>
        <v/>
      </c>
      <c r="G3497">
        <f>IF(ISNUMBER(INDEX('Providers'!$U$4:$U$503,494)),TEXT(INDEX('Providers'!$U$4:$U$503,494),"yyyy-mm-dd"),"")</f>
        <v/>
      </c>
      <c r="H3497">
        <f>"High"</f>
        <v/>
      </c>
      <c r="I3497">
        <f>TRIM(IF(LEN(IF(LEN(INDEX('Providers'!$T$4:$T$503,494))=0,"",INDEX('Providers'!$T$4:$T$503,494)))=0,"","CAQH ID: "&amp;IF(LEN(INDEX('Providers'!$T$4:$T$503,494))=0,"",INDEX('Providers'!$T$4:$T$503,494))&amp;". ")&amp;IF(LEN(IF(ISNUMBER(INDEX('Providers'!$U$4:$U$503,494)),TEXT(INDEX('Providers'!$U$4:$U$503,494),"yyyy-mm-dd"),""))=0,"","Last attested: "&amp;IF(ISNUMBER(INDEX('Providers'!$U$4:$U$503,494)),TEXT(INDEX('Providers'!$U$4:$U$503,494),"yyyy-mm-dd"),"")&amp;". "))</f>
        <v/>
      </c>
      <c r="J3497">
        <f>IF(LEN(INDEX('Providers'!$AJ$4:$AJ$503,494))=0,"",INDEX('Providers'!$AJ$4:$AJ$503,494))</f>
        <v/>
      </c>
      <c r="K3497">
        <f>IF(LEN(INDEX('Providers'!$AI$4:$AI$503,494))=0,"",INDEX('Providers'!$AI$4:$AI$503,494))</f>
        <v/>
      </c>
    </row>
    <row r="3498">
      <c r="A3498">
        <f>IF(AND(LEN('Providers'!A498)&gt;0,ISNUMBER('Providers'!W498)),1,0)</f>
        <v/>
      </c>
      <c r="B3498">
        <f>B3497+A3498</f>
        <v/>
      </c>
      <c r="C3498">
        <f>IF(3495&gt;$B$4503,"",MATCH(3495-0.5,$B$3:$B$4503,1))</f>
        <v/>
      </c>
      <c r="D3498">
        <f>"CAQH re-attestation – "&amp;IF(LEN(INDEX('Providers'!$A$4:$A$503,495))=0,"",INDEX('Providers'!$A$4:$A$503,495))</f>
        <v/>
      </c>
      <c r="E3498">
        <f>IF(ISNUMBER(INDEX('Providers'!$W$4:$W$503,495)),TEXT(INDEX('Providers'!$W$4:$W$503,495),"yyyy-mm-dd"),"")</f>
        <v/>
      </c>
      <c r="F3498">
        <f>"Credentialing"</f>
        <v/>
      </c>
      <c r="G3498">
        <f>IF(ISNUMBER(INDEX('Providers'!$U$4:$U$503,495)),TEXT(INDEX('Providers'!$U$4:$U$503,495),"yyyy-mm-dd"),"")</f>
        <v/>
      </c>
      <c r="H3498">
        <f>"High"</f>
        <v/>
      </c>
      <c r="I3498">
        <f>TRIM(IF(LEN(IF(LEN(INDEX('Providers'!$T$4:$T$503,495))=0,"",INDEX('Providers'!$T$4:$T$503,495)))=0,"","CAQH ID: "&amp;IF(LEN(INDEX('Providers'!$T$4:$T$503,495))=0,"",INDEX('Providers'!$T$4:$T$503,495))&amp;". ")&amp;IF(LEN(IF(ISNUMBER(INDEX('Providers'!$U$4:$U$503,495)),TEXT(INDEX('Providers'!$U$4:$U$503,495),"yyyy-mm-dd"),""))=0,"","Last attested: "&amp;IF(ISNUMBER(INDEX('Providers'!$U$4:$U$503,495)),TEXT(INDEX('Providers'!$U$4:$U$503,495),"yyyy-mm-dd"),"")&amp;". "))</f>
        <v/>
      </c>
      <c r="J3498">
        <f>IF(LEN(INDEX('Providers'!$AJ$4:$AJ$503,495))=0,"",INDEX('Providers'!$AJ$4:$AJ$503,495))</f>
        <v/>
      </c>
      <c r="K3498">
        <f>IF(LEN(INDEX('Providers'!$AI$4:$AI$503,495))=0,"",INDEX('Providers'!$AI$4:$AI$503,495))</f>
        <v/>
      </c>
    </row>
    <row r="3499">
      <c r="A3499">
        <f>IF(AND(LEN('Providers'!A499)&gt;0,ISNUMBER('Providers'!W499)),1,0)</f>
        <v/>
      </c>
      <c r="B3499">
        <f>B3498+A3499</f>
        <v/>
      </c>
      <c r="C3499">
        <f>IF(3496&gt;$B$4503,"",MATCH(3496-0.5,$B$3:$B$4503,1))</f>
        <v/>
      </c>
      <c r="D3499">
        <f>"CAQH re-attestation – "&amp;IF(LEN(INDEX('Providers'!$A$4:$A$503,496))=0,"",INDEX('Providers'!$A$4:$A$503,496))</f>
        <v/>
      </c>
      <c r="E3499">
        <f>IF(ISNUMBER(INDEX('Providers'!$W$4:$W$503,496)),TEXT(INDEX('Providers'!$W$4:$W$503,496),"yyyy-mm-dd"),"")</f>
        <v/>
      </c>
      <c r="F3499">
        <f>"Credentialing"</f>
        <v/>
      </c>
      <c r="G3499">
        <f>IF(ISNUMBER(INDEX('Providers'!$U$4:$U$503,496)),TEXT(INDEX('Providers'!$U$4:$U$503,496),"yyyy-mm-dd"),"")</f>
        <v/>
      </c>
      <c r="H3499">
        <f>"High"</f>
        <v/>
      </c>
      <c r="I3499">
        <f>TRIM(IF(LEN(IF(LEN(INDEX('Providers'!$T$4:$T$503,496))=0,"",INDEX('Providers'!$T$4:$T$503,496)))=0,"","CAQH ID: "&amp;IF(LEN(INDEX('Providers'!$T$4:$T$503,496))=0,"",INDEX('Providers'!$T$4:$T$503,496))&amp;". ")&amp;IF(LEN(IF(ISNUMBER(INDEX('Providers'!$U$4:$U$503,496)),TEXT(INDEX('Providers'!$U$4:$U$503,496),"yyyy-mm-dd"),""))=0,"","Last attested: "&amp;IF(ISNUMBER(INDEX('Providers'!$U$4:$U$503,496)),TEXT(INDEX('Providers'!$U$4:$U$503,496),"yyyy-mm-dd"),"")&amp;". "))</f>
        <v/>
      </c>
      <c r="J3499">
        <f>IF(LEN(INDEX('Providers'!$AJ$4:$AJ$503,496))=0,"",INDEX('Providers'!$AJ$4:$AJ$503,496))</f>
        <v/>
      </c>
      <c r="K3499">
        <f>IF(LEN(INDEX('Providers'!$AI$4:$AI$503,496))=0,"",INDEX('Providers'!$AI$4:$AI$503,496))</f>
        <v/>
      </c>
    </row>
    <row r="3500">
      <c r="A3500">
        <f>IF(AND(LEN('Providers'!A500)&gt;0,ISNUMBER('Providers'!W500)),1,0)</f>
        <v/>
      </c>
      <c r="B3500">
        <f>B3499+A3500</f>
        <v/>
      </c>
      <c r="C3500">
        <f>IF(3497&gt;$B$4503,"",MATCH(3497-0.5,$B$3:$B$4503,1))</f>
        <v/>
      </c>
      <c r="D3500">
        <f>"CAQH re-attestation – "&amp;IF(LEN(INDEX('Providers'!$A$4:$A$503,497))=0,"",INDEX('Providers'!$A$4:$A$503,497))</f>
        <v/>
      </c>
      <c r="E3500">
        <f>IF(ISNUMBER(INDEX('Providers'!$W$4:$W$503,497)),TEXT(INDEX('Providers'!$W$4:$W$503,497),"yyyy-mm-dd"),"")</f>
        <v/>
      </c>
      <c r="F3500">
        <f>"Credentialing"</f>
        <v/>
      </c>
      <c r="G3500">
        <f>IF(ISNUMBER(INDEX('Providers'!$U$4:$U$503,497)),TEXT(INDEX('Providers'!$U$4:$U$503,497),"yyyy-mm-dd"),"")</f>
        <v/>
      </c>
      <c r="H3500">
        <f>"High"</f>
        <v/>
      </c>
      <c r="I3500">
        <f>TRIM(IF(LEN(IF(LEN(INDEX('Providers'!$T$4:$T$503,497))=0,"",INDEX('Providers'!$T$4:$T$503,497)))=0,"","CAQH ID: "&amp;IF(LEN(INDEX('Providers'!$T$4:$T$503,497))=0,"",INDEX('Providers'!$T$4:$T$503,497))&amp;". ")&amp;IF(LEN(IF(ISNUMBER(INDEX('Providers'!$U$4:$U$503,497)),TEXT(INDEX('Providers'!$U$4:$U$503,497),"yyyy-mm-dd"),""))=0,"","Last attested: "&amp;IF(ISNUMBER(INDEX('Providers'!$U$4:$U$503,497)),TEXT(INDEX('Providers'!$U$4:$U$503,497),"yyyy-mm-dd"),"")&amp;". "))</f>
        <v/>
      </c>
      <c r="J3500">
        <f>IF(LEN(INDEX('Providers'!$AJ$4:$AJ$503,497))=0,"",INDEX('Providers'!$AJ$4:$AJ$503,497))</f>
        <v/>
      </c>
      <c r="K3500">
        <f>IF(LEN(INDEX('Providers'!$AI$4:$AI$503,497))=0,"",INDEX('Providers'!$AI$4:$AI$503,497))</f>
        <v/>
      </c>
    </row>
    <row r="3501">
      <c r="A3501">
        <f>IF(AND(LEN('Providers'!A501)&gt;0,ISNUMBER('Providers'!W501)),1,0)</f>
        <v/>
      </c>
      <c r="B3501">
        <f>B3500+A3501</f>
        <v/>
      </c>
      <c r="C3501">
        <f>IF(3498&gt;$B$4503,"",MATCH(3498-0.5,$B$3:$B$4503,1))</f>
        <v/>
      </c>
      <c r="D3501">
        <f>"CAQH re-attestation – "&amp;IF(LEN(INDEX('Providers'!$A$4:$A$503,498))=0,"",INDEX('Providers'!$A$4:$A$503,498))</f>
        <v/>
      </c>
      <c r="E3501">
        <f>IF(ISNUMBER(INDEX('Providers'!$W$4:$W$503,498)),TEXT(INDEX('Providers'!$W$4:$W$503,498),"yyyy-mm-dd"),"")</f>
        <v/>
      </c>
      <c r="F3501">
        <f>"Credentialing"</f>
        <v/>
      </c>
      <c r="G3501">
        <f>IF(ISNUMBER(INDEX('Providers'!$U$4:$U$503,498)),TEXT(INDEX('Providers'!$U$4:$U$503,498),"yyyy-mm-dd"),"")</f>
        <v/>
      </c>
      <c r="H3501">
        <f>"High"</f>
        <v/>
      </c>
      <c r="I3501">
        <f>TRIM(IF(LEN(IF(LEN(INDEX('Providers'!$T$4:$T$503,498))=0,"",INDEX('Providers'!$T$4:$T$503,498)))=0,"","CAQH ID: "&amp;IF(LEN(INDEX('Providers'!$T$4:$T$503,498))=0,"",INDEX('Providers'!$T$4:$T$503,498))&amp;". ")&amp;IF(LEN(IF(ISNUMBER(INDEX('Providers'!$U$4:$U$503,498)),TEXT(INDEX('Providers'!$U$4:$U$503,498),"yyyy-mm-dd"),""))=0,"","Last attested: "&amp;IF(ISNUMBER(INDEX('Providers'!$U$4:$U$503,498)),TEXT(INDEX('Providers'!$U$4:$U$503,498),"yyyy-mm-dd"),"")&amp;". "))</f>
        <v/>
      </c>
      <c r="J3501">
        <f>IF(LEN(INDEX('Providers'!$AJ$4:$AJ$503,498))=0,"",INDEX('Providers'!$AJ$4:$AJ$503,498))</f>
        <v/>
      </c>
      <c r="K3501">
        <f>IF(LEN(INDEX('Providers'!$AI$4:$AI$503,498))=0,"",INDEX('Providers'!$AI$4:$AI$503,498))</f>
        <v/>
      </c>
    </row>
    <row r="3502">
      <c r="A3502">
        <f>IF(AND(LEN('Providers'!A502)&gt;0,ISNUMBER('Providers'!W502)),1,0)</f>
        <v/>
      </c>
      <c r="B3502">
        <f>B3501+A3502</f>
        <v/>
      </c>
      <c r="C3502">
        <f>IF(3499&gt;$B$4503,"",MATCH(3499-0.5,$B$3:$B$4503,1))</f>
        <v/>
      </c>
      <c r="D3502">
        <f>"CAQH re-attestation – "&amp;IF(LEN(INDEX('Providers'!$A$4:$A$503,499))=0,"",INDEX('Providers'!$A$4:$A$503,499))</f>
        <v/>
      </c>
      <c r="E3502">
        <f>IF(ISNUMBER(INDEX('Providers'!$W$4:$W$503,499)),TEXT(INDEX('Providers'!$W$4:$W$503,499),"yyyy-mm-dd"),"")</f>
        <v/>
      </c>
      <c r="F3502">
        <f>"Credentialing"</f>
        <v/>
      </c>
      <c r="G3502">
        <f>IF(ISNUMBER(INDEX('Providers'!$U$4:$U$503,499)),TEXT(INDEX('Providers'!$U$4:$U$503,499),"yyyy-mm-dd"),"")</f>
        <v/>
      </c>
      <c r="H3502">
        <f>"High"</f>
        <v/>
      </c>
      <c r="I3502">
        <f>TRIM(IF(LEN(IF(LEN(INDEX('Providers'!$T$4:$T$503,499))=0,"",INDEX('Providers'!$T$4:$T$503,499)))=0,"","CAQH ID: "&amp;IF(LEN(INDEX('Providers'!$T$4:$T$503,499))=0,"",INDEX('Providers'!$T$4:$T$503,499))&amp;". ")&amp;IF(LEN(IF(ISNUMBER(INDEX('Providers'!$U$4:$U$503,499)),TEXT(INDEX('Providers'!$U$4:$U$503,499),"yyyy-mm-dd"),""))=0,"","Last attested: "&amp;IF(ISNUMBER(INDEX('Providers'!$U$4:$U$503,499)),TEXT(INDEX('Providers'!$U$4:$U$503,499),"yyyy-mm-dd"),"")&amp;". "))</f>
        <v/>
      </c>
      <c r="J3502">
        <f>IF(LEN(INDEX('Providers'!$AJ$4:$AJ$503,499))=0,"",INDEX('Providers'!$AJ$4:$AJ$503,499))</f>
        <v/>
      </c>
      <c r="K3502">
        <f>IF(LEN(INDEX('Providers'!$AI$4:$AI$503,499))=0,"",INDEX('Providers'!$AI$4:$AI$503,499))</f>
        <v/>
      </c>
    </row>
    <row r="3503">
      <c r="A3503">
        <f>IF(AND(LEN('Providers'!A503)&gt;0,ISNUMBER('Providers'!W503)),1,0)</f>
        <v/>
      </c>
      <c r="B3503">
        <f>B3502+A3503</f>
        <v/>
      </c>
      <c r="C3503">
        <f>IF(3500&gt;$B$4503,"",MATCH(3500-0.5,$B$3:$B$4503,1))</f>
        <v/>
      </c>
      <c r="D3503">
        <f>"CAQH re-attestation – "&amp;IF(LEN(INDEX('Providers'!$A$4:$A$503,500))=0,"",INDEX('Providers'!$A$4:$A$503,500))</f>
        <v/>
      </c>
      <c r="E3503">
        <f>IF(ISNUMBER(INDEX('Providers'!$W$4:$W$503,500)),TEXT(INDEX('Providers'!$W$4:$W$503,500),"yyyy-mm-dd"),"")</f>
        <v/>
      </c>
      <c r="F3503">
        <f>"Credentialing"</f>
        <v/>
      </c>
      <c r="G3503">
        <f>IF(ISNUMBER(INDEX('Providers'!$U$4:$U$503,500)),TEXT(INDEX('Providers'!$U$4:$U$503,500),"yyyy-mm-dd"),"")</f>
        <v/>
      </c>
      <c r="H3503">
        <f>"High"</f>
        <v/>
      </c>
      <c r="I3503">
        <f>TRIM(IF(LEN(IF(LEN(INDEX('Providers'!$T$4:$T$503,500))=0,"",INDEX('Providers'!$T$4:$T$503,500)))=0,"","CAQH ID: "&amp;IF(LEN(INDEX('Providers'!$T$4:$T$503,500))=0,"",INDEX('Providers'!$T$4:$T$503,500))&amp;". ")&amp;IF(LEN(IF(ISNUMBER(INDEX('Providers'!$U$4:$U$503,500)),TEXT(INDEX('Providers'!$U$4:$U$503,500),"yyyy-mm-dd"),""))=0,"","Last attested: "&amp;IF(ISNUMBER(INDEX('Providers'!$U$4:$U$503,500)),TEXT(INDEX('Providers'!$U$4:$U$503,500),"yyyy-mm-dd"),"")&amp;". "))</f>
        <v/>
      </c>
      <c r="J3503">
        <f>IF(LEN(INDEX('Providers'!$AJ$4:$AJ$503,500))=0,"",INDEX('Providers'!$AJ$4:$AJ$503,500))</f>
        <v/>
      </c>
      <c r="K3503">
        <f>IF(LEN(INDEX('Providers'!$AI$4:$AI$503,500))=0,"",INDEX('Providers'!$AI$4:$AI$503,500))</f>
        <v/>
      </c>
    </row>
    <row r="3504">
      <c r="A3504">
        <f>IF(AND(LEN('Providers'!A4)&gt;0,ISNUMBER('Providers'!Y4)),1,0)</f>
        <v/>
      </c>
      <c r="B3504">
        <f>B3503+A3504</f>
        <v/>
      </c>
      <c r="C3504">
        <f>IF(3501&gt;$B$4503,"",MATCH(3501-0.5,$B$3:$B$4503,1))</f>
        <v/>
      </c>
      <c r="D3504">
        <f>"Privileges reappointment – "&amp;IF(LEN(INDEX('Providers'!$A$4:$A$503,1))=0,"",INDEX('Providers'!$A$4:$A$503,1))</f>
        <v/>
      </c>
      <c r="E3504">
        <f>IF(ISNUMBER(INDEX('Providers'!$Y$4:$Y$503,1)),TEXT(INDEX('Providers'!$Y$4:$Y$503,1),"yyyy-mm-dd"),"")</f>
        <v/>
      </c>
      <c r="F3504">
        <f>"Credentialing"</f>
        <v/>
      </c>
      <c r="G3504">
        <f>""</f>
        <v/>
      </c>
      <c r="H3504">
        <f>"High"</f>
        <v/>
      </c>
      <c r="I3504">
        <f>TRIM(IF(LEN(IF(LEN(INDEX('Providers'!$X$4:$X$503,1))=0,"",INDEX('Providers'!$X$4:$X$503,1)))=0,"","Facility: "&amp;IF(LEN(INDEX('Providers'!$X$4:$X$503,1))=0,"",INDEX('Providers'!$X$4:$X$503,1))&amp;". "))</f>
        <v/>
      </c>
      <c r="J3504">
        <f>IF(LEN(INDEX('Providers'!$AJ$4:$AJ$503,1))=0,"",INDEX('Providers'!$AJ$4:$AJ$503,1))</f>
        <v/>
      </c>
      <c r="K3504">
        <f>IF(LEN(INDEX('Providers'!$AI$4:$AI$503,1))=0,"",INDEX('Providers'!$AI$4:$AI$503,1))</f>
        <v/>
      </c>
    </row>
    <row r="3505">
      <c r="A3505">
        <f>IF(AND(LEN('Providers'!A5)&gt;0,ISNUMBER('Providers'!Y5)),1,0)</f>
        <v/>
      </c>
      <c r="B3505">
        <f>B3504+A3505</f>
        <v/>
      </c>
      <c r="C3505">
        <f>IF(3502&gt;$B$4503,"",MATCH(3502-0.5,$B$3:$B$4503,1))</f>
        <v/>
      </c>
      <c r="D3505">
        <f>"Privileges reappointment – "&amp;IF(LEN(INDEX('Providers'!$A$4:$A$503,2))=0,"",INDEX('Providers'!$A$4:$A$503,2))</f>
        <v/>
      </c>
      <c r="E3505">
        <f>IF(ISNUMBER(INDEX('Providers'!$Y$4:$Y$503,2)),TEXT(INDEX('Providers'!$Y$4:$Y$503,2),"yyyy-mm-dd"),"")</f>
        <v/>
      </c>
      <c r="F3505">
        <f>"Credentialing"</f>
        <v/>
      </c>
      <c r="G3505">
        <f>""</f>
        <v/>
      </c>
      <c r="H3505">
        <f>"High"</f>
        <v/>
      </c>
      <c r="I3505">
        <f>TRIM(IF(LEN(IF(LEN(INDEX('Providers'!$X$4:$X$503,2))=0,"",INDEX('Providers'!$X$4:$X$503,2)))=0,"","Facility: "&amp;IF(LEN(INDEX('Providers'!$X$4:$X$503,2))=0,"",INDEX('Providers'!$X$4:$X$503,2))&amp;". "))</f>
        <v/>
      </c>
      <c r="J3505">
        <f>IF(LEN(INDEX('Providers'!$AJ$4:$AJ$503,2))=0,"",INDEX('Providers'!$AJ$4:$AJ$503,2))</f>
        <v/>
      </c>
      <c r="K3505">
        <f>IF(LEN(INDEX('Providers'!$AI$4:$AI$503,2))=0,"",INDEX('Providers'!$AI$4:$AI$503,2))</f>
        <v/>
      </c>
    </row>
    <row r="3506">
      <c r="A3506">
        <f>IF(AND(LEN('Providers'!A6)&gt;0,ISNUMBER('Providers'!Y6)),1,0)</f>
        <v/>
      </c>
      <c r="B3506">
        <f>B3505+A3506</f>
        <v/>
      </c>
      <c r="C3506">
        <f>IF(3503&gt;$B$4503,"",MATCH(3503-0.5,$B$3:$B$4503,1))</f>
        <v/>
      </c>
      <c r="D3506">
        <f>"Privileges reappointment – "&amp;IF(LEN(INDEX('Providers'!$A$4:$A$503,3))=0,"",INDEX('Providers'!$A$4:$A$503,3))</f>
        <v/>
      </c>
      <c r="E3506">
        <f>IF(ISNUMBER(INDEX('Providers'!$Y$4:$Y$503,3)),TEXT(INDEX('Providers'!$Y$4:$Y$503,3),"yyyy-mm-dd"),"")</f>
        <v/>
      </c>
      <c r="F3506">
        <f>"Credentialing"</f>
        <v/>
      </c>
      <c r="G3506">
        <f>""</f>
        <v/>
      </c>
      <c r="H3506">
        <f>"High"</f>
        <v/>
      </c>
      <c r="I3506">
        <f>TRIM(IF(LEN(IF(LEN(INDEX('Providers'!$X$4:$X$503,3))=0,"",INDEX('Providers'!$X$4:$X$503,3)))=0,"","Facility: "&amp;IF(LEN(INDEX('Providers'!$X$4:$X$503,3))=0,"",INDEX('Providers'!$X$4:$X$503,3))&amp;". "))</f>
        <v/>
      </c>
      <c r="J3506">
        <f>IF(LEN(INDEX('Providers'!$AJ$4:$AJ$503,3))=0,"",INDEX('Providers'!$AJ$4:$AJ$503,3))</f>
        <v/>
      </c>
      <c r="K3506">
        <f>IF(LEN(INDEX('Providers'!$AI$4:$AI$503,3))=0,"",INDEX('Providers'!$AI$4:$AI$503,3))</f>
        <v/>
      </c>
    </row>
    <row r="3507">
      <c r="A3507">
        <f>IF(AND(LEN('Providers'!A7)&gt;0,ISNUMBER('Providers'!Y7)),1,0)</f>
        <v/>
      </c>
      <c r="B3507">
        <f>B3506+A3507</f>
        <v/>
      </c>
      <c r="C3507">
        <f>IF(3504&gt;$B$4503,"",MATCH(3504-0.5,$B$3:$B$4503,1))</f>
        <v/>
      </c>
      <c r="D3507">
        <f>"Privileges reappointment – "&amp;IF(LEN(INDEX('Providers'!$A$4:$A$503,4))=0,"",INDEX('Providers'!$A$4:$A$503,4))</f>
        <v/>
      </c>
      <c r="E3507">
        <f>IF(ISNUMBER(INDEX('Providers'!$Y$4:$Y$503,4)),TEXT(INDEX('Providers'!$Y$4:$Y$503,4),"yyyy-mm-dd"),"")</f>
        <v/>
      </c>
      <c r="F3507">
        <f>"Credentialing"</f>
        <v/>
      </c>
      <c r="G3507">
        <f>""</f>
        <v/>
      </c>
      <c r="H3507">
        <f>"High"</f>
        <v/>
      </c>
      <c r="I3507">
        <f>TRIM(IF(LEN(IF(LEN(INDEX('Providers'!$X$4:$X$503,4))=0,"",INDEX('Providers'!$X$4:$X$503,4)))=0,"","Facility: "&amp;IF(LEN(INDEX('Providers'!$X$4:$X$503,4))=0,"",INDEX('Providers'!$X$4:$X$503,4))&amp;". "))</f>
        <v/>
      </c>
      <c r="J3507">
        <f>IF(LEN(INDEX('Providers'!$AJ$4:$AJ$503,4))=0,"",INDEX('Providers'!$AJ$4:$AJ$503,4))</f>
        <v/>
      </c>
      <c r="K3507">
        <f>IF(LEN(INDEX('Providers'!$AI$4:$AI$503,4))=0,"",INDEX('Providers'!$AI$4:$AI$503,4))</f>
        <v/>
      </c>
    </row>
    <row r="3508">
      <c r="A3508">
        <f>IF(AND(LEN('Providers'!A8)&gt;0,ISNUMBER('Providers'!Y8)),1,0)</f>
        <v/>
      </c>
      <c r="B3508">
        <f>B3507+A3508</f>
        <v/>
      </c>
      <c r="C3508">
        <f>IF(3505&gt;$B$4503,"",MATCH(3505-0.5,$B$3:$B$4503,1))</f>
        <v/>
      </c>
      <c r="D3508">
        <f>"Privileges reappointment – "&amp;IF(LEN(INDEX('Providers'!$A$4:$A$503,5))=0,"",INDEX('Providers'!$A$4:$A$503,5))</f>
        <v/>
      </c>
      <c r="E3508">
        <f>IF(ISNUMBER(INDEX('Providers'!$Y$4:$Y$503,5)),TEXT(INDEX('Providers'!$Y$4:$Y$503,5),"yyyy-mm-dd"),"")</f>
        <v/>
      </c>
      <c r="F3508">
        <f>"Credentialing"</f>
        <v/>
      </c>
      <c r="G3508">
        <f>""</f>
        <v/>
      </c>
      <c r="H3508">
        <f>"High"</f>
        <v/>
      </c>
      <c r="I3508">
        <f>TRIM(IF(LEN(IF(LEN(INDEX('Providers'!$X$4:$X$503,5))=0,"",INDEX('Providers'!$X$4:$X$503,5)))=0,"","Facility: "&amp;IF(LEN(INDEX('Providers'!$X$4:$X$503,5))=0,"",INDEX('Providers'!$X$4:$X$503,5))&amp;". "))</f>
        <v/>
      </c>
      <c r="J3508">
        <f>IF(LEN(INDEX('Providers'!$AJ$4:$AJ$503,5))=0,"",INDEX('Providers'!$AJ$4:$AJ$503,5))</f>
        <v/>
      </c>
      <c r="K3508">
        <f>IF(LEN(INDEX('Providers'!$AI$4:$AI$503,5))=0,"",INDEX('Providers'!$AI$4:$AI$503,5))</f>
        <v/>
      </c>
    </row>
    <row r="3509">
      <c r="A3509">
        <f>IF(AND(LEN('Providers'!A9)&gt;0,ISNUMBER('Providers'!Y9)),1,0)</f>
        <v/>
      </c>
      <c r="B3509">
        <f>B3508+A3509</f>
        <v/>
      </c>
      <c r="C3509">
        <f>IF(3506&gt;$B$4503,"",MATCH(3506-0.5,$B$3:$B$4503,1))</f>
        <v/>
      </c>
      <c r="D3509">
        <f>"Privileges reappointment – "&amp;IF(LEN(INDEX('Providers'!$A$4:$A$503,6))=0,"",INDEX('Providers'!$A$4:$A$503,6))</f>
        <v/>
      </c>
      <c r="E3509">
        <f>IF(ISNUMBER(INDEX('Providers'!$Y$4:$Y$503,6)),TEXT(INDEX('Providers'!$Y$4:$Y$503,6),"yyyy-mm-dd"),"")</f>
        <v/>
      </c>
      <c r="F3509">
        <f>"Credentialing"</f>
        <v/>
      </c>
      <c r="G3509">
        <f>""</f>
        <v/>
      </c>
      <c r="H3509">
        <f>"High"</f>
        <v/>
      </c>
      <c r="I3509">
        <f>TRIM(IF(LEN(IF(LEN(INDEX('Providers'!$X$4:$X$503,6))=0,"",INDEX('Providers'!$X$4:$X$503,6)))=0,"","Facility: "&amp;IF(LEN(INDEX('Providers'!$X$4:$X$503,6))=0,"",INDEX('Providers'!$X$4:$X$503,6))&amp;". "))</f>
        <v/>
      </c>
      <c r="J3509">
        <f>IF(LEN(INDEX('Providers'!$AJ$4:$AJ$503,6))=0,"",INDEX('Providers'!$AJ$4:$AJ$503,6))</f>
        <v/>
      </c>
      <c r="K3509">
        <f>IF(LEN(INDEX('Providers'!$AI$4:$AI$503,6))=0,"",INDEX('Providers'!$AI$4:$AI$503,6))</f>
        <v/>
      </c>
    </row>
    <row r="3510">
      <c r="A3510">
        <f>IF(AND(LEN('Providers'!A10)&gt;0,ISNUMBER('Providers'!Y10)),1,0)</f>
        <v/>
      </c>
      <c r="B3510">
        <f>B3509+A3510</f>
        <v/>
      </c>
      <c r="C3510">
        <f>IF(3507&gt;$B$4503,"",MATCH(3507-0.5,$B$3:$B$4503,1))</f>
        <v/>
      </c>
      <c r="D3510">
        <f>"Privileges reappointment – "&amp;IF(LEN(INDEX('Providers'!$A$4:$A$503,7))=0,"",INDEX('Providers'!$A$4:$A$503,7))</f>
        <v/>
      </c>
      <c r="E3510">
        <f>IF(ISNUMBER(INDEX('Providers'!$Y$4:$Y$503,7)),TEXT(INDEX('Providers'!$Y$4:$Y$503,7),"yyyy-mm-dd"),"")</f>
        <v/>
      </c>
      <c r="F3510">
        <f>"Credentialing"</f>
        <v/>
      </c>
      <c r="G3510">
        <f>""</f>
        <v/>
      </c>
      <c r="H3510">
        <f>"High"</f>
        <v/>
      </c>
      <c r="I3510">
        <f>TRIM(IF(LEN(IF(LEN(INDEX('Providers'!$X$4:$X$503,7))=0,"",INDEX('Providers'!$X$4:$X$503,7)))=0,"","Facility: "&amp;IF(LEN(INDEX('Providers'!$X$4:$X$503,7))=0,"",INDEX('Providers'!$X$4:$X$503,7))&amp;". "))</f>
        <v/>
      </c>
      <c r="J3510">
        <f>IF(LEN(INDEX('Providers'!$AJ$4:$AJ$503,7))=0,"",INDEX('Providers'!$AJ$4:$AJ$503,7))</f>
        <v/>
      </c>
      <c r="K3510">
        <f>IF(LEN(INDEX('Providers'!$AI$4:$AI$503,7))=0,"",INDEX('Providers'!$AI$4:$AI$503,7))</f>
        <v/>
      </c>
    </row>
    <row r="3511">
      <c r="A3511">
        <f>IF(AND(LEN('Providers'!A11)&gt;0,ISNUMBER('Providers'!Y11)),1,0)</f>
        <v/>
      </c>
      <c r="B3511">
        <f>B3510+A3511</f>
        <v/>
      </c>
      <c r="C3511">
        <f>IF(3508&gt;$B$4503,"",MATCH(3508-0.5,$B$3:$B$4503,1))</f>
        <v/>
      </c>
      <c r="D3511">
        <f>"Privileges reappointment – "&amp;IF(LEN(INDEX('Providers'!$A$4:$A$503,8))=0,"",INDEX('Providers'!$A$4:$A$503,8))</f>
        <v/>
      </c>
      <c r="E3511">
        <f>IF(ISNUMBER(INDEX('Providers'!$Y$4:$Y$503,8)),TEXT(INDEX('Providers'!$Y$4:$Y$503,8),"yyyy-mm-dd"),"")</f>
        <v/>
      </c>
      <c r="F3511">
        <f>"Credentialing"</f>
        <v/>
      </c>
      <c r="G3511">
        <f>""</f>
        <v/>
      </c>
      <c r="H3511">
        <f>"High"</f>
        <v/>
      </c>
      <c r="I3511">
        <f>TRIM(IF(LEN(IF(LEN(INDEX('Providers'!$X$4:$X$503,8))=0,"",INDEX('Providers'!$X$4:$X$503,8)))=0,"","Facility: "&amp;IF(LEN(INDEX('Providers'!$X$4:$X$503,8))=0,"",INDEX('Providers'!$X$4:$X$503,8))&amp;". "))</f>
        <v/>
      </c>
      <c r="J3511">
        <f>IF(LEN(INDEX('Providers'!$AJ$4:$AJ$503,8))=0,"",INDEX('Providers'!$AJ$4:$AJ$503,8))</f>
        <v/>
      </c>
      <c r="K3511">
        <f>IF(LEN(INDEX('Providers'!$AI$4:$AI$503,8))=0,"",INDEX('Providers'!$AI$4:$AI$503,8))</f>
        <v/>
      </c>
    </row>
    <row r="3512">
      <c r="A3512">
        <f>IF(AND(LEN('Providers'!A12)&gt;0,ISNUMBER('Providers'!Y12)),1,0)</f>
        <v/>
      </c>
      <c r="B3512">
        <f>B3511+A3512</f>
        <v/>
      </c>
      <c r="C3512">
        <f>IF(3509&gt;$B$4503,"",MATCH(3509-0.5,$B$3:$B$4503,1))</f>
        <v/>
      </c>
      <c r="D3512">
        <f>"Privileges reappointment – "&amp;IF(LEN(INDEX('Providers'!$A$4:$A$503,9))=0,"",INDEX('Providers'!$A$4:$A$503,9))</f>
        <v/>
      </c>
      <c r="E3512">
        <f>IF(ISNUMBER(INDEX('Providers'!$Y$4:$Y$503,9)),TEXT(INDEX('Providers'!$Y$4:$Y$503,9),"yyyy-mm-dd"),"")</f>
        <v/>
      </c>
      <c r="F3512">
        <f>"Credentialing"</f>
        <v/>
      </c>
      <c r="G3512">
        <f>""</f>
        <v/>
      </c>
      <c r="H3512">
        <f>"High"</f>
        <v/>
      </c>
      <c r="I3512">
        <f>TRIM(IF(LEN(IF(LEN(INDEX('Providers'!$X$4:$X$503,9))=0,"",INDEX('Providers'!$X$4:$X$503,9)))=0,"","Facility: "&amp;IF(LEN(INDEX('Providers'!$X$4:$X$503,9))=0,"",INDEX('Providers'!$X$4:$X$503,9))&amp;". "))</f>
        <v/>
      </c>
      <c r="J3512">
        <f>IF(LEN(INDEX('Providers'!$AJ$4:$AJ$503,9))=0,"",INDEX('Providers'!$AJ$4:$AJ$503,9))</f>
        <v/>
      </c>
      <c r="K3512">
        <f>IF(LEN(INDEX('Providers'!$AI$4:$AI$503,9))=0,"",INDEX('Providers'!$AI$4:$AI$503,9))</f>
        <v/>
      </c>
    </row>
    <row r="3513">
      <c r="A3513">
        <f>IF(AND(LEN('Providers'!A13)&gt;0,ISNUMBER('Providers'!Y13)),1,0)</f>
        <v/>
      </c>
      <c r="B3513">
        <f>B3512+A3513</f>
        <v/>
      </c>
      <c r="C3513">
        <f>IF(3510&gt;$B$4503,"",MATCH(3510-0.5,$B$3:$B$4503,1))</f>
        <v/>
      </c>
      <c r="D3513">
        <f>"Privileges reappointment – "&amp;IF(LEN(INDEX('Providers'!$A$4:$A$503,10))=0,"",INDEX('Providers'!$A$4:$A$503,10))</f>
        <v/>
      </c>
      <c r="E3513">
        <f>IF(ISNUMBER(INDEX('Providers'!$Y$4:$Y$503,10)),TEXT(INDEX('Providers'!$Y$4:$Y$503,10),"yyyy-mm-dd"),"")</f>
        <v/>
      </c>
      <c r="F3513">
        <f>"Credentialing"</f>
        <v/>
      </c>
      <c r="G3513">
        <f>""</f>
        <v/>
      </c>
      <c r="H3513">
        <f>"High"</f>
        <v/>
      </c>
      <c r="I3513">
        <f>TRIM(IF(LEN(IF(LEN(INDEX('Providers'!$X$4:$X$503,10))=0,"",INDEX('Providers'!$X$4:$X$503,10)))=0,"","Facility: "&amp;IF(LEN(INDEX('Providers'!$X$4:$X$503,10))=0,"",INDEX('Providers'!$X$4:$X$503,10))&amp;". "))</f>
        <v/>
      </c>
      <c r="J3513">
        <f>IF(LEN(INDEX('Providers'!$AJ$4:$AJ$503,10))=0,"",INDEX('Providers'!$AJ$4:$AJ$503,10))</f>
        <v/>
      </c>
      <c r="K3513">
        <f>IF(LEN(INDEX('Providers'!$AI$4:$AI$503,10))=0,"",INDEX('Providers'!$AI$4:$AI$503,10))</f>
        <v/>
      </c>
    </row>
    <row r="3514">
      <c r="A3514">
        <f>IF(AND(LEN('Providers'!A14)&gt;0,ISNUMBER('Providers'!Y14)),1,0)</f>
        <v/>
      </c>
      <c r="B3514">
        <f>B3513+A3514</f>
        <v/>
      </c>
      <c r="C3514">
        <f>IF(3511&gt;$B$4503,"",MATCH(3511-0.5,$B$3:$B$4503,1))</f>
        <v/>
      </c>
      <c r="D3514">
        <f>"Privileges reappointment – "&amp;IF(LEN(INDEX('Providers'!$A$4:$A$503,11))=0,"",INDEX('Providers'!$A$4:$A$503,11))</f>
        <v/>
      </c>
      <c r="E3514">
        <f>IF(ISNUMBER(INDEX('Providers'!$Y$4:$Y$503,11)),TEXT(INDEX('Providers'!$Y$4:$Y$503,11),"yyyy-mm-dd"),"")</f>
        <v/>
      </c>
      <c r="F3514">
        <f>"Credentialing"</f>
        <v/>
      </c>
      <c r="G3514">
        <f>""</f>
        <v/>
      </c>
      <c r="H3514">
        <f>"High"</f>
        <v/>
      </c>
      <c r="I3514">
        <f>TRIM(IF(LEN(IF(LEN(INDEX('Providers'!$X$4:$X$503,11))=0,"",INDEX('Providers'!$X$4:$X$503,11)))=0,"","Facility: "&amp;IF(LEN(INDEX('Providers'!$X$4:$X$503,11))=0,"",INDEX('Providers'!$X$4:$X$503,11))&amp;". "))</f>
        <v/>
      </c>
      <c r="J3514">
        <f>IF(LEN(INDEX('Providers'!$AJ$4:$AJ$503,11))=0,"",INDEX('Providers'!$AJ$4:$AJ$503,11))</f>
        <v/>
      </c>
      <c r="K3514">
        <f>IF(LEN(INDEX('Providers'!$AI$4:$AI$503,11))=0,"",INDEX('Providers'!$AI$4:$AI$503,11))</f>
        <v/>
      </c>
    </row>
    <row r="3515">
      <c r="A3515">
        <f>IF(AND(LEN('Providers'!A15)&gt;0,ISNUMBER('Providers'!Y15)),1,0)</f>
        <v/>
      </c>
      <c r="B3515">
        <f>B3514+A3515</f>
        <v/>
      </c>
      <c r="C3515">
        <f>IF(3512&gt;$B$4503,"",MATCH(3512-0.5,$B$3:$B$4503,1))</f>
        <v/>
      </c>
      <c r="D3515">
        <f>"Privileges reappointment – "&amp;IF(LEN(INDEX('Providers'!$A$4:$A$503,12))=0,"",INDEX('Providers'!$A$4:$A$503,12))</f>
        <v/>
      </c>
      <c r="E3515">
        <f>IF(ISNUMBER(INDEX('Providers'!$Y$4:$Y$503,12)),TEXT(INDEX('Providers'!$Y$4:$Y$503,12),"yyyy-mm-dd"),"")</f>
        <v/>
      </c>
      <c r="F3515">
        <f>"Credentialing"</f>
        <v/>
      </c>
      <c r="G3515">
        <f>""</f>
        <v/>
      </c>
      <c r="H3515">
        <f>"High"</f>
        <v/>
      </c>
      <c r="I3515">
        <f>TRIM(IF(LEN(IF(LEN(INDEX('Providers'!$X$4:$X$503,12))=0,"",INDEX('Providers'!$X$4:$X$503,12)))=0,"","Facility: "&amp;IF(LEN(INDEX('Providers'!$X$4:$X$503,12))=0,"",INDEX('Providers'!$X$4:$X$503,12))&amp;". "))</f>
        <v/>
      </c>
      <c r="J3515">
        <f>IF(LEN(INDEX('Providers'!$AJ$4:$AJ$503,12))=0,"",INDEX('Providers'!$AJ$4:$AJ$503,12))</f>
        <v/>
      </c>
      <c r="K3515">
        <f>IF(LEN(INDEX('Providers'!$AI$4:$AI$503,12))=0,"",INDEX('Providers'!$AI$4:$AI$503,12))</f>
        <v/>
      </c>
    </row>
    <row r="3516">
      <c r="A3516">
        <f>IF(AND(LEN('Providers'!A16)&gt;0,ISNUMBER('Providers'!Y16)),1,0)</f>
        <v/>
      </c>
      <c r="B3516">
        <f>B3515+A3516</f>
        <v/>
      </c>
      <c r="C3516">
        <f>IF(3513&gt;$B$4503,"",MATCH(3513-0.5,$B$3:$B$4503,1))</f>
        <v/>
      </c>
      <c r="D3516">
        <f>"Privileges reappointment – "&amp;IF(LEN(INDEX('Providers'!$A$4:$A$503,13))=0,"",INDEX('Providers'!$A$4:$A$503,13))</f>
        <v/>
      </c>
      <c r="E3516">
        <f>IF(ISNUMBER(INDEX('Providers'!$Y$4:$Y$503,13)),TEXT(INDEX('Providers'!$Y$4:$Y$503,13),"yyyy-mm-dd"),"")</f>
        <v/>
      </c>
      <c r="F3516">
        <f>"Credentialing"</f>
        <v/>
      </c>
      <c r="G3516">
        <f>""</f>
        <v/>
      </c>
      <c r="H3516">
        <f>"High"</f>
        <v/>
      </c>
      <c r="I3516">
        <f>TRIM(IF(LEN(IF(LEN(INDEX('Providers'!$X$4:$X$503,13))=0,"",INDEX('Providers'!$X$4:$X$503,13)))=0,"","Facility: "&amp;IF(LEN(INDEX('Providers'!$X$4:$X$503,13))=0,"",INDEX('Providers'!$X$4:$X$503,13))&amp;". "))</f>
        <v/>
      </c>
      <c r="J3516">
        <f>IF(LEN(INDEX('Providers'!$AJ$4:$AJ$503,13))=0,"",INDEX('Providers'!$AJ$4:$AJ$503,13))</f>
        <v/>
      </c>
      <c r="K3516">
        <f>IF(LEN(INDEX('Providers'!$AI$4:$AI$503,13))=0,"",INDEX('Providers'!$AI$4:$AI$503,13))</f>
        <v/>
      </c>
    </row>
    <row r="3517">
      <c r="A3517">
        <f>IF(AND(LEN('Providers'!A17)&gt;0,ISNUMBER('Providers'!Y17)),1,0)</f>
        <v/>
      </c>
      <c r="B3517">
        <f>B3516+A3517</f>
        <v/>
      </c>
      <c r="C3517">
        <f>IF(3514&gt;$B$4503,"",MATCH(3514-0.5,$B$3:$B$4503,1))</f>
        <v/>
      </c>
      <c r="D3517">
        <f>"Privileges reappointment – "&amp;IF(LEN(INDEX('Providers'!$A$4:$A$503,14))=0,"",INDEX('Providers'!$A$4:$A$503,14))</f>
        <v/>
      </c>
      <c r="E3517">
        <f>IF(ISNUMBER(INDEX('Providers'!$Y$4:$Y$503,14)),TEXT(INDEX('Providers'!$Y$4:$Y$503,14),"yyyy-mm-dd"),"")</f>
        <v/>
      </c>
      <c r="F3517">
        <f>"Credentialing"</f>
        <v/>
      </c>
      <c r="G3517">
        <f>""</f>
        <v/>
      </c>
      <c r="H3517">
        <f>"High"</f>
        <v/>
      </c>
      <c r="I3517">
        <f>TRIM(IF(LEN(IF(LEN(INDEX('Providers'!$X$4:$X$503,14))=0,"",INDEX('Providers'!$X$4:$X$503,14)))=0,"","Facility: "&amp;IF(LEN(INDEX('Providers'!$X$4:$X$503,14))=0,"",INDEX('Providers'!$X$4:$X$503,14))&amp;". "))</f>
        <v/>
      </c>
      <c r="J3517">
        <f>IF(LEN(INDEX('Providers'!$AJ$4:$AJ$503,14))=0,"",INDEX('Providers'!$AJ$4:$AJ$503,14))</f>
        <v/>
      </c>
      <c r="K3517">
        <f>IF(LEN(INDEX('Providers'!$AI$4:$AI$503,14))=0,"",INDEX('Providers'!$AI$4:$AI$503,14))</f>
        <v/>
      </c>
    </row>
    <row r="3518">
      <c r="A3518">
        <f>IF(AND(LEN('Providers'!A18)&gt;0,ISNUMBER('Providers'!Y18)),1,0)</f>
        <v/>
      </c>
      <c r="B3518">
        <f>B3517+A3518</f>
        <v/>
      </c>
      <c r="C3518">
        <f>IF(3515&gt;$B$4503,"",MATCH(3515-0.5,$B$3:$B$4503,1))</f>
        <v/>
      </c>
      <c r="D3518">
        <f>"Privileges reappointment – "&amp;IF(LEN(INDEX('Providers'!$A$4:$A$503,15))=0,"",INDEX('Providers'!$A$4:$A$503,15))</f>
        <v/>
      </c>
      <c r="E3518">
        <f>IF(ISNUMBER(INDEX('Providers'!$Y$4:$Y$503,15)),TEXT(INDEX('Providers'!$Y$4:$Y$503,15),"yyyy-mm-dd"),"")</f>
        <v/>
      </c>
      <c r="F3518">
        <f>"Credentialing"</f>
        <v/>
      </c>
      <c r="G3518">
        <f>""</f>
        <v/>
      </c>
      <c r="H3518">
        <f>"High"</f>
        <v/>
      </c>
      <c r="I3518">
        <f>TRIM(IF(LEN(IF(LEN(INDEX('Providers'!$X$4:$X$503,15))=0,"",INDEX('Providers'!$X$4:$X$503,15)))=0,"","Facility: "&amp;IF(LEN(INDEX('Providers'!$X$4:$X$503,15))=0,"",INDEX('Providers'!$X$4:$X$503,15))&amp;". "))</f>
        <v/>
      </c>
      <c r="J3518">
        <f>IF(LEN(INDEX('Providers'!$AJ$4:$AJ$503,15))=0,"",INDEX('Providers'!$AJ$4:$AJ$503,15))</f>
        <v/>
      </c>
      <c r="K3518">
        <f>IF(LEN(INDEX('Providers'!$AI$4:$AI$503,15))=0,"",INDEX('Providers'!$AI$4:$AI$503,15))</f>
        <v/>
      </c>
    </row>
    <row r="3519">
      <c r="A3519">
        <f>IF(AND(LEN('Providers'!A19)&gt;0,ISNUMBER('Providers'!Y19)),1,0)</f>
        <v/>
      </c>
      <c r="B3519">
        <f>B3518+A3519</f>
        <v/>
      </c>
      <c r="C3519">
        <f>IF(3516&gt;$B$4503,"",MATCH(3516-0.5,$B$3:$B$4503,1))</f>
        <v/>
      </c>
      <c r="D3519">
        <f>"Privileges reappointment – "&amp;IF(LEN(INDEX('Providers'!$A$4:$A$503,16))=0,"",INDEX('Providers'!$A$4:$A$503,16))</f>
        <v/>
      </c>
      <c r="E3519">
        <f>IF(ISNUMBER(INDEX('Providers'!$Y$4:$Y$503,16)),TEXT(INDEX('Providers'!$Y$4:$Y$503,16),"yyyy-mm-dd"),"")</f>
        <v/>
      </c>
      <c r="F3519">
        <f>"Credentialing"</f>
        <v/>
      </c>
      <c r="G3519">
        <f>""</f>
        <v/>
      </c>
      <c r="H3519">
        <f>"High"</f>
        <v/>
      </c>
      <c r="I3519">
        <f>TRIM(IF(LEN(IF(LEN(INDEX('Providers'!$X$4:$X$503,16))=0,"",INDEX('Providers'!$X$4:$X$503,16)))=0,"","Facility: "&amp;IF(LEN(INDEX('Providers'!$X$4:$X$503,16))=0,"",INDEX('Providers'!$X$4:$X$503,16))&amp;". "))</f>
        <v/>
      </c>
      <c r="J3519">
        <f>IF(LEN(INDEX('Providers'!$AJ$4:$AJ$503,16))=0,"",INDEX('Providers'!$AJ$4:$AJ$503,16))</f>
        <v/>
      </c>
      <c r="K3519">
        <f>IF(LEN(INDEX('Providers'!$AI$4:$AI$503,16))=0,"",INDEX('Providers'!$AI$4:$AI$503,16))</f>
        <v/>
      </c>
    </row>
    <row r="3520">
      <c r="A3520">
        <f>IF(AND(LEN('Providers'!A20)&gt;0,ISNUMBER('Providers'!Y20)),1,0)</f>
        <v/>
      </c>
      <c r="B3520">
        <f>B3519+A3520</f>
        <v/>
      </c>
      <c r="C3520">
        <f>IF(3517&gt;$B$4503,"",MATCH(3517-0.5,$B$3:$B$4503,1))</f>
        <v/>
      </c>
      <c r="D3520">
        <f>"Privileges reappointment – "&amp;IF(LEN(INDEX('Providers'!$A$4:$A$503,17))=0,"",INDEX('Providers'!$A$4:$A$503,17))</f>
        <v/>
      </c>
      <c r="E3520">
        <f>IF(ISNUMBER(INDEX('Providers'!$Y$4:$Y$503,17)),TEXT(INDEX('Providers'!$Y$4:$Y$503,17),"yyyy-mm-dd"),"")</f>
        <v/>
      </c>
      <c r="F3520">
        <f>"Credentialing"</f>
        <v/>
      </c>
      <c r="G3520">
        <f>""</f>
        <v/>
      </c>
      <c r="H3520">
        <f>"High"</f>
        <v/>
      </c>
      <c r="I3520">
        <f>TRIM(IF(LEN(IF(LEN(INDEX('Providers'!$X$4:$X$503,17))=0,"",INDEX('Providers'!$X$4:$X$503,17)))=0,"","Facility: "&amp;IF(LEN(INDEX('Providers'!$X$4:$X$503,17))=0,"",INDEX('Providers'!$X$4:$X$503,17))&amp;". "))</f>
        <v/>
      </c>
      <c r="J3520">
        <f>IF(LEN(INDEX('Providers'!$AJ$4:$AJ$503,17))=0,"",INDEX('Providers'!$AJ$4:$AJ$503,17))</f>
        <v/>
      </c>
      <c r="K3520">
        <f>IF(LEN(INDEX('Providers'!$AI$4:$AI$503,17))=0,"",INDEX('Providers'!$AI$4:$AI$503,17))</f>
        <v/>
      </c>
    </row>
    <row r="3521">
      <c r="A3521">
        <f>IF(AND(LEN('Providers'!A21)&gt;0,ISNUMBER('Providers'!Y21)),1,0)</f>
        <v/>
      </c>
      <c r="B3521">
        <f>B3520+A3521</f>
        <v/>
      </c>
      <c r="C3521">
        <f>IF(3518&gt;$B$4503,"",MATCH(3518-0.5,$B$3:$B$4503,1))</f>
        <v/>
      </c>
      <c r="D3521">
        <f>"Privileges reappointment – "&amp;IF(LEN(INDEX('Providers'!$A$4:$A$503,18))=0,"",INDEX('Providers'!$A$4:$A$503,18))</f>
        <v/>
      </c>
      <c r="E3521">
        <f>IF(ISNUMBER(INDEX('Providers'!$Y$4:$Y$503,18)),TEXT(INDEX('Providers'!$Y$4:$Y$503,18),"yyyy-mm-dd"),"")</f>
        <v/>
      </c>
      <c r="F3521">
        <f>"Credentialing"</f>
        <v/>
      </c>
      <c r="G3521">
        <f>""</f>
        <v/>
      </c>
      <c r="H3521">
        <f>"High"</f>
        <v/>
      </c>
      <c r="I3521">
        <f>TRIM(IF(LEN(IF(LEN(INDEX('Providers'!$X$4:$X$503,18))=0,"",INDEX('Providers'!$X$4:$X$503,18)))=0,"","Facility: "&amp;IF(LEN(INDEX('Providers'!$X$4:$X$503,18))=0,"",INDEX('Providers'!$X$4:$X$503,18))&amp;". "))</f>
        <v/>
      </c>
      <c r="J3521">
        <f>IF(LEN(INDEX('Providers'!$AJ$4:$AJ$503,18))=0,"",INDEX('Providers'!$AJ$4:$AJ$503,18))</f>
        <v/>
      </c>
      <c r="K3521">
        <f>IF(LEN(INDEX('Providers'!$AI$4:$AI$503,18))=0,"",INDEX('Providers'!$AI$4:$AI$503,18))</f>
        <v/>
      </c>
    </row>
    <row r="3522">
      <c r="A3522">
        <f>IF(AND(LEN('Providers'!A22)&gt;0,ISNUMBER('Providers'!Y22)),1,0)</f>
        <v/>
      </c>
      <c r="B3522">
        <f>B3521+A3522</f>
        <v/>
      </c>
      <c r="C3522">
        <f>IF(3519&gt;$B$4503,"",MATCH(3519-0.5,$B$3:$B$4503,1))</f>
        <v/>
      </c>
      <c r="D3522">
        <f>"Privileges reappointment – "&amp;IF(LEN(INDEX('Providers'!$A$4:$A$503,19))=0,"",INDEX('Providers'!$A$4:$A$503,19))</f>
        <v/>
      </c>
      <c r="E3522">
        <f>IF(ISNUMBER(INDEX('Providers'!$Y$4:$Y$503,19)),TEXT(INDEX('Providers'!$Y$4:$Y$503,19),"yyyy-mm-dd"),"")</f>
        <v/>
      </c>
      <c r="F3522">
        <f>"Credentialing"</f>
        <v/>
      </c>
      <c r="G3522">
        <f>""</f>
        <v/>
      </c>
      <c r="H3522">
        <f>"High"</f>
        <v/>
      </c>
      <c r="I3522">
        <f>TRIM(IF(LEN(IF(LEN(INDEX('Providers'!$X$4:$X$503,19))=0,"",INDEX('Providers'!$X$4:$X$503,19)))=0,"","Facility: "&amp;IF(LEN(INDEX('Providers'!$X$4:$X$503,19))=0,"",INDEX('Providers'!$X$4:$X$503,19))&amp;". "))</f>
        <v/>
      </c>
      <c r="J3522">
        <f>IF(LEN(INDEX('Providers'!$AJ$4:$AJ$503,19))=0,"",INDEX('Providers'!$AJ$4:$AJ$503,19))</f>
        <v/>
      </c>
      <c r="K3522">
        <f>IF(LEN(INDEX('Providers'!$AI$4:$AI$503,19))=0,"",INDEX('Providers'!$AI$4:$AI$503,19))</f>
        <v/>
      </c>
    </row>
    <row r="3523">
      <c r="A3523">
        <f>IF(AND(LEN('Providers'!A23)&gt;0,ISNUMBER('Providers'!Y23)),1,0)</f>
        <v/>
      </c>
      <c r="B3523">
        <f>B3522+A3523</f>
        <v/>
      </c>
      <c r="C3523">
        <f>IF(3520&gt;$B$4503,"",MATCH(3520-0.5,$B$3:$B$4503,1))</f>
        <v/>
      </c>
      <c r="D3523">
        <f>"Privileges reappointment – "&amp;IF(LEN(INDEX('Providers'!$A$4:$A$503,20))=0,"",INDEX('Providers'!$A$4:$A$503,20))</f>
        <v/>
      </c>
      <c r="E3523">
        <f>IF(ISNUMBER(INDEX('Providers'!$Y$4:$Y$503,20)),TEXT(INDEX('Providers'!$Y$4:$Y$503,20),"yyyy-mm-dd"),"")</f>
        <v/>
      </c>
      <c r="F3523">
        <f>"Credentialing"</f>
        <v/>
      </c>
      <c r="G3523">
        <f>""</f>
        <v/>
      </c>
      <c r="H3523">
        <f>"High"</f>
        <v/>
      </c>
      <c r="I3523">
        <f>TRIM(IF(LEN(IF(LEN(INDEX('Providers'!$X$4:$X$503,20))=0,"",INDEX('Providers'!$X$4:$X$503,20)))=0,"","Facility: "&amp;IF(LEN(INDEX('Providers'!$X$4:$X$503,20))=0,"",INDEX('Providers'!$X$4:$X$503,20))&amp;". "))</f>
        <v/>
      </c>
      <c r="J3523">
        <f>IF(LEN(INDEX('Providers'!$AJ$4:$AJ$503,20))=0,"",INDEX('Providers'!$AJ$4:$AJ$503,20))</f>
        <v/>
      </c>
      <c r="K3523">
        <f>IF(LEN(INDEX('Providers'!$AI$4:$AI$503,20))=0,"",INDEX('Providers'!$AI$4:$AI$503,20))</f>
        <v/>
      </c>
    </row>
    <row r="3524">
      <c r="A3524">
        <f>IF(AND(LEN('Providers'!A24)&gt;0,ISNUMBER('Providers'!Y24)),1,0)</f>
        <v/>
      </c>
      <c r="B3524">
        <f>B3523+A3524</f>
        <v/>
      </c>
      <c r="C3524">
        <f>IF(3521&gt;$B$4503,"",MATCH(3521-0.5,$B$3:$B$4503,1))</f>
        <v/>
      </c>
      <c r="D3524">
        <f>"Privileges reappointment – "&amp;IF(LEN(INDEX('Providers'!$A$4:$A$503,21))=0,"",INDEX('Providers'!$A$4:$A$503,21))</f>
        <v/>
      </c>
      <c r="E3524">
        <f>IF(ISNUMBER(INDEX('Providers'!$Y$4:$Y$503,21)),TEXT(INDEX('Providers'!$Y$4:$Y$503,21),"yyyy-mm-dd"),"")</f>
        <v/>
      </c>
      <c r="F3524">
        <f>"Credentialing"</f>
        <v/>
      </c>
      <c r="G3524">
        <f>""</f>
        <v/>
      </c>
      <c r="H3524">
        <f>"High"</f>
        <v/>
      </c>
      <c r="I3524">
        <f>TRIM(IF(LEN(IF(LEN(INDEX('Providers'!$X$4:$X$503,21))=0,"",INDEX('Providers'!$X$4:$X$503,21)))=0,"","Facility: "&amp;IF(LEN(INDEX('Providers'!$X$4:$X$503,21))=0,"",INDEX('Providers'!$X$4:$X$503,21))&amp;". "))</f>
        <v/>
      </c>
      <c r="J3524">
        <f>IF(LEN(INDEX('Providers'!$AJ$4:$AJ$503,21))=0,"",INDEX('Providers'!$AJ$4:$AJ$503,21))</f>
        <v/>
      </c>
      <c r="K3524">
        <f>IF(LEN(INDEX('Providers'!$AI$4:$AI$503,21))=0,"",INDEX('Providers'!$AI$4:$AI$503,21))</f>
        <v/>
      </c>
    </row>
    <row r="3525">
      <c r="A3525">
        <f>IF(AND(LEN('Providers'!A25)&gt;0,ISNUMBER('Providers'!Y25)),1,0)</f>
        <v/>
      </c>
      <c r="B3525">
        <f>B3524+A3525</f>
        <v/>
      </c>
      <c r="C3525">
        <f>IF(3522&gt;$B$4503,"",MATCH(3522-0.5,$B$3:$B$4503,1))</f>
        <v/>
      </c>
      <c r="D3525">
        <f>"Privileges reappointment – "&amp;IF(LEN(INDEX('Providers'!$A$4:$A$503,22))=0,"",INDEX('Providers'!$A$4:$A$503,22))</f>
        <v/>
      </c>
      <c r="E3525">
        <f>IF(ISNUMBER(INDEX('Providers'!$Y$4:$Y$503,22)),TEXT(INDEX('Providers'!$Y$4:$Y$503,22),"yyyy-mm-dd"),"")</f>
        <v/>
      </c>
      <c r="F3525">
        <f>"Credentialing"</f>
        <v/>
      </c>
      <c r="G3525">
        <f>""</f>
        <v/>
      </c>
      <c r="H3525">
        <f>"High"</f>
        <v/>
      </c>
      <c r="I3525">
        <f>TRIM(IF(LEN(IF(LEN(INDEX('Providers'!$X$4:$X$503,22))=0,"",INDEX('Providers'!$X$4:$X$503,22)))=0,"","Facility: "&amp;IF(LEN(INDEX('Providers'!$X$4:$X$503,22))=0,"",INDEX('Providers'!$X$4:$X$503,22))&amp;". "))</f>
        <v/>
      </c>
      <c r="J3525">
        <f>IF(LEN(INDEX('Providers'!$AJ$4:$AJ$503,22))=0,"",INDEX('Providers'!$AJ$4:$AJ$503,22))</f>
        <v/>
      </c>
      <c r="K3525">
        <f>IF(LEN(INDEX('Providers'!$AI$4:$AI$503,22))=0,"",INDEX('Providers'!$AI$4:$AI$503,22))</f>
        <v/>
      </c>
    </row>
    <row r="3526">
      <c r="A3526">
        <f>IF(AND(LEN('Providers'!A26)&gt;0,ISNUMBER('Providers'!Y26)),1,0)</f>
        <v/>
      </c>
      <c r="B3526">
        <f>B3525+A3526</f>
        <v/>
      </c>
      <c r="C3526">
        <f>IF(3523&gt;$B$4503,"",MATCH(3523-0.5,$B$3:$B$4503,1))</f>
        <v/>
      </c>
      <c r="D3526">
        <f>"Privileges reappointment – "&amp;IF(LEN(INDEX('Providers'!$A$4:$A$503,23))=0,"",INDEX('Providers'!$A$4:$A$503,23))</f>
        <v/>
      </c>
      <c r="E3526">
        <f>IF(ISNUMBER(INDEX('Providers'!$Y$4:$Y$503,23)),TEXT(INDEX('Providers'!$Y$4:$Y$503,23),"yyyy-mm-dd"),"")</f>
        <v/>
      </c>
      <c r="F3526">
        <f>"Credentialing"</f>
        <v/>
      </c>
      <c r="G3526">
        <f>""</f>
        <v/>
      </c>
      <c r="H3526">
        <f>"High"</f>
        <v/>
      </c>
      <c r="I3526">
        <f>TRIM(IF(LEN(IF(LEN(INDEX('Providers'!$X$4:$X$503,23))=0,"",INDEX('Providers'!$X$4:$X$503,23)))=0,"","Facility: "&amp;IF(LEN(INDEX('Providers'!$X$4:$X$503,23))=0,"",INDEX('Providers'!$X$4:$X$503,23))&amp;". "))</f>
        <v/>
      </c>
      <c r="J3526">
        <f>IF(LEN(INDEX('Providers'!$AJ$4:$AJ$503,23))=0,"",INDEX('Providers'!$AJ$4:$AJ$503,23))</f>
        <v/>
      </c>
      <c r="K3526">
        <f>IF(LEN(INDEX('Providers'!$AI$4:$AI$503,23))=0,"",INDEX('Providers'!$AI$4:$AI$503,23))</f>
        <v/>
      </c>
    </row>
    <row r="3527">
      <c r="A3527">
        <f>IF(AND(LEN('Providers'!A27)&gt;0,ISNUMBER('Providers'!Y27)),1,0)</f>
        <v/>
      </c>
      <c r="B3527">
        <f>B3526+A3527</f>
        <v/>
      </c>
      <c r="C3527">
        <f>IF(3524&gt;$B$4503,"",MATCH(3524-0.5,$B$3:$B$4503,1))</f>
        <v/>
      </c>
      <c r="D3527">
        <f>"Privileges reappointment – "&amp;IF(LEN(INDEX('Providers'!$A$4:$A$503,24))=0,"",INDEX('Providers'!$A$4:$A$503,24))</f>
        <v/>
      </c>
      <c r="E3527">
        <f>IF(ISNUMBER(INDEX('Providers'!$Y$4:$Y$503,24)),TEXT(INDEX('Providers'!$Y$4:$Y$503,24),"yyyy-mm-dd"),"")</f>
        <v/>
      </c>
      <c r="F3527">
        <f>"Credentialing"</f>
        <v/>
      </c>
      <c r="G3527">
        <f>""</f>
        <v/>
      </c>
      <c r="H3527">
        <f>"High"</f>
        <v/>
      </c>
      <c r="I3527">
        <f>TRIM(IF(LEN(IF(LEN(INDEX('Providers'!$X$4:$X$503,24))=0,"",INDEX('Providers'!$X$4:$X$503,24)))=0,"","Facility: "&amp;IF(LEN(INDEX('Providers'!$X$4:$X$503,24))=0,"",INDEX('Providers'!$X$4:$X$503,24))&amp;". "))</f>
        <v/>
      </c>
      <c r="J3527">
        <f>IF(LEN(INDEX('Providers'!$AJ$4:$AJ$503,24))=0,"",INDEX('Providers'!$AJ$4:$AJ$503,24))</f>
        <v/>
      </c>
      <c r="K3527">
        <f>IF(LEN(INDEX('Providers'!$AI$4:$AI$503,24))=0,"",INDEX('Providers'!$AI$4:$AI$503,24))</f>
        <v/>
      </c>
    </row>
    <row r="3528">
      <c r="A3528">
        <f>IF(AND(LEN('Providers'!A28)&gt;0,ISNUMBER('Providers'!Y28)),1,0)</f>
        <v/>
      </c>
      <c r="B3528">
        <f>B3527+A3528</f>
        <v/>
      </c>
      <c r="C3528">
        <f>IF(3525&gt;$B$4503,"",MATCH(3525-0.5,$B$3:$B$4503,1))</f>
        <v/>
      </c>
      <c r="D3528">
        <f>"Privileges reappointment – "&amp;IF(LEN(INDEX('Providers'!$A$4:$A$503,25))=0,"",INDEX('Providers'!$A$4:$A$503,25))</f>
        <v/>
      </c>
      <c r="E3528">
        <f>IF(ISNUMBER(INDEX('Providers'!$Y$4:$Y$503,25)),TEXT(INDEX('Providers'!$Y$4:$Y$503,25),"yyyy-mm-dd"),"")</f>
        <v/>
      </c>
      <c r="F3528">
        <f>"Credentialing"</f>
        <v/>
      </c>
      <c r="G3528">
        <f>""</f>
        <v/>
      </c>
      <c r="H3528">
        <f>"High"</f>
        <v/>
      </c>
      <c r="I3528">
        <f>TRIM(IF(LEN(IF(LEN(INDEX('Providers'!$X$4:$X$503,25))=0,"",INDEX('Providers'!$X$4:$X$503,25)))=0,"","Facility: "&amp;IF(LEN(INDEX('Providers'!$X$4:$X$503,25))=0,"",INDEX('Providers'!$X$4:$X$503,25))&amp;". "))</f>
        <v/>
      </c>
      <c r="J3528">
        <f>IF(LEN(INDEX('Providers'!$AJ$4:$AJ$503,25))=0,"",INDEX('Providers'!$AJ$4:$AJ$503,25))</f>
        <v/>
      </c>
      <c r="K3528">
        <f>IF(LEN(INDEX('Providers'!$AI$4:$AI$503,25))=0,"",INDEX('Providers'!$AI$4:$AI$503,25))</f>
        <v/>
      </c>
    </row>
    <row r="3529">
      <c r="A3529">
        <f>IF(AND(LEN('Providers'!A29)&gt;0,ISNUMBER('Providers'!Y29)),1,0)</f>
        <v/>
      </c>
      <c r="B3529">
        <f>B3528+A3529</f>
        <v/>
      </c>
      <c r="C3529">
        <f>IF(3526&gt;$B$4503,"",MATCH(3526-0.5,$B$3:$B$4503,1))</f>
        <v/>
      </c>
      <c r="D3529">
        <f>"Privileges reappointment – "&amp;IF(LEN(INDEX('Providers'!$A$4:$A$503,26))=0,"",INDEX('Providers'!$A$4:$A$503,26))</f>
        <v/>
      </c>
      <c r="E3529">
        <f>IF(ISNUMBER(INDEX('Providers'!$Y$4:$Y$503,26)),TEXT(INDEX('Providers'!$Y$4:$Y$503,26),"yyyy-mm-dd"),"")</f>
        <v/>
      </c>
      <c r="F3529">
        <f>"Credentialing"</f>
        <v/>
      </c>
      <c r="G3529">
        <f>""</f>
        <v/>
      </c>
      <c r="H3529">
        <f>"High"</f>
        <v/>
      </c>
      <c r="I3529">
        <f>TRIM(IF(LEN(IF(LEN(INDEX('Providers'!$X$4:$X$503,26))=0,"",INDEX('Providers'!$X$4:$X$503,26)))=0,"","Facility: "&amp;IF(LEN(INDEX('Providers'!$X$4:$X$503,26))=0,"",INDEX('Providers'!$X$4:$X$503,26))&amp;". "))</f>
        <v/>
      </c>
      <c r="J3529">
        <f>IF(LEN(INDEX('Providers'!$AJ$4:$AJ$503,26))=0,"",INDEX('Providers'!$AJ$4:$AJ$503,26))</f>
        <v/>
      </c>
      <c r="K3529">
        <f>IF(LEN(INDEX('Providers'!$AI$4:$AI$503,26))=0,"",INDEX('Providers'!$AI$4:$AI$503,26))</f>
        <v/>
      </c>
    </row>
    <row r="3530">
      <c r="A3530">
        <f>IF(AND(LEN('Providers'!A30)&gt;0,ISNUMBER('Providers'!Y30)),1,0)</f>
        <v/>
      </c>
      <c r="B3530">
        <f>B3529+A3530</f>
        <v/>
      </c>
      <c r="C3530">
        <f>IF(3527&gt;$B$4503,"",MATCH(3527-0.5,$B$3:$B$4503,1))</f>
        <v/>
      </c>
      <c r="D3530">
        <f>"Privileges reappointment – "&amp;IF(LEN(INDEX('Providers'!$A$4:$A$503,27))=0,"",INDEX('Providers'!$A$4:$A$503,27))</f>
        <v/>
      </c>
      <c r="E3530">
        <f>IF(ISNUMBER(INDEX('Providers'!$Y$4:$Y$503,27)),TEXT(INDEX('Providers'!$Y$4:$Y$503,27),"yyyy-mm-dd"),"")</f>
        <v/>
      </c>
      <c r="F3530">
        <f>"Credentialing"</f>
        <v/>
      </c>
      <c r="G3530">
        <f>""</f>
        <v/>
      </c>
      <c r="H3530">
        <f>"High"</f>
        <v/>
      </c>
      <c r="I3530">
        <f>TRIM(IF(LEN(IF(LEN(INDEX('Providers'!$X$4:$X$503,27))=0,"",INDEX('Providers'!$X$4:$X$503,27)))=0,"","Facility: "&amp;IF(LEN(INDEX('Providers'!$X$4:$X$503,27))=0,"",INDEX('Providers'!$X$4:$X$503,27))&amp;". "))</f>
        <v/>
      </c>
      <c r="J3530">
        <f>IF(LEN(INDEX('Providers'!$AJ$4:$AJ$503,27))=0,"",INDEX('Providers'!$AJ$4:$AJ$503,27))</f>
        <v/>
      </c>
      <c r="K3530">
        <f>IF(LEN(INDEX('Providers'!$AI$4:$AI$503,27))=0,"",INDEX('Providers'!$AI$4:$AI$503,27))</f>
        <v/>
      </c>
    </row>
    <row r="3531">
      <c r="A3531">
        <f>IF(AND(LEN('Providers'!A31)&gt;0,ISNUMBER('Providers'!Y31)),1,0)</f>
        <v/>
      </c>
      <c r="B3531">
        <f>B3530+A3531</f>
        <v/>
      </c>
      <c r="C3531">
        <f>IF(3528&gt;$B$4503,"",MATCH(3528-0.5,$B$3:$B$4503,1))</f>
        <v/>
      </c>
      <c r="D3531">
        <f>"Privileges reappointment – "&amp;IF(LEN(INDEX('Providers'!$A$4:$A$503,28))=0,"",INDEX('Providers'!$A$4:$A$503,28))</f>
        <v/>
      </c>
      <c r="E3531">
        <f>IF(ISNUMBER(INDEX('Providers'!$Y$4:$Y$503,28)),TEXT(INDEX('Providers'!$Y$4:$Y$503,28),"yyyy-mm-dd"),"")</f>
        <v/>
      </c>
      <c r="F3531">
        <f>"Credentialing"</f>
        <v/>
      </c>
      <c r="G3531">
        <f>""</f>
        <v/>
      </c>
      <c r="H3531">
        <f>"High"</f>
        <v/>
      </c>
      <c r="I3531">
        <f>TRIM(IF(LEN(IF(LEN(INDEX('Providers'!$X$4:$X$503,28))=0,"",INDEX('Providers'!$X$4:$X$503,28)))=0,"","Facility: "&amp;IF(LEN(INDEX('Providers'!$X$4:$X$503,28))=0,"",INDEX('Providers'!$X$4:$X$503,28))&amp;". "))</f>
        <v/>
      </c>
      <c r="J3531">
        <f>IF(LEN(INDEX('Providers'!$AJ$4:$AJ$503,28))=0,"",INDEX('Providers'!$AJ$4:$AJ$503,28))</f>
        <v/>
      </c>
      <c r="K3531">
        <f>IF(LEN(INDEX('Providers'!$AI$4:$AI$503,28))=0,"",INDEX('Providers'!$AI$4:$AI$503,28))</f>
        <v/>
      </c>
    </row>
    <row r="3532">
      <c r="A3532">
        <f>IF(AND(LEN('Providers'!A32)&gt;0,ISNUMBER('Providers'!Y32)),1,0)</f>
        <v/>
      </c>
      <c r="B3532">
        <f>B3531+A3532</f>
        <v/>
      </c>
      <c r="C3532">
        <f>IF(3529&gt;$B$4503,"",MATCH(3529-0.5,$B$3:$B$4503,1))</f>
        <v/>
      </c>
      <c r="D3532">
        <f>"Privileges reappointment – "&amp;IF(LEN(INDEX('Providers'!$A$4:$A$503,29))=0,"",INDEX('Providers'!$A$4:$A$503,29))</f>
        <v/>
      </c>
      <c r="E3532">
        <f>IF(ISNUMBER(INDEX('Providers'!$Y$4:$Y$503,29)),TEXT(INDEX('Providers'!$Y$4:$Y$503,29),"yyyy-mm-dd"),"")</f>
        <v/>
      </c>
      <c r="F3532">
        <f>"Credentialing"</f>
        <v/>
      </c>
      <c r="G3532">
        <f>""</f>
        <v/>
      </c>
      <c r="H3532">
        <f>"High"</f>
        <v/>
      </c>
      <c r="I3532">
        <f>TRIM(IF(LEN(IF(LEN(INDEX('Providers'!$X$4:$X$503,29))=0,"",INDEX('Providers'!$X$4:$X$503,29)))=0,"","Facility: "&amp;IF(LEN(INDEX('Providers'!$X$4:$X$503,29))=0,"",INDEX('Providers'!$X$4:$X$503,29))&amp;". "))</f>
        <v/>
      </c>
      <c r="J3532">
        <f>IF(LEN(INDEX('Providers'!$AJ$4:$AJ$503,29))=0,"",INDEX('Providers'!$AJ$4:$AJ$503,29))</f>
        <v/>
      </c>
      <c r="K3532">
        <f>IF(LEN(INDEX('Providers'!$AI$4:$AI$503,29))=0,"",INDEX('Providers'!$AI$4:$AI$503,29))</f>
        <v/>
      </c>
    </row>
    <row r="3533">
      <c r="A3533">
        <f>IF(AND(LEN('Providers'!A33)&gt;0,ISNUMBER('Providers'!Y33)),1,0)</f>
        <v/>
      </c>
      <c r="B3533">
        <f>B3532+A3533</f>
        <v/>
      </c>
      <c r="C3533">
        <f>IF(3530&gt;$B$4503,"",MATCH(3530-0.5,$B$3:$B$4503,1))</f>
        <v/>
      </c>
      <c r="D3533">
        <f>"Privileges reappointment – "&amp;IF(LEN(INDEX('Providers'!$A$4:$A$503,30))=0,"",INDEX('Providers'!$A$4:$A$503,30))</f>
        <v/>
      </c>
      <c r="E3533">
        <f>IF(ISNUMBER(INDEX('Providers'!$Y$4:$Y$503,30)),TEXT(INDEX('Providers'!$Y$4:$Y$503,30),"yyyy-mm-dd"),"")</f>
        <v/>
      </c>
      <c r="F3533">
        <f>"Credentialing"</f>
        <v/>
      </c>
      <c r="G3533">
        <f>""</f>
        <v/>
      </c>
      <c r="H3533">
        <f>"High"</f>
        <v/>
      </c>
      <c r="I3533">
        <f>TRIM(IF(LEN(IF(LEN(INDEX('Providers'!$X$4:$X$503,30))=0,"",INDEX('Providers'!$X$4:$X$503,30)))=0,"","Facility: "&amp;IF(LEN(INDEX('Providers'!$X$4:$X$503,30))=0,"",INDEX('Providers'!$X$4:$X$503,30))&amp;". "))</f>
        <v/>
      </c>
      <c r="J3533">
        <f>IF(LEN(INDEX('Providers'!$AJ$4:$AJ$503,30))=0,"",INDEX('Providers'!$AJ$4:$AJ$503,30))</f>
        <v/>
      </c>
      <c r="K3533">
        <f>IF(LEN(INDEX('Providers'!$AI$4:$AI$503,30))=0,"",INDEX('Providers'!$AI$4:$AI$503,30))</f>
        <v/>
      </c>
    </row>
    <row r="3534">
      <c r="A3534">
        <f>IF(AND(LEN('Providers'!A34)&gt;0,ISNUMBER('Providers'!Y34)),1,0)</f>
        <v/>
      </c>
      <c r="B3534">
        <f>B3533+A3534</f>
        <v/>
      </c>
      <c r="C3534">
        <f>IF(3531&gt;$B$4503,"",MATCH(3531-0.5,$B$3:$B$4503,1))</f>
        <v/>
      </c>
      <c r="D3534">
        <f>"Privileges reappointment – "&amp;IF(LEN(INDEX('Providers'!$A$4:$A$503,31))=0,"",INDEX('Providers'!$A$4:$A$503,31))</f>
        <v/>
      </c>
      <c r="E3534">
        <f>IF(ISNUMBER(INDEX('Providers'!$Y$4:$Y$503,31)),TEXT(INDEX('Providers'!$Y$4:$Y$503,31),"yyyy-mm-dd"),"")</f>
        <v/>
      </c>
      <c r="F3534">
        <f>"Credentialing"</f>
        <v/>
      </c>
      <c r="G3534">
        <f>""</f>
        <v/>
      </c>
      <c r="H3534">
        <f>"High"</f>
        <v/>
      </c>
      <c r="I3534">
        <f>TRIM(IF(LEN(IF(LEN(INDEX('Providers'!$X$4:$X$503,31))=0,"",INDEX('Providers'!$X$4:$X$503,31)))=0,"","Facility: "&amp;IF(LEN(INDEX('Providers'!$X$4:$X$503,31))=0,"",INDEX('Providers'!$X$4:$X$503,31))&amp;". "))</f>
        <v/>
      </c>
      <c r="J3534">
        <f>IF(LEN(INDEX('Providers'!$AJ$4:$AJ$503,31))=0,"",INDEX('Providers'!$AJ$4:$AJ$503,31))</f>
        <v/>
      </c>
      <c r="K3534">
        <f>IF(LEN(INDEX('Providers'!$AI$4:$AI$503,31))=0,"",INDEX('Providers'!$AI$4:$AI$503,31))</f>
        <v/>
      </c>
    </row>
    <row r="3535">
      <c r="A3535">
        <f>IF(AND(LEN('Providers'!A35)&gt;0,ISNUMBER('Providers'!Y35)),1,0)</f>
        <v/>
      </c>
      <c r="B3535">
        <f>B3534+A3535</f>
        <v/>
      </c>
      <c r="C3535">
        <f>IF(3532&gt;$B$4503,"",MATCH(3532-0.5,$B$3:$B$4503,1))</f>
        <v/>
      </c>
      <c r="D3535">
        <f>"Privileges reappointment – "&amp;IF(LEN(INDEX('Providers'!$A$4:$A$503,32))=0,"",INDEX('Providers'!$A$4:$A$503,32))</f>
        <v/>
      </c>
      <c r="E3535">
        <f>IF(ISNUMBER(INDEX('Providers'!$Y$4:$Y$503,32)),TEXT(INDEX('Providers'!$Y$4:$Y$503,32),"yyyy-mm-dd"),"")</f>
        <v/>
      </c>
      <c r="F3535">
        <f>"Credentialing"</f>
        <v/>
      </c>
      <c r="G3535">
        <f>""</f>
        <v/>
      </c>
      <c r="H3535">
        <f>"High"</f>
        <v/>
      </c>
      <c r="I3535">
        <f>TRIM(IF(LEN(IF(LEN(INDEX('Providers'!$X$4:$X$503,32))=0,"",INDEX('Providers'!$X$4:$X$503,32)))=0,"","Facility: "&amp;IF(LEN(INDEX('Providers'!$X$4:$X$503,32))=0,"",INDEX('Providers'!$X$4:$X$503,32))&amp;". "))</f>
        <v/>
      </c>
      <c r="J3535">
        <f>IF(LEN(INDEX('Providers'!$AJ$4:$AJ$503,32))=0,"",INDEX('Providers'!$AJ$4:$AJ$503,32))</f>
        <v/>
      </c>
      <c r="K3535">
        <f>IF(LEN(INDEX('Providers'!$AI$4:$AI$503,32))=0,"",INDEX('Providers'!$AI$4:$AI$503,32))</f>
        <v/>
      </c>
    </row>
    <row r="3536">
      <c r="A3536">
        <f>IF(AND(LEN('Providers'!A36)&gt;0,ISNUMBER('Providers'!Y36)),1,0)</f>
        <v/>
      </c>
      <c r="B3536">
        <f>B3535+A3536</f>
        <v/>
      </c>
      <c r="C3536">
        <f>IF(3533&gt;$B$4503,"",MATCH(3533-0.5,$B$3:$B$4503,1))</f>
        <v/>
      </c>
      <c r="D3536">
        <f>"Privileges reappointment – "&amp;IF(LEN(INDEX('Providers'!$A$4:$A$503,33))=0,"",INDEX('Providers'!$A$4:$A$503,33))</f>
        <v/>
      </c>
      <c r="E3536">
        <f>IF(ISNUMBER(INDEX('Providers'!$Y$4:$Y$503,33)),TEXT(INDEX('Providers'!$Y$4:$Y$503,33),"yyyy-mm-dd"),"")</f>
        <v/>
      </c>
      <c r="F3536">
        <f>"Credentialing"</f>
        <v/>
      </c>
      <c r="G3536">
        <f>""</f>
        <v/>
      </c>
      <c r="H3536">
        <f>"High"</f>
        <v/>
      </c>
      <c r="I3536">
        <f>TRIM(IF(LEN(IF(LEN(INDEX('Providers'!$X$4:$X$503,33))=0,"",INDEX('Providers'!$X$4:$X$503,33)))=0,"","Facility: "&amp;IF(LEN(INDEX('Providers'!$X$4:$X$503,33))=0,"",INDEX('Providers'!$X$4:$X$503,33))&amp;". "))</f>
        <v/>
      </c>
      <c r="J3536">
        <f>IF(LEN(INDEX('Providers'!$AJ$4:$AJ$503,33))=0,"",INDEX('Providers'!$AJ$4:$AJ$503,33))</f>
        <v/>
      </c>
      <c r="K3536">
        <f>IF(LEN(INDEX('Providers'!$AI$4:$AI$503,33))=0,"",INDEX('Providers'!$AI$4:$AI$503,33))</f>
        <v/>
      </c>
    </row>
    <row r="3537">
      <c r="A3537">
        <f>IF(AND(LEN('Providers'!A37)&gt;0,ISNUMBER('Providers'!Y37)),1,0)</f>
        <v/>
      </c>
      <c r="B3537">
        <f>B3536+A3537</f>
        <v/>
      </c>
      <c r="C3537">
        <f>IF(3534&gt;$B$4503,"",MATCH(3534-0.5,$B$3:$B$4503,1))</f>
        <v/>
      </c>
      <c r="D3537">
        <f>"Privileges reappointment – "&amp;IF(LEN(INDEX('Providers'!$A$4:$A$503,34))=0,"",INDEX('Providers'!$A$4:$A$503,34))</f>
        <v/>
      </c>
      <c r="E3537">
        <f>IF(ISNUMBER(INDEX('Providers'!$Y$4:$Y$503,34)),TEXT(INDEX('Providers'!$Y$4:$Y$503,34),"yyyy-mm-dd"),"")</f>
        <v/>
      </c>
      <c r="F3537">
        <f>"Credentialing"</f>
        <v/>
      </c>
      <c r="G3537">
        <f>""</f>
        <v/>
      </c>
      <c r="H3537">
        <f>"High"</f>
        <v/>
      </c>
      <c r="I3537">
        <f>TRIM(IF(LEN(IF(LEN(INDEX('Providers'!$X$4:$X$503,34))=0,"",INDEX('Providers'!$X$4:$X$503,34)))=0,"","Facility: "&amp;IF(LEN(INDEX('Providers'!$X$4:$X$503,34))=0,"",INDEX('Providers'!$X$4:$X$503,34))&amp;". "))</f>
        <v/>
      </c>
      <c r="J3537">
        <f>IF(LEN(INDEX('Providers'!$AJ$4:$AJ$503,34))=0,"",INDEX('Providers'!$AJ$4:$AJ$503,34))</f>
        <v/>
      </c>
      <c r="K3537">
        <f>IF(LEN(INDEX('Providers'!$AI$4:$AI$503,34))=0,"",INDEX('Providers'!$AI$4:$AI$503,34))</f>
        <v/>
      </c>
    </row>
    <row r="3538">
      <c r="A3538">
        <f>IF(AND(LEN('Providers'!A38)&gt;0,ISNUMBER('Providers'!Y38)),1,0)</f>
        <v/>
      </c>
      <c r="B3538">
        <f>B3537+A3538</f>
        <v/>
      </c>
      <c r="C3538">
        <f>IF(3535&gt;$B$4503,"",MATCH(3535-0.5,$B$3:$B$4503,1))</f>
        <v/>
      </c>
      <c r="D3538">
        <f>"Privileges reappointment – "&amp;IF(LEN(INDEX('Providers'!$A$4:$A$503,35))=0,"",INDEX('Providers'!$A$4:$A$503,35))</f>
        <v/>
      </c>
      <c r="E3538">
        <f>IF(ISNUMBER(INDEX('Providers'!$Y$4:$Y$503,35)),TEXT(INDEX('Providers'!$Y$4:$Y$503,35),"yyyy-mm-dd"),"")</f>
        <v/>
      </c>
      <c r="F3538">
        <f>"Credentialing"</f>
        <v/>
      </c>
      <c r="G3538">
        <f>""</f>
        <v/>
      </c>
      <c r="H3538">
        <f>"High"</f>
        <v/>
      </c>
      <c r="I3538">
        <f>TRIM(IF(LEN(IF(LEN(INDEX('Providers'!$X$4:$X$503,35))=0,"",INDEX('Providers'!$X$4:$X$503,35)))=0,"","Facility: "&amp;IF(LEN(INDEX('Providers'!$X$4:$X$503,35))=0,"",INDEX('Providers'!$X$4:$X$503,35))&amp;". "))</f>
        <v/>
      </c>
      <c r="J3538">
        <f>IF(LEN(INDEX('Providers'!$AJ$4:$AJ$503,35))=0,"",INDEX('Providers'!$AJ$4:$AJ$503,35))</f>
        <v/>
      </c>
      <c r="K3538">
        <f>IF(LEN(INDEX('Providers'!$AI$4:$AI$503,35))=0,"",INDEX('Providers'!$AI$4:$AI$503,35))</f>
        <v/>
      </c>
    </row>
    <row r="3539">
      <c r="A3539">
        <f>IF(AND(LEN('Providers'!A39)&gt;0,ISNUMBER('Providers'!Y39)),1,0)</f>
        <v/>
      </c>
      <c r="B3539">
        <f>B3538+A3539</f>
        <v/>
      </c>
      <c r="C3539">
        <f>IF(3536&gt;$B$4503,"",MATCH(3536-0.5,$B$3:$B$4503,1))</f>
        <v/>
      </c>
      <c r="D3539">
        <f>"Privileges reappointment – "&amp;IF(LEN(INDEX('Providers'!$A$4:$A$503,36))=0,"",INDEX('Providers'!$A$4:$A$503,36))</f>
        <v/>
      </c>
      <c r="E3539">
        <f>IF(ISNUMBER(INDEX('Providers'!$Y$4:$Y$503,36)),TEXT(INDEX('Providers'!$Y$4:$Y$503,36),"yyyy-mm-dd"),"")</f>
        <v/>
      </c>
      <c r="F3539">
        <f>"Credentialing"</f>
        <v/>
      </c>
      <c r="G3539">
        <f>""</f>
        <v/>
      </c>
      <c r="H3539">
        <f>"High"</f>
        <v/>
      </c>
      <c r="I3539">
        <f>TRIM(IF(LEN(IF(LEN(INDEX('Providers'!$X$4:$X$503,36))=0,"",INDEX('Providers'!$X$4:$X$503,36)))=0,"","Facility: "&amp;IF(LEN(INDEX('Providers'!$X$4:$X$503,36))=0,"",INDEX('Providers'!$X$4:$X$503,36))&amp;". "))</f>
        <v/>
      </c>
      <c r="J3539">
        <f>IF(LEN(INDEX('Providers'!$AJ$4:$AJ$503,36))=0,"",INDEX('Providers'!$AJ$4:$AJ$503,36))</f>
        <v/>
      </c>
      <c r="K3539">
        <f>IF(LEN(INDEX('Providers'!$AI$4:$AI$503,36))=0,"",INDEX('Providers'!$AI$4:$AI$503,36))</f>
        <v/>
      </c>
    </row>
    <row r="3540">
      <c r="A3540">
        <f>IF(AND(LEN('Providers'!A40)&gt;0,ISNUMBER('Providers'!Y40)),1,0)</f>
        <v/>
      </c>
      <c r="B3540">
        <f>B3539+A3540</f>
        <v/>
      </c>
      <c r="C3540">
        <f>IF(3537&gt;$B$4503,"",MATCH(3537-0.5,$B$3:$B$4503,1))</f>
        <v/>
      </c>
      <c r="D3540">
        <f>"Privileges reappointment – "&amp;IF(LEN(INDEX('Providers'!$A$4:$A$503,37))=0,"",INDEX('Providers'!$A$4:$A$503,37))</f>
        <v/>
      </c>
      <c r="E3540">
        <f>IF(ISNUMBER(INDEX('Providers'!$Y$4:$Y$503,37)),TEXT(INDEX('Providers'!$Y$4:$Y$503,37),"yyyy-mm-dd"),"")</f>
        <v/>
      </c>
      <c r="F3540">
        <f>"Credentialing"</f>
        <v/>
      </c>
      <c r="G3540">
        <f>""</f>
        <v/>
      </c>
      <c r="H3540">
        <f>"High"</f>
        <v/>
      </c>
      <c r="I3540">
        <f>TRIM(IF(LEN(IF(LEN(INDEX('Providers'!$X$4:$X$503,37))=0,"",INDEX('Providers'!$X$4:$X$503,37)))=0,"","Facility: "&amp;IF(LEN(INDEX('Providers'!$X$4:$X$503,37))=0,"",INDEX('Providers'!$X$4:$X$503,37))&amp;". "))</f>
        <v/>
      </c>
      <c r="J3540">
        <f>IF(LEN(INDEX('Providers'!$AJ$4:$AJ$503,37))=0,"",INDEX('Providers'!$AJ$4:$AJ$503,37))</f>
        <v/>
      </c>
      <c r="K3540">
        <f>IF(LEN(INDEX('Providers'!$AI$4:$AI$503,37))=0,"",INDEX('Providers'!$AI$4:$AI$503,37))</f>
        <v/>
      </c>
    </row>
    <row r="3541">
      <c r="A3541">
        <f>IF(AND(LEN('Providers'!A41)&gt;0,ISNUMBER('Providers'!Y41)),1,0)</f>
        <v/>
      </c>
      <c r="B3541">
        <f>B3540+A3541</f>
        <v/>
      </c>
      <c r="C3541">
        <f>IF(3538&gt;$B$4503,"",MATCH(3538-0.5,$B$3:$B$4503,1))</f>
        <v/>
      </c>
      <c r="D3541">
        <f>"Privileges reappointment – "&amp;IF(LEN(INDEX('Providers'!$A$4:$A$503,38))=0,"",INDEX('Providers'!$A$4:$A$503,38))</f>
        <v/>
      </c>
      <c r="E3541">
        <f>IF(ISNUMBER(INDEX('Providers'!$Y$4:$Y$503,38)),TEXT(INDEX('Providers'!$Y$4:$Y$503,38),"yyyy-mm-dd"),"")</f>
        <v/>
      </c>
      <c r="F3541">
        <f>"Credentialing"</f>
        <v/>
      </c>
      <c r="G3541">
        <f>""</f>
        <v/>
      </c>
      <c r="H3541">
        <f>"High"</f>
        <v/>
      </c>
      <c r="I3541">
        <f>TRIM(IF(LEN(IF(LEN(INDEX('Providers'!$X$4:$X$503,38))=0,"",INDEX('Providers'!$X$4:$X$503,38)))=0,"","Facility: "&amp;IF(LEN(INDEX('Providers'!$X$4:$X$503,38))=0,"",INDEX('Providers'!$X$4:$X$503,38))&amp;". "))</f>
        <v/>
      </c>
      <c r="J3541">
        <f>IF(LEN(INDEX('Providers'!$AJ$4:$AJ$503,38))=0,"",INDEX('Providers'!$AJ$4:$AJ$503,38))</f>
        <v/>
      </c>
      <c r="K3541">
        <f>IF(LEN(INDEX('Providers'!$AI$4:$AI$503,38))=0,"",INDEX('Providers'!$AI$4:$AI$503,38))</f>
        <v/>
      </c>
    </row>
    <row r="3542">
      <c r="A3542">
        <f>IF(AND(LEN('Providers'!A42)&gt;0,ISNUMBER('Providers'!Y42)),1,0)</f>
        <v/>
      </c>
      <c r="B3542">
        <f>B3541+A3542</f>
        <v/>
      </c>
      <c r="C3542">
        <f>IF(3539&gt;$B$4503,"",MATCH(3539-0.5,$B$3:$B$4503,1))</f>
        <v/>
      </c>
      <c r="D3542">
        <f>"Privileges reappointment – "&amp;IF(LEN(INDEX('Providers'!$A$4:$A$503,39))=0,"",INDEX('Providers'!$A$4:$A$503,39))</f>
        <v/>
      </c>
      <c r="E3542">
        <f>IF(ISNUMBER(INDEX('Providers'!$Y$4:$Y$503,39)),TEXT(INDEX('Providers'!$Y$4:$Y$503,39),"yyyy-mm-dd"),"")</f>
        <v/>
      </c>
      <c r="F3542">
        <f>"Credentialing"</f>
        <v/>
      </c>
      <c r="G3542">
        <f>""</f>
        <v/>
      </c>
      <c r="H3542">
        <f>"High"</f>
        <v/>
      </c>
      <c r="I3542">
        <f>TRIM(IF(LEN(IF(LEN(INDEX('Providers'!$X$4:$X$503,39))=0,"",INDEX('Providers'!$X$4:$X$503,39)))=0,"","Facility: "&amp;IF(LEN(INDEX('Providers'!$X$4:$X$503,39))=0,"",INDEX('Providers'!$X$4:$X$503,39))&amp;". "))</f>
        <v/>
      </c>
      <c r="J3542">
        <f>IF(LEN(INDEX('Providers'!$AJ$4:$AJ$503,39))=0,"",INDEX('Providers'!$AJ$4:$AJ$503,39))</f>
        <v/>
      </c>
      <c r="K3542">
        <f>IF(LEN(INDEX('Providers'!$AI$4:$AI$503,39))=0,"",INDEX('Providers'!$AI$4:$AI$503,39))</f>
        <v/>
      </c>
    </row>
    <row r="3543">
      <c r="A3543">
        <f>IF(AND(LEN('Providers'!A43)&gt;0,ISNUMBER('Providers'!Y43)),1,0)</f>
        <v/>
      </c>
      <c r="B3543">
        <f>B3542+A3543</f>
        <v/>
      </c>
      <c r="C3543">
        <f>IF(3540&gt;$B$4503,"",MATCH(3540-0.5,$B$3:$B$4503,1))</f>
        <v/>
      </c>
      <c r="D3543">
        <f>"Privileges reappointment – "&amp;IF(LEN(INDEX('Providers'!$A$4:$A$503,40))=0,"",INDEX('Providers'!$A$4:$A$503,40))</f>
        <v/>
      </c>
      <c r="E3543">
        <f>IF(ISNUMBER(INDEX('Providers'!$Y$4:$Y$503,40)),TEXT(INDEX('Providers'!$Y$4:$Y$503,40),"yyyy-mm-dd"),"")</f>
        <v/>
      </c>
      <c r="F3543">
        <f>"Credentialing"</f>
        <v/>
      </c>
      <c r="G3543">
        <f>""</f>
        <v/>
      </c>
      <c r="H3543">
        <f>"High"</f>
        <v/>
      </c>
      <c r="I3543">
        <f>TRIM(IF(LEN(IF(LEN(INDEX('Providers'!$X$4:$X$503,40))=0,"",INDEX('Providers'!$X$4:$X$503,40)))=0,"","Facility: "&amp;IF(LEN(INDEX('Providers'!$X$4:$X$503,40))=0,"",INDEX('Providers'!$X$4:$X$503,40))&amp;". "))</f>
        <v/>
      </c>
      <c r="J3543">
        <f>IF(LEN(INDEX('Providers'!$AJ$4:$AJ$503,40))=0,"",INDEX('Providers'!$AJ$4:$AJ$503,40))</f>
        <v/>
      </c>
      <c r="K3543">
        <f>IF(LEN(INDEX('Providers'!$AI$4:$AI$503,40))=0,"",INDEX('Providers'!$AI$4:$AI$503,40))</f>
        <v/>
      </c>
    </row>
    <row r="3544">
      <c r="A3544">
        <f>IF(AND(LEN('Providers'!A44)&gt;0,ISNUMBER('Providers'!Y44)),1,0)</f>
        <v/>
      </c>
      <c r="B3544">
        <f>B3543+A3544</f>
        <v/>
      </c>
      <c r="C3544">
        <f>IF(3541&gt;$B$4503,"",MATCH(3541-0.5,$B$3:$B$4503,1))</f>
        <v/>
      </c>
      <c r="D3544">
        <f>"Privileges reappointment – "&amp;IF(LEN(INDEX('Providers'!$A$4:$A$503,41))=0,"",INDEX('Providers'!$A$4:$A$503,41))</f>
        <v/>
      </c>
      <c r="E3544">
        <f>IF(ISNUMBER(INDEX('Providers'!$Y$4:$Y$503,41)),TEXT(INDEX('Providers'!$Y$4:$Y$503,41),"yyyy-mm-dd"),"")</f>
        <v/>
      </c>
      <c r="F3544">
        <f>"Credentialing"</f>
        <v/>
      </c>
      <c r="G3544">
        <f>""</f>
        <v/>
      </c>
      <c r="H3544">
        <f>"High"</f>
        <v/>
      </c>
      <c r="I3544">
        <f>TRIM(IF(LEN(IF(LEN(INDEX('Providers'!$X$4:$X$503,41))=0,"",INDEX('Providers'!$X$4:$X$503,41)))=0,"","Facility: "&amp;IF(LEN(INDEX('Providers'!$X$4:$X$503,41))=0,"",INDEX('Providers'!$X$4:$X$503,41))&amp;". "))</f>
        <v/>
      </c>
      <c r="J3544">
        <f>IF(LEN(INDEX('Providers'!$AJ$4:$AJ$503,41))=0,"",INDEX('Providers'!$AJ$4:$AJ$503,41))</f>
        <v/>
      </c>
      <c r="K3544">
        <f>IF(LEN(INDEX('Providers'!$AI$4:$AI$503,41))=0,"",INDEX('Providers'!$AI$4:$AI$503,41))</f>
        <v/>
      </c>
    </row>
    <row r="3545">
      <c r="A3545">
        <f>IF(AND(LEN('Providers'!A45)&gt;0,ISNUMBER('Providers'!Y45)),1,0)</f>
        <v/>
      </c>
      <c r="B3545">
        <f>B3544+A3545</f>
        <v/>
      </c>
      <c r="C3545">
        <f>IF(3542&gt;$B$4503,"",MATCH(3542-0.5,$B$3:$B$4503,1))</f>
        <v/>
      </c>
      <c r="D3545">
        <f>"Privileges reappointment – "&amp;IF(LEN(INDEX('Providers'!$A$4:$A$503,42))=0,"",INDEX('Providers'!$A$4:$A$503,42))</f>
        <v/>
      </c>
      <c r="E3545">
        <f>IF(ISNUMBER(INDEX('Providers'!$Y$4:$Y$503,42)),TEXT(INDEX('Providers'!$Y$4:$Y$503,42),"yyyy-mm-dd"),"")</f>
        <v/>
      </c>
      <c r="F3545">
        <f>"Credentialing"</f>
        <v/>
      </c>
      <c r="G3545">
        <f>""</f>
        <v/>
      </c>
      <c r="H3545">
        <f>"High"</f>
        <v/>
      </c>
      <c r="I3545">
        <f>TRIM(IF(LEN(IF(LEN(INDEX('Providers'!$X$4:$X$503,42))=0,"",INDEX('Providers'!$X$4:$X$503,42)))=0,"","Facility: "&amp;IF(LEN(INDEX('Providers'!$X$4:$X$503,42))=0,"",INDEX('Providers'!$X$4:$X$503,42))&amp;". "))</f>
        <v/>
      </c>
      <c r="J3545">
        <f>IF(LEN(INDEX('Providers'!$AJ$4:$AJ$503,42))=0,"",INDEX('Providers'!$AJ$4:$AJ$503,42))</f>
        <v/>
      </c>
      <c r="K3545">
        <f>IF(LEN(INDEX('Providers'!$AI$4:$AI$503,42))=0,"",INDEX('Providers'!$AI$4:$AI$503,42))</f>
        <v/>
      </c>
    </row>
    <row r="3546">
      <c r="A3546">
        <f>IF(AND(LEN('Providers'!A46)&gt;0,ISNUMBER('Providers'!Y46)),1,0)</f>
        <v/>
      </c>
      <c r="B3546">
        <f>B3545+A3546</f>
        <v/>
      </c>
      <c r="C3546">
        <f>IF(3543&gt;$B$4503,"",MATCH(3543-0.5,$B$3:$B$4503,1))</f>
        <v/>
      </c>
      <c r="D3546">
        <f>"Privileges reappointment – "&amp;IF(LEN(INDEX('Providers'!$A$4:$A$503,43))=0,"",INDEX('Providers'!$A$4:$A$503,43))</f>
        <v/>
      </c>
      <c r="E3546">
        <f>IF(ISNUMBER(INDEX('Providers'!$Y$4:$Y$503,43)),TEXT(INDEX('Providers'!$Y$4:$Y$503,43),"yyyy-mm-dd"),"")</f>
        <v/>
      </c>
      <c r="F3546">
        <f>"Credentialing"</f>
        <v/>
      </c>
      <c r="G3546">
        <f>""</f>
        <v/>
      </c>
      <c r="H3546">
        <f>"High"</f>
        <v/>
      </c>
      <c r="I3546">
        <f>TRIM(IF(LEN(IF(LEN(INDEX('Providers'!$X$4:$X$503,43))=0,"",INDEX('Providers'!$X$4:$X$503,43)))=0,"","Facility: "&amp;IF(LEN(INDEX('Providers'!$X$4:$X$503,43))=0,"",INDEX('Providers'!$X$4:$X$503,43))&amp;". "))</f>
        <v/>
      </c>
      <c r="J3546">
        <f>IF(LEN(INDEX('Providers'!$AJ$4:$AJ$503,43))=0,"",INDEX('Providers'!$AJ$4:$AJ$503,43))</f>
        <v/>
      </c>
      <c r="K3546">
        <f>IF(LEN(INDEX('Providers'!$AI$4:$AI$503,43))=0,"",INDEX('Providers'!$AI$4:$AI$503,43))</f>
        <v/>
      </c>
    </row>
    <row r="3547">
      <c r="A3547">
        <f>IF(AND(LEN('Providers'!A47)&gt;0,ISNUMBER('Providers'!Y47)),1,0)</f>
        <v/>
      </c>
      <c r="B3547">
        <f>B3546+A3547</f>
        <v/>
      </c>
      <c r="C3547">
        <f>IF(3544&gt;$B$4503,"",MATCH(3544-0.5,$B$3:$B$4503,1))</f>
        <v/>
      </c>
      <c r="D3547">
        <f>"Privileges reappointment – "&amp;IF(LEN(INDEX('Providers'!$A$4:$A$503,44))=0,"",INDEX('Providers'!$A$4:$A$503,44))</f>
        <v/>
      </c>
      <c r="E3547">
        <f>IF(ISNUMBER(INDEX('Providers'!$Y$4:$Y$503,44)),TEXT(INDEX('Providers'!$Y$4:$Y$503,44),"yyyy-mm-dd"),"")</f>
        <v/>
      </c>
      <c r="F3547">
        <f>"Credentialing"</f>
        <v/>
      </c>
      <c r="G3547">
        <f>""</f>
        <v/>
      </c>
      <c r="H3547">
        <f>"High"</f>
        <v/>
      </c>
      <c r="I3547">
        <f>TRIM(IF(LEN(IF(LEN(INDEX('Providers'!$X$4:$X$503,44))=0,"",INDEX('Providers'!$X$4:$X$503,44)))=0,"","Facility: "&amp;IF(LEN(INDEX('Providers'!$X$4:$X$503,44))=0,"",INDEX('Providers'!$X$4:$X$503,44))&amp;". "))</f>
        <v/>
      </c>
      <c r="J3547">
        <f>IF(LEN(INDEX('Providers'!$AJ$4:$AJ$503,44))=0,"",INDEX('Providers'!$AJ$4:$AJ$503,44))</f>
        <v/>
      </c>
      <c r="K3547">
        <f>IF(LEN(INDEX('Providers'!$AI$4:$AI$503,44))=0,"",INDEX('Providers'!$AI$4:$AI$503,44))</f>
        <v/>
      </c>
    </row>
    <row r="3548">
      <c r="A3548">
        <f>IF(AND(LEN('Providers'!A48)&gt;0,ISNUMBER('Providers'!Y48)),1,0)</f>
        <v/>
      </c>
      <c r="B3548">
        <f>B3547+A3548</f>
        <v/>
      </c>
      <c r="C3548">
        <f>IF(3545&gt;$B$4503,"",MATCH(3545-0.5,$B$3:$B$4503,1))</f>
        <v/>
      </c>
      <c r="D3548">
        <f>"Privileges reappointment – "&amp;IF(LEN(INDEX('Providers'!$A$4:$A$503,45))=0,"",INDEX('Providers'!$A$4:$A$503,45))</f>
        <v/>
      </c>
      <c r="E3548">
        <f>IF(ISNUMBER(INDEX('Providers'!$Y$4:$Y$503,45)),TEXT(INDEX('Providers'!$Y$4:$Y$503,45),"yyyy-mm-dd"),"")</f>
        <v/>
      </c>
      <c r="F3548">
        <f>"Credentialing"</f>
        <v/>
      </c>
      <c r="G3548">
        <f>""</f>
        <v/>
      </c>
      <c r="H3548">
        <f>"High"</f>
        <v/>
      </c>
      <c r="I3548">
        <f>TRIM(IF(LEN(IF(LEN(INDEX('Providers'!$X$4:$X$503,45))=0,"",INDEX('Providers'!$X$4:$X$503,45)))=0,"","Facility: "&amp;IF(LEN(INDEX('Providers'!$X$4:$X$503,45))=0,"",INDEX('Providers'!$X$4:$X$503,45))&amp;". "))</f>
        <v/>
      </c>
      <c r="J3548">
        <f>IF(LEN(INDEX('Providers'!$AJ$4:$AJ$503,45))=0,"",INDEX('Providers'!$AJ$4:$AJ$503,45))</f>
        <v/>
      </c>
      <c r="K3548">
        <f>IF(LEN(INDEX('Providers'!$AI$4:$AI$503,45))=0,"",INDEX('Providers'!$AI$4:$AI$503,45))</f>
        <v/>
      </c>
    </row>
    <row r="3549">
      <c r="A3549">
        <f>IF(AND(LEN('Providers'!A49)&gt;0,ISNUMBER('Providers'!Y49)),1,0)</f>
        <v/>
      </c>
      <c r="B3549">
        <f>B3548+A3549</f>
        <v/>
      </c>
      <c r="C3549">
        <f>IF(3546&gt;$B$4503,"",MATCH(3546-0.5,$B$3:$B$4503,1))</f>
        <v/>
      </c>
      <c r="D3549">
        <f>"Privileges reappointment – "&amp;IF(LEN(INDEX('Providers'!$A$4:$A$503,46))=0,"",INDEX('Providers'!$A$4:$A$503,46))</f>
        <v/>
      </c>
      <c r="E3549">
        <f>IF(ISNUMBER(INDEX('Providers'!$Y$4:$Y$503,46)),TEXT(INDEX('Providers'!$Y$4:$Y$503,46),"yyyy-mm-dd"),"")</f>
        <v/>
      </c>
      <c r="F3549">
        <f>"Credentialing"</f>
        <v/>
      </c>
      <c r="G3549">
        <f>""</f>
        <v/>
      </c>
      <c r="H3549">
        <f>"High"</f>
        <v/>
      </c>
      <c r="I3549">
        <f>TRIM(IF(LEN(IF(LEN(INDEX('Providers'!$X$4:$X$503,46))=0,"",INDEX('Providers'!$X$4:$X$503,46)))=0,"","Facility: "&amp;IF(LEN(INDEX('Providers'!$X$4:$X$503,46))=0,"",INDEX('Providers'!$X$4:$X$503,46))&amp;". "))</f>
        <v/>
      </c>
      <c r="J3549">
        <f>IF(LEN(INDEX('Providers'!$AJ$4:$AJ$503,46))=0,"",INDEX('Providers'!$AJ$4:$AJ$503,46))</f>
        <v/>
      </c>
      <c r="K3549">
        <f>IF(LEN(INDEX('Providers'!$AI$4:$AI$503,46))=0,"",INDEX('Providers'!$AI$4:$AI$503,46))</f>
        <v/>
      </c>
    </row>
    <row r="3550">
      <c r="A3550">
        <f>IF(AND(LEN('Providers'!A50)&gt;0,ISNUMBER('Providers'!Y50)),1,0)</f>
        <v/>
      </c>
      <c r="B3550">
        <f>B3549+A3550</f>
        <v/>
      </c>
      <c r="C3550">
        <f>IF(3547&gt;$B$4503,"",MATCH(3547-0.5,$B$3:$B$4503,1))</f>
        <v/>
      </c>
      <c r="D3550">
        <f>"Privileges reappointment – "&amp;IF(LEN(INDEX('Providers'!$A$4:$A$503,47))=0,"",INDEX('Providers'!$A$4:$A$503,47))</f>
        <v/>
      </c>
      <c r="E3550">
        <f>IF(ISNUMBER(INDEX('Providers'!$Y$4:$Y$503,47)),TEXT(INDEX('Providers'!$Y$4:$Y$503,47),"yyyy-mm-dd"),"")</f>
        <v/>
      </c>
      <c r="F3550">
        <f>"Credentialing"</f>
        <v/>
      </c>
      <c r="G3550">
        <f>""</f>
        <v/>
      </c>
      <c r="H3550">
        <f>"High"</f>
        <v/>
      </c>
      <c r="I3550">
        <f>TRIM(IF(LEN(IF(LEN(INDEX('Providers'!$X$4:$X$503,47))=0,"",INDEX('Providers'!$X$4:$X$503,47)))=0,"","Facility: "&amp;IF(LEN(INDEX('Providers'!$X$4:$X$503,47))=0,"",INDEX('Providers'!$X$4:$X$503,47))&amp;". "))</f>
        <v/>
      </c>
      <c r="J3550">
        <f>IF(LEN(INDEX('Providers'!$AJ$4:$AJ$503,47))=0,"",INDEX('Providers'!$AJ$4:$AJ$503,47))</f>
        <v/>
      </c>
      <c r="K3550">
        <f>IF(LEN(INDEX('Providers'!$AI$4:$AI$503,47))=0,"",INDEX('Providers'!$AI$4:$AI$503,47))</f>
        <v/>
      </c>
    </row>
    <row r="3551">
      <c r="A3551">
        <f>IF(AND(LEN('Providers'!A51)&gt;0,ISNUMBER('Providers'!Y51)),1,0)</f>
        <v/>
      </c>
      <c r="B3551">
        <f>B3550+A3551</f>
        <v/>
      </c>
      <c r="C3551">
        <f>IF(3548&gt;$B$4503,"",MATCH(3548-0.5,$B$3:$B$4503,1))</f>
        <v/>
      </c>
      <c r="D3551">
        <f>"Privileges reappointment – "&amp;IF(LEN(INDEX('Providers'!$A$4:$A$503,48))=0,"",INDEX('Providers'!$A$4:$A$503,48))</f>
        <v/>
      </c>
      <c r="E3551">
        <f>IF(ISNUMBER(INDEX('Providers'!$Y$4:$Y$503,48)),TEXT(INDEX('Providers'!$Y$4:$Y$503,48),"yyyy-mm-dd"),"")</f>
        <v/>
      </c>
      <c r="F3551">
        <f>"Credentialing"</f>
        <v/>
      </c>
      <c r="G3551">
        <f>""</f>
        <v/>
      </c>
      <c r="H3551">
        <f>"High"</f>
        <v/>
      </c>
      <c r="I3551">
        <f>TRIM(IF(LEN(IF(LEN(INDEX('Providers'!$X$4:$X$503,48))=0,"",INDEX('Providers'!$X$4:$X$503,48)))=0,"","Facility: "&amp;IF(LEN(INDEX('Providers'!$X$4:$X$503,48))=0,"",INDEX('Providers'!$X$4:$X$503,48))&amp;". "))</f>
        <v/>
      </c>
      <c r="J3551">
        <f>IF(LEN(INDEX('Providers'!$AJ$4:$AJ$503,48))=0,"",INDEX('Providers'!$AJ$4:$AJ$503,48))</f>
        <v/>
      </c>
      <c r="K3551">
        <f>IF(LEN(INDEX('Providers'!$AI$4:$AI$503,48))=0,"",INDEX('Providers'!$AI$4:$AI$503,48))</f>
        <v/>
      </c>
    </row>
    <row r="3552">
      <c r="A3552">
        <f>IF(AND(LEN('Providers'!A52)&gt;0,ISNUMBER('Providers'!Y52)),1,0)</f>
        <v/>
      </c>
      <c r="B3552">
        <f>B3551+A3552</f>
        <v/>
      </c>
      <c r="C3552">
        <f>IF(3549&gt;$B$4503,"",MATCH(3549-0.5,$B$3:$B$4503,1))</f>
        <v/>
      </c>
      <c r="D3552">
        <f>"Privileges reappointment – "&amp;IF(LEN(INDEX('Providers'!$A$4:$A$503,49))=0,"",INDEX('Providers'!$A$4:$A$503,49))</f>
        <v/>
      </c>
      <c r="E3552">
        <f>IF(ISNUMBER(INDEX('Providers'!$Y$4:$Y$503,49)),TEXT(INDEX('Providers'!$Y$4:$Y$503,49),"yyyy-mm-dd"),"")</f>
        <v/>
      </c>
      <c r="F3552">
        <f>"Credentialing"</f>
        <v/>
      </c>
      <c r="G3552">
        <f>""</f>
        <v/>
      </c>
      <c r="H3552">
        <f>"High"</f>
        <v/>
      </c>
      <c r="I3552">
        <f>TRIM(IF(LEN(IF(LEN(INDEX('Providers'!$X$4:$X$503,49))=0,"",INDEX('Providers'!$X$4:$X$503,49)))=0,"","Facility: "&amp;IF(LEN(INDEX('Providers'!$X$4:$X$503,49))=0,"",INDEX('Providers'!$X$4:$X$503,49))&amp;". "))</f>
        <v/>
      </c>
      <c r="J3552">
        <f>IF(LEN(INDEX('Providers'!$AJ$4:$AJ$503,49))=0,"",INDEX('Providers'!$AJ$4:$AJ$503,49))</f>
        <v/>
      </c>
      <c r="K3552">
        <f>IF(LEN(INDEX('Providers'!$AI$4:$AI$503,49))=0,"",INDEX('Providers'!$AI$4:$AI$503,49))</f>
        <v/>
      </c>
    </row>
    <row r="3553">
      <c r="A3553">
        <f>IF(AND(LEN('Providers'!A53)&gt;0,ISNUMBER('Providers'!Y53)),1,0)</f>
        <v/>
      </c>
      <c r="B3553">
        <f>B3552+A3553</f>
        <v/>
      </c>
      <c r="C3553">
        <f>IF(3550&gt;$B$4503,"",MATCH(3550-0.5,$B$3:$B$4503,1))</f>
        <v/>
      </c>
      <c r="D3553">
        <f>"Privileges reappointment – "&amp;IF(LEN(INDEX('Providers'!$A$4:$A$503,50))=0,"",INDEX('Providers'!$A$4:$A$503,50))</f>
        <v/>
      </c>
      <c r="E3553">
        <f>IF(ISNUMBER(INDEX('Providers'!$Y$4:$Y$503,50)),TEXT(INDEX('Providers'!$Y$4:$Y$503,50),"yyyy-mm-dd"),"")</f>
        <v/>
      </c>
      <c r="F3553">
        <f>"Credentialing"</f>
        <v/>
      </c>
      <c r="G3553">
        <f>""</f>
        <v/>
      </c>
      <c r="H3553">
        <f>"High"</f>
        <v/>
      </c>
      <c r="I3553">
        <f>TRIM(IF(LEN(IF(LEN(INDEX('Providers'!$X$4:$X$503,50))=0,"",INDEX('Providers'!$X$4:$X$503,50)))=0,"","Facility: "&amp;IF(LEN(INDEX('Providers'!$X$4:$X$503,50))=0,"",INDEX('Providers'!$X$4:$X$503,50))&amp;". "))</f>
        <v/>
      </c>
      <c r="J3553">
        <f>IF(LEN(INDEX('Providers'!$AJ$4:$AJ$503,50))=0,"",INDEX('Providers'!$AJ$4:$AJ$503,50))</f>
        <v/>
      </c>
      <c r="K3553">
        <f>IF(LEN(INDEX('Providers'!$AI$4:$AI$503,50))=0,"",INDEX('Providers'!$AI$4:$AI$503,50))</f>
        <v/>
      </c>
    </row>
    <row r="3554">
      <c r="A3554">
        <f>IF(AND(LEN('Providers'!A54)&gt;0,ISNUMBER('Providers'!Y54)),1,0)</f>
        <v/>
      </c>
      <c r="B3554">
        <f>B3553+A3554</f>
        <v/>
      </c>
      <c r="C3554">
        <f>IF(3551&gt;$B$4503,"",MATCH(3551-0.5,$B$3:$B$4503,1))</f>
        <v/>
      </c>
      <c r="D3554">
        <f>"Privileges reappointment – "&amp;IF(LEN(INDEX('Providers'!$A$4:$A$503,51))=0,"",INDEX('Providers'!$A$4:$A$503,51))</f>
        <v/>
      </c>
      <c r="E3554">
        <f>IF(ISNUMBER(INDEX('Providers'!$Y$4:$Y$503,51)),TEXT(INDEX('Providers'!$Y$4:$Y$503,51),"yyyy-mm-dd"),"")</f>
        <v/>
      </c>
      <c r="F3554">
        <f>"Credentialing"</f>
        <v/>
      </c>
      <c r="G3554">
        <f>""</f>
        <v/>
      </c>
      <c r="H3554">
        <f>"High"</f>
        <v/>
      </c>
      <c r="I3554">
        <f>TRIM(IF(LEN(IF(LEN(INDEX('Providers'!$X$4:$X$503,51))=0,"",INDEX('Providers'!$X$4:$X$503,51)))=0,"","Facility: "&amp;IF(LEN(INDEX('Providers'!$X$4:$X$503,51))=0,"",INDEX('Providers'!$X$4:$X$503,51))&amp;". "))</f>
        <v/>
      </c>
      <c r="J3554">
        <f>IF(LEN(INDEX('Providers'!$AJ$4:$AJ$503,51))=0,"",INDEX('Providers'!$AJ$4:$AJ$503,51))</f>
        <v/>
      </c>
      <c r="K3554">
        <f>IF(LEN(INDEX('Providers'!$AI$4:$AI$503,51))=0,"",INDEX('Providers'!$AI$4:$AI$503,51))</f>
        <v/>
      </c>
    </row>
    <row r="3555">
      <c r="A3555">
        <f>IF(AND(LEN('Providers'!A55)&gt;0,ISNUMBER('Providers'!Y55)),1,0)</f>
        <v/>
      </c>
      <c r="B3555">
        <f>B3554+A3555</f>
        <v/>
      </c>
      <c r="C3555">
        <f>IF(3552&gt;$B$4503,"",MATCH(3552-0.5,$B$3:$B$4503,1))</f>
        <v/>
      </c>
      <c r="D3555">
        <f>"Privileges reappointment – "&amp;IF(LEN(INDEX('Providers'!$A$4:$A$503,52))=0,"",INDEX('Providers'!$A$4:$A$503,52))</f>
        <v/>
      </c>
      <c r="E3555">
        <f>IF(ISNUMBER(INDEX('Providers'!$Y$4:$Y$503,52)),TEXT(INDEX('Providers'!$Y$4:$Y$503,52),"yyyy-mm-dd"),"")</f>
        <v/>
      </c>
      <c r="F3555">
        <f>"Credentialing"</f>
        <v/>
      </c>
      <c r="G3555">
        <f>""</f>
        <v/>
      </c>
      <c r="H3555">
        <f>"High"</f>
        <v/>
      </c>
      <c r="I3555">
        <f>TRIM(IF(LEN(IF(LEN(INDEX('Providers'!$X$4:$X$503,52))=0,"",INDEX('Providers'!$X$4:$X$503,52)))=0,"","Facility: "&amp;IF(LEN(INDEX('Providers'!$X$4:$X$503,52))=0,"",INDEX('Providers'!$X$4:$X$503,52))&amp;". "))</f>
        <v/>
      </c>
      <c r="J3555">
        <f>IF(LEN(INDEX('Providers'!$AJ$4:$AJ$503,52))=0,"",INDEX('Providers'!$AJ$4:$AJ$503,52))</f>
        <v/>
      </c>
      <c r="K3555">
        <f>IF(LEN(INDEX('Providers'!$AI$4:$AI$503,52))=0,"",INDEX('Providers'!$AI$4:$AI$503,52))</f>
        <v/>
      </c>
    </row>
    <row r="3556">
      <c r="A3556">
        <f>IF(AND(LEN('Providers'!A56)&gt;0,ISNUMBER('Providers'!Y56)),1,0)</f>
        <v/>
      </c>
      <c r="B3556">
        <f>B3555+A3556</f>
        <v/>
      </c>
      <c r="C3556">
        <f>IF(3553&gt;$B$4503,"",MATCH(3553-0.5,$B$3:$B$4503,1))</f>
        <v/>
      </c>
      <c r="D3556">
        <f>"Privileges reappointment – "&amp;IF(LEN(INDEX('Providers'!$A$4:$A$503,53))=0,"",INDEX('Providers'!$A$4:$A$503,53))</f>
        <v/>
      </c>
      <c r="E3556">
        <f>IF(ISNUMBER(INDEX('Providers'!$Y$4:$Y$503,53)),TEXT(INDEX('Providers'!$Y$4:$Y$503,53),"yyyy-mm-dd"),"")</f>
        <v/>
      </c>
      <c r="F3556">
        <f>"Credentialing"</f>
        <v/>
      </c>
      <c r="G3556">
        <f>""</f>
        <v/>
      </c>
      <c r="H3556">
        <f>"High"</f>
        <v/>
      </c>
      <c r="I3556">
        <f>TRIM(IF(LEN(IF(LEN(INDEX('Providers'!$X$4:$X$503,53))=0,"",INDEX('Providers'!$X$4:$X$503,53)))=0,"","Facility: "&amp;IF(LEN(INDEX('Providers'!$X$4:$X$503,53))=0,"",INDEX('Providers'!$X$4:$X$503,53))&amp;". "))</f>
        <v/>
      </c>
      <c r="J3556">
        <f>IF(LEN(INDEX('Providers'!$AJ$4:$AJ$503,53))=0,"",INDEX('Providers'!$AJ$4:$AJ$503,53))</f>
        <v/>
      </c>
      <c r="K3556">
        <f>IF(LEN(INDEX('Providers'!$AI$4:$AI$503,53))=0,"",INDEX('Providers'!$AI$4:$AI$503,53))</f>
        <v/>
      </c>
    </row>
    <row r="3557">
      <c r="A3557">
        <f>IF(AND(LEN('Providers'!A57)&gt;0,ISNUMBER('Providers'!Y57)),1,0)</f>
        <v/>
      </c>
      <c r="B3557">
        <f>B3556+A3557</f>
        <v/>
      </c>
      <c r="C3557">
        <f>IF(3554&gt;$B$4503,"",MATCH(3554-0.5,$B$3:$B$4503,1))</f>
        <v/>
      </c>
      <c r="D3557">
        <f>"Privileges reappointment – "&amp;IF(LEN(INDEX('Providers'!$A$4:$A$503,54))=0,"",INDEX('Providers'!$A$4:$A$503,54))</f>
        <v/>
      </c>
      <c r="E3557">
        <f>IF(ISNUMBER(INDEX('Providers'!$Y$4:$Y$503,54)),TEXT(INDEX('Providers'!$Y$4:$Y$503,54),"yyyy-mm-dd"),"")</f>
        <v/>
      </c>
      <c r="F3557">
        <f>"Credentialing"</f>
        <v/>
      </c>
      <c r="G3557">
        <f>""</f>
        <v/>
      </c>
      <c r="H3557">
        <f>"High"</f>
        <v/>
      </c>
      <c r="I3557">
        <f>TRIM(IF(LEN(IF(LEN(INDEX('Providers'!$X$4:$X$503,54))=0,"",INDEX('Providers'!$X$4:$X$503,54)))=0,"","Facility: "&amp;IF(LEN(INDEX('Providers'!$X$4:$X$503,54))=0,"",INDEX('Providers'!$X$4:$X$503,54))&amp;". "))</f>
        <v/>
      </c>
      <c r="J3557">
        <f>IF(LEN(INDEX('Providers'!$AJ$4:$AJ$503,54))=0,"",INDEX('Providers'!$AJ$4:$AJ$503,54))</f>
        <v/>
      </c>
      <c r="K3557">
        <f>IF(LEN(INDEX('Providers'!$AI$4:$AI$503,54))=0,"",INDEX('Providers'!$AI$4:$AI$503,54))</f>
        <v/>
      </c>
    </row>
    <row r="3558">
      <c r="A3558">
        <f>IF(AND(LEN('Providers'!A58)&gt;0,ISNUMBER('Providers'!Y58)),1,0)</f>
        <v/>
      </c>
      <c r="B3558">
        <f>B3557+A3558</f>
        <v/>
      </c>
      <c r="C3558">
        <f>IF(3555&gt;$B$4503,"",MATCH(3555-0.5,$B$3:$B$4503,1))</f>
        <v/>
      </c>
      <c r="D3558">
        <f>"Privileges reappointment – "&amp;IF(LEN(INDEX('Providers'!$A$4:$A$503,55))=0,"",INDEX('Providers'!$A$4:$A$503,55))</f>
        <v/>
      </c>
      <c r="E3558">
        <f>IF(ISNUMBER(INDEX('Providers'!$Y$4:$Y$503,55)),TEXT(INDEX('Providers'!$Y$4:$Y$503,55),"yyyy-mm-dd"),"")</f>
        <v/>
      </c>
      <c r="F3558">
        <f>"Credentialing"</f>
        <v/>
      </c>
      <c r="G3558">
        <f>""</f>
        <v/>
      </c>
      <c r="H3558">
        <f>"High"</f>
        <v/>
      </c>
      <c r="I3558">
        <f>TRIM(IF(LEN(IF(LEN(INDEX('Providers'!$X$4:$X$503,55))=0,"",INDEX('Providers'!$X$4:$X$503,55)))=0,"","Facility: "&amp;IF(LEN(INDEX('Providers'!$X$4:$X$503,55))=0,"",INDEX('Providers'!$X$4:$X$503,55))&amp;". "))</f>
        <v/>
      </c>
      <c r="J3558">
        <f>IF(LEN(INDEX('Providers'!$AJ$4:$AJ$503,55))=0,"",INDEX('Providers'!$AJ$4:$AJ$503,55))</f>
        <v/>
      </c>
      <c r="K3558">
        <f>IF(LEN(INDEX('Providers'!$AI$4:$AI$503,55))=0,"",INDEX('Providers'!$AI$4:$AI$503,55))</f>
        <v/>
      </c>
    </row>
    <row r="3559">
      <c r="A3559">
        <f>IF(AND(LEN('Providers'!A59)&gt;0,ISNUMBER('Providers'!Y59)),1,0)</f>
        <v/>
      </c>
      <c r="B3559">
        <f>B3558+A3559</f>
        <v/>
      </c>
      <c r="C3559">
        <f>IF(3556&gt;$B$4503,"",MATCH(3556-0.5,$B$3:$B$4503,1))</f>
        <v/>
      </c>
      <c r="D3559">
        <f>"Privileges reappointment – "&amp;IF(LEN(INDEX('Providers'!$A$4:$A$503,56))=0,"",INDEX('Providers'!$A$4:$A$503,56))</f>
        <v/>
      </c>
      <c r="E3559">
        <f>IF(ISNUMBER(INDEX('Providers'!$Y$4:$Y$503,56)),TEXT(INDEX('Providers'!$Y$4:$Y$503,56),"yyyy-mm-dd"),"")</f>
        <v/>
      </c>
      <c r="F3559">
        <f>"Credentialing"</f>
        <v/>
      </c>
      <c r="G3559">
        <f>""</f>
        <v/>
      </c>
      <c r="H3559">
        <f>"High"</f>
        <v/>
      </c>
      <c r="I3559">
        <f>TRIM(IF(LEN(IF(LEN(INDEX('Providers'!$X$4:$X$503,56))=0,"",INDEX('Providers'!$X$4:$X$503,56)))=0,"","Facility: "&amp;IF(LEN(INDEX('Providers'!$X$4:$X$503,56))=0,"",INDEX('Providers'!$X$4:$X$503,56))&amp;". "))</f>
        <v/>
      </c>
      <c r="J3559">
        <f>IF(LEN(INDEX('Providers'!$AJ$4:$AJ$503,56))=0,"",INDEX('Providers'!$AJ$4:$AJ$503,56))</f>
        <v/>
      </c>
      <c r="K3559">
        <f>IF(LEN(INDEX('Providers'!$AI$4:$AI$503,56))=0,"",INDEX('Providers'!$AI$4:$AI$503,56))</f>
        <v/>
      </c>
    </row>
    <row r="3560">
      <c r="A3560">
        <f>IF(AND(LEN('Providers'!A60)&gt;0,ISNUMBER('Providers'!Y60)),1,0)</f>
        <v/>
      </c>
      <c r="B3560">
        <f>B3559+A3560</f>
        <v/>
      </c>
      <c r="C3560">
        <f>IF(3557&gt;$B$4503,"",MATCH(3557-0.5,$B$3:$B$4503,1))</f>
        <v/>
      </c>
      <c r="D3560">
        <f>"Privileges reappointment – "&amp;IF(LEN(INDEX('Providers'!$A$4:$A$503,57))=0,"",INDEX('Providers'!$A$4:$A$503,57))</f>
        <v/>
      </c>
      <c r="E3560">
        <f>IF(ISNUMBER(INDEX('Providers'!$Y$4:$Y$503,57)),TEXT(INDEX('Providers'!$Y$4:$Y$503,57),"yyyy-mm-dd"),"")</f>
        <v/>
      </c>
      <c r="F3560">
        <f>"Credentialing"</f>
        <v/>
      </c>
      <c r="G3560">
        <f>""</f>
        <v/>
      </c>
      <c r="H3560">
        <f>"High"</f>
        <v/>
      </c>
      <c r="I3560">
        <f>TRIM(IF(LEN(IF(LEN(INDEX('Providers'!$X$4:$X$503,57))=0,"",INDEX('Providers'!$X$4:$X$503,57)))=0,"","Facility: "&amp;IF(LEN(INDEX('Providers'!$X$4:$X$503,57))=0,"",INDEX('Providers'!$X$4:$X$503,57))&amp;". "))</f>
        <v/>
      </c>
      <c r="J3560">
        <f>IF(LEN(INDEX('Providers'!$AJ$4:$AJ$503,57))=0,"",INDEX('Providers'!$AJ$4:$AJ$503,57))</f>
        <v/>
      </c>
      <c r="K3560">
        <f>IF(LEN(INDEX('Providers'!$AI$4:$AI$503,57))=0,"",INDEX('Providers'!$AI$4:$AI$503,57))</f>
        <v/>
      </c>
    </row>
    <row r="3561">
      <c r="A3561">
        <f>IF(AND(LEN('Providers'!A61)&gt;0,ISNUMBER('Providers'!Y61)),1,0)</f>
        <v/>
      </c>
      <c r="B3561">
        <f>B3560+A3561</f>
        <v/>
      </c>
      <c r="C3561">
        <f>IF(3558&gt;$B$4503,"",MATCH(3558-0.5,$B$3:$B$4503,1))</f>
        <v/>
      </c>
      <c r="D3561">
        <f>"Privileges reappointment – "&amp;IF(LEN(INDEX('Providers'!$A$4:$A$503,58))=0,"",INDEX('Providers'!$A$4:$A$503,58))</f>
        <v/>
      </c>
      <c r="E3561">
        <f>IF(ISNUMBER(INDEX('Providers'!$Y$4:$Y$503,58)),TEXT(INDEX('Providers'!$Y$4:$Y$503,58),"yyyy-mm-dd"),"")</f>
        <v/>
      </c>
      <c r="F3561">
        <f>"Credentialing"</f>
        <v/>
      </c>
      <c r="G3561">
        <f>""</f>
        <v/>
      </c>
      <c r="H3561">
        <f>"High"</f>
        <v/>
      </c>
      <c r="I3561">
        <f>TRIM(IF(LEN(IF(LEN(INDEX('Providers'!$X$4:$X$503,58))=0,"",INDEX('Providers'!$X$4:$X$503,58)))=0,"","Facility: "&amp;IF(LEN(INDEX('Providers'!$X$4:$X$503,58))=0,"",INDEX('Providers'!$X$4:$X$503,58))&amp;". "))</f>
        <v/>
      </c>
      <c r="J3561">
        <f>IF(LEN(INDEX('Providers'!$AJ$4:$AJ$503,58))=0,"",INDEX('Providers'!$AJ$4:$AJ$503,58))</f>
        <v/>
      </c>
      <c r="K3561">
        <f>IF(LEN(INDEX('Providers'!$AI$4:$AI$503,58))=0,"",INDEX('Providers'!$AI$4:$AI$503,58))</f>
        <v/>
      </c>
    </row>
    <row r="3562">
      <c r="A3562">
        <f>IF(AND(LEN('Providers'!A62)&gt;0,ISNUMBER('Providers'!Y62)),1,0)</f>
        <v/>
      </c>
      <c r="B3562">
        <f>B3561+A3562</f>
        <v/>
      </c>
      <c r="C3562">
        <f>IF(3559&gt;$B$4503,"",MATCH(3559-0.5,$B$3:$B$4503,1))</f>
        <v/>
      </c>
      <c r="D3562">
        <f>"Privileges reappointment – "&amp;IF(LEN(INDEX('Providers'!$A$4:$A$503,59))=0,"",INDEX('Providers'!$A$4:$A$503,59))</f>
        <v/>
      </c>
      <c r="E3562">
        <f>IF(ISNUMBER(INDEX('Providers'!$Y$4:$Y$503,59)),TEXT(INDEX('Providers'!$Y$4:$Y$503,59),"yyyy-mm-dd"),"")</f>
        <v/>
      </c>
      <c r="F3562">
        <f>"Credentialing"</f>
        <v/>
      </c>
      <c r="G3562">
        <f>""</f>
        <v/>
      </c>
      <c r="H3562">
        <f>"High"</f>
        <v/>
      </c>
      <c r="I3562">
        <f>TRIM(IF(LEN(IF(LEN(INDEX('Providers'!$X$4:$X$503,59))=0,"",INDEX('Providers'!$X$4:$X$503,59)))=0,"","Facility: "&amp;IF(LEN(INDEX('Providers'!$X$4:$X$503,59))=0,"",INDEX('Providers'!$X$4:$X$503,59))&amp;". "))</f>
        <v/>
      </c>
      <c r="J3562">
        <f>IF(LEN(INDEX('Providers'!$AJ$4:$AJ$503,59))=0,"",INDEX('Providers'!$AJ$4:$AJ$503,59))</f>
        <v/>
      </c>
      <c r="K3562">
        <f>IF(LEN(INDEX('Providers'!$AI$4:$AI$503,59))=0,"",INDEX('Providers'!$AI$4:$AI$503,59))</f>
        <v/>
      </c>
    </row>
    <row r="3563">
      <c r="A3563">
        <f>IF(AND(LEN('Providers'!A63)&gt;0,ISNUMBER('Providers'!Y63)),1,0)</f>
        <v/>
      </c>
      <c r="B3563">
        <f>B3562+A3563</f>
        <v/>
      </c>
      <c r="C3563">
        <f>IF(3560&gt;$B$4503,"",MATCH(3560-0.5,$B$3:$B$4503,1))</f>
        <v/>
      </c>
      <c r="D3563">
        <f>"Privileges reappointment – "&amp;IF(LEN(INDEX('Providers'!$A$4:$A$503,60))=0,"",INDEX('Providers'!$A$4:$A$503,60))</f>
        <v/>
      </c>
      <c r="E3563">
        <f>IF(ISNUMBER(INDEX('Providers'!$Y$4:$Y$503,60)),TEXT(INDEX('Providers'!$Y$4:$Y$503,60),"yyyy-mm-dd"),"")</f>
        <v/>
      </c>
      <c r="F3563">
        <f>"Credentialing"</f>
        <v/>
      </c>
      <c r="G3563">
        <f>""</f>
        <v/>
      </c>
      <c r="H3563">
        <f>"High"</f>
        <v/>
      </c>
      <c r="I3563">
        <f>TRIM(IF(LEN(IF(LEN(INDEX('Providers'!$X$4:$X$503,60))=0,"",INDEX('Providers'!$X$4:$X$503,60)))=0,"","Facility: "&amp;IF(LEN(INDEX('Providers'!$X$4:$X$503,60))=0,"",INDEX('Providers'!$X$4:$X$503,60))&amp;". "))</f>
        <v/>
      </c>
      <c r="J3563">
        <f>IF(LEN(INDEX('Providers'!$AJ$4:$AJ$503,60))=0,"",INDEX('Providers'!$AJ$4:$AJ$503,60))</f>
        <v/>
      </c>
      <c r="K3563">
        <f>IF(LEN(INDEX('Providers'!$AI$4:$AI$503,60))=0,"",INDEX('Providers'!$AI$4:$AI$503,60))</f>
        <v/>
      </c>
    </row>
    <row r="3564">
      <c r="A3564">
        <f>IF(AND(LEN('Providers'!A64)&gt;0,ISNUMBER('Providers'!Y64)),1,0)</f>
        <v/>
      </c>
      <c r="B3564">
        <f>B3563+A3564</f>
        <v/>
      </c>
      <c r="C3564">
        <f>IF(3561&gt;$B$4503,"",MATCH(3561-0.5,$B$3:$B$4503,1))</f>
        <v/>
      </c>
      <c r="D3564">
        <f>"Privileges reappointment – "&amp;IF(LEN(INDEX('Providers'!$A$4:$A$503,61))=0,"",INDEX('Providers'!$A$4:$A$503,61))</f>
        <v/>
      </c>
      <c r="E3564">
        <f>IF(ISNUMBER(INDEX('Providers'!$Y$4:$Y$503,61)),TEXT(INDEX('Providers'!$Y$4:$Y$503,61),"yyyy-mm-dd"),"")</f>
        <v/>
      </c>
      <c r="F3564">
        <f>"Credentialing"</f>
        <v/>
      </c>
      <c r="G3564">
        <f>""</f>
        <v/>
      </c>
      <c r="H3564">
        <f>"High"</f>
        <v/>
      </c>
      <c r="I3564">
        <f>TRIM(IF(LEN(IF(LEN(INDEX('Providers'!$X$4:$X$503,61))=0,"",INDEX('Providers'!$X$4:$X$503,61)))=0,"","Facility: "&amp;IF(LEN(INDEX('Providers'!$X$4:$X$503,61))=0,"",INDEX('Providers'!$X$4:$X$503,61))&amp;". "))</f>
        <v/>
      </c>
      <c r="J3564">
        <f>IF(LEN(INDEX('Providers'!$AJ$4:$AJ$503,61))=0,"",INDEX('Providers'!$AJ$4:$AJ$503,61))</f>
        <v/>
      </c>
      <c r="K3564">
        <f>IF(LEN(INDEX('Providers'!$AI$4:$AI$503,61))=0,"",INDEX('Providers'!$AI$4:$AI$503,61))</f>
        <v/>
      </c>
    </row>
    <row r="3565">
      <c r="A3565">
        <f>IF(AND(LEN('Providers'!A65)&gt;0,ISNUMBER('Providers'!Y65)),1,0)</f>
        <v/>
      </c>
      <c r="B3565">
        <f>B3564+A3565</f>
        <v/>
      </c>
      <c r="C3565">
        <f>IF(3562&gt;$B$4503,"",MATCH(3562-0.5,$B$3:$B$4503,1))</f>
        <v/>
      </c>
      <c r="D3565">
        <f>"Privileges reappointment – "&amp;IF(LEN(INDEX('Providers'!$A$4:$A$503,62))=0,"",INDEX('Providers'!$A$4:$A$503,62))</f>
        <v/>
      </c>
      <c r="E3565">
        <f>IF(ISNUMBER(INDEX('Providers'!$Y$4:$Y$503,62)),TEXT(INDEX('Providers'!$Y$4:$Y$503,62),"yyyy-mm-dd"),"")</f>
        <v/>
      </c>
      <c r="F3565">
        <f>"Credentialing"</f>
        <v/>
      </c>
      <c r="G3565">
        <f>""</f>
        <v/>
      </c>
      <c r="H3565">
        <f>"High"</f>
        <v/>
      </c>
      <c r="I3565">
        <f>TRIM(IF(LEN(IF(LEN(INDEX('Providers'!$X$4:$X$503,62))=0,"",INDEX('Providers'!$X$4:$X$503,62)))=0,"","Facility: "&amp;IF(LEN(INDEX('Providers'!$X$4:$X$503,62))=0,"",INDEX('Providers'!$X$4:$X$503,62))&amp;". "))</f>
        <v/>
      </c>
      <c r="J3565">
        <f>IF(LEN(INDEX('Providers'!$AJ$4:$AJ$503,62))=0,"",INDEX('Providers'!$AJ$4:$AJ$503,62))</f>
        <v/>
      </c>
      <c r="K3565">
        <f>IF(LEN(INDEX('Providers'!$AI$4:$AI$503,62))=0,"",INDEX('Providers'!$AI$4:$AI$503,62))</f>
        <v/>
      </c>
    </row>
    <row r="3566">
      <c r="A3566">
        <f>IF(AND(LEN('Providers'!A66)&gt;0,ISNUMBER('Providers'!Y66)),1,0)</f>
        <v/>
      </c>
      <c r="B3566">
        <f>B3565+A3566</f>
        <v/>
      </c>
      <c r="C3566">
        <f>IF(3563&gt;$B$4503,"",MATCH(3563-0.5,$B$3:$B$4503,1))</f>
        <v/>
      </c>
      <c r="D3566">
        <f>"Privileges reappointment – "&amp;IF(LEN(INDEX('Providers'!$A$4:$A$503,63))=0,"",INDEX('Providers'!$A$4:$A$503,63))</f>
        <v/>
      </c>
      <c r="E3566">
        <f>IF(ISNUMBER(INDEX('Providers'!$Y$4:$Y$503,63)),TEXT(INDEX('Providers'!$Y$4:$Y$503,63),"yyyy-mm-dd"),"")</f>
        <v/>
      </c>
      <c r="F3566">
        <f>"Credentialing"</f>
        <v/>
      </c>
      <c r="G3566">
        <f>""</f>
        <v/>
      </c>
      <c r="H3566">
        <f>"High"</f>
        <v/>
      </c>
      <c r="I3566">
        <f>TRIM(IF(LEN(IF(LEN(INDEX('Providers'!$X$4:$X$503,63))=0,"",INDEX('Providers'!$X$4:$X$503,63)))=0,"","Facility: "&amp;IF(LEN(INDEX('Providers'!$X$4:$X$503,63))=0,"",INDEX('Providers'!$X$4:$X$503,63))&amp;". "))</f>
        <v/>
      </c>
      <c r="J3566">
        <f>IF(LEN(INDEX('Providers'!$AJ$4:$AJ$503,63))=0,"",INDEX('Providers'!$AJ$4:$AJ$503,63))</f>
        <v/>
      </c>
      <c r="K3566">
        <f>IF(LEN(INDEX('Providers'!$AI$4:$AI$503,63))=0,"",INDEX('Providers'!$AI$4:$AI$503,63))</f>
        <v/>
      </c>
    </row>
    <row r="3567">
      <c r="A3567">
        <f>IF(AND(LEN('Providers'!A67)&gt;0,ISNUMBER('Providers'!Y67)),1,0)</f>
        <v/>
      </c>
      <c r="B3567">
        <f>B3566+A3567</f>
        <v/>
      </c>
      <c r="C3567">
        <f>IF(3564&gt;$B$4503,"",MATCH(3564-0.5,$B$3:$B$4503,1))</f>
        <v/>
      </c>
      <c r="D3567">
        <f>"Privileges reappointment – "&amp;IF(LEN(INDEX('Providers'!$A$4:$A$503,64))=0,"",INDEX('Providers'!$A$4:$A$503,64))</f>
        <v/>
      </c>
      <c r="E3567">
        <f>IF(ISNUMBER(INDEX('Providers'!$Y$4:$Y$503,64)),TEXT(INDEX('Providers'!$Y$4:$Y$503,64),"yyyy-mm-dd"),"")</f>
        <v/>
      </c>
      <c r="F3567">
        <f>"Credentialing"</f>
        <v/>
      </c>
      <c r="G3567">
        <f>""</f>
        <v/>
      </c>
      <c r="H3567">
        <f>"High"</f>
        <v/>
      </c>
      <c r="I3567">
        <f>TRIM(IF(LEN(IF(LEN(INDEX('Providers'!$X$4:$X$503,64))=0,"",INDEX('Providers'!$X$4:$X$503,64)))=0,"","Facility: "&amp;IF(LEN(INDEX('Providers'!$X$4:$X$503,64))=0,"",INDEX('Providers'!$X$4:$X$503,64))&amp;". "))</f>
        <v/>
      </c>
      <c r="J3567">
        <f>IF(LEN(INDEX('Providers'!$AJ$4:$AJ$503,64))=0,"",INDEX('Providers'!$AJ$4:$AJ$503,64))</f>
        <v/>
      </c>
      <c r="K3567">
        <f>IF(LEN(INDEX('Providers'!$AI$4:$AI$503,64))=0,"",INDEX('Providers'!$AI$4:$AI$503,64))</f>
        <v/>
      </c>
    </row>
    <row r="3568">
      <c r="A3568">
        <f>IF(AND(LEN('Providers'!A68)&gt;0,ISNUMBER('Providers'!Y68)),1,0)</f>
        <v/>
      </c>
      <c r="B3568">
        <f>B3567+A3568</f>
        <v/>
      </c>
      <c r="C3568">
        <f>IF(3565&gt;$B$4503,"",MATCH(3565-0.5,$B$3:$B$4503,1))</f>
        <v/>
      </c>
      <c r="D3568">
        <f>"Privileges reappointment – "&amp;IF(LEN(INDEX('Providers'!$A$4:$A$503,65))=0,"",INDEX('Providers'!$A$4:$A$503,65))</f>
        <v/>
      </c>
      <c r="E3568">
        <f>IF(ISNUMBER(INDEX('Providers'!$Y$4:$Y$503,65)),TEXT(INDEX('Providers'!$Y$4:$Y$503,65),"yyyy-mm-dd"),"")</f>
        <v/>
      </c>
      <c r="F3568">
        <f>"Credentialing"</f>
        <v/>
      </c>
      <c r="G3568">
        <f>""</f>
        <v/>
      </c>
      <c r="H3568">
        <f>"High"</f>
        <v/>
      </c>
      <c r="I3568">
        <f>TRIM(IF(LEN(IF(LEN(INDEX('Providers'!$X$4:$X$503,65))=0,"",INDEX('Providers'!$X$4:$X$503,65)))=0,"","Facility: "&amp;IF(LEN(INDEX('Providers'!$X$4:$X$503,65))=0,"",INDEX('Providers'!$X$4:$X$503,65))&amp;". "))</f>
        <v/>
      </c>
      <c r="J3568">
        <f>IF(LEN(INDEX('Providers'!$AJ$4:$AJ$503,65))=0,"",INDEX('Providers'!$AJ$4:$AJ$503,65))</f>
        <v/>
      </c>
      <c r="K3568">
        <f>IF(LEN(INDEX('Providers'!$AI$4:$AI$503,65))=0,"",INDEX('Providers'!$AI$4:$AI$503,65))</f>
        <v/>
      </c>
    </row>
    <row r="3569">
      <c r="A3569">
        <f>IF(AND(LEN('Providers'!A69)&gt;0,ISNUMBER('Providers'!Y69)),1,0)</f>
        <v/>
      </c>
      <c r="B3569">
        <f>B3568+A3569</f>
        <v/>
      </c>
      <c r="C3569">
        <f>IF(3566&gt;$B$4503,"",MATCH(3566-0.5,$B$3:$B$4503,1))</f>
        <v/>
      </c>
      <c r="D3569">
        <f>"Privileges reappointment – "&amp;IF(LEN(INDEX('Providers'!$A$4:$A$503,66))=0,"",INDEX('Providers'!$A$4:$A$503,66))</f>
        <v/>
      </c>
      <c r="E3569">
        <f>IF(ISNUMBER(INDEX('Providers'!$Y$4:$Y$503,66)),TEXT(INDEX('Providers'!$Y$4:$Y$503,66),"yyyy-mm-dd"),"")</f>
        <v/>
      </c>
      <c r="F3569">
        <f>"Credentialing"</f>
        <v/>
      </c>
      <c r="G3569">
        <f>""</f>
        <v/>
      </c>
      <c r="H3569">
        <f>"High"</f>
        <v/>
      </c>
      <c r="I3569">
        <f>TRIM(IF(LEN(IF(LEN(INDEX('Providers'!$X$4:$X$503,66))=0,"",INDEX('Providers'!$X$4:$X$503,66)))=0,"","Facility: "&amp;IF(LEN(INDEX('Providers'!$X$4:$X$503,66))=0,"",INDEX('Providers'!$X$4:$X$503,66))&amp;". "))</f>
        <v/>
      </c>
      <c r="J3569">
        <f>IF(LEN(INDEX('Providers'!$AJ$4:$AJ$503,66))=0,"",INDEX('Providers'!$AJ$4:$AJ$503,66))</f>
        <v/>
      </c>
      <c r="K3569">
        <f>IF(LEN(INDEX('Providers'!$AI$4:$AI$503,66))=0,"",INDEX('Providers'!$AI$4:$AI$503,66))</f>
        <v/>
      </c>
    </row>
    <row r="3570">
      <c r="A3570">
        <f>IF(AND(LEN('Providers'!A70)&gt;0,ISNUMBER('Providers'!Y70)),1,0)</f>
        <v/>
      </c>
      <c r="B3570">
        <f>B3569+A3570</f>
        <v/>
      </c>
      <c r="C3570">
        <f>IF(3567&gt;$B$4503,"",MATCH(3567-0.5,$B$3:$B$4503,1))</f>
        <v/>
      </c>
      <c r="D3570">
        <f>"Privileges reappointment – "&amp;IF(LEN(INDEX('Providers'!$A$4:$A$503,67))=0,"",INDEX('Providers'!$A$4:$A$503,67))</f>
        <v/>
      </c>
      <c r="E3570">
        <f>IF(ISNUMBER(INDEX('Providers'!$Y$4:$Y$503,67)),TEXT(INDEX('Providers'!$Y$4:$Y$503,67),"yyyy-mm-dd"),"")</f>
        <v/>
      </c>
      <c r="F3570">
        <f>"Credentialing"</f>
        <v/>
      </c>
      <c r="G3570">
        <f>""</f>
        <v/>
      </c>
      <c r="H3570">
        <f>"High"</f>
        <v/>
      </c>
      <c r="I3570">
        <f>TRIM(IF(LEN(IF(LEN(INDEX('Providers'!$X$4:$X$503,67))=0,"",INDEX('Providers'!$X$4:$X$503,67)))=0,"","Facility: "&amp;IF(LEN(INDEX('Providers'!$X$4:$X$503,67))=0,"",INDEX('Providers'!$X$4:$X$503,67))&amp;". "))</f>
        <v/>
      </c>
      <c r="J3570">
        <f>IF(LEN(INDEX('Providers'!$AJ$4:$AJ$503,67))=0,"",INDEX('Providers'!$AJ$4:$AJ$503,67))</f>
        <v/>
      </c>
      <c r="K3570">
        <f>IF(LEN(INDEX('Providers'!$AI$4:$AI$503,67))=0,"",INDEX('Providers'!$AI$4:$AI$503,67))</f>
        <v/>
      </c>
    </row>
    <row r="3571">
      <c r="A3571">
        <f>IF(AND(LEN('Providers'!A71)&gt;0,ISNUMBER('Providers'!Y71)),1,0)</f>
        <v/>
      </c>
      <c r="B3571">
        <f>B3570+A3571</f>
        <v/>
      </c>
      <c r="C3571">
        <f>IF(3568&gt;$B$4503,"",MATCH(3568-0.5,$B$3:$B$4503,1))</f>
        <v/>
      </c>
      <c r="D3571">
        <f>"Privileges reappointment – "&amp;IF(LEN(INDEX('Providers'!$A$4:$A$503,68))=0,"",INDEX('Providers'!$A$4:$A$503,68))</f>
        <v/>
      </c>
      <c r="E3571">
        <f>IF(ISNUMBER(INDEX('Providers'!$Y$4:$Y$503,68)),TEXT(INDEX('Providers'!$Y$4:$Y$503,68),"yyyy-mm-dd"),"")</f>
        <v/>
      </c>
      <c r="F3571">
        <f>"Credentialing"</f>
        <v/>
      </c>
      <c r="G3571">
        <f>""</f>
        <v/>
      </c>
      <c r="H3571">
        <f>"High"</f>
        <v/>
      </c>
      <c r="I3571">
        <f>TRIM(IF(LEN(IF(LEN(INDEX('Providers'!$X$4:$X$503,68))=0,"",INDEX('Providers'!$X$4:$X$503,68)))=0,"","Facility: "&amp;IF(LEN(INDEX('Providers'!$X$4:$X$503,68))=0,"",INDEX('Providers'!$X$4:$X$503,68))&amp;". "))</f>
        <v/>
      </c>
      <c r="J3571">
        <f>IF(LEN(INDEX('Providers'!$AJ$4:$AJ$503,68))=0,"",INDEX('Providers'!$AJ$4:$AJ$503,68))</f>
        <v/>
      </c>
      <c r="K3571">
        <f>IF(LEN(INDEX('Providers'!$AI$4:$AI$503,68))=0,"",INDEX('Providers'!$AI$4:$AI$503,68))</f>
        <v/>
      </c>
    </row>
    <row r="3572">
      <c r="A3572">
        <f>IF(AND(LEN('Providers'!A72)&gt;0,ISNUMBER('Providers'!Y72)),1,0)</f>
        <v/>
      </c>
      <c r="B3572">
        <f>B3571+A3572</f>
        <v/>
      </c>
      <c r="C3572">
        <f>IF(3569&gt;$B$4503,"",MATCH(3569-0.5,$B$3:$B$4503,1))</f>
        <v/>
      </c>
      <c r="D3572">
        <f>"Privileges reappointment – "&amp;IF(LEN(INDEX('Providers'!$A$4:$A$503,69))=0,"",INDEX('Providers'!$A$4:$A$503,69))</f>
        <v/>
      </c>
      <c r="E3572">
        <f>IF(ISNUMBER(INDEX('Providers'!$Y$4:$Y$503,69)),TEXT(INDEX('Providers'!$Y$4:$Y$503,69),"yyyy-mm-dd"),"")</f>
        <v/>
      </c>
      <c r="F3572">
        <f>"Credentialing"</f>
        <v/>
      </c>
      <c r="G3572">
        <f>""</f>
        <v/>
      </c>
      <c r="H3572">
        <f>"High"</f>
        <v/>
      </c>
      <c r="I3572">
        <f>TRIM(IF(LEN(IF(LEN(INDEX('Providers'!$X$4:$X$503,69))=0,"",INDEX('Providers'!$X$4:$X$503,69)))=0,"","Facility: "&amp;IF(LEN(INDEX('Providers'!$X$4:$X$503,69))=0,"",INDEX('Providers'!$X$4:$X$503,69))&amp;". "))</f>
        <v/>
      </c>
      <c r="J3572">
        <f>IF(LEN(INDEX('Providers'!$AJ$4:$AJ$503,69))=0,"",INDEX('Providers'!$AJ$4:$AJ$503,69))</f>
        <v/>
      </c>
      <c r="K3572">
        <f>IF(LEN(INDEX('Providers'!$AI$4:$AI$503,69))=0,"",INDEX('Providers'!$AI$4:$AI$503,69))</f>
        <v/>
      </c>
    </row>
    <row r="3573">
      <c r="A3573">
        <f>IF(AND(LEN('Providers'!A73)&gt;0,ISNUMBER('Providers'!Y73)),1,0)</f>
        <v/>
      </c>
      <c r="B3573">
        <f>B3572+A3573</f>
        <v/>
      </c>
      <c r="C3573">
        <f>IF(3570&gt;$B$4503,"",MATCH(3570-0.5,$B$3:$B$4503,1))</f>
        <v/>
      </c>
      <c r="D3573">
        <f>"Privileges reappointment – "&amp;IF(LEN(INDEX('Providers'!$A$4:$A$503,70))=0,"",INDEX('Providers'!$A$4:$A$503,70))</f>
        <v/>
      </c>
      <c r="E3573">
        <f>IF(ISNUMBER(INDEX('Providers'!$Y$4:$Y$503,70)),TEXT(INDEX('Providers'!$Y$4:$Y$503,70),"yyyy-mm-dd"),"")</f>
        <v/>
      </c>
      <c r="F3573">
        <f>"Credentialing"</f>
        <v/>
      </c>
      <c r="G3573">
        <f>""</f>
        <v/>
      </c>
      <c r="H3573">
        <f>"High"</f>
        <v/>
      </c>
      <c r="I3573">
        <f>TRIM(IF(LEN(IF(LEN(INDEX('Providers'!$X$4:$X$503,70))=0,"",INDEX('Providers'!$X$4:$X$503,70)))=0,"","Facility: "&amp;IF(LEN(INDEX('Providers'!$X$4:$X$503,70))=0,"",INDEX('Providers'!$X$4:$X$503,70))&amp;". "))</f>
        <v/>
      </c>
      <c r="J3573">
        <f>IF(LEN(INDEX('Providers'!$AJ$4:$AJ$503,70))=0,"",INDEX('Providers'!$AJ$4:$AJ$503,70))</f>
        <v/>
      </c>
      <c r="K3573">
        <f>IF(LEN(INDEX('Providers'!$AI$4:$AI$503,70))=0,"",INDEX('Providers'!$AI$4:$AI$503,70))</f>
        <v/>
      </c>
    </row>
    <row r="3574">
      <c r="A3574">
        <f>IF(AND(LEN('Providers'!A74)&gt;0,ISNUMBER('Providers'!Y74)),1,0)</f>
        <v/>
      </c>
      <c r="B3574">
        <f>B3573+A3574</f>
        <v/>
      </c>
      <c r="C3574">
        <f>IF(3571&gt;$B$4503,"",MATCH(3571-0.5,$B$3:$B$4503,1))</f>
        <v/>
      </c>
      <c r="D3574">
        <f>"Privileges reappointment – "&amp;IF(LEN(INDEX('Providers'!$A$4:$A$503,71))=0,"",INDEX('Providers'!$A$4:$A$503,71))</f>
        <v/>
      </c>
      <c r="E3574">
        <f>IF(ISNUMBER(INDEX('Providers'!$Y$4:$Y$503,71)),TEXT(INDEX('Providers'!$Y$4:$Y$503,71),"yyyy-mm-dd"),"")</f>
        <v/>
      </c>
      <c r="F3574">
        <f>"Credentialing"</f>
        <v/>
      </c>
      <c r="G3574">
        <f>""</f>
        <v/>
      </c>
      <c r="H3574">
        <f>"High"</f>
        <v/>
      </c>
      <c r="I3574">
        <f>TRIM(IF(LEN(IF(LEN(INDEX('Providers'!$X$4:$X$503,71))=0,"",INDEX('Providers'!$X$4:$X$503,71)))=0,"","Facility: "&amp;IF(LEN(INDEX('Providers'!$X$4:$X$503,71))=0,"",INDEX('Providers'!$X$4:$X$503,71))&amp;". "))</f>
        <v/>
      </c>
      <c r="J3574">
        <f>IF(LEN(INDEX('Providers'!$AJ$4:$AJ$503,71))=0,"",INDEX('Providers'!$AJ$4:$AJ$503,71))</f>
        <v/>
      </c>
      <c r="K3574">
        <f>IF(LEN(INDEX('Providers'!$AI$4:$AI$503,71))=0,"",INDEX('Providers'!$AI$4:$AI$503,71))</f>
        <v/>
      </c>
    </row>
    <row r="3575">
      <c r="A3575">
        <f>IF(AND(LEN('Providers'!A75)&gt;0,ISNUMBER('Providers'!Y75)),1,0)</f>
        <v/>
      </c>
      <c r="B3575">
        <f>B3574+A3575</f>
        <v/>
      </c>
      <c r="C3575">
        <f>IF(3572&gt;$B$4503,"",MATCH(3572-0.5,$B$3:$B$4503,1))</f>
        <v/>
      </c>
      <c r="D3575">
        <f>"Privileges reappointment – "&amp;IF(LEN(INDEX('Providers'!$A$4:$A$503,72))=0,"",INDEX('Providers'!$A$4:$A$503,72))</f>
        <v/>
      </c>
      <c r="E3575">
        <f>IF(ISNUMBER(INDEX('Providers'!$Y$4:$Y$503,72)),TEXT(INDEX('Providers'!$Y$4:$Y$503,72),"yyyy-mm-dd"),"")</f>
        <v/>
      </c>
      <c r="F3575">
        <f>"Credentialing"</f>
        <v/>
      </c>
      <c r="G3575">
        <f>""</f>
        <v/>
      </c>
      <c r="H3575">
        <f>"High"</f>
        <v/>
      </c>
      <c r="I3575">
        <f>TRIM(IF(LEN(IF(LEN(INDEX('Providers'!$X$4:$X$503,72))=0,"",INDEX('Providers'!$X$4:$X$503,72)))=0,"","Facility: "&amp;IF(LEN(INDEX('Providers'!$X$4:$X$503,72))=0,"",INDEX('Providers'!$X$4:$X$503,72))&amp;". "))</f>
        <v/>
      </c>
      <c r="J3575">
        <f>IF(LEN(INDEX('Providers'!$AJ$4:$AJ$503,72))=0,"",INDEX('Providers'!$AJ$4:$AJ$503,72))</f>
        <v/>
      </c>
      <c r="K3575">
        <f>IF(LEN(INDEX('Providers'!$AI$4:$AI$503,72))=0,"",INDEX('Providers'!$AI$4:$AI$503,72))</f>
        <v/>
      </c>
    </row>
    <row r="3576">
      <c r="A3576">
        <f>IF(AND(LEN('Providers'!A76)&gt;0,ISNUMBER('Providers'!Y76)),1,0)</f>
        <v/>
      </c>
      <c r="B3576">
        <f>B3575+A3576</f>
        <v/>
      </c>
      <c r="C3576">
        <f>IF(3573&gt;$B$4503,"",MATCH(3573-0.5,$B$3:$B$4503,1))</f>
        <v/>
      </c>
      <c r="D3576">
        <f>"Privileges reappointment – "&amp;IF(LEN(INDEX('Providers'!$A$4:$A$503,73))=0,"",INDEX('Providers'!$A$4:$A$503,73))</f>
        <v/>
      </c>
      <c r="E3576">
        <f>IF(ISNUMBER(INDEX('Providers'!$Y$4:$Y$503,73)),TEXT(INDEX('Providers'!$Y$4:$Y$503,73),"yyyy-mm-dd"),"")</f>
        <v/>
      </c>
      <c r="F3576">
        <f>"Credentialing"</f>
        <v/>
      </c>
      <c r="G3576">
        <f>""</f>
        <v/>
      </c>
      <c r="H3576">
        <f>"High"</f>
        <v/>
      </c>
      <c r="I3576">
        <f>TRIM(IF(LEN(IF(LEN(INDEX('Providers'!$X$4:$X$503,73))=0,"",INDEX('Providers'!$X$4:$X$503,73)))=0,"","Facility: "&amp;IF(LEN(INDEX('Providers'!$X$4:$X$503,73))=0,"",INDEX('Providers'!$X$4:$X$503,73))&amp;". "))</f>
        <v/>
      </c>
      <c r="J3576">
        <f>IF(LEN(INDEX('Providers'!$AJ$4:$AJ$503,73))=0,"",INDEX('Providers'!$AJ$4:$AJ$503,73))</f>
        <v/>
      </c>
      <c r="K3576">
        <f>IF(LEN(INDEX('Providers'!$AI$4:$AI$503,73))=0,"",INDEX('Providers'!$AI$4:$AI$503,73))</f>
        <v/>
      </c>
    </row>
    <row r="3577">
      <c r="A3577">
        <f>IF(AND(LEN('Providers'!A77)&gt;0,ISNUMBER('Providers'!Y77)),1,0)</f>
        <v/>
      </c>
      <c r="B3577">
        <f>B3576+A3577</f>
        <v/>
      </c>
      <c r="C3577">
        <f>IF(3574&gt;$B$4503,"",MATCH(3574-0.5,$B$3:$B$4503,1))</f>
        <v/>
      </c>
      <c r="D3577">
        <f>"Privileges reappointment – "&amp;IF(LEN(INDEX('Providers'!$A$4:$A$503,74))=0,"",INDEX('Providers'!$A$4:$A$503,74))</f>
        <v/>
      </c>
      <c r="E3577">
        <f>IF(ISNUMBER(INDEX('Providers'!$Y$4:$Y$503,74)),TEXT(INDEX('Providers'!$Y$4:$Y$503,74),"yyyy-mm-dd"),"")</f>
        <v/>
      </c>
      <c r="F3577">
        <f>"Credentialing"</f>
        <v/>
      </c>
      <c r="G3577">
        <f>""</f>
        <v/>
      </c>
      <c r="H3577">
        <f>"High"</f>
        <v/>
      </c>
      <c r="I3577">
        <f>TRIM(IF(LEN(IF(LEN(INDEX('Providers'!$X$4:$X$503,74))=0,"",INDEX('Providers'!$X$4:$X$503,74)))=0,"","Facility: "&amp;IF(LEN(INDEX('Providers'!$X$4:$X$503,74))=0,"",INDEX('Providers'!$X$4:$X$503,74))&amp;". "))</f>
        <v/>
      </c>
      <c r="J3577">
        <f>IF(LEN(INDEX('Providers'!$AJ$4:$AJ$503,74))=0,"",INDEX('Providers'!$AJ$4:$AJ$503,74))</f>
        <v/>
      </c>
      <c r="K3577">
        <f>IF(LEN(INDEX('Providers'!$AI$4:$AI$503,74))=0,"",INDEX('Providers'!$AI$4:$AI$503,74))</f>
        <v/>
      </c>
    </row>
    <row r="3578">
      <c r="A3578">
        <f>IF(AND(LEN('Providers'!A78)&gt;0,ISNUMBER('Providers'!Y78)),1,0)</f>
        <v/>
      </c>
      <c r="B3578">
        <f>B3577+A3578</f>
        <v/>
      </c>
      <c r="C3578">
        <f>IF(3575&gt;$B$4503,"",MATCH(3575-0.5,$B$3:$B$4503,1))</f>
        <v/>
      </c>
      <c r="D3578">
        <f>"Privileges reappointment – "&amp;IF(LEN(INDEX('Providers'!$A$4:$A$503,75))=0,"",INDEX('Providers'!$A$4:$A$503,75))</f>
        <v/>
      </c>
      <c r="E3578">
        <f>IF(ISNUMBER(INDEX('Providers'!$Y$4:$Y$503,75)),TEXT(INDEX('Providers'!$Y$4:$Y$503,75),"yyyy-mm-dd"),"")</f>
        <v/>
      </c>
      <c r="F3578">
        <f>"Credentialing"</f>
        <v/>
      </c>
      <c r="G3578">
        <f>""</f>
        <v/>
      </c>
      <c r="H3578">
        <f>"High"</f>
        <v/>
      </c>
      <c r="I3578">
        <f>TRIM(IF(LEN(IF(LEN(INDEX('Providers'!$X$4:$X$503,75))=0,"",INDEX('Providers'!$X$4:$X$503,75)))=0,"","Facility: "&amp;IF(LEN(INDEX('Providers'!$X$4:$X$503,75))=0,"",INDEX('Providers'!$X$4:$X$503,75))&amp;". "))</f>
        <v/>
      </c>
      <c r="J3578">
        <f>IF(LEN(INDEX('Providers'!$AJ$4:$AJ$503,75))=0,"",INDEX('Providers'!$AJ$4:$AJ$503,75))</f>
        <v/>
      </c>
      <c r="K3578">
        <f>IF(LEN(INDEX('Providers'!$AI$4:$AI$503,75))=0,"",INDEX('Providers'!$AI$4:$AI$503,75))</f>
        <v/>
      </c>
    </row>
    <row r="3579">
      <c r="A3579">
        <f>IF(AND(LEN('Providers'!A79)&gt;0,ISNUMBER('Providers'!Y79)),1,0)</f>
        <v/>
      </c>
      <c r="B3579">
        <f>B3578+A3579</f>
        <v/>
      </c>
      <c r="C3579">
        <f>IF(3576&gt;$B$4503,"",MATCH(3576-0.5,$B$3:$B$4503,1))</f>
        <v/>
      </c>
      <c r="D3579">
        <f>"Privileges reappointment – "&amp;IF(LEN(INDEX('Providers'!$A$4:$A$503,76))=0,"",INDEX('Providers'!$A$4:$A$503,76))</f>
        <v/>
      </c>
      <c r="E3579">
        <f>IF(ISNUMBER(INDEX('Providers'!$Y$4:$Y$503,76)),TEXT(INDEX('Providers'!$Y$4:$Y$503,76),"yyyy-mm-dd"),"")</f>
        <v/>
      </c>
      <c r="F3579">
        <f>"Credentialing"</f>
        <v/>
      </c>
      <c r="G3579">
        <f>""</f>
        <v/>
      </c>
      <c r="H3579">
        <f>"High"</f>
        <v/>
      </c>
      <c r="I3579">
        <f>TRIM(IF(LEN(IF(LEN(INDEX('Providers'!$X$4:$X$503,76))=0,"",INDEX('Providers'!$X$4:$X$503,76)))=0,"","Facility: "&amp;IF(LEN(INDEX('Providers'!$X$4:$X$503,76))=0,"",INDEX('Providers'!$X$4:$X$503,76))&amp;". "))</f>
        <v/>
      </c>
      <c r="J3579">
        <f>IF(LEN(INDEX('Providers'!$AJ$4:$AJ$503,76))=0,"",INDEX('Providers'!$AJ$4:$AJ$503,76))</f>
        <v/>
      </c>
      <c r="K3579">
        <f>IF(LEN(INDEX('Providers'!$AI$4:$AI$503,76))=0,"",INDEX('Providers'!$AI$4:$AI$503,76))</f>
        <v/>
      </c>
    </row>
    <row r="3580">
      <c r="A3580">
        <f>IF(AND(LEN('Providers'!A80)&gt;0,ISNUMBER('Providers'!Y80)),1,0)</f>
        <v/>
      </c>
      <c r="B3580">
        <f>B3579+A3580</f>
        <v/>
      </c>
      <c r="C3580">
        <f>IF(3577&gt;$B$4503,"",MATCH(3577-0.5,$B$3:$B$4503,1))</f>
        <v/>
      </c>
      <c r="D3580">
        <f>"Privileges reappointment – "&amp;IF(LEN(INDEX('Providers'!$A$4:$A$503,77))=0,"",INDEX('Providers'!$A$4:$A$503,77))</f>
        <v/>
      </c>
      <c r="E3580">
        <f>IF(ISNUMBER(INDEX('Providers'!$Y$4:$Y$503,77)),TEXT(INDEX('Providers'!$Y$4:$Y$503,77),"yyyy-mm-dd"),"")</f>
        <v/>
      </c>
      <c r="F3580">
        <f>"Credentialing"</f>
        <v/>
      </c>
      <c r="G3580">
        <f>""</f>
        <v/>
      </c>
      <c r="H3580">
        <f>"High"</f>
        <v/>
      </c>
      <c r="I3580">
        <f>TRIM(IF(LEN(IF(LEN(INDEX('Providers'!$X$4:$X$503,77))=0,"",INDEX('Providers'!$X$4:$X$503,77)))=0,"","Facility: "&amp;IF(LEN(INDEX('Providers'!$X$4:$X$503,77))=0,"",INDEX('Providers'!$X$4:$X$503,77))&amp;". "))</f>
        <v/>
      </c>
      <c r="J3580">
        <f>IF(LEN(INDEX('Providers'!$AJ$4:$AJ$503,77))=0,"",INDEX('Providers'!$AJ$4:$AJ$503,77))</f>
        <v/>
      </c>
      <c r="K3580">
        <f>IF(LEN(INDEX('Providers'!$AI$4:$AI$503,77))=0,"",INDEX('Providers'!$AI$4:$AI$503,77))</f>
        <v/>
      </c>
    </row>
    <row r="3581">
      <c r="A3581">
        <f>IF(AND(LEN('Providers'!A81)&gt;0,ISNUMBER('Providers'!Y81)),1,0)</f>
        <v/>
      </c>
      <c r="B3581">
        <f>B3580+A3581</f>
        <v/>
      </c>
      <c r="C3581">
        <f>IF(3578&gt;$B$4503,"",MATCH(3578-0.5,$B$3:$B$4503,1))</f>
        <v/>
      </c>
      <c r="D3581">
        <f>"Privileges reappointment – "&amp;IF(LEN(INDEX('Providers'!$A$4:$A$503,78))=0,"",INDEX('Providers'!$A$4:$A$503,78))</f>
        <v/>
      </c>
      <c r="E3581">
        <f>IF(ISNUMBER(INDEX('Providers'!$Y$4:$Y$503,78)),TEXT(INDEX('Providers'!$Y$4:$Y$503,78),"yyyy-mm-dd"),"")</f>
        <v/>
      </c>
      <c r="F3581">
        <f>"Credentialing"</f>
        <v/>
      </c>
      <c r="G3581">
        <f>""</f>
        <v/>
      </c>
      <c r="H3581">
        <f>"High"</f>
        <v/>
      </c>
      <c r="I3581">
        <f>TRIM(IF(LEN(IF(LEN(INDEX('Providers'!$X$4:$X$503,78))=0,"",INDEX('Providers'!$X$4:$X$503,78)))=0,"","Facility: "&amp;IF(LEN(INDEX('Providers'!$X$4:$X$503,78))=0,"",INDEX('Providers'!$X$4:$X$503,78))&amp;". "))</f>
        <v/>
      </c>
      <c r="J3581">
        <f>IF(LEN(INDEX('Providers'!$AJ$4:$AJ$503,78))=0,"",INDEX('Providers'!$AJ$4:$AJ$503,78))</f>
        <v/>
      </c>
      <c r="K3581">
        <f>IF(LEN(INDEX('Providers'!$AI$4:$AI$503,78))=0,"",INDEX('Providers'!$AI$4:$AI$503,78))</f>
        <v/>
      </c>
    </row>
    <row r="3582">
      <c r="A3582">
        <f>IF(AND(LEN('Providers'!A82)&gt;0,ISNUMBER('Providers'!Y82)),1,0)</f>
        <v/>
      </c>
      <c r="B3582">
        <f>B3581+A3582</f>
        <v/>
      </c>
      <c r="C3582">
        <f>IF(3579&gt;$B$4503,"",MATCH(3579-0.5,$B$3:$B$4503,1))</f>
        <v/>
      </c>
      <c r="D3582">
        <f>"Privileges reappointment – "&amp;IF(LEN(INDEX('Providers'!$A$4:$A$503,79))=0,"",INDEX('Providers'!$A$4:$A$503,79))</f>
        <v/>
      </c>
      <c r="E3582">
        <f>IF(ISNUMBER(INDEX('Providers'!$Y$4:$Y$503,79)),TEXT(INDEX('Providers'!$Y$4:$Y$503,79),"yyyy-mm-dd"),"")</f>
        <v/>
      </c>
      <c r="F3582">
        <f>"Credentialing"</f>
        <v/>
      </c>
      <c r="G3582">
        <f>""</f>
        <v/>
      </c>
      <c r="H3582">
        <f>"High"</f>
        <v/>
      </c>
      <c r="I3582">
        <f>TRIM(IF(LEN(IF(LEN(INDEX('Providers'!$X$4:$X$503,79))=0,"",INDEX('Providers'!$X$4:$X$503,79)))=0,"","Facility: "&amp;IF(LEN(INDEX('Providers'!$X$4:$X$503,79))=0,"",INDEX('Providers'!$X$4:$X$503,79))&amp;". "))</f>
        <v/>
      </c>
      <c r="J3582">
        <f>IF(LEN(INDEX('Providers'!$AJ$4:$AJ$503,79))=0,"",INDEX('Providers'!$AJ$4:$AJ$503,79))</f>
        <v/>
      </c>
      <c r="K3582">
        <f>IF(LEN(INDEX('Providers'!$AI$4:$AI$503,79))=0,"",INDEX('Providers'!$AI$4:$AI$503,79))</f>
        <v/>
      </c>
    </row>
    <row r="3583">
      <c r="A3583">
        <f>IF(AND(LEN('Providers'!A83)&gt;0,ISNUMBER('Providers'!Y83)),1,0)</f>
        <v/>
      </c>
      <c r="B3583">
        <f>B3582+A3583</f>
        <v/>
      </c>
      <c r="C3583">
        <f>IF(3580&gt;$B$4503,"",MATCH(3580-0.5,$B$3:$B$4503,1))</f>
        <v/>
      </c>
      <c r="D3583">
        <f>"Privileges reappointment – "&amp;IF(LEN(INDEX('Providers'!$A$4:$A$503,80))=0,"",INDEX('Providers'!$A$4:$A$503,80))</f>
        <v/>
      </c>
      <c r="E3583">
        <f>IF(ISNUMBER(INDEX('Providers'!$Y$4:$Y$503,80)),TEXT(INDEX('Providers'!$Y$4:$Y$503,80),"yyyy-mm-dd"),"")</f>
        <v/>
      </c>
      <c r="F3583">
        <f>"Credentialing"</f>
        <v/>
      </c>
      <c r="G3583">
        <f>""</f>
        <v/>
      </c>
      <c r="H3583">
        <f>"High"</f>
        <v/>
      </c>
      <c r="I3583">
        <f>TRIM(IF(LEN(IF(LEN(INDEX('Providers'!$X$4:$X$503,80))=0,"",INDEX('Providers'!$X$4:$X$503,80)))=0,"","Facility: "&amp;IF(LEN(INDEX('Providers'!$X$4:$X$503,80))=0,"",INDEX('Providers'!$X$4:$X$503,80))&amp;". "))</f>
        <v/>
      </c>
      <c r="J3583">
        <f>IF(LEN(INDEX('Providers'!$AJ$4:$AJ$503,80))=0,"",INDEX('Providers'!$AJ$4:$AJ$503,80))</f>
        <v/>
      </c>
      <c r="K3583">
        <f>IF(LEN(INDEX('Providers'!$AI$4:$AI$503,80))=0,"",INDEX('Providers'!$AI$4:$AI$503,80))</f>
        <v/>
      </c>
    </row>
    <row r="3584">
      <c r="A3584">
        <f>IF(AND(LEN('Providers'!A84)&gt;0,ISNUMBER('Providers'!Y84)),1,0)</f>
        <v/>
      </c>
      <c r="B3584">
        <f>B3583+A3584</f>
        <v/>
      </c>
      <c r="C3584">
        <f>IF(3581&gt;$B$4503,"",MATCH(3581-0.5,$B$3:$B$4503,1))</f>
        <v/>
      </c>
      <c r="D3584">
        <f>"Privileges reappointment – "&amp;IF(LEN(INDEX('Providers'!$A$4:$A$503,81))=0,"",INDEX('Providers'!$A$4:$A$503,81))</f>
        <v/>
      </c>
      <c r="E3584">
        <f>IF(ISNUMBER(INDEX('Providers'!$Y$4:$Y$503,81)),TEXT(INDEX('Providers'!$Y$4:$Y$503,81),"yyyy-mm-dd"),"")</f>
        <v/>
      </c>
      <c r="F3584">
        <f>"Credentialing"</f>
        <v/>
      </c>
      <c r="G3584">
        <f>""</f>
        <v/>
      </c>
      <c r="H3584">
        <f>"High"</f>
        <v/>
      </c>
      <c r="I3584">
        <f>TRIM(IF(LEN(IF(LEN(INDEX('Providers'!$X$4:$X$503,81))=0,"",INDEX('Providers'!$X$4:$X$503,81)))=0,"","Facility: "&amp;IF(LEN(INDEX('Providers'!$X$4:$X$503,81))=0,"",INDEX('Providers'!$X$4:$X$503,81))&amp;". "))</f>
        <v/>
      </c>
      <c r="J3584">
        <f>IF(LEN(INDEX('Providers'!$AJ$4:$AJ$503,81))=0,"",INDEX('Providers'!$AJ$4:$AJ$503,81))</f>
        <v/>
      </c>
      <c r="K3584">
        <f>IF(LEN(INDEX('Providers'!$AI$4:$AI$503,81))=0,"",INDEX('Providers'!$AI$4:$AI$503,81))</f>
        <v/>
      </c>
    </row>
    <row r="3585">
      <c r="A3585">
        <f>IF(AND(LEN('Providers'!A85)&gt;0,ISNUMBER('Providers'!Y85)),1,0)</f>
        <v/>
      </c>
      <c r="B3585">
        <f>B3584+A3585</f>
        <v/>
      </c>
      <c r="C3585">
        <f>IF(3582&gt;$B$4503,"",MATCH(3582-0.5,$B$3:$B$4503,1))</f>
        <v/>
      </c>
      <c r="D3585">
        <f>"Privileges reappointment – "&amp;IF(LEN(INDEX('Providers'!$A$4:$A$503,82))=0,"",INDEX('Providers'!$A$4:$A$503,82))</f>
        <v/>
      </c>
      <c r="E3585">
        <f>IF(ISNUMBER(INDEX('Providers'!$Y$4:$Y$503,82)),TEXT(INDEX('Providers'!$Y$4:$Y$503,82),"yyyy-mm-dd"),"")</f>
        <v/>
      </c>
      <c r="F3585">
        <f>"Credentialing"</f>
        <v/>
      </c>
      <c r="G3585">
        <f>""</f>
        <v/>
      </c>
      <c r="H3585">
        <f>"High"</f>
        <v/>
      </c>
      <c r="I3585">
        <f>TRIM(IF(LEN(IF(LEN(INDEX('Providers'!$X$4:$X$503,82))=0,"",INDEX('Providers'!$X$4:$X$503,82)))=0,"","Facility: "&amp;IF(LEN(INDEX('Providers'!$X$4:$X$503,82))=0,"",INDEX('Providers'!$X$4:$X$503,82))&amp;". "))</f>
        <v/>
      </c>
      <c r="J3585">
        <f>IF(LEN(INDEX('Providers'!$AJ$4:$AJ$503,82))=0,"",INDEX('Providers'!$AJ$4:$AJ$503,82))</f>
        <v/>
      </c>
      <c r="K3585">
        <f>IF(LEN(INDEX('Providers'!$AI$4:$AI$503,82))=0,"",INDEX('Providers'!$AI$4:$AI$503,82))</f>
        <v/>
      </c>
    </row>
    <row r="3586">
      <c r="A3586">
        <f>IF(AND(LEN('Providers'!A86)&gt;0,ISNUMBER('Providers'!Y86)),1,0)</f>
        <v/>
      </c>
      <c r="B3586">
        <f>B3585+A3586</f>
        <v/>
      </c>
      <c r="C3586">
        <f>IF(3583&gt;$B$4503,"",MATCH(3583-0.5,$B$3:$B$4503,1))</f>
        <v/>
      </c>
      <c r="D3586">
        <f>"Privileges reappointment – "&amp;IF(LEN(INDEX('Providers'!$A$4:$A$503,83))=0,"",INDEX('Providers'!$A$4:$A$503,83))</f>
        <v/>
      </c>
      <c r="E3586">
        <f>IF(ISNUMBER(INDEX('Providers'!$Y$4:$Y$503,83)),TEXT(INDEX('Providers'!$Y$4:$Y$503,83),"yyyy-mm-dd"),"")</f>
        <v/>
      </c>
      <c r="F3586">
        <f>"Credentialing"</f>
        <v/>
      </c>
      <c r="G3586">
        <f>""</f>
        <v/>
      </c>
      <c r="H3586">
        <f>"High"</f>
        <v/>
      </c>
      <c r="I3586">
        <f>TRIM(IF(LEN(IF(LEN(INDEX('Providers'!$X$4:$X$503,83))=0,"",INDEX('Providers'!$X$4:$X$503,83)))=0,"","Facility: "&amp;IF(LEN(INDEX('Providers'!$X$4:$X$503,83))=0,"",INDEX('Providers'!$X$4:$X$503,83))&amp;". "))</f>
        <v/>
      </c>
      <c r="J3586">
        <f>IF(LEN(INDEX('Providers'!$AJ$4:$AJ$503,83))=0,"",INDEX('Providers'!$AJ$4:$AJ$503,83))</f>
        <v/>
      </c>
      <c r="K3586">
        <f>IF(LEN(INDEX('Providers'!$AI$4:$AI$503,83))=0,"",INDEX('Providers'!$AI$4:$AI$503,83))</f>
        <v/>
      </c>
    </row>
    <row r="3587">
      <c r="A3587">
        <f>IF(AND(LEN('Providers'!A87)&gt;0,ISNUMBER('Providers'!Y87)),1,0)</f>
        <v/>
      </c>
      <c r="B3587">
        <f>B3586+A3587</f>
        <v/>
      </c>
      <c r="C3587">
        <f>IF(3584&gt;$B$4503,"",MATCH(3584-0.5,$B$3:$B$4503,1))</f>
        <v/>
      </c>
      <c r="D3587">
        <f>"Privileges reappointment – "&amp;IF(LEN(INDEX('Providers'!$A$4:$A$503,84))=0,"",INDEX('Providers'!$A$4:$A$503,84))</f>
        <v/>
      </c>
      <c r="E3587">
        <f>IF(ISNUMBER(INDEX('Providers'!$Y$4:$Y$503,84)),TEXT(INDEX('Providers'!$Y$4:$Y$503,84),"yyyy-mm-dd"),"")</f>
        <v/>
      </c>
      <c r="F3587">
        <f>"Credentialing"</f>
        <v/>
      </c>
      <c r="G3587">
        <f>""</f>
        <v/>
      </c>
      <c r="H3587">
        <f>"High"</f>
        <v/>
      </c>
      <c r="I3587">
        <f>TRIM(IF(LEN(IF(LEN(INDEX('Providers'!$X$4:$X$503,84))=0,"",INDEX('Providers'!$X$4:$X$503,84)))=0,"","Facility: "&amp;IF(LEN(INDEX('Providers'!$X$4:$X$503,84))=0,"",INDEX('Providers'!$X$4:$X$503,84))&amp;". "))</f>
        <v/>
      </c>
      <c r="J3587">
        <f>IF(LEN(INDEX('Providers'!$AJ$4:$AJ$503,84))=0,"",INDEX('Providers'!$AJ$4:$AJ$503,84))</f>
        <v/>
      </c>
      <c r="K3587">
        <f>IF(LEN(INDEX('Providers'!$AI$4:$AI$503,84))=0,"",INDEX('Providers'!$AI$4:$AI$503,84))</f>
        <v/>
      </c>
    </row>
    <row r="3588">
      <c r="A3588">
        <f>IF(AND(LEN('Providers'!A88)&gt;0,ISNUMBER('Providers'!Y88)),1,0)</f>
        <v/>
      </c>
      <c r="B3588">
        <f>B3587+A3588</f>
        <v/>
      </c>
      <c r="C3588">
        <f>IF(3585&gt;$B$4503,"",MATCH(3585-0.5,$B$3:$B$4503,1))</f>
        <v/>
      </c>
      <c r="D3588">
        <f>"Privileges reappointment – "&amp;IF(LEN(INDEX('Providers'!$A$4:$A$503,85))=0,"",INDEX('Providers'!$A$4:$A$503,85))</f>
        <v/>
      </c>
      <c r="E3588">
        <f>IF(ISNUMBER(INDEX('Providers'!$Y$4:$Y$503,85)),TEXT(INDEX('Providers'!$Y$4:$Y$503,85),"yyyy-mm-dd"),"")</f>
        <v/>
      </c>
      <c r="F3588">
        <f>"Credentialing"</f>
        <v/>
      </c>
      <c r="G3588">
        <f>""</f>
        <v/>
      </c>
      <c r="H3588">
        <f>"High"</f>
        <v/>
      </c>
      <c r="I3588">
        <f>TRIM(IF(LEN(IF(LEN(INDEX('Providers'!$X$4:$X$503,85))=0,"",INDEX('Providers'!$X$4:$X$503,85)))=0,"","Facility: "&amp;IF(LEN(INDEX('Providers'!$X$4:$X$503,85))=0,"",INDEX('Providers'!$X$4:$X$503,85))&amp;". "))</f>
        <v/>
      </c>
      <c r="J3588">
        <f>IF(LEN(INDEX('Providers'!$AJ$4:$AJ$503,85))=0,"",INDEX('Providers'!$AJ$4:$AJ$503,85))</f>
        <v/>
      </c>
      <c r="K3588">
        <f>IF(LEN(INDEX('Providers'!$AI$4:$AI$503,85))=0,"",INDEX('Providers'!$AI$4:$AI$503,85))</f>
        <v/>
      </c>
    </row>
    <row r="3589">
      <c r="A3589">
        <f>IF(AND(LEN('Providers'!A89)&gt;0,ISNUMBER('Providers'!Y89)),1,0)</f>
        <v/>
      </c>
      <c r="B3589">
        <f>B3588+A3589</f>
        <v/>
      </c>
      <c r="C3589">
        <f>IF(3586&gt;$B$4503,"",MATCH(3586-0.5,$B$3:$B$4503,1))</f>
        <v/>
      </c>
      <c r="D3589">
        <f>"Privileges reappointment – "&amp;IF(LEN(INDEX('Providers'!$A$4:$A$503,86))=0,"",INDEX('Providers'!$A$4:$A$503,86))</f>
        <v/>
      </c>
      <c r="E3589">
        <f>IF(ISNUMBER(INDEX('Providers'!$Y$4:$Y$503,86)),TEXT(INDEX('Providers'!$Y$4:$Y$503,86),"yyyy-mm-dd"),"")</f>
        <v/>
      </c>
      <c r="F3589">
        <f>"Credentialing"</f>
        <v/>
      </c>
      <c r="G3589">
        <f>""</f>
        <v/>
      </c>
      <c r="H3589">
        <f>"High"</f>
        <v/>
      </c>
      <c r="I3589">
        <f>TRIM(IF(LEN(IF(LEN(INDEX('Providers'!$X$4:$X$503,86))=0,"",INDEX('Providers'!$X$4:$X$503,86)))=0,"","Facility: "&amp;IF(LEN(INDEX('Providers'!$X$4:$X$503,86))=0,"",INDEX('Providers'!$X$4:$X$503,86))&amp;". "))</f>
        <v/>
      </c>
      <c r="J3589">
        <f>IF(LEN(INDEX('Providers'!$AJ$4:$AJ$503,86))=0,"",INDEX('Providers'!$AJ$4:$AJ$503,86))</f>
        <v/>
      </c>
      <c r="K3589">
        <f>IF(LEN(INDEX('Providers'!$AI$4:$AI$503,86))=0,"",INDEX('Providers'!$AI$4:$AI$503,86))</f>
        <v/>
      </c>
    </row>
    <row r="3590">
      <c r="A3590">
        <f>IF(AND(LEN('Providers'!A90)&gt;0,ISNUMBER('Providers'!Y90)),1,0)</f>
        <v/>
      </c>
      <c r="B3590">
        <f>B3589+A3590</f>
        <v/>
      </c>
      <c r="C3590">
        <f>IF(3587&gt;$B$4503,"",MATCH(3587-0.5,$B$3:$B$4503,1))</f>
        <v/>
      </c>
      <c r="D3590">
        <f>"Privileges reappointment – "&amp;IF(LEN(INDEX('Providers'!$A$4:$A$503,87))=0,"",INDEX('Providers'!$A$4:$A$503,87))</f>
        <v/>
      </c>
      <c r="E3590">
        <f>IF(ISNUMBER(INDEX('Providers'!$Y$4:$Y$503,87)),TEXT(INDEX('Providers'!$Y$4:$Y$503,87),"yyyy-mm-dd"),"")</f>
        <v/>
      </c>
      <c r="F3590">
        <f>"Credentialing"</f>
        <v/>
      </c>
      <c r="G3590">
        <f>""</f>
        <v/>
      </c>
      <c r="H3590">
        <f>"High"</f>
        <v/>
      </c>
      <c r="I3590">
        <f>TRIM(IF(LEN(IF(LEN(INDEX('Providers'!$X$4:$X$503,87))=0,"",INDEX('Providers'!$X$4:$X$503,87)))=0,"","Facility: "&amp;IF(LEN(INDEX('Providers'!$X$4:$X$503,87))=0,"",INDEX('Providers'!$X$4:$X$503,87))&amp;". "))</f>
        <v/>
      </c>
      <c r="J3590">
        <f>IF(LEN(INDEX('Providers'!$AJ$4:$AJ$503,87))=0,"",INDEX('Providers'!$AJ$4:$AJ$503,87))</f>
        <v/>
      </c>
      <c r="K3590">
        <f>IF(LEN(INDEX('Providers'!$AI$4:$AI$503,87))=0,"",INDEX('Providers'!$AI$4:$AI$503,87))</f>
        <v/>
      </c>
    </row>
    <row r="3591">
      <c r="A3591">
        <f>IF(AND(LEN('Providers'!A91)&gt;0,ISNUMBER('Providers'!Y91)),1,0)</f>
        <v/>
      </c>
      <c r="B3591">
        <f>B3590+A3591</f>
        <v/>
      </c>
      <c r="C3591">
        <f>IF(3588&gt;$B$4503,"",MATCH(3588-0.5,$B$3:$B$4503,1))</f>
        <v/>
      </c>
      <c r="D3591">
        <f>"Privileges reappointment – "&amp;IF(LEN(INDEX('Providers'!$A$4:$A$503,88))=0,"",INDEX('Providers'!$A$4:$A$503,88))</f>
        <v/>
      </c>
      <c r="E3591">
        <f>IF(ISNUMBER(INDEX('Providers'!$Y$4:$Y$503,88)),TEXT(INDEX('Providers'!$Y$4:$Y$503,88),"yyyy-mm-dd"),"")</f>
        <v/>
      </c>
      <c r="F3591">
        <f>"Credentialing"</f>
        <v/>
      </c>
      <c r="G3591">
        <f>""</f>
        <v/>
      </c>
      <c r="H3591">
        <f>"High"</f>
        <v/>
      </c>
      <c r="I3591">
        <f>TRIM(IF(LEN(IF(LEN(INDEX('Providers'!$X$4:$X$503,88))=0,"",INDEX('Providers'!$X$4:$X$503,88)))=0,"","Facility: "&amp;IF(LEN(INDEX('Providers'!$X$4:$X$503,88))=0,"",INDEX('Providers'!$X$4:$X$503,88))&amp;". "))</f>
        <v/>
      </c>
      <c r="J3591">
        <f>IF(LEN(INDEX('Providers'!$AJ$4:$AJ$503,88))=0,"",INDEX('Providers'!$AJ$4:$AJ$503,88))</f>
        <v/>
      </c>
      <c r="K3591">
        <f>IF(LEN(INDEX('Providers'!$AI$4:$AI$503,88))=0,"",INDEX('Providers'!$AI$4:$AI$503,88))</f>
        <v/>
      </c>
    </row>
    <row r="3592">
      <c r="A3592">
        <f>IF(AND(LEN('Providers'!A92)&gt;0,ISNUMBER('Providers'!Y92)),1,0)</f>
        <v/>
      </c>
      <c r="B3592">
        <f>B3591+A3592</f>
        <v/>
      </c>
      <c r="C3592">
        <f>IF(3589&gt;$B$4503,"",MATCH(3589-0.5,$B$3:$B$4503,1))</f>
        <v/>
      </c>
      <c r="D3592">
        <f>"Privileges reappointment – "&amp;IF(LEN(INDEX('Providers'!$A$4:$A$503,89))=0,"",INDEX('Providers'!$A$4:$A$503,89))</f>
        <v/>
      </c>
      <c r="E3592">
        <f>IF(ISNUMBER(INDEX('Providers'!$Y$4:$Y$503,89)),TEXT(INDEX('Providers'!$Y$4:$Y$503,89),"yyyy-mm-dd"),"")</f>
        <v/>
      </c>
      <c r="F3592">
        <f>"Credentialing"</f>
        <v/>
      </c>
      <c r="G3592">
        <f>""</f>
        <v/>
      </c>
      <c r="H3592">
        <f>"High"</f>
        <v/>
      </c>
      <c r="I3592">
        <f>TRIM(IF(LEN(IF(LEN(INDEX('Providers'!$X$4:$X$503,89))=0,"",INDEX('Providers'!$X$4:$X$503,89)))=0,"","Facility: "&amp;IF(LEN(INDEX('Providers'!$X$4:$X$503,89))=0,"",INDEX('Providers'!$X$4:$X$503,89))&amp;". "))</f>
        <v/>
      </c>
      <c r="J3592">
        <f>IF(LEN(INDEX('Providers'!$AJ$4:$AJ$503,89))=0,"",INDEX('Providers'!$AJ$4:$AJ$503,89))</f>
        <v/>
      </c>
      <c r="K3592">
        <f>IF(LEN(INDEX('Providers'!$AI$4:$AI$503,89))=0,"",INDEX('Providers'!$AI$4:$AI$503,89))</f>
        <v/>
      </c>
    </row>
    <row r="3593">
      <c r="A3593">
        <f>IF(AND(LEN('Providers'!A93)&gt;0,ISNUMBER('Providers'!Y93)),1,0)</f>
        <v/>
      </c>
      <c r="B3593">
        <f>B3592+A3593</f>
        <v/>
      </c>
      <c r="C3593">
        <f>IF(3590&gt;$B$4503,"",MATCH(3590-0.5,$B$3:$B$4503,1))</f>
        <v/>
      </c>
      <c r="D3593">
        <f>"Privileges reappointment – "&amp;IF(LEN(INDEX('Providers'!$A$4:$A$503,90))=0,"",INDEX('Providers'!$A$4:$A$503,90))</f>
        <v/>
      </c>
      <c r="E3593">
        <f>IF(ISNUMBER(INDEX('Providers'!$Y$4:$Y$503,90)),TEXT(INDEX('Providers'!$Y$4:$Y$503,90),"yyyy-mm-dd"),"")</f>
        <v/>
      </c>
      <c r="F3593">
        <f>"Credentialing"</f>
        <v/>
      </c>
      <c r="G3593">
        <f>""</f>
        <v/>
      </c>
      <c r="H3593">
        <f>"High"</f>
        <v/>
      </c>
      <c r="I3593">
        <f>TRIM(IF(LEN(IF(LEN(INDEX('Providers'!$X$4:$X$503,90))=0,"",INDEX('Providers'!$X$4:$X$503,90)))=0,"","Facility: "&amp;IF(LEN(INDEX('Providers'!$X$4:$X$503,90))=0,"",INDEX('Providers'!$X$4:$X$503,90))&amp;". "))</f>
        <v/>
      </c>
      <c r="J3593">
        <f>IF(LEN(INDEX('Providers'!$AJ$4:$AJ$503,90))=0,"",INDEX('Providers'!$AJ$4:$AJ$503,90))</f>
        <v/>
      </c>
      <c r="K3593">
        <f>IF(LEN(INDEX('Providers'!$AI$4:$AI$503,90))=0,"",INDEX('Providers'!$AI$4:$AI$503,90))</f>
        <v/>
      </c>
    </row>
    <row r="3594">
      <c r="A3594">
        <f>IF(AND(LEN('Providers'!A94)&gt;0,ISNUMBER('Providers'!Y94)),1,0)</f>
        <v/>
      </c>
      <c r="B3594">
        <f>B3593+A3594</f>
        <v/>
      </c>
      <c r="C3594">
        <f>IF(3591&gt;$B$4503,"",MATCH(3591-0.5,$B$3:$B$4503,1))</f>
        <v/>
      </c>
      <c r="D3594">
        <f>"Privileges reappointment – "&amp;IF(LEN(INDEX('Providers'!$A$4:$A$503,91))=0,"",INDEX('Providers'!$A$4:$A$503,91))</f>
        <v/>
      </c>
      <c r="E3594">
        <f>IF(ISNUMBER(INDEX('Providers'!$Y$4:$Y$503,91)),TEXT(INDEX('Providers'!$Y$4:$Y$503,91),"yyyy-mm-dd"),"")</f>
        <v/>
      </c>
      <c r="F3594">
        <f>"Credentialing"</f>
        <v/>
      </c>
      <c r="G3594">
        <f>""</f>
        <v/>
      </c>
      <c r="H3594">
        <f>"High"</f>
        <v/>
      </c>
      <c r="I3594">
        <f>TRIM(IF(LEN(IF(LEN(INDEX('Providers'!$X$4:$X$503,91))=0,"",INDEX('Providers'!$X$4:$X$503,91)))=0,"","Facility: "&amp;IF(LEN(INDEX('Providers'!$X$4:$X$503,91))=0,"",INDEX('Providers'!$X$4:$X$503,91))&amp;". "))</f>
        <v/>
      </c>
      <c r="J3594">
        <f>IF(LEN(INDEX('Providers'!$AJ$4:$AJ$503,91))=0,"",INDEX('Providers'!$AJ$4:$AJ$503,91))</f>
        <v/>
      </c>
      <c r="K3594">
        <f>IF(LEN(INDEX('Providers'!$AI$4:$AI$503,91))=0,"",INDEX('Providers'!$AI$4:$AI$503,91))</f>
        <v/>
      </c>
    </row>
    <row r="3595">
      <c r="A3595">
        <f>IF(AND(LEN('Providers'!A95)&gt;0,ISNUMBER('Providers'!Y95)),1,0)</f>
        <v/>
      </c>
      <c r="B3595">
        <f>B3594+A3595</f>
        <v/>
      </c>
      <c r="C3595">
        <f>IF(3592&gt;$B$4503,"",MATCH(3592-0.5,$B$3:$B$4503,1))</f>
        <v/>
      </c>
      <c r="D3595">
        <f>"Privileges reappointment – "&amp;IF(LEN(INDEX('Providers'!$A$4:$A$503,92))=0,"",INDEX('Providers'!$A$4:$A$503,92))</f>
        <v/>
      </c>
      <c r="E3595">
        <f>IF(ISNUMBER(INDEX('Providers'!$Y$4:$Y$503,92)),TEXT(INDEX('Providers'!$Y$4:$Y$503,92),"yyyy-mm-dd"),"")</f>
        <v/>
      </c>
      <c r="F3595">
        <f>"Credentialing"</f>
        <v/>
      </c>
      <c r="G3595">
        <f>""</f>
        <v/>
      </c>
      <c r="H3595">
        <f>"High"</f>
        <v/>
      </c>
      <c r="I3595">
        <f>TRIM(IF(LEN(IF(LEN(INDEX('Providers'!$X$4:$X$503,92))=0,"",INDEX('Providers'!$X$4:$X$503,92)))=0,"","Facility: "&amp;IF(LEN(INDEX('Providers'!$X$4:$X$503,92))=0,"",INDEX('Providers'!$X$4:$X$503,92))&amp;". "))</f>
        <v/>
      </c>
      <c r="J3595">
        <f>IF(LEN(INDEX('Providers'!$AJ$4:$AJ$503,92))=0,"",INDEX('Providers'!$AJ$4:$AJ$503,92))</f>
        <v/>
      </c>
      <c r="K3595">
        <f>IF(LEN(INDEX('Providers'!$AI$4:$AI$503,92))=0,"",INDEX('Providers'!$AI$4:$AI$503,92))</f>
        <v/>
      </c>
    </row>
    <row r="3596">
      <c r="A3596">
        <f>IF(AND(LEN('Providers'!A96)&gt;0,ISNUMBER('Providers'!Y96)),1,0)</f>
        <v/>
      </c>
      <c r="B3596">
        <f>B3595+A3596</f>
        <v/>
      </c>
      <c r="C3596">
        <f>IF(3593&gt;$B$4503,"",MATCH(3593-0.5,$B$3:$B$4503,1))</f>
        <v/>
      </c>
      <c r="D3596">
        <f>"Privileges reappointment – "&amp;IF(LEN(INDEX('Providers'!$A$4:$A$503,93))=0,"",INDEX('Providers'!$A$4:$A$503,93))</f>
        <v/>
      </c>
      <c r="E3596">
        <f>IF(ISNUMBER(INDEX('Providers'!$Y$4:$Y$503,93)),TEXT(INDEX('Providers'!$Y$4:$Y$503,93),"yyyy-mm-dd"),"")</f>
        <v/>
      </c>
      <c r="F3596">
        <f>"Credentialing"</f>
        <v/>
      </c>
      <c r="G3596">
        <f>""</f>
        <v/>
      </c>
      <c r="H3596">
        <f>"High"</f>
        <v/>
      </c>
      <c r="I3596">
        <f>TRIM(IF(LEN(IF(LEN(INDEX('Providers'!$X$4:$X$503,93))=0,"",INDEX('Providers'!$X$4:$X$503,93)))=0,"","Facility: "&amp;IF(LEN(INDEX('Providers'!$X$4:$X$503,93))=0,"",INDEX('Providers'!$X$4:$X$503,93))&amp;". "))</f>
        <v/>
      </c>
      <c r="J3596">
        <f>IF(LEN(INDEX('Providers'!$AJ$4:$AJ$503,93))=0,"",INDEX('Providers'!$AJ$4:$AJ$503,93))</f>
        <v/>
      </c>
      <c r="K3596">
        <f>IF(LEN(INDEX('Providers'!$AI$4:$AI$503,93))=0,"",INDEX('Providers'!$AI$4:$AI$503,93))</f>
        <v/>
      </c>
    </row>
    <row r="3597">
      <c r="A3597">
        <f>IF(AND(LEN('Providers'!A97)&gt;0,ISNUMBER('Providers'!Y97)),1,0)</f>
        <v/>
      </c>
      <c r="B3597">
        <f>B3596+A3597</f>
        <v/>
      </c>
      <c r="C3597">
        <f>IF(3594&gt;$B$4503,"",MATCH(3594-0.5,$B$3:$B$4503,1))</f>
        <v/>
      </c>
      <c r="D3597">
        <f>"Privileges reappointment – "&amp;IF(LEN(INDEX('Providers'!$A$4:$A$503,94))=0,"",INDEX('Providers'!$A$4:$A$503,94))</f>
        <v/>
      </c>
      <c r="E3597">
        <f>IF(ISNUMBER(INDEX('Providers'!$Y$4:$Y$503,94)),TEXT(INDEX('Providers'!$Y$4:$Y$503,94),"yyyy-mm-dd"),"")</f>
        <v/>
      </c>
      <c r="F3597">
        <f>"Credentialing"</f>
        <v/>
      </c>
      <c r="G3597">
        <f>""</f>
        <v/>
      </c>
      <c r="H3597">
        <f>"High"</f>
        <v/>
      </c>
      <c r="I3597">
        <f>TRIM(IF(LEN(IF(LEN(INDEX('Providers'!$X$4:$X$503,94))=0,"",INDEX('Providers'!$X$4:$X$503,94)))=0,"","Facility: "&amp;IF(LEN(INDEX('Providers'!$X$4:$X$503,94))=0,"",INDEX('Providers'!$X$4:$X$503,94))&amp;". "))</f>
        <v/>
      </c>
      <c r="J3597">
        <f>IF(LEN(INDEX('Providers'!$AJ$4:$AJ$503,94))=0,"",INDEX('Providers'!$AJ$4:$AJ$503,94))</f>
        <v/>
      </c>
      <c r="K3597">
        <f>IF(LEN(INDEX('Providers'!$AI$4:$AI$503,94))=0,"",INDEX('Providers'!$AI$4:$AI$503,94))</f>
        <v/>
      </c>
    </row>
    <row r="3598">
      <c r="A3598">
        <f>IF(AND(LEN('Providers'!A98)&gt;0,ISNUMBER('Providers'!Y98)),1,0)</f>
        <v/>
      </c>
      <c r="B3598">
        <f>B3597+A3598</f>
        <v/>
      </c>
      <c r="C3598">
        <f>IF(3595&gt;$B$4503,"",MATCH(3595-0.5,$B$3:$B$4503,1))</f>
        <v/>
      </c>
      <c r="D3598">
        <f>"Privileges reappointment – "&amp;IF(LEN(INDEX('Providers'!$A$4:$A$503,95))=0,"",INDEX('Providers'!$A$4:$A$503,95))</f>
        <v/>
      </c>
      <c r="E3598">
        <f>IF(ISNUMBER(INDEX('Providers'!$Y$4:$Y$503,95)),TEXT(INDEX('Providers'!$Y$4:$Y$503,95),"yyyy-mm-dd"),"")</f>
        <v/>
      </c>
      <c r="F3598">
        <f>"Credentialing"</f>
        <v/>
      </c>
      <c r="G3598">
        <f>""</f>
        <v/>
      </c>
      <c r="H3598">
        <f>"High"</f>
        <v/>
      </c>
      <c r="I3598">
        <f>TRIM(IF(LEN(IF(LEN(INDEX('Providers'!$X$4:$X$503,95))=0,"",INDEX('Providers'!$X$4:$X$503,95)))=0,"","Facility: "&amp;IF(LEN(INDEX('Providers'!$X$4:$X$503,95))=0,"",INDEX('Providers'!$X$4:$X$503,95))&amp;". "))</f>
        <v/>
      </c>
      <c r="J3598">
        <f>IF(LEN(INDEX('Providers'!$AJ$4:$AJ$503,95))=0,"",INDEX('Providers'!$AJ$4:$AJ$503,95))</f>
        <v/>
      </c>
      <c r="K3598">
        <f>IF(LEN(INDEX('Providers'!$AI$4:$AI$503,95))=0,"",INDEX('Providers'!$AI$4:$AI$503,95))</f>
        <v/>
      </c>
    </row>
    <row r="3599">
      <c r="A3599">
        <f>IF(AND(LEN('Providers'!A99)&gt;0,ISNUMBER('Providers'!Y99)),1,0)</f>
        <v/>
      </c>
      <c r="B3599">
        <f>B3598+A3599</f>
        <v/>
      </c>
      <c r="C3599">
        <f>IF(3596&gt;$B$4503,"",MATCH(3596-0.5,$B$3:$B$4503,1))</f>
        <v/>
      </c>
      <c r="D3599">
        <f>"Privileges reappointment – "&amp;IF(LEN(INDEX('Providers'!$A$4:$A$503,96))=0,"",INDEX('Providers'!$A$4:$A$503,96))</f>
        <v/>
      </c>
      <c r="E3599">
        <f>IF(ISNUMBER(INDEX('Providers'!$Y$4:$Y$503,96)),TEXT(INDEX('Providers'!$Y$4:$Y$503,96),"yyyy-mm-dd"),"")</f>
        <v/>
      </c>
      <c r="F3599">
        <f>"Credentialing"</f>
        <v/>
      </c>
      <c r="G3599">
        <f>""</f>
        <v/>
      </c>
      <c r="H3599">
        <f>"High"</f>
        <v/>
      </c>
      <c r="I3599">
        <f>TRIM(IF(LEN(IF(LEN(INDEX('Providers'!$X$4:$X$503,96))=0,"",INDEX('Providers'!$X$4:$X$503,96)))=0,"","Facility: "&amp;IF(LEN(INDEX('Providers'!$X$4:$X$503,96))=0,"",INDEX('Providers'!$X$4:$X$503,96))&amp;". "))</f>
        <v/>
      </c>
      <c r="J3599">
        <f>IF(LEN(INDEX('Providers'!$AJ$4:$AJ$503,96))=0,"",INDEX('Providers'!$AJ$4:$AJ$503,96))</f>
        <v/>
      </c>
      <c r="K3599">
        <f>IF(LEN(INDEX('Providers'!$AI$4:$AI$503,96))=0,"",INDEX('Providers'!$AI$4:$AI$503,96))</f>
        <v/>
      </c>
    </row>
    <row r="3600">
      <c r="A3600">
        <f>IF(AND(LEN('Providers'!A100)&gt;0,ISNUMBER('Providers'!Y100)),1,0)</f>
        <v/>
      </c>
      <c r="B3600">
        <f>B3599+A3600</f>
        <v/>
      </c>
      <c r="C3600">
        <f>IF(3597&gt;$B$4503,"",MATCH(3597-0.5,$B$3:$B$4503,1))</f>
        <v/>
      </c>
      <c r="D3600">
        <f>"Privileges reappointment – "&amp;IF(LEN(INDEX('Providers'!$A$4:$A$503,97))=0,"",INDEX('Providers'!$A$4:$A$503,97))</f>
        <v/>
      </c>
      <c r="E3600">
        <f>IF(ISNUMBER(INDEX('Providers'!$Y$4:$Y$503,97)),TEXT(INDEX('Providers'!$Y$4:$Y$503,97),"yyyy-mm-dd"),"")</f>
        <v/>
      </c>
      <c r="F3600">
        <f>"Credentialing"</f>
        <v/>
      </c>
      <c r="G3600">
        <f>""</f>
        <v/>
      </c>
      <c r="H3600">
        <f>"High"</f>
        <v/>
      </c>
      <c r="I3600">
        <f>TRIM(IF(LEN(IF(LEN(INDEX('Providers'!$X$4:$X$503,97))=0,"",INDEX('Providers'!$X$4:$X$503,97)))=0,"","Facility: "&amp;IF(LEN(INDEX('Providers'!$X$4:$X$503,97))=0,"",INDEX('Providers'!$X$4:$X$503,97))&amp;". "))</f>
        <v/>
      </c>
      <c r="J3600">
        <f>IF(LEN(INDEX('Providers'!$AJ$4:$AJ$503,97))=0,"",INDEX('Providers'!$AJ$4:$AJ$503,97))</f>
        <v/>
      </c>
      <c r="K3600">
        <f>IF(LEN(INDEX('Providers'!$AI$4:$AI$503,97))=0,"",INDEX('Providers'!$AI$4:$AI$503,97))</f>
        <v/>
      </c>
    </row>
    <row r="3601">
      <c r="A3601">
        <f>IF(AND(LEN('Providers'!A101)&gt;0,ISNUMBER('Providers'!Y101)),1,0)</f>
        <v/>
      </c>
      <c r="B3601">
        <f>B3600+A3601</f>
        <v/>
      </c>
      <c r="C3601">
        <f>IF(3598&gt;$B$4503,"",MATCH(3598-0.5,$B$3:$B$4503,1))</f>
        <v/>
      </c>
      <c r="D3601">
        <f>"Privileges reappointment – "&amp;IF(LEN(INDEX('Providers'!$A$4:$A$503,98))=0,"",INDEX('Providers'!$A$4:$A$503,98))</f>
        <v/>
      </c>
      <c r="E3601">
        <f>IF(ISNUMBER(INDEX('Providers'!$Y$4:$Y$503,98)),TEXT(INDEX('Providers'!$Y$4:$Y$503,98),"yyyy-mm-dd"),"")</f>
        <v/>
      </c>
      <c r="F3601">
        <f>"Credentialing"</f>
        <v/>
      </c>
      <c r="G3601">
        <f>""</f>
        <v/>
      </c>
      <c r="H3601">
        <f>"High"</f>
        <v/>
      </c>
      <c r="I3601">
        <f>TRIM(IF(LEN(IF(LEN(INDEX('Providers'!$X$4:$X$503,98))=0,"",INDEX('Providers'!$X$4:$X$503,98)))=0,"","Facility: "&amp;IF(LEN(INDEX('Providers'!$X$4:$X$503,98))=0,"",INDEX('Providers'!$X$4:$X$503,98))&amp;". "))</f>
        <v/>
      </c>
      <c r="J3601">
        <f>IF(LEN(INDEX('Providers'!$AJ$4:$AJ$503,98))=0,"",INDEX('Providers'!$AJ$4:$AJ$503,98))</f>
        <v/>
      </c>
      <c r="K3601">
        <f>IF(LEN(INDEX('Providers'!$AI$4:$AI$503,98))=0,"",INDEX('Providers'!$AI$4:$AI$503,98))</f>
        <v/>
      </c>
    </row>
    <row r="3602">
      <c r="A3602">
        <f>IF(AND(LEN('Providers'!A102)&gt;0,ISNUMBER('Providers'!Y102)),1,0)</f>
        <v/>
      </c>
      <c r="B3602">
        <f>B3601+A3602</f>
        <v/>
      </c>
      <c r="C3602">
        <f>IF(3599&gt;$B$4503,"",MATCH(3599-0.5,$B$3:$B$4503,1))</f>
        <v/>
      </c>
      <c r="D3602">
        <f>"Privileges reappointment – "&amp;IF(LEN(INDEX('Providers'!$A$4:$A$503,99))=0,"",INDEX('Providers'!$A$4:$A$503,99))</f>
        <v/>
      </c>
      <c r="E3602">
        <f>IF(ISNUMBER(INDEX('Providers'!$Y$4:$Y$503,99)),TEXT(INDEX('Providers'!$Y$4:$Y$503,99),"yyyy-mm-dd"),"")</f>
        <v/>
      </c>
      <c r="F3602">
        <f>"Credentialing"</f>
        <v/>
      </c>
      <c r="G3602">
        <f>""</f>
        <v/>
      </c>
      <c r="H3602">
        <f>"High"</f>
        <v/>
      </c>
      <c r="I3602">
        <f>TRIM(IF(LEN(IF(LEN(INDEX('Providers'!$X$4:$X$503,99))=0,"",INDEX('Providers'!$X$4:$X$503,99)))=0,"","Facility: "&amp;IF(LEN(INDEX('Providers'!$X$4:$X$503,99))=0,"",INDEX('Providers'!$X$4:$X$503,99))&amp;". "))</f>
        <v/>
      </c>
      <c r="J3602">
        <f>IF(LEN(INDEX('Providers'!$AJ$4:$AJ$503,99))=0,"",INDEX('Providers'!$AJ$4:$AJ$503,99))</f>
        <v/>
      </c>
      <c r="K3602">
        <f>IF(LEN(INDEX('Providers'!$AI$4:$AI$503,99))=0,"",INDEX('Providers'!$AI$4:$AI$503,99))</f>
        <v/>
      </c>
    </row>
    <row r="3603">
      <c r="A3603">
        <f>IF(AND(LEN('Providers'!A103)&gt;0,ISNUMBER('Providers'!Y103)),1,0)</f>
        <v/>
      </c>
      <c r="B3603">
        <f>B3602+A3603</f>
        <v/>
      </c>
      <c r="C3603">
        <f>IF(3600&gt;$B$4503,"",MATCH(3600-0.5,$B$3:$B$4503,1))</f>
        <v/>
      </c>
      <c r="D3603">
        <f>"Privileges reappointment – "&amp;IF(LEN(INDEX('Providers'!$A$4:$A$503,100))=0,"",INDEX('Providers'!$A$4:$A$503,100))</f>
        <v/>
      </c>
      <c r="E3603">
        <f>IF(ISNUMBER(INDEX('Providers'!$Y$4:$Y$503,100)),TEXT(INDEX('Providers'!$Y$4:$Y$503,100),"yyyy-mm-dd"),"")</f>
        <v/>
      </c>
      <c r="F3603">
        <f>"Credentialing"</f>
        <v/>
      </c>
      <c r="G3603">
        <f>""</f>
        <v/>
      </c>
      <c r="H3603">
        <f>"High"</f>
        <v/>
      </c>
      <c r="I3603">
        <f>TRIM(IF(LEN(IF(LEN(INDEX('Providers'!$X$4:$X$503,100))=0,"",INDEX('Providers'!$X$4:$X$503,100)))=0,"","Facility: "&amp;IF(LEN(INDEX('Providers'!$X$4:$X$503,100))=0,"",INDEX('Providers'!$X$4:$X$503,100))&amp;". "))</f>
        <v/>
      </c>
      <c r="J3603">
        <f>IF(LEN(INDEX('Providers'!$AJ$4:$AJ$503,100))=0,"",INDEX('Providers'!$AJ$4:$AJ$503,100))</f>
        <v/>
      </c>
      <c r="K3603">
        <f>IF(LEN(INDEX('Providers'!$AI$4:$AI$503,100))=0,"",INDEX('Providers'!$AI$4:$AI$503,100))</f>
        <v/>
      </c>
    </row>
    <row r="3604">
      <c r="A3604">
        <f>IF(AND(LEN('Providers'!A104)&gt;0,ISNUMBER('Providers'!Y104)),1,0)</f>
        <v/>
      </c>
      <c r="B3604">
        <f>B3603+A3604</f>
        <v/>
      </c>
      <c r="C3604">
        <f>IF(3601&gt;$B$4503,"",MATCH(3601-0.5,$B$3:$B$4503,1))</f>
        <v/>
      </c>
      <c r="D3604">
        <f>"Privileges reappointment – "&amp;IF(LEN(INDEX('Providers'!$A$4:$A$503,101))=0,"",INDEX('Providers'!$A$4:$A$503,101))</f>
        <v/>
      </c>
      <c r="E3604">
        <f>IF(ISNUMBER(INDEX('Providers'!$Y$4:$Y$503,101)),TEXT(INDEX('Providers'!$Y$4:$Y$503,101),"yyyy-mm-dd"),"")</f>
        <v/>
      </c>
      <c r="F3604">
        <f>"Credentialing"</f>
        <v/>
      </c>
      <c r="G3604">
        <f>""</f>
        <v/>
      </c>
      <c r="H3604">
        <f>"High"</f>
        <v/>
      </c>
      <c r="I3604">
        <f>TRIM(IF(LEN(IF(LEN(INDEX('Providers'!$X$4:$X$503,101))=0,"",INDEX('Providers'!$X$4:$X$503,101)))=0,"","Facility: "&amp;IF(LEN(INDEX('Providers'!$X$4:$X$503,101))=0,"",INDEX('Providers'!$X$4:$X$503,101))&amp;". "))</f>
        <v/>
      </c>
      <c r="J3604">
        <f>IF(LEN(INDEX('Providers'!$AJ$4:$AJ$503,101))=0,"",INDEX('Providers'!$AJ$4:$AJ$503,101))</f>
        <v/>
      </c>
      <c r="K3604">
        <f>IF(LEN(INDEX('Providers'!$AI$4:$AI$503,101))=0,"",INDEX('Providers'!$AI$4:$AI$503,101))</f>
        <v/>
      </c>
    </row>
    <row r="3605">
      <c r="A3605">
        <f>IF(AND(LEN('Providers'!A105)&gt;0,ISNUMBER('Providers'!Y105)),1,0)</f>
        <v/>
      </c>
      <c r="B3605">
        <f>B3604+A3605</f>
        <v/>
      </c>
      <c r="C3605">
        <f>IF(3602&gt;$B$4503,"",MATCH(3602-0.5,$B$3:$B$4503,1))</f>
        <v/>
      </c>
      <c r="D3605">
        <f>"Privileges reappointment – "&amp;IF(LEN(INDEX('Providers'!$A$4:$A$503,102))=0,"",INDEX('Providers'!$A$4:$A$503,102))</f>
        <v/>
      </c>
      <c r="E3605">
        <f>IF(ISNUMBER(INDEX('Providers'!$Y$4:$Y$503,102)),TEXT(INDEX('Providers'!$Y$4:$Y$503,102),"yyyy-mm-dd"),"")</f>
        <v/>
      </c>
      <c r="F3605">
        <f>"Credentialing"</f>
        <v/>
      </c>
      <c r="G3605">
        <f>""</f>
        <v/>
      </c>
      <c r="H3605">
        <f>"High"</f>
        <v/>
      </c>
      <c r="I3605">
        <f>TRIM(IF(LEN(IF(LEN(INDEX('Providers'!$X$4:$X$503,102))=0,"",INDEX('Providers'!$X$4:$X$503,102)))=0,"","Facility: "&amp;IF(LEN(INDEX('Providers'!$X$4:$X$503,102))=0,"",INDEX('Providers'!$X$4:$X$503,102))&amp;". "))</f>
        <v/>
      </c>
      <c r="J3605">
        <f>IF(LEN(INDEX('Providers'!$AJ$4:$AJ$503,102))=0,"",INDEX('Providers'!$AJ$4:$AJ$503,102))</f>
        <v/>
      </c>
      <c r="K3605">
        <f>IF(LEN(INDEX('Providers'!$AI$4:$AI$503,102))=0,"",INDEX('Providers'!$AI$4:$AI$503,102))</f>
        <v/>
      </c>
    </row>
    <row r="3606">
      <c r="A3606">
        <f>IF(AND(LEN('Providers'!A106)&gt;0,ISNUMBER('Providers'!Y106)),1,0)</f>
        <v/>
      </c>
      <c r="B3606">
        <f>B3605+A3606</f>
        <v/>
      </c>
      <c r="C3606">
        <f>IF(3603&gt;$B$4503,"",MATCH(3603-0.5,$B$3:$B$4503,1))</f>
        <v/>
      </c>
      <c r="D3606">
        <f>"Privileges reappointment – "&amp;IF(LEN(INDEX('Providers'!$A$4:$A$503,103))=0,"",INDEX('Providers'!$A$4:$A$503,103))</f>
        <v/>
      </c>
      <c r="E3606">
        <f>IF(ISNUMBER(INDEX('Providers'!$Y$4:$Y$503,103)),TEXT(INDEX('Providers'!$Y$4:$Y$503,103),"yyyy-mm-dd"),"")</f>
        <v/>
      </c>
      <c r="F3606">
        <f>"Credentialing"</f>
        <v/>
      </c>
      <c r="G3606">
        <f>""</f>
        <v/>
      </c>
      <c r="H3606">
        <f>"High"</f>
        <v/>
      </c>
      <c r="I3606">
        <f>TRIM(IF(LEN(IF(LEN(INDEX('Providers'!$X$4:$X$503,103))=0,"",INDEX('Providers'!$X$4:$X$503,103)))=0,"","Facility: "&amp;IF(LEN(INDEX('Providers'!$X$4:$X$503,103))=0,"",INDEX('Providers'!$X$4:$X$503,103))&amp;". "))</f>
        <v/>
      </c>
      <c r="J3606">
        <f>IF(LEN(INDEX('Providers'!$AJ$4:$AJ$503,103))=0,"",INDEX('Providers'!$AJ$4:$AJ$503,103))</f>
        <v/>
      </c>
      <c r="K3606">
        <f>IF(LEN(INDEX('Providers'!$AI$4:$AI$503,103))=0,"",INDEX('Providers'!$AI$4:$AI$503,103))</f>
        <v/>
      </c>
    </row>
    <row r="3607">
      <c r="A3607">
        <f>IF(AND(LEN('Providers'!A107)&gt;0,ISNUMBER('Providers'!Y107)),1,0)</f>
        <v/>
      </c>
      <c r="B3607">
        <f>B3606+A3607</f>
        <v/>
      </c>
      <c r="C3607">
        <f>IF(3604&gt;$B$4503,"",MATCH(3604-0.5,$B$3:$B$4503,1))</f>
        <v/>
      </c>
      <c r="D3607">
        <f>"Privileges reappointment – "&amp;IF(LEN(INDEX('Providers'!$A$4:$A$503,104))=0,"",INDEX('Providers'!$A$4:$A$503,104))</f>
        <v/>
      </c>
      <c r="E3607">
        <f>IF(ISNUMBER(INDEX('Providers'!$Y$4:$Y$503,104)),TEXT(INDEX('Providers'!$Y$4:$Y$503,104),"yyyy-mm-dd"),"")</f>
        <v/>
      </c>
      <c r="F3607">
        <f>"Credentialing"</f>
        <v/>
      </c>
      <c r="G3607">
        <f>""</f>
        <v/>
      </c>
      <c r="H3607">
        <f>"High"</f>
        <v/>
      </c>
      <c r="I3607">
        <f>TRIM(IF(LEN(IF(LEN(INDEX('Providers'!$X$4:$X$503,104))=0,"",INDEX('Providers'!$X$4:$X$503,104)))=0,"","Facility: "&amp;IF(LEN(INDEX('Providers'!$X$4:$X$503,104))=0,"",INDEX('Providers'!$X$4:$X$503,104))&amp;". "))</f>
        <v/>
      </c>
      <c r="J3607">
        <f>IF(LEN(INDEX('Providers'!$AJ$4:$AJ$503,104))=0,"",INDEX('Providers'!$AJ$4:$AJ$503,104))</f>
        <v/>
      </c>
      <c r="K3607">
        <f>IF(LEN(INDEX('Providers'!$AI$4:$AI$503,104))=0,"",INDEX('Providers'!$AI$4:$AI$503,104))</f>
        <v/>
      </c>
    </row>
    <row r="3608">
      <c r="A3608">
        <f>IF(AND(LEN('Providers'!A108)&gt;0,ISNUMBER('Providers'!Y108)),1,0)</f>
        <v/>
      </c>
      <c r="B3608">
        <f>B3607+A3608</f>
        <v/>
      </c>
      <c r="C3608">
        <f>IF(3605&gt;$B$4503,"",MATCH(3605-0.5,$B$3:$B$4503,1))</f>
        <v/>
      </c>
      <c r="D3608">
        <f>"Privileges reappointment – "&amp;IF(LEN(INDEX('Providers'!$A$4:$A$503,105))=0,"",INDEX('Providers'!$A$4:$A$503,105))</f>
        <v/>
      </c>
      <c r="E3608">
        <f>IF(ISNUMBER(INDEX('Providers'!$Y$4:$Y$503,105)),TEXT(INDEX('Providers'!$Y$4:$Y$503,105),"yyyy-mm-dd"),"")</f>
        <v/>
      </c>
      <c r="F3608">
        <f>"Credentialing"</f>
        <v/>
      </c>
      <c r="G3608">
        <f>""</f>
        <v/>
      </c>
      <c r="H3608">
        <f>"High"</f>
        <v/>
      </c>
      <c r="I3608">
        <f>TRIM(IF(LEN(IF(LEN(INDEX('Providers'!$X$4:$X$503,105))=0,"",INDEX('Providers'!$X$4:$X$503,105)))=0,"","Facility: "&amp;IF(LEN(INDEX('Providers'!$X$4:$X$503,105))=0,"",INDEX('Providers'!$X$4:$X$503,105))&amp;". "))</f>
        <v/>
      </c>
      <c r="J3608">
        <f>IF(LEN(INDEX('Providers'!$AJ$4:$AJ$503,105))=0,"",INDEX('Providers'!$AJ$4:$AJ$503,105))</f>
        <v/>
      </c>
      <c r="K3608">
        <f>IF(LEN(INDEX('Providers'!$AI$4:$AI$503,105))=0,"",INDEX('Providers'!$AI$4:$AI$503,105))</f>
        <v/>
      </c>
    </row>
    <row r="3609">
      <c r="A3609">
        <f>IF(AND(LEN('Providers'!A109)&gt;0,ISNUMBER('Providers'!Y109)),1,0)</f>
        <v/>
      </c>
      <c r="B3609">
        <f>B3608+A3609</f>
        <v/>
      </c>
      <c r="C3609">
        <f>IF(3606&gt;$B$4503,"",MATCH(3606-0.5,$B$3:$B$4503,1))</f>
        <v/>
      </c>
      <c r="D3609">
        <f>"Privileges reappointment – "&amp;IF(LEN(INDEX('Providers'!$A$4:$A$503,106))=0,"",INDEX('Providers'!$A$4:$A$503,106))</f>
        <v/>
      </c>
      <c r="E3609">
        <f>IF(ISNUMBER(INDEX('Providers'!$Y$4:$Y$503,106)),TEXT(INDEX('Providers'!$Y$4:$Y$503,106),"yyyy-mm-dd"),"")</f>
        <v/>
      </c>
      <c r="F3609">
        <f>"Credentialing"</f>
        <v/>
      </c>
      <c r="G3609">
        <f>""</f>
        <v/>
      </c>
      <c r="H3609">
        <f>"High"</f>
        <v/>
      </c>
      <c r="I3609">
        <f>TRIM(IF(LEN(IF(LEN(INDEX('Providers'!$X$4:$X$503,106))=0,"",INDEX('Providers'!$X$4:$X$503,106)))=0,"","Facility: "&amp;IF(LEN(INDEX('Providers'!$X$4:$X$503,106))=0,"",INDEX('Providers'!$X$4:$X$503,106))&amp;". "))</f>
        <v/>
      </c>
      <c r="J3609">
        <f>IF(LEN(INDEX('Providers'!$AJ$4:$AJ$503,106))=0,"",INDEX('Providers'!$AJ$4:$AJ$503,106))</f>
        <v/>
      </c>
      <c r="K3609">
        <f>IF(LEN(INDEX('Providers'!$AI$4:$AI$503,106))=0,"",INDEX('Providers'!$AI$4:$AI$503,106))</f>
        <v/>
      </c>
    </row>
    <row r="3610">
      <c r="A3610">
        <f>IF(AND(LEN('Providers'!A110)&gt;0,ISNUMBER('Providers'!Y110)),1,0)</f>
        <v/>
      </c>
      <c r="B3610">
        <f>B3609+A3610</f>
        <v/>
      </c>
      <c r="C3610">
        <f>IF(3607&gt;$B$4503,"",MATCH(3607-0.5,$B$3:$B$4503,1))</f>
        <v/>
      </c>
      <c r="D3610">
        <f>"Privileges reappointment – "&amp;IF(LEN(INDEX('Providers'!$A$4:$A$503,107))=0,"",INDEX('Providers'!$A$4:$A$503,107))</f>
        <v/>
      </c>
      <c r="E3610">
        <f>IF(ISNUMBER(INDEX('Providers'!$Y$4:$Y$503,107)),TEXT(INDEX('Providers'!$Y$4:$Y$503,107),"yyyy-mm-dd"),"")</f>
        <v/>
      </c>
      <c r="F3610">
        <f>"Credentialing"</f>
        <v/>
      </c>
      <c r="G3610">
        <f>""</f>
        <v/>
      </c>
      <c r="H3610">
        <f>"High"</f>
        <v/>
      </c>
      <c r="I3610">
        <f>TRIM(IF(LEN(IF(LEN(INDEX('Providers'!$X$4:$X$503,107))=0,"",INDEX('Providers'!$X$4:$X$503,107)))=0,"","Facility: "&amp;IF(LEN(INDEX('Providers'!$X$4:$X$503,107))=0,"",INDEX('Providers'!$X$4:$X$503,107))&amp;". "))</f>
        <v/>
      </c>
      <c r="J3610">
        <f>IF(LEN(INDEX('Providers'!$AJ$4:$AJ$503,107))=0,"",INDEX('Providers'!$AJ$4:$AJ$503,107))</f>
        <v/>
      </c>
      <c r="K3610">
        <f>IF(LEN(INDEX('Providers'!$AI$4:$AI$503,107))=0,"",INDEX('Providers'!$AI$4:$AI$503,107))</f>
        <v/>
      </c>
    </row>
    <row r="3611">
      <c r="A3611">
        <f>IF(AND(LEN('Providers'!A111)&gt;0,ISNUMBER('Providers'!Y111)),1,0)</f>
        <v/>
      </c>
      <c r="B3611">
        <f>B3610+A3611</f>
        <v/>
      </c>
      <c r="C3611">
        <f>IF(3608&gt;$B$4503,"",MATCH(3608-0.5,$B$3:$B$4503,1))</f>
        <v/>
      </c>
      <c r="D3611">
        <f>"Privileges reappointment – "&amp;IF(LEN(INDEX('Providers'!$A$4:$A$503,108))=0,"",INDEX('Providers'!$A$4:$A$503,108))</f>
        <v/>
      </c>
      <c r="E3611">
        <f>IF(ISNUMBER(INDEX('Providers'!$Y$4:$Y$503,108)),TEXT(INDEX('Providers'!$Y$4:$Y$503,108),"yyyy-mm-dd"),"")</f>
        <v/>
      </c>
      <c r="F3611">
        <f>"Credentialing"</f>
        <v/>
      </c>
      <c r="G3611">
        <f>""</f>
        <v/>
      </c>
      <c r="H3611">
        <f>"High"</f>
        <v/>
      </c>
      <c r="I3611">
        <f>TRIM(IF(LEN(IF(LEN(INDEX('Providers'!$X$4:$X$503,108))=0,"",INDEX('Providers'!$X$4:$X$503,108)))=0,"","Facility: "&amp;IF(LEN(INDEX('Providers'!$X$4:$X$503,108))=0,"",INDEX('Providers'!$X$4:$X$503,108))&amp;". "))</f>
        <v/>
      </c>
      <c r="J3611">
        <f>IF(LEN(INDEX('Providers'!$AJ$4:$AJ$503,108))=0,"",INDEX('Providers'!$AJ$4:$AJ$503,108))</f>
        <v/>
      </c>
      <c r="K3611">
        <f>IF(LEN(INDEX('Providers'!$AI$4:$AI$503,108))=0,"",INDEX('Providers'!$AI$4:$AI$503,108))</f>
        <v/>
      </c>
    </row>
    <row r="3612">
      <c r="A3612">
        <f>IF(AND(LEN('Providers'!A112)&gt;0,ISNUMBER('Providers'!Y112)),1,0)</f>
        <v/>
      </c>
      <c r="B3612">
        <f>B3611+A3612</f>
        <v/>
      </c>
      <c r="C3612">
        <f>IF(3609&gt;$B$4503,"",MATCH(3609-0.5,$B$3:$B$4503,1))</f>
        <v/>
      </c>
      <c r="D3612">
        <f>"Privileges reappointment – "&amp;IF(LEN(INDEX('Providers'!$A$4:$A$503,109))=0,"",INDEX('Providers'!$A$4:$A$503,109))</f>
        <v/>
      </c>
      <c r="E3612">
        <f>IF(ISNUMBER(INDEX('Providers'!$Y$4:$Y$503,109)),TEXT(INDEX('Providers'!$Y$4:$Y$503,109),"yyyy-mm-dd"),"")</f>
        <v/>
      </c>
      <c r="F3612">
        <f>"Credentialing"</f>
        <v/>
      </c>
      <c r="G3612">
        <f>""</f>
        <v/>
      </c>
      <c r="H3612">
        <f>"High"</f>
        <v/>
      </c>
      <c r="I3612">
        <f>TRIM(IF(LEN(IF(LEN(INDEX('Providers'!$X$4:$X$503,109))=0,"",INDEX('Providers'!$X$4:$X$503,109)))=0,"","Facility: "&amp;IF(LEN(INDEX('Providers'!$X$4:$X$503,109))=0,"",INDEX('Providers'!$X$4:$X$503,109))&amp;". "))</f>
        <v/>
      </c>
      <c r="J3612">
        <f>IF(LEN(INDEX('Providers'!$AJ$4:$AJ$503,109))=0,"",INDEX('Providers'!$AJ$4:$AJ$503,109))</f>
        <v/>
      </c>
      <c r="K3612">
        <f>IF(LEN(INDEX('Providers'!$AI$4:$AI$503,109))=0,"",INDEX('Providers'!$AI$4:$AI$503,109))</f>
        <v/>
      </c>
    </row>
    <row r="3613">
      <c r="A3613">
        <f>IF(AND(LEN('Providers'!A113)&gt;0,ISNUMBER('Providers'!Y113)),1,0)</f>
        <v/>
      </c>
      <c r="B3613">
        <f>B3612+A3613</f>
        <v/>
      </c>
      <c r="C3613">
        <f>IF(3610&gt;$B$4503,"",MATCH(3610-0.5,$B$3:$B$4503,1))</f>
        <v/>
      </c>
      <c r="D3613">
        <f>"Privileges reappointment – "&amp;IF(LEN(INDEX('Providers'!$A$4:$A$503,110))=0,"",INDEX('Providers'!$A$4:$A$503,110))</f>
        <v/>
      </c>
      <c r="E3613">
        <f>IF(ISNUMBER(INDEX('Providers'!$Y$4:$Y$503,110)),TEXT(INDEX('Providers'!$Y$4:$Y$503,110),"yyyy-mm-dd"),"")</f>
        <v/>
      </c>
      <c r="F3613">
        <f>"Credentialing"</f>
        <v/>
      </c>
      <c r="G3613">
        <f>""</f>
        <v/>
      </c>
      <c r="H3613">
        <f>"High"</f>
        <v/>
      </c>
      <c r="I3613">
        <f>TRIM(IF(LEN(IF(LEN(INDEX('Providers'!$X$4:$X$503,110))=0,"",INDEX('Providers'!$X$4:$X$503,110)))=0,"","Facility: "&amp;IF(LEN(INDEX('Providers'!$X$4:$X$503,110))=0,"",INDEX('Providers'!$X$4:$X$503,110))&amp;". "))</f>
        <v/>
      </c>
      <c r="J3613">
        <f>IF(LEN(INDEX('Providers'!$AJ$4:$AJ$503,110))=0,"",INDEX('Providers'!$AJ$4:$AJ$503,110))</f>
        <v/>
      </c>
      <c r="K3613">
        <f>IF(LEN(INDEX('Providers'!$AI$4:$AI$503,110))=0,"",INDEX('Providers'!$AI$4:$AI$503,110))</f>
        <v/>
      </c>
    </row>
    <row r="3614">
      <c r="A3614">
        <f>IF(AND(LEN('Providers'!A114)&gt;0,ISNUMBER('Providers'!Y114)),1,0)</f>
        <v/>
      </c>
      <c r="B3614">
        <f>B3613+A3614</f>
        <v/>
      </c>
      <c r="C3614">
        <f>IF(3611&gt;$B$4503,"",MATCH(3611-0.5,$B$3:$B$4503,1))</f>
        <v/>
      </c>
      <c r="D3614">
        <f>"Privileges reappointment – "&amp;IF(LEN(INDEX('Providers'!$A$4:$A$503,111))=0,"",INDEX('Providers'!$A$4:$A$503,111))</f>
        <v/>
      </c>
      <c r="E3614">
        <f>IF(ISNUMBER(INDEX('Providers'!$Y$4:$Y$503,111)),TEXT(INDEX('Providers'!$Y$4:$Y$503,111),"yyyy-mm-dd"),"")</f>
        <v/>
      </c>
      <c r="F3614">
        <f>"Credentialing"</f>
        <v/>
      </c>
      <c r="G3614">
        <f>""</f>
        <v/>
      </c>
      <c r="H3614">
        <f>"High"</f>
        <v/>
      </c>
      <c r="I3614">
        <f>TRIM(IF(LEN(IF(LEN(INDEX('Providers'!$X$4:$X$503,111))=0,"",INDEX('Providers'!$X$4:$X$503,111)))=0,"","Facility: "&amp;IF(LEN(INDEX('Providers'!$X$4:$X$503,111))=0,"",INDEX('Providers'!$X$4:$X$503,111))&amp;". "))</f>
        <v/>
      </c>
      <c r="J3614">
        <f>IF(LEN(INDEX('Providers'!$AJ$4:$AJ$503,111))=0,"",INDEX('Providers'!$AJ$4:$AJ$503,111))</f>
        <v/>
      </c>
      <c r="K3614">
        <f>IF(LEN(INDEX('Providers'!$AI$4:$AI$503,111))=0,"",INDEX('Providers'!$AI$4:$AI$503,111))</f>
        <v/>
      </c>
    </row>
    <row r="3615">
      <c r="A3615">
        <f>IF(AND(LEN('Providers'!A115)&gt;0,ISNUMBER('Providers'!Y115)),1,0)</f>
        <v/>
      </c>
      <c r="B3615">
        <f>B3614+A3615</f>
        <v/>
      </c>
      <c r="C3615">
        <f>IF(3612&gt;$B$4503,"",MATCH(3612-0.5,$B$3:$B$4503,1))</f>
        <v/>
      </c>
      <c r="D3615">
        <f>"Privileges reappointment – "&amp;IF(LEN(INDEX('Providers'!$A$4:$A$503,112))=0,"",INDEX('Providers'!$A$4:$A$503,112))</f>
        <v/>
      </c>
      <c r="E3615">
        <f>IF(ISNUMBER(INDEX('Providers'!$Y$4:$Y$503,112)),TEXT(INDEX('Providers'!$Y$4:$Y$503,112),"yyyy-mm-dd"),"")</f>
        <v/>
      </c>
      <c r="F3615">
        <f>"Credentialing"</f>
        <v/>
      </c>
      <c r="G3615">
        <f>""</f>
        <v/>
      </c>
      <c r="H3615">
        <f>"High"</f>
        <v/>
      </c>
      <c r="I3615">
        <f>TRIM(IF(LEN(IF(LEN(INDEX('Providers'!$X$4:$X$503,112))=0,"",INDEX('Providers'!$X$4:$X$503,112)))=0,"","Facility: "&amp;IF(LEN(INDEX('Providers'!$X$4:$X$503,112))=0,"",INDEX('Providers'!$X$4:$X$503,112))&amp;". "))</f>
        <v/>
      </c>
      <c r="J3615">
        <f>IF(LEN(INDEX('Providers'!$AJ$4:$AJ$503,112))=0,"",INDEX('Providers'!$AJ$4:$AJ$503,112))</f>
        <v/>
      </c>
      <c r="K3615">
        <f>IF(LEN(INDEX('Providers'!$AI$4:$AI$503,112))=0,"",INDEX('Providers'!$AI$4:$AI$503,112))</f>
        <v/>
      </c>
    </row>
    <row r="3616">
      <c r="A3616">
        <f>IF(AND(LEN('Providers'!A116)&gt;0,ISNUMBER('Providers'!Y116)),1,0)</f>
        <v/>
      </c>
      <c r="B3616">
        <f>B3615+A3616</f>
        <v/>
      </c>
      <c r="C3616">
        <f>IF(3613&gt;$B$4503,"",MATCH(3613-0.5,$B$3:$B$4503,1))</f>
        <v/>
      </c>
      <c r="D3616">
        <f>"Privileges reappointment – "&amp;IF(LEN(INDEX('Providers'!$A$4:$A$503,113))=0,"",INDEX('Providers'!$A$4:$A$503,113))</f>
        <v/>
      </c>
      <c r="E3616">
        <f>IF(ISNUMBER(INDEX('Providers'!$Y$4:$Y$503,113)),TEXT(INDEX('Providers'!$Y$4:$Y$503,113),"yyyy-mm-dd"),"")</f>
        <v/>
      </c>
      <c r="F3616">
        <f>"Credentialing"</f>
        <v/>
      </c>
      <c r="G3616">
        <f>""</f>
        <v/>
      </c>
      <c r="H3616">
        <f>"High"</f>
        <v/>
      </c>
      <c r="I3616">
        <f>TRIM(IF(LEN(IF(LEN(INDEX('Providers'!$X$4:$X$503,113))=0,"",INDEX('Providers'!$X$4:$X$503,113)))=0,"","Facility: "&amp;IF(LEN(INDEX('Providers'!$X$4:$X$503,113))=0,"",INDEX('Providers'!$X$4:$X$503,113))&amp;". "))</f>
        <v/>
      </c>
      <c r="J3616">
        <f>IF(LEN(INDEX('Providers'!$AJ$4:$AJ$503,113))=0,"",INDEX('Providers'!$AJ$4:$AJ$503,113))</f>
        <v/>
      </c>
      <c r="K3616">
        <f>IF(LEN(INDEX('Providers'!$AI$4:$AI$503,113))=0,"",INDEX('Providers'!$AI$4:$AI$503,113))</f>
        <v/>
      </c>
    </row>
    <row r="3617">
      <c r="A3617">
        <f>IF(AND(LEN('Providers'!A117)&gt;0,ISNUMBER('Providers'!Y117)),1,0)</f>
        <v/>
      </c>
      <c r="B3617">
        <f>B3616+A3617</f>
        <v/>
      </c>
      <c r="C3617">
        <f>IF(3614&gt;$B$4503,"",MATCH(3614-0.5,$B$3:$B$4503,1))</f>
        <v/>
      </c>
      <c r="D3617">
        <f>"Privileges reappointment – "&amp;IF(LEN(INDEX('Providers'!$A$4:$A$503,114))=0,"",INDEX('Providers'!$A$4:$A$503,114))</f>
        <v/>
      </c>
      <c r="E3617">
        <f>IF(ISNUMBER(INDEX('Providers'!$Y$4:$Y$503,114)),TEXT(INDEX('Providers'!$Y$4:$Y$503,114),"yyyy-mm-dd"),"")</f>
        <v/>
      </c>
      <c r="F3617">
        <f>"Credentialing"</f>
        <v/>
      </c>
      <c r="G3617">
        <f>""</f>
        <v/>
      </c>
      <c r="H3617">
        <f>"High"</f>
        <v/>
      </c>
      <c r="I3617">
        <f>TRIM(IF(LEN(IF(LEN(INDEX('Providers'!$X$4:$X$503,114))=0,"",INDEX('Providers'!$X$4:$X$503,114)))=0,"","Facility: "&amp;IF(LEN(INDEX('Providers'!$X$4:$X$503,114))=0,"",INDEX('Providers'!$X$4:$X$503,114))&amp;". "))</f>
        <v/>
      </c>
      <c r="J3617">
        <f>IF(LEN(INDEX('Providers'!$AJ$4:$AJ$503,114))=0,"",INDEX('Providers'!$AJ$4:$AJ$503,114))</f>
        <v/>
      </c>
      <c r="K3617">
        <f>IF(LEN(INDEX('Providers'!$AI$4:$AI$503,114))=0,"",INDEX('Providers'!$AI$4:$AI$503,114))</f>
        <v/>
      </c>
    </row>
    <row r="3618">
      <c r="A3618">
        <f>IF(AND(LEN('Providers'!A118)&gt;0,ISNUMBER('Providers'!Y118)),1,0)</f>
        <v/>
      </c>
      <c r="B3618">
        <f>B3617+A3618</f>
        <v/>
      </c>
      <c r="C3618">
        <f>IF(3615&gt;$B$4503,"",MATCH(3615-0.5,$B$3:$B$4503,1))</f>
        <v/>
      </c>
      <c r="D3618">
        <f>"Privileges reappointment – "&amp;IF(LEN(INDEX('Providers'!$A$4:$A$503,115))=0,"",INDEX('Providers'!$A$4:$A$503,115))</f>
        <v/>
      </c>
      <c r="E3618">
        <f>IF(ISNUMBER(INDEX('Providers'!$Y$4:$Y$503,115)),TEXT(INDEX('Providers'!$Y$4:$Y$503,115),"yyyy-mm-dd"),"")</f>
        <v/>
      </c>
      <c r="F3618">
        <f>"Credentialing"</f>
        <v/>
      </c>
      <c r="G3618">
        <f>""</f>
        <v/>
      </c>
      <c r="H3618">
        <f>"High"</f>
        <v/>
      </c>
      <c r="I3618">
        <f>TRIM(IF(LEN(IF(LEN(INDEX('Providers'!$X$4:$X$503,115))=0,"",INDEX('Providers'!$X$4:$X$503,115)))=0,"","Facility: "&amp;IF(LEN(INDEX('Providers'!$X$4:$X$503,115))=0,"",INDEX('Providers'!$X$4:$X$503,115))&amp;". "))</f>
        <v/>
      </c>
      <c r="J3618">
        <f>IF(LEN(INDEX('Providers'!$AJ$4:$AJ$503,115))=0,"",INDEX('Providers'!$AJ$4:$AJ$503,115))</f>
        <v/>
      </c>
      <c r="K3618">
        <f>IF(LEN(INDEX('Providers'!$AI$4:$AI$503,115))=0,"",INDEX('Providers'!$AI$4:$AI$503,115))</f>
        <v/>
      </c>
    </row>
    <row r="3619">
      <c r="A3619">
        <f>IF(AND(LEN('Providers'!A119)&gt;0,ISNUMBER('Providers'!Y119)),1,0)</f>
        <v/>
      </c>
      <c r="B3619">
        <f>B3618+A3619</f>
        <v/>
      </c>
      <c r="C3619">
        <f>IF(3616&gt;$B$4503,"",MATCH(3616-0.5,$B$3:$B$4503,1))</f>
        <v/>
      </c>
      <c r="D3619">
        <f>"Privileges reappointment – "&amp;IF(LEN(INDEX('Providers'!$A$4:$A$503,116))=0,"",INDEX('Providers'!$A$4:$A$503,116))</f>
        <v/>
      </c>
      <c r="E3619">
        <f>IF(ISNUMBER(INDEX('Providers'!$Y$4:$Y$503,116)),TEXT(INDEX('Providers'!$Y$4:$Y$503,116),"yyyy-mm-dd"),"")</f>
        <v/>
      </c>
      <c r="F3619">
        <f>"Credentialing"</f>
        <v/>
      </c>
      <c r="G3619">
        <f>""</f>
        <v/>
      </c>
      <c r="H3619">
        <f>"High"</f>
        <v/>
      </c>
      <c r="I3619">
        <f>TRIM(IF(LEN(IF(LEN(INDEX('Providers'!$X$4:$X$503,116))=0,"",INDEX('Providers'!$X$4:$X$503,116)))=0,"","Facility: "&amp;IF(LEN(INDEX('Providers'!$X$4:$X$503,116))=0,"",INDEX('Providers'!$X$4:$X$503,116))&amp;". "))</f>
        <v/>
      </c>
      <c r="J3619">
        <f>IF(LEN(INDEX('Providers'!$AJ$4:$AJ$503,116))=0,"",INDEX('Providers'!$AJ$4:$AJ$503,116))</f>
        <v/>
      </c>
      <c r="K3619">
        <f>IF(LEN(INDEX('Providers'!$AI$4:$AI$503,116))=0,"",INDEX('Providers'!$AI$4:$AI$503,116))</f>
        <v/>
      </c>
    </row>
    <row r="3620">
      <c r="A3620">
        <f>IF(AND(LEN('Providers'!A120)&gt;0,ISNUMBER('Providers'!Y120)),1,0)</f>
        <v/>
      </c>
      <c r="B3620">
        <f>B3619+A3620</f>
        <v/>
      </c>
      <c r="C3620">
        <f>IF(3617&gt;$B$4503,"",MATCH(3617-0.5,$B$3:$B$4503,1))</f>
        <v/>
      </c>
      <c r="D3620">
        <f>"Privileges reappointment – "&amp;IF(LEN(INDEX('Providers'!$A$4:$A$503,117))=0,"",INDEX('Providers'!$A$4:$A$503,117))</f>
        <v/>
      </c>
      <c r="E3620">
        <f>IF(ISNUMBER(INDEX('Providers'!$Y$4:$Y$503,117)),TEXT(INDEX('Providers'!$Y$4:$Y$503,117),"yyyy-mm-dd"),"")</f>
        <v/>
      </c>
      <c r="F3620">
        <f>"Credentialing"</f>
        <v/>
      </c>
      <c r="G3620">
        <f>""</f>
        <v/>
      </c>
      <c r="H3620">
        <f>"High"</f>
        <v/>
      </c>
      <c r="I3620">
        <f>TRIM(IF(LEN(IF(LEN(INDEX('Providers'!$X$4:$X$503,117))=0,"",INDEX('Providers'!$X$4:$X$503,117)))=0,"","Facility: "&amp;IF(LEN(INDEX('Providers'!$X$4:$X$503,117))=0,"",INDEX('Providers'!$X$4:$X$503,117))&amp;". "))</f>
        <v/>
      </c>
      <c r="J3620">
        <f>IF(LEN(INDEX('Providers'!$AJ$4:$AJ$503,117))=0,"",INDEX('Providers'!$AJ$4:$AJ$503,117))</f>
        <v/>
      </c>
      <c r="K3620">
        <f>IF(LEN(INDEX('Providers'!$AI$4:$AI$503,117))=0,"",INDEX('Providers'!$AI$4:$AI$503,117))</f>
        <v/>
      </c>
    </row>
    <row r="3621">
      <c r="A3621">
        <f>IF(AND(LEN('Providers'!A121)&gt;0,ISNUMBER('Providers'!Y121)),1,0)</f>
        <v/>
      </c>
      <c r="B3621">
        <f>B3620+A3621</f>
        <v/>
      </c>
      <c r="C3621">
        <f>IF(3618&gt;$B$4503,"",MATCH(3618-0.5,$B$3:$B$4503,1))</f>
        <v/>
      </c>
      <c r="D3621">
        <f>"Privileges reappointment – "&amp;IF(LEN(INDEX('Providers'!$A$4:$A$503,118))=0,"",INDEX('Providers'!$A$4:$A$503,118))</f>
        <v/>
      </c>
      <c r="E3621">
        <f>IF(ISNUMBER(INDEX('Providers'!$Y$4:$Y$503,118)),TEXT(INDEX('Providers'!$Y$4:$Y$503,118),"yyyy-mm-dd"),"")</f>
        <v/>
      </c>
      <c r="F3621">
        <f>"Credentialing"</f>
        <v/>
      </c>
      <c r="G3621">
        <f>""</f>
        <v/>
      </c>
      <c r="H3621">
        <f>"High"</f>
        <v/>
      </c>
      <c r="I3621">
        <f>TRIM(IF(LEN(IF(LEN(INDEX('Providers'!$X$4:$X$503,118))=0,"",INDEX('Providers'!$X$4:$X$503,118)))=0,"","Facility: "&amp;IF(LEN(INDEX('Providers'!$X$4:$X$503,118))=0,"",INDEX('Providers'!$X$4:$X$503,118))&amp;". "))</f>
        <v/>
      </c>
      <c r="J3621">
        <f>IF(LEN(INDEX('Providers'!$AJ$4:$AJ$503,118))=0,"",INDEX('Providers'!$AJ$4:$AJ$503,118))</f>
        <v/>
      </c>
      <c r="K3621">
        <f>IF(LEN(INDEX('Providers'!$AI$4:$AI$503,118))=0,"",INDEX('Providers'!$AI$4:$AI$503,118))</f>
        <v/>
      </c>
    </row>
    <row r="3622">
      <c r="A3622">
        <f>IF(AND(LEN('Providers'!A122)&gt;0,ISNUMBER('Providers'!Y122)),1,0)</f>
        <v/>
      </c>
      <c r="B3622">
        <f>B3621+A3622</f>
        <v/>
      </c>
      <c r="C3622">
        <f>IF(3619&gt;$B$4503,"",MATCH(3619-0.5,$B$3:$B$4503,1))</f>
        <v/>
      </c>
      <c r="D3622">
        <f>"Privileges reappointment – "&amp;IF(LEN(INDEX('Providers'!$A$4:$A$503,119))=0,"",INDEX('Providers'!$A$4:$A$503,119))</f>
        <v/>
      </c>
      <c r="E3622">
        <f>IF(ISNUMBER(INDEX('Providers'!$Y$4:$Y$503,119)),TEXT(INDEX('Providers'!$Y$4:$Y$503,119),"yyyy-mm-dd"),"")</f>
        <v/>
      </c>
      <c r="F3622">
        <f>"Credentialing"</f>
        <v/>
      </c>
      <c r="G3622">
        <f>""</f>
        <v/>
      </c>
      <c r="H3622">
        <f>"High"</f>
        <v/>
      </c>
      <c r="I3622">
        <f>TRIM(IF(LEN(IF(LEN(INDEX('Providers'!$X$4:$X$503,119))=0,"",INDEX('Providers'!$X$4:$X$503,119)))=0,"","Facility: "&amp;IF(LEN(INDEX('Providers'!$X$4:$X$503,119))=0,"",INDEX('Providers'!$X$4:$X$503,119))&amp;". "))</f>
        <v/>
      </c>
      <c r="J3622">
        <f>IF(LEN(INDEX('Providers'!$AJ$4:$AJ$503,119))=0,"",INDEX('Providers'!$AJ$4:$AJ$503,119))</f>
        <v/>
      </c>
      <c r="K3622">
        <f>IF(LEN(INDEX('Providers'!$AI$4:$AI$503,119))=0,"",INDEX('Providers'!$AI$4:$AI$503,119))</f>
        <v/>
      </c>
    </row>
    <row r="3623">
      <c r="A3623">
        <f>IF(AND(LEN('Providers'!A123)&gt;0,ISNUMBER('Providers'!Y123)),1,0)</f>
        <v/>
      </c>
      <c r="B3623">
        <f>B3622+A3623</f>
        <v/>
      </c>
      <c r="C3623">
        <f>IF(3620&gt;$B$4503,"",MATCH(3620-0.5,$B$3:$B$4503,1))</f>
        <v/>
      </c>
      <c r="D3623">
        <f>"Privileges reappointment – "&amp;IF(LEN(INDEX('Providers'!$A$4:$A$503,120))=0,"",INDEX('Providers'!$A$4:$A$503,120))</f>
        <v/>
      </c>
      <c r="E3623">
        <f>IF(ISNUMBER(INDEX('Providers'!$Y$4:$Y$503,120)),TEXT(INDEX('Providers'!$Y$4:$Y$503,120),"yyyy-mm-dd"),"")</f>
        <v/>
      </c>
      <c r="F3623">
        <f>"Credentialing"</f>
        <v/>
      </c>
      <c r="G3623">
        <f>""</f>
        <v/>
      </c>
      <c r="H3623">
        <f>"High"</f>
        <v/>
      </c>
      <c r="I3623">
        <f>TRIM(IF(LEN(IF(LEN(INDEX('Providers'!$X$4:$X$503,120))=0,"",INDEX('Providers'!$X$4:$X$503,120)))=0,"","Facility: "&amp;IF(LEN(INDEX('Providers'!$X$4:$X$503,120))=0,"",INDEX('Providers'!$X$4:$X$503,120))&amp;". "))</f>
        <v/>
      </c>
      <c r="J3623">
        <f>IF(LEN(INDEX('Providers'!$AJ$4:$AJ$503,120))=0,"",INDEX('Providers'!$AJ$4:$AJ$503,120))</f>
        <v/>
      </c>
      <c r="K3623">
        <f>IF(LEN(INDEX('Providers'!$AI$4:$AI$503,120))=0,"",INDEX('Providers'!$AI$4:$AI$503,120))</f>
        <v/>
      </c>
    </row>
    <row r="3624">
      <c r="A3624">
        <f>IF(AND(LEN('Providers'!A124)&gt;0,ISNUMBER('Providers'!Y124)),1,0)</f>
        <v/>
      </c>
      <c r="B3624">
        <f>B3623+A3624</f>
        <v/>
      </c>
      <c r="C3624">
        <f>IF(3621&gt;$B$4503,"",MATCH(3621-0.5,$B$3:$B$4503,1))</f>
        <v/>
      </c>
      <c r="D3624">
        <f>"Privileges reappointment – "&amp;IF(LEN(INDEX('Providers'!$A$4:$A$503,121))=0,"",INDEX('Providers'!$A$4:$A$503,121))</f>
        <v/>
      </c>
      <c r="E3624">
        <f>IF(ISNUMBER(INDEX('Providers'!$Y$4:$Y$503,121)),TEXT(INDEX('Providers'!$Y$4:$Y$503,121),"yyyy-mm-dd"),"")</f>
        <v/>
      </c>
      <c r="F3624">
        <f>"Credentialing"</f>
        <v/>
      </c>
      <c r="G3624">
        <f>""</f>
        <v/>
      </c>
      <c r="H3624">
        <f>"High"</f>
        <v/>
      </c>
      <c r="I3624">
        <f>TRIM(IF(LEN(IF(LEN(INDEX('Providers'!$X$4:$X$503,121))=0,"",INDEX('Providers'!$X$4:$X$503,121)))=0,"","Facility: "&amp;IF(LEN(INDEX('Providers'!$X$4:$X$503,121))=0,"",INDEX('Providers'!$X$4:$X$503,121))&amp;". "))</f>
        <v/>
      </c>
      <c r="J3624">
        <f>IF(LEN(INDEX('Providers'!$AJ$4:$AJ$503,121))=0,"",INDEX('Providers'!$AJ$4:$AJ$503,121))</f>
        <v/>
      </c>
      <c r="K3624">
        <f>IF(LEN(INDEX('Providers'!$AI$4:$AI$503,121))=0,"",INDEX('Providers'!$AI$4:$AI$503,121))</f>
        <v/>
      </c>
    </row>
    <row r="3625">
      <c r="A3625">
        <f>IF(AND(LEN('Providers'!A125)&gt;0,ISNUMBER('Providers'!Y125)),1,0)</f>
        <v/>
      </c>
      <c r="B3625">
        <f>B3624+A3625</f>
        <v/>
      </c>
      <c r="C3625">
        <f>IF(3622&gt;$B$4503,"",MATCH(3622-0.5,$B$3:$B$4503,1))</f>
        <v/>
      </c>
      <c r="D3625">
        <f>"Privileges reappointment – "&amp;IF(LEN(INDEX('Providers'!$A$4:$A$503,122))=0,"",INDEX('Providers'!$A$4:$A$503,122))</f>
        <v/>
      </c>
      <c r="E3625">
        <f>IF(ISNUMBER(INDEX('Providers'!$Y$4:$Y$503,122)),TEXT(INDEX('Providers'!$Y$4:$Y$503,122),"yyyy-mm-dd"),"")</f>
        <v/>
      </c>
      <c r="F3625">
        <f>"Credentialing"</f>
        <v/>
      </c>
      <c r="G3625">
        <f>""</f>
        <v/>
      </c>
      <c r="H3625">
        <f>"High"</f>
        <v/>
      </c>
      <c r="I3625">
        <f>TRIM(IF(LEN(IF(LEN(INDEX('Providers'!$X$4:$X$503,122))=0,"",INDEX('Providers'!$X$4:$X$503,122)))=0,"","Facility: "&amp;IF(LEN(INDEX('Providers'!$X$4:$X$503,122))=0,"",INDEX('Providers'!$X$4:$X$503,122))&amp;". "))</f>
        <v/>
      </c>
      <c r="J3625">
        <f>IF(LEN(INDEX('Providers'!$AJ$4:$AJ$503,122))=0,"",INDEX('Providers'!$AJ$4:$AJ$503,122))</f>
        <v/>
      </c>
      <c r="K3625">
        <f>IF(LEN(INDEX('Providers'!$AI$4:$AI$503,122))=0,"",INDEX('Providers'!$AI$4:$AI$503,122))</f>
        <v/>
      </c>
    </row>
    <row r="3626">
      <c r="A3626">
        <f>IF(AND(LEN('Providers'!A126)&gt;0,ISNUMBER('Providers'!Y126)),1,0)</f>
        <v/>
      </c>
      <c r="B3626">
        <f>B3625+A3626</f>
        <v/>
      </c>
      <c r="C3626">
        <f>IF(3623&gt;$B$4503,"",MATCH(3623-0.5,$B$3:$B$4503,1))</f>
        <v/>
      </c>
      <c r="D3626">
        <f>"Privileges reappointment – "&amp;IF(LEN(INDEX('Providers'!$A$4:$A$503,123))=0,"",INDEX('Providers'!$A$4:$A$503,123))</f>
        <v/>
      </c>
      <c r="E3626">
        <f>IF(ISNUMBER(INDEX('Providers'!$Y$4:$Y$503,123)),TEXT(INDEX('Providers'!$Y$4:$Y$503,123),"yyyy-mm-dd"),"")</f>
        <v/>
      </c>
      <c r="F3626">
        <f>"Credentialing"</f>
        <v/>
      </c>
      <c r="G3626">
        <f>""</f>
        <v/>
      </c>
      <c r="H3626">
        <f>"High"</f>
        <v/>
      </c>
      <c r="I3626">
        <f>TRIM(IF(LEN(IF(LEN(INDEX('Providers'!$X$4:$X$503,123))=0,"",INDEX('Providers'!$X$4:$X$503,123)))=0,"","Facility: "&amp;IF(LEN(INDEX('Providers'!$X$4:$X$503,123))=0,"",INDEX('Providers'!$X$4:$X$503,123))&amp;". "))</f>
        <v/>
      </c>
      <c r="J3626">
        <f>IF(LEN(INDEX('Providers'!$AJ$4:$AJ$503,123))=0,"",INDEX('Providers'!$AJ$4:$AJ$503,123))</f>
        <v/>
      </c>
      <c r="K3626">
        <f>IF(LEN(INDEX('Providers'!$AI$4:$AI$503,123))=0,"",INDEX('Providers'!$AI$4:$AI$503,123))</f>
        <v/>
      </c>
    </row>
    <row r="3627">
      <c r="A3627">
        <f>IF(AND(LEN('Providers'!A127)&gt;0,ISNUMBER('Providers'!Y127)),1,0)</f>
        <v/>
      </c>
      <c r="B3627">
        <f>B3626+A3627</f>
        <v/>
      </c>
      <c r="C3627">
        <f>IF(3624&gt;$B$4503,"",MATCH(3624-0.5,$B$3:$B$4503,1))</f>
        <v/>
      </c>
      <c r="D3627">
        <f>"Privileges reappointment – "&amp;IF(LEN(INDEX('Providers'!$A$4:$A$503,124))=0,"",INDEX('Providers'!$A$4:$A$503,124))</f>
        <v/>
      </c>
      <c r="E3627">
        <f>IF(ISNUMBER(INDEX('Providers'!$Y$4:$Y$503,124)),TEXT(INDEX('Providers'!$Y$4:$Y$503,124),"yyyy-mm-dd"),"")</f>
        <v/>
      </c>
      <c r="F3627">
        <f>"Credentialing"</f>
        <v/>
      </c>
      <c r="G3627">
        <f>""</f>
        <v/>
      </c>
      <c r="H3627">
        <f>"High"</f>
        <v/>
      </c>
      <c r="I3627">
        <f>TRIM(IF(LEN(IF(LEN(INDEX('Providers'!$X$4:$X$503,124))=0,"",INDEX('Providers'!$X$4:$X$503,124)))=0,"","Facility: "&amp;IF(LEN(INDEX('Providers'!$X$4:$X$503,124))=0,"",INDEX('Providers'!$X$4:$X$503,124))&amp;". "))</f>
        <v/>
      </c>
      <c r="J3627">
        <f>IF(LEN(INDEX('Providers'!$AJ$4:$AJ$503,124))=0,"",INDEX('Providers'!$AJ$4:$AJ$503,124))</f>
        <v/>
      </c>
      <c r="K3627">
        <f>IF(LEN(INDEX('Providers'!$AI$4:$AI$503,124))=0,"",INDEX('Providers'!$AI$4:$AI$503,124))</f>
        <v/>
      </c>
    </row>
    <row r="3628">
      <c r="A3628">
        <f>IF(AND(LEN('Providers'!A128)&gt;0,ISNUMBER('Providers'!Y128)),1,0)</f>
        <v/>
      </c>
      <c r="B3628">
        <f>B3627+A3628</f>
        <v/>
      </c>
      <c r="C3628">
        <f>IF(3625&gt;$B$4503,"",MATCH(3625-0.5,$B$3:$B$4503,1))</f>
        <v/>
      </c>
      <c r="D3628">
        <f>"Privileges reappointment – "&amp;IF(LEN(INDEX('Providers'!$A$4:$A$503,125))=0,"",INDEX('Providers'!$A$4:$A$503,125))</f>
        <v/>
      </c>
      <c r="E3628">
        <f>IF(ISNUMBER(INDEX('Providers'!$Y$4:$Y$503,125)),TEXT(INDEX('Providers'!$Y$4:$Y$503,125),"yyyy-mm-dd"),"")</f>
        <v/>
      </c>
      <c r="F3628">
        <f>"Credentialing"</f>
        <v/>
      </c>
      <c r="G3628">
        <f>""</f>
        <v/>
      </c>
      <c r="H3628">
        <f>"High"</f>
        <v/>
      </c>
      <c r="I3628">
        <f>TRIM(IF(LEN(IF(LEN(INDEX('Providers'!$X$4:$X$503,125))=0,"",INDEX('Providers'!$X$4:$X$503,125)))=0,"","Facility: "&amp;IF(LEN(INDEX('Providers'!$X$4:$X$503,125))=0,"",INDEX('Providers'!$X$4:$X$503,125))&amp;". "))</f>
        <v/>
      </c>
      <c r="J3628">
        <f>IF(LEN(INDEX('Providers'!$AJ$4:$AJ$503,125))=0,"",INDEX('Providers'!$AJ$4:$AJ$503,125))</f>
        <v/>
      </c>
      <c r="K3628">
        <f>IF(LEN(INDEX('Providers'!$AI$4:$AI$503,125))=0,"",INDEX('Providers'!$AI$4:$AI$503,125))</f>
        <v/>
      </c>
    </row>
    <row r="3629">
      <c r="A3629">
        <f>IF(AND(LEN('Providers'!A129)&gt;0,ISNUMBER('Providers'!Y129)),1,0)</f>
        <v/>
      </c>
      <c r="B3629">
        <f>B3628+A3629</f>
        <v/>
      </c>
      <c r="C3629">
        <f>IF(3626&gt;$B$4503,"",MATCH(3626-0.5,$B$3:$B$4503,1))</f>
        <v/>
      </c>
      <c r="D3629">
        <f>"Privileges reappointment – "&amp;IF(LEN(INDEX('Providers'!$A$4:$A$503,126))=0,"",INDEX('Providers'!$A$4:$A$503,126))</f>
        <v/>
      </c>
      <c r="E3629">
        <f>IF(ISNUMBER(INDEX('Providers'!$Y$4:$Y$503,126)),TEXT(INDEX('Providers'!$Y$4:$Y$503,126),"yyyy-mm-dd"),"")</f>
        <v/>
      </c>
      <c r="F3629">
        <f>"Credentialing"</f>
        <v/>
      </c>
      <c r="G3629">
        <f>""</f>
        <v/>
      </c>
      <c r="H3629">
        <f>"High"</f>
        <v/>
      </c>
      <c r="I3629">
        <f>TRIM(IF(LEN(IF(LEN(INDEX('Providers'!$X$4:$X$503,126))=0,"",INDEX('Providers'!$X$4:$X$503,126)))=0,"","Facility: "&amp;IF(LEN(INDEX('Providers'!$X$4:$X$503,126))=0,"",INDEX('Providers'!$X$4:$X$503,126))&amp;". "))</f>
        <v/>
      </c>
      <c r="J3629">
        <f>IF(LEN(INDEX('Providers'!$AJ$4:$AJ$503,126))=0,"",INDEX('Providers'!$AJ$4:$AJ$503,126))</f>
        <v/>
      </c>
      <c r="K3629">
        <f>IF(LEN(INDEX('Providers'!$AI$4:$AI$503,126))=0,"",INDEX('Providers'!$AI$4:$AI$503,126))</f>
        <v/>
      </c>
    </row>
    <row r="3630">
      <c r="A3630">
        <f>IF(AND(LEN('Providers'!A130)&gt;0,ISNUMBER('Providers'!Y130)),1,0)</f>
        <v/>
      </c>
      <c r="B3630">
        <f>B3629+A3630</f>
        <v/>
      </c>
      <c r="C3630">
        <f>IF(3627&gt;$B$4503,"",MATCH(3627-0.5,$B$3:$B$4503,1))</f>
        <v/>
      </c>
      <c r="D3630">
        <f>"Privileges reappointment – "&amp;IF(LEN(INDEX('Providers'!$A$4:$A$503,127))=0,"",INDEX('Providers'!$A$4:$A$503,127))</f>
        <v/>
      </c>
      <c r="E3630">
        <f>IF(ISNUMBER(INDEX('Providers'!$Y$4:$Y$503,127)),TEXT(INDEX('Providers'!$Y$4:$Y$503,127),"yyyy-mm-dd"),"")</f>
        <v/>
      </c>
      <c r="F3630">
        <f>"Credentialing"</f>
        <v/>
      </c>
      <c r="G3630">
        <f>""</f>
        <v/>
      </c>
      <c r="H3630">
        <f>"High"</f>
        <v/>
      </c>
      <c r="I3630">
        <f>TRIM(IF(LEN(IF(LEN(INDEX('Providers'!$X$4:$X$503,127))=0,"",INDEX('Providers'!$X$4:$X$503,127)))=0,"","Facility: "&amp;IF(LEN(INDEX('Providers'!$X$4:$X$503,127))=0,"",INDEX('Providers'!$X$4:$X$503,127))&amp;". "))</f>
        <v/>
      </c>
      <c r="J3630">
        <f>IF(LEN(INDEX('Providers'!$AJ$4:$AJ$503,127))=0,"",INDEX('Providers'!$AJ$4:$AJ$503,127))</f>
        <v/>
      </c>
      <c r="K3630">
        <f>IF(LEN(INDEX('Providers'!$AI$4:$AI$503,127))=0,"",INDEX('Providers'!$AI$4:$AI$503,127))</f>
        <v/>
      </c>
    </row>
    <row r="3631">
      <c r="A3631">
        <f>IF(AND(LEN('Providers'!A131)&gt;0,ISNUMBER('Providers'!Y131)),1,0)</f>
        <v/>
      </c>
      <c r="B3631">
        <f>B3630+A3631</f>
        <v/>
      </c>
      <c r="C3631">
        <f>IF(3628&gt;$B$4503,"",MATCH(3628-0.5,$B$3:$B$4503,1))</f>
        <v/>
      </c>
      <c r="D3631">
        <f>"Privileges reappointment – "&amp;IF(LEN(INDEX('Providers'!$A$4:$A$503,128))=0,"",INDEX('Providers'!$A$4:$A$503,128))</f>
        <v/>
      </c>
      <c r="E3631">
        <f>IF(ISNUMBER(INDEX('Providers'!$Y$4:$Y$503,128)),TEXT(INDEX('Providers'!$Y$4:$Y$503,128),"yyyy-mm-dd"),"")</f>
        <v/>
      </c>
      <c r="F3631">
        <f>"Credentialing"</f>
        <v/>
      </c>
      <c r="G3631">
        <f>""</f>
        <v/>
      </c>
      <c r="H3631">
        <f>"High"</f>
        <v/>
      </c>
      <c r="I3631">
        <f>TRIM(IF(LEN(IF(LEN(INDEX('Providers'!$X$4:$X$503,128))=0,"",INDEX('Providers'!$X$4:$X$503,128)))=0,"","Facility: "&amp;IF(LEN(INDEX('Providers'!$X$4:$X$503,128))=0,"",INDEX('Providers'!$X$4:$X$503,128))&amp;". "))</f>
        <v/>
      </c>
      <c r="J3631">
        <f>IF(LEN(INDEX('Providers'!$AJ$4:$AJ$503,128))=0,"",INDEX('Providers'!$AJ$4:$AJ$503,128))</f>
        <v/>
      </c>
      <c r="K3631">
        <f>IF(LEN(INDEX('Providers'!$AI$4:$AI$503,128))=0,"",INDEX('Providers'!$AI$4:$AI$503,128))</f>
        <v/>
      </c>
    </row>
    <row r="3632">
      <c r="A3632">
        <f>IF(AND(LEN('Providers'!A132)&gt;0,ISNUMBER('Providers'!Y132)),1,0)</f>
        <v/>
      </c>
      <c r="B3632">
        <f>B3631+A3632</f>
        <v/>
      </c>
      <c r="C3632">
        <f>IF(3629&gt;$B$4503,"",MATCH(3629-0.5,$B$3:$B$4503,1))</f>
        <v/>
      </c>
      <c r="D3632">
        <f>"Privileges reappointment – "&amp;IF(LEN(INDEX('Providers'!$A$4:$A$503,129))=0,"",INDEX('Providers'!$A$4:$A$503,129))</f>
        <v/>
      </c>
      <c r="E3632">
        <f>IF(ISNUMBER(INDEX('Providers'!$Y$4:$Y$503,129)),TEXT(INDEX('Providers'!$Y$4:$Y$503,129),"yyyy-mm-dd"),"")</f>
        <v/>
      </c>
      <c r="F3632">
        <f>"Credentialing"</f>
        <v/>
      </c>
      <c r="G3632">
        <f>""</f>
        <v/>
      </c>
      <c r="H3632">
        <f>"High"</f>
        <v/>
      </c>
      <c r="I3632">
        <f>TRIM(IF(LEN(IF(LEN(INDEX('Providers'!$X$4:$X$503,129))=0,"",INDEX('Providers'!$X$4:$X$503,129)))=0,"","Facility: "&amp;IF(LEN(INDEX('Providers'!$X$4:$X$503,129))=0,"",INDEX('Providers'!$X$4:$X$503,129))&amp;". "))</f>
        <v/>
      </c>
      <c r="J3632">
        <f>IF(LEN(INDEX('Providers'!$AJ$4:$AJ$503,129))=0,"",INDEX('Providers'!$AJ$4:$AJ$503,129))</f>
        <v/>
      </c>
      <c r="K3632">
        <f>IF(LEN(INDEX('Providers'!$AI$4:$AI$503,129))=0,"",INDEX('Providers'!$AI$4:$AI$503,129))</f>
        <v/>
      </c>
    </row>
    <row r="3633">
      <c r="A3633">
        <f>IF(AND(LEN('Providers'!A133)&gt;0,ISNUMBER('Providers'!Y133)),1,0)</f>
        <v/>
      </c>
      <c r="B3633">
        <f>B3632+A3633</f>
        <v/>
      </c>
      <c r="C3633">
        <f>IF(3630&gt;$B$4503,"",MATCH(3630-0.5,$B$3:$B$4503,1))</f>
        <v/>
      </c>
      <c r="D3633">
        <f>"Privileges reappointment – "&amp;IF(LEN(INDEX('Providers'!$A$4:$A$503,130))=0,"",INDEX('Providers'!$A$4:$A$503,130))</f>
        <v/>
      </c>
      <c r="E3633">
        <f>IF(ISNUMBER(INDEX('Providers'!$Y$4:$Y$503,130)),TEXT(INDEX('Providers'!$Y$4:$Y$503,130),"yyyy-mm-dd"),"")</f>
        <v/>
      </c>
      <c r="F3633">
        <f>"Credentialing"</f>
        <v/>
      </c>
      <c r="G3633">
        <f>""</f>
        <v/>
      </c>
      <c r="H3633">
        <f>"High"</f>
        <v/>
      </c>
      <c r="I3633">
        <f>TRIM(IF(LEN(IF(LEN(INDEX('Providers'!$X$4:$X$503,130))=0,"",INDEX('Providers'!$X$4:$X$503,130)))=0,"","Facility: "&amp;IF(LEN(INDEX('Providers'!$X$4:$X$503,130))=0,"",INDEX('Providers'!$X$4:$X$503,130))&amp;". "))</f>
        <v/>
      </c>
      <c r="J3633">
        <f>IF(LEN(INDEX('Providers'!$AJ$4:$AJ$503,130))=0,"",INDEX('Providers'!$AJ$4:$AJ$503,130))</f>
        <v/>
      </c>
      <c r="K3633">
        <f>IF(LEN(INDEX('Providers'!$AI$4:$AI$503,130))=0,"",INDEX('Providers'!$AI$4:$AI$503,130))</f>
        <v/>
      </c>
    </row>
    <row r="3634">
      <c r="A3634">
        <f>IF(AND(LEN('Providers'!A134)&gt;0,ISNUMBER('Providers'!Y134)),1,0)</f>
        <v/>
      </c>
      <c r="B3634">
        <f>B3633+A3634</f>
        <v/>
      </c>
      <c r="C3634">
        <f>IF(3631&gt;$B$4503,"",MATCH(3631-0.5,$B$3:$B$4503,1))</f>
        <v/>
      </c>
      <c r="D3634">
        <f>"Privileges reappointment – "&amp;IF(LEN(INDEX('Providers'!$A$4:$A$503,131))=0,"",INDEX('Providers'!$A$4:$A$503,131))</f>
        <v/>
      </c>
      <c r="E3634">
        <f>IF(ISNUMBER(INDEX('Providers'!$Y$4:$Y$503,131)),TEXT(INDEX('Providers'!$Y$4:$Y$503,131),"yyyy-mm-dd"),"")</f>
        <v/>
      </c>
      <c r="F3634">
        <f>"Credentialing"</f>
        <v/>
      </c>
      <c r="G3634">
        <f>""</f>
        <v/>
      </c>
      <c r="H3634">
        <f>"High"</f>
        <v/>
      </c>
      <c r="I3634">
        <f>TRIM(IF(LEN(IF(LEN(INDEX('Providers'!$X$4:$X$503,131))=0,"",INDEX('Providers'!$X$4:$X$503,131)))=0,"","Facility: "&amp;IF(LEN(INDEX('Providers'!$X$4:$X$503,131))=0,"",INDEX('Providers'!$X$4:$X$503,131))&amp;". "))</f>
        <v/>
      </c>
      <c r="J3634">
        <f>IF(LEN(INDEX('Providers'!$AJ$4:$AJ$503,131))=0,"",INDEX('Providers'!$AJ$4:$AJ$503,131))</f>
        <v/>
      </c>
      <c r="K3634">
        <f>IF(LEN(INDEX('Providers'!$AI$4:$AI$503,131))=0,"",INDEX('Providers'!$AI$4:$AI$503,131))</f>
        <v/>
      </c>
    </row>
    <row r="3635">
      <c r="A3635">
        <f>IF(AND(LEN('Providers'!A135)&gt;0,ISNUMBER('Providers'!Y135)),1,0)</f>
        <v/>
      </c>
      <c r="B3635">
        <f>B3634+A3635</f>
        <v/>
      </c>
      <c r="C3635">
        <f>IF(3632&gt;$B$4503,"",MATCH(3632-0.5,$B$3:$B$4503,1))</f>
        <v/>
      </c>
      <c r="D3635">
        <f>"Privileges reappointment – "&amp;IF(LEN(INDEX('Providers'!$A$4:$A$503,132))=0,"",INDEX('Providers'!$A$4:$A$503,132))</f>
        <v/>
      </c>
      <c r="E3635">
        <f>IF(ISNUMBER(INDEX('Providers'!$Y$4:$Y$503,132)),TEXT(INDEX('Providers'!$Y$4:$Y$503,132),"yyyy-mm-dd"),"")</f>
        <v/>
      </c>
      <c r="F3635">
        <f>"Credentialing"</f>
        <v/>
      </c>
      <c r="G3635">
        <f>""</f>
        <v/>
      </c>
      <c r="H3635">
        <f>"High"</f>
        <v/>
      </c>
      <c r="I3635">
        <f>TRIM(IF(LEN(IF(LEN(INDEX('Providers'!$X$4:$X$503,132))=0,"",INDEX('Providers'!$X$4:$X$503,132)))=0,"","Facility: "&amp;IF(LEN(INDEX('Providers'!$X$4:$X$503,132))=0,"",INDEX('Providers'!$X$4:$X$503,132))&amp;". "))</f>
        <v/>
      </c>
      <c r="J3635">
        <f>IF(LEN(INDEX('Providers'!$AJ$4:$AJ$503,132))=0,"",INDEX('Providers'!$AJ$4:$AJ$503,132))</f>
        <v/>
      </c>
      <c r="K3635">
        <f>IF(LEN(INDEX('Providers'!$AI$4:$AI$503,132))=0,"",INDEX('Providers'!$AI$4:$AI$503,132))</f>
        <v/>
      </c>
    </row>
    <row r="3636">
      <c r="A3636">
        <f>IF(AND(LEN('Providers'!A136)&gt;0,ISNUMBER('Providers'!Y136)),1,0)</f>
        <v/>
      </c>
      <c r="B3636">
        <f>B3635+A3636</f>
        <v/>
      </c>
      <c r="C3636">
        <f>IF(3633&gt;$B$4503,"",MATCH(3633-0.5,$B$3:$B$4503,1))</f>
        <v/>
      </c>
      <c r="D3636">
        <f>"Privileges reappointment – "&amp;IF(LEN(INDEX('Providers'!$A$4:$A$503,133))=0,"",INDEX('Providers'!$A$4:$A$503,133))</f>
        <v/>
      </c>
      <c r="E3636">
        <f>IF(ISNUMBER(INDEX('Providers'!$Y$4:$Y$503,133)),TEXT(INDEX('Providers'!$Y$4:$Y$503,133),"yyyy-mm-dd"),"")</f>
        <v/>
      </c>
      <c r="F3636">
        <f>"Credentialing"</f>
        <v/>
      </c>
      <c r="G3636">
        <f>""</f>
        <v/>
      </c>
      <c r="H3636">
        <f>"High"</f>
        <v/>
      </c>
      <c r="I3636">
        <f>TRIM(IF(LEN(IF(LEN(INDEX('Providers'!$X$4:$X$503,133))=0,"",INDEX('Providers'!$X$4:$X$503,133)))=0,"","Facility: "&amp;IF(LEN(INDEX('Providers'!$X$4:$X$503,133))=0,"",INDEX('Providers'!$X$4:$X$503,133))&amp;". "))</f>
        <v/>
      </c>
      <c r="J3636">
        <f>IF(LEN(INDEX('Providers'!$AJ$4:$AJ$503,133))=0,"",INDEX('Providers'!$AJ$4:$AJ$503,133))</f>
        <v/>
      </c>
      <c r="K3636">
        <f>IF(LEN(INDEX('Providers'!$AI$4:$AI$503,133))=0,"",INDEX('Providers'!$AI$4:$AI$503,133))</f>
        <v/>
      </c>
    </row>
    <row r="3637">
      <c r="A3637">
        <f>IF(AND(LEN('Providers'!A137)&gt;0,ISNUMBER('Providers'!Y137)),1,0)</f>
        <v/>
      </c>
      <c r="B3637">
        <f>B3636+A3637</f>
        <v/>
      </c>
      <c r="C3637">
        <f>IF(3634&gt;$B$4503,"",MATCH(3634-0.5,$B$3:$B$4503,1))</f>
        <v/>
      </c>
      <c r="D3637">
        <f>"Privileges reappointment – "&amp;IF(LEN(INDEX('Providers'!$A$4:$A$503,134))=0,"",INDEX('Providers'!$A$4:$A$503,134))</f>
        <v/>
      </c>
      <c r="E3637">
        <f>IF(ISNUMBER(INDEX('Providers'!$Y$4:$Y$503,134)),TEXT(INDEX('Providers'!$Y$4:$Y$503,134),"yyyy-mm-dd"),"")</f>
        <v/>
      </c>
      <c r="F3637">
        <f>"Credentialing"</f>
        <v/>
      </c>
      <c r="G3637">
        <f>""</f>
        <v/>
      </c>
      <c r="H3637">
        <f>"High"</f>
        <v/>
      </c>
      <c r="I3637">
        <f>TRIM(IF(LEN(IF(LEN(INDEX('Providers'!$X$4:$X$503,134))=0,"",INDEX('Providers'!$X$4:$X$503,134)))=0,"","Facility: "&amp;IF(LEN(INDEX('Providers'!$X$4:$X$503,134))=0,"",INDEX('Providers'!$X$4:$X$503,134))&amp;". "))</f>
        <v/>
      </c>
      <c r="J3637">
        <f>IF(LEN(INDEX('Providers'!$AJ$4:$AJ$503,134))=0,"",INDEX('Providers'!$AJ$4:$AJ$503,134))</f>
        <v/>
      </c>
      <c r="K3637">
        <f>IF(LEN(INDEX('Providers'!$AI$4:$AI$503,134))=0,"",INDEX('Providers'!$AI$4:$AI$503,134))</f>
        <v/>
      </c>
    </row>
    <row r="3638">
      <c r="A3638">
        <f>IF(AND(LEN('Providers'!A138)&gt;0,ISNUMBER('Providers'!Y138)),1,0)</f>
        <v/>
      </c>
      <c r="B3638">
        <f>B3637+A3638</f>
        <v/>
      </c>
      <c r="C3638">
        <f>IF(3635&gt;$B$4503,"",MATCH(3635-0.5,$B$3:$B$4503,1))</f>
        <v/>
      </c>
      <c r="D3638">
        <f>"Privileges reappointment – "&amp;IF(LEN(INDEX('Providers'!$A$4:$A$503,135))=0,"",INDEX('Providers'!$A$4:$A$503,135))</f>
        <v/>
      </c>
      <c r="E3638">
        <f>IF(ISNUMBER(INDEX('Providers'!$Y$4:$Y$503,135)),TEXT(INDEX('Providers'!$Y$4:$Y$503,135),"yyyy-mm-dd"),"")</f>
        <v/>
      </c>
      <c r="F3638">
        <f>"Credentialing"</f>
        <v/>
      </c>
      <c r="G3638">
        <f>""</f>
        <v/>
      </c>
      <c r="H3638">
        <f>"High"</f>
        <v/>
      </c>
      <c r="I3638">
        <f>TRIM(IF(LEN(IF(LEN(INDEX('Providers'!$X$4:$X$503,135))=0,"",INDEX('Providers'!$X$4:$X$503,135)))=0,"","Facility: "&amp;IF(LEN(INDEX('Providers'!$X$4:$X$503,135))=0,"",INDEX('Providers'!$X$4:$X$503,135))&amp;". "))</f>
        <v/>
      </c>
      <c r="J3638">
        <f>IF(LEN(INDEX('Providers'!$AJ$4:$AJ$503,135))=0,"",INDEX('Providers'!$AJ$4:$AJ$503,135))</f>
        <v/>
      </c>
      <c r="K3638">
        <f>IF(LEN(INDEX('Providers'!$AI$4:$AI$503,135))=0,"",INDEX('Providers'!$AI$4:$AI$503,135))</f>
        <v/>
      </c>
    </row>
    <row r="3639">
      <c r="A3639">
        <f>IF(AND(LEN('Providers'!A139)&gt;0,ISNUMBER('Providers'!Y139)),1,0)</f>
        <v/>
      </c>
      <c r="B3639">
        <f>B3638+A3639</f>
        <v/>
      </c>
      <c r="C3639">
        <f>IF(3636&gt;$B$4503,"",MATCH(3636-0.5,$B$3:$B$4503,1))</f>
        <v/>
      </c>
      <c r="D3639">
        <f>"Privileges reappointment – "&amp;IF(LEN(INDEX('Providers'!$A$4:$A$503,136))=0,"",INDEX('Providers'!$A$4:$A$503,136))</f>
        <v/>
      </c>
      <c r="E3639">
        <f>IF(ISNUMBER(INDEX('Providers'!$Y$4:$Y$503,136)),TEXT(INDEX('Providers'!$Y$4:$Y$503,136),"yyyy-mm-dd"),"")</f>
        <v/>
      </c>
      <c r="F3639">
        <f>"Credentialing"</f>
        <v/>
      </c>
      <c r="G3639">
        <f>""</f>
        <v/>
      </c>
      <c r="H3639">
        <f>"High"</f>
        <v/>
      </c>
      <c r="I3639">
        <f>TRIM(IF(LEN(IF(LEN(INDEX('Providers'!$X$4:$X$503,136))=0,"",INDEX('Providers'!$X$4:$X$503,136)))=0,"","Facility: "&amp;IF(LEN(INDEX('Providers'!$X$4:$X$503,136))=0,"",INDEX('Providers'!$X$4:$X$503,136))&amp;". "))</f>
        <v/>
      </c>
      <c r="J3639">
        <f>IF(LEN(INDEX('Providers'!$AJ$4:$AJ$503,136))=0,"",INDEX('Providers'!$AJ$4:$AJ$503,136))</f>
        <v/>
      </c>
      <c r="K3639">
        <f>IF(LEN(INDEX('Providers'!$AI$4:$AI$503,136))=0,"",INDEX('Providers'!$AI$4:$AI$503,136))</f>
        <v/>
      </c>
    </row>
    <row r="3640">
      <c r="A3640">
        <f>IF(AND(LEN('Providers'!A140)&gt;0,ISNUMBER('Providers'!Y140)),1,0)</f>
        <v/>
      </c>
      <c r="B3640">
        <f>B3639+A3640</f>
        <v/>
      </c>
      <c r="C3640">
        <f>IF(3637&gt;$B$4503,"",MATCH(3637-0.5,$B$3:$B$4503,1))</f>
        <v/>
      </c>
      <c r="D3640">
        <f>"Privileges reappointment – "&amp;IF(LEN(INDEX('Providers'!$A$4:$A$503,137))=0,"",INDEX('Providers'!$A$4:$A$503,137))</f>
        <v/>
      </c>
      <c r="E3640">
        <f>IF(ISNUMBER(INDEX('Providers'!$Y$4:$Y$503,137)),TEXT(INDEX('Providers'!$Y$4:$Y$503,137),"yyyy-mm-dd"),"")</f>
        <v/>
      </c>
      <c r="F3640">
        <f>"Credentialing"</f>
        <v/>
      </c>
      <c r="G3640">
        <f>""</f>
        <v/>
      </c>
      <c r="H3640">
        <f>"High"</f>
        <v/>
      </c>
      <c r="I3640">
        <f>TRIM(IF(LEN(IF(LEN(INDEX('Providers'!$X$4:$X$503,137))=0,"",INDEX('Providers'!$X$4:$X$503,137)))=0,"","Facility: "&amp;IF(LEN(INDEX('Providers'!$X$4:$X$503,137))=0,"",INDEX('Providers'!$X$4:$X$503,137))&amp;". "))</f>
        <v/>
      </c>
      <c r="J3640">
        <f>IF(LEN(INDEX('Providers'!$AJ$4:$AJ$503,137))=0,"",INDEX('Providers'!$AJ$4:$AJ$503,137))</f>
        <v/>
      </c>
      <c r="K3640">
        <f>IF(LEN(INDEX('Providers'!$AI$4:$AI$503,137))=0,"",INDEX('Providers'!$AI$4:$AI$503,137))</f>
        <v/>
      </c>
    </row>
    <row r="3641">
      <c r="A3641">
        <f>IF(AND(LEN('Providers'!A141)&gt;0,ISNUMBER('Providers'!Y141)),1,0)</f>
        <v/>
      </c>
      <c r="B3641">
        <f>B3640+A3641</f>
        <v/>
      </c>
      <c r="C3641">
        <f>IF(3638&gt;$B$4503,"",MATCH(3638-0.5,$B$3:$B$4503,1))</f>
        <v/>
      </c>
      <c r="D3641">
        <f>"Privileges reappointment – "&amp;IF(LEN(INDEX('Providers'!$A$4:$A$503,138))=0,"",INDEX('Providers'!$A$4:$A$503,138))</f>
        <v/>
      </c>
      <c r="E3641">
        <f>IF(ISNUMBER(INDEX('Providers'!$Y$4:$Y$503,138)),TEXT(INDEX('Providers'!$Y$4:$Y$503,138),"yyyy-mm-dd"),"")</f>
        <v/>
      </c>
      <c r="F3641">
        <f>"Credentialing"</f>
        <v/>
      </c>
      <c r="G3641">
        <f>""</f>
        <v/>
      </c>
      <c r="H3641">
        <f>"High"</f>
        <v/>
      </c>
      <c r="I3641">
        <f>TRIM(IF(LEN(IF(LEN(INDEX('Providers'!$X$4:$X$503,138))=0,"",INDEX('Providers'!$X$4:$X$503,138)))=0,"","Facility: "&amp;IF(LEN(INDEX('Providers'!$X$4:$X$503,138))=0,"",INDEX('Providers'!$X$4:$X$503,138))&amp;". "))</f>
        <v/>
      </c>
      <c r="J3641">
        <f>IF(LEN(INDEX('Providers'!$AJ$4:$AJ$503,138))=0,"",INDEX('Providers'!$AJ$4:$AJ$503,138))</f>
        <v/>
      </c>
      <c r="K3641">
        <f>IF(LEN(INDEX('Providers'!$AI$4:$AI$503,138))=0,"",INDEX('Providers'!$AI$4:$AI$503,138))</f>
        <v/>
      </c>
    </row>
    <row r="3642">
      <c r="A3642">
        <f>IF(AND(LEN('Providers'!A142)&gt;0,ISNUMBER('Providers'!Y142)),1,0)</f>
        <v/>
      </c>
      <c r="B3642">
        <f>B3641+A3642</f>
        <v/>
      </c>
      <c r="C3642">
        <f>IF(3639&gt;$B$4503,"",MATCH(3639-0.5,$B$3:$B$4503,1))</f>
        <v/>
      </c>
      <c r="D3642">
        <f>"Privileges reappointment – "&amp;IF(LEN(INDEX('Providers'!$A$4:$A$503,139))=0,"",INDEX('Providers'!$A$4:$A$503,139))</f>
        <v/>
      </c>
      <c r="E3642">
        <f>IF(ISNUMBER(INDEX('Providers'!$Y$4:$Y$503,139)),TEXT(INDEX('Providers'!$Y$4:$Y$503,139),"yyyy-mm-dd"),"")</f>
        <v/>
      </c>
      <c r="F3642">
        <f>"Credentialing"</f>
        <v/>
      </c>
      <c r="G3642">
        <f>""</f>
        <v/>
      </c>
      <c r="H3642">
        <f>"High"</f>
        <v/>
      </c>
      <c r="I3642">
        <f>TRIM(IF(LEN(IF(LEN(INDEX('Providers'!$X$4:$X$503,139))=0,"",INDEX('Providers'!$X$4:$X$503,139)))=0,"","Facility: "&amp;IF(LEN(INDEX('Providers'!$X$4:$X$503,139))=0,"",INDEX('Providers'!$X$4:$X$503,139))&amp;". "))</f>
        <v/>
      </c>
      <c r="J3642">
        <f>IF(LEN(INDEX('Providers'!$AJ$4:$AJ$503,139))=0,"",INDEX('Providers'!$AJ$4:$AJ$503,139))</f>
        <v/>
      </c>
      <c r="K3642">
        <f>IF(LEN(INDEX('Providers'!$AI$4:$AI$503,139))=0,"",INDEX('Providers'!$AI$4:$AI$503,139))</f>
        <v/>
      </c>
    </row>
    <row r="3643">
      <c r="A3643">
        <f>IF(AND(LEN('Providers'!A143)&gt;0,ISNUMBER('Providers'!Y143)),1,0)</f>
        <v/>
      </c>
      <c r="B3643">
        <f>B3642+A3643</f>
        <v/>
      </c>
      <c r="C3643">
        <f>IF(3640&gt;$B$4503,"",MATCH(3640-0.5,$B$3:$B$4503,1))</f>
        <v/>
      </c>
      <c r="D3643">
        <f>"Privileges reappointment – "&amp;IF(LEN(INDEX('Providers'!$A$4:$A$503,140))=0,"",INDEX('Providers'!$A$4:$A$503,140))</f>
        <v/>
      </c>
      <c r="E3643">
        <f>IF(ISNUMBER(INDEX('Providers'!$Y$4:$Y$503,140)),TEXT(INDEX('Providers'!$Y$4:$Y$503,140),"yyyy-mm-dd"),"")</f>
        <v/>
      </c>
      <c r="F3643">
        <f>"Credentialing"</f>
        <v/>
      </c>
      <c r="G3643">
        <f>""</f>
        <v/>
      </c>
      <c r="H3643">
        <f>"High"</f>
        <v/>
      </c>
      <c r="I3643">
        <f>TRIM(IF(LEN(IF(LEN(INDEX('Providers'!$X$4:$X$503,140))=0,"",INDEX('Providers'!$X$4:$X$503,140)))=0,"","Facility: "&amp;IF(LEN(INDEX('Providers'!$X$4:$X$503,140))=0,"",INDEX('Providers'!$X$4:$X$503,140))&amp;". "))</f>
        <v/>
      </c>
      <c r="J3643">
        <f>IF(LEN(INDEX('Providers'!$AJ$4:$AJ$503,140))=0,"",INDEX('Providers'!$AJ$4:$AJ$503,140))</f>
        <v/>
      </c>
      <c r="K3643">
        <f>IF(LEN(INDEX('Providers'!$AI$4:$AI$503,140))=0,"",INDEX('Providers'!$AI$4:$AI$503,140))</f>
        <v/>
      </c>
    </row>
    <row r="3644">
      <c r="A3644">
        <f>IF(AND(LEN('Providers'!A144)&gt;0,ISNUMBER('Providers'!Y144)),1,0)</f>
        <v/>
      </c>
      <c r="B3644">
        <f>B3643+A3644</f>
        <v/>
      </c>
      <c r="C3644">
        <f>IF(3641&gt;$B$4503,"",MATCH(3641-0.5,$B$3:$B$4503,1))</f>
        <v/>
      </c>
      <c r="D3644">
        <f>"Privileges reappointment – "&amp;IF(LEN(INDEX('Providers'!$A$4:$A$503,141))=0,"",INDEX('Providers'!$A$4:$A$503,141))</f>
        <v/>
      </c>
      <c r="E3644">
        <f>IF(ISNUMBER(INDEX('Providers'!$Y$4:$Y$503,141)),TEXT(INDEX('Providers'!$Y$4:$Y$503,141),"yyyy-mm-dd"),"")</f>
        <v/>
      </c>
      <c r="F3644">
        <f>"Credentialing"</f>
        <v/>
      </c>
      <c r="G3644">
        <f>""</f>
        <v/>
      </c>
      <c r="H3644">
        <f>"High"</f>
        <v/>
      </c>
      <c r="I3644">
        <f>TRIM(IF(LEN(IF(LEN(INDEX('Providers'!$X$4:$X$503,141))=0,"",INDEX('Providers'!$X$4:$X$503,141)))=0,"","Facility: "&amp;IF(LEN(INDEX('Providers'!$X$4:$X$503,141))=0,"",INDEX('Providers'!$X$4:$X$503,141))&amp;". "))</f>
        <v/>
      </c>
      <c r="J3644">
        <f>IF(LEN(INDEX('Providers'!$AJ$4:$AJ$503,141))=0,"",INDEX('Providers'!$AJ$4:$AJ$503,141))</f>
        <v/>
      </c>
      <c r="K3644">
        <f>IF(LEN(INDEX('Providers'!$AI$4:$AI$503,141))=0,"",INDEX('Providers'!$AI$4:$AI$503,141))</f>
        <v/>
      </c>
    </row>
    <row r="3645">
      <c r="A3645">
        <f>IF(AND(LEN('Providers'!A145)&gt;0,ISNUMBER('Providers'!Y145)),1,0)</f>
        <v/>
      </c>
      <c r="B3645">
        <f>B3644+A3645</f>
        <v/>
      </c>
      <c r="C3645">
        <f>IF(3642&gt;$B$4503,"",MATCH(3642-0.5,$B$3:$B$4503,1))</f>
        <v/>
      </c>
      <c r="D3645">
        <f>"Privileges reappointment – "&amp;IF(LEN(INDEX('Providers'!$A$4:$A$503,142))=0,"",INDEX('Providers'!$A$4:$A$503,142))</f>
        <v/>
      </c>
      <c r="E3645">
        <f>IF(ISNUMBER(INDEX('Providers'!$Y$4:$Y$503,142)),TEXT(INDEX('Providers'!$Y$4:$Y$503,142),"yyyy-mm-dd"),"")</f>
        <v/>
      </c>
      <c r="F3645">
        <f>"Credentialing"</f>
        <v/>
      </c>
      <c r="G3645">
        <f>""</f>
        <v/>
      </c>
      <c r="H3645">
        <f>"High"</f>
        <v/>
      </c>
      <c r="I3645">
        <f>TRIM(IF(LEN(IF(LEN(INDEX('Providers'!$X$4:$X$503,142))=0,"",INDEX('Providers'!$X$4:$X$503,142)))=0,"","Facility: "&amp;IF(LEN(INDEX('Providers'!$X$4:$X$503,142))=0,"",INDEX('Providers'!$X$4:$X$503,142))&amp;". "))</f>
        <v/>
      </c>
      <c r="J3645">
        <f>IF(LEN(INDEX('Providers'!$AJ$4:$AJ$503,142))=0,"",INDEX('Providers'!$AJ$4:$AJ$503,142))</f>
        <v/>
      </c>
      <c r="K3645">
        <f>IF(LEN(INDEX('Providers'!$AI$4:$AI$503,142))=0,"",INDEX('Providers'!$AI$4:$AI$503,142))</f>
        <v/>
      </c>
    </row>
    <row r="3646">
      <c r="A3646">
        <f>IF(AND(LEN('Providers'!A146)&gt;0,ISNUMBER('Providers'!Y146)),1,0)</f>
        <v/>
      </c>
      <c r="B3646">
        <f>B3645+A3646</f>
        <v/>
      </c>
      <c r="C3646">
        <f>IF(3643&gt;$B$4503,"",MATCH(3643-0.5,$B$3:$B$4503,1))</f>
        <v/>
      </c>
      <c r="D3646">
        <f>"Privileges reappointment – "&amp;IF(LEN(INDEX('Providers'!$A$4:$A$503,143))=0,"",INDEX('Providers'!$A$4:$A$503,143))</f>
        <v/>
      </c>
      <c r="E3646">
        <f>IF(ISNUMBER(INDEX('Providers'!$Y$4:$Y$503,143)),TEXT(INDEX('Providers'!$Y$4:$Y$503,143),"yyyy-mm-dd"),"")</f>
        <v/>
      </c>
      <c r="F3646">
        <f>"Credentialing"</f>
        <v/>
      </c>
      <c r="G3646">
        <f>""</f>
        <v/>
      </c>
      <c r="H3646">
        <f>"High"</f>
        <v/>
      </c>
      <c r="I3646">
        <f>TRIM(IF(LEN(IF(LEN(INDEX('Providers'!$X$4:$X$503,143))=0,"",INDEX('Providers'!$X$4:$X$503,143)))=0,"","Facility: "&amp;IF(LEN(INDEX('Providers'!$X$4:$X$503,143))=0,"",INDEX('Providers'!$X$4:$X$503,143))&amp;". "))</f>
        <v/>
      </c>
      <c r="J3646">
        <f>IF(LEN(INDEX('Providers'!$AJ$4:$AJ$503,143))=0,"",INDEX('Providers'!$AJ$4:$AJ$503,143))</f>
        <v/>
      </c>
      <c r="K3646">
        <f>IF(LEN(INDEX('Providers'!$AI$4:$AI$503,143))=0,"",INDEX('Providers'!$AI$4:$AI$503,143))</f>
        <v/>
      </c>
    </row>
    <row r="3647">
      <c r="A3647">
        <f>IF(AND(LEN('Providers'!A147)&gt;0,ISNUMBER('Providers'!Y147)),1,0)</f>
        <v/>
      </c>
      <c r="B3647">
        <f>B3646+A3647</f>
        <v/>
      </c>
      <c r="C3647">
        <f>IF(3644&gt;$B$4503,"",MATCH(3644-0.5,$B$3:$B$4503,1))</f>
        <v/>
      </c>
      <c r="D3647">
        <f>"Privileges reappointment – "&amp;IF(LEN(INDEX('Providers'!$A$4:$A$503,144))=0,"",INDEX('Providers'!$A$4:$A$503,144))</f>
        <v/>
      </c>
      <c r="E3647">
        <f>IF(ISNUMBER(INDEX('Providers'!$Y$4:$Y$503,144)),TEXT(INDEX('Providers'!$Y$4:$Y$503,144),"yyyy-mm-dd"),"")</f>
        <v/>
      </c>
      <c r="F3647">
        <f>"Credentialing"</f>
        <v/>
      </c>
      <c r="G3647">
        <f>""</f>
        <v/>
      </c>
      <c r="H3647">
        <f>"High"</f>
        <v/>
      </c>
      <c r="I3647">
        <f>TRIM(IF(LEN(IF(LEN(INDEX('Providers'!$X$4:$X$503,144))=0,"",INDEX('Providers'!$X$4:$X$503,144)))=0,"","Facility: "&amp;IF(LEN(INDEX('Providers'!$X$4:$X$503,144))=0,"",INDEX('Providers'!$X$4:$X$503,144))&amp;". "))</f>
        <v/>
      </c>
      <c r="J3647">
        <f>IF(LEN(INDEX('Providers'!$AJ$4:$AJ$503,144))=0,"",INDEX('Providers'!$AJ$4:$AJ$503,144))</f>
        <v/>
      </c>
      <c r="K3647">
        <f>IF(LEN(INDEX('Providers'!$AI$4:$AI$503,144))=0,"",INDEX('Providers'!$AI$4:$AI$503,144))</f>
        <v/>
      </c>
    </row>
    <row r="3648">
      <c r="A3648">
        <f>IF(AND(LEN('Providers'!A148)&gt;0,ISNUMBER('Providers'!Y148)),1,0)</f>
        <v/>
      </c>
      <c r="B3648">
        <f>B3647+A3648</f>
        <v/>
      </c>
      <c r="C3648">
        <f>IF(3645&gt;$B$4503,"",MATCH(3645-0.5,$B$3:$B$4503,1))</f>
        <v/>
      </c>
      <c r="D3648">
        <f>"Privileges reappointment – "&amp;IF(LEN(INDEX('Providers'!$A$4:$A$503,145))=0,"",INDEX('Providers'!$A$4:$A$503,145))</f>
        <v/>
      </c>
      <c r="E3648">
        <f>IF(ISNUMBER(INDEX('Providers'!$Y$4:$Y$503,145)),TEXT(INDEX('Providers'!$Y$4:$Y$503,145),"yyyy-mm-dd"),"")</f>
        <v/>
      </c>
      <c r="F3648">
        <f>"Credentialing"</f>
        <v/>
      </c>
      <c r="G3648">
        <f>""</f>
        <v/>
      </c>
      <c r="H3648">
        <f>"High"</f>
        <v/>
      </c>
      <c r="I3648">
        <f>TRIM(IF(LEN(IF(LEN(INDEX('Providers'!$X$4:$X$503,145))=0,"",INDEX('Providers'!$X$4:$X$503,145)))=0,"","Facility: "&amp;IF(LEN(INDEX('Providers'!$X$4:$X$503,145))=0,"",INDEX('Providers'!$X$4:$X$503,145))&amp;". "))</f>
        <v/>
      </c>
      <c r="J3648">
        <f>IF(LEN(INDEX('Providers'!$AJ$4:$AJ$503,145))=0,"",INDEX('Providers'!$AJ$4:$AJ$503,145))</f>
        <v/>
      </c>
      <c r="K3648">
        <f>IF(LEN(INDEX('Providers'!$AI$4:$AI$503,145))=0,"",INDEX('Providers'!$AI$4:$AI$503,145))</f>
        <v/>
      </c>
    </row>
    <row r="3649">
      <c r="A3649">
        <f>IF(AND(LEN('Providers'!A149)&gt;0,ISNUMBER('Providers'!Y149)),1,0)</f>
        <v/>
      </c>
      <c r="B3649">
        <f>B3648+A3649</f>
        <v/>
      </c>
      <c r="C3649">
        <f>IF(3646&gt;$B$4503,"",MATCH(3646-0.5,$B$3:$B$4503,1))</f>
        <v/>
      </c>
      <c r="D3649">
        <f>"Privileges reappointment – "&amp;IF(LEN(INDEX('Providers'!$A$4:$A$503,146))=0,"",INDEX('Providers'!$A$4:$A$503,146))</f>
        <v/>
      </c>
      <c r="E3649">
        <f>IF(ISNUMBER(INDEX('Providers'!$Y$4:$Y$503,146)),TEXT(INDEX('Providers'!$Y$4:$Y$503,146),"yyyy-mm-dd"),"")</f>
        <v/>
      </c>
      <c r="F3649">
        <f>"Credentialing"</f>
        <v/>
      </c>
      <c r="G3649">
        <f>""</f>
        <v/>
      </c>
      <c r="H3649">
        <f>"High"</f>
        <v/>
      </c>
      <c r="I3649">
        <f>TRIM(IF(LEN(IF(LEN(INDEX('Providers'!$X$4:$X$503,146))=0,"",INDEX('Providers'!$X$4:$X$503,146)))=0,"","Facility: "&amp;IF(LEN(INDEX('Providers'!$X$4:$X$503,146))=0,"",INDEX('Providers'!$X$4:$X$503,146))&amp;". "))</f>
        <v/>
      </c>
      <c r="J3649">
        <f>IF(LEN(INDEX('Providers'!$AJ$4:$AJ$503,146))=0,"",INDEX('Providers'!$AJ$4:$AJ$503,146))</f>
        <v/>
      </c>
      <c r="K3649">
        <f>IF(LEN(INDEX('Providers'!$AI$4:$AI$503,146))=0,"",INDEX('Providers'!$AI$4:$AI$503,146))</f>
        <v/>
      </c>
    </row>
    <row r="3650">
      <c r="A3650">
        <f>IF(AND(LEN('Providers'!A150)&gt;0,ISNUMBER('Providers'!Y150)),1,0)</f>
        <v/>
      </c>
      <c r="B3650">
        <f>B3649+A3650</f>
        <v/>
      </c>
      <c r="C3650">
        <f>IF(3647&gt;$B$4503,"",MATCH(3647-0.5,$B$3:$B$4503,1))</f>
        <v/>
      </c>
      <c r="D3650">
        <f>"Privileges reappointment – "&amp;IF(LEN(INDEX('Providers'!$A$4:$A$503,147))=0,"",INDEX('Providers'!$A$4:$A$503,147))</f>
        <v/>
      </c>
      <c r="E3650">
        <f>IF(ISNUMBER(INDEX('Providers'!$Y$4:$Y$503,147)),TEXT(INDEX('Providers'!$Y$4:$Y$503,147),"yyyy-mm-dd"),"")</f>
        <v/>
      </c>
      <c r="F3650">
        <f>"Credentialing"</f>
        <v/>
      </c>
      <c r="G3650">
        <f>""</f>
        <v/>
      </c>
      <c r="H3650">
        <f>"High"</f>
        <v/>
      </c>
      <c r="I3650">
        <f>TRIM(IF(LEN(IF(LEN(INDEX('Providers'!$X$4:$X$503,147))=0,"",INDEX('Providers'!$X$4:$X$503,147)))=0,"","Facility: "&amp;IF(LEN(INDEX('Providers'!$X$4:$X$503,147))=0,"",INDEX('Providers'!$X$4:$X$503,147))&amp;". "))</f>
        <v/>
      </c>
      <c r="J3650">
        <f>IF(LEN(INDEX('Providers'!$AJ$4:$AJ$503,147))=0,"",INDEX('Providers'!$AJ$4:$AJ$503,147))</f>
        <v/>
      </c>
      <c r="K3650">
        <f>IF(LEN(INDEX('Providers'!$AI$4:$AI$503,147))=0,"",INDEX('Providers'!$AI$4:$AI$503,147))</f>
        <v/>
      </c>
    </row>
    <row r="3651">
      <c r="A3651">
        <f>IF(AND(LEN('Providers'!A151)&gt;0,ISNUMBER('Providers'!Y151)),1,0)</f>
        <v/>
      </c>
      <c r="B3651">
        <f>B3650+A3651</f>
        <v/>
      </c>
      <c r="C3651">
        <f>IF(3648&gt;$B$4503,"",MATCH(3648-0.5,$B$3:$B$4503,1))</f>
        <v/>
      </c>
      <c r="D3651">
        <f>"Privileges reappointment – "&amp;IF(LEN(INDEX('Providers'!$A$4:$A$503,148))=0,"",INDEX('Providers'!$A$4:$A$503,148))</f>
        <v/>
      </c>
      <c r="E3651">
        <f>IF(ISNUMBER(INDEX('Providers'!$Y$4:$Y$503,148)),TEXT(INDEX('Providers'!$Y$4:$Y$503,148),"yyyy-mm-dd"),"")</f>
        <v/>
      </c>
      <c r="F3651">
        <f>"Credentialing"</f>
        <v/>
      </c>
      <c r="G3651">
        <f>""</f>
        <v/>
      </c>
      <c r="H3651">
        <f>"High"</f>
        <v/>
      </c>
      <c r="I3651">
        <f>TRIM(IF(LEN(IF(LEN(INDEX('Providers'!$X$4:$X$503,148))=0,"",INDEX('Providers'!$X$4:$X$503,148)))=0,"","Facility: "&amp;IF(LEN(INDEX('Providers'!$X$4:$X$503,148))=0,"",INDEX('Providers'!$X$4:$X$503,148))&amp;". "))</f>
        <v/>
      </c>
      <c r="J3651">
        <f>IF(LEN(INDEX('Providers'!$AJ$4:$AJ$503,148))=0,"",INDEX('Providers'!$AJ$4:$AJ$503,148))</f>
        <v/>
      </c>
      <c r="K3651">
        <f>IF(LEN(INDEX('Providers'!$AI$4:$AI$503,148))=0,"",INDEX('Providers'!$AI$4:$AI$503,148))</f>
        <v/>
      </c>
    </row>
    <row r="3652">
      <c r="A3652">
        <f>IF(AND(LEN('Providers'!A152)&gt;0,ISNUMBER('Providers'!Y152)),1,0)</f>
        <v/>
      </c>
      <c r="B3652">
        <f>B3651+A3652</f>
        <v/>
      </c>
      <c r="C3652">
        <f>IF(3649&gt;$B$4503,"",MATCH(3649-0.5,$B$3:$B$4503,1))</f>
        <v/>
      </c>
      <c r="D3652">
        <f>"Privileges reappointment – "&amp;IF(LEN(INDEX('Providers'!$A$4:$A$503,149))=0,"",INDEX('Providers'!$A$4:$A$503,149))</f>
        <v/>
      </c>
      <c r="E3652">
        <f>IF(ISNUMBER(INDEX('Providers'!$Y$4:$Y$503,149)),TEXT(INDEX('Providers'!$Y$4:$Y$503,149),"yyyy-mm-dd"),"")</f>
        <v/>
      </c>
      <c r="F3652">
        <f>"Credentialing"</f>
        <v/>
      </c>
      <c r="G3652">
        <f>""</f>
        <v/>
      </c>
      <c r="H3652">
        <f>"High"</f>
        <v/>
      </c>
      <c r="I3652">
        <f>TRIM(IF(LEN(IF(LEN(INDEX('Providers'!$X$4:$X$503,149))=0,"",INDEX('Providers'!$X$4:$X$503,149)))=0,"","Facility: "&amp;IF(LEN(INDEX('Providers'!$X$4:$X$503,149))=0,"",INDEX('Providers'!$X$4:$X$503,149))&amp;". "))</f>
        <v/>
      </c>
      <c r="J3652">
        <f>IF(LEN(INDEX('Providers'!$AJ$4:$AJ$503,149))=0,"",INDEX('Providers'!$AJ$4:$AJ$503,149))</f>
        <v/>
      </c>
      <c r="K3652">
        <f>IF(LEN(INDEX('Providers'!$AI$4:$AI$503,149))=0,"",INDEX('Providers'!$AI$4:$AI$503,149))</f>
        <v/>
      </c>
    </row>
    <row r="3653">
      <c r="A3653">
        <f>IF(AND(LEN('Providers'!A153)&gt;0,ISNUMBER('Providers'!Y153)),1,0)</f>
        <v/>
      </c>
      <c r="B3653">
        <f>B3652+A3653</f>
        <v/>
      </c>
      <c r="C3653">
        <f>IF(3650&gt;$B$4503,"",MATCH(3650-0.5,$B$3:$B$4503,1))</f>
        <v/>
      </c>
      <c r="D3653">
        <f>"Privileges reappointment – "&amp;IF(LEN(INDEX('Providers'!$A$4:$A$503,150))=0,"",INDEX('Providers'!$A$4:$A$503,150))</f>
        <v/>
      </c>
      <c r="E3653">
        <f>IF(ISNUMBER(INDEX('Providers'!$Y$4:$Y$503,150)),TEXT(INDEX('Providers'!$Y$4:$Y$503,150),"yyyy-mm-dd"),"")</f>
        <v/>
      </c>
      <c r="F3653">
        <f>"Credentialing"</f>
        <v/>
      </c>
      <c r="G3653">
        <f>""</f>
        <v/>
      </c>
      <c r="H3653">
        <f>"High"</f>
        <v/>
      </c>
      <c r="I3653">
        <f>TRIM(IF(LEN(IF(LEN(INDEX('Providers'!$X$4:$X$503,150))=0,"",INDEX('Providers'!$X$4:$X$503,150)))=0,"","Facility: "&amp;IF(LEN(INDEX('Providers'!$X$4:$X$503,150))=0,"",INDEX('Providers'!$X$4:$X$503,150))&amp;". "))</f>
        <v/>
      </c>
      <c r="J3653">
        <f>IF(LEN(INDEX('Providers'!$AJ$4:$AJ$503,150))=0,"",INDEX('Providers'!$AJ$4:$AJ$503,150))</f>
        <v/>
      </c>
      <c r="K3653">
        <f>IF(LEN(INDEX('Providers'!$AI$4:$AI$503,150))=0,"",INDEX('Providers'!$AI$4:$AI$503,150))</f>
        <v/>
      </c>
    </row>
    <row r="3654">
      <c r="A3654">
        <f>IF(AND(LEN('Providers'!A154)&gt;0,ISNUMBER('Providers'!Y154)),1,0)</f>
        <v/>
      </c>
      <c r="B3654">
        <f>B3653+A3654</f>
        <v/>
      </c>
      <c r="C3654">
        <f>IF(3651&gt;$B$4503,"",MATCH(3651-0.5,$B$3:$B$4503,1))</f>
        <v/>
      </c>
      <c r="D3654">
        <f>"Privileges reappointment – "&amp;IF(LEN(INDEX('Providers'!$A$4:$A$503,151))=0,"",INDEX('Providers'!$A$4:$A$503,151))</f>
        <v/>
      </c>
      <c r="E3654">
        <f>IF(ISNUMBER(INDEX('Providers'!$Y$4:$Y$503,151)),TEXT(INDEX('Providers'!$Y$4:$Y$503,151),"yyyy-mm-dd"),"")</f>
        <v/>
      </c>
      <c r="F3654">
        <f>"Credentialing"</f>
        <v/>
      </c>
      <c r="G3654">
        <f>""</f>
        <v/>
      </c>
      <c r="H3654">
        <f>"High"</f>
        <v/>
      </c>
      <c r="I3654">
        <f>TRIM(IF(LEN(IF(LEN(INDEX('Providers'!$X$4:$X$503,151))=0,"",INDEX('Providers'!$X$4:$X$503,151)))=0,"","Facility: "&amp;IF(LEN(INDEX('Providers'!$X$4:$X$503,151))=0,"",INDEX('Providers'!$X$4:$X$503,151))&amp;". "))</f>
        <v/>
      </c>
      <c r="J3654">
        <f>IF(LEN(INDEX('Providers'!$AJ$4:$AJ$503,151))=0,"",INDEX('Providers'!$AJ$4:$AJ$503,151))</f>
        <v/>
      </c>
      <c r="K3654">
        <f>IF(LEN(INDEX('Providers'!$AI$4:$AI$503,151))=0,"",INDEX('Providers'!$AI$4:$AI$503,151))</f>
        <v/>
      </c>
    </row>
    <row r="3655">
      <c r="A3655">
        <f>IF(AND(LEN('Providers'!A155)&gt;0,ISNUMBER('Providers'!Y155)),1,0)</f>
        <v/>
      </c>
      <c r="B3655">
        <f>B3654+A3655</f>
        <v/>
      </c>
      <c r="C3655">
        <f>IF(3652&gt;$B$4503,"",MATCH(3652-0.5,$B$3:$B$4503,1))</f>
        <v/>
      </c>
      <c r="D3655">
        <f>"Privileges reappointment – "&amp;IF(LEN(INDEX('Providers'!$A$4:$A$503,152))=0,"",INDEX('Providers'!$A$4:$A$503,152))</f>
        <v/>
      </c>
      <c r="E3655">
        <f>IF(ISNUMBER(INDEX('Providers'!$Y$4:$Y$503,152)),TEXT(INDEX('Providers'!$Y$4:$Y$503,152),"yyyy-mm-dd"),"")</f>
        <v/>
      </c>
      <c r="F3655">
        <f>"Credentialing"</f>
        <v/>
      </c>
      <c r="G3655">
        <f>""</f>
        <v/>
      </c>
      <c r="H3655">
        <f>"High"</f>
        <v/>
      </c>
      <c r="I3655">
        <f>TRIM(IF(LEN(IF(LEN(INDEX('Providers'!$X$4:$X$503,152))=0,"",INDEX('Providers'!$X$4:$X$503,152)))=0,"","Facility: "&amp;IF(LEN(INDEX('Providers'!$X$4:$X$503,152))=0,"",INDEX('Providers'!$X$4:$X$503,152))&amp;". "))</f>
        <v/>
      </c>
      <c r="J3655">
        <f>IF(LEN(INDEX('Providers'!$AJ$4:$AJ$503,152))=0,"",INDEX('Providers'!$AJ$4:$AJ$503,152))</f>
        <v/>
      </c>
      <c r="K3655">
        <f>IF(LEN(INDEX('Providers'!$AI$4:$AI$503,152))=0,"",INDEX('Providers'!$AI$4:$AI$503,152))</f>
        <v/>
      </c>
    </row>
    <row r="3656">
      <c r="A3656">
        <f>IF(AND(LEN('Providers'!A156)&gt;0,ISNUMBER('Providers'!Y156)),1,0)</f>
        <v/>
      </c>
      <c r="B3656">
        <f>B3655+A3656</f>
        <v/>
      </c>
      <c r="C3656">
        <f>IF(3653&gt;$B$4503,"",MATCH(3653-0.5,$B$3:$B$4503,1))</f>
        <v/>
      </c>
      <c r="D3656">
        <f>"Privileges reappointment – "&amp;IF(LEN(INDEX('Providers'!$A$4:$A$503,153))=0,"",INDEX('Providers'!$A$4:$A$503,153))</f>
        <v/>
      </c>
      <c r="E3656">
        <f>IF(ISNUMBER(INDEX('Providers'!$Y$4:$Y$503,153)),TEXT(INDEX('Providers'!$Y$4:$Y$503,153),"yyyy-mm-dd"),"")</f>
        <v/>
      </c>
      <c r="F3656">
        <f>"Credentialing"</f>
        <v/>
      </c>
      <c r="G3656">
        <f>""</f>
        <v/>
      </c>
      <c r="H3656">
        <f>"High"</f>
        <v/>
      </c>
      <c r="I3656">
        <f>TRIM(IF(LEN(IF(LEN(INDEX('Providers'!$X$4:$X$503,153))=0,"",INDEX('Providers'!$X$4:$X$503,153)))=0,"","Facility: "&amp;IF(LEN(INDEX('Providers'!$X$4:$X$503,153))=0,"",INDEX('Providers'!$X$4:$X$503,153))&amp;". "))</f>
        <v/>
      </c>
      <c r="J3656">
        <f>IF(LEN(INDEX('Providers'!$AJ$4:$AJ$503,153))=0,"",INDEX('Providers'!$AJ$4:$AJ$503,153))</f>
        <v/>
      </c>
      <c r="K3656">
        <f>IF(LEN(INDEX('Providers'!$AI$4:$AI$503,153))=0,"",INDEX('Providers'!$AI$4:$AI$503,153))</f>
        <v/>
      </c>
    </row>
    <row r="3657">
      <c r="A3657">
        <f>IF(AND(LEN('Providers'!A157)&gt;0,ISNUMBER('Providers'!Y157)),1,0)</f>
        <v/>
      </c>
      <c r="B3657">
        <f>B3656+A3657</f>
        <v/>
      </c>
      <c r="C3657">
        <f>IF(3654&gt;$B$4503,"",MATCH(3654-0.5,$B$3:$B$4503,1))</f>
        <v/>
      </c>
      <c r="D3657">
        <f>"Privileges reappointment – "&amp;IF(LEN(INDEX('Providers'!$A$4:$A$503,154))=0,"",INDEX('Providers'!$A$4:$A$503,154))</f>
        <v/>
      </c>
      <c r="E3657">
        <f>IF(ISNUMBER(INDEX('Providers'!$Y$4:$Y$503,154)),TEXT(INDEX('Providers'!$Y$4:$Y$503,154),"yyyy-mm-dd"),"")</f>
        <v/>
      </c>
      <c r="F3657">
        <f>"Credentialing"</f>
        <v/>
      </c>
      <c r="G3657">
        <f>""</f>
        <v/>
      </c>
      <c r="H3657">
        <f>"High"</f>
        <v/>
      </c>
      <c r="I3657">
        <f>TRIM(IF(LEN(IF(LEN(INDEX('Providers'!$X$4:$X$503,154))=0,"",INDEX('Providers'!$X$4:$X$503,154)))=0,"","Facility: "&amp;IF(LEN(INDEX('Providers'!$X$4:$X$503,154))=0,"",INDEX('Providers'!$X$4:$X$503,154))&amp;". "))</f>
        <v/>
      </c>
      <c r="J3657">
        <f>IF(LEN(INDEX('Providers'!$AJ$4:$AJ$503,154))=0,"",INDEX('Providers'!$AJ$4:$AJ$503,154))</f>
        <v/>
      </c>
      <c r="K3657">
        <f>IF(LEN(INDEX('Providers'!$AI$4:$AI$503,154))=0,"",INDEX('Providers'!$AI$4:$AI$503,154))</f>
        <v/>
      </c>
    </row>
    <row r="3658">
      <c r="A3658">
        <f>IF(AND(LEN('Providers'!A158)&gt;0,ISNUMBER('Providers'!Y158)),1,0)</f>
        <v/>
      </c>
      <c r="B3658">
        <f>B3657+A3658</f>
        <v/>
      </c>
      <c r="C3658">
        <f>IF(3655&gt;$B$4503,"",MATCH(3655-0.5,$B$3:$B$4503,1))</f>
        <v/>
      </c>
      <c r="D3658">
        <f>"Privileges reappointment – "&amp;IF(LEN(INDEX('Providers'!$A$4:$A$503,155))=0,"",INDEX('Providers'!$A$4:$A$503,155))</f>
        <v/>
      </c>
      <c r="E3658">
        <f>IF(ISNUMBER(INDEX('Providers'!$Y$4:$Y$503,155)),TEXT(INDEX('Providers'!$Y$4:$Y$503,155),"yyyy-mm-dd"),"")</f>
        <v/>
      </c>
      <c r="F3658">
        <f>"Credentialing"</f>
        <v/>
      </c>
      <c r="G3658">
        <f>""</f>
        <v/>
      </c>
      <c r="H3658">
        <f>"High"</f>
        <v/>
      </c>
      <c r="I3658">
        <f>TRIM(IF(LEN(IF(LEN(INDEX('Providers'!$X$4:$X$503,155))=0,"",INDEX('Providers'!$X$4:$X$503,155)))=0,"","Facility: "&amp;IF(LEN(INDEX('Providers'!$X$4:$X$503,155))=0,"",INDEX('Providers'!$X$4:$X$503,155))&amp;". "))</f>
        <v/>
      </c>
      <c r="J3658">
        <f>IF(LEN(INDEX('Providers'!$AJ$4:$AJ$503,155))=0,"",INDEX('Providers'!$AJ$4:$AJ$503,155))</f>
        <v/>
      </c>
      <c r="K3658">
        <f>IF(LEN(INDEX('Providers'!$AI$4:$AI$503,155))=0,"",INDEX('Providers'!$AI$4:$AI$503,155))</f>
        <v/>
      </c>
    </row>
    <row r="3659">
      <c r="A3659">
        <f>IF(AND(LEN('Providers'!A159)&gt;0,ISNUMBER('Providers'!Y159)),1,0)</f>
        <v/>
      </c>
      <c r="B3659">
        <f>B3658+A3659</f>
        <v/>
      </c>
      <c r="C3659">
        <f>IF(3656&gt;$B$4503,"",MATCH(3656-0.5,$B$3:$B$4503,1))</f>
        <v/>
      </c>
      <c r="D3659">
        <f>"Privileges reappointment – "&amp;IF(LEN(INDEX('Providers'!$A$4:$A$503,156))=0,"",INDEX('Providers'!$A$4:$A$503,156))</f>
        <v/>
      </c>
      <c r="E3659">
        <f>IF(ISNUMBER(INDEX('Providers'!$Y$4:$Y$503,156)),TEXT(INDEX('Providers'!$Y$4:$Y$503,156),"yyyy-mm-dd"),"")</f>
        <v/>
      </c>
      <c r="F3659">
        <f>"Credentialing"</f>
        <v/>
      </c>
      <c r="G3659">
        <f>""</f>
        <v/>
      </c>
      <c r="H3659">
        <f>"High"</f>
        <v/>
      </c>
      <c r="I3659">
        <f>TRIM(IF(LEN(IF(LEN(INDEX('Providers'!$X$4:$X$503,156))=0,"",INDEX('Providers'!$X$4:$X$503,156)))=0,"","Facility: "&amp;IF(LEN(INDEX('Providers'!$X$4:$X$503,156))=0,"",INDEX('Providers'!$X$4:$X$503,156))&amp;". "))</f>
        <v/>
      </c>
      <c r="J3659">
        <f>IF(LEN(INDEX('Providers'!$AJ$4:$AJ$503,156))=0,"",INDEX('Providers'!$AJ$4:$AJ$503,156))</f>
        <v/>
      </c>
      <c r="K3659">
        <f>IF(LEN(INDEX('Providers'!$AI$4:$AI$503,156))=0,"",INDEX('Providers'!$AI$4:$AI$503,156))</f>
        <v/>
      </c>
    </row>
    <row r="3660">
      <c r="A3660">
        <f>IF(AND(LEN('Providers'!A160)&gt;0,ISNUMBER('Providers'!Y160)),1,0)</f>
        <v/>
      </c>
      <c r="B3660">
        <f>B3659+A3660</f>
        <v/>
      </c>
      <c r="C3660">
        <f>IF(3657&gt;$B$4503,"",MATCH(3657-0.5,$B$3:$B$4503,1))</f>
        <v/>
      </c>
      <c r="D3660">
        <f>"Privileges reappointment – "&amp;IF(LEN(INDEX('Providers'!$A$4:$A$503,157))=0,"",INDEX('Providers'!$A$4:$A$503,157))</f>
        <v/>
      </c>
      <c r="E3660">
        <f>IF(ISNUMBER(INDEX('Providers'!$Y$4:$Y$503,157)),TEXT(INDEX('Providers'!$Y$4:$Y$503,157),"yyyy-mm-dd"),"")</f>
        <v/>
      </c>
      <c r="F3660">
        <f>"Credentialing"</f>
        <v/>
      </c>
      <c r="G3660">
        <f>""</f>
        <v/>
      </c>
      <c r="H3660">
        <f>"High"</f>
        <v/>
      </c>
      <c r="I3660">
        <f>TRIM(IF(LEN(IF(LEN(INDEX('Providers'!$X$4:$X$503,157))=0,"",INDEX('Providers'!$X$4:$X$503,157)))=0,"","Facility: "&amp;IF(LEN(INDEX('Providers'!$X$4:$X$503,157))=0,"",INDEX('Providers'!$X$4:$X$503,157))&amp;". "))</f>
        <v/>
      </c>
      <c r="J3660">
        <f>IF(LEN(INDEX('Providers'!$AJ$4:$AJ$503,157))=0,"",INDEX('Providers'!$AJ$4:$AJ$503,157))</f>
        <v/>
      </c>
      <c r="K3660">
        <f>IF(LEN(INDEX('Providers'!$AI$4:$AI$503,157))=0,"",INDEX('Providers'!$AI$4:$AI$503,157))</f>
        <v/>
      </c>
    </row>
    <row r="3661">
      <c r="A3661">
        <f>IF(AND(LEN('Providers'!A161)&gt;0,ISNUMBER('Providers'!Y161)),1,0)</f>
        <v/>
      </c>
      <c r="B3661">
        <f>B3660+A3661</f>
        <v/>
      </c>
      <c r="C3661">
        <f>IF(3658&gt;$B$4503,"",MATCH(3658-0.5,$B$3:$B$4503,1))</f>
        <v/>
      </c>
      <c r="D3661">
        <f>"Privileges reappointment – "&amp;IF(LEN(INDEX('Providers'!$A$4:$A$503,158))=0,"",INDEX('Providers'!$A$4:$A$503,158))</f>
        <v/>
      </c>
      <c r="E3661">
        <f>IF(ISNUMBER(INDEX('Providers'!$Y$4:$Y$503,158)),TEXT(INDEX('Providers'!$Y$4:$Y$503,158),"yyyy-mm-dd"),"")</f>
        <v/>
      </c>
      <c r="F3661">
        <f>"Credentialing"</f>
        <v/>
      </c>
      <c r="G3661">
        <f>""</f>
        <v/>
      </c>
      <c r="H3661">
        <f>"High"</f>
        <v/>
      </c>
      <c r="I3661">
        <f>TRIM(IF(LEN(IF(LEN(INDEX('Providers'!$X$4:$X$503,158))=0,"",INDEX('Providers'!$X$4:$X$503,158)))=0,"","Facility: "&amp;IF(LEN(INDEX('Providers'!$X$4:$X$503,158))=0,"",INDEX('Providers'!$X$4:$X$503,158))&amp;". "))</f>
        <v/>
      </c>
      <c r="J3661">
        <f>IF(LEN(INDEX('Providers'!$AJ$4:$AJ$503,158))=0,"",INDEX('Providers'!$AJ$4:$AJ$503,158))</f>
        <v/>
      </c>
      <c r="K3661">
        <f>IF(LEN(INDEX('Providers'!$AI$4:$AI$503,158))=0,"",INDEX('Providers'!$AI$4:$AI$503,158))</f>
        <v/>
      </c>
    </row>
    <row r="3662">
      <c r="A3662">
        <f>IF(AND(LEN('Providers'!A162)&gt;0,ISNUMBER('Providers'!Y162)),1,0)</f>
        <v/>
      </c>
      <c r="B3662">
        <f>B3661+A3662</f>
        <v/>
      </c>
      <c r="C3662">
        <f>IF(3659&gt;$B$4503,"",MATCH(3659-0.5,$B$3:$B$4503,1))</f>
        <v/>
      </c>
      <c r="D3662">
        <f>"Privileges reappointment – "&amp;IF(LEN(INDEX('Providers'!$A$4:$A$503,159))=0,"",INDEX('Providers'!$A$4:$A$503,159))</f>
        <v/>
      </c>
      <c r="E3662">
        <f>IF(ISNUMBER(INDEX('Providers'!$Y$4:$Y$503,159)),TEXT(INDEX('Providers'!$Y$4:$Y$503,159),"yyyy-mm-dd"),"")</f>
        <v/>
      </c>
      <c r="F3662">
        <f>"Credentialing"</f>
        <v/>
      </c>
      <c r="G3662">
        <f>""</f>
        <v/>
      </c>
      <c r="H3662">
        <f>"High"</f>
        <v/>
      </c>
      <c r="I3662">
        <f>TRIM(IF(LEN(IF(LEN(INDEX('Providers'!$X$4:$X$503,159))=0,"",INDEX('Providers'!$X$4:$X$503,159)))=0,"","Facility: "&amp;IF(LEN(INDEX('Providers'!$X$4:$X$503,159))=0,"",INDEX('Providers'!$X$4:$X$503,159))&amp;". "))</f>
        <v/>
      </c>
      <c r="J3662">
        <f>IF(LEN(INDEX('Providers'!$AJ$4:$AJ$503,159))=0,"",INDEX('Providers'!$AJ$4:$AJ$503,159))</f>
        <v/>
      </c>
      <c r="K3662">
        <f>IF(LEN(INDEX('Providers'!$AI$4:$AI$503,159))=0,"",INDEX('Providers'!$AI$4:$AI$503,159))</f>
        <v/>
      </c>
    </row>
    <row r="3663">
      <c r="A3663">
        <f>IF(AND(LEN('Providers'!A163)&gt;0,ISNUMBER('Providers'!Y163)),1,0)</f>
        <v/>
      </c>
      <c r="B3663">
        <f>B3662+A3663</f>
        <v/>
      </c>
      <c r="C3663">
        <f>IF(3660&gt;$B$4503,"",MATCH(3660-0.5,$B$3:$B$4503,1))</f>
        <v/>
      </c>
      <c r="D3663">
        <f>"Privileges reappointment – "&amp;IF(LEN(INDEX('Providers'!$A$4:$A$503,160))=0,"",INDEX('Providers'!$A$4:$A$503,160))</f>
        <v/>
      </c>
      <c r="E3663">
        <f>IF(ISNUMBER(INDEX('Providers'!$Y$4:$Y$503,160)),TEXT(INDEX('Providers'!$Y$4:$Y$503,160),"yyyy-mm-dd"),"")</f>
        <v/>
      </c>
      <c r="F3663">
        <f>"Credentialing"</f>
        <v/>
      </c>
      <c r="G3663">
        <f>""</f>
        <v/>
      </c>
      <c r="H3663">
        <f>"High"</f>
        <v/>
      </c>
      <c r="I3663">
        <f>TRIM(IF(LEN(IF(LEN(INDEX('Providers'!$X$4:$X$503,160))=0,"",INDEX('Providers'!$X$4:$X$503,160)))=0,"","Facility: "&amp;IF(LEN(INDEX('Providers'!$X$4:$X$503,160))=0,"",INDEX('Providers'!$X$4:$X$503,160))&amp;". "))</f>
        <v/>
      </c>
      <c r="J3663">
        <f>IF(LEN(INDEX('Providers'!$AJ$4:$AJ$503,160))=0,"",INDEX('Providers'!$AJ$4:$AJ$503,160))</f>
        <v/>
      </c>
      <c r="K3663">
        <f>IF(LEN(INDEX('Providers'!$AI$4:$AI$503,160))=0,"",INDEX('Providers'!$AI$4:$AI$503,160))</f>
        <v/>
      </c>
    </row>
    <row r="3664">
      <c r="A3664">
        <f>IF(AND(LEN('Providers'!A164)&gt;0,ISNUMBER('Providers'!Y164)),1,0)</f>
        <v/>
      </c>
      <c r="B3664">
        <f>B3663+A3664</f>
        <v/>
      </c>
      <c r="C3664">
        <f>IF(3661&gt;$B$4503,"",MATCH(3661-0.5,$B$3:$B$4503,1))</f>
        <v/>
      </c>
      <c r="D3664">
        <f>"Privileges reappointment – "&amp;IF(LEN(INDEX('Providers'!$A$4:$A$503,161))=0,"",INDEX('Providers'!$A$4:$A$503,161))</f>
        <v/>
      </c>
      <c r="E3664">
        <f>IF(ISNUMBER(INDEX('Providers'!$Y$4:$Y$503,161)),TEXT(INDEX('Providers'!$Y$4:$Y$503,161),"yyyy-mm-dd"),"")</f>
        <v/>
      </c>
      <c r="F3664">
        <f>"Credentialing"</f>
        <v/>
      </c>
      <c r="G3664">
        <f>""</f>
        <v/>
      </c>
      <c r="H3664">
        <f>"High"</f>
        <v/>
      </c>
      <c r="I3664">
        <f>TRIM(IF(LEN(IF(LEN(INDEX('Providers'!$X$4:$X$503,161))=0,"",INDEX('Providers'!$X$4:$X$503,161)))=0,"","Facility: "&amp;IF(LEN(INDEX('Providers'!$X$4:$X$503,161))=0,"",INDEX('Providers'!$X$4:$X$503,161))&amp;". "))</f>
        <v/>
      </c>
      <c r="J3664">
        <f>IF(LEN(INDEX('Providers'!$AJ$4:$AJ$503,161))=0,"",INDEX('Providers'!$AJ$4:$AJ$503,161))</f>
        <v/>
      </c>
      <c r="K3664">
        <f>IF(LEN(INDEX('Providers'!$AI$4:$AI$503,161))=0,"",INDEX('Providers'!$AI$4:$AI$503,161))</f>
        <v/>
      </c>
    </row>
    <row r="3665">
      <c r="A3665">
        <f>IF(AND(LEN('Providers'!A165)&gt;0,ISNUMBER('Providers'!Y165)),1,0)</f>
        <v/>
      </c>
      <c r="B3665">
        <f>B3664+A3665</f>
        <v/>
      </c>
      <c r="C3665">
        <f>IF(3662&gt;$B$4503,"",MATCH(3662-0.5,$B$3:$B$4503,1))</f>
        <v/>
      </c>
      <c r="D3665">
        <f>"Privileges reappointment – "&amp;IF(LEN(INDEX('Providers'!$A$4:$A$503,162))=0,"",INDEX('Providers'!$A$4:$A$503,162))</f>
        <v/>
      </c>
      <c r="E3665">
        <f>IF(ISNUMBER(INDEX('Providers'!$Y$4:$Y$503,162)),TEXT(INDEX('Providers'!$Y$4:$Y$503,162),"yyyy-mm-dd"),"")</f>
        <v/>
      </c>
      <c r="F3665">
        <f>"Credentialing"</f>
        <v/>
      </c>
      <c r="G3665">
        <f>""</f>
        <v/>
      </c>
      <c r="H3665">
        <f>"High"</f>
        <v/>
      </c>
      <c r="I3665">
        <f>TRIM(IF(LEN(IF(LEN(INDEX('Providers'!$X$4:$X$503,162))=0,"",INDEX('Providers'!$X$4:$X$503,162)))=0,"","Facility: "&amp;IF(LEN(INDEX('Providers'!$X$4:$X$503,162))=0,"",INDEX('Providers'!$X$4:$X$503,162))&amp;". "))</f>
        <v/>
      </c>
      <c r="J3665">
        <f>IF(LEN(INDEX('Providers'!$AJ$4:$AJ$503,162))=0,"",INDEX('Providers'!$AJ$4:$AJ$503,162))</f>
        <v/>
      </c>
      <c r="K3665">
        <f>IF(LEN(INDEX('Providers'!$AI$4:$AI$503,162))=0,"",INDEX('Providers'!$AI$4:$AI$503,162))</f>
        <v/>
      </c>
    </row>
    <row r="3666">
      <c r="A3666">
        <f>IF(AND(LEN('Providers'!A166)&gt;0,ISNUMBER('Providers'!Y166)),1,0)</f>
        <v/>
      </c>
      <c r="B3666">
        <f>B3665+A3666</f>
        <v/>
      </c>
      <c r="C3666">
        <f>IF(3663&gt;$B$4503,"",MATCH(3663-0.5,$B$3:$B$4503,1))</f>
        <v/>
      </c>
      <c r="D3666">
        <f>"Privileges reappointment – "&amp;IF(LEN(INDEX('Providers'!$A$4:$A$503,163))=0,"",INDEX('Providers'!$A$4:$A$503,163))</f>
        <v/>
      </c>
      <c r="E3666">
        <f>IF(ISNUMBER(INDEX('Providers'!$Y$4:$Y$503,163)),TEXT(INDEX('Providers'!$Y$4:$Y$503,163),"yyyy-mm-dd"),"")</f>
        <v/>
      </c>
      <c r="F3666">
        <f>"Credentialing"</f>
        <v/>
      </c>
      <c r="G3666">
        <f>""</f>
        <v/>
      </c>
      <c r="H3666">
        <f>"High"</f>
        <v/>
      </c>
      <c r="I3666">
        <f>TRIM(IF(LEN(IF(LEN(INDEX('Providers'!$X$4:$X$503,163))=0,"",INDEX('Providers'!$X$4:$X$503,163)))=0,"","Facility: "&amp;IF(LEN(INDEX('Providers'!$X$4:$X$503,163))=0,"",INDEX('Providers'!$X$4:$X$503,163))&amp;". "))</f>
        <v/>
      </c>
      <c r="J3666">
        <f>IF(LEN(INDEX('Providers'!$AJ$4:$AJ$503,163))=0,"",INDEX('Providers'!$AJ$4:$AJ$503,163))</f>
        <v/>
      </c>
      <c r="K3666">
        <f>IF(LEN(INDEX('Providers'!$AI$4:$AI$503,163))=0,"",INDEX('Providers'!$AI$4:$AI$503,163))</f>
        <v/>
      </c>
    </row>
    <row r="3667">
      <c r="A3667">
        <f>IF(AND(LEN('Providers'!A167)&gt;0,ISNUMBER('Providers'!Y167)),1,0)</f>
        <v/>
      </c>
      <c r="B3667">
        <f>B3666+A3667</f>
        <v/>
      </c>
      <c r="C3667">
        <f>IF(3664&gt;$B$4503,"",MATCH(3664-0.5,$B$3:$B$4503,1))</f>
        <v/>
      </c>
      <c r="D3667">
        <f>"Privileges reappointment – "&amp;IF(LEN(INDEX('Providers'!$A$4:$A$503,164))=0,"",INDEX('Providers'!$A$4:$A$503,164))</f>
        <v/>
      </c>
      <c r="E3667">
        <f>IF(ISNUMBER(INDEX('Providers'!$Y$4:$Y$503,164)),TEXT(INDEX('Providers'!$Y$4:$Y$503,164),"yyyy-mm-dd"),"")</f>
        <v/>
      </c>
      <c r="F3667">
        <f>"Credentialing"</f>
        <v/>
      </c>
      <c r="G3667">
        <f>""</f>
        <v/>
      </c>
      <c r="H3667">
        <f>"High"</f>
        <v/>
      </c>
      <c r="I3667">
        <f>TRIM(IF(LEN(IF(LEN(INDEX('Providers'!$X$4:$X$503,164))=0,"",INDEX('Providers'!$X$4:$X$503,164)))=0,"","Facility: "&amp;IF(LEN(INDEX('Providers'!$X$4:$X$503,164))=0,"",INDEX('Providers'!$X$4:$X$503,164))&amp;". "))</f>
        <v/>
      </c>
      <c r="J3667">
        <f>IF(LEN(INDEX('Providers'!$AJ$4:$AJ$503,164))=0,"",INDEX('Providers'!$AJ$4:$AJ$503,164))</f>
        <v/>
      </c>
      <c r="K3667">
        <f>IF(LEN(INDEX('Providers'!$AI$4:$AI$503,164))=0,"",INDEX('Providers'!$AI$4:$AI$503,164))</f>
        <v/>
      </c>
    </row>
    <row r="3668">
      <c r="A3668">
        <f>IF(AND(LEN('Providers'!A168)&gt;0,ISNUMBER('Providers'!Y168)),1,0)</f>
        <v/>
      </c>
      <c r="B3668">
        <f>B3667+A3668</f>
        <v/>
      </c>
      <c r="C3668">
        <f>IF(3665&gt;$B$4503,"",MATCH(3665-0.5,$B$3:$B$4503,1))</f>
        <v/>
      </c>
      <c r="D3668">
        <f>"Privileges reappointment – "&amp;IF(LEN(INDEX('Providers'!$A$4:$A$503,165))=0,"",INDEX('Providers'!$A$4:$A$503,165))</f>
        <v/>
      </c>
      <c r="E3668">
        <f>IF(ISNUMBER(INDEX('Providers'!$Y$4:$Y$503,165)),TEXT(INDEX('Providers'!$Y$4:$Y$503,165),"yyyy-mm-dd"),"")</f>
        <v/>
      </c>
      <c r="F3668">
        <f>"Credentialing"</f>
        <v/>
      </c>
      <c r="G3668">
        <f>""</f>
        <v/>
      </c>
      <c r="H3668">
        <f>"High"</f>
        <v/>
      </c>
      <c r="I3668">
        <f>TRIM(IF(LEN(IF(LEN(INDEX('Providers'!$X$4:$X$503,165))=0,"",INDEX('Providers'!$X$4:$X$503,165)))=0,"","Facility: "&amp;IF(LEN(INDEX('Providers'!$X$4:$X$503,165))=0,"",INDEX('Providers'!$X$4:$X$503,165))&amp;". "))</f>
        <v/>
      </c>
      <c r="J3668">
        <f>IF(LEN(INDEX('Providers'!$AJ$4:$AJ$503,165))=0,"",INDEX('Providers'!$AJ$4:$AJ$503,165))</f>
        <v/>
      </c>
      <c r="K3668">
        <f>IF(LEN(INDEX('Providers'!$AI$4:$AI$503,165))=0,"",INDEX('Providers'!$AI$4:$AI$503,165))</f>
        <v/>
      </c>
    </row>
    <row r="3669">
      <c r="A3669">
        <f>IF(AND(LEN('Providers'!A169)&gt;0,ISNUMBER('Providers'!Y169)),1,0)</f>
        <v/>
      </c>
      <c r="B3669">
        <f>B3668+A3669</f>
        <v/>
      </c>
      <c r="C3669">
        <f>IF(3666&gt;$B$4503,"",MATCH(3666-0.5,$B$3:$B$4503,1))</f>
        <v/>
      </c>
      <c r="D3669">
        <f>"Privileges reappointment – "&amp;IF(LEN(INDEX('Providers'!$A$4:$A$503,166))=0,"",INDEX('Providers'!$A$4:$A$503,166))</f>
        <v/>
      </c>
      <c r="E3669">
        <f>IF(ISNUMBER(INDEX('Providers'!$Y$4:$Y$503,166)),TEXT(INDEX('Providers'!$Y$4:$Y$503,166),"yyyy-mm-dd"),"")</f>
        <v/>
      </c>
      <c r="F3669">
        <f>"Credentialing"</f>
        <v/>
      </c>
      <c r="G3669">
        <f>""</f>
        <v/>
      </c>
      <c r="H3669">
        <f>"High"</f>
        <v/>
      </c>
      <c r="I3669">
        <f>TRIM(IF(LEN(IF(LEN(INDEX('Providers'!$X$4:$X$503,166))=0,"",INDEX('Providers'!$X$4:$X$503,166)))=0,"","Facility: "&amp;IF(LEN(INDEX('Providers'!$X$4:$X$503,166))=0,"",INDEX('Providers'!$X$4:$X$503,166))&amp;". "))</f>
        <v/>
      </c>
      <c r="J3669">
        <f>IF(LEN(INDEX('Providers'!$AJ$4:$AJ$503,166))=0,"",INDEX('Providers'!$AJ$4:$AJ$503,166))</f>
        <v/>
      </c>
      <c r="K3669">
        <f>IF(LEN(INDEX('Providers'!$AI$4:$AI$503,166))=0,"",INDEX('Providers'!$AI$4:$AI$503,166))</f>
        <v/>
      </c>
    </row>
    <row r="3670">
      <c r="A3670">
        <f>IF(AND(LEN('Providers'!A170)&gt;0,ISNUMBER('Providers'!Y170)),1,0)</f>
        <v/>
      </c>
      <c r="B3670">
        <f>B3669+A3670</f>
        <v/>
      </c>
      <c r="C3670">
        <f>IF(3667&gt;$B$4503,"",MATCH(3667-0.5,$B$3:$B$4503,1))</f>
        <v/>
      </c>
      <c r="D3670">
        <f>"Privileges reappointment – "&amp;IF(LEN(INDEX('Providers'!$A$4:$A$503,167))=0,"",INDEX('Providers'!$A$4:$A$503,167))</f>
        <v/>
      </c>
      <c r="E3670">
        <f>IF(ISNUMBER(INDEX('Providers'!$Y$4:$Y$503,167)),TEXT(INDEX('Providers'!$Y$4:$Y$503,167),"yyyy-mm-dd"),"")</f>
        <v/>
      </c>
      <c r="F3670">
        <f>"Credentialing"</f>
        <v/>
      </c>
      <c r="G3670">
        <f>""</f>
        <v/>
      </c>
      <c r="H3670">
        <f>"High"</f>
        <v/>
      </c>
      <c r="I3670">
        <f>TRIM(IF(LEN(IF(LEN(INDEX('Providers'!$X$4:$X$503,167))=0,"",INDEX('Providers'!$X$4:$X$503,167)))=0,"","Facility: "&amp;IF(LEN(INDEX('Providers'!$X$4:$X$503,167))=0,"",INDEX('Providers'!$X$4:$X$503,167))&amp;". "))</f>
        <v/>
      </c>
      <c r="J3670">
        <f>IF(LEN(INDEX('Providers'!$AJ$4:$AJ$503,167))=0,"",INDEX('Providers'!$AJ$4:$AJ$503,167))</f>
        <v/>
      </c>
      <c r="K3670">
        <f>IF(LEN(INDEX('Providers'!$AI$4:$AI$503,167))=0,"",INDEX('Providers'!$AI$4:$AI$503,167))</f>
        <v/>
      </c>
    </row>
    <row r="3671">
      <c r="A3671">
        <f>IF(AND(LEN('Providers'!A171)&gt;0,ISNUMBER('Providers'!Y171)),1,0)</f>
        <v/>
      </c>
      <c r="B3671">
        <f>B3670+A3671</f>
        <v/>
      </c>
      <c r="C3671">
        <f>IF(3668&gt;$B$4503,"",MATCH(3668-0.5,$B$3:$B$4503,1))</f>
        <v/>
      </c>
      <c r="D3671">
        <f>"Privileges reappointment – "&amp;IF(LEN(INDEX('Providers'!$A$4:$A$503,168))=0,"",INDEX('Providers'!$A$4:$A$503,168))</f>
        <v/>
      </c>
      <c r="E3671">
        <f>IF(ISNUMBER(INDEX('Providers'!$Y$4:$Y$503,168)),TEXT(INDEX('Providers'!$Y$4:$Y$503,168),"yyyy-mm-dd"),"")</f>
        <v/>
      </c>
      <c r="F3671">
        <f>"Credentialing"</f>
        <v/>
      </c>
      <c r="G3671">
        <f>""</f>
        <v/>
      </c>
      <c r="H3671">
        <f>"High"</f>
        <v/>
      </c>
      <c r="I3671">
        <f>TRIM(IF(LEN(IF(LEN(INDEX('Providers'!$X$4:$X$503,168))=0,"",INDEX('Providers'!$X$4:$X$503,168)))=0,"","Facility: "&amp;IF(LEN(INDEX('Providers'!$X$4:$X$503,168))=0,"",INDEX('Providers'!$X$4:$X$503,168))&amp;". "))</f>
        <v/>
      </c>
      <c r="J3671">
        <f>IF(LEN(INDEX('Providers'!$AJ$4:$AJ$503,168))=0,"",INDEX('Providers'!$AJ$4:$AJ$503,168))</f>
        <v/>
      </c>
      <c r="K3671">
        <f>IF(LEN(INDEX('Providers'!$AI$4:$AI$503,168))=0,"",INDEX('Providers'!$AI$4:$AI$503,168))</f>
        <v/>
      </c>
    </row>
    <row r="3672">
      <c r="A3672">
        <f>IF(AND(LEN('Providers'!A172)&gt;0,ISNUMBER('Providers'!Y172)),1,0)</f>
        <v/>
      </c>
      <c r="B3672">
        <f>B3671+A3672</f>
        <v/>
      </c>
      <c r="C3672">
        <f>IF(3669&gt;$B$4503,"",MATCH(3669-0.5,$B$3:$B$4503,1))</f>
        <v/>
      </c>
      <c r="D3672">
        <f>"Privileges reappointment – "&amp;IF(LEN(INDEX('Providers'!$A$4:$A$503,169))=0,"",INDEX('Providers'!$A$4:$A$503,169))</f>
        <v/>
      </c>
      <c r="E3672">
        <f>IF(ISNUMBER(INDEX('Providers'!$Y$4:$Y$503,169)),TEXT(INDEX('Providers'!$Y$4:$Y$503,169),"yyyy-mm-dd"),"")</f>
        <v/>
      </c>
      <c r="F3672">
        <f>"Credentialing"</f>
        <v/>
      </c>
      <c r="G3672">
        <f>""</f>
        <v/>
      </c>
      <c r="H3672">
        <f>"High"</f>
        <v/>
      </c>
      <c r="I3672">
        <f>TRIM(IF(LEN(IF(LEN(INDEX('Providers'!$X$4:$X$503,169))=0,"",INDEX('Providers'!$X$4:$X$503,169)))=0,"","Facility: "&amp;IF(LEN(INDEX('Providers'!$X$4:$X$503,169))=0,"",INDEX('Providers'!$X$4:$X$503,169))&amp;". "))</f>
        <v/>
      </c>
      <c r="J3672">
        <f>IF(LEN(INDEX('Providers'!$AJ$4:$AJ$503,169))=0,"",INDEX('Providers'!$AJ$4:$AJ$503,169))</f>
        <v/>
      </c>
      <c r="K3672">
        <f>IF(LEN(INDEX('Providers'!$AI$4:$AI$503,169))=0,"",INDEX('Providers'!$AI$4:$AI$503,169))</f>
        <v/>
      </c>
    </row>
    <row r="3673">
      <c r="A3673">
        <f>IF(AND(LEN('Providers'!A173)&gt;0,ISNUMBER('Providers'!Y173)),1,0)</f>
        <v/>
      </c>
      <c r="B3673">
        <f>B3672+A3673</f>
        <v/>
      </c>
      <c r="C3673">
        <f>IF(3670&gt;$B$4503,"",MATCH(3670-0.5,$B$3:$B$4503,1))</f>
        <v/>
      </c>
      <c r="D3673">
        <f>"Privileges reappointment – "&amp;IF(LEN(INDEX('Providers'!$A$4:$A$503,170))=0,"",INDEX('Providers'!$A$4:$A$503,170))</f>
        <v/>
      </c>
      <c r="E3673">
        <f>IF(ISNUMBER(INDEX('Providers'!$Y$4:$Y$503,170)),TEXT(INDEX('Providers'!$Y$4:$Y$503,170),"yyyy-mm-dd"),"")</f>
        <v/>
      </c>
      <c r="F3673">
        <f>"Credentialing"</f>
        <v/>
      </c>
      <c r="G3673">
        <f>""</f>
        <v/>
      </c>
      <c r="H3673">
        <f>"High"</f>
        <v/>
      </c>
      <c r="I3673">
        <f>TRIM(IF(LEN(IF(LEN(INDEX('Providers'!$X$4:$X$503,170))=0,"",INDEX('Providers'!$X$4:$X$503,170)))=0,"","Facility: "&amp;IF(LEN(INDEX('Providers'!$X$4:$X$503,170))=0,"",INDEX('Providers'!$X$4:$X$503,170))&amp;". "))</f>
        <v/>
      </c>
      <c r="J3673">
        <f>IF(LEN(INDEX('Providers'!$AJ$4:$AJ$503,170))=0,"",INDEX('Providers'!$AJ$4:$AJ$503,170))</f>
        <v/>
      </c>
      <c r="K3673">
        <f>IF(LEN(INDEX('Providers'!$AI$4:$AI$503,170))=0,"",INDEX('Providers'!$AI$4:$AI$503,170))</f>
        <v/>
      </c>
    </row>
    <row r="3674">
      <c r="A3674">
        <f>IF(AND(LEN('Providers'!A174)&gt;0,ISNUMBER('Providers'!Y174)),1,0)</f>
        <v/>
      </c>
      <c r="B3674">
        <f>B3673+A3674</f>
        <v/>
      </c>
      <c r="C3674">
        <f>IF(3671&gt;$B$4503,"",MATCH(3671-0.5,$B$3:$B$4503,1))</f>
        <v/>
      </c>
      <c r="D3674">
        <f>"Privileges reappointment – "&amp;IF(LEN(INDEX('Providers'!$A$4:$A$503,171))=0,"",INDEX('Providers'!$A$4:$A$503,171))</f>
        <v/>
      </c>
      <c r="E3674">
        <f>IF(ISNUMBER(INDEX('Providers'!$Y$4:$Y$503,171)),TEXT(INDEX('Providers'!$Y$4:$Y$503,171),"yyyy-mm-dd"),"")</f>
        <v/>
      </c>
      <c r="F3674">
        <f>"Credentialing"</f>
        <v/>
      </c>
      <c r="G3674">
        <f>""</f>
        <v/>
      </c>
      <c r="H3674">
        <f>"High"</f>
        <v/>
      </c>
      <c r="I3674">
        <f>TRIM(IF(LEN(IF(LEN(INDEX('Providers'!$X$4:$X$503,171))=0,"",INDEX('Providers'!$X$4:$X$503,171)))=0,"","Facility: "&amp;IF(LEN(INDEX('Providers'!$X$4:$X$503,171))=0,"",INDEX('Providers'!$X$4:$X$503,171))&amp;". "))</f>
        <v/>
      </c>
      <c r="J3674">
        <f>IF(LEN(INDEX('Providers'!$AJ$4:$AJ$503,171))=0,"",INDEX('Providers'!$AJ$4:$AJ$503,171))</f>
        <v/>
      </c>
      <c r="K3674">
        <f>IF(LEN(INDEX('Providers'!$AI$4:$AI$503,171))=0,"",INDEX('Providers'!$AI$4:$AI$503,171))</f>
        <v/>
      </c>
    </row>
    <row r="3675">
      <c r="A3675">
        <f>IF(AND(LEN('Providers'!A175)&gt;0,ISNUMBER('Providers'!Y175)),1,0)</f>
        <v/>
      </c>
      <c r="B3675">
        <f>B3674+A3675</f>
        <v/>
      </c>
      <c r="C3675">
        <f>IF(3672&gt;$B$4503,"",MATCH(3672-0.5,$B$3:$B$4503,1))</f>
        <v/>
      </c>
      <c r="D3675">
        <f>"Privileges reappointment – "&amp;IF(LEN(INDEX('Providers'!$A$4:$A$503,172))=0,"",INDEX('Providers'!$A$4:$A$503,172))</f>
        <v/>
      </c>
      <c r="E3675">
        <f>IF(ISNUMBER(INDEX('Providers'!$Y$4:$Y$503,172)),TEXT(INDEX('Providers'!$Y$4:$Y$503,172),"yyyy-mm-dd"),"")</f>
        <v/>
      </c>
      <c r="F3675">
        <f>"Credentialing"</f>
        <v/>
      </c>
      <c r="G3675">
        <f>""</f>
        <v/>
      </c>
      <c r="H3675">
        <f>"High"</f>
        <v/>
      </c>
      <c r="I3675">
        <f>TRIM(IF(LEN(IF(LEN(INDEX('Providers'!$X$4:$X$503,172))=0,"",INDEX('Providers'!$X$4:$X$503,172)))=0,"","Facility: "&amp;IF(LEN(INDEX('Providers'!$X$4:$X$503,172))=0,"",INDEX('Providers'!$X$4:$X$503,172))&amp;". "))</f>
        <v/>
      </c>
      <c r="J3675">
        <f>IF(LEN(INDEX('Providers'!$AJ$4:$AJ$503,172))=0,"",INDEX('Providers'!$AJ$4:$AJ$503,172))</f>
        <v/>
      </c>
      <c r="K3675">
        <f>IF(LEN(INDEX('Providers'!$AI$4:$AI$503,172))=0,"",INDEX('Providers'!$AI$4:$AI$503,172))</f>
        <v/>
      </c>
    </row>
    <row r="3676">
      <c r="A3676">
        <f>IF(AND(LEN('Providers'!A176)&gt;0,ISNUMBER('Providers'!Y176)),1,0)</f>
        <v/>
      </c>
      <c r="B3676">
        <f>B3675+A3676</f>
        <v/>
      </c>
      <c r="C3676">
        <f>IF(3673&gt;$B$4503,"",MATCH(3673-0.5,$B$3:$B$4503,1))</f>
        <v/>
      </c>
      <c r="D3676">
        <f>"Privileges reappointment – "&amp;IF(LEN(INDEX('Providers'!$A$4:$A$503,173))=0,"",INDEX('Providers'!$A$4:$A$503,173))</f>
        <v/>
      </c>
      <c r="E3676">
        <f>IF(ISNUMBER(INDEX('Providers'!$Y$4:$Y$503,173)),TEXT(INDEX('Providers'!$Y$4:$Y$503,173),"yyyy-mm-dd"),"")</f>
        <v/>
      </c>
      <c r="F3676">
        <f>"Credentialing"</f>
        <v/>
      </c>
      <c r="G3676">
        <f>""</f>
        <v/>
      </c>
      <c r="H3676">
        <f>"High"</f>
        <v/>
      </c>
      <c r="I3676">
        <f>TRIM(IF(LEN(IF(LEN(INDEX('Providers'!$X$4:$X$503,173))=0,"",INDEX('Providers'!$X$4:$X$503,173)))=0,"","Facility: "&amp;IF(LEN(INDEX('Providers'!$X$4:$X$503,173))=0,"",INDEX('Providers'!$X$4:$X$503,173))&amp;". "))</f>
        <v/>
      </c>
      <c r="J3676">
        <f>IF(LEN(INDEX('Providers'!$AJ$4:$AJ$503,173))=0,"",INDEX('Providers'!$AJ$4:$AJ$503,173))</f>
        <v/>
      </c>
      <c r="K3676">
        <f>IF(LEN(INDEX('Providers'!$AI$4:$AI$503,173))=0,"",INDEX('Providers'!$AI$4:$AI$503,173))</f>
        <v/>
      </c>
    </row>
    <row r="3677">
      <c r="A3677">
        <f>IF(AND(LEN('Providers'!A177)&gt;0,ISNUMBER('Providers'!Y177)),1,0)</f>
        <v/>
      </c>
      <c r="B3677">
        <f>B3676+A3677</f>
        <v/>
      </c>
      <c r="C3677">
        <f>IF(3674&gt;$B$4503,"",MATCH(3674-0.5,$B$3:$B$4503,1))</f>
        <v/>
      </c>
      <c r="D3677">
        <f>"Privileges reappointment – "&amp;IF(LEN(INDEX('Providers'!$A$4:$A$503,174))=0,"",INDEX('Providers'!$A$4:$A$503,174))</f>
        <v/>
      </c>
      <c r="E3677">
        <f>IF(ISNUMBER(INDEX('Providers'!$Y$4:$Y$503,174)),TEXT(INDEX('Providers'!$Y$4:$Y$503,174),"yyyy-mm-dd"),"")</f>
        <v/>
      </c>
      <c r="F3677">
        <f>"Credentialing"</f>
        <v/>
      </c>
      <c r="G3677">
        <f>""</f>
        <v/>
      </c>
      <c r="H3677">
        <f>"High"</f>
        <v/>
      </c>
      <c r="I3677">
        <f>TRIM(IF(LEN(IF(LEN(INDEX('Providers'!$X$4:$X$503,174))=0,"",INDEX('Providers'!$X$4:$X$503,174)))=0,"","Facility: "&amp;IF(LEN(INDEX('Providers'!$X$4:$X$503,174))=0,"",INDEX('Providers'!$X$4:$X$503,174))&amp;". "))</f>
        <v/>
      </c>
      <c r="J3677">
        <f>IF(LEN(INDEX('Providers'!$AJ$4:$AJ$503,174))=0,"",INDEX('Providers'!$AJ$4:$AJ$503,174))</f>
        <v/>
      </c>
      <c r="K3677">
        <f>IF(LEN(INDEX('Providers'!$AI$4:$AI$503,174))=0,"",INDEX('Providers'!$AI$4:$AI$503,174))</f>
        <v/>
      </c>
    </row>
    <row r="3678">
      <c r="A3678">
        <f>IF(AND(LEN('Providers'!A178)&gt;0,ISNUMBER('Providers'!Y178)),1,0)</f>
        <v/>
      </c>
      <c r="B3678">
        <f>B3677+A3678</f>
        <v/>
      </c>
      <c r="C3678">
        <f>IF(3675&gt;$B$4503,"",MATCH(3675-0.5,$B$3:$B$4503,1))</f>
        <v/>
      </c>
      <c r="D3678">
        <f>"Privileges reappointment – "&amp;IF(LEN(INDEX('Providers'!$A$4:$A$503,175))=0,"",INDEX('Providers'!$A$4:$A$503,175))</f>
        <v/>
      </c>
      <c r="E3678">
        <f>IF(ISNUMBER(INDEX('Providers'!$Y$4:$Y$503,175)),TEXT(INDEX('Providers'!$Y$4:$Y$503,175),"yyyy-mm-dd"),"")</f>
        <v/>
      </c>
      <c r="F3678">
        <f>"Credentialing"</f>
        <v/>
      </c>
      <c r="G3678">
        <f>""</f>
        <v/>
      </c>
      <c r="H3678">
        <f>"High"</f>
        <v/>
      </c>
      <c r="I3678">
        <f>TRIM(IF(LEN(IF(LEN(INDEX('Providers'!$X$4:$X$503,175))=0,"",INDEX('Providers'!$X$4:$X$503,175)))=0,"","Facility: "&amp;IF(LEN(INDEX('Providers'!$X$4:$X$503,175))=0,"",INDEX('Providers'!$X$4:$X$503,175))&amp;". "))</f>
        <v/>
      </c>
      <c r="J3678">
        <f>IF(LEN(INDEX('Providers'!$AJ$4:$AJ$503,175))=0,"",INDEX('Providers'!$AJ$4:$AJ$503,175))</f>
        <v/>
      </c>
      <c r="K3678">
        <f>IF(LEN(INDEX('Providers'!$AI$4:$AI$503,175))=0,"",INDEX('Providers'!$AI$4:$AI$503,175))</f>
        <v/>
      </c>
    </row>
    <row r="3679">
      <c r="A3679">
        <f>IF(AND(LEN('Providers'!A179)&gt;0,ISNUMBER('Providers'!Y179)),1,0)</f>
        <v/>
      </c>
      <c r="B3679">
        <f>B3678+A3679</f>
        <v/>
      </c>
      <c r="C3679">
        <f>IF(3676&gt;$B$4503,"",MATCH(3676-0.5,$B$3:$B$4503,1))</f>
        <v/>
      </c>
      <c r="D3679">
        <f>"Privileges reappointment – "&amp;IF(LEN(INDEX('Providers'!$A$4:$A$503,176))=0,"",INDEX('Providers'!$A$4:$A$503,176))</f>
        <v/>
      </c>
      <c r="E3679">
        <f>IF(ISNUMBER(INDEX('Providers'!$Y$4:$Y$503,176)),TEXT(INDEX('Providers'!$Y$4:$Y$503,176),"yyyy-mm-dd"),"")</f>
        <v/>
      </c>
      <c r="F3679">
        <f>"Credentialing"</f>
        <v/>
      </c>
      <c r="G3679">
        <f>""</f>
        <v/>
      </c>
      <c r="H3679">
        <f>"High"</f>
        <v/>
      </c>
      <c r="I3679">
        <f>TRIM(IF(LEN(IF(LEN(INDEX('Providers'!$X$4:$X$503,176))=0,"",INDEX('Providers'!$X$4:$X$503,176)))=0,"","Facility: "&amp;IF(LEN(INDEX('Providers'!$X$4:$X$503,176))=0,"",INDEX('Providers'!$X$4:$X$503,176))&amp;". "))</f>
        <v/>
      </c>
      <c r="J3679">
        <f>IF(LEN(INDEX('Providers'!$AJ$4:$AJ$503,176))=0,"",INDEX('Providers'!$AJ$4:$AJ$503,176))</f>
        <v/>
      </c>
      <c r="K3679">
        <f>IF(LEN(INDEX('Providers'!$AI$4:$AI$503,176))=0,"",INDEX('Providers'!$AI$4:$AI$503,176))</f>
        <v/>
      </c>
    </row>
    <row r="3680">
      <c r="A3680">
        <f>IF(AND(LEN('Providers'!A180)&gt;0,ISNUMBER('Providers'!Y180)),1,0)</f>
        <v/>
      </c>
      <c r="B3680">
        <f>B3679+A3680</f>
        <v/>
      </c>
      <c r="C3680">
        <f>IF(3677&gt;$B$4503,"",MATCH(3677-0.5,$B$3:$B$4503,1))</f>
        <v/>
      </c>
      <c r="D3680">
        <f>"Privileges reappointment – "&amp;IF(LEN(INDEX('Providers'!$A$4:$A$503,177))=0,"",INDEX('Providers'!$A$4:$A$503,177))</f>
        <v/>
      </c>
      <c r="E3680">
        <f>IF(ISNUMBER(INDEX('Providers'!$Y$4:$Y$503,177)),TEXT(INDEX('Providers'!$Y$4:$Y$503,177),"yyyy-mm-dd"),"")</f>
        <v/>
      </c>
      <c r="F3680">
        <f>"Credentialing"</f>
        <v/>
      </c>
      <c r="G3680">
        <f>""</f>
        <v/>
      </c>
      <c r="H3680">
        <f>"High"</f>
        <v/>
      </c>
      <c r="I3680">
        <f>TRIM(IF(LEN(IF(LEN(INDEX('Providers'!$X$4:$X$503,177))=0,"",INDEX('Providers'!$X$4:$X$503,177)))=0,"","Facility: "&amp;IF(LEN(INDEX('Providers'!$X$4:$X$503,177))=0,"",INDEX('Providers'!$X$4:$X$503,177))&amp;". "))</f>
        <v/>
      </c>
      <c r="J3680">
        <f>IF(LEN(INDEX('Providers'!$AJ$4:$AJ$503,177))=0,"",INDEX('Providers'!$AJ$4:$AJ$503,177))</f>
        <v/>
      </c>
      <c r="K3680">
        <f>IF(LEN(INDEX('Providers'!$AI$4:$AI$503,177))=0,"",INDEX('Providers'!$AI$4:$AI$503,177))</f>
        <v/>
      </c>
    </row>
    <row r="3681">
      <c r="A3681">
        <f>IF(AND(LEN('Providers'!A181)&gt;0,ISNUMBER('Providers'!Y181)),1,0)</f>
        <v/>
      </c>
      <c r="B3681">
        <f>B3680+A3681</f>
        <v/>
      </c>
      <c r="C3681">
        <f>IF(3678&gt;$B$4503,"",MATCH(3678-0.5,$B$3:$B$4503,1))</f>
        <v/>
      </c>
      <c r="D3681">
        <f>"Privileges reappointment – "&amp;IF(LEN(INDEX('Providers'!$A$4:$A$503,178))=0,"",INDEX('Providers'!$A$4:$A$503,178))</f>
        <v/>
      </c>
      <c r="E3681">
        <f>IF(ISNUMBER(INDEX('Providers'!$Y$4:$Y$503,178)),TEXT(INDEX('Providers'!$Y$4:$Y$503,178),"yyyy-mm-dd"),"")</f>
        <v/>
      </c>
      <c r="F3681">
        <f>"Credentialing"</f>
        <v/>
      </c>
      <c r="G3681">
        <f>""</f>
        <v/>
      </c>
      <c r="H3681">
        <f>"High"</f>
        <v/>
      </c>
      <c r="I3681">
        <f>TRIM(IF(LEN(IF(LEN(INDEX('Providers'!$X$4:$X$503,178))=0,"",INDEX('Providers'!$X$4:$X$503,178)))=0,"","Facility: "&amp;IF(LEN(INDEX('Providers'!$X$4:$X$503,178))=0,"",INDEX('Providers'!$X$4:$X$503,178))&amp;". "))</f>
        <v/>
      </c>
      <c r="J3681">
        <f>IF(LEN(INDEX('Providers'!$AJ$4:$AJ$503,178))=0,"",INDEX('Providers'!$AJ$4:$AJ$503,178))</f>
        <v/>
      </c>
      <c r="K3681">
        <f>IF(LEN(INDEX('Providers'!$AI$4:$AI$503,178))=0,"",INDEX('Providers'!$AI$4:$AI$503,178))</f>
        <v/>
      </c>
    </row>
    <row r="3682">
      <c r="A3682">
        <f>IF(AND(LEN('Providers'!A182)&gt;0,ISNUMBER('Providers'!Y182)),1,0)</f>
        <v/>
      </c>
      <c r="B3682">
        <f>B3681+A3682</f>
        <v/>
      </c>
      <c r="C3682">
        <f>IF(3679&gt;$B$4503,"",MATCH(3679-0.5,$B$3:$B$4503,1))</f>
        <v/>
      </c>
      <c r="D3682">
        <f>"Privileges reappointment – "&amp;IF(LEN(INDEX('Providers'!$A$4:$A$503,179))=0,"",INDEX('Providers'!$A$4:$A$503,179))</f>
        <v/>
      </c>
      <c r="E3682">
        <f>IF(ISNUMBER(INDEX('Providers'!$Y$4:$Y$503,179)),TEXT(INDEX('Providers'!$Y$4:$Y$503,179),"yyyy-mm-dd"),"")</f>
        <v/>
      </c>
      <c r="F3682">
        <f>"Credentialing"</f>
        <v/>
      </c>
      <c r="G3682">
        <f>""</f>
        <v/>
      </c>
      <c r="H3682">
        <f>"High"</f>
        <v/>
      </c>
      <c r="I3682">
        <f>TRIM(IF(LEN(IF(LEN(INDEX('Providers'!$X$4:$X$503,179))=0,"",INDEX('Providers'!$X$4:$X$503,179)))=0,"","Facility: "&amp;IF(LEN(INDEX('Providers'!$X$4:$X$503,179))=0,"",INDEX('Providers'!$X$4:$X$503,179))&amp;". "))</f>
        <v/>
      </c>
      <c r="J3682">
        <f>IF(LEN(INDEX('Providers'!$AJ$4:$AJ$503,179))=0,"",INDEX('Providers'!$AJ$4:$AJ$503,179))</f>
        <v/>
      </c>
      <c r="K3682">
        <f>IF(LEN(INDEX('Providers'!$AI$4:$AI$503,179))=0,"",INDEX('Providers'!$AI$4:$AI$503,179))</f>
        <v/>
      </c>
    </row>
    <row r="3683">
      <c r="A3683">
        <f>IF(AND(LEN('Providers'!A183)&gt;0,ISNUMBER('Providers'!Y183)),1,0)</f>
        <v/>
      </c>
      <c r="B3683">
        <f>B3682+A3683</f>
        <v/>
      </c>
      <c r="C3683">
        <f>IF(3680&gt;$B$4503,"",MATCH(3680-0.5,$B$3:$B$4503,1))</f>
        <v/>
      </c>
      <c r="D3683">
        <f>"Privileges reappointment – "&amp;IF(LEN(INDEX('Providers'!$A$4:$A$503,180))=0,"",INDEX('Providers'!$A$4:$A$503,180))</f>
        <v/>
      </c>
      <c r="E3683">
        <f>IF(ISNUMBER(INDEX('Providers'!$Y$4:$Y$503,180)),TEXT(INDEX('Providers'!$Y$4:$Y$503,180),"yyyy-mm-dd"),"")</f>
        <v/>
      </c>
      <c r="F3683">
        <f>"Credentialing"</f>
        <v/>
      </c>
      <c r="G3683">
        <f>""</f>
        <v/>
      </c>
      <c r="H3683">
        <f>"High"</f>
        <v/>
      </c>
      <c r="I3683">
        <f>TRIM(IF(LEN(IF(LEN(INDEX('Providers'!$X$4:$X$503,180))=0,"",INDEX('Providers'!$X$4:$X$503,180)))=0,"","Facility: "&amp;IF(LEN(INDEX('Providers'!$X$4:$X$503,180))=0,"",INDEX('Providers'!$X$4:$X$503,180))&amp;". "))</f>
        <v/>
      </c>
      <c r="J3683">
        <f>IF(LEN(INDEX('Providers'!$AJ$4:$AJ$503,180))=0,"",INDEX('Providers'!$AJ$4:$AJ$503,180))</f>
        <v/>
      </c>
      <c r="K3683">
        <f>IF(LEN(INDEX('Providers'!$AI$4:$AI$503,180))=0,"",INDEX('Providers'!$AI$4:$AI$503,180))</f>
        <v/>
      </c>
    </row>
    <row r="3684">
      <c r="A3684">
        <f>IF(AND(LEN('Providers'!A184)&gt;0,ISNUMBER('Providers'!Y184)),1,0)</f>
        <v/>
      </c>
      <c r="B3684">
        <f>B3683+A3684</f>
        <v/>
      </c>
      <c r="C3684">
        <f>IF(3681&gt;$B$4503,"",MATCH(3681-0.5,$B$3:$B$4503,1))</f>
        <v/>
      </c>
      <c r="D3684">
        <f>"Privileges reappointment – "&amp;IF(LEN(INDEX('Providers'!$A$4:$A$503,181))=0,"",INDEX('Providers'!$A$4:$A$503,181))</f>
        <v/>
      </c>
      <c r="E3684">
        <f>IF(ISNUMBER(INDEX('Providers'!$Y$4:$Y$503,181)),TEXT(INDEX('Providers'!$Y$4:$Y$503,181),"yyyy-mm-dd"),"")</f>
        <v/>
      </c>
      <c r="F3684">
        <f>"Credentialing"</f>
        <v/>
      </c>
      <c r="G3684">
        <f>""</f>
        <v/>
      </c>
      <c r="H3684">
        <f>"High"</f>
        <v/>
      </c>
      <c r="I3684">
        <f>TRIM(IF(LEN(IF(LEN(INDEX('Providers'!$X$4:$X$503,181))=0,"",INDEX('Providers'!$X$4:$X$503,181)))=0,"","Facility: "&amp;IF(LEN(INDEX('Providers'!$X$4:$X$503,181))=0,"",INDEX('Providers'!$X$4:$X$503,181))&amp;". "))</f>
        <v/>
      </c>
      <c r="J3684">
        <f>IF(LEN(INDEX('Providers'!$AJ$4:$AJ$503,181))=0,"",INDEX('Providers'!$AJ$4:$AJ$503,181))</f>
        <v/>
      </c>
      <c r="K3684">
        <f>IF(LEN(INDEX('Providers'!$AI$4:$AI$503,181))=0,"",INDEX('Providers'!$AI$4:$AI$503,181))</f>
        <v/>
      </c>
    </row>
    <row r="3685">
      <c r="A3685">
        <f>IF(AND(LEN('Providers'!A185)&gt;0,ISNUMBER('Providers'!Y185)),1,0)</f>
        <v/>
      </c>
      <c r="B3685">
        <f>B3684+A3685</f>
        <v/>
      </c>
      <c r="C3685">
        <f>IF(3682&gt;$B$4503,"",MATCH(3682-0.5,$B$3:$B$4503,1))</f>
        <v/>
      </c>
      <c r="D3685">
        <f>"Privileges reappointment – "&amp;IF(LEN(INDEX('Providers'!$A$4:$A$503,182))=0,"",INDEX('Providers'!$A$4:$A$503,182))</f>
        <v/>
      </c>
      <c r="E3685">
        <f>IF(ISNUMBER(INDEX('Providers'!$Y$4:$Y$503,182)),TEXT(INDEX('Providers'!$Y$4:$Y$503,182),"yyyy-mm-dd"),"")</f>
        <v/>
      </c>
      <c r="F3685">
        <f>"Credentialing"</f>
        <v/>
      </c>
      <c r="G3685">
        <f>""</f>
        <v/>
      </c>
      <c r="H3685">
        <f>"High"</f>
        <v/>
      </c>
      <c r="I3685">
        <f>TRIM(IF(LEN(IF(LEN(INDEX('Providers'!$X$4:$X$503,182))=0,"",INDEX('Providers'!$X$4:$X$503,182)))=0,"","Facility: "&amp;IF(LEN(INDEX('Providers'!$X$4:$X$503,182))=0,"",INDEX('Providers'!$X$4:$X$503,182))&amp;". "))</f>
        <v/>
      </c>
      <c r="J3685">
        <f>IF(LEN(INDEX('Providers'!$AJ$4:$AJ$503,182))=0,"",INDEX('Providers'!$AJ$4:$AJ$503,182))</f>
        <v/>
      </c>
      <c r="K3685">
        <f>IF(LEN(INDEX('Providers'!$AI$4:$AI$503,182))=0,"",INDEX('Providers'!$AI$4:$AI$503,182))</f>
        <v/>
      </c>
    </row>
    <row r="3686">
      <c r="A3686">
        <f>IF(AND(LEN('Providers'!A186)&gt;0,ISNUMBER('Providers'!Y186)),1,0)</f>
        <v/>
      </c>
      <c r="B3686">
        <f>B3685+A3686</f>
        <v/>
      </c>
      <c r="C3686">
        <f>IF(3683&gt;$B$4503,"",MATCH(3683-0.5,$B$3:$B$4503,1))</f>
        <v/>
      </c>
      <c r="D3686">
        <f>"Privileges reappointment – "&amp;IF(LEN(INDEX('Providers'!$A$4:$A$503,183))=0,"",INDEX('Providers'!$A$4:$A$503,183))</f>
        <v/>
      </c>
      <c r="E3686">
        <f>IF(ISNUMBER(INDEX('Providers'!$Y$4:$Y$503,183)),TEXT(INDEX('Providers'!$Y$4:$Y$503,183),"yyyy-mm-dd"),"")</f>
        <v/>
      </c>
      <c r="F3686">
        <f>"Credentialing"</f>
        <v/>
      </c>
      <c r="G3686">
        <f>""</f>
        <v/>
      </c>
      <c r="H3686">
        <f>"High"</f>
        <v/>
      </c>
      <c r="I3686">
        <f>TRIM(IF(LEN(IF(LEN(INDEX('Providers'!$X$4:$X$503,183))=0,"",INDEX('Providers'!$X$4:$X$503,183)))=0,"","Facility: "&amp;IF(LEN(INDEX('Providers'!$X$4:$X$503,183))=0,"",INDEX('Providers'!$X$4:$X$503,183))&amp;". "))</f>
        <v/>
      </c>
      <c r="J3686">
        <f>IF(LEN(INDEX('Providers'!$AJ$4:$AJ$503,183))=0,"",INDEX('Providers'!$AJ$4:$AJ$503,183))</f>
        <v/>
      </c>
      <c r="K3686">
        <f>IF(LEN(INDEX('Providers'!$AI$4:$AI$503,183))=0,"",INDEX('Providers'!$AI$4:$AI$503,183))</f>
        <v/>
      </c>
    </row>
    <row r="3687">
      <c r="A3687">
        <f>IF(AND(LEN('Providers'!A187)&gt;0,ISNUMBER('Providers'!Y187)),1,0)</f>
        <v/>
      </c>
      <c r="B3687">
        <f>B3686+A3687</f>
        <v/>
      </c>
      <c r="C3687">
        <f>IF(3684&gt;$B$4503,"",MATCH(3684-0.5,$B$3:$B$4503,1))</f>
        <v/>
      </c>
      <c r="D3687">
        <f>"Privileges reappointment – "&amp;IF(LEN(INDEX('Providers'!$A$4:$A$503,184))=0,"",INDEX('Providers'!$A$4:$A$503,184))</f>
        <v/>
      </c>
      <c r="E3687">
        <f>IF(ISNUMBER(INDEX('Providers'!$Y$4:$Y$503,184)),TEXT(INDEX('Providers'!$Y$4:$Y$503,184),"yyyy-mm-dd"),"")</f>
        <v/>
      </c>
      <c r="F3687">
        <f>"Credentialing"</f>
        <v/>
      </c>
      <c r="G3687">
        <f>""</f>
        <v/>
      </c>
      <c r="H3687">
        <f>"High"</f>
        <v/>
      </c>
      <c r="I3687">
        <f>TRIM(IF(LEN(IF(LEN(INDEX('Providers'!$X$4:$X$503,184))=0,"",INDEX('Providers'!$X$4:$X$503,184)))=0,"","Facility: "&amp;IF(LEN(INDEX('Providers'!$X$4:$X$503,184))=0,"",INDEX('Providers'!$X$4:$X$503,184))&amp;". "))</f>
        <v/>
      </c>
      <c r="J3687">
        <f>IF(LEN(INDEX('Providers'!$AJ$4:$AJ$503,184))=0,"",INDEX('Providers'!$AJ$4:$AJ$503,184))</f>
        <v/>
      </c>
      <c r="K3687">
        <f>IF(LEN(INDEX('Providers'!$AI$4:$AI$503,184))=0,"",INDEX('Providers'!$AI$4:$AI$503,184))</f>
        <v/>
      </c>
    </row>
    <row r="3688">
      <c r="A3688">
        <f>IF(AND(LEN('Providers'!A188)&gt;0,ISNUMBER('Providers'!Y188)),1,0)</f>
        <v/>
      </c>
      <c r="B3688">
        <f>B3687+A3688</f>
        <v/>
      </c>
      <c r="C3688">
        <f>IF(3685&gt;$B$4503,"",MATCH(3685-0.5,$B$3:$B$4503,1))</f>
        <v/>
      </c>
      <c r="D3688">
        <f>"Privileges reappointment – "&amp;IF(LEN(INDEX('Providers'!$A$4:$A$503,185))=0,"",INDEX('Providers'!$A$4:$A$503,185))</f>
        <v/>
      </c>
      <c r="E3688">
        <f>IF(ISNUMBER(INDEX('Providers'!$Y$4:$Y$503,185)),TEXT(INDEX('Providers'!$Y$4:$Y$503,185),"yyyy-mm-dd"),"")</f>
        <v/>
      </c>
      <c r="F3688">
        <f>"Credentialing"</f>
        <v/>
      </c>
      <c r="G3688">
        <f>""</f>
        <v/>
      </c>
      <c r="H3688">
        <f>"High"</f>
        <v/>
      </c>
      <c r="I3688">
        <f>TRIM(IF(LEN(IF(LEN(INDEX('Providers'!$X$4:$X$503,185))=0,"",INDEX('Providers'!$X$4:$X$503,185)))=0,"","Facility: "&amp;IF(LEN(INDEX('Providers'!$X$4:$X$503,185))=0,"",INDEX('Providers'!$X$4:$X$503,185))&amp;". "))</f>
        <v/>
      </c>
      <c r="J3688">
        <f>IF(LEN(INDEX('Providers'!$AJ$4:$AJ$503,185))=0,"",INDEX('Providers'!$AJ$4:$AJ$503,185))</f>
        <v/>
      </c>
      <c r="K3688">
        <f>IF(LEN(INDEX('Providers'!$AI$4:$AI$503,185))=0,"",INDEX('Providers'!$AI$4:$AI$503,185))</f>
        <v/>
      </c>
    </row>
    <row r="3689">
      <c r="A3689">
        <f>IF(AND(LEN('Providers'!A189)&gt;0,ISNUMBER('Providers'!Y189)),1,0)</f>
        <v/>
      </c>
      <c r="B3689">
        <f>B3688+A3689</f>
        <v/>
      </c>
      <c r="C3689">
        <f>IF(3686&gt;$B$4503,"",MATCH(3686-0.5,$B$3:$B$4503,1))</f>
        <v/>
      </c>
      <c r="D3689">
        <f>"Privileges reappointment – "&amp;IF(LEN(INDEX('Providers'!$A$4:$A$503,186))=0,"",INDEX('Providers'!$A$4:$A$503,186))</f>
        <v/>
      </c>
      <c r="E3689">
        <f>IF(ISNUMBER(INDEX('Providers'!$Y$4:$Y$503,186)),TEXT(INDEX('Providers'!$Y$4:$Y$503,186),"yyyy-mm-dd"),"")</f>
        <v/>
      </c>
      <c r="F3689">
        <f>"Credentialing"</f>
        <v/>
      </c>
      <c r="G3689">
        <f>""</f>
        <v/>
      </c>
      <c r="H3689">
        <f>"High"</f>
        <v/>
      </c>
      <c r="I3689">
        <f>TRIM(IF(LEN(IF(LEN(INDEX('Providers'!$X$4:$X$503,186))=0,"",INDEX('Providers'!$X$4:$X$503,186)))=0,"","Facility: "&amp;IF(LEN(INDEX('Providers'!$X$4:$X$503,186))=0,"",INDEX('Providers'!$X$4:$X$503,186))&amp;". "))</f>
        <v/>
      </c>
      <c r="J3689">
        <f>IF(LEN(INDEX('Providers'!$AJ$4:$AJ$503,186))=0,"",INDEX('Providers'!$AJ$4:$AJ$503,186))</f>
        <v/>
      </c>
      <c r="K3689">
        <f>IF(LEN(INDEX('Providers'!$AI$4:$AI$503,186))=0,"",INDEX('Providers'!$AI$4:$AI$503,186))</f>
        <v/>
      </c>
    </row>
    <row r="3690">
      <c r="A3690">
        <f>IF(AND(LEN('Providers'!A190)&gt;0,ISNUMBER('Providers'!Y190)),1,0)</f>
        <v/>
      </c>
      <c r="B3690">
        <f>B3689+A3690</f>
        <v/>
      </c>
      <c r="C3690">
        <f>IF(3687&gt;$B$4503,"",MATCH(3687-0.5,$B$3:$B$4503,1))</f>
        <v/>
      </c>
      <c r="D3690">
        <f>"Privileges reappointment – "&amp;IF(LEN(INDEX('Providers'!$A$4:$A$503,187))=0,"",INDEX('Providers'!$A$4:$A$503,187))</f>
        <v/>
      </c>
      <c r="E3690">
        <f>IF(ISNUMBER(INDEX('Providers'!$Y$4:$Y$503,187)),TEXT(INDEX('Providers'!$Y$4:$Y$503,187),"yyyy-mm-dd"),"")</f>
        <v/>
      </c>
      <c r="F3690">
        <f>"Credentialing"</f>
        <v/>
      </c>
      <c r="G3690">
        <f>""</f>
        <v/>
      </c>
      <c r="H3690">
        <f>"High"</f>
        <v/>
      </c>
      <c r="I3690">
        <f>TRIM(IF(LEN(IF(LEN(INDEX('Providers'!$X$4:$X$503,187))=0,"",INDEX('Providers'!$X$4:$X$503,187)))=0,"","Facility: "&amp;IF(LEN(INDEX('Providers'!$X$4:$X$503,187))=0,"",INDEX('Providers'!$X$4:$X$503,187))&amp;". "))</f>
        <v/>
      </c>
      <c r="J3690">
        <f>IF(LEN(INDEX('Providers'!$AJ$4:$AJ$503,187))=0,"",INDEX('Providers'!$AJ$4:$AJ$503,187))</f>
        <v/>
      </c>
      <c r="K3690">
        <f>IF(LEN(INDEX('Providers'!$AI$4:$AI$503,187))=0,"",INDEX('Providers'!$AI$4:$AI$503,187))</f>
        <v/>
      </c>
    </row>
    <row r="3691">
      <c r="A3691">
        <f>IF(AND(LEN('Providers'!A191)&gt;0,ISNUMBER('Providers'!Y191)),1,0)</f>
        <v/>
      </c>
      <c r="B3691">
        <f>B3690+A3691</f>
        <v/>
      </c>
      <c r="C3691">
        <f>IF(3688&gt;$B$4503,"",MATCH(3688-0.5,$B$3:$B$4503,1))</f>
        <v/>
      </c>
      <c r="D3691">
        <f>"Privileges reappointment – "&amp;IF(LEN(INDEX('Providers'!$A$4:$A$503,188))=0,"",INDEX('Providers'!$A$4:$A$503,188))</f>
        <v/>
      </c>
      <c r="E3691">
        <f>IF(ISNUMBER(INDEX('Providers'!$Y$4:$Y$503,188)),TEXT(INDEX('Providers'!$Y$4:$Y$503,188),"yyyy-mm-dd"),"")</f>
        <v/>
      </c>
      <c r="F3691">
        <f>"Credentialing"</f>
        <v/>
      </c>
      <c r="G3691">
        <f>""</f>
        <v/>
      </c>
      <c r="H3691">
        <f>"High"</f>
        <v/>
      </c>
      <c r="I3691">
        <f>TRIM(IF(LEN(IF(LEN(INDEX('Providers'!$X$4:$X$503,188))=0,"",INDEX('Providers'!$X$4:$X$503,188)))=0,"","Facility: "&amp;IF(LEN(INDEX('Providers'!$X$4:$X$503,188))=0,"",INDEX('Providers'!$X$4:$X$503,188))&amp;". "))</f>
        <v/>
      </c>
      <c r="J3691">
        <f>IF(LEN(INDEX('Providers'!$AJ$4:$AJ$503,188))=0,"",INDEX('Providers'!$AJ$4:$AJ$503,188))</f>
        <v/>
      </c>
      <c r="K3691">
        <f>IF(LEN(INDEX('Providers'!$AI$4:$AI$503,188))=0,"",INDEX('Providers'!$AI$4:$AI$503,188))</f>
        <v/>
      </c>
    </row>
    <row r="3692">
      <c r="A3692">
        <f>IF(AND(LEN('Providers'!A192)&gt;0,ISNUMBER('Providers'!Y192)),1,0)</f>
        <v/>
      </c>
      <c r="B3692">
        <f>B3691+A3692</f>
        <v/>
      </c>
      <c r="C3692">
        <f>IF(3689&gt;$B$4503,"",MATCH(3689-0.5,$B$3:$B$4503,1))</f>
        <v/>
      </c>
      <c r="D3692">
        <f>"Privileges reappointment – "&amp;IF(LEN(INDEX('Providers'!$A$4:$A$503,189))=0,"",INDEX('Providers'!$A$4:$A$503,189))</f>
        <v/>
      </c>
      <c r="E3692">
        <f>IF(ISNUMBER(INDEX('Providers'!$Y$4:$Y$503,189)),TEXT(INDEX('Providers'!$Y$4:$Y$503,189),"yyyy-mm-dd"),"")</f>
        <v/>
      </c>
      <c r="F3692">
        <f>"Credentialing"</f>
        <v/>
      </c>
      <c r="G3692">
        <f>""</f>
        <v/>
      </c>
      <c r="H3692">
        <f>"High"</f>
        <v/>
      </c>
      <c r="I3692">
        <f>TRIM(IF(LEN(IF(LEN(INDEX('Providers'!$X$4:$X$503,189))=0,"",INDEX('Providers'!$X$4:$X$503,189)))=0,"","Facility: "&amp;IF(LEN(INDEX('Providers'!$X$4:$X$503,189))=0,"",INDEX('Providers'!$X$4:$X$503,189))&amp;". "))</f>
        <v/>
      </c>
      <c r="J3692">
        <f>IF(LEN(INDEX('Providers'!$AJ$4:$AJ$503,189))=0,"",INDEX('Providers'!$AJ$4:$AJ$503,189))</f>
        <v/>
      </c>
      <c r="K3692">
        <f>IF(LEN(INDEX('Providers'!$AI$4:$AI$503,189))=0,"",INDEX('Providers'!$AI$4:$AI$503,189))</f>
        <v/>
      </c>
    </row>
    <row r="3693">
      <c r="A3693">
        <f>IF(AND(LEN('Providers'!A193)&gt;0,ISNUMBER('Providers'!Y193)),1,0)</f>
        <v/>
      </c>
      <c r="B3693">
        <f>B3692+A3693</f>
        <v/>
      </c>
      <c r="C3693">
        <f>IF(3690&gt;$B$4503,"",MATCH(3690-0.5,$B$3:$B$4503,1))</f>
        <v/>
      </c>
      <c r="D3693">
        <f>"Privileges reappointment – "&amp;IF(LEN(INDEX('Providers'!$A$4:$A$503,190))=0,"",INDEX('Providers'!$A$4:$A$503,190))</f>
        <v/>
      </c>
      <c r="E3693">
        <f>IF(ISNUMBER(INDEX('Providers'!$Y$4:$Y$503,190)),TEXT(INDEX('Providers'!$Y$4:$Y$503,190),"yyyy-mm-dd"),"")</f>
        <v/>
      </c>
      <c r="F3693">
        <f>"Credentialing"</f>
        <v/>
      </c>
      <c r="G3693">
        <f>""</f>
        <v/>
      </c>
      <c r="H3693">
        <f>"High"</f>
        <v/>
      </c>
      <c r="I3693">
        <f>TRIM(IF(LEN(IF(LEN(INDEX('Providers'!$X$4:$X$503,190))=0,"",INDEX('Providers'!$X$4:$X$503,190)))=0,"","Facility: "&amp;IF(LEN(INDEX('Providers'!$X$4:$X$503,190))=0,"",INDEX('Providers'!$X$4:$X$503,190))&amp;". "))</f>
        <v/>
      </c>
      <c r="J3693">
        <f>IF(LEN(INDEX('Providers'!$AJ$4:$AJ$503,190))=0,"",INDEX('Providers'!$AJ$4:$AJ$503,190))</f>
        <v/>
      </c>
      <c r="K3693">
        <f>IF(LEN(INDEX('Providers'!$AI$4:$AI$503,190))=0,"",INDEX('Providers'!$AI$4:$AI$503,190))</f>
        <v/>
      </c>
    </row>
    <row r="3694">
      <c r="A3694">
        <f>IF(AND(LEN('Providers'!A194)&gt;0,ISNUMBER('Providers'!Y194)),1,0)</f>
        <v/>
      </c>
      <c r="B3694">
        <f>B3693+A3694</f>
        <v/>
      </c>
      <c r="C3694">
        <f>IF(3691&gt;$B$4503,"",MATCH(3691-0.5,$B$3:$B$4503,1))</f>
        <v/>
      </c>
      <c r="D3694">
        <f>"Privileges reappointment – "&amp;IF(LEN(INDEX('Providers'!$A$4:$A$503,191))=0,"",INDEX('Providers'!$A$4:$A$503,191))</f>
        <v/>
      </c>
      <c r="E3694">
        <f>IF(ISNUMBER(INDEX('Providers'!$Y$4:$Y$503,191)),TEXT(INDEX('Providers'!$Y$4:$Y$503,191),"yyyy-mm-dd"),"")</f>
        <v/>
      </c>
      <c r="F3694">
        <f>"Credentialing"</f>
        <v/>
      </c>
      <c r="G3694">
        <f>""</f>
        <v/>
      </c>
      <c r="H3694">
        <f>"High"</f>
        <v/>
      </c>
      <c r="I3694">
        <f>TRIM(IF(LEN(IF(LEN(INDEX('Providers'!$X$4:$X$503,191))=0,"",INDEX('Providers'!$X$4:$X$503,191)))=0,"","Facility: "&amp;IF(LEN(INDEX('Providers'!$X$4:$X$503,191))=0,"",INDEX('Providers'!$X$4:$X$503,191))&amp;". "))</f>
        <v/>
      </c>
      <c r="J3694">
        <f>IF(LEN(INDEX('Providers'!$AJ$4:$AJ$503,191))=0,"",INDEX('Providers'!$AJ$4:$AJ$503,191))</f>
        <v/>
      </c>
      <c r="K3694">
        <f>IF(LEN(INDEX('Providers'!$AI$4:$AI$503,191))=0,"",INDEX('Providers'!$AI$4:$AI$503,191))</f>
        <v/>
      </c>
    </row>
    <row r="3695">
      <c r="A3695">
        <f>IF(AND(LEN('Providers'!A195)&gt;0,ISNUMBER('Providers'!Y195)),1,0)</f>
        <v/>
      </c>
      <c r="B3695">
        <f>B3694+A3695</f>
        <v/>
      </c>
      <c r="C3695">
        <f>IF(3692&gt;$B$4503,"",MATCH(3692-0.5,$B$3:$B$4503,1))</f>
        <v/>
      </c>
      <c r="D3695">
        <f>"Privileges reappointment – "&amp;IF(LEN(INDEX('Providers'!$A$4:$A$503,192))=0,"",INDEX('Providers'!$A$4:$A$503,192))</f>
        <v/>
      </c>
      <c r="E3695">
        <f>IF(ISNUMBER(INDEX('Providers'!$Y$4:$Y$503,192)),TEXT(INDEX('Providers'!$Y$4:$Y$503,192),"yyyy-mm-dd"),"")</f>
        <v/>
      </c>
      <c r="F3695">
        <f>"Credentialing"</f>
        <v/>
      </c>
      <c r="G3695">
        <f>""</f>
        <v/>
      </c>
      <c r="H3695">
        <f>"High"</f>
        <v/>
      </c>
      <c r="I3695">
        <f>TRIM(IF(LEN(IF(LEN(INDEX('Providers'!$X$4:$X$503,192))=0,"",INDEX('Providers'!$X$4:$X$503,192)))=0,"","Facility: "&amp;IF(LEN(INDEX('Providers'!$X$4:$X$503,192))=0,"",INDEX('Providers'!$X$4:$X$503,192))&amp;". "))</f>
        <v/>
      </c>
      <c r="J3695">
        <f>IF(LEN(INDEX('Providers'!$AJ$4:$AJ$503,192))=0,"",INDEX('Providers'!$AJ$4:$AJ$503,192))</f>
        <v/>
      </c>
      <c r="K3695">
        <f>IF(LEN(INDEX('Providers'!$AI$4:$AI$503,192))=0,"",INDEX('Providers'!$AI$4:$AI$503,192))</f>
        <v/>
      </c>
    </row>
    <row r="3696">
      <c r="A3696">
        <f>IF(AND(LEN('Providers'!A196)&gt;0,ISNUMBER('Providers'!Y196)),1,0)</f>
        <v/>
      </c>
      <c r="B3696">
        <f>B3695+A3696</f>
        <v/>
      </c>
      <c r="C3696">
        <f>IF(3693&gt;$B$4503,"",MATCH(3693-0.5,$B$3:$B$4503,1))</f>
        <v/>
      </c>
      <c r="D3696">
        <f>"Privileges reappointment – "&amp;IF(LEN(INDEX('Providers'!$A$4:$A$503,193))=0,"",INDEX('Providers'!$A$4:$A$503,193))</f>
        <v/>
      </c>
      <c r="E3696">
        <f>IF(ISNUMBER(INDEX('Providers'!$Y$4:$Y$503,193)),TEXT(INDEX('Providers'!$Y$4:$Y$503,193),"yyyy-mm-dd"),"")</f>
        <v/>
      </c>
      <c r="F3696">
        <f>"Credentialing"</f>
        <v/>
      </c>
      <c r="G3696">
        <f>""</f>
        <v/>
      </c>
      <c r="H3696">
        <f>"High"</f>
        <v/>
      </c>
      <c r="I3696">
        <f>TRIM(IF(LEN(IF(LEN(INDEX('Providers'!$X$4:$X$503,193))=0,"",INDEX('Providers'!$X$4:$X$503,193)))=0,"","Facility: "&amp;IF(LEN(INDEX('Providers'!$X$4:$X$503,193))=0,"",INDEX('Providers'!$X$4:$X$503,193))&amp;". "))</f>
        <v/>
      </c>
      <c r="J3696">
        <f>IF(LEN(INDEX('Providers'!$AJ$4:$AJ$503,193))=0,"",INDEX('Providers'!$AJ$4:$AJ$503,193))</f>
        <v/>
      </c>
      <c r="K3696">
        <f>IF(LEN(INDEX('Providers'!$AI$4:$AI$503,193))=0,"",INDEX('Providers'!$AI$4:$AI$503,193))</f>
        <v/>
      </c>
    </row>
    <row r="3697">
      <c r="A3697">
        <f>IF(AND(LEN('Providers'!A197)&gt;0,ISNUMBER('Providers'!Y197)),1,0)</f>
        <v/>
      </c>
      <c r="B3697">
        <f>B3696+A3697</f>
        <v/>
      </c>
      <c r="C3697">
        <f>IF(3694&gt;$B$4503,"",MATCH(3694-0.5,$B$3:$B$4503,1))</f>
        <v/>
      </c>
      <c r="D3697">
        <f>"Privileges reappointment – "&amp;IF(LEN(INDEX('Providers'!$A$4:$A$503,194))=0,"",INDEX('Providers'!$A$4:$A$503,194))</f>
        <v/>
      </c>
      <c r="E3697">
        <f>IF(ISNUMBER(INDEX('Providers'!$Y$4:$Y$503,194)),TEXT(INDEX('Providers'!$Y$4:$Y$503,194),"yyyy-mm-dd"),"")</f>
        <v/>
      </c>
      <c r="F3697">
        <f>"Credentialing"</f>
        <v/>
      </c>
      <c r="G3697">
        <f>""</f>
        <v/>
      </c>
      <c r="H3697">
        <f>"High"</f>
        <v/>
      </c>
      <c r="I3697">
        <f>TRIM(IF(LEN(IF(LEN(INDEX('Providers'!$X$4:$X$503,194))=0,"",INDEX('Providers'!$X$4:$X$503,194)))=0,"","Facility: "&amp;IF(LEN(INDEX('Providers'!$X$4:$X$503,194))=0,"",INDEX('Providers'!$X$4:$X$503,194))&amp;". "))</f>
        <v/>
      </c>
      <c r="J3697">
        <f>IF(LEN(INDEX('Providers'!$AJ$4:$AJ$503,194))=0,"",INDEX('Providers'!$AJ$4:$AJ$503,194))</f>
        <v/>
      </c>
      <c r="K3697">
        <f>IF(LEN(INDEX('Providers'!$AI$4:$AI$503,194))=0,"",INDEX('Providers'!$AI$4:$AI$503,194))</f>
        <v/>
      </c>
    </row>
    <row r="3698">
      <c r="A3698">
        <f>IF(AND(LEN('Providers'!A198)&gt;0,ISNUMBER('Providers'!Y198)),1,0)</f>
        <v/>
      </c>
      <c r="B3698">
        <f>B3697+A3698</f>
        <v/>
      </c>
      <c r="C3698">
        <f>IF(3695&gt;$B$4503,"",MATCH(3695-0.5,$B$3:$B$4503,1))</f>
        <v/>
      </c>
      <c r="D3698">
        <f>"Privileges reappointment – "&amp;IF(LEN(INDEX('Providers'!$A$4:$A$503,195))=0,"",INDEX('Providers'!$A$4:$A$503,195))</f>
        <v/>
      </c>
      <c r="E3698">
        <f>IF(ISNUMBER(INDEX('Providers'!$Y$4:$Y$503,195)),TEXT(INDEX('Providers'!$Y$4:$Y$503,195),"yyyy-mm-dd"),"")</f>
        <v/>
      </c>
      <c r="F3698">
        <f>"Credentialing"</f>
        <v/>
      </c>
      <c r="G3698">
        <f>""</f>
        <v/>
      </c>
      <c r="H3698">
        <f>"High"</f>
        <v/>
      </c>
      <c r="I3698">
        <f>TRIM(IF(LEN(IF(LEN(INDEX('Providers'!$X$4:$X$503,195))=0,"",INDEX('Providers'!$X$4:$X$503,195)))=0,"","Facility: "&amp;IF(LEN(INDEX('Providers'!$X$4:$X$503,195))=0,"",INDEX('Providers'!$X$4:$X$503,195))&amp;". "))</f>
        <v/>
      </c>
      <c r="J3698">
        <f>IF(LEN(INDEX('Providers'!$AJ$4:$AJ$503,195))=0,"",INDEX('Providers'!$AJ$4:$AJ$503,195))</f>
        <v/>
      </c>
      <c r="K3698">
        <f>IF(LEN(INDEX('Providers'!$AI$4:$AI$503,195))=0,"",INDEX('Providers'!$AI$4:$AI$503,195))</f>
        <v/>
      </c>
    </row>
    <row r="3699">
      <c r="A3699">
        <f>IF(AND(LEN('Providers'!A199)&gt;0,ISNUMBER('Providers'!Y199)),1,0)</f>
        <v/>
      </c>
      <c r="B3699">
        <f>B3698+A3699</f>
        <v/>
      </c>
      <c r="C3699">
        <f>IF(3696&gt;$B$4503,"",MATCH(3696-0.5,$B$3:$B$4503,1))</f>
        <v/>
      </c>
      <c r="D3699">
        <f>"Privileges reappointment – "&amp;IF(LEN(INDEX('Providers'!$A$4:$A$503,196))=0,"",INDEX('Providers'!$A$4:$A$503,196))</f>
        <v/>
      </c>
      <c r="E3699">
        <f>IF(ISNUMBER(INDEX('Providers'!$Y$4:$Y$503,196)),TEXT(INDEX('Providers'!$Y$4:$Y$503,196),"yyyy-mm-dd"),"")</f>
        <v/>
      </c>
      <c r="F3699">
        <f>"Credentialing"</f>
        <v/>
      </c>
      <c r="G3699">
        <f>""</f>
        <v/>
      </c>
      <c r="H3699">
        <f>"High"</f>
        <v/>
      </c>
      <c r="I3699">
        <f>TRIM(IF(LEN(IF(LEN(INDEX('Providers'!$X$4:$X$503,196))=0,"",INDEX('Providers'!$X$4:$X$503,196)))=0,"","Facility: "&amp;IF(LEN(INDEX('Providers'!$X$4:$X$503,196))=0,"",INDEX('Providers'!$X$4:$X$503,196))&amp;". "))</f>
        <v/>
      </c>
      <c r="J3699">
        <f>IF(LEN(INDEX('Providers'!$AJ$4:$AJ$503,196))=0,"",INDEX('Providers'!$AJ$4:$AJ$503,196))</f>
        <v/>
      </c>
      <c r="K3699">
        <f>IF(LEN(INDEX('Providers'!$AI$4:$AI$503,196))=0,"",INDEX('Providers'!$AI$4:$AI$503,196))</f>
        <v/>
      </c>
    </row>
    <row r="3700">
      <c r="A3700">
        <f>IF(AND(LEN('Providers'!A200)&gt;0,ISNUMBER('Providers'!Y200)),1,0)</f>
        <v/>
      </c>
      <c r="B3700">
        <f>B3699+A3700</f>
        <v/>
      </c>
      <c r="C3700">
        <f>IF(3697&gt;$B$4503,"",MATCH(3697-0.5,$B$3:$B$4503,1))</f>
        <v/>
      </c>
      <c r="D3700">
        <f>"Privileges reappointment – "&amp;IF(LEN(INDEX('Providers'!$A$4:$A$503,197))=0,"",INDEX('Providers'!$A$4:$A$503,197))</f>
        <v/>
      </c>
      <c r="E3700">
        <f>IF(ISNUMBER(INDEX('Providers'!$Y$4:$Y$503,197)),TEXT(INDEX('Providers'!$Y$4:$Y$503,197),"yyyy-mm-dd"),"")</f>
        <v/>
      </c>
      <c r="F3700">
        <f>"Credentialing"</f>
        <v/>
      </c>
      <c r="G3700">
        <f>""</f>
        <v/>
      </c>
      <c r="H3700">
        <f>"High"</f>
        <v/>
      </c>
      <c r="I3700">
        <f>TRIM(IF(LEN(IF(LEN(INDEX('Providers'!$X$4:$X$503,197))=0,"",INDEX('Providers'!$X$4:$X$503,197)))=0,"","Facility: "&amp;IF(LEN(INDEX('Providers'!$X$4:$X$503,197))=0,"",INDEX('Providers'!$X$4:$X$503,197))&amp;". "))</f>
        <v/>
      </c>
      <c r="J3700">
        <f>IF(LEN(INDEX('Providers'!$AJ$4:$AJ$503,197))=0,"",INDEX('Providers'!$AJ$4:$AJ$503,197))</f>
        <v/>
      </c>
      <c r="K3700">
        <f>IF(LEN(INDEX('Providers'!$AI$4:$AI$503,197))=0,"",INDEX('Providers'!$AI$4:$AI$503,197))</f>
        <v/>
      </c>
    </row>
    <row r="3701">
      <c r="A3701">
        <f>IF(AND(LEN('Providers'!A201)&gt;0,ISNUMBER('Providers'!Y201)),1,0)</f>
        <v/>
      </c>
      <c r="B3701">
        <f>B3700+A3701</f>
        <v/>
      </c>
      <c r="C3701">
        <f>IF(3698&gt;$B$4503,"",MATCH(3698-0.5,$B$3:$B$4503,1))</f>
        <v/>
      </c>
      <c r="D3701">
        <f>"Privileges reappointment – "&amp;IF(LEN(INDEX('Providers'!$A$4:$A$503,198))=0,"",INDEX('Providers'!$A$4:$A$503,198))</f>
        <v/>
      </c>
      <c r="E3701">
        <f>IF(ISNUMBER(INDEX('Providers'!$Y$4:$Y$503,198)),TEXT(INDEX('Providers'!$Y$4:$Y$503,198),"yyyy-mm-dd"),"")</f>
        <v/>
      </c>
      <c r="F3701">
        <f>"Credentialing"</f>
        <v/>
      </c>
      <c r="G3701">
        <f>""</f>
        <v/>
      </c>
      <c r="H3701">
        <f>"High"</f>
        <v/>
      </c>
      <c r="I3701">
        <f>TRIM(IF(LEN(IF(LEN(INDEX('Providers'!$X$4:$X$503,198))=0,"",INDEX('Providers'!$X$4:$X$503,198)))=0,"","Facility: "&amp;IF(LEN(INDEX('Providers'!$X$4:$X$503,198))=0,"",INDEX('Providers'!$X$4:$X$503,198))&amp;". "))</f>
        <v/>
      </c>
      <c r="J3701">
        <f>IF(LEN(INDEX('Providers'!$AJ$4:$AJ$503,198))=0,"",INDEX('Providers'!$AJ$4:$AJ$503,198))</f>
        <v/>
      </c>
      <c r="K3701">
        <f>IF(LEN(INDEX('Providers'!$AI$4:$AI$503,198))=0,"",INDEX('Providers'!$AI$4:$AI$503,198))</f>
        <v/>
      </c>
    </row>
    <row r="3702">
      <c r="A3702">
        <f>IF(AND(LEN('Providers'!A202)&gt;0,ISNUMBER('Providers'!Y202)),1,0)</f>
        <v/>
      </c>
      <c r="B3702">
        <f>B3701+A3702</f>
        <v/>
      </c>
      <c r="C3702">
        <f>IF(3699&gt;$B$4503,"",MATCH(3699-0.5,$B$3:$B$4503,1))</f>
        <v/>
      </c>
      <c r="D3702">
        <f>"Privileges reappointment – "&amp;IF(LEN(INDEX('Providers'!$A$4:$A$503,199))=0,"",INDEX('Providers'!$A$4:$A$503,199))</f>
        <v/>
      </c>
      <c r="E3702">
        <f>IF(ISNUMBER(INDEX('Providers'!$Y$4:$Y$503,199)),TEXT(INDEX('Providers'!$Y$4:$Y$503,199),"yyyy-mm-dd"),"")</f>
        <v/>
      </c>
      <c r="F3702">
        <f>"Credentialing"</f>
        <v/>
      </c>
      <c r="G3702">
        <f>""</f>
        <v/>
      </c>
      <c r="H3702">
        <f>"High"</f>
        <v/>
      </c>
      <c r="I3702">
        <f>TRIM(IF(LEN(IF(LEN(INDEX('Providers'!$X$4:$X$503,199))=0,"",INDEX('Providers'!$X$4:$X$503,199)))=0,"","Facility: "&amp;IF(LEN(INDEX('Providers'!$X$4:$X$503,199))=0,"",INDEX('Providers'!$X$4:$X$503,199))&amp;". "))</f>
        <v/>
      </c>
      <c r="J3702">
        <f>IF(LEN(INDEX('Providers'!$AJ$4:$AJ$503,199))=0,"",INDEX('Providers'!$AJ$4:$AJ$503,199))</f>
        <v/>
      </c>
      <c r="K3702">
        <f>IF(LEN(INDEX('Providers'!$AI$4:$AI$503,199))=0,"",INDEX('Providers'!$AI$4:$AI$503,199))</f>
        <v/>
      </c>
    </row>
    <row r="3703">
      <c r="A3703">
        <f>IF(AND(LEN('Providers'!A203)&gt;0,ISNUMBER('Providers'!Y203)),1,0)</f>
        <v/>
      </c>
      <c r="B3703">
        <f>B3702+A3703</f>
        <v/>
      </c>
      <c r="C3703">
        <f>IF(3700&gt;$B$4503,"",MATCH(3700-0.5,$B$3:$B$4503,1))</f>
        <v/>
      </c>
      <c r="D3703">
        <f>"Privileges reappointment – "&amp;IF(LEN(INDEX('Providers'!$A$4:$A$503,200))=0,"",INDEX('Providers'!$A$4:$A$503,200))</f>
        <v/>
      </c>
      <c r="E3703">
        <f>IF(ISNUMBER(INDEX('Providers'!$Y$4:$Y$503,200)),TEXT(INDEX('Providers'!$Y$4:$Y$503,200),"yyyy-mm-dd"),"")</f>
        <v/>
      </c>
      <c r="F3703">
        <f>"Credentialing"</f>
        <v/>
      </c>
      <c r="G3703">
        <f>""</f>
        <v/>
      </c>
      <c r="H3703">
        <f>"High"</f>
        <v/>
      </c>
      <c r="I3703">
        <f>TRIM(IF(LEN(IF(LEN(INDEX('Providers'!$X$4:$X$503,200))=0,"",INDEX('Providers'!$X$4:$X$503,200)))=0,"","Facility: "&amp;IF(LEN(INDEX('Providers'!$X$4:$X$503,200))=0,"",INDEX('Providers'!$X$4:$X$503,200))&amp;". "))</f>
        <v/>
      </c>
      <c r="J3703">
        <f>IF(LEN(INDEX('Providers'!$AJ$4:$AJ$503,200))=0,"",INDEX('Providers'!$AJ$4:$AJ$503,200))</f>
        <v/>
      </c>
      <c r="K3703">
        <f>IF(LEN(INDEX('Providers'!$AI$4:$AI$503,200))=0,"",INDEX('Providers'!$AI$4:$AI$503,200))</f>
        <v/>
      </c>
    </row>
    <row r="3704">
      <c r="A3704">
        <f>IF(AND(LEN('Providers'!A204)&gt;0,ISNUMBER('Providers'!Y204)),1,0)</f>
        <v/>
      </c>
      <c r="B3704">
        <f>B3703+A3704</f>
        <v/>
      </c>
      <c r="C3704">
        <f>IF(3701&gt;$B$4503,"",MATCH(3701-0.5,$B$3:$B$4503,1))</f>
        <v/>
      </c>
      <c r="D3704">
        <f>"Privileges reappointment – "&amp;IF(LEN(INDEX('Providers'!$A$4:$A$503,201))=0,"",INDEX('Providers'!$A$4:$A$503,201))</f>
        <v/>
      </c>
      <c r="E3704">
        <f>IF(ISNUMBER(INDEX('Providers'!$Y$4:$Y$503,201)),TEXT(INDEX('Providers'!$Y$4:$Y$503,201),"yyyy-mm-dd"),"")</f>
        <v/>
      </c>
      <c r="F3704">
        <f>"Credentialing"</f>
        <v/>
      </c>
      <c r="G3704">
        <f>""</f>
        <v/>
      </c>
      <c r="H3704">
        <f>"High"</f>
        <v/>
      </c>
      <c r="I3704">
        <f>TRIM(IF(LEN(IF(LEN(INDEX('Providers'!$X$4:$X$503,201))=0,"",INDEX('Providers'!$X$4:$X$503,201)))=0,"","Facility: "&amp;IF(LEN(INDEX('Providers'!$X$4:$X$503,201))=0,"",INDEX('Providers'!$X$4:$X$503,201))&amp;". "))</f>
        <v/>
      </c>
      <c r="J3704">
        <f>IF(LEN(INDEX('Providers'!$AJ$4:$AJ$503,201))=0,"",INDEX('Providers'!$AJ$4:$AJ$503,201))</f>
        <v/>
      </c>
      <c r="K3704">
        <f>IF(LEN(INDEX('Providers'!$AI$4:$AI$503,201))=0,"",INDEX('Providers'!$AI$4:$AI$503,201))</f>
        <v/>
      </c>
    </row>
    <row r="3705">
      <c r="A3705">
        <f>IF(AND(LEN('Providers'!A205)&gt;0,ISNUMBER('Providers'!Y205)),1,0)</f>
        <v/>
      </c>
      <c r="B3705">
        <f>B3704+A3705</f>
        <v/>
      </c>
      <c r="C3705">
        <f>IF(3702&gt;$B$4503,"",MATCH(3702-0.5,$B$3:$B$4503,1))</f>
        <v/>
      </c>
      <c r="D3705">
        <f>"Privileges reappointment – "&amp;IF(LEN(INDEX('Providers'!$A$4:$A$503,202))=0,"",INDEX('Providers'!$A$4:$A$503,202))</f>
        <v/>
      </c>
      <c r="E3705">
        <f>IF(ISNUMBER(INDEX('Providers'!$Y$4:$Y$503,202)),TEXT(INDEX('Providers'!$Y$4:$Y$503,202),"yyyy-mm-dd"),"")</f>
        <v/>
      </c>
      <c r="F3705">
        <f>"Credentialing"</f>
        <v/>
      </c>
      <c r="G3705">
        <f>""</f>
        <v/>
      </c>
      <c r="H3705">
        <f>"High"</f>
        <v/>
      </c>
      <c r="I3705">
        <f>TRIM(IF(LEN(IF(LEN(INDEX('Providers'!$X$4:$X$503,202))=0,"",INDEX('Providers'!$X$4:$X$503,202)))=0,"","Facility: "&amp;IF(LEN(INDEX('Providers'!$X$4:$X$503,202))=0,"",INDEX('Providers'!$X$4:$X$503,202))&amp;". "))</f>
        <v/>
      </c>
      <c r="J3705">
        <f>IF(LEN(INDEX('Providers'!$AJ$4:$AJ$503,202))=0,"",INDEX('Providers'!$AJ$4:$AJ$503,202))</f>
        <v/>
      </c>
      <c r="K3705">
        <f>IF(LEN(INDEX('Providers'!$AI$4:$AI$503,202))=0,"",INDEX('Providers'!$AI$4:$AI$503,202))</f>
        <v/>
      </c>
    </row>
    <row r="3706">
      <c r="A3706">
        <f>IF(AND(LEN('Providers'!A206)&gt;0,ISNUMBER('Providers'!Y206)),1,0)</f>
        <v/>
      </c>
      <c r="B3706">
        <f>B3705+A3706</f>
        <v/>
      </c>
      <c r="C3706">
        <f>IF(3703&gt;$B$4503,"",MATCH(3703-0.5,$B$3:$B$4503,1))</f>
        <v/>
      </c>
      <c r="D3706">
        <f>"Privileges reappointment – "&amp;IF(LEN(INDEX('Providers'!$A$4:$A$503,203))=0,"",INDEX('Providers'!$A$4:$A$503,203))</f>
        <v/>
      </c>
      <c r="E3706">
        <f>IF(ISNUMBER(INDEX('Providers'!$Y$4:$Y$503,203)),TEXT(INDEX('Providers'!$Y$4:$Y$503,203),"yyyy-mm-dd"),"")</f>
        <v/>
      </c>
      <c r="F3706">
        <f>"Credentialing"</f>
        <v/>
      </c>
      <c r="G3706">
        <f>""</f>
        <v/>
      </c>
      <c r="H3706">
        <f>"High"</f>
        <v/>
      </c>
      <c r="I3706">
        <f>TRIM(IF(LEN(IF(LEN(INDEX('Providers'!$X$4:$X$503,203))=0,"",INDEX('Providers'!$X$4:$X$503,203)))=0,"","Facility: "&amp;IF(LEN(INDEX('Providers'!$X$4:$X$503,203))=0,"",INDEX('Providers'!$X$4:$X$503,203))&amp;". "))</f>
        <v/>
      </c>
      <c r="J3706">
        <f>IF(LEN(INDEX('Providers'!$AJ$4:$AJ$503,203))=0,"",INDEX('Providers'!$AJ$4:$AJ$503,203))</f>
        <v/>
      </c>
      <c r="K3706">
        <f>IF(LEN(INDEX('Providers'!$AI$4:$AI$503,203))=0,"",INDEX('Providers'!$AI$4:$AI$503,203))</f>
        <v/>
      </c>
    </row>
    <row r="3707">
      <c r="A3707">
        <f>IF(AND(LEN('Providers'!A207)&gt;0,ISNUMBER('Providers'!Y207)),1,0)</f>
        <v/>
      </c>
      <c r="B3707">
        <f>B3706+A3707</f>
        <v/>
      </c>
      <c r="C3707">
        <f>IF(3704&gt;$B$4503,"",MATCH(3704-0.5,$B$3:$B$4503,1))</f>
        <v/>
      </c>
      <c r="D3707">
        <f>"Privileges reappointment – "&amp;IF(LEN(INDEX('Providers'!$A$4:$A$503,204))=0,"",INDEX('Providers'!$A$4:$A$503,204))</f>
        <v/>
      </c>
      <c r="E3707">
        <f>IF(ISNUMBER(INDEX('Providers'!$Y$4:$Y$503,204)),TEXT(INDEX('Providers'!$Y$4:$Y$503,204),"yyyy-mm-dd"),"")</f>
        <v/>
      </c>
      <c r="F3707">
        <f>"Credentialing"</f>
        <v/>
      </c>
      <c r="G3707">
        <f>""</f>
        <v/>
      </c>
      <c r="H3707">
        <f>"High"</f>
        <v/>
      </c>
      <c r="I3707">
        <f>TRIM(IF(LEN(IF(LEN(INDEX('Providers'!$X$4:$X$503,204))=0,"",INDEX('Providers'!$X$4:$X$503,204)))=0,"","Facility: "&amp;IF(LEN(INDEX('Providers'!$X$4:$X$503,204))=0,"",INDEX('Providers'!$X$4:$X$503,204))&amp;". "))</f>
        <v/>
      </c>
      <c r="J3707">
        <f>IF(LEN(INDEX('Providers'!$AJ$4:$AJ$503,204))=0,"",INDEX('Providers'!$AJ$4:$AJ$503,204))</f>
        <v/>
      </c>
      <c r="K3707">
        <f>IF(LEN(INDEX('Providers'!$AI$4:$AI$503,204))=0,"",INDEX('Providers'!$AI$4:$AI$503,204))</f>
        <v/>
      </c>
    </row>
    <row r="3708">
      <c r="A3708">
        <f>IF(AND(LEN('Providers'!A208)&gt;0,ISNUMBER('Providers'!Y208)),1,0)</f>
        <v/>
      </c>
      <c r="B3708">
        <f>B3707+A3708</f>
        <v/>
      </c>
      <c r="C3708">
        <f>IF(3705&gt;$B$4503,"",MATCH(3705-0.5,$B$3:$B$4503,1))</f>
        <v/>
      </c>
      <c r="D3708">
        <f>"Privileges reappointment – "&amp;IF(LEN(INDEX('Providers'!$A$4:$A$503,205))=0,"",INDEX('Providers'!$A$4:$A$503,205))</f>
        <v/>
      </c>
      <c r="E3708">
        <f>IF(ISNUMBER(INDEX('Providers'!$Y$4:$Y$503,205)),TEXT(INDEX('Providers'!$Y$4:$Y$503,205),"yyyy-mm-dd"),"")</f>
        <v/>
      </c>
      <c r="F3708">
        <f>"Credentialing"</f>
        <v/>
      </c>
      <c r="G3708">
        <f>""</f>
        <v/>
      </c>
      <c r="H3708">
        <f>"High"</f>
        <v/>
      </c>
      <c r="I3708">
        <f>TRIM(IF(LEN(IF(LEN(INDEX('Providers'!$X$4:$X$503,205))=0,"",INDEX('Providers'!$X$4:$X$503,205)))=0,"","Facility: "&amp;IF(LEN(INDEX('Providers'!$X$4:$X$503,205))=0,"",INDEX('Providers'!$X$4:$X$503,205))&amp;". "))</f>
        <v/>
      </c>
      <c r="J3708">
        <f>IF(LEN(INDEX('Providers'!$AJ$4:$AJ$503,205))=0,"",INDEX('Providers'!$AJ$4:$AJ$503,205))</f>
        <v/>
      </c>
      <c r="K3708">
        <f>IF(LEN(INDEX('Providers'!$AI$4:$AI$503,205))=0,"",INDEX('Providers'!$AI$4:$AI$503,205))</f>
        <v/>
      </c>
    </row>
    <row r="3709">
      <c r="A3709">
        <f>IF(AND(LEN('Providers'!A209)&gt;0,ISNUMBER('Providers'!Y209)),1,0)</f>
        <v/>
      </c>
      <c r="B3709">
        <f>B3708+A3709</f>
        <v/>
      </c>
      <c r="C3709">
        <f>IF(3706&gt;$B$4503,"",MATCH(3706-0.5,$B$3:$B$4503,1))</f>
        <v/>
      </c>
      <c r="D3709">
        <f>"Privileges reappointment – "&amp;IF(LEN(INDEX('Providers'!$A$4:$A$503,206))=0,"",INDEX('Providers'!$A$4:$A$503,206))</f>
        <v/>
      </c>
      <c r="E3709">
        <f>IF(ISNUMBER(INDEX('Providers'!$Y$4:$Y$503,206)),TEXT(INDEX('Providers'!$Y$4:$Y$503,206),"yyyy-mm-dd"),"")</f>
        <v/>
      </c>
      <c r="F3709">
        <f>"Credentialing"</f>
        <v/>
      </c>
      <c r="G3709">
        <f>""</f>
        <v/>
      </c>
      <c r="H3709">
        <f>"High"</f>
        <v/>
      </c>
      <c r="I3709">
        <f>TRIM(IF(LEN(IF(LEN(INDEX('Providers'!$X$4:$X$503,206))=0,"",INDEX('Providers'!$X$4:$X$503,206)))=0,"","Facility: "&amp;IF(LEN(INDEX('Providers'!$X$4:$X$503,206))=0,"",INDEX('Providers'!$X$4:$X$503,206))&amp;". "))</f>
        <v/>
      </c>
      <c r="J3709">
        <f>IF(LEN(INDEX('Providers'!$AJ$4:$AJ$503,206))=0,"",INDEX('Providers'!$AJ$4:$AJ$503,206))</f>
        <v/>
      </c>
      <c r="K3709">
        <f>IF(LEN(INDEX('Providers'!$AI$4:$AI$503,206))=0,"",INDEX('Providers'!$AI$4:$AI$503,206))</f>
        <v/>
      </c>
    </row>
    <row r="3710">
      <c r="A3710">
        <f>IF(AND(LEN('Providers'!A210)&gt;0,ISNUMBER('Providers'!Y210)),1,0)</f>
        <v/>
      </c>
      <c r="B3710">
        <f>B3709+A3710</f>
        <v/>
      </c>
      <c r="C3710">
        <f>IF(3707&gt;$B$4503,"",MATCH(3707-0.5,$B$3:$B$4503,1))</f>
        <v/>
      </c>
      <c r="D3710">
        <f>"Privileges reappointment – "&amp;IF(LEN(INDEX('Providers'!$A$4:$A$503,207))=0,"",INDEX('Providers'!$A$4:$A$503,207))</f>
        <v/>
      </c>
      <c r="E3710">
        <f>IF(ISNUMBER(INDEX('Providers'!$Y$4:$Y$503,207)),TEXT(INDEX('Providers'!$Y$4:$Y$503,207),"yyyy-mm-dd"),"")</f>
        <v/>
      </c>
      <c r="F3710">
        <f>"Credentialing"</f>
        <v/>
      </c>
      <c r="G3710">
        <f>""</f>
        <v/>
      </c>
      <c r="H3710">
        <f>"High"</f>
        <v/>
      </c>
      <c r="I3710">
        <f>TRIM(IF(LEN(IF(LEN(INDEX('Providers'!$X$4:$X$503,207))=0,"",INDEX('Providers'!$X$4:$X$503,207)))=0,"","Facility: "&amp;IF(LEN(INDEX('Providers'!$X$4:$X$503,207))=0,"",INDEX('Providers'!$X$4:$X$503,207))&amp;". "))</f>
        <v/>
      </c>
      <c r="J3710">
        <f>IF(LEN(INDEX('Providers'!$AJ$4:$AJ$503,207))=0,"",INDEX('Providers'!$AJ$4:$AJ$503,207))</f>
        <v/>
      </c>
      <c r="K3710">
        <f>IF(LEN(INDEX('Providers'!$AI$4:$AI$503,207))=0,"",INDEX('Providers'!$AI$4:$AI$503,207))</f>
        <v/>
      </c>
    </row>
    <row r="3711">
      <c r="A3711">
        <f>IF(AND(LEN('Providers'!A211)&gt;0,ISNUMBER('Providers'!Y211)),1,0)</f>
        <v/>
      </c>
      <c r="B3711">
        <f>B3710+A3711</f>
        <v/>
      </c>
      <c r="C3711">
        <f>IF(3708&gt;$B$4503,"",MATCH(3708-0.5,$B$3:$B$4503,1))</f>
        <v/>
      </c>
      <c r="D3711">
        <f>"Privileges reappointment – "&amp;IF(LEN(INDEX('Providers'!$A$4:$A$503,208))=0,"",INDEX('Providers'!$A$4:$A$503,208))</f>
        <v/>
      </c>
      <c r="E3711">
        <f>IF(ISNUMBER(INDEX('Providers'!$Y$4:$Y$503,208)),TEXT(INDEX('Providers'!$Y$4:$Y$503,208),"yyyy-mm-dd"),"")</f>
        <v/>
      </c>
      <c r="F3711">
        <f>"Credentialing"</f>
        <v/>
      </c>
      <c r="G3711">
        <f>""</f>
        <v/>
      </c>
      <c r="H3711">
        <f>"High"</f>
        <v/>
      </c>
      <c r="I3711">
        <f>TRIM(IF(LEN(IF(LEN(INDEX('Providers'!$X$4:$X$503,208))=0,"",INDEX('Providers'!$X$4:$X$503,208)))=0,"","Facility: "&amp;IF(LEN(INDEX('Providers'!$X$4:$X$503,208))=0,"",INDEX('Providers'!$X$4:$X$503,208))&amp;". "))</f>
        <v/>
      </c>
      <c r="J3711">
        <f>IF(LEN(INDEX('Providers'!$AJ$4:$AJ$503,208))=0,"",INDEX('Providers'!$AJ$4:$AJ$503,208))</f>
        <v/>
      </c>
      <c r="K3711">
        <f>IF(LEN(INDEX('Providers'!$AI$4:$AI$503,208))=0,"",INDEX('Providers'!$AI$4:$AI$503,208))</f>
        <v/>
      </c>
    </row>
    <row r="3712">
      <c r="A3712">
        <f>IF(AND(LEN('Providers'!A212)&gt;0,ISNUMBER('Providers'!Y212)),1,0)</f>
        <v/>
      </c>
      <c r="B3712">
        <f>B3711+A3712</f>
        <v/>
      </c>
      <c r="C3712">
        <f>IF(3709&gt;$B$4503,"",MATCH(3709-0.5,$B$3:$B$4503,1))</f>
        <v/>
      </c>
      <c r="D3712">
        <f>"Privileges reappointment – "&amp;IF(LEN(INDEX('Providers'!$A$4:$A$503,209))=0,"",INDEX('Providers'!$A$4:$A$503,209))</f>
        <v/>
      </c>
      <c r="E3712">
        <f>IF(ISNUMBER(INDEX('Providers'!$Y$4:$Y$503,209)),TEXT(INDEX('Providers'!$Y$4:$Y$503,209),"yyyy-mm-dd"),"")</f>
        <v/>
      </c>
      <c r="F3712">
        <f>"Credentialing"</f>
        <v/>
      </c>
      <c r="G3712">
        <f>""</f>
        <v/>
      </c>
      <c r="H3712">
        <f>"High"</f>
        <v/>
      </c>
      <c r="I3712">
        <f>TRIM(IF(LEN(IF(LEN(INDEX('Providers'!$X$4:$X$503,209))=0,"",INDEX('Providers'!$X$4:$X$503,209)))=0,"","Facility: "&amp;IF(LEN(INDEX('Providers'!$X$4:$X$503,209))=0,"",INDEX('Providers'!$X$4:$X$503,209))&amp;". "))</f>
        <v/>
      </c>
      <c r="J3712">
        <f>IF(LEN(INDEX('Providers'!$AJ$4:$AJ$503,209))=0,"",INDEX('Providers'!$AJ$4:$AJ$503,209))</f>
        <v/>
      </c>
      <c r="K3712">
        <f>IF(LEN(INDEX('Providers'!$AI$4:$AI$503,209))=0,"",INDEX('Providers'!$AI$4:$AI$503,209))</f>
        <v/>
      </c>
    </row>
    <row r="3713">
      <c r="A3713">
        <f>IF(AND(LEN('Providers'!A213)&gt;0,ISNUMBER('Providers'!Y213)),1,0)</f>
        <v/>
      </c>
      <c r="B3713">
        <f>B3712+A3713</f>
        <v/>
      </c>
      <c r="C3713">
        <f>IF(3710&gt;$B$4503,"",MATCH(3710-0.5,$B$3:$B$4503,1))</f>
        <v/>
      </c>
      <c r="D3713">
        <f>"Privileges reappointment – "&amp;IF(LEN(INDEX('Providers'!$A$4:$A$503,210))=0,"",INDEX('Providers'!$A$4:$A$503,210))</f>
        <v/>
      </c>
      <c r="E3713">
        <f>IF(ISNUMBER(INDEX('Providers'!$Y$4:$Y$503,210)),TEXT(INDEX('Providers'!$Y$4:$Y$503,210),"yyyy-mm-dd"),"")</f>
        <v/>
      </c>
      <c r="F3713">
        <f>"Credentialing"</f>
        <v/>
      </c>
      <c r="G3713">
        <f>""</f>
        <v/>
      </c>
      <c r="H3713">
        <f>"High"</f>
        <v/>
      </c>
      <c r="I3713">
        <f>TRIM(IF(LEN(IF(LEN(INDEX('Providers'!$X$4:$X$503,210))=0,"",INDEX('Providers'!$X$4:$X$503,210)))=0,"","Facility: "&amp;IF(LEN(INDEX('Providers'!$X$4:$X$503,210))=0,"",INDEX('Providers'!$X$4:$X$503,210))&amp;". "))</f>
        <v/>
      </c>
      <c r="J3713">
        <f>IF(LEN(INDEX('Providers'!$AJ$4:$AJ$503,210))=0,"",INDEX('Providers'!$AJ$4:$AJ$503,210))</f>
        <v/>
      </c>
      <c r="K3713">
        <f>IF(LEN(INDEX('Providers'!$AI$4:$AI$503,210))=0,"",INDEX('Providers'!$AI$4:$AI$503,210))</f>
        <v/>
      </c>
    </row>
    <row r="3714">
      <c r="A3714">
        <f>IF(AND(LEN('Providers'!A214)&gt;0,ISNUMBER('Providers'!Y214)),1,0)</f>
        <v/>
      </c>
      <c r="B3714">
        <f>B3713+A3714</f>
        <v/>
      </c>
      <c r="C3714">
        <f>IF(3711&gt;$B$4503,"",MATCH(3711-0.5,$B$3:$B$4503,1))</f>
        <v/>
      </c>
      <c r="D3714">
        <f>"Privileges reappointment – "&amp;IF(LEN(INDEX('Providers'!$A$4:$A$503,211))=0,"",INDEX('Providers'!$A$4:$A$503,211))</f>
        <v/>
      </c>
      <c r="E3714">
        <f>IF(ISNUMBER(INDEX('Providers'!$Y$4:$Y$503,211)),TEXT(INDEX('Providers'!$Y$4:$Y$503,211),"yyyy-mm-dd"),"")</f>
        <v/>
      </c>
      <c r="F3714">
        <f>"Credentialing"</f>
        <v/>
      </c>
      <c r="G3714">
        <f>""</f>
        <v/>
      </c>
      <c r="H3714">
        <f>"High"</f>
        <v/>
      </c>
      <c r="I3714">
        <f>TRIM(IF(LEN(IF(LEN(INDEX('Providers'!$X$4:$X$503,211))=0,"",INDEX('Providers'!$X$4:$X$503,211)))=0,"","Facility: "&amp;IF(LEN(INDEX('Providers'!$X$4:$X$503,211))=0,"",INDEX('Providers'!$X$4:$X$503,211))&amp;". "))</f>
        <v/>
      </c>
      <c r="J3714">
        <f>IF(LEN(INDEX('Providers'!$AJ$4:$AJ$503,211))=0,"",INDEX('Providers'!$AJ$4:$AJ$503,211))</f>
        <v/>
      </c>
      <c r="K3714">
        <f>IF(LEN(INDEX('Providers'!$AI$4:$AI$503,211))=0,"",INDEX('Providers'!$AI$4:$AI$503,211))</f>
        <v/>
      </c>
    </row>
    <row r="3715">
      <c r="A3715">
        <f>IF(AND(LEN('Providers'!A215)&gt;0,ISNUMBER('Providers'!Y215)),1,0)</f>
        <v/>
      </c>
      <c r="B3715">
        <f>B3714+A3715</f>
        <v/>
      </c>
      <c r="C3715">
        <f>IF(3712&gt;$B$4503,"",MATCH(3712-0.5,$B$3:$B$4503,1))</f>
        <v/>
      </c>
      <c r="D3715">
        <f>"Privileges reappointment – "&amp;IF(LEN(INDEX('Providers'!$A$4:$A$503,212))=0,"",INDEX('Providers'!$A$4:$A$503,212))</f>
        <v/>
      </c>
      <c r="E3715">
        <f>IF(ISNUMBER(INDEX('Providers'!$Y$4:$Y$503,212)),TEXT(INDEX('Providers'!$Y$4:$Y$503,212),"yyyy-mm-dd"),"")</f>
        <v/>
      </c>
      <c r="F3715">
        <f>"Credentialing"</f>
        <v/>
      </c>
      <c r="G3715">
        <f>""</f>
        <v/>
      </c>
      <c r="H3715">
        <f>"High"</f>
        <v/>
      </c>
      <c r="I3715">
        <f>TRIM(IF(LEN(IF(LEN(INDEX('Providers'!$X$4:$X$503,212))=0,"",INDEX('Providers'!$X$4:$X$503,212)))=0,"","Facility: "&amp;IF(LEN(INDEX('Providers'!$X$4:$X$503,212))=0,"",INDEX('Providers'!$X$4:$X$503,212))&amp;". "))</f>
        <v/>
      </c>
      <c r="J3715">
        <f>IF(LEN(INDEX('Providers'!$AJ$4:$AJ$503,212))=0,"",INDEX('Providers'!$AJ$4:$AJ$503,212))</f>
        <v/>
      </c>
      <c r="K3715">
        <f>IF(LEN(INDEX('Providers'!$AI$4:$AI$503,212))=0,"",INDEX('Providers'!$AI$4:$AI$503,212))</f>
        <v/>
      </c>
    </row>
    <row r="3716">
      <c r="A3716">
        <f>IF(AND(LEN('Providers'!A216)&gt;0,ISNUMBER('Providers'!Y216)),1,0)</f>
        <v/>
      </c>
      <c r="B3716">
        <f>B3715+A3716</f>
        <v/>
      </c>
      <c r="C3716">
        <f>IF(3713&gt;$B$4503,"",MATCH(3713-0.5,$B$3:$B$4503,1))</f>
        <v/>
      </c>
      <c r="D3716">
        <f>"Privileges reappointment – "&amp;IF(LEN(INDEX('Providers'!$A$4:$A$503,213))=0,"",INDEX('Providers'!$A$4:$A$503,213))</f>
        <v/>
      </c>
      <c r="E3716">
        <f>IF(ISNUMBER(INDEX('Providers'!$Y$4:$Y$503,213)),TEXT(INDEX('Providers'!$Y$4:$Y$503,213),"yyyy-mm-dd"),"")</f>
        <v/>
      </c>
      <c r="F3716">
        <f>"Credentialing"</f>
        <v/>
      </c>
      <c r="G3716">
        <f>""</f>
        <v/>
      </c>
      <c r="H3716">
        <f>"High"</f>
        <v/>
      </c>
      <c r="I3716">
        <f>TRIM(IF(LEN(IF(LEN(INDEX('Providers'!$X$4:$X$503,213))=0,"",INDEX('Providers'!$X$4:$X$503,213)))=0,"","Facility: "&amp;IF(LEN(INDEX('Providers'!$X$4:$X$503,213))=0,"",INDEX('Providers'!$X$4:$X$503,213))&amp;". "))</f>
        <v/>
      </c>
      <c r="J3716">
        <f>IF(LEN(INDEX('Providers'!$AJ$4:$AJ$503,213))=0,"",INDEX('Providers'!$AJ$4:$AJ$503,213))</f>
        <v/>
      </c>
      <c r="K3716">
        <f>IF(LEN(INDEX('Providers'!$AI$4:$AI$503,213))=0,"",INDEX('Providers'!$AI$4:$AI$503,213))</f>
        <v/>
      </c>
    </row>
    <row r="3717">
      <c r="A3717">
        <f>IF(AND(LEN('Providers'!A217)&gt;0,ISNUMBER('Providers'!Y217)),1,0)</f>
        <v/>
      </c>
      <c r="B3717">
        <f>B3716+A3717</f>
        <v/>
      </c>
      <c r="C3717">
        <f>IF(3714&gt;$B$4503,"",MATCH(3714-0.5,$B$3:$B$4503,1))</f>
        <v/>
      </c>
      <c r="D3717">
        <f>"Privileges reappointment – "&amp;IF(LEN(INDEX('Providers'!$A$4:$A$503,214))=0,"",INDEX('Providers'!$A$4:$A$503,214))</f>
        <v/>
      </c>
      <c r="E3717">
        <f>IF(ISNUMBER(INDEX('Providers'!$Y$4:$Y$503,214)),TEXT(INDEX('Providers'!$Y$4:$Y$503,214),"yyyy-mm-dd"),"")</f>
        <v/>
      </c>
      <c r="F3717">
        <f>"Credentialing"</f>
        <v/>
      </c>
      <c r="G3717">
        <f>""</f>
        <v/>
      </c>
      <c r="H3717">
        <f>"High"</f>
        <v/>
      </c>
      <c r="I3717">
        <f>TRIM(IF(LEN(IF(LEN(INDEX('Providers'!$X$4:$X$503,214))=0,"",INDEX('Providers'!$X$4:$X$503,214)))=0,"","Facility: "&amp;IF(LEN(INDEX('Providers'!$X$4:$X$503,214))=0,"",INDEX('Providers'!$X$4:$X$503,214))&amp;". "))</f>
        <v/>
      </c>
      <c r="J3717">
        <f>IF(LEN(INDEX('Providers'!$AJ$4:$AJ$503,214))=0,"",INDEX('Providers'!$AJ$4:$AJ$503,214))</f>
        <v/>
      </c>
      <c r="K3717">
        <f>IF(LEN(INDEX('Providers'!$AI$4:$AI$503,214))=0,"",INDEX('Providers'!$AI$4:$AI$503,214))</f>
        <v/>
      </c>
    </row>
    <row r="3718">
      <c r="A3718">
        <f>IF(AND(LEN('Providers'!A218)&gt;0,ISNUMBER('Providers'!Y218)),1,0)</f>
        <v/>
      </c>
      <c r="B3718">
        <f>B3717+A3718</f>
        <v/>
      </c>
      <c r="C3718">
        <f>IF(3715&gt;$B$4503,"",MATCH(3715-0.5,$B$3:$B$4503,1))</f>
        <v/>
      </c>
      <c r="D3718">
        <f>"Privileges reappointment – "&amp;IF(LEN(INDEX('Providers'!$A$4:$A$503,215))=0,"",INDEX('Providers'!$A$4:$A$503,215))</f>
        <v/>
      </c>
      <c r="E3718">
        <f>IF(ISNUMBER(INDEX('Providers'!$Y$4:$Y$503,215)),TEXT(INDEX('Providers'!$Y$4:$Y$503,215),"yyyy-mm-dd"),"")</f>
        <v/>
      </c>
      <c r="F3718">
        <f>"Credentialing"</f>
        <v/>
      </c>
      <c r="G3718">
        <f>""</f>
        <v/>
      </c>
      <c r="H3718">
        <f>"High"</f>
        <v/>
      </c>
      <c r="I3718">
        <f>TRIM(IF(LEN(IF(LEN(INDEX('Providers'!$X$4:$X$503,215))=0,"",INDEX('Providers'!$X$4:$X$503,215)))=0,"","Facility: "&amp;IF(LEN(INDEX('Providers'!$X$4:$X$503,215))=0,"",INDEX('Providers'!$X$4:$X$503,215))&amp;". "))</f>
        <v/>
      </c>
      <c r="J3718">
        <f>IF(LEN(INDEX('Providers'!$AJ$4:$AJ$503,215))=0,"",INDEX('Providers'!$AJ$4:$AJ$503,215))</f>
        <v/>
      </c>
      <c r="K3718">
        <f>IF(LEN(INDEX('Providers'!$AI$4:$AI$503,215))=0,"",INDEX('Providers'!$AI$4:$AI$503,215))</f>
        <v/>
      </c>
    </row>
    <row r="3719">
      <c r="A3719">
        <f>IF(AND(LEN('Providers'!A219)&gt;0,ISNUMBER('Providers'!Y219)),1,0)</f>
        <v/>
      </c>
      <c r="B3719">
        <f>B3718+A3719</f>
        <v/>
      </c>
      <c r="C3719">
        <f>IF(3716&gt;$B$4503,"",MATCH(3716-0.5,$B$3:$B$4503,1))</f>
        <v/>
      </c>
      <c r="D3719">
        <f>"Privileges reappointment – "&amp;IF(LEN(INDEX('Providers'!$A$4:$A$503,216))=0,"",INDEX('Providers'!$A$4:$A$503,216))</f>
        <v/>
      </c>
      <c r="E3719">
        <f>IF(ISNUMBER(INDEX('Providers'!$Y$4:$Y$503,216)),TEXT(INDEX('Providers'!$Y$4:$Y$503,216),"yyyy-mm-dd"),"")</f>
        <v/>
      </c>
      <c r="F3719">
        <f>"Credentialing"</f>
        <v/>
      </c>
      <c r="G3719">
        <f>""</f>
        <v/>
      </c>
      <c r="H3719">
        <f>"High"</f>
        <v/>
      </c>
      <c r="I3719">
        <f>TRIM(IF(LEN(IF(LEN(INDEX('Providers'!$X$4:$X$503,216))=0,"",INDEX('Providers'!$X$4:$X$503,216)))=0,"","Facility: "&amp;IF(LEN(INDEX('Providers'!$X$4:$X$503,216))=0,"",INDEX('Providers'!$X$4:$X$503,216))&amp;". "))</f>
        <v/>
      </c>
      <c r="J3719">
        <f>IF(LEN(INDEX('Providers'!$AJ$4:$AJ$503,216))=0,"",INDEX('Providers'!$AJ$4:$AJ$503,216))</f>
        <v/>
      </c>
      <c r="K3719">
        <f>IF(LEN(INDEX('Providers'!$AI$4:$AI$503,216))=0,"",INDEX('Providers'!$AI$4:$AI$503,216))</f>
        <v/>
      </c>
    </row>
    <row r="3720">
      <c r="A3720">
        <f>IF(AND(LEN('Providers'!A220)&gt;0,ISNUMBER('Providers'!Y220)),1,0)</f>
        <v/>
      </c>
      <c r="B3720">
        <f>B3719+A3720</f>
        <v/>
      </c>
      <c r="C3720">
        <f>IF(3717&gt;$B$4503,"",MATCH(3717-0.5,$B$3:$B$4503,1))</f>
        <v/>
      </c>
      <c r="D3720">
        <f>"Privileges reappointment – "&amp;IF(LEN(INDEX('Providers'!$A$4:$A$503,217))=0,"",INDEX('Providers'!$A$4:$A$503,217))</f>
        <v/>
      </c>
      <c r="E3720">
        <f>IF(ISNUMBER(INDEX('Providers'!$Y$4:$Y$503,217)),TEXT(INDEX('Providers'!$Y$4:$Y$503,217),"yyyy-mm-dd"),"")</f>
        <v/>
      </c>
      <c r="F3720">
        <f>"Credentialing"</f>
        <v/>
      </c>
      <c r="G3720">
        <f>""</f>
        <v/>
      </c>
      <c r="H3720">
        <f>"High"</f>
        <v/>
      </c>
      <c r="I3720">
        <f>TRIM(IF(LEN(IF(LEN(INDEX('Providers'!$X$4:$X$503,217))=0,"",INDEX('Providers'!$X$4:$X$503,217)))=0,"","Facility: "&amp;IF(LEN(INDEX('Providers'!$X$4:$X$503,217))=0,"",INDEX('Providers'!$X$4:$X$503,217))&amp;". "))</f>
        <v/>
      </c>
      <c r="J3720">
        <f>IF(LEN(INDEX('Providers'!$AJ$4:$AJ$503,217))=0,"",INDEX('Providers'!$AJ$4:$AJ$503,217))</f>
        <v/>
      </c>
      <c r="K3720">
        <f>IF(LEN(INDEX('Providers'!$AI$4:$AI$503,217))=0,"",INDEX('Providers'!$AI$4:$AI$503,217))</f>
        <v/>
      </c>
    </row>
    <row r="3721">
      <c r="A3721">
        <f>IF(AND(LEN('Providers'!A221)&gt;0,ISNUMBER('Providers'!Y221)),1,0)</f>
        <v/>
      </c>
      <c r="B3721">
        <f>B3720+A3721</f>
        <v/>
      </c>
      <c r="C3721">
        <f>IF(3718&gt;$B$4503,"",MATCH(3718-0.5,$B$3:$B$4503,1))</f>
        <v/>
      </c>
      <c r="D3721">
        <f>"Privileges reappointment – "&amp;IF(LEN(INDEX('Providers'!$A$4:$A$503,218))=0,"",INDEX('Providers'!$A$4:$A$503,218))</f>
        <v/>
      </c>
      <c r="E3721">
        <f>IF(ISNUMBER(INDEX('Providers'!$Y$4:$Y$503,218)),TEXT(INDEX('Providers'!$Y$4:$Y$503,218),"yyyy-mm-dd"),"")</f>
        <v/>
      </c>
      <c r="F3721">
        <f>"Credentialing"</f>
        <v/>
      </c>
      <c r="G3721">
        <f>""</f>
        <v/>
      </c>
      <c r="H3721">
        <f>"High"</f>
        <v/>
      </c>
      <c r="I3721">
        <f>TRIM(IF(LEN(IF(LEN(INDEX('Providers'!$X$4:$X$503,218))=0,"",INDEX('Providers'!$X$4:$X$503,218)))=0,"","Facility: "&amp;IF(LEN(INDEX('Providers'!$X$4:$X$503,218))=0,"",INDEX('Providers'!$X$4:$X$503,218))&amp;". "))</f>
        <v/>
      </c>
      <c r="J3721">
        <f>IF(LEN(INDEX('Providers'!$AJ$4:$AJ$503,218))=0,"",INDEX('Providers'!$AJ$4:$AJ$503,218))</f>
        <v/>
      </c>
      <c r="K3721">
        <f>IF(LEN(INDEX('Providers'!$AI$4:$AI$503,218))=0,"",INDEX('Providers'!$AI$4:$AI$503,218))</f>
        <v/>
      </c>
    </row>
    <row r="3722">
      <c r="A3722">
        <f>IF(AND(LEN('Providers'!A222)&gt;0,ISNUMBER('Providers'!Y222)),1,0)</f>
        <v/>
      </c>
      <c r="B3722">
        <f>B3721+A3722</f>
        <v/>
      </c>
      <c r="C3722">
        <f>IF(3719&gt;$B$4503,"",MATCH(3719-0.5,$B$3:$B$4503,1))</f>
        <v/>
      </c>
      <c r="D3722">
        <f>"Privileges reappointment – "&amp;IF(LEN(INDEX('Providers'!$A$4:$A$503,219))=0,"",INDEX('Providers'!$A$4:$A$503,219))</f>
        <v/>
      </c>
      <c r="E3722">
        <f>IF(ISNUMBER(INDEX('Providers'!$Y$4:$Y$503,219)),TEXT(INDEX('Providers'!$Y$4:$Y$503,219),"yyyy-mm-dd"),"")</f>
        <v/>
      </c>
      <c r="F3722">
        <f>"Credentialing"</f>
        <v/>
      </c>
      <c r="G3722">
        <f>""</f>
        <v/>
      </c>
      <c r="H3722">
        <f>"High"</f>
        <v/>
      </c>
      <c r="I3722">
        <f>TRIM(IF(LEN(IF(LEN(INDEX('Providers'!$X$4:$X$503,219))=0,"",INDEX('Providers'!$X$4:$X$503,219)))=0,"","Facility: "&amp;IF(LEN(INDEX('Providers'!$X$4:$X$503,219))=0,"",INDEX('Providers'!$X$4:$X$503,219))&amp;". "))</f>
        <v/>
      </c>
      <c r="J3722">
        <f>IF(LEN(INDEX('Providers'!$AJ$4:$AJ$503,219))=0,"",INDEX('Providers'!$AJ$4:$AJ$503,219))</f>
        <v/>
      </c>
      <c r="K3722">
        <f>IF(LEN(INDEX('Providers'!$AI$4:$AI$503,219))=0,"",INDEX('Providers'!$AI$4:$AI$503,219))</f>
        <v/>
      </c>
    </row>
    <row r="3723">
      <c r="A3723">
        <f>IF(AND(LEN('Providers'!A223)&gt;0,ISNUMBER('Providers'!Y223)),1,0)</f>
        <v/>
      </c>
      <c r="B3723">
        <f>B3722+A3723</f>
        <v/>
      </c>
      <c r="C3723">
        <f>IF(3720&gt;$B$4503,"",MATCH(3720-0.5,$B$3:$B$4503,1))</f>
        <v/>
      </c>
      <c r="D3723">
        <f>"Privileges reappointment – "&amp;IF(LEN(INDEX('Providers'!$A$4:$A$503,220))=0,"",INDEX('Providers'!$A$4:$A$503,220))</f>
        <v/>
      </c>
      <c r="E3723">
        <f>IF(ISNUMBER(INDEX('Providers'!$Y$4:$Y$503,220)),TEXT(INDEX('Providers'!$Y$4:$Y$503,220),"yyyy-mm-dd"),"")</f>
        <v/>
      </c>
      <c r="F3723">
        <f>"Credentialing"</f>
        <v/>
      </c>
      <c r="G3723">
        <f>""</f>
        <v/>
      </c>
      <c r="H3723">
        <f>"High"</f>
        <v/>
      </c>
      <c r="I3723">
        <f>TRIM(IF(LEN(IF(LEN(INDEX('Providers'!$X$4:$X$503,220))=0,"",INDEX('Providers'!$X$4:$X$503,220)))=0,"","Facility: "&amp;IF(LEN(INDEX('Providers'!$X$4:$X$503,220))=0,"",INDEX('Providers'!$X$4:$X$503,220))&amp;". "))</f>
        <v/>
      </c>
      <c r="J3723">
        <f>IF(LEN(INDEX('Providers'!$AJ$4:$AJ$503,220))=0,"",INDEX('Providers'!$AJ$4:$AJ$503,220))</f>
        <v/>
      </c>
      <c r="K3723">
        <f>IF(LEN(INDEX('Providers'!$AI$4:$AI$503,220))=0,"",INDEX('Providers'!$AI$4:$AI$503,220))</f>
        <v/>
      </c>
    </row>
    <row r="3724">
      <c r="A3724">
        <f>IF(AND(LEN('Providers'!A224)&gt;0,ISNUMBER('Providers'!Y224)),1,0)</f>
        <v/>
      </c>
      <c r="B3724">
        <f>B3723+A3724</f>
        <v/>
      </c>
      <c r="C3724">
        <f>IF(3721&gt;$B$4503,"",MATCH(3721-0.5,$B$3:$B$4503,1))</f>
        <v/>
      </c>
      <c r="D3724">
        <f>"Privileges reappointment – "&amp;IF(LEN(INDEX('Providers'!$A$4:$A$503,221))=0,"",INDEX('Providers'!$A$4:$A$503,221))</f>
        <v/>
      </c>
      <c r="E3724">
        <f>IF(ISNUMBER(INDEX('Providers'!$Y$4:$Y$503,221)),TEXT(INDEX('Providers'!$Y$4:$Y$503,221),"yyyy-mm-dd"),"")</f>
        <v/>
      </c>
      <c r="F3724">
        <f>"Credentialing"</f>
        <v/>
      </c>
      <c r="G3724">
        <f>""</f>
        <v/>
      </c>
      <c r="H3724">
        <f>"High"</f>
        <v/>
      </c>
      <c r="I3724">
        <f>TRIM(IF(LEN(IF(LEN(INDEX('Providers'!$X$4:$X$503,221))=0,"",INDEX('Providers'!$X$4:$X$503,221)))=0,"","Facility: "&amp;IF(LEN(INDEX('Providers'!$X$4:$X$503,221))=0,"",INDEX('Providers'!$X$4:$X$503,221))&amp;". "))</f>
        <v/>
      </c>
      <c r="J3724">
        <f>IF(LEN(INDEX('Providers'!$AJ$4:$AJ$503,221))=0,"",INDEX('Providers'!$AJ$4:$AJ$503,221))</f>
        <v/>
      </c>
      <c r="K3724">
        <f>IF(LEN(INDEX('Providers'!$AI$4:$AI$503,221))=0,"",INDEX('Providers'!$AI$4:$AI$503,221))</f>
        <v/>
      </c>
    </row>
    <row r="3725">
      <c r="A3725">
        <f>IF(AND(LEN('Providers'!A225)&gt;0,ISNUMBER('Providers'!Y225)),1,0)</f>
        <v/>
      </c>
      <c r="B3725">
        <f>B3724+A3725</f>
        <v/>
      </c>
      <c r="C3725">
        <f>IF(3722&gt;$B$4503,"",MATCH(3722-0.5,$B$3:$B$4503,1))</f>
        <v/>
      </c>
      <c r="D3725">
        <f>"Privileges reappointment – "&amp;IF(LEN(INDEX('Providers'!$A$4:$A$503,222))=0,"",INDEX('Providers'!$A$4:$A$503,222))</f>
        <v/>
      </c>
      <c r="E3725">
        <f>IF(ISNUMBER(INDEX('Providers'!$Y$4:$Y$503,222)),TEXT(INDEX('Providers'!$Y$4:$Y$503,222),"yyyy-mm-dd"),"")</f>
        <v/>
      </c>
      <c r="F3725">
        <f>"Credentialing"</f>
        <v/>
      </c>
      <c r="G3725">
        <f>""</f>
        <v/>
      </c>
      <c r="H3725">
        <f>"High"</f>
        <v/>
      </c>
      <c r="I3725">
        <f>TRIM(IF(LEN(IF(LEN(INDEX('Providers'!$X$4:$X$503,222))=0,"",INDEX('Providers'!$X$4:$X$503,222)))=0,"","Facility: "&amp;IF(LEN(INDEX('Providers'!$X$4:$X$503,222))=0,"",INDEX('Providers'!$X$4:$X$503,222))&amp;". "))</f>
        <v/>
      </c>
      <c r="J3725">
        <f>IF(LEN(INDEX('Providers'!$AJ$4:$AJ$503,222))=0,"",INDEX('Providers'!$AJ$4:$AJ$503,222))</f>
        <v/>
      </c>
      <c r="K3725">
        <f>IF(LEN(INDEX('Providers'!$AI$4:$AI$503,222))=0,"",INDEX('Providers'!$AI$4:$AI$503,222))</f>
        <v/>
      </c>
    </row>
    <row r="3726">
      <c r="A3726">
        <f>IF(AND(LEN('Providers'!A226)&gt;0,ISNUMBER('Providers'!Y226)),1,0)</f>
        <v/>
      </c>
      <c r="B3726">
        <f>B3725+A3726</f>
        <v/>
      </c>
      <c r="C3726">
        <f>IF(3723&gt;$B$4503,"",MATCH(3723-0.5,$B$3:$B$4503,1))</f>
        <v/>
      </c>
      <c r="D3726">
        <f>"Privileges reappointment – "&amp;IF(LEN(INDEX('Providers'!$A$4:$A$503,223))=0,"",INDEX('Providers'!$A$4:$A$503,223))</f>
        <v/>
      </c>
      <c r="E3726">
        <f>IF(ISNUMBER(INDEX('Providers'!$Y$4:$Y$503,223)),TEXT(INDEX('Providers'!$Y$4:$Y$503,223),"yyyy-mm-dd"),"")</f>
        <v/>
      </c>
      <c r="F3726">
        <f>"Credentialing"</f>
        <v/>
      </c>
      <c r="G3726">
        <f>""</f>
        <v/>
      </c>
      <c r="H3726">
        <f>"High"</f>
        <v/>
      </c>
      <c r="I3726">
        <f>TRIM(IF(LEN(IF(LEN(INDEX('Providers'!$X$4:$X$503,223))=0,"",INDEX('Providers'!$X$4:$X$503,223)))=0,"","Facility: "&amp;IF(LEN(INDEX('Providers'!$X$4:$X$503,223))=0,"",INDEX('Providers'!$X$4:$X$503,223))&amp;". "))</f>
        <v/>
      </c>
      <c r="J3726">
        <f>IF(LEN(INDEX('Providers'!$AJ$4:$AJ$503,223))=0,"",INDEX('Providers'!$AJ$4:$AJ$503,223))</f>
        <v/>
      </c>
      <c r="K3726">
        <f>IF(LEN(INDEX('Providers'!$AI$4:$AI$503,223))=0,"",INDEX('Providers'!$AI$4:$AI$503,223))</f>
        <v/>
      </c>
    </row>
    <row r="3727">
      <c r="A3727">
        <f>IF(AND(LEN('Providers'!A227)&gt;0,ISNUMBER('Providers'!Y227)),1,0)</f>
        <v/>
      </c>
      <c r="B3727">
        <f>B3726+A3727</f>
        <v/>
      </c>
      <c r="C3727">
        <f>IF(3724&gt;$B$4503,"",MATCH(3724-0.5,$B$3:$B$4503,1))</f>
        <v/>
      </c>
      <c r="D3727">
        <f>"Privileges reappointment – "&amp;IF(LEN(INDEX('Providers'!$A$4:$A$503,224))=0,"",INDEX('Providers'!$A$4:$A$503,224))</f>
        <v/>
      </c>
      <c r="E3727">
        <f>IF(ISNUMBER(INDEX('Providers'!$Y$4:$Y$503,224)),TEXT(INDEX('Providers'!$Y$4:$Y$503,224),"yyyy-mm-dd"),"")</f>
        <v/>
      </c>
      <c r="F3727">
        <f>"Credentialing"</f>
        <v/>
      </c>
      <c r="G3727">
        <f>""</f>
        <v/>
      </c>
      <c r="H3727">
        <f>"High"</f>
        <v/>
      </c>
      <c r="I3727">
        <f>TRIM(IF(LEN(IF(LEN(INDEX('Providers'!$X$4:$X$503,224))=0,"",INDEX('Providers'!$X$4:$X$503,224)))=0,"","Facility: "&amp;IF(LEN(INDEX('Providers'!$X$4:$X$503,224))=0,"",INDEX('Providers'!$X$4:$X$503,224))&amp;". "))</f>
        <v/>
      </c>
      <c r="J3727">
        <f>IF(LEN(INDEX('Providers'!$AJ$4:$AJ$503,224))=0,"",INDEX('Providers'!$AJ$4:$AJ$503,224))</f>
        <v/>
      </c>
      <c r="K3727">
        <f>IF(LEN(INDEX('Providers'!$AI$4:$AI$503,224))=0,"",INDEX('Providers'!$AI$4:$AI$503,224))</f>
        <v/>
      </c>
    </row>
    <row r="3728">
      <c r="A3728">
        <f>IF(AND(LEN('Providers'!A228)&gt;0,ISNUMBER('Providers'!Y228)),1,0)</f>
        <v/>
      </c>
      <c r="B3728">
        <f>B3727+A3728</f>
        <v/>
      </c>
      <c r="C3728">
        <f>IF(3725&gt;$B$4503,"",MATCH(3725-0.5,$B$3:$B$4503,1))</f>
        <v/>
      </c>
      <c r="D3728">
        <f>"Privileges reappointment – "&amp;IF(LEN(INDEX('Providers'!$A$4:$A$503,225))=0,"",INDEX('Providers'!$A$4:$A$503,225))</f>
        <v/>
      </c>
      <c r="E3728">
        <f>IF(ISNUMBER(INDEX('Providers'!$Y$4:$Y$503,225)),TEXT(INDEX('Providers'!$Y$4:$Y$503,225),"yyyy-mm-dd"),"")</f>
        <v/>
      </c>
      <c r="F3728">
        <f>"Credentialing"</f>
        <v/>
      </c>
      <c r="G3728">
        <f>""</f>
        <v/>
      </c>
      <c r="H3728">
        <f>"High"</f>
        <v/>
      </c>
      <c r="I3728">
        <f>TRIM(IF(LEN(IF(LEN(INDEX('Providers'!$X$4:$X$503,225))=0,"",INDEX('Providers'!$X$4:$X$503,225)))=0,"","Facility: "&amp;IF(LEN(INDEX('Providers'!$X$4:$X$503,225))=0,"",INDEX('Providers'!$X$4:$X$503,225))&amp;". "))</f>
        <v/>
      </c>
      <c r="J3728">
        <f>IF(LEN(INDEX('Providers'!$AJ$4:$AJ$503,225))=0,"",INDEX('Providers'!$AJ$4:$AJ$503,225))</f>
        <v/>
      </c>
      <c r="K3728">
        <f>IF(LEN(INDEX('Providers'!$AI$4:$AI$503,225))=0,"",INDEX('Providers'!$AI$4:$AI$503,225))</f>
        <v/>
      </c>
    </row>
    <row r="3729">
      <c r="A3729">
        <f>IF(AND(LEN('Providers'!A229)&gt;0,ISNUMBER('Providers'!Y229)),1,0)</f>
        <v/>
      </c>
      <c r="B3729">
        <f>B3728+A3729</f>
        <v/>
      </c>
      <c r="C3729">
        <f>IF(3726&gt;$B$4503,"",MATCH(3726-0.5,$B$3:$B$4503,1))</f>
        <v/>
      </c>
      <c r="D3729">
        <f>"Privileges reappointment – "&amp;IF(LEN(INDEX('Providers'!$A$4:$A$503,226))=0,"",INDEX('Providers'!$A$4:$A$503,226))</f>
        <v/>
      </c>
      <c r="E3729">
        <f>IF(ISNUMBER(INDEX('Providers'!$Y$4:$Y$503,226)),TEXT(INDEX('Providers'!$Y$4:$Y$503,226),"yyyy-mm-dd"),"")</f>
        <v/>
      </c>
      <c r="F3729">
        <f>"Credentialing"</f>
        <v/>
      </c>
      <c r="G3729">
        <f>""</f>
        <v/>
      </c>
      <c r="H3729">
        <f>"High"</f>
        <v/>
      </c>
      <c r="I3729">
        <f>TRIM(IF(LEN(IF(LEN(INDEX('Providers'!$X$4:$X$503,226))=0,"",INDEX('Providers'!$X$4:$X$503,226)))=0,"","Facility: "&amp;IF(LEN(INDEX('Providers'!$X$4:$X$503,226))=0,"",INDEX('Providers'!$X$4:$X$503,226))&amp;". "))</f>
        <v/>
      </c>
      <c r="J3729">
        <f>IF(LEN(INDEX('Providers'!$AJ$4:$AJ$503,226))=0,"",INDEX('Providers'!$AJ$4:$AJ$503,226))</f>
        <v/>
      </c>
      <c r="K3729">
        <f>IF(LEN(INDEX('Providers'!$AI$4:$AI$503,226))=0,"",INDEX('Providers'!$AI$4:$AI$503,226))</f>
        <v/>
      </c>
    </row>
    <row r="3730">
      <c r="A3730">
        <f>IF(AND(LEN('Providers'!A230)&gt;0,ISNUMBER('Providers'!Y230)),1,0)</f>
        <v/>
      </c>
      <c r="B3730">
        <f>B3729+A3730</f>
        <v/>
      </c>
      <c r="C3730">
        <f>IF(3727&gt;$B$4503,"",MATCH(3727-0.5,$B$3:$B$4503,1))</f>
        <v/>
      </c>
      <c r="D3730">
        <f>"Privileges reappointment – "&amp;IF(LEN(INDEX('Providers'!$A$4:$A$503,227))=0,"",INDEX('Providers'!$A$4:$A$503,227))</f>
        <v/>
      </c>
      <c r="E3730">
        <f>IF(ISNUMBER(INDEX('Providers'!$Y$4:$Y$503,227)),TEXT(INDEX('Providers'!$Y$4:$Y$503,227),"yyyy-mm-dd"),"")</f>
        <v/>
      </c>
      <c r="F3730">
        <f>"Credentialing"</f>
        <v/>
      </c>
      <c r="G3730">
        <f>""</f>
        <v/>
      </c>
      <c r="H3730">
        <f>"High"</f>
        <v/>
      </c>
      <c r="I3730">
        <f>TRIM(IF(LEN(IF(LEN(INDEX('Providers'!$X$4:$X$503,227))=0,"",INDEX('Providers'!$X$4:$X$503,227)))=0,"","Facility: "&amp;IF(LEN(INDEX('Providers'!$X$4:$X$503,227))=0,"",INDEX('Providers'!$X$4:$X$503,227))&amp;". "))</f>
        <v/>
      </c>
      <c r="J3730">
        <f>IF(LEN(INDEX('Providers'!$AJ$4:$AJ$503,227))=0,"",INDEX('Providers'!$AJ$4:$AJ$503,227))</f>
        <v/>
      </c>
      <c r="K3730">
        <f>IF(LEN(INDEX('Providers'!$AI$4:$AI$503,227))=0,"",INDEX('Providers'!$AI$4:$AI$503,227))</f>
        <v/>
      </c>
    </row>
    <row r="3731">
      <c r="A3731">
        <f>IF(AND(LEN('Providers'!A231)&gt;0,ISNUMBER('Providers'!Y231)),1,0)</f>
        <v/>
      </c>
      <c r="B3731">
        <f>B3730+A3731</f>
        <v/>
      </c>
      <c r="C3731">
        <f>IF(3728&gt;$B$4503,"",MATCH(3728-0.5,$B$3:$B$4503,1))</f>
        <v/>
      </c>
      <c r="D3731">
        <f>"Privileges reappointment – "&amp;IF(LEN(INDEX('Providers'!$A$4:$A$503,228))=0,"",INDEX('Providers'!$A$4:$A$503,228))</f>
        <v/>
      </c>
      <c r="E3731">
        <f>IF(ISNUMBER(INDEX('Providers'!$Y$4:$Y$503,228)),TEXT(INDEX('Providers'!$Y$4:$Y$503,228),"yyyy-mm-dd"),"")</f>
        <v/>
      </c>
      <c r="F3731">
        <f>"Credentialing"</f>
        <v/>
      </c>
      <c r="G3731">
        <f>""</f>
        <v/>
      </c>
      <c r="H3731">
        <f>"High"</f>
        <v/>
      </c>
      <c r="I3731">
        <f>TRIM(IF(LEN(IF(LEN(INDEX('Providers'!$X$4:$X$503,228))=0,"",INDEX('Providers'!$X$4:$X$503,228)))=0,"","Facility: "&amp;IF(LEN(INDEX('Providers'!$X$4:$X$503,228))=0,"",INDEX('Providers'!$X$4:$X$503,228))&amp;". "))</f>
        <v/>
      </c>
      <c r="J3731">
        <f>IF(LEN(INDEX('Providers'!$AJ$4:$AJ$503,228))=0,"",INDEX('Providers'!$AJ$4:$AJ$503,228))</f>
        <v/>
      </c>
      <c r="K3731">
        <f>IF(LEN(INDEX('Providers'!$AI$4:$AI$503,228))=0,"",INDEX('Providers'!$AI$4:$AI$503,228))</f>
        <v/>
      </c>
    </row>
    <row r="3732">
      <c r="A3732">
        <f>IF(AND(LEN('Providers'!A232)&gt;0,ISNUMBER('Providers'!Y232)),1,0)</f>
        <v/>
      </c>
      <c r="B3732">
        <f>B3731+A3732</f>
        <v/>
      </c>
      <c r="C3732">
        <f>IF(3729&gt;$B$4503,"",MATCH(3729-0.5,$B$3:$B$4503,1))</f>
        <v/>
      </c>
      <c r="D3732">
        <f>"Privileges reappointment – "&amp;IF(LEN(INDEX('Providers'!$A$4:$A$503,229))=0,"",INDEX('Providers'!$A$4:$A$503,229))</f>
        <v/>
      </c>
      <c r="E3732">
        <f>IF(ISNUMBER(INDEX('Providers'!$Y$4:$Y$503,229)),TEXT(INDEX('Providers'!$Y$4:$Y$503,229),"yyyy-mm-dd"),"")</f>
        <v/>
      </c>
      <c r="F3732">
        <f>"Credentialing"</f>
        <v/>
      </c>
      <c r="G3732">
        <f>""</f>
        <v/>
      </c>
      <c r="H3732">
        <f>"High"</f>
        <v/>
      </c>
      <c r="I3732">
        <f>TRIM(IF(LEN(IF(LEN(INDEX('Providers'!$X$4:$X$503,229))=0,"",INDEX('Providers'!$X$4:$X$503,229)))=0,"","Facility: "&amp;IF(LEN(INDEX('Providers'!$X$4:$X$503,229))=0,"",INDEX('Providers'!$X$4:$X$503,229))&amp;". "))</f>
        <v/>
      </c>
      <c r="J3732">
        <f>IF(LEN(INDEX('Providers'!$AJ$4:$AJ$503,229))=0,"",INDEX('Providers'!$AJ$4:$AJ$503,229))</f>
        <v/>
      </c>
      <c r="K3732">
        <f>IF(LEN(INDEX('Providers'!$AI$4:$AI$503,229))=0,"",INDEX('Providers'!$AI$4:$AI$503,229))</f>
        <v/>
      </c>
    </row>
    <row r="3733">
      <c r="A3733">
        <f>IF(AND(LEN('Providers'!A233)&gt;0,ISNUMBER('Providers'!Y233)),1,0)</f>
        <v/>
      </c>
      <c r="B3733">
        <f>B3732+A3733</f>
        <v/>
      </c>
      <c r="C3733">
        <f>IF(3730&gt;$B$4503,"",MATCH(3730-0.5,$B$3:$B$4503,1))</f>
        <v/>
      </c>
      <c r="D3733">
        <f>"Privileges reappointment – "&amp;IF(LEN(INDEX('Providers'!$A$4:$A$503,230))=0,"",INDEX('Providers'!$A$4:$A$503,230))</f>
        <v/>
      </c>
      <c r="E3733">
        <f>IF(ISNUMBER(INDEX('Providers'!$Y$4:$Y$503,230)),TEXT(INDEX('Providers'!$Y$4:$Y$503,230),"yyyy-mm-dd"),"")</f>
        <v/>
      </c>
      <c r="F3733">
        <f>"Credentialing"</f>
        <v/>
      </c>
      <c r="G3733">
        <f>""</f>
        <v/>
      </c>
      <c r="H3733">
        <f>"High"</f>
        <v/>
      </c>
      <c r="I3733">
        <f>TRIM(IF(LEN(IF(LEN(INDEX('Providers'!$X$4:$X$503,230))=0,"",INDEX('Providers'!$X$4:$X$503,230)))=0,"","Facility: "&amp;IF(LEN(INDEX('Providers'!$X$4:$X$503,230))=0,"",INDEX('Providers'!$X$4:$X$503,230))&amp;". "))</f>
        <v/>
      </c>
      <c r="J3733">
        <f>IF(LEN(INDEX('Providers'!$AJ$4:$AJ$503,230))=0,"",INDEX('Providers'!$AJ$4:$AJ$503,230))</f>
        <v/>
      </c>
      <c r="K3733">
        <f>IF(LEN(INDEX('Providers'!$AI$4:$AI$503,230))=0,"",INDEX('Providers'!$AI$4:$AI$503,230))</f>
        <v/>
      </c>
    </row>
    <row r="3734">
      <c r="A3734">
        <f>IF(AND(LEN('Providers'!A234)&gt;0,ISNUMBER('Providers'!Y234)),1,0)</f>
        <v/>
      </c>
      <c r="B3734">
        <f>B3733+A3734</f>
        <v/>
      </c>
      <c r="C3734">
        <f>IF(3731&gt;$B$4503,"",MATCH(3731-0.5,$B$3:$B$4503,1))</f>
        <v/>
      </c>
      <c r="D3734">
        <f>"Privileges reappointment – "&amp;IF(LEN(INDEX('Providers'!$A$4:$A$503,231))=0,"",INDEX('Providers'!$A$4:$A$503,231))</f>
        <v/>
      </c>
      <c r="E3734">
        <f>IF(ISNUMBER(INDEX('Providers'!$Y$4:$Y$503,231)),TEXT(INDEX('Providers'!$Y$4:$Y$503,231),"yyyy-mm-dd"),"")</f>
        <v/>
      </c>
      <c r="F3734">
        <f>"Credentialing"</f>
        <v/>
      </c>
      <c r="G3734">
        <f>""</f>
        <v/>
      </c>
      <c r="H3734">
        <f>"High"</f>
        <v/>
      </c>
      <c r="I3734">
        <f>TRIM(IF(LEN(IF(LEN(INDEX('Providers'!$X$4:$X$503,231))=0,"",INDEX('Providers'!$X$4:$X$503,231)))=0,"","Facility: "&amp;IF(LEN(INDEX('Providers'!$X$4:$X$503,231))=0,"",INDEX('Providers'!$X$4:$X$503,231))&amp;". "))</f>
        <v/>
      </c>
      <c r="J3734">
        <f>IF(LEN(INDEX('Providers'!$AJ$4:$AJ$503,231))=0,"",INDEX('Providers'!$AJ$4:$AJ$503,231))</f>
        <v/>
      </c>
      <c r="K3734">
        <f>IF(LEN(INDEX('Providers'!$AI$4:$AI$503,231))=0,"",INDEX('Providers'!$AI$4:$AI$503,231))</f>
        <v/>
      </c>
    </row>
    <row r="3735">
      <c r="A3735">
        <f>IF(AND(LEN('Providers'!A235)&gt;0,ISNUMBER('Providers'!Y235)),1,0)</f>
        <v/>
      </c>
      <c r="B3735">
        <f>B3734+A3735</f>
        <v/>
      </c>
      <c r="C3735">
        <f>IF(3732&gt;$B$4503,"",MATCH(3732-0.5,$B$3:$B$4503,1))</f>
        <v/>
      </c>
      <c r="D3735">
        <f>"Privileges reappointment – "&amp;IF(LEN(INDEX('Providers'!$A$4:$A$503,232))=0,"",INDEX('Providers'!$A$4:$A$503,232))</f>
        <v/>
      </c>
      <c r="E3735">
        <f>IF(ISNUMBER(INDEX('Providers'!$Y$4:$Y$503,232)),TEXT(INDEX('Providers'!$Y$4:$Y$503,232),"yyyy-mm-dd"),"")</f>
        <v/>
      </c>
      <c r="F3735">
        <f>"Credentialing"</f>
        <v/>
      </c>
      <c r="G3735">
        <f>""</f>
        <v/>
      </c>
      <c r="H3735">
        <f>"High"</f>
        <v/>
      </c>
      <c r="I3735">
        <f>TRIM(IF(LEN(IF(LEN(INDEX('Providers'!$X$4:$X$503,232))=0,"",INDEX('Providers'!$X$4:$X$503,232)))=0,"","Facility: "&amp;IF(LEN(INDEX('Providers'!$X$4:$X$503,232))=0,"",INDEX('Providers'!$X$4:$X$503,232))&amp;". "))</f>
        <v/>
      </c>
      <c r="J3735">
        <f>IF(LEN(INDEX('Providers'!$AJ$4:$AJ$503,232))=0,"",INDEX('Providers'!$AJ$4:$AJ$503,232))</f>
        <v/>
      </c>
      <c r="K3735">
        <f>IF(LEN(INDEX('Providers'!$AI$4:$AI$503,232))=0,"",INDEX('Providers'!$AI$4:$AI$503,232))</f>
        <v/>
      </c>
    </row>
    <row r="3736">
      <c r="A3736">
        <f>IF(AND(LEN('Providers'!A236)&gt;0,ISNUMBER('Providers'!Y236)),1,0)</f>
        <v/>
      </c>
      <c r="B3736">
        <f>B3735+A3736</f>
        <v/>
      </c>
      <c r="C3736">
        <f>IF(3733&gt;$B$4503,"",MATCH(3733-0.5,$B$3:$B$4503,1))</f>
        <v/>
      </c>
      <c r="D3736">
        <f>"Privileges reappointment – "&amp;IF(LEN(INDEX('Providers'!$A$4:$A$503,233))=0,"",INDEX('Providers'!$A$4:$A$503,233))</f>
        <v/>
      </c>
      <c r="E3736">
        <f>IF(ISNUMBER(INDEX('Providers'!$Y$4:$Y$503,233)),TEXT(INDEX('Providers'!$Y$4:$Y$503,233),"yyyy-mm-dd"),"")</f>
        <v/>
      </c>
      <c r="F3736">
        <f>"Credentialing"</f>
        <v/>
      </c>
      <c r="G3736">
        <f>""</f>
        <v/>
      </c>
      <c r="H3736">
        <f>"High"</f>
        <v/>
      </c>
      <c r="I3736">
        <f>TRIM(IF(LEN(IF(LEN(INDEX('Providers'!$X$4:$X$503,233))=0,"",INDEX('Providers'!$X$4:$X$503,233)))=0,"","Facility: "&amp;IF(LEN(INDEX('Providers'!$X$4:$X$503,233))=0,"",INDEX('Providers'!$X$4:$X$503,233))&amp;". "))</f>
        <v/>
      </c>
      <c r="J3736">
        <f>IF(LEN(INDEX('Providers'!$AJ$4:$AJ$503,233))=0,"",INDEX('Providers'!$AJ$4:$AJ$503,233))</f>
        <v/>
      </c>
      <c r="K3736">
        <f>IF(LEN(INDEX('Providers'!$AI$4:$AI$503,233))=0,"",INDEX('Providers'!$AI$4:$AI$503,233))</f>
        <v/>
      </c>
    </row>
    <row r="3737">
      <c r="A3737">
        <f>IF(AND(LEN('Providers'!A237)&gt;0,ISNUMBER('Providers'!Y237)),1,0)</f>
        <v/>
      </c>
      <c r="B3737">
        <f>B3736+A3737</f>
        <v/>
      </c>
      <c r="C3737">
        <f>IF(3734&gt;$B$4503,"",MATCH(3734-0.5,$B$3:$B$4503,1))</f>
        <v/>
      </c>
      <c r="D3737">
        <f>"Privileges reappointment – "&amp;IF(LEN(INDEX('Providers'!$A$4:$A$503,234))=0,"",INDEX('Providers'!$A$4:$A$503,234))</f>
        <v/>
      </c>
      <c r="E3737">
        <f>IF(ISNUMBER(INDEX('Providers'!$Y$4:$Y$503,234)),TEXT(INDEX('Providers'!$Y$4:$Y$503,234),"yyyy-mm-dd"),"")</f>
        <v/>
      </c>
      <c r="F3737">
        <f>"Credentialing"</f>
        <v/>
      </c>
      <c r="G3737">
        <f>""</f>
        <v/>
      </c>
      <c r="H3737">
        <f>"High"</f>
        <v/>
      </c>
      <c r="I3737">
        <f>TRIM(IF(LEN(IF(LEN(INDEX('Providers'!$X$4:$X$503,234))=0,"",INDEX('Providers'!$X$4:$X$503,234)))=0,"","Facility: "&amp;IF(LEN(INDEX('Providers'!$X$4:$X$503,234))=0,"",INDEX('Providers'!$X$4:$X$503,234))&amp;". "))</f>
        <v/>
      </c>
      <c r="J3737">
        <f>IF(LEN(INDEX('Providers'!$AJ$4:$AJ$503,234))=0,"",INDEX('Providers'!$AJ$4:$AJ$503,234))</f>
        <v/>
      </c>
      <c r="K3737">
        <f>IF(LEN(INDEX('Providers'!$AI$4:$AI$503,234))=0,"",INDEX('Providers'!$AI$4:$AI$503,234))</f>
        <v/>
      </c>
    </row>
    <row r="3738">
      <c r="A3738">
        <f>IF(AND(LEN('Providers'!A238)&gt;0,ISNUMBER('Providers'!Y238)),1,0)</f>
        <v/>
      </c>
      <c r="B3738">
        <f>B3737+A3738</f>
        <v/>
      </c>
      <c r="C3738">
        <f>IF(3735&gt;$B$4503,"",MATCH(3735-0.5,$B$3:$B$4503,1))</f>
        <v/>
      </c>
      <c r="D3738">
        <f>"Privileges reappointment – "&amp;IF(LEN(INDEX('Providers'!$A$4:$A$503,235))=0,"",INDEX('Providers'!$A$4:$A$503,235))</f>
        <v/>
      </c>
      <c r="E3738">
        <f>IF(ISNUMBER(INDEX('Providers'!$Y$4:$Y$503,235)),TEXT(INDEX('Providers'!$Y$4:$Y$503,235),"yyyy-mm-dd"),"")</f>
        <v/>
      </c>
      <c r="F3738">
        <f>"Credentialing"</f>
        <v/>
      </c>
      <c r="G3738">
        <f>""</f>
        <v/>
      </c>
      <c r="H3738">
        <f>"High"</f>
        <v/>
      </c>
      <c r="I3738">
        <f>TRIM(IF(LEN(IF(LEN(INDEX('Providers'!$X$4:$X$503,235))=0,"",INDEX('Providers'!$X$4:$X$503,235)))=0,"","Facility: "&amp;IF(LEN(INDEX('Providers'!$X$4:$X$503,235))=0,"",INDEX('Providers'!$X$4:$X$503,235))&amp;". "))</f>
        <v/>
      </c>
      <c r="J3738">
        <f>IF(LEN(INDEX('Providers'!$AJ$4:$AJ$503,235))=0,"",INDEX('Providers'!$AJ$4:$AJ$503,235))</f>
        <v/>
      </c>
      <c r="K3738">
        <f>IF(LEN(INDEX('Providers'!$AI$4:$AI$503,235))=0,"",INDEX('Providers'!$AI$4:$AI$503,235))</f>
        <v/>
      </c>
    </row>
    <row r="3739">
      <c r="A3739">
        <f>IF(AND(LEN('Providers'!A239)&gt;0,ISNUMBER('Providers'!Y239)),1,0)</f>
        <v/>
      </c>
      <c r="B3739">
        <f>B3738+A3739</f>
        <v/>
      </c>
      <c r="C3739">
        <f>IF(3736&gt;$B$4503,"",MATCH(3736-0.5,$B$3:$B$4503,1))</f>
        <v/>
      </c>
      <c r="D3739">
        <f>"Privileges reappointment – "&amp;IF(LEN(INDEX('Providers'!$A$4:$A$503,236))=0,"",INDEX('Providers'!$A$4:$A$503,236))</f>
        <v/>
      </c>
      <c r="E3739">
        <f>IF(ISNUMBER(INDEX('Providers'!$Y$4:$Y$503,236)),TEXT(INDEX('Providers'!$Y$4:$Y$503,236),"yyyy-mm-dd"),"")</f>
        <v/>
      </c>
      <c r="F3739">
        <f>"Credentialing"</f>
        <v/>
      </c>
      <c r="G3739">
        <f>""</f>
        <v/>
      </c>
      <c r="H3739">
        <f>"High"</f>
        <v/>
      </c>
      <c r="I3739">
        <f>TRIM(IF(LEN(IF(LEN(INDEX('Providers'!$X$4:$X$503,236))=0,"",INDEX('Providers'!$X$4:$X$503,236)))=0,"","Facility: "&amp;IF(LEN(INDEX('Providers'!$X$4:$X$503,236))=0,"",INDEX('Providers'!$X$4:$X$503,236))&amp;". "))</f>
        <v/>
      </c>
      <c r="J3739">
        <f>IF(LEN(INDEX('Providers'!$AJ$4:$AJ$503,236))=0,"",INDEX('Providers'!$AJ$4:$AJ$503,236))</f>
        <v/>
      </c>
      <c r="K3739">
        <f>IF(LEN(INDEX('Providers'!$AI$4:$AI$503,236))=0,"",INDEX('Providers'!$AI$4:$AI$503,236))</f>
        <v/>
      </c>
    </row>
    <row r="3740">
      <c r="A3740">
        <f>IF(AND(LEN('Providers'!A240)&gt;0,ISNUMBER('Providers'!Y240)),1,0)</f>
        <v/>
      </c>
      <c r="B3740">
        <f>B3739+A3740</f>
        <v/>
      </c>
      <c r="C3740">
        <f>IF(3737&gt;$B$4503,"",MATCH(3737-0.5,$B$3:$B$4503,1))</f>
        <v/>
      </c>
      <c r="D3740">
        <f>"Privileges reappointment – "&amp;IF(LEN(INDEX('Providers'!$A$4:$A$503,237))=0,"",INDEX('Providers'!$A$4:$A$503,237))</f>
        <v/>
      </c>
      <c r="E3740">
        <f>IF(ISNUMBER(INDEX('Providers'!$Y$4:$Y$503,237)),TEXT(INDEX('Providers'!$Y$4:$Y$503,237),"yyyy-mm-dd"),"")</f>
        <v/>
      </c>
      <c r="F3740">
        <f>"Credentialing"</f>
        <v/>
      </c>
      <c r="G3740">
        <f>""</f>
        <v/>
      </c>
      <c r="H3740">
        <f>"High"</f>
        <v/>
      </c>
      <c r="I3740">
        <f>TRIM(IF(LEN(IF(LEN(INDEX('Providers'!$X$4:$X$503,237))=0,"",INDEX('Providers'!$X$4:$X$503,237)))=0,"","Facility: "&amp;IF(LEN(INDEX('Providers'!$X$4:$X$503,237))=0,"",INDEX('Providers'!$X$4:$X$503,237))&amp;". "))</f>
        <v/>
      </c>
      <c r="J3740">
        <f>IF(LEN(INDEX('Providers'!$AJ$4:$AJ$503,237))=0,"",INDEX('Providers'!$AJ$4:$AJ$503,237))</f>
        <v/>
      </c>
      <c r="K3740">
        <f>IF(LEN(INDEX('Providers'!$AI$4:$AI$503,237))=0,"",INDEX('Providers'!$AI$4:$AI$503,237))</f>
        <v/>
      </c>
    </row>
    <row r="3741">
      <c r="A3741">
        <f>IF(AND(LEN('Providers'!A241)&gt;0,ISNUMBER('Providers'!Y241)),1,0)</f>
        <v/>
      </c>
      <c r="B3741">
        <f>B3740+A3741</f>
        <v/>
      </c>
      <c r="C3741">
        <f>IF(3738&gt;$B$4503,"",MATCH(3738-0.5,$B$3:$B$4503,1))</f>
        <v/>
      </c>
      <c r="D3741">
        <f>"Privileges reappointment – "&amp;IF(LEN(INDEX('Providers'!$A$4:$A$503,238))=0,"",INDEX('Providers'!$A$4:$A$503,238))</f>
        <v/>
      </c>
      <c r="E3741">
        <f>IF(ISNUMBER(INDEX('Providers'!$Y$4:$Y$503,238)),TEXT(INDEX('Providers'!$Y$4:$Y$503,238),"yyyy-mm-dd"),"")</f>
        <v/>
      </c>
      <c r="F3741">
        <f>"Credentialing"</f>
        <v/>
      </c>
      <c r="G3741">
        <f>""</f>
        <v/>
      </c>
      <c r="H3741">
        <f>"High"</f>
        <v/>
      </c>
      <c r="I3741">
        <f>TRIM(IF(LEN(IF(LEN(INDEX('Providers'!$X$4:$X$503,238))=0,"",INDEX('Providers'!$X$4:$X$503,238)))=0,"","Facility: "&amp;IF(LEN(INDEX('Providers'!$X$4:$X$503,238))=0,"",INDEX('Providers'!$X$4:$X$503,238))&amp;". "))</f>
        <v/>
      </c>
      <c r="J3741">
        <f>IF(LEN(INDEX('Providers'!$AJ$4:$AJ$503,238))=0,"",INDEX('Providers'!$AJ$4:$AJ$503,238))</f>
        <v/>
      </c>
      <c r="K3741">
        <f>IF(LEN(INDEX('Providers'!$AI$4:$AI$503,238))=0,"",INDEX('Providers'!$AI$4:$AI$503,238))</f>
        <v/>
      </c>
    </row>
    <row r="3742">
      <c r="A3742">
        <f>IF(AND(LEN('Providers'!A242)&gt;0,ISNUMBER('Providers'!Y242)),1,0)</f>
        <v/>
      </c>
      <c r="B3742">
        <f>B3741+A3742</f>
        <v/>
      </c>
      <c r="C3742">
        <f>IF(3739&gt;$B$4503,"",MATCH(3739-0.5,$B$3:$B$4503,1))</f>
        <v/>
      </c>
      <c r="D3742">
        <f>"Privileges reappointment – "&amp;IF(LEN(INDEX('Providers'!$A$4:$A$503,239))=0,"",INDEX('Providers'!$A$4:$A$503,239))</f>
        <v/>
      </c>
      <c r="E3742">
        <f>IF(ISNUMBER(INDEX('Providers'!$Y$4:$Y$503,239)),TEXT(INDEX('Providers'!$Y$4:$Y$503,239),"yyyy-mm-dd"),"")</f>
        <v/>
      </c>
      <c r="F3742">
        <f>"Credentialing"</f>
        <v/>
      </c>
      <c r="G3742">
        <f>""</f>
        <v/>
      </c>
      <c r="H3742">
        <f>"High"</f>
        <v/>
      </c>
      <c r="I3742">
        <f>TRIM(IF(LEN(IF(LEN(INDEX('Providers'!$X$4:$X$503,239))=0,"",INDEX('Providers'!$X$4:$X$503,239)))=0,"","Facility: "&amp;IF(LEN(INDEX('Providers'!$X$4:$X$503,239))=0,"",INDEX('Providers'!$X$4:$X$503,239))&amp;". "))</f>
        <v/>
      </c>
      <c r="J3742">
        <f>IF(LEN(INDEX('Providers'!$AJ$4:$AJ$503,239))=0,"",INDEX('Providers'!$AJ$4:$AJ$503,239))</f>
        <v/>
      </c>
      <c r="K3742">
        <f>IF(LEN(INDEX('Providers'!$AI$4:$AI$503,239))=0,"",INDEX('Providers'!$AI$4:$AI$503,239))</f>
        <v/>
      </c>
    </row>
    <row r="3743">
      <c r="A3743">
        <f>IF(AND(LEN('Providers'!A243)&gt;0,ISNUMBER('Providers'!Y243)),1,0)</f>
        <v/>
      </c>
      <c r="B3743">
        <f>B3742+A3743</f>
        <v/>
      </c>
      <c r="C3743">
        <f>IF(3740&gt;$B$4503,"",MATCH(3740-0.5,$B$3:$B$4503,1))</f>
        <v/>
      </c>
      <c r="D3743">
        <f>"Privileges reappointment – "&amp;IF(LEN(INDEX('Providers'!$A$4:$A$503,240))=0,"",INDEX('Providers'!$A$4:$A$503,240))</f>
        <v/>
      </c>
      <c r="E3743">
        <f>IF(ISNUMBER(INDEX('Providers'!$Y$4:$Y$503,240)),TEXT(INDEX('Providers'!$Y$4:$Y$503,240),"yyyy-mm-dd"),"")</f>
        <v/>
      </c>
      <c r="F3743">
        <f>"Credentialing"</f>
        <v/>
      </c>
      <c r="G3743">
        <f>""</f>
        <v/>
      </c>
      <c r="H3743">
        <f>"High"</f>
        <v/>
      </c>
      <c r="I3743">
        <f>TRIM(IF(LEN(IF(LEN(INDEX('Providers'!$X$4:$X$503,240))=0,"",INDEX('Providers'!$X$4:$X$503,240)))=0,"","Facility: "&amp;IF(LEN(INDEX('Providers'!$X$4:$X$503,240))=0,"",INDEX('Providers'!$X$4:$X$503,240))&amp;". "))</f>
        <v/>
      </c>
      <c r="J3743">
        <f>IF(LEN(INDEX('Providers'!$AJ$4:$AJ$503,240))=0,"",INDEX('Providers'!$AJ$4:$AJ$503,240))</f>
        <v/>
      </c>
      <c r="K3743">
        <f>IF(LEN(INDEX('Providers'!$AI$4:$AI$503,240))=0,"",INDEX('Providers'!$AI$4:$AI$503,240))</f>
        <v/>
      </c>
    </row>
    <row r="3744">
      <c r="A3744">
        <f>IF(AND(LEN('Providers'!A244)&gt;0,ISNUMBER('Providers'!Y244)),1,0)</f>
        <v/>
      </c>
      <c r="B3744">
        <f>B3743+A3744</f>
        <v/>
      </c>
      <c r="C3744">
        <f>IF(3741&gt;$B$4503,"",MATCH(3741-0.5,$B$3:$B$4503,1))</f>
        <v/>
      </c>
      <c r="D3744">
        <f>"Privileges reappointment – "&amp;IF(LEN(INDEX('Providers'!$A$4:$A$503,241))=0,"",INDEX('Providers'!$A$4:$A$503,241))</f>
        <v/>
      </c>
      <c r="E3744">
        <f>IF(ISNUMBER(INDEX('Providers'!$Y$4:$Y$503,241)),TEXT(INDEX('Providers'!$Y$4:$Y$503,241),"yyyy-mm-dd"),"")</f>
        <v/>
      </c>
      <c r="F3744">
        <f>"Credentialing"</f>
        <v/>
      </c>
      <c r="G3744">
        <f>""</f>
        <v/>
      </c>
      <c r="H3744">
        <f>"High"</f>
        <v/>
      </c>
      <c r="I3744">
        <f>TRIM(IF(LEN(IF(LEN(INDEX('Providers'!$X$4:$X$503,241))=0,"",INDEX('Providers'!$X$4:$X$503,241)))=0,"","Facility: "&amp;IF(LEN(INDEX('Providers'!$X$4:$X$503,241))=0,"",INDEX('Providers'!$X$4:$X$503,241))&amp;". "))</f>
        <v/>
      </c>
      <c r="J3744">
        <f>IF(LEN(INDEX('Providers'!$AJ$4:$AJ$503,241))=0,"",INDEX('Providers'!$AJ$4:$AJ$503,241))</f>
        <v/>
      </c>
      <c r="K3744">
        <f>IF(LEN(INDEX('Providers'!$AI$4:$AI$503,241))=0,"",INDEX('Providers'!$AI$4:$AI$503,241))</f>
        <v/>
      </c>
    </row>
    <row r="3745">
      <c r="A3745">
        <f>IF(AND(LEN('Providers'!A245)&gt;0,ISNUMBER('Providers'!Y245)),1,0)</f>
        <v/>
      </c>
      <c r="B3745">
        <f>B3744+A3745</f>
        <v/>
      </c>
      <c r="C3745">
        <f>IF(3742&gt;$B$4503,"",MATCH(3742-0.5,$B$3:$B$4503,1))</f>
        <v/>
      </c>
      <c r="D3745">
        <f>"Privileges reappointment – "&amp;IF(LEN(INDEX('Providers'!$A$4:$A$503,242))=0,"",INDEX('Providers'!$A$4:$A$503,242))</f>
        <v/>
      </c>
      <c r="E3745">
        <f>IF(ISNUMBER(INDEX('Providers'!$Y$4:$Y$503,242)),TEXT(INDEX('Providers'!$Y$4:$Y$503,242),"yyyy-mm-dd"),"")</f>
        <v/>
      </c>
      <c r="F3745">
        <f>"Credentialing"</f>
        <v/>
      </c>
      <c r="G3745">
        <f>""</f>
        <v/>
      </c>
      <c r="H3745">
        <f>"High"</f>
        <v/>
      </c>
      <c r="I3745">
        <f>TRIM(IF(LEN(IF(LEN(INDEX('Providers'!$X$4:$X$503,242))=0,"",INDEX('Providers'!$X$4:$X$503,242)))=0,"","Facility: "&amp;IF(LEN(INDEX('Providers'!$X$4:$X$503,242))=0,"",INDEX('Providers'!$X$4:$X$503,242))&amp;". "))</f>
        <v/>
      </c>
      <c r="J3745">
        <f>IF(LEN(INDEX('Providers'!$AJ$4:$AJ$503,242))=0,"",INDEX('Providers'!$AJ$4:$AJ$503,242))</f>
        <v/>
      </c>
      <c r="K3745">
        <f>IF(LEN(INDEX('Providers'!$AI$4:$AI$503,242))=0,"",INDEX('Providers'!$AI$4:$AI$503,242))</f>
        <v/>
      </c>
    </row>
    <row r="3746">
      <c r="A3746">
        <f>IF(AND(LEN('Providers'!A246)&gt;0,ISNUMBER('Providers'!Y246)),1,0)</f>
        <v/>
      </c>
      <c r="B3746">
        <f>B3745+A3746</f>
        <v/>
      </c>
      <c r="C3746">
        <f>IF(3743&gt;$B$4503,"",MATCH(3743-0.5,$B$3:$B$4503,1))</f>
        <v/>
      </c>
      <c r="D3746">
        <f>"Privileges reappointment – "&amp;IF(LEN(INDEX('Providers'!$A$4:$A$503,243))=0,"",INDEX('Providers'!$A$4:$A$503,243))</f>
        <v/>
      </c>
      <c r="E3746">
        <f>IF(ISNUMBER(INDEX('Providers'!$Y$4:$Y$503,243)),TEXT(INDEX('Providers'!$Y$4:$Y$503,243),"yyyy-mm-dd"),"")</f>
        <v/>
      </c>
      <c r="F3746">
        <f>"Credentialing"</f>
        <v/>
      </c>
      <c r="G3746">
        <f>""</f>
        <v/>
      </c>
      <c r="H3746">
        <f>"High"</f>
        <v/>
      </c>
      <c r="I3746">
        <f>TRIM(IF(LEN(IF(LEN(INDEX('Providers'!$X$4:$X$503,243))=0,"",INDEX('Providers'!$X$4:$X$503,243)))=0,"","Facility: "&amp;IF(LEN(INDEX('Providers'!$X$4:$X$503,243))=0,"",INDEX('Providers'!$X$4:$X$503,243))&amp;". "))</f>
        <v/>
      </c>
      <c r="J3746">
        <f>IF(LEN(INDEX('Providers'!$AJ$4:$AJ$503,243))=0,"",INDEX('Providers'!$AJ$4:$AJ$503,243))</f>
        <v/>
      </c>
      <c r="K3746">
        <f>IF(LEN(INDEX('Providers'!$AI$4:$AI$503,243))=0,"",INDEX('Providers'!$AI$4:$AI$503,243))</f>
        <v/>
      </c>
    </row>
    <row r="3747">
      <c r="A3747">
        <f>IF(AND(LEN('Providers'!A247)&gt;0,ISNUMBER('Providers'!Y247)),1,0)</f>
        <v/>
      </c>
      <c r="B3747">
        <f>B3746+A3747</f>
        <v/>
      </c>
      <c r="C3747">
        <f>IF(3744&gt;$B$4503,"",MATCH(3744-0.5,$B$3:$B$4503,1))</f>
        <v/>
      </c>
      <c r="D3747">
        <f>"Privileges reappointment – "&amp;IF(LEN(INDEX('Providers'!$A$4:$A$503,244))=0,"",INDEX('Providers'!$A$4:$A$503,244))</f>
        <v/>
      </c>
      <c r="E3747">
        <f>IF(ISNUMBER(INDEX('Providers'!$Y$4:$Y$503,244)),TEXT(INDEX('Providers'!$Y$4:$Y$503,244),"yyyy-mm-dd"),"")</f>
        <v/>
      </c>
      <c r="F3747">
        <f>"Credentialing"</f>
        <v/>
      </c>
      <c r="G3747">
        <f>""</f>
        <v/>
      </c>
      <c r="H3747">
        <f>"High"</f>
        <v/>
      </c>
      <c r="I3747">
        <f>TRIM(IF(LEN(IF(LEN(INDEX('Providers'!$X$4:$X$503,244))=0,"",INDEX('Providers'!$X$4:$X$503,244)))=0,"","Facility: "&amp;IF(LEN(INDEX('Providers'!$X$4:$X$503,244))=0,"",INDEX('Providers'!$X$4:$X$503,244))&amp;". "))</f>
        <v/>
      </c>
      <c r="J3747">
        <f>IF(LEN(INDEX('Providers'!$AJ$4:$AJ$503,244))=0,"",INDEX('Providers'!$AJ$4:$AJ$503,244))</f>
        <v/>
      </c>
      <c r="K3747">
        <f>IF(LEN(INDEX('Providers'!$AI$4:$AI$503,244))=0,"",INDEX('Providers'!$AI$4:$AI$503,244))</f>
        <v/>
      </c>
    </row>
    <row r="3748">
      <c r="A3748">
        <f>IF(AND(LEN('Providers'!A248)&gt;0,ISNUMBER('Providers'!Y248)),1,0)</f>
        <v/>
      </c>
      <c r="B3748">
        <f>B3747+A3748</f>
        <v/>
      </c>
      <c r="C3748">
        <f>IF(3745&gt;$B$4503,"",MATCH(3745-0.5,$B$3:$B$4503,1))</f>
        <v/>
      </c>
      <c r="D3748">
        <f>"Privileges reappointment – "&amp;IF(LEN(INDEX('Providers'!$A$4:$A$503,245))=0,"",INDEX('Providers'!$A$4:$A$503,245))</f>
        <v/>
      </c>
      <c r="E3748">
        <f>IF(ISNUMBER(INDEX('Providers'!$Y$4:$Y$503,245)),TEXT(INDEX('Providers'!$Y$4:$Y$503,245),"yyyy-mm-dd"),"")</f>
        <v/>
      </c>
      <c r="F3748">
        <f>"Credentialing"</f>
        <v/>
      </c>
      <c r="G3748">
        <f>""</f>
        <v/>
      </c>
      <c r="H3748">
        <f>"High"</f>
        <v/>
      </c>
      <c r="I3748">
        <f>TRIM(IF(LEN(IF(LEN(INDEX('Providers'!$X$4:$X$503,245))=0,"",INDEX('Providers'!$X$4:$X$503,245)))=0,"","Facility: "&amp;IF(LEN(INDEX('Providers'!$X$4:$X$503,245))=0,"",INDEX('Providers'!$X$4:$X$503,245))&amp;". "))</f>
        <v/>
      </c>
      <c r="J3748">
        <f>IF(LEN(INDEX('Providers'!$AJ$4:$AJ$503,245))=0,"",INDEX('Providers'!$AJ$4:$AJ$503,245))</f>
        <v/>
      </c>
      <c r="K3748">
        <f>IF(LEN(INDEX('Providers'!$AI$4:$AI$503,245))=0,"",INDEX('Providers'!$AI$4:$AI$503,245))</f>
        <v/>
      </c>
    </row>
    <row r="3749">
      <c r="A3749">
        <f>IF(AND(LEN('Providers'!A249)&gt;0,ISNUMBER('Providers'!Y249)),1,0)</f>
        <v/>
      </c>
      <c r="B3749">
        <f>B3748+A3749</f>
        <v/>
      </c>
      <c r="C3749">
        <f>IF(3746&gt;$B$4503,"",MATCH(3746-0.5,$B$3:$B$4503,1))</f>
        <v/>
      </c>
      <c r="D3749">
        <f>"Privileges reappointment – "&amp;IF(LEN(INDEX('Providers'!$A$4:$A$503,246))=0,"",INDEX('Providers'!$A$4:$A$503,246))</f>
        <v/>
      </c>
      <c r="E3749">
        <f>IF(ISNUMBER(INDEX('Providers'!$Y$4:$Y$503,246)),TEXT(INDEX('Providers'!$Y$4:$Y$503,246),"yyyy-mm-dd"),"")</f>
        <v/>
      </c>
      <c r="F3749">
        <f>"Credentialing"</f>
        <v/>
      </c>
      <c r="G3749">
        <f>""</f>
        <v/>
      </c>
      <c r="H3749">
        <f>"High"</f>
        <v/>
      </c>
      <c r="I3749">
        <f>TRIM(IF(LEN(IF(LEN(INDEX('Providers'!$X$4:$X$503,246))=0,"",INDEX('Providers'!$X$4:$X$503,246)))=0,"","Facility: "&amp;IF(LEN(INDEX('Providers'!$X$4:$X$503,246))=0,"",INDEX('Providers'!$X$4:$X$503,246))&amp;". "))</f>
        <v/>
      </c>
      <c r="J3749">
        <f>IF(LEN(INDEX('Providers'!$AJ$4:$AJ$503,246))=0,"",INDEX('Providers'!$AJ$4:$AJ$503,246))</f>
        <v/>
      </c>
      <c r="K3749">
        <f>IF(LEN(INDEX('Providers'!$AI$4:$AI$503,246))=0,"",INDEX('Providers'!$AI$4:$AI$503,246))</f>
        <v/>
      </c>
    </row>
    <row r="3750">
      <c r="A3750">
        <f>IF(AND(LEN('Providers'!A250)&gt;0,ISNUMBER('Providers'!Y250)),1,0)</f>
        <v/>
      </c>
      <c r="B3750">
        <f>B3749+A3750</f>
        <v/>
      </c>
      <c r="C3750">
        <f>IF(3747&gt;$B$4503,"",MATCH(3747-0.5,$B$3:$B$4503,1))</f>
        <v/>
      </c>
      <c r="D3750">
        <f>"Privileges reappointment – "&amp;IF(LEN(INDEX('Providers'!$A$4:$A$503,247))=0,"",INDEX('Providers'!$A$4:$A$503,247))</f>
        <v/>
      </c>
      <c r="E3750">
        <f>IF(ISNUMBER(INDEX('Providers'!$Y$4:$Y$503,247)),TEXT(INDEX('Providers'!$Y$4:$Y$503,247),"yyyy-mm-dd"),"")</f>
        <v/>
      </c>
      <c r="F3750">
        <f>"Credentialing"</f>
        <v/>
      </c>
      <c r="G3750">
        <f>""</f>
        <v/>
      </c>
      <c r="H3750">
        <f>"High"</f>
        <v/>
      </c>
      <c r="I3750">
        <f>TRIM(IF(LEN(IF(LEN(INDEX('Providers'!$X$4:$X$503,247))=0,"",INDEX('Providers'!$X$4:$X$503,247)))=0,"","Facility: "&amp;IF(LEN(INDEX('Providers'!$X$4:$X$503,247))=0,"",INDEX('Providers'!$X$4:$X$503,247))&amp;". "))</f>
        <v/>
      </c>
      <c r="J3750">
        <f>IF(LEN(INDEX('Providers'!$AJ$4:$AJ$503,247))=0,"",INDEX('Providers'!$AJ$4:$AJ$503,247))</f>
        <v/>
      </c>
      <c r="K3750">
        <f>IF(LEN(INDEX('Providers'!$AI$4:$AI$503,247))=0,"",INDEX('Providers'!$AI$4:$AI$503,247))</f>
        <v/>
      </c>
    </row>
    <row r="3751">
      <c r="A3751">
        <f>IF(AND(LEN('Providers'!A251)&gt;0,ISNUMBER('Providers'!Y251)),1,0)</f>
        <v/>
      </c>
      <c r="B3751">
        <f>B3750+A3751</f>
        <v/>
      </c>
      <c r="C3751">
        <f>IF(3748&gt;$B$4503,"",MATCH(3748-0.5,$B$3:$B$4503,1))</f>
        <v/>
      </c>
      <c r="D3751">
        <f>"Privileges reappointment – "&amp;IF(LEN(INDEX('Providers'!$A$4:$A$503,248))=0,"",INDEX('Providers'!$A$4:$A$503,248))</f>
        <v/>
      </c>
      <c r="E3751">
        <f>IF(ISNUMBER(INDEX('Providers'!$Y$4:$Y$503,248)),TEXT(INDEX('Providers'!$Y$4:$Y$503,248),"yyyy-mm-dd"),"")</f>
        <v/>
      </c>
      <c r="F3751">
        <f>"Credentialing"</f>
        <v/>
      </c>
      <c r="G3751">
        <f>""</f>
        <v/>
      </c>
      <c r="H3751">
        <f>"High"</f>
        <v/>
      </c>
      <c r="I3751">
        <f>TRIM(IF(LEN(IF(LEN(INDEX('Providers'!$X$4:$X$503,248))=0,"",INDEX('Providers'!$X$4:$X$503,248)))=0,"","Facility: "&amp;IF(LEN(INDEX('Providers'!$X$4:$X$503,248))=0,"",INDEX('Providers'!$X$4:$X$503,248))&amp;". "))</f>
        <v/>
      </c>
      <c r="J3751">
        <f>IF(LEN(INDEX('Providers'!$AJ$4:$AJ$503,248))=0,"",INDEX('Providers'!$AJ$4:$AJ$503,248))</f>
        <v/>
      </c>
      <c r="K3751">
        <f>IF(LEN(INDEX('Providers'!$AI$4:$AI$503,248))=0,"",INDEX('Providers'!$AI$4:$AI$503,248))</f>
        <v/>
      </c>
    </row>
    <row r="3752">
      <c r="A3752">
        <f>IF(AND(LEN('Providers'!A252)&gt;0,ISNUMBER('Providers'!Y252)),1,0)</f>
        <v/>
      </c>
      <c r="B3752">
        <f>B3751+A3752</f>
        <v/>
      </c>
      <c r="C3752">
        <f>IF(3749&gt;$B$4503,"",MATCH(3749-0.5,$B$3:$B$4503,1))</f>
        <v/>
      </c>
      <c r="D3752">
        <f>"Privileges reappointment – "&amp;IF(LEN(INDEX('Providers'!$A$4:$A$503,249))=0,"",INDEX('Providers'!$A$4:$A$503,249))</f>
        <v/>
      </c>
      <c r="E3752">
        <f>IF(ISNUMBER(INDEX('Providers'!$Y$4:$Y$503,249)),TEXT(INDEX('Providers'!$Y$4:$Y$503,249),"yyyy-mm-dd"),"")</f>
        <v/>
      </c>
      <c r="F3752">
        <f>"Credentialing"</f>
        <v/>
      </c>
      <c r="G3752">
        <f>""</f>
        <v/>
      </c>
      <c r="H3752">
        <f>"High"</f>
        <v/>
      </c>
      <c r="I3752">
        <f>TRIM(IF(LEN(IF(LEN(INDEX('Providers'!$X$4:$X$503,249))=0,"",INDEX('Providers'!$X$4:$X$503,249)))=0,"","Facility: "&amp;IF(LEN(INDEX('Providers'!$X$4:$X$503,249))=0,"",INDEX('Providers'!$X$4:$X$503,249))&amp;". "))</f>
        <v/>
      </c>
      <c r="J3752">
        <f>IF(LEN(INDEX('Providers'!$AJ$4:$AJ$503,249))=0,"",INDEX('Providers'!$AJ$4:$AJ$503,249))</f>
        <v/>
      </c>
      <c r="K3752">
        <f>IF(LEN(INDEX('Providers'!$AI$4:$AI$503,249))=0,"",INDEX('Providers'!$AI$4:$AI$503,249))</f>
        <v/>
      </c>
    </row>
    <row r="3753">
      <c r="A3753">
        <f>IF(AND(LEN('Providers'!A253)&gt;0,ISNUMBER('Providers'!Y253)),1,0)</f>
        <v/>
      </c>
      <c r="B3753">
        <f>B3752+A3753</f>
        <v/>
      </c>
      <c r="C3753">
        <f>IF(3750&gt;$B$4503,"",MATCH(3750-0.5,$B$3:$B$4503,1))</f>
        <v/>
      </c>
      <c r="D3753">
        <f>"Privileges reappointment – "&amp;IF(LEN(INDEX('Providers'!$A$4:$A$503,250))=0,"",INDEX('Providers'!$A$4:$A$503,250))</f>
        <v/>
      </c>
      <c r="E3753">
        <f>IF(ISNUMBER(INDEX('Providers'!$Y$4:$Y$503,250)),TEXT(INDEX('Providers'!$Y$4:$Y$503,250),"yyyy-mm-dd"),"")</f>
        <v/>
      </c>
      <c r="F3753">
        <f>"Credentialing"</f>
        <v/>
      </c>
      <c r="G3753">
        <f>""</f>
        <v/>
      </c>
      <c r="H3753">
        <f>"High"</f>
        <v/>
      </c>
      <c r="I3753">
        <f>TRIM(IF(LEN(IF(LEN(INDEX('Providers'!$X$4:$X$503,250))=0,"",INDEX('Providers'!$X$4:$X$503,250)))=0,"","Facility: "&amp;IF(LEN(INDEX('Providers'!$X$4:$X$503,250))=0,"",INDEX('Providers'!$X$4:$X$503,250))&amp;". "))</f>
        <v/>
      </c>
      <c r="J3753">
        <f>IF(LEN(INDEX('Providers'!$AJ$4:$AJ$503,250))=0,"",INDEX('Providers'!$AJ$4:$AJ$503,250))</f>
        <v/>
      </c>
      <c r="K3753">
        <f>IF(LEN(INDEX('Providers'!$AI$4:$AI$503,250))=0,"",INDEX('Providers'!$AI$4:$AI$503,250))</f>
        <v/>
      </c>
    </row>
    <row r="3754">
      <c r="A3754">
        <f>IF(AND(LEN('Providers'!A254)&gt;0,ISNUMBER('Providers'!Y254)),1,0)</f>
        <v/>
      </c>
      <c r="B3754">
        <f>B3753+A3754</f>
        <v/>
      </c>
      <c r="C3754">
        <f>IF(3751&gt;$B$4503,"",MATCH(3751-0.5,$B$3:$B$4503,1))</f>
        <v/>
      </c>
      <c r="D3754">
        <f>"Privileges reappointment – "&amp;IF(LEN(INDEX('Providers'!$A$4:$A$503,251))=0,"",INDEX('Providers'!$A$4:$A$503,251))</f>
        <v/>
      </c>
      <c r="E3754">
        <f>IF(ISNUMBER(INDEX('Providers'!$Y$4:$Y$503,251)),TEXT(INDEX('Providers'!$Y$4:$Y$503,251),"yyyy-mm-dd"),"")</f>
        <v/>
      </c>
      <c r="F3754">
        <f>"Credentialing"</f>
        <v/>
      </c>
      <c r="G3754">
        <f>""</f>
        <v/>
      </c>
      <c r="H3754">
        <f>"High"</f>
        <v/>
      </c>
      <c r="I3754">
        <f>TRIM(IF(LEN(IF(LEN(INDEX('Providers'!$X$4:$X$503,251))=0,"",INDEX('Providers'!$X$4:$X$503,251)))=0,"","Facility: "&amp;IF(LEN(INDEX('Providers'!$X$4:$X$503,251))=0,"",INDEX('Providers'!$X$4:$X$503,251))&amp;". "))</f>
        <v/>
      </c>
      <c r="J3754">
        <f>IF(LEN(INDEX('Providers'!$AJ$4:$AJ$503,251))=0,"",INDEX('Providers'!$AJ$4:$AJ$503,251))</f>
        <v/>
      </c>
      <c r="K3754">
        <f>IF(LEN(INDEX('Providers'!$AI$4:$AI$503,251))=0,"",INDEX('Providers'!$AI$4:$AI$503,251))</f>
        <v/>
      </c>
    </row>
    <row r="3755">
      <c r="A3755">
        <f>IF(AND(LEN('Providers'!A255)&gt;0,ISNUMBER('Providers'!Y255)),1,0)</f>
        <v/>
      </c>
      <c r="B3755">
        <f>B3754+A3755</f>
        <v/>
      </c>
      <c r="C3755">
        <f>IF(3752&gt;$B$4503,"",MATCH(3752-0.5,$B$3:$B$4503,1))</f>
        <v/>
      </c>
      <c r="D3755">
        <f>"Privileges reappointment – "&amp;IF(LEN(INDEX('Providers'!$A$4:$A$503,252))=0,"",INDEX('Providers'!$A$4:$A$503,252))</f>
        <v/>
      </c>
      <c r="E3755">
        <f>IF(ISNUMBER(INDEX('Providers'!$Y$4:$Y$503,252)),TEXT(INDEX('Providers'!$Y$4:$Y$503,252),"yyyy-mm-dd"),"")</f>
        <v/>
      </c>
      <c r="F3755">
        <f>"Credentialing"</f>
        <v/>
      </c>
      <c r="G3755">
        <f>""</f>
        <v/>
      </c>
      <c r="H3755">
        <f>"High"</f>
        <v/>
      </c>
      <c r="I3755">
        <f>TRIM(IF(LEN(IF(LEN(INDEX('Providers'!$X$4:$X$503,252))=0,"",INDEX('Providers'!$X$4:$X$503,252)))=0,"","Facility: "&amp;IF(LEN(INDEX('Providers'!$X$4:$X$503,252))=0,"",INDEX('Providers'!$X$4:$X$503,252))&amp;". "))</f>
        <v/>
      </c>
      <c r="J3755">
        <f>IF(LEN(INDEX('Providers'!$AJ$4:$AJ$503,252))=0,"",INDEX('Providers'!$AJ$4:$AJ$503,252))</f>
        <v/>
      </c>
      <c r="K3755">
        <f>IF(LEN(INDEX('Providers'!$AI$4:$AI$503,252))=0,"",INDEX('Providers'!$AI$4:$AI$503,252))</f>
        <v/>
      </c>
    </row>
    <row r="3756">
      <c r="A3756">
        <f>IF(AND(LEN('Providers'!A256)&gt;0,ISNUMBER('Providers'!Y256)),1,0)</f>
        <v/>
      </c>
      <c r="B3756">
        <f>B3755+A3756</f>
        <v/>
      </c>
      <c r="C3756">
        <f>IF(3753&gt;$B$4503,"",MATCH(3753-0.5,$B$3:$B$4503,1))</f>
        <v/>
      </c>
      <c r="D3756">
        <f>"Privileges reappointment – "&amp;IF(LEN(INDEX('Providers'!$A$4:$A$503,253))=0,"",INDEX('Providers'!$A$4:$A$503,253))</f>
        <v/>
      </c>
      <c r="E3756">
        <f>IF(ISNUMBER(INDEX('Providers'!$Y$4:$Y$503,253)),TEXT(INDEX('Providers'!$Y$4:$Y$503,253),"yyyy-mm-dd"),"")</f>
        <v/>
      </c>
      <c r="F3756">
        <f>"Credentialing"</f>
        <v/>
      </c>
      <c r="G3756">
        <f>""</f>
        <v/>
      </c>
      <c r="H3756">
        <f>"High"</f>
        <v/>
      </c>
      <c r="I3756">
        <f>TRIM(IF(LEN(IF(LEN(INDEX('Providers'!$X$4:$X$503,253))=0,"",INDEX('Providers'!$X$4:$X$503,253)))=0,"","Facility: "&amp;IF(LEN(INDEX('Providers'!$X$4:$X$503,253))=0,"",INDEX('Providers'!$X$4:$X$503,253))&amp;". "))</f>
        <v/>
      </c>
      <c r="J3756">
        <f>IF(LEN(INDEX('Providers'!$AJ$4:$AJ$503,253))=0,"",INDEX('Providers'!$AJ$4:$AJ$503,253))</f>
        <v/>
      </c>
      <c r="K3756">
        <f>IF(LEN(INDEX('Providers'!$AI$4:$AI$503,253))=0,"",INDEX('Providers'!$AI$4:$AI$503,253))</f>
        <v/>
      </c>
    </row>
    <row r="3757">
      <c r="A3757">
        <f>IF(AND(LEN('Providers'!A257)&gt;0,ISNUMBER('Providers'!Y257)),1,0)</f>
        <v/>
      </c>
      <c r="B3757">
        <f>B3756+A3757</f>
        <v/>
      </c>
      <c r="C3757">
        <f>IF(3754&gt;$B$4503,"",MATCH(3754-0.5,$B$3:$B$4503,1))</f>
        <v/>
      </c>
      <c r="D3757">
        <f>"Privileges reappointment – "&amp;IF(LEN(INDEX('Providers'!$A$4:$A$503,254))=0,"",INDEX('Providers'!$A$4:$A$503,254))</f>
        <v/>
      </c>
      <c r="E3757">
        <f>IF(ISNUMBER(INDEX('Providers'!$Y$4:$Y$503,254)),TEXT(INDEX('Providers'!$Y$4:$Y$503,254),"yyyy-mm-dd"),"")</f>
        <v/>
      </c>
      <c r="F3757">
        <f>"Credentialing"</f>
        <v/>
      </c>
      <c r="G3757">
        <f>""</f>
        <v/>
      </c>
      <c r="H3757">
        <f>"High"</f>
        <v/>
      </c>
      <c r="I3757">
        <f>TRIM(IF(LEN(IF(LEN(INDEX('Providers'!$X$4:$X$503,254))=0,"",INDEX('Providers'!$X$4:$X$503,254)))=0,"","Facility: "&amp;IF(LEN(INDEX('Providers'!$X$4:$X$503,254))=0,"",INDEX('Providers'!$X$4:$X$503,254))&amp;". "))</f>
        <v/>
      </c>
      <c r="J3757">
        <f>IF(LEN(INDEX('Providers'!$AJ$4:$AJ$503,254))=0,"",INDEX('Providers'!$AJ$4:$AJ$503,254))</f>
        <v/>
      </c>
      <c r="K3757">
        <f>IF(LEN(INDEX('Providers'!$AI$4:$AI$503,254))=0,"",INDEX('Providers'!$AI$4:$AI$503,254))</f>
        <v/>
      </c>
    </row>
    <row r="3758">
      <c r="A3758">
        <f>IF(AND(LEN('Providers'!A258)&gt;0,ISNUMBER('Providers'!Y258)),1,0)</f>
        <v/>
      </c>
      <c r="B3758">
        <f>B3757+A3758</f>
        <v/>
      </c>
      <c r="C3758">
        <f>IF(3755&gt;$B$4503,"",MATCH(3755-0.5,$B$3:$B$4503,1))</f>
        <v/>
      </c>
      <c r="D3758">
        <f>"Privileges reappointment – "&amp;IF(LEN(INDEX('Providers'!$A$4:$A$503,255))=0,"",INDEX('Providers'!$A$4:$A$503,255))</f>
        <v/>
      </c>
      <c r="E3758">
        <f>IF(ISNUMBER(INDEX('Providers'!$Y$4:$Y$503,255)),TEXT(INDEX('Providers'!$Y$4:$Y$503,255),"yyyy-mm-dd"),"")</f>
        <v/>
      </c>
      <c r="F3758">
        <f>"Credentialing"</f>
        <v/>
      </c>
      <c r="G3758">
        <f>""</f>
        <v/>
      </c>
      <c r="H3758">
        <f>"High"</f>
        <v/>
      </c>
      <c r="I3758">
        <f>TRIM(IF(LEN(IF(LEN(INDEX('Providers'!$X$4:$X$503,255))=0,"",INDEX('Providers'!$X$4:$X$503,255)))=0,"","Facility: "&amp;IF(LEN(INDEX('Providers'!$X$4:$X$503,255))=0,"",INDEX('Providers'!$X$4:$X$503,255))&amp;". "))</f>
        <v/>
      </c>
      <c r="J3758">
        <f>IF(LEN(INDEX('Providers'!$AJ$4:$AJ$503,255))=0,"",INDEX('Providers'!$AJ$4:$AJ$503,255))</f>
        <v/>
      </c>
      <c r="K3758">
        <f>IF(LEN(INDEX('Providers'!$AI$4:$AI$503,255))=0,"",INDEX('Providers'!$AI$4:$AI$503,255))</f>
        <v/>
      </c>
    </row>
    <row r="3759">
      <c r="A3759">
        <f>IF(AND(LEN('Providers'!A259)&gt;0,ISNUMBER('Providers'!Y259)),1,0)</f>
        <v/>
      </c>
      <c r="B3759">
        <f>B3758+A3759</f>
        <v/>
      </c>
      <c r="C3759">
        <f>IF(3756&gt;$B$4503,"",MATCH(3756-0.5,$B$3:$B$4503,1))</f>
        <v/>
      </c>
      <c r="D3759">
        <f>"Privileges reappointment – "&amp;IF(LEN(INDEX('Providers'!$A$4:$A$503,256))=0,"",INDEX('Providers'!$A$4:$A$503,256))</f>
        <v/>
      </c>
      <c r="E3759">
        <f>IF(ISNUMBER(INDEX('Providers'!$Y$4:$Y$503,256)),TEXT(INDEX('Providers'!$Y$4:$Y$503,256),"yyyy-mm-dd"),"")</f>
        <v/>
      </c>
      <c r="F3759">
        <f>"Credentialing"</f>
        <v/>
      </c>
      <c r="G3759">
        <f>""</f>
        <v/>
      </c>
      <c r="H3759">
        <f>"High"</f>
        <v/>
      </c>
      <c r="I3759">
        <f>TRIM(IF(LEN(IF(LEN(INDEX('Providers'!$X$4:$X$503,256))=0,"",INDEX('Providers'!$X$4:$X$503,256)))=0,"","Facility: "&amp;IF(LEN(INDEX('Providers'!$X$4:$X$503,256))=0,"",INDEX('Providers'!$X$4:$X$503,256))&amp;". "))</f>
        <v/>
      </c>
      <c r="J3759">
        <f>IF(LEN(INDEX('Providers'!$AJ$4:$AJ$503,256))=0,"",INDEX('Providers'!$AJ$4:$AJ$503,256))</f>
        <v/>
      </c>
      <c r="K3759">
        <f>IF(LEN(INDEX('Providers'!$AI$4:$AI$503,256))=0,"",INDEX('Providers'!$AI$4:$AI$503,256))</f>
        <v/>
      </c>
    </row>
    <row r="3760">
      <c r="A3760">
        <f>IF(AND(LEN('Providers'!A260)&gt;0,ISNUMBER('Providers'!Y260)),1,0)</f>
        <v/>
      </c>
      <c r="B3760">
        <f>B3759+A3760</f>
        <v/>
      </c>
      <c r="C3760">
        <f>IF(3757&gt;$B$4503,"",MATCH(3757-0.5,$B$3:$B$4503,1))</f>
        <v/>
      </c>
      <c r="D3760">
        <f>"Privileges reappointment – "&amp;IF(LEN(INDEX('Providers'!$A$4:$A$503,257))=0,"",INDEX('Providers'!$A$4:$A$503,257))</f>
        <v/>
      </c>
      <c r="E3760">
        <f>IF(ISNUMBER(INDEX('Providers'!$Y$4:$Y$503,257)),TEXT(INDEX('Providers'!$Y$4:$Y$503,257),"yyyy-mm-dd"),"")</f>
        <v/>
      </c>
      <c r="F3760">
        <f>"Credentialing"</f>
        <v/>
      </c>
      <c r="G3760">
        <f>""</f>
        <v/>
      </c>
      <c r="H3760">
        <f>"High"</f>
        <v/>
      </c>
      <c r="I3760">
        <f>TRIM(IF(LEN(IF(LEN(INDEX('Providers'!$X$4:$X$503,257))=0,"",INDEX('Providers'!$X$4:$X$503,257)))=0,"","Facility: "&amp;IF(LEN(INDEX('Providers'!$X$4:$X$503,257))=0,"",INDEX('Providers'!$X$4:$X$503,257))&amp;". "))</f>
        <v/>
      </c>
      <c r="J3760">
        <f>IF(LEN(INDEX('Providers'!$AJ$4:$AJ$503,257))=0,"",INDEX('Providers'!$AJ$4:$AJ$503,257))</f>
        <v/>
      </c>
      <c r="K3760">
        <f>IF(LEN(INDEX('Providers'!$AI$4:$AI$503,257))=0,"",INDEX('Providers'!$AI$4:$AI$503,257))</f>
        <v/>
      </c>
    </row>
    <row r="3761">
      <c r="A3761">
        <f>IF(AND(LEN('Providers'!A261)&gt;0,ISNUMBER('Providers'!Y261)),1,0)</f>
        <v/>
      </c>
      <c r="B3761">
        <f>B3760+A3761</f>
        <v/>
      </c>
      <c r="C3761">
        <f>IF(3758&gt;$B$4503,"",MATCH(3758-0.5,$B$3:$B$4503,1))</f>
        <v/>
      </c>
      <c r="D3761">
        <f>"Privileges reappointment – "&amp;IF(LEN(INDEX('Providers'!$A$4:$A$503,258))=0,"",INDEX('Providers'!$A$4:$A$503,258))</f>
        <v/>
      </c>
      <c r="E3761">
        <f>IF(ISNUMBER(INDEX('Providers'!$Y$4:$Y$503,258)),TEXT(INDEX('Providers'!$Y$4:$Y$503,258),"yyyy-mm-dd"),"")</f>
        <v/>
      </c>
      <c r="F3761">
        <f>"Credentialing"</f>
        <v/>
      </c>
      <c r="G3761">
        <f>""</f>
        <v/>
      </c>
      <c r="H3761">
        <f>"High"</f>
        <v/>
      </c>
      <c r="I3761">
        <f>TRIM(IF(LEN(IF(LEN(INDEX('Providers'!$X$4:$X$503,258))=0,"",INDEX('Providers'!$X$4:$X$503,258)))=0,"","Facility: "&amp;IF(LEN(INDEX('Providers'!$X$4:$X$503,258))=0,"",INDEX('Providers'!$X$4:$X$503,258))&amp;". "))</f>
        <v/>
      </c>
      <c r="J3761">
        <f>IF(LEN(INDEX('Providers'!$AJ$4:$AJ$503,258))=0,"",INDEX('Providers'!$AJ$4:$AJ$503,258))</f>
        <v/>
      </c>
      <c r="K3761">
        <f>IF(LEN(INDEX('Providers'!$AI$4:$AI$503,258))=0,"",INDEX('Providers'!$AI$4:$AI$503,258))</f>
        <v/>
      </c>
    </row>
    <row r="3762">
      <c r="A3762">
        <f>IF(AND(LEN('Providers'!A262)&gt;0,ISNUMBER('Providers'!Y262)),1,0)</f>
        <v/>
      </c>
      <c r="B3762">
        <f>B3761+A3762</f>
        <v/>
      </c>
      <c r="C3762">
        <f>IF(3759&gt;$B$4503,"",MATCH(3759-0.5,$B$3:$B$4503,1))</f>
        <v/>
      </c>
      <c r="D3762">
        <f>"Privileges reappointment – "&amp;IF(LEN(INDEX('Providers'!$A$4:$A$503,259))=0,"",INDEX('Providers'!$A$4:$A$503,259))</f>
        <v/>
      </c>
      <c r="E3762">
        <f>IF(ISNUMBER(INDEX('Providers'!$Y$4:$Y$503,259)),TEXT(INDEX('Providers'!$Y$4:$Y$503,259),"yyyy-mm-dd"),"")</f>
        <v/>
      </c>
      <c r="F3762">
        <f>"Credentialing"</f>
        <v/>
      </c>
      <c r="G3762">
        <f>""</f>
        <v/>
      </c>
      <c r="H3762">
        <f>"High"</f>
        <v/>
      </c>
      <c r="I3762">
        <f>TRIM(IF(LEN(IF(LEN(INDEX('Providers'!$X$4:$X$503,259))=0,"",INDEX('Providers'!$X$4:$X$503,259)))=0,"","Facility: "&amp;IF(LEN(INDEX('Providers'!$X$4:$X$503,259))=0,"",INDEX('Providers'!$X$4:$X$503,259))&amp;". "))</f>
        <v/>
      </c>
      <c r="J3762">
        <f>IF(LEN(INDEX('Providers'!$AJ$4:$AJ$503,259))=0,"",INDEX('Providers'!$AJ$4:$AJ$503,259))</f>
        <v/>
      </c>
      <c r="K3762">
        <f>IF(LEN(INDEX('Providers'!$AI$4:$AI$503,259))=0,"",INDEX('Providers'!$AI$4:$AI$503,259))</f>
        <v/>
      </c>
    </row>
    <row r="3763">
      <c r="A3763">
        <f>IF(AND(LEN('Providers'!A263)&gt;0,ISNUMBER('Providers'!Y263)),1,0)</f>
        <v/>
      </c>
      <c r="B3763">
        <f>B3762+A3763</f>
        <v/>
      </c>
      <c r="C3763">
        <f>IF(3760&gt;$B$4503,"",MATCH(3760-0.5,$B$3:$B$4503,1))</f>
        <v/>
      </c>
      <c r="D3763">
        <f>"Privileges reappointment – "&amp;IF(LEN(INDEX('Providers'!$A$4:$A$503,260))=0,"",INDEX('Providers'!$A$4:$A$503,260))</f>
        <v/>
      </c>
      <c r="E3763">
        <f>IF(ISNUMBER(INDEX('Providers'!$Y$4:$Y$503,260)),TEXT(INDEX('Providers'!$Y$4:$Y$503,260),"yyyy-mm-dd"),"")</f>
        <v/>
      </c>
      <c r="F3763">
        <f>"Credentialing"</f>
        <v/>
      </c>
      <c r="G3763">
        <f>""</f>
        <v/>
      </c>
      <c r="H3763">
        <f>"High"</f>
        <v/>
      </c>
      <c r="I3763">
        <f>TRIM(IF(LEN(IF(LEN(INDEX('Providers'!$X$4:$X$503,260))=0,"",INDEX('Providers'!$X$4:$X$503,260)))=0,"","Facility: "&amp;IF(LEN(INDEX('Providers'!$X$4:$X$503,260))=0,"",INDEX('Providers'!$X$4:$X$503,260))&amp;". "))</f>
        <v/>
      </c>
      <c r="J3763">
        <f>IF(LEN(INDEX('Providers'!$AJ$4:$AJ$503,260))=0,"",INDEX('Providers'!$AJ$4:$AJ$503,260))</f>
        <v/>
      </c>
      <c r="K3763">
        <f>IF(LEN(INDEX('Providers'!$AI$4:$AI$503,260))=0,"",INDEX('Providers'!$AI$4:$AI$503,260))</f>
        <v/>
      </c>
    </row>
    <row r="3764">
      <c r="A3764">
        <f>IF(AND(LEN('Providers'!A264)&gt;0,ISNUMBER('Providers'!Y264)),1,0)</f>
        <v/>
      </c>
      <c r="B3764">
        <f>B3763+A3764</f>
        <v/>
      </c>
      <c r="C3764">
        <f>IF(3761&gt;$B$4503,"",MATCH(3761-0.5,$B$3:$B$4503,1))</f>
        <v/>
      </c>
      <c r="D3764">
        <f>"Privileges reappointment – "&amp;IF(LEN(INDEX('Providers'!$A$4:$A$503,261))=0,"",INDEX('Providers'!$A$4:$A$503,261))</f>
        <v/>
      </c>
      <c r="E3764">
        <f>IF(ISNUMBER(INDEX('Providers'!$Y$4:$Y$503,261)),TEXT(INDEX('Providers'!$Y$4:$Y$503,261),"yyyy-mm-dd"),"")</f>
        <v/>
      </c>
      <c r="F3764">
        <f>"Credentialing"</f>
        <v/>
      </c>
      <c r="G3764">
        <f>""</f>
        <v/>
      </c>
      <c r="H3764">
        <f>"High"</f>
        <v/>
      </c>
      <c r="I3764">
        <f>TRIM(IF(LEN(IF(LEN(INDEX('Providers'!$X$4:$X$503,261))=0,"",INDEX('Providers'!$X$4:$X$503,261)))=0,"","Facility: "&amp;IF(LEN(INDEX('Providers'!$X$4:$X$503,261))=0,"",INDEX('Providers'!$X$4:$X$503,261))&amp;". "))</f>
        <v/>
      </c>
      <c r="J3764">
        <f>IF(LEN(INDEX('Providers'!$AJ$4:$AJ$503,261))=0,"",INDEX('Providers'!$AJ$4:$AJ$503,261))</f>
        <v/>
      </c>
      <c r="K3764">
        <f>IF(LEN(INDEX('Providers'!$AI$4:$AI$503,261))=0,"",INDEX('Providers'!$AI$4:$AI$503,261))</f>
        <v/>
      </c>
    </row>
    <row r="3765">
      <c r="A3765">
        <f>IF(AND(LEN('Providers'!A265)&gt;0,ISNUMBER('Providers'!Y265)),1,0)</f>
        <v/>
      </c>
      <c r="B3765">
        <f>B3764+A3765</f>
        <v/>
      </c>
      <c r="C3765">
        <f>IF(3762&gt;$B$4503,"",MATCH(3762-0.5,$B$3:$B$4503,1))</f>
        <v/>
      </c>
      <c r="D3765">
        <f>"Privileges reappointment – "&amp;IF(LEN(INDEX('Providers'!$A$4:$A$503,262))=0,"",INDEX('Providers'!$A$4:$A$503,262))</f>
        <v/>
      </c>
      <c r="E3765">
        <f>IF(ISNUMBER(INDEX('Providers'!$Y$4:$Y$503,262)),TEXT(INDEX('Providers'!$Y$4:$Y$503,262),"yyyy-mm-dd"),"")</f>
        <v/>
      </c>
      <c r="F3765">
        <f>"Credentialing"</f>
        <v/>
      </c>
      <c r="G3765">
        <f>""</f>
        <v/>
      </c>
      <c r="H3765">
        <f>"High"</f>
        <v/>
      </c>
      <c r="I3765">
        <f>TRIM(IF(LEN(IF(LEN(INDEX('Providers'!$X$4:$X$503,262))=0,"",INDEX('Providers'!$X$4:$X$503,262)))=0,"","Facility: "&amp;IF(LEN(INDEX('Providers'!$X$4:$X$503,262))=0,"",INDEX('Providers'!$X$4:$X$503,262))&amp;". "))</f>
        <v/>
      </c>
      <c r="J3765">
        <f>IF(LEN(INDEX('Providers'!$AJ$4:$AJ$503,262))=0,"",INDEX('Providers'!$AJ$4:$AJ$503,262))</f>
        <v/>
      </c>
      <c r="K3765">
        <f>IF(LEN(INDEX('Providers'!$AI$4:$AI$503,262))=0,"",INDEX('Providers'!$AI$4:$AI$503,262))</f>
        <v/>
      </c>
    </row>
    <row r="3766">
      <c r="A3766">
        <f>IF(AND(LEN('Providers'!A266)&gt;0,ISNUMBER('Providers'!Y266)),1,0)</f>
        <v/>
      </c>
      <c r="B3766">
        <f>B3765+A3766</f>
        <v/>
      </c>
      <c r="C3766">
        <f>IF(3763&gt;$B$4503,"",MATCH(3763-0.5,$B$3:$B$4503,1))</f>
        <v/>
      </c>
      <c r="D3766">
        <f>"Privileges reappointment – "&amp;IF(LEN(INDEX('Providers'!$A$4:$A$503,263))=0,"",INDEX('Providers'!$A$4:$A$503,263))</f>
        <v/>
      </c>
      <c r="E3766">
        <f>IF(ISNUMBER(INDEX('Providers'!$Y$4:$Y$503,263)),TEXT(INDEX('Providers'!$Y$4:$Y$503,263),"yyyy-mm-dd"),"")</f>
        <v/>
      </c>
      <c r="F3766">
        <f>"Credentialing"</f>
        <v/>
      </c>
      <c r="G3766">
        <f>""</f>
        <v/>
      </c>
      <c r="H3766">
        <f>"High"</f>
        <v/>
      </c>
      <c r="I3766">
        <f>TRIM(IF(LEN(IF(LEN(INDEX('Providers'!$X$4:$X$503,263))=0,"",INDEX('Providers'!$X$4:$X$503,263)))=0,"","Facility: "&amp;IF(LEN(INDEX('Providers'!$X$4:$X$503,263))=0,"",INDEX('Providers'!$X$4:$X$503,263))&amp;". "))</f>
        <v/>
      </c>
      <c r="J3766">
        <f>IF(LEN(INDEX('Providers'!$AJ$4:$AJ$503,263))=0,"",INDEX('Providers'!$AJ$4:$AJ$503,263))</f>
        <v/>
      </c>
      <c r="K3766">
        <f>IF(LEN(INDEX('Providers'!$AI$4:$AI$503,263))=0,"",INDEX('Providers'!$AI$4:$AI$503,263))</f>
        <v/>
      </c>
    </row>
    <row r="3767">
      <c r="A3767">
        <f>IF(AND(LEN('Providers'!A267)&gt;0,ISNUMBER('Providers'!Y267)),1,0)</f>
        <v/>
      </c>
      <c r="B3767">
        <f>B3766+A3767</f>
        <v/>
      </c>
      <c r="C3767">
        <f>IF(3764&gt;$B$4503,"",MATCH(3764-0.5,$B$3:$B$4503,1))</f>
        <v/>
      </c>
      <c r="D3767">
        <f>"Privileges reappointment – "&amp;IF(LEN(INDEX('Providers'!$A$4:$A$503,264))=0,"",INDEX('Providers'!$A$4:$A$503,264))</f>
        <v/>
      </c>
      <c r="E3767">
        <f>IF(ISNUMBER(INDEX('Providers'!$Y$4:$Y$503,264)),TEXT(INDEX('Providers'!$Y$4:$Y$503,264),"yyyy-mm-dd"),"")</f>
        <v/>
      </c>
      <c r="F3767">
        <f>"Credentialing"</f>
        <v/>
      </c>
      <c r="G3767">
        <f>""</f>
        <v/>
      </c>
      <c r="H3767">
        <f>"High"</f>
        <v/>
      </c>
      <c r="I3767">
        <f>TRIM(IF(LEN(IF(LEN(INDEX('Providers'!$X$4:$X$503,264))=0,"",INDEX('Providers'!$X$4:$X$503,264)))=0,"","Facility: "&amp;IF(LEN(INDEX('Providers'!$X$4:$X$503,264))=0,"",INDEX('Providers'!$X$4:$X$503,264))&amp;". "))</f>
        <v/>
      </c>
      <c r="J3767">
        <f>IF(LEN(INDEX('Providers'!$AJ$4:$AJ$503,264))=0,"",INDEX('Providers'!$AJ$4:$AJ$503,264))</f>
        <v/>
      </c>
      <c r="K3767">
        <f>IF(LEN(INDEX('Providers'!$AI$4:$AI$503,264))=0,"",INDEX('Providers'!$AI$4:$AI$503,264))</f>
        <v/>
      </c>
    </row>
    <row r="3768">
      <c r="A3768">
        <f>IF(AND(LEN('Providers'!A268)&gt;0,ISNUMBER('Providers'!Y268)),1,0)</f>
        <v/>
      </c>
      <c r="B3768">
        <f>B3767+A3768</f>
        <v/>
      </c>
      <c r="C3768">
        <f>IF(3765&gt;$B$4503,"",MATCH(3765-0.5,$B$3:$B$4503,1))</f>
        <v/>
      </c>
      <c r="D3768">
        <f>"Privileges reappointment – "&amp;IF(LEN(INDEX('Providers'!$A$4:$A$503,265))=0,"",INDEX('Providers'!$A$4:$A$503,265))</f>
        <v/>
      </c>
      <c r="E3768">
        <f>IF(ISNUMBER(INDEX('Providers'!$Y$4:$Y$503,265)),TEXT(INDEX('Providers'!$Y$4:$Y$503,265),"yyyy-mm-dd"),"")</f>
        <v/>
      </c>
      <c r="F3768">
        <f>"Credentialing"</f>
        <v/>
      </c>
      <c r="G3768">
        <f>""</f>
        <v/>
      </c>
      <c r="H3768">
        <f>"High"</f>
        <v/>
      </c>
      <c r="I3768">
        <f>TRIM(IF(LEN(IF(LEN(INDEX('Providers'!$X$4:$X$503,265))=0,"",INDEX('Providers'!$X$4:$X$503,265)))=0,"","Facility: "&amp;IF(LEN(INDEX('Providers'!$X$4:$X$503,265))=0,"",INDEX('Providers'!$X$4:$X$503,265))&amp;". "))</f>
        <v/>
      </c>
      <c r="J3768">
        <f>IF(LEN(INDEX('Providers'!$AJ$4:$AJ$503,265))=0,"",INDEX('Providers'!$AJ$4:$AJ$503,265))</f>
        <v/>
      </c>
      <c r="K3768">
        <f>IF(LEN(INDEX('Providers'!$AI$4:$AI$503,265))=0,"",INDEX('Providers'!$AI$4:$AI$503,265))</f>
        <v/>
      </c>
    </row>
    <row r="3769">
      <c r="A3769">
        <f>IF(AND(LEN('Providers'!A269)&gt;0,ISNUMBER('Providers'!Y269)),1,0)</f>
        <v/>
      </c>
      <c r="B3769">
        <f>B3768+A3769</f>
        <v/>
      </c>
      <c r="C3769">
        <f>IF(3766&gt;$B$4503,"",MATCH(3766-0.5,$B$3:$B$4503,1))</f>
        <v/>
      </c>
      <c r="D3769">
        <f>"Privileges reappointment – "&amp;IF(LEN(INDEX('Providers'!$A$4:$A$503,266))=0,"",INDEX('Providers'!$A$4:$A$503,266))</f>
        <v/>
      </c>
      <c r="E3769">
        <f>IF(ISNUMBER(INDEX('Providers'!$Y$4:$Y$503,266)),TEXT(INDEX('Providers'!$Y$4:$Y$503,266),"yyyy-mm-dd"),"")</f>
        <v/>
      </c>
      <c r="F3769">
        <f>"Credentialing"</f>
        <v/>
      </c>
      <c r="G3769">
        <f>""</f>
        <v/>
      </c>
      <c r="H3769">
        <f>"High"</f>
        <v/>
      </c>
      <c r="I3769">
        <f>TRIM(IF(LEN(IF(LEN(INDEX('Providers'!$X$4:$X$503,266))=0,"",INDEX('Providers'!$X$4:$X$503,266)))=0,"","Facility: "&amp;IF(LEN(INDEX('Providers'!$X$4:$X$503,266))=0,"",INDEX('Providers'!$X$4:$X$503,266))&amp;". "))</f>
        <v/>
      </c>
      <c r="J3769">
        <f>IF(LEN(INDEX('Providers'!$AJ$4:$AJ$503,266))=0,"",INDEX('Providers'!$AJ$4:$AJ$503,266))</f>
        <v/>
      </c>
      <c r="K3769">
        <f>IF(LEN(INDEX('Providers'!$AI$4:$AI$503,266))=0,"",INDEX('Providers'!$AI$4:$AI$503,266))</f>
        <v/>
      </c>
    </row>
    <row r="3770">
      <c r="A3770">
        <f>IF(AND(LEN('Providers'!A270)&gt;0,ISNUMBER('Providers'!Y270)),1,0)</f>
        <v/>
      </c>
      <c r="B3770">
        <f>B3769+A3770</f>
        <v/>
      </c>
      <c r="C3770">
        <f>IF(3767&gt;$B$4503,"",MATCH(3767-0.5,$B$3:$B$4503,1))</f>
        <v/>
      </c>
      <c r="D3770">
        <f>"Privileges reappointment – "&amp;IF(LEN(INDEX('Providers'!$A$4:$A$503,267))=0,"",INDEX('Providers'!$A$4:$A$503,267))</f>
        <v/>
      </c>
      <c r="E3770">
        <f>IF(ISNUMBER(INDEX('Providers'!$Y$4:$Y$503,267)),TEXT(INDEX('Providers'!$Y$4:$Y$503,267),"yyyy-mm-dd"),"")</f>
        <v/>
      </c>
      <c r="F3770">
        <f>"Credentialing"</f>
        <v/>
      </c>
      <c r="G3770">
        <f>""</f>
        <v/>
      </c>
      <c r="H3770">
        <f>"High"</f>
        <v/>
      </c>
      <c r="I3770">
        <f>TRIM(IF(LEN(IF(LEN(INDEX('Providers'!$X$4:$X$503,267))=0,"",INDEX('Providers'!$X$4:$X$503,267)))=0,"","Facility: "&amp;IF(LEN(INDEX('Providers'!$X$4:$X$503,267))=0,"",INDEX('Providers'!$X$4:$X$503,267))&amp;". "))</f>
        <v/>
      </c>
      <c r="J3770">
        <f>IF(LEN(INDEX('Providers'!$AJ$4:$AJ$503,267))=0,"",INDEX('Providers'!$AJ$4:$AJ$503,267))</f>
        <v/>
      </c>
      <c r="K3770">
        <f>IF(LEN(INDEX('Providers'!$AI$4:$AI$503,267))=0,"",INDEX('Providers'!$AI$4:$AI$503,267))</f>
        <v/>
      </c>
    </row>
    <row r="3771">
      <c r="A3771">
        <f>IF(AND(LEN('Providers'!A271)&gt;0,ISNUMBER('Providers'!Y271)),1,0)</f>
        <v/>
      </c>
      <c r="B3771">
        <f>B3770+A3771</f>
        <v/>
      </c>
      <c r="C3771">
        <f>IF(3768&gt;$B$4503,"",MATCH(3768-0.5,$B$3:$B$4503,1))</f>
        <v/>
      </c>
      <c r="D3771">
        <f>"Privileges reappointment – "&amp;IF(LEN(INDEX('Providers'!$A$4:$A$503,268))=0,"",INDEX('Providers'!$A$4:$A$503,268))</f>
        <v/>
      </c>
      <c r="E3771">
        <f>IF(ISNUMBER(INDEX('Providers'!$Y$4:$Y$503,268)),TEXT(INDEX('Providers'!$Y$4:$Y$503,268),"yyyy-mm-dd"),"")</f>
        <v/>
      </c>
      <c r="F3771">
        <f>"Credentialing"</f>
        <v/>
      </c>
      <c r="G3771">
        <f>""</f>
        <v/>
      </c>
      <c r="H3771">
        <f>"High"</f>
        <v/>
      </c>
      <c r="I3771">
        <f>TRIM(IF(LEN(IF(LEN(INDEX('Providers'!$X$4:$X$503,268))=0,"",INDEX('Providers'!$X$4:$X$503,268)))=0,"","Facility: "&amp;IF(LEN(INDEX('Providers'!$X$4:$X$503,268))=0,"",INDEX('Providers'!$X$4:$X$503,268))&amp;". "))</f>
        <v/>
      </c>
      <c r="J3771">
        <f>IF(LEN(INDEX('Providers'!$AJ$4:$AJ$503,268))=0,"",INDEX('Providers'!$AJ$4:$AJ$503,268))</f>
        <v/>
      </c>
      <c r="K3771">
        <f>IF(LEN(INDEX('Providers'!$AI$4:$AI$503,268))=0,"",INDEX('Providers'!$AI$4:$AI$503,268))</f>
        <v/>
      </c>
    </row>
    <row r="3772">
      <c r="A3772">
        <f>IF(AND(LEN('Providers'!A272)&gt;0,ISNUMBER('Providers'!Y272)),1,0)</f>
        <v/>
      </c>
      <c r="B3772">
        <f>B3771+A3772</f>
        <v/>
      </c>
      <c r="C3772">
        <f>IF(3769&gt;$B$4503,"",MATCH(3769-0.5,$B$3:$B$4503,1))</f>
        <v/>
      </c>
      <c r="D3772">
        <f>"Privileges reappointment – "&amp;IF(LEN(INDEX('Providers'!$A$4:$A$503,269))=0,"",INDEX('Providers'!$A$4:$A$503,269))</f>
        <v/>
      </c>
      <c r="E3772">
        <f>IF(ISNUMBER(INDEX('Providers'!$Y$4:$Y$503,269)),TEXT(INDEX('Providers'!$Y$4:$Y$503,269),"yyyy-mm-dd"),"")</f>
        <v/>
      </c>
      <c r="F3772">
        <f>"Credentialing"</f>
        <v/>
      </c>
      <c r="G3772">
        <f>""</f>
        <v/>
      </c>
      <c r="H3772">
        <f>"High"</f>
        <v/>
      </c>
      <c r="I3772">
        <f>TRIM(IF(LEN(IF(LEN(INDEX('Providers'!$X$4:$X$503,269))=0,"",INDEX('Providers'!$X$4:$X$503,269)))=0,"","Facility: "&amp;IF(LEN(INDEX('Providers'!$X$4:$X$503,269))=0,"",INDEX('Providers'!$X$4:$X$503,269))&amp;". "))</f>
        <v/>
      </c>
      <c r="J3772">
        <f>IF(LEN(INDEX('Providers'!$AJ$4:$AJ$503,269))=0,"",INDEX('Providers'!$AJ$4:$AJ$503,269))</f>
        <v/>
      </c>
      <c r="K3772">
        <f>IF(LEN(INDEX('Providers'!$AI$4:$AI$503,269))=0,"",INDEX('Providers'!$AI$4:$AI$503,269))</f>
        <v/>
      </c>
    </row>
    <row r="3773">
      <c r="A3773">
        <f>IF(AND(LEN('Providers'!A273)&gt;0,ISNUMBER('Providers'!Y273)),1,0)</f>
        <v/>
      </c>
      <c r="B3773">
        <f>B3772+A3773</f>
        <v/>
      </c>
      <c r="C3773">
        <f>IF(3770&gt;$B$4503,"",MATCH(3770-0.5,$B$3:$B$4503,1))</f>
        <v/>
      </c>
      <c r="D3773">
        <f>"Privileges reappointment – "&amp;IF(LEN(INDEX('Providers'!$A$4:$A$503,270))=0,"",INDEX('Providers'!$A$4:$A$503,270))</f>
        <v/>
      </c>
      <c r="E3773">
        <f>IF(ISNUMBER(INDEX('Providers'!$Y$4:$Y$503,270)),TEXT(INDEX('Providers'!$Y$4:$Y$503,270),"yyyy-mm-dd"),"")</f>
        <v/>
      </c>
      <c r="F3773">
        <f>"Credentialing"</f>
        <v/>
      </c>
      <c r="G3773">
        <f>""</f>
        <v/>
      </c>
      <c r="H3773">
        <f>"High"</f>
        <v/>
      </c>
      <c r="I3773">
        <f>TRIM(IF(LEN(IF(LEN(INDEX('Providers'!$X$4:$X$503,270))=0,"",INDEX('Providers'!$X$4:$X$503,270)))=0,"","Facility: "&amp;IF(LEN(INDEX('Providers'!$X$4:$X$503,270))=0,"",INDEX('Providers'!$X$4:$X$503,270))&amp;". "))</f>
        <v/>
      </c>
      <c r="J3773">
        <f>IF(LEN(INDEX('Providers'!$AJ$4:$AJ$503,270))=0,"",INDEX('Providers'!$AJ$4:$AJ$503,270))</f>
        <v/>
      </c>
      <c r="K3773">
        <f>IF(LEN(INDEX('Providers'!$AI$4:$AI$503,270))=0,"",INDEX('Providers'!$AI$4:$AI$503,270))</f>
        <v/>
      </c>
    </row>
    <row r="3774">
      <c r="A3774">
        <f>IF(AND(LEN('Providers'!A274)&gt;0,ISNUMBER('Providers'!Y274)),1,0)</f>
        <v/>
      </c>
      <c r="B3774">
        <f>B3773+A3774</f>
        <v/>
      </c>
      <c r="C3774">
        <f>IF(3771&gt;$B$4503,"",MATCH(3771-0.5,$B$3:$B$4503,1))</f>
        <v/>
      </c>
      <c r="D3774">
        <f>"Privileges reappointment – "&amp;IF(LEN(INDEX('Providers'!$A$4:$A$503,271))=0,"",INDEX('Providers'!$A$4:$A$503,271))</f>
        <v/>
      </c>
      <c r="E3774">
        <f>IF(ISNUMBER(INDEX('Providers'!$Y$4:$Y$503,271)),TEXT(INDEX('Providers'!$Y$4:$Y$503,271),"yyyy-mm-dd"),"")</f>
        <v/>
      </c>
      <c r="F3774">
        <f>"Credentialing"</f>
        <v/>
      </c>
      <c r="G3774">
        <f>""</f>
        <v/>
      </c>
      <c r="H3774">
        <f>"High"</f>
        <v/>
      </c>
      <c r="I3774">
        <f>TRIM(IF(LEN(IF(LEN(INDEX('Providers'!$X$4:$X$503,271))=0,"",INDEX('Providers'!$X$4:$X$503,271)))=0,"","Facility: "&amp;IF(LEN(INDEX('Providers'!$X$4:$X$503,271))=0,"",INDEX('Providers'!$X$4:$X$503,271))&amp;". "))</f>
        <v/>
      </c>
      <c r="J3774">
        <f>IF(LEN(INDEX('Providers'!$AJ$4:$AJ$503,271))=0,"",INDEX('Providers'!$AJ$4:$AJ$503,271))</f>
        <v/>
      </c>
      <c r="K3774">
        <f>IF(LEN(INDEX('Providers'!$AI$4:$AI$503,271))=0,"",INDEX('Providers'!$AI$4:$AI$503,271))</f>
        <v/>
      </c>
    </row>
    <row r="3775">
      <c r="A3775">
        <f>IF(AND(LEN('Providers'!A275)&gt;0,ISNUMBER('Providers'!Y275)),1,0)</f>
        <v/>
      </c>
      <c r="B3775">
        <f>B3774+A3775</f>
        <v/>
      </c>
      <c r="C3775">
        <f>IF(3772&gt;$B$4503,"",MATCH(3772-0.5,$B$3:$B$4503,1))</f>
        <v/>
      </c>
      <c r="D3775">
        <f>"Privileges reappointment – "&amp;IF(LEN(INDEX('Providers'!$A$4:$A$503,272))=0,"",INDEX('Providers'!$A$4:$A$503,272))</f>
        <v/>
      </c>
      <c r="E3775">
        <f>IF(ISNUMBER(INDEX('Providers'!$Y$4:$Y$503,272)),TEXT(INDEX('Providers'!$Y$4:$Y$503,272),"yyyy-mm-dd"),"")</f>
        <v/>
      </c>
      <c r="F3775">
        <f>"Credentialing"</f>
        <v/>
      </c>
      <c r="G3775">
        <f>""</f>
        <v/>
      </c>
      <c r="H3775">
        <f>"High"</f>
        <v/>
      </c>
      <c r="I3775">
        <f>TRIM(IF(LEN(IF(LEN(INDEX('Providers'!$X$4:$X$503,272))=0,"",INDEX('Providers'!$X$4:$X$503,272)))=0,"","Facility: "&amp;IF(LEN(INDEX('Providers'!$X$4:$X$503,272))=0,"",INDEX('Providers'!$X$4:$X$503,272))&amp;". "))</f>
        <v/>
      </c>
      <c r="J3775">
        <f>IF(LEN(INDEX('Providers'!$AJ$4:$AJ$503,272))=0,"",INDEX('Providers'!$AJ$4:$AJ$503,272))</f>
        <v/>
      </c>
      <c r="K3775">
        <f>IF(LEN(INDEX('Providers'!$AI$4:$AI$503,272))=0,"",INDEX('Providers'!$AI$4:$AI$503,272))</f>
        <v/>
      </c>
    </row>
    <row r="3776">
      <c r="A3776">
        <f>IF(AND(LEN('Providers'!A276)&gt;0,ISNUMBER('Providers'!Y276)),1,0)</f>
        <v/>
      </c>
      <c r="B3776">
        <f>B3775+A3776</f>
        <v/>
      </c>
      <c r="C3776">
        <f>IF(3773&gt;$B$4503,"",MATCH(3773-0.5,$B$3:$B$4503,1))</f>
        <v/>
      </c>
      <c r="D3776">
        <f>"Privileges reappointment – "&amp;IF(LEN(INDEX('Providers'!$A$4:$A$503,273))=0,"",INDEX('Providers'!$A$4:$A$503,273))</f>
        <v/>
      </c>
      <c r="E3776">
        <f>IF(ISNUMBER(INDEX('Providers'!$Y$4:$Y$503,273)),TEXT(INDEX('Providers'!$Y$4:$Y$503,273),"yyyy-mm-dd"),"")</f>
        <v/>
      </c>
      <c r="F3776">
        <f>"Credentialing"</f>
        <v/>
      </c>
      <c r="G3776">
        <f>""</f>
        <v/>
      </c>
      <c r="H3776">
        <f>"High"</f>
        <v/>
      </c>
      <c r="I3776">
        <f>TRIM(IF(LEN(IF(LEN(INDEX('Providers'!$X$4:$X$503,273))=0,"",INDEX('Providers'!$X$4:$X$503,273)))=0,"","Facility: "&amp;IF(LEN(INDEX('Providers'!$X$4:$X$503,273))=0,"",INDEX('Providers'!$X$4:$X$503,273))&amp;". "))</f>
        <v/>
      </c>
      <c r="J3776">
        <f>IF(LEN(INDEX('Providers'!$AJ$4:$AJ$503,273))=0,"",INDEX('Providers'!$AJ$4:$AJ$503,273))</f>
        <v/>
      </c>
      <c r="K3776">
        <f>IF(LEN(INDEX('Providers'!$AI$4:$AI$503,273))=0,"",INDEX('Providers'!$AI$4:$AI$503,273))</f>
        <v/>
      </c>
    </row>
    <row r="3777">
      <c r="A3777">
        <f>IF(AND(LEN('Providers'!A277)&gt;0,ISNUMBER('Providers'!Y277)),1,0)</f>
        <v/>
      </c>
      <c r="B3777">
        <f>B3776+A3777</f>
        <v/>
      </c>
      <c r="C3777">
        <f>IF(3774&gt;$B$4503,"",MATCH(3774-0.5,$B$3:$B$4503,1))</f>
        <v/>
      </c>
      <c r="D3777">
        <f>"Privileges reappointment – "&amp;IF(LEN(INDEX('Providers'!$A$4:$A$503,274))=0,"",INDEX('Providers'!$A$4:$A$503,274))</f>
        <v/>
      </c>
      <c r="E3777">
        <f>IF(ISNUMBER(INDEX('Providers'!$Y$4:$Y$503,274)),TEXT(INDEX('Providers'!$Y$4:$Y$503,274),"yyyy-mm-dd"),"")</f>
        <v/>
      </c>
      <c r="F3777">
        <f>"Credentialing"</f>
        <v/>
      </c>
      <c r="G3777">
        <f>""</f>
        <v/>
      </c>
      <c r="H3777">
        <f>"High"</f>
        <v/>
      </c>
      <c r="I3777">
        <f>TRIM(IF(LEN(IF(LEN(INDEX('Providers'!$X$4:$X$503,274))=0,"",INDEX('Providers'!$X$4:$X$503,274)))=0,"","Facility: "&amp;IF(LEN(INDEX('Providers'!$X$4:$X$503,274))=0,"",INDEX('Providers'!$X$4:$X$503,274))&amp;". "))</f>
        <v/>
      </c>
      <c r="J3777">
        <f>IF(LEN(INDEX('Providers'!$AJ$4:$AJ$503,274))=0,"",INDEX('Providers'!$AJ$4:$AJ$503,274))</f>
        <v/>
      </c>
      <c r="K3777">
        <f>IF(LEN(INDEX('Providers'!$AI$4:$AI$503,274))=0,"",INDEX('Providers'!$AI$4:$AI$503,274))</f>
        <v/>
      </c>
    </row>
    <row r="3778">
      <c r="A3778">
        <f>IF(AND(LEN('Providers'!A278)&gt;0,ISNUMBER('Providers'!Y278)),1,0)</f>
        <v/>
      </c>
      <c r="B3778">
        <f>B3777+A3778</f>
        <v/>
      </c>
      <c r="C3778">
        <f>IF(3775&gt;$B$4503,"",MATCH(3775-0.5,$B$3:$B$4503,1))</f>
        <v/>
      </c>
      <c r="D3778">
        <f>"Privileges reappointment – "&amp;IF(LEN(INDEX('Providers'!$A$4:$A$503,275))=0,"",INDEX('Providers'!$A$4:$A$503,275))</f>
        <v/>
      </c>
      <c r="E3778">
        <f>IF(ISNUMBER(INDEX('Providers'!$Y$4:$Y$503,275)),TEXT(INDEX('Providers'!$Y$4:$Y$503,275),"yyyy-mm-dd"),"")</f>
        <v/>
      </c>
      <c r="F3778">
        <f>"Credentialing"</f>
        <v/>
      </c>
      <c r="G3778">
        <f>""</f>
        <v/>
      </c>
      <c r="H3778">
        <f>"High"</f>
        <v/>
      </c>
      <c r="I3778">
        <f>TRIM(IF(LEN(IF(LEN(INDEX('Providers'!$X$4:$X$503,275))=0,"",INDEX('Providers'!$X$4:$X$503,275)))=0,"","Facility: "&amp;IF(LEN(INDEX('Providers'!$X$4:$X$503,275))=0,"",INDEX('Providers'!$X$4:$X$503,275))&amp;". "))</f>
        <v/>
      </c>
      <c r="J3778">
        <f>IF(LEN(INDEX('Providers'!$AJ$4:$AJ$503,275))=0,"",INDEX('Providers'!$AJ$4:$AJ$503,275))</f>
        <v/>
      </c>
      <c r="K3778">
        <f>IF(LEN(INDEX('Providers'!$AI$4:$AI$503,275))=0,"",INDEX('Providers'!$AI$4:$AI$503,275))</f>
        <v/>
      </c>
    </row>
    <row r="3779">
      <c r="A3779">
        <f>IF(AND(LEN('Providers'!A279)&gt;0,ISNUMBER('Providers'!Y279)),1,0)</f>
        <v/>
      </c>
      <c r="B3779">
        <f>B3778+A3779</f>
        <v/>
      </c>
      <c r="C3779">
        <f>IF(3776&gt;$B$4503,"",MATCH(3776-0.5,$B$3:$B$4503,1))</f>
        <v/>
      </c>
      <c r="D3779">
        <f>"Privileges reappointment – "&amp;IF(LEN(INDEX('Providers'!$A$4:$A$503,276))=0,"",INDEX('Providers'!$A$4:$A$503,276))</f>
        <v/>
      </c>
      <c r="E3779">
        <f>IF(ISNUMBER(INDEX('Providers'!$Y$4:$Y$503,276)),TEXT(INDEX('Providers'!$Y$4:$Y$503,276),"yyyy-mm-dd"),"")</f>
        <v/>
      </c>
      <c r="F3779">
        <f>"Credentialing"</f>
        <v/>
      </c>
      <c r="G3779">
        <f>""</f>
        <v/>
      </c>
      <c r="H3779">
        <f>"High"</f>
        <v/>
      </c>
      <c r="I3779">
        <f>TRIM(IF(LEN(IF(LEN(INDEX('Providers'!$X$4:$X$503,276))=0,"",INDEX('Providers'!$X$4:$X$503,276)))=0,"","Facility: "&amp;IF(LEN(INDEX('Providers'!$X$4:$X$503,276))=0,"",INDEX('Providers'!$X$4:$X$503,276))&amp;". "))</f>
        <v/>
      </c>
      <c r="J3779">
        <f>IF(LEN(INDEX('Providers'!$AJ$4:$AJ$503,276))=0,"",INDEX('Providers'!$AJ$4:$AJ$503,276))</f>
        <v/>
      </c>
      <c r="K3779">
        <f>IF(LEN(INDEX('Providers'!$AI$4:$AI$503,276))=0,"",INDEX('Providers'!$AI$4:$AI$503,276))</f>
        <v/>
      </c>
    </row>
    <row r="3780">
      <c r="A3780">
        <f>IF(AND(LEN('Providers'!A280)&gt;0,ISNUMBER('Providers'!Y280)),1,0)</f>
        <v/>
      </c>
      <c r="B3780">
        <f>B3779+A3780</f>
        <v/>
      </c>
      <c r="C3780">
        <f>IF(3777&gt;$B$4503,"",MATCH(3777-0.5,$B$3:$B$4503,1))</f>
        <v/>
      </c>
      <c r="D3780">
        <f>"Privileges reappointment – "&amp;IF(LEN(INDEX('Providers'!$A$4:$A$503,277))=0,"",INDEX('Providers'!$A$4:$A$503,277))</f>
        <v/>
      </c>
      <c r="E3780">
        <f>IF(ISNUMBER(INDEX('Providers'!$Y$4:$Y$503,277)),TEXT(INDEX('Providers'!$Y$4:$Y$503,277),"yyyy-mm-dd"),"")</f>
        <v/>
      </c>
      <c r="F3780">
        <f>"Credentialing"</f>
        <v/>
      </c>
      <c r="G3780">
        <f>""</f>
        <v/>
      </c>
      <c r="H3780">
        <f>"High"</f>
        <v/>
      </c>
      <c r="I3780">
        <f>TRIM(IF(LEN(IF(LEN(INDEX('Providers'!$X$4:$X$503,277))=0,"",INDEX('Providers'!$X$4:$X$503,277)))=0,"","Facility: "&amp;IF(LEN(INDEX('Providers'!$X$4:$X$503,277))=0,"",INDEX('Providers'!$X$4:$X$503,277))&amp;". "))</f>
        <v/>
      </c>
      <c r="J3780">
        <f>IF(LEN(INDEX('Providers'!$AJ$4:$AJ$503,277))=0,"",INDEX('Providers'!$AJ$4:$AJ$503,277))</f>
        <v/>
      </c>
      <c r="K3780">
        <f>IF(LEN(INDEX('Providers'!$AI$4:$AI$503,277))=0,"",INDEX('Providers'!$AI$4:$AI$503,277))</f>
        <v/>
      </c>
    </row>
    <row r="3781">
      <c r="A3781">
        <f>IF(AND(LEN('Providers'!A281)&gt;0,ISNUMBER('Providers'!Y281)),1,0)</f>
        <v/>
      </c>
      <c r="B3781">
        <f>B3780+A3781</f>
        <v/>
      </c>
      <c r="C3781">
        <f>IF(3778&gt;$B$4503,"",MATCH(3778-0.5,$B$3:$B$4503,1))</f>
        <v/>
      </c>
      <c r="D3781">
        <f>"Privileges reappointment – "&amp;IF(LEN(INDEX('Providers'!$A$4:$A$503,278))=0,"",INDEX('Providers'!$A$4:$A$503,278))</f>
        <v/>
      </c>
      <c r="E3781">
        <f>IF(ISNUMBER(INDEX('Providers'!$Y$4:$Y$503,278)),TEXT(INDEX('Providers'!$Y$4:$Y$503,278),"yyyy-mm-dd"),"")</f>
        <v/>
      </c>
      <c r="F3781">
        <f>"Credentialing"</f>
        <v/>
      </c>
      <c r="G3781">
        <f>""</f>
        <v/>
      </c>
      <c r="H3781">
        <f>"High"</f>
        <v/>
      </c>
      <c r="I3781">
        <f>TRIM(IF(LEN(IF(LEN(INDEX('Providers'!$X$4:$X$503,278))=0,"",INDEX('Providers'!$X$4:$X$503,278)))=0,"","Facility: "&amp;IF(LEN(INDEX('Providers'!$X$4:$X$503,278))=0,"",INDEX('Providers'!$X$4:$X$503,278))&amp;". "))</f>
        <v/>
      </c>
      <c r="J3781">
        <f>IF(LEN(INDEX('Providers'!$AJ$4:$AJ$503,278))=0,"",INDEX('Providers'!$AJ$4:$AJ$503,278))</f>
        <v/>
      </c>
      <c r="K3781">
        <f>IF(LEN(INDEX('Providers'!$AI$4:$AI$503,278))=0,"",INDEX('Providers'!$AI$4:$AI$503,278))</f>
        <v/>
      </c>
    </row>
    <row r="3782">
      <c r="A3782">
        <f>IF(AND(LEN('Providers'!A282)&gt;0,ISNUMBER('Providers'!Y282)),1,0)</f>
        <v/>
      </c>
      <c r="B3782">
        <f>B3781+A3782</f>
        <v/>
      </c>
      <c r="C3782">
        <f>IF(3779&gt;$B$4503,"",MATCH(3779-0.5,$B$3:$B$4503,1))</f>
        <v/>
      </c>
      <c r="D3782">
        <f>"Privileges reappointment – "&amp;IF(LEN(INDEX('Providers'!$A$4:$A$503,279))=0,"",INDEX('Providers'!$A$4:$A$503,279))</f>
        <v/>
      </c>
      <c r="E3782">
        <f>IF(ISNUMBER(INDEX('Providers'!$Y$4:$Y$503,279)),TEXT(INDEX('Providers'!$Y$4:$Y$503,279),"yyyy-mm-dd"),"")</f>
        <v/>
      </c>
      <c r="F3782">
        <f>"Credentialing"</f>
        <v/>
      </c>
      <c r="G3782">
        <f>""</f>
        <v/>
      </c>
      <c r="H3782">
        <f>"High"</f>
        <v/>
      </c>
      <c r="I3782">
        <f>TRIM(IF(LEN(IF(LEN(INDEX('Providers'!$X$4:$X$503,279))=0,"",INDEX('Providers'!$X$4:$X$503,279)))=0,"","Facility: "&amp;IF(LEN(INDEX('Providers'!$X$4:$X$503,279))=0,"",INDEX('Providers'!$X$4:$X$503,279))&amp;". "))</f>
        <v/>
      </c>
      <c r="J3782">
        <f>IF(LEN(INDEX('Providers'!$AJ$4:$AJ$503,279))=0,"",INDEX('Providers'!$AJ$4:$AJ$503,279))</f>
        <v/>
      </c>
      <c r="K3782">
        <f>IF(LEN(INDEX('Providers'!$AI$4:$AI$503,279))=0,"",INDEX('Providers'!$AI$4:$AI$503,279))</f>
        <v/>
      </c>
    </row>
    <row r="3783">
      <c r="A3783">
        <f>IF(AND(LEN('Providers'!A283)&gt;0,ISNUMBER('Providers'!Y283)),1,0)</f>
        <v/>
      </c>
      <c r="B3783">
        <f>B3782+A3783</f>
        <v/>
      </c>
      <c r="C3783">
        <f>IF(3780&gt;$B$4503,"",MATCH(3780-0.5,$B$3:$B$4503,1))</f>
        <v/>
      </c>
      <c r="D3783">
        <f>"Privileges reappointment – "&amp;IF(LEN(INDEX('Providers'!$A$4:$A$503,280))=0,"",INDEX('Providers'!$A$4:$A$503,280))</f>
        <v/>
      </c>
      <c r="E3783">
        <f>IF(ISNUMBER(INDEX('Providers'!$Y$4:$Y$503,280)),TEXT(INDEX('Providers'!$Y$4:$Y$503,280),"yyyy-mm-dd"),"")</f>
        <v/>
      </c>
      <c r="F3783">
        <f>"Credentialing"</f>
        <v/>
      </c>
      <c r="G3783">
        <f>""</f>
        <v/>
      </c>
      <c r="H3783">
        <f>"High"</f>
        <v/>
      </c>
      <c r="I3783">
        <f>TRIM(IF(LEN(IF(LEN(INDEX('Providers'!$X$4:$X$503,280))=0,"",INDEX('Providers'!$X$4:$X$503,280)))=0,"","Facility: "&amp;IF(LEN(INDEX('Providers'!$X$4:$X$503,280))=0,"",INDEX('Providers'!$X$4:$X$503,280))&amp;". "))</f>
        <v/>
      </c>
      <c r="J3783">
        <f>IF(LEN(INDEX('Providers'!$AJ$4:$AJ$503,280))=0,"",INDEX('Providers'!$AJ$4:$AJ$503,280))</f>
        <v/>
      </c>
      <c r="K3783">
        <f>IF(LEN(INDEX('Providers'!$AI$4:$AI$503,280))=0,"",INDEX('Providers'!$AI$4:$AI$503,280))</f>
        <v/>
      </c>
    </row>
    <row r="3784">
      <c r="A3784">
        <f>IF(AND(LEN('Providers'!A284)&gt;0,ISNUMBER('Providers'!Y284)),1,0)</f>
        <v/>
      </c>
      <c r="B3784">
        <f>B3783+A3784</f>
        <v/>
      </c>
      <c r="C3784">
        <f>IF(3781&gt;$B$4503,"",MATCH(3781-0.5,$B$3:$B$4503,1))</f>
        <v/>
      </c>
      <c r="D3784">
        <f>"Privileges reappointment – "&amp;IF(LEN(INDEX('Providers'!$A$4:$A$503,281))=0,"",INDEX('Providers'!$A$4:$A$503,281))</f>
        <v/>
      </c>
      <c r="E3784">
        <f>IF(ISNUMBER(INDEX('Providers'!$Y$4:$Y$503,281)),TEXT(INDEX('Providers'!$Y$4:$Y$503,281),"yyyy-mm-dd"),"")</f>
        <v/>
      </c>
      <c r="F3784">
        <f>"Credentialing"</f>
        <v/>
      </c>
      <c r="G3784">
        <f>""</f>
        <v/>
      </c>
      <c r="H3784">
        <f>"High"</f>
        <v/>
      </c>
      <c r="I3784">
        <f>TRIM(IF(LEN(IF(LEN(INDEX('Providers'!$X$4:$X$503,281))=0,"",INDEX('Providers'!$X$4:$X$503,281)))=0,"","Facility: "&amp;IF(LEN(INDEX('Providers'!$X$4:$X$503,281))=0,"",INDEX('Providers'!$X$4:$X$503,281))&amp;". "))</f>
        <v/>
      </c>
      <c r="J3784">
        <f>IF(LEN(INDEX('Providers'!$AJ$4:$AJ$503,281))=0,"",INDEX('Providers'!$AJ$4:$AJ$503,281))</f>
        <v/>
      </c>
      <c r="K3784">
        <f>IF(LEN(INDEX('Providers'!$AI$4:$AI$503,281))=0,"",INDEX('Providers'!$AI$4:$AI$503,281))</f>
        <v/>
      </c>
    </row>
    <row r="3785">
      <c r="A3785">
        <f>IF(AND(LEN('Providers'!A285)&gt;0,ISNUMBER('Providers'!Y285)),1,0)</f>
        <v/>
      </c>
      <c r="B3785">
        <f>B3784+A3785</f>
        <v/>
      </c>
      <c r="C3785">
        <f>IF(3782&gt;$B$4503,"",MATCH(3782-0.5,$B$3:$B$4503,1))</f>
        <v/>
      </c>
      <c r="D3785">
        <f>"Privileges reappointment – "&amp;IF(LEN(INDEX('Providers'!$A$4:$A$503,282))=0,"",INDEX('Providers'!$A$4:$A$503,282))</f>
        <v/>
      </c>
      <c r="E3785">
        <f>IF(ISNUMBER(INDEX('Providers'!$Y$4:$Y$503,282)),TEXT(INDEX('Providers'!$Y$4:$Y$503,282),"yyyy-mm-dd"),"")</f>
        <v/>
      </c>
      <c r="F3785">
        <f>"Credentialing"</f>
        <v/>
      </c>
      <c r="G3785">
        <f>""</f>
        <v/>
      </c>
      <c r="H3785">
        <f>"High"</f>
        <v/>
      </c>
      <c r="I3785">
        <f>TRIM(IF(LEN(IF(LEN(INDEX('Providers'!$X$4:$X$503,282))=0,"",INDEX('Providers'!$X$4:$X$503,282)))=0,"","Facility: "&amp;IF(LEN(INDEX('Providers'!$X$4:$X$503,282))=0,"",INDEX('Providers'!$X$4:$X$503,282))&amp;". "))</f>
        <v/>
      </c>
      <c r="J3785">
        <f>IF(LEN(INDEX('Providers'!$AJ$4:$AJ$503,282))=0,"",INDEX('Providers'!$AJ$4:$AJ$503,282))</f>
        <v/>
      </c>
      <c r="K3785">
        <f>IF(LEN(INDEX('Providers'!$AI$4:$AI$503,282))=0,"",INDEX('Providers'!$AI$4:$AI$503,282))</f>
        <v/>
      </c>
    </row>
    <row r="3786">
      <c r="A3786">
        <f>IF(AND(LEN('Providers'!A286)&gt;0,ISNUMBER('Providers'!Y286)),1,0)</f>
        <v/>
      </c>
      <c r="B3786">
        <f>B3785+A3786</f>
        <v/>
      </c>
      <c r="C3786">
        <f>IF(3783&gt;$B$4503,"",MATCH(3783-0.5,$B$3:$B$4503,1))</f>
        <v/>
      </c>
      <c r="D3786">
        <f>"Privileges reappointment – "&amp;IF(LEN(INDEX('Providers'!$A$4:$A$503,283))=0,"",INDEX('Providers'!$A$4:$A$503,283))</f>
        <v/>
      </c>
      <c r="E3786">
        <f>IF(ISNUMBER(INDEX('Providers'!$Y$4:$Y$503,283)),TEXT(INDEX('Providers'!$Y$4:$Y$503,283),"yyyy-mm-dd"),"")</f>
        <v/>
      </c>
      <c r="F3786">
        <f>"Credentialing"</f>
        <v/>
      </c>
      <c r="G3786">
        <f>""</f>
        <v/>
      </c>
      <c r="H3786">
        <f>"High"</f>
        <v/>
      </c>
      <c r="I3786">
        <f>TRIM(IF(LEN(IF(LEN(INDEX('Providers'!$X$4:$X$503,283))=0,"",INDEX('Providers'!$X$4:$X$503,283)))=0,"","Facility: "&amp;IF(LEN(INDEX('Providers'!$X$4:$X$503,283))=0,"",INDEX('Providers'!$X$4:$X$503,283))&amp;". "))</f>
        <v/>
      </c>
      <c r="J3786">
        <f>IF(LEN(INDEX('Providers'!$AJ$4:$AJ$503,283))=0,"",INDEX('Providers'!$AJ$4:$AJ$503,283))</f>
        <v/>
      </c>
      <c r="K3786">
        <f>IF(LEN(INDEX('Providers'!$AI$4:$AI$503,283))=0,"",INDEX('Providers'!$AI$4:$AI$503,283))</f>
        <v/>
      </c>
    </row>
    <row r="3787">
      <c r="A3787">
        <f>IF(AND(LEN('Providers'!A287)&gt;0,ISNUMBER('Providers'!Y287)),1,0)</f>
        <v/>
      </c>
      <c r="B3787">
        <f>B3786+A3787</f>
        <v/>
      </c>
      <c r="C3787">
        <f>IF(3784&gt;$B$4503,"",MATCH(3784-0.5,$B$3:$B$4503,1))</f>
        <v/>
      </c>
      <c r="D3787">
        <f>"Privileges reappointment – "&amp;IF(LEN(INDEX('Providers'!$A$4:$A$503,284))=0,"",INDEX('Providers'!$A$4:$A$503,284))</f>
        <v/>
      </c>
      <c r="E3787">
        <f>IF(ISNUMBER(INDEX('Providers'!$Y$4:$Y$503,284)),TEXT(INDEX('Providers'!$Y$4:$Y$503,284),"yyyy-mm-dd"),"")</f>
        <v/>
      </c>
      <c r="F3787">
        <f>"Credentialing"</f>
        <v/>
      </c>
      <c r="G3787">
        <f>""</f>
        <v/>
      </c>
      <c r="H3787">
        <f>"High"</f>
        <v/>
      </c>
      <c r="I3787">
        <f>TRIM(IF(LEN(IF(LEN(INDEX('Providers'!$X$4:$X$503,284))=0,"",INDEX('Providers'!$X$4:$X$503,284)))=0,"","Facility: "&amp;IF(LEN(INDEX('Providers'!$X$4:$X$503,284))=0,"",INDEX('Providers'!$X$4:$X$503,284))&amp;". "))</f>
        <v/>
      </c>
      <c r="J3787">
        <f>IF(LEN(INDEX('Providers'!$AJ$4:$AJ$503,284))=0,"",INDEX('Providers'!$AJ$4:$AJ$503,284))</f>
        <v/>
      </c>
      <c r="K3787">
        <f>IF(LEN(INDEX('Providers'!$AI$4:$AI$503,284))=0,"",INDEX('Providers'!$AI$4:$AI$503,284))</f>
        <v/>
      </c>
    </row>
    <row r="3788">
      <c r="A3788">
        <f>IF(AND(LEN('Providers'!A288)&gt;0,ISNUMBER('Providers'!Y288)),1,0)</f>
        <v/>
      </c>
      <c r="B3788">
        <f>B3787+A3788</f>
        <v/>
      </c>
      <c r="C3788">
        <f>IF(3785&gt;$B$4503,"",MATCH(3785-0.5,$B$3:$B$4503,1))</f>
        <v/>
      </c>
      <c r="D3788">
        <f>"Privileges reappointment – "&amp;IF(LEN(INDEX('Providers'!$A$4:$A$503,285))=0,"",INDEX('Providers'!$A$4:$A$503,285))</f>
        <v/>
      </c>
      <c r="E3788">
        <f>IF(ISNUMBER(INDEX('Providers'!$Y$4:$Y$503,285)),TEXT(INDEX('Providers'!$Y$4:$Y$503,285),"yyyy-mm-dd"),"")</f>
        <v/>
      </c>
      <c r="F3788">
        <f>"Credentialing"</f>
        <v/>
      </c>
      <c r="G3788">
        <f>""</f>
        <v/>
      </c>
      <c r="H3788">
        <f>"High"</f>
        <v/>
      </c>
      <c r="I3788">
        <f>TRIM(IF(LEN(IF(LEN(INDEX('Providers'!$X$4:$X$503,285))=0,"",INDEX('Providers'!$X$4:$X$503,285)))=0,"","Facility: "&amp;IF(LEN(INDEX('Providers'!$X$4:$X$503,285))=0,"",INDEX('Providers'!$X$4:$X$503,285))&amp;". "))</f>
        <v/>
      </c>
      <c r="J3788">
        <f>IF(LEN(INDEX('Providers'!$AJ$4:$AJ$503,285))=0,"",INDEX('Providers'!$AJ$4:$AJ$503,285))</f>
        <v/>
      </c>
      <c r="K3788">
        <f>IF(LEN(INDEX('Providers'!$AI$4:$AI$503,285))=0,"",INDEX('Providers'!$AI$4:$AI$503,285))</f>
        <v/>
      </c>
    </row>
    <row r="3789">
      <c r="A3789">
        <f>IF(AND(LEN('Providers'!A289)&gt;0,ISNUMBER('Providers'!Y289)),1,0)</f>
        <v/>
      </c>
      <c r="B3789">
        <f>B3788+A3789</f>
        <v/>
      </c>
      <c r="C3789">
        <f>IF(3786&gt;$B$4503,"",MATCH(3786-0.5,$B$3:$B$4503,1))</f>
        <v/>
      </c>
      <c r="D3789">
        <f>"Privileges reappointment – "&amp;IF(LEN(INDEX('Providers'!$A$4:$A$503,286))=0,"",INDEX('Providers'!$A$4:$A$503,286))</f>
        <v/>
      </c>
      <c r="E3789">
        <f>IF(ISNUMBER(INDEX('Providers'!$Y$4:$Y$503,286)),TEXT(INDEX('Providers'!$Y$4:$Y$503,286),"yyyy-mm-dd"),"")</f>
        <v/>
      </c>
      <c r="F3789">
        <f>"Credentialing"</f>
        <v/>
      </c>
      <c r="G3789">
        <f>""</f>
        <v/>
      </c>
      <c r="H3789">
        <f>"High"</f>
        <v/>
      </c>
      <c r="I3789">
        <f>TRIM(IF(LEN(IF(LEN(INDEX('Providers'!$X$4:$X$503,286))=0,"",INDEX('Providers'!$X$4:$X$503,286)))=0,"","Facility: "&amp;IF(LEN(INDEX('Providers'!$X$4:$X$503,286))=0,"",INDEX('Providers'!$X$4:$X$503,286))&amp;". "))</f>
        <v/>
      </c>
      <c r="J3789">
        <f>IF(LEN(INDEX('Providers'!$AJ$4:$AJ$503,286))=0,"",INDEX('Providers'!$AJ$4:$AJ$503,286))</f>
        <v/>
      </c>
      <c r="K3789">
        <f>IF(LEN(INDEX('Providers'!$AI$4:$AI$503,286))=0,"",INDEX('Providers'!$AI$4:$AI$503,286))</f>
        <v/>
      </c>
    </row>
    <row r="3790">
      <c r="A3790">
        <f>IF(AND(LEN('Providers'!A290)&gt;0,ISNUMBER('Providers'!Y290)),1,0)</f>
        <v/>
      </c>
      <c r="B3790">
        <f>B3789+A3790</f>
        <v/>
      </c>
      <c r="C3790">
        <f>IF(3787&gt;$B$4503,"",MATCH(3787-0.5,$B$3:$B$4503,1))</f>
        <v/>
      </c>
      <c r="D3790">
        <f>"Privileges reappointment – "&amp;IF(LEN(INDEX('Providers'!$A$4:$A$503,287))=0,"",INDEX('Providers'!$A$4:$A$503,287))</f>
        <v/>
      </c>
      <c r="E3790">
        <f>IF(ISNUMBER(INDEX('Providers'!$Y$4:$Y$503,287)),TEXT(INDEX('Providers'!$Y$4:$Y$503,287),"yyyy-mm-dd"),"")</f>
        <v/>
      </c>
      <c r="F3790">
        <f>"Credentialing"</f>
        <v/>
      </c>
      <c r="G3790">
        <f>""</f>
        <v/>
      </c>
      <c r="H3790">
        <f>"High"</f>
        <v/>
      </c>
      <c r="I3790">
        <f>TRIM(IF(LEN(IF(LEN(INDEX('Providers'!$X$4:$X$503,287))=0,"",INDEX('Providers'!$X$4:$X$503,287)))=0,"","Facility: "&amp;IF(LEN(INDEX('Providers'!$X$4:$X$503,287))=0,"",INDEX('Providers'!$X$4:$X$503,287))&amp;". "))</f>
        <v/>
      </c>
      <c r="J3790">
        <f>IF(LEN(INDEX('Providers'!$AJ$4:$AJ$503,287))=0,"",INDEX('Providers'!$AJ$4:$AJ$503,287))</f>
        <v/>
      </c>
      <c r="K3790">
        <f>IF(LEN(INDEX('Providers'!$AI$4:$AI$503,287))=0,"",INDEX('Providers'!$AI$4:$AI$503,287))</f>
        <v/>
      </c>
    </row>
    <row r="3791">
      <c r="A3791">
        <f>IF(AND(LEN('Providers'!A291)&gt;0,ISNUMBER('Providers'!Y291)),1,0)</f>
        <v/>
      </c>
      <c r="B3791">
        <f>B3790+A3791</f>
        <v/>
      </c>
      <c r="C3791">
        <f>IF(3788&gt;$B$4503,"",MATCH(3788-0.5,$B$3:$B$4503,1))</f>
        <v/>
      </c>
      <c r="D3791">
        <f>"Privileges reappointment – "&amp;IF(LEN(INDEX('Providers'!$A$4:$A$503,288))=0,"",INDEX('Providers'!$A$4:$A$503,288))</f>
        <v/>
      </c>
      <c r="E3791">
        <f>IF(ISNUMBER(INDEX('Providers'!$Y$4:$Y$503,288)),TEXT(INDEX('Providers'!$Y$4:$Y$503,288),"yyyy-mm-dd"),"")</f>
        <v/>
      </c>
      <c r="F3791">
        <f>"Credentialing"</f>
        <v/>
      </c>
      <c r="G3791">
        <f>""</f>
        <v/>
      </c>
      <c r="H3791">
        <f>"High"</f>
        <v/>
      </c>
      <c r="I3791">
        <f>TRIM(IF(LEN(IF(LEN(INDEX('Providers'!$X$4:$X$503,288))=0,"",INDEX('Providers'!$X$4:$X$503,288)))=0,"","Facility: "&amp;IF(LEN(INDEX('Providers'!$X$4:$X$503,288))=0,"",INDEX('Providers'!$X$4:$X$503,288))&amp;". "))</f>
        <v/>
      </c>
      <c r="J3791">
        <f>IF(LEN(INDEX('Providers'!$AJ$4:$AJ$503,288))=0,"",INDEX('Providers'!$AJ$4:$AJ$503,288))</f>
        <v/>
      </c>
      <c r="K3791">
        <f>IF(LEN(INDEX('Providers'!$AI$4:$AI$503,288))=0,"",INDEX('Providers'!$AI$4:$AI$503,288))</f>
        <v/>
      </c>
    </row>
    <row r="3792">
      <c r="A3792">
        <f>IF(AND(LEN('Providers'!A292)&gt;0,ISNUMBER('Providers'!Y292)),1,0)</f>
        <v/>
      </c>
      <c r="B3792">
        <f>B3791+A3792</f>
        <v/>
      </c>
      <c r="C3792">
        <f>IF(3789&gt;$B$4503,"",MATCH(3789-0.5,$B$3:$B$4503,1))</f>
        <v/>
      </c>
      <c r="D3792">
        <f>"Privileges reappointment – "&amp;IF(LEN(INDEX('Providers'!$A$4:$A$503,289))=0,"",INDEX('Providers'!$A$4:$A$503,289))</f>
        <v/>
      </c>
      <c r="E3792">
        <f>IF(ISNUMBER(INDEX('Providers'!$Y$4:$Y$503,289)),TEXT(INDEX('Providers'!$Y$4:$Y$503,289),"yyyy-mm-dd"),"")</f>
        <v/>
      </c>
      <c r="F3792">
        <f>"Credentialing"</f>
        <v/>
      </c>
      <c r="G3792">
        <f>""</f>
        <v/>
      </c>
      <c r="H3792">
        <f>"High"</f>
        <v/>
      </c>
      <c r="I3792">
        <f>TRIM(IF(LEN(IF(LEN(INDEX('Providers'!$X$4:$X$503,289))=0,"",INDEX('Providers'!$X$4:$X$503,289)))=0,"","Facility: "&amp;IF(LEN(INDEX('Providers'!$X$4:$X$503,289))=0,"",INDEX('Providers'!$X$4:$X$503,289))&amp;". "))</f>
        <v/>
      </c>
      <c r="J3792">
        <f>IF(LEN(INDEX('Providers'!$AJ$4:$AJ$503,289))=0,"",INDEX('Providers'!$AJ$4:$AJ$503,289))</f>
        <v/>
      </c>
      <c r="K3792">
        <f>IF(LEN(INDEX('Providers'!$AI$4:$AI$503,289))=0,"",INDEX('Providers'!$AI$4:$AI$503,289))</f>
        <v/>
      </c>
    </row>
    <row r="3793">
      <c r="A3793">
        <f>IF(AND(LEN('Providers'!A293)&gt;0,ISNUMBER('Providers'!Y293)),1,0)</f>
        <v/>
      </c>
      <c r="B3793">
        <f>B3792+A3793</f>
        <v/>
      </c>
      <c r="C3793">
        <f>IF(3790&gt;$B$4503,"",MATCH(3790-0.5,$B$3:$B$4503,1))</f>
        <v/>
      </c>
      <c r="D3793">
        <f>"Privileges reappointment – "&amp;IF(LEN(INDEX('Providers'!$A$4:$A$503,290))=0,"",INDEX('Providers'!$A$4:$A$503,290))</f>
        <v/>
      </c>
      <c r="E3793">
        <f>IF(ISNUMBER(INDEX('Providers'!$Y$4:$Y$503,290)),TEXT(INDEX('Providers'!$Y$4:$Y$503,290),"yyyy-mm-dd"),"")</f>
        <v/>
      </c>
      <c r="F3793">
        <f>"Credentialing"</f>
        <v/>
      </c>
      <c r="G3793">
        <f>""</f>
        <v/>
      </c>
      <c r="H3793">
        <f>"High"</f>
        <v/>
      </c>
      <c r="I3793">
        <f>TRIM(IF(LEN(IF(LEN(INDEX('Providers'!$X$4:$X$503,290))=0,"",INDEX('Providers'!$X$4:$X$503,290)))=0,"","Facility: "&amp;IF(LEN(INDEX('Providers'!$X$4:$X$503,290))=0,"",INDEX('Providers'!$X$4:$X$503,290))&amp;". "))</f>
        <v/>
      </c>
      <c r="J3793">
        <f>IF(LEN(INDEX('Providers'!$AJ$4:$AJ$503,290))=0,"",INDEX('Providers'!$AJ$4:$AJ$503,290))</f>
        <v/>
      </c>
      <c r="K3793">
        <f>IF(LEN(INDEX('Providers'!$AI$4:$AI$503,290))=0,"",INDEX('Providers'!$AI$4:$AI$503,290))</f>
        <v/>
      </c>
    </row>
    <row r="3794">
      <c r="A3794">
        <f>IF(AND(LEN('Providers'!A294)&gt;0,ISNUMBER('Providers'!Y294)),1,0)</f>
        <v/>
      </c>
      <c r="B3794">
        <f>B3793+A3794</f>
        <v/>
      </c>
      <c r="C3794">
        <f>IF(3791&gt;$B$4503,"",MATCH(3791-0.5,$B$3:$B$4503,1))</f>
        <v/>
      </c>
      <c r="D3794">
        <f>"Privileges reappointment – "&amp;IF(LEN(INDEX('Providers'!$A$4:$A$503,291))=0,"",INDEX('Providers'!$A$4:$A$503,291))</f>
        <v/>
      </c>
      <c r="E3794">
        <f>IF(ISNUMBER(INDEX('Providers'!$Y$4:$Y$503,291)),TEXT(INDEX('Providers'!$Y$4:$Y$503,291),"yyyy-mm-dd"),"")</f>
        <v/>
      </c>
      <c r="F3794">
        <f>"Credentialing"</f>
        <v/>
      </c>
      <c r="G3794">
        <f>""</f>
        <v/>
      </c>
      <c r="H3794">
        <f>"High"</f>
        <v/>
      </c>
      <c r="I3794">
        <f>TRIM(IF(LEN(IF(LEN(INDEX('Providers'!$X$4:$X$503,291))=0,"",INDEX('Providers'!$X$4:$X$503,291)))=0,"","Facility: "&amp;IF(LEN(INDEX('Providers'!$X$4:$X$503,291))=0,"",INDEX('Providers'!$X$4:$X$503,291))&amp;". "))</f>
        <v/>
      </c>
      <c r="J3794">
        <f>IF(LEN(INDEX('Providers'!$AJ$4:$AJ$503,291))=0,"",INDEX('Providers'!$AJ$4:$AJ$503,291))</f>
        <v/>
      </c>
      <c r="K3794">
        <f>IF(LEN(INDEX('Providers'!$AI$4:$AI$503,291))=0,"",INDEX('Providers'!$AI$4:$AI$503,291))</f>
        <v/>
      </c>
    </row>
    <row r="3795">
      <c r="A3795">
        <f>IF(AND(LEN('Providers'!A295)&gt;0,ISNUMBER('Providers'!Y295)),1,0)</f>
        <v/>
      </c>
      <c r="B3795">
        <f>B3794+A3795</f>
        <v/>
      </c>
      <c r="C3795">
        <f>IF(3792&gt;$B$4503,"",MATCH(3792-0.5,$B$3:$B$4503,1))</f>
        <v/>
      </c>
      <c r="D3795">
        <f>"Privileges reappointment – "&amp;IF(LEN(INDEX('Providers'!$A$4:$A$503,292))=0,"",INDEX('Providers'!$A$4:$A$503,292))</f>
        <v/>
      </c>
      <c r="E3795">
        <f>IF(ISNUMBER(INDEX('Providers'!$Y$4:$Y$503,292)),TEXT(INDEX('Providers'!$Y$4:$Y$503,292),"yyyy-mm-dd"),"")</f>
        <v/>
      </c>
      <c r="F3795">
        <f>"Credentialing"</f>
        <v/>
      </c>
      <c r="G3795">
        <f>""</f>
        <v/>
      </c>
      <c r="H3795">
        <f>"High"</f>
        <v/>
      </c>
      <c r="I3795">
        <f>TRIM(IF(LEN(IF(LEN(INDEX('Providers'!$X$4:$X$503,292))=0,"",INDEX('Providers'!$X$4:$X$503,292)))=0,"","Facility: "&amp;IF(LEN(INDEX('Providers'!$X$4:$X$503,292))=0,"",INDEX('Providers'!$X$4:$X$503,292))&amp;". "))</f>
        <v/>
      </c>
      <c r="J3795">
        <f>IF(LEN(INDEX('Providers'!$AJ$4:$AJ$503,292))=0,"",INDEX('Providers'!$AJ$4:$AJ$503,292))</f>
        <v/>
      </c>
      <c r="K3795">
        <f>IF(LEN(INDEX('Providers'!$AI$4:$AI$503,292))=0,"",INDEX('Providers'!$AI$4:$AI$503,292))</f>
        <v/>
      </c>
    </row>
    <row r="3796">
      <c r="A3796">
        <f>IF(AND(LEN('Providers'!A296)&gt;0,ISNUMBER('Providers'!Y296)),1,0)</f>
        <v/>
      </c>
      <c r="B3796">
        <f>B3795+A3796</f>
        <v/>
      </c>
      <c r="C3796">
        <f>IF(3793&gt;$B$4503,"",MATCH(3793-0.5,$B$3:$B$4503,1))</f>
        <v/>
      </c>
      <c r="D3796">
        <f>"Privileges reappointment – "&amp;IF(LEN(INDEX('Providers'!$A$4:$A$503,293))=0,"",INDEX('Providers'!$A$4:$A$503,293))</f>
        <v/>
      </c>
      <c r="E3796">
        <f>IF(ISNUMBER(INDEX('Providers'!$Y$4:$Y$503,293)),TEXT(INDEX('Providers'!$Y$4:$Y$503,293),"yyyy-mm-dd"),"")</f>
        <v/>
      </c>
      <c r="F3796">
        <f>"Credentialing"</f>
        <v/>
      </c>
      <c r="G3796">
        <f>""</f>
        <v/>
      </c>
      <c r="H3796">
        <f>"High"</f>
        <v/>
      </c>
      <c r="I3796">
        <f>TRIM(IF(LEN(IF(LEN(INDEX('Providers'!$X$4:$X$503,293))=0,"",INDEX('Providers'!$X$4:$X$503,293)))=0,"","Facility: "&amp;IF(LEN(INDEX('Providers'!$X$4:$X$503,293))=0,"",INDEX('Providers'!$X$4:$X$503,293))&amp;". "))</f>
        <v/>
      </c>
      <c r="J3796">
        <f>IF(LEN(INDEX('Providers'!$AJ$4:$AJ$503,293))=0,"",INDEX('Providers'!$AJ$4:$AJ$503,293))</f>
        <v/>
      </c>
      <c r="K3796">
        <f>IF(LEN(INDEX('Providers'!$AI$4:$AI$503,293))=0,"",INDEX('Providers'!$AI$4:$AI$503,293))</f>
        <v/>
      </c>
    </row>
    <row r="3797">
      <c r="A3797">
        <f>IF(AND(LEN('Providers'!A297)&gt;0,ISNUMBER('Providers'!Y297)),1,0)</f>
        <v/>
      </c>
      <c r="B3797">
        <f>B3796+A3797</f>
        <v/>
      </c>
      <c r="C3797">
        <f>IF(3794&gt;$B$4503,"",MATCH(3794-0.5,$B$3:$B$4503,1))</f>
        <v/>
      </c>
      <c r="D3797">
        <f>"Privileges reappointment – "&amp;IF(LEN(INDEX('Providers'!$A$4:$A$503,294))=0,"",INDEX('Providers'!$A$4:$A$503,294))</f>
        <v/>
      </c>
      <c r="E3797">
        <f>IF(ISNUMBER(INDEX('Providers'!$Y$4:$Y$503,294)),TEXT(INDEX('Providers'!$Y$4:$Y$503,294),"yyyy-mm-dd"),"")</f>
        <v/>
      </c>
      <c r="F3797">
        <f>"Credentialing"</f>
        <v/>
      </c>
      <c r="G3797">
        <f>""</f>
        <v/>
      </c>
      <c r="H3797">
        <f>"High"</f>
        <v/>
      </c>
      <c r="I3797">
        <f>TRIM(IF(LEN(IF(LEN(INDEX('Providers'!$X$4:$X$503,294))=0,"",INDEX('Providers'!$X$4:$X$503,294)))=0,"","Facility: "&amp;IF(LEN(INDEX('Providers'!$X$4:$X$503,294))=0,"",INDEX('Providers'!$X$4:$X$503,294))&amp;". "))</f>
        <v/>
      </c>
      <c r="J3797">
        <f>IF(LEN(INDEX('Providers'!$AJ$4:$AJ$503,294))=0,"",INDEX('Providers'!$AJ$4:$AJ$503,294))</f>
        <v/>
      </c>
      <c r="K3797">
        <f>IF(LEN(INDEX('Providers'!$AI$4:$AI$503,294))=0,"",INDEX('Providers'!$AI$4:$AI$503,294))</f>
        <v/>
      </c>
    </row>
    <row r="3798">
      <c r="A3798">
        <f>IF(AND(LEN('Providers'!A298)&gt;0,ISNUMBER('Providers'!Y298)),1,0)</f>
        <v/>
      </c>
      <c r="B3798">
        <f>B3797+A3798</f>
        <v/>
      </c>
      <c r="C3798">
        <f>IF(3795&gt;$B$4503,"",MATCH(3795-0.5,$B$3:$B$4503,1))</f>
        <v/>
      </c>
      <c r="D3798">
        <f>"Privileges reappointment – "&amp;IF(LEN(INDEX('Providers'!$A$4:$A$503,295))=0,"",INDEX('Providers'!$A$4:$A$503,295))</f>
        <v/>
      </c>
      <c r="E3798">
        <f>IF(ISNUMBER(INDEX('Providers'!$Y$4:$Y$503,295)),TEXT(INDEX('Providers'!$Y$4:$Y$503,295),"yyyy-mm-dd"),"")</f>
        <v/>
      </c>
      <c r="F3798">
        <f>"Credentialing"</f>
        <v/>
      </c>
      <c r="G3798">
        <f>""</f>
        <v/>
      </c>
      <c r="H3798">
        <f>"High"</f>
        <v/>
      </c>
      <c r="I3798">
        <f>TRIM(IF(LEN(IF(LEN(INDEX('Providers'!$X$4:$X$503,295))=0,"",INDEX('Providers'!$X$4:$X$503,295)))=0,"","Facility: "&amp;IF(LEN(INDEX('Providers'!$X$4:$X$503,295))=0,"",INDEX('Providers'!$X$4:$X$503,295))&amp;". "))</f>
        <v/>
      </c>
      <c r="J3798">
        <f>IF(LEN(INDEX('Providers'!$AJ$4:$AJ$503,295))=0,"",INDEX('Providers'!$AJ$4:$AJ$503,295))</f>
        <v/>
      </c>
      <c r="K3798">
        <f>IF(LEN(INDEX('Providers'!$AI$4:$AI$503,295))=0,"",INDEX('Providers'!$AI$4:$AI$503,295))</f>
        <v/>
      </c>
    </row>
    <row r="3799">
      <c r="A3799">
        <f>IF(AND(LEN('Providers'!A299)&gt;0,ISNUMBER('Providers'!Y299)),1,0)</f>
        <v/>
      </c>
      <c r="B3799">
        <f>B3798+A3799</f>
        <v/>
      </c>
      <c r="C3799">
        <f>IF(3796&gt;$B$4503,"",MATCH(3796-0.5,$B$3:$B$4503,1))</f>
        <v/>
      </c>
      <c r="D3799">
        <f>"Privileges reappointment – "&amp;IF(LEN(INDEX('Providers'!$A$4:$A$503,296))=0,"",INDEX('Providers'!$A$4:$A$503,296))</f>
        <v/>
      </c>
      <c r="E3799">
        <f>IF(ISNUMBER(INDEX('Providers'!$Y$4:$Y$503,296)),TEXT(INDEX('Providers'!$Y$4:$Y$503,296),"yyyy-mm-dd"),"")</f>
        <v/>
      </c>
      <c r="F3799">
        <f>"Credentialing"</f>
        <v/>
      </c>
      <c r="G3799">
        <f>""</f>
        <v/>
      </c>
      <c r="H3799">
        <f>"High"</f>
        <v/>
      </c>
      <c r="I3799">
        <f>TRIM(IF(LEN(IF(LEN(INDEX('Providers'!$X$4:$X$503,296))=0,"",INDEX('Providers'!$X$4:$X$503,296)))=0,"","Facility: "&amp;IF(LEN(INDEX('Providers'!$X$4:$X$503,296))=0,"",INDEX('Providers'!$X$4:$X$503,296))&amp;". "))</f>
        <v/>
      </c>
      <c r="J3799">
        <f>IF(LEN(INDEX('Providers'!$AJ$4:$AJ$503,296))=0,"",INDEX('Providers'!$AJ$4:$AJ$503,296))</f>
        <v/>
      </c>
      <c r="K3799">
        <f>IF(LEN(INDEX('Providers'!$AI$4:$AI$503,296))=0,"",INDEX('Providers'!$AI$4:$AI$503,296))</f>
        <v/>
      </c>
    </row>
    <row r="3800">
      <c r="A3800">
        <f>IF(AND(LEN('Providers'!A300)&gt;0,ISNUMBER('Providers'!Y300)),1,0)</f>
        <v/>
      </c>
      <c r="B3800">
        <f>B3799+A3800</f>
        <v/>
      </c>
      <c r="C3800">
        <f>IF(3797&gt;$B$4503,"",MATCH(3797-0.5,$B$3:$B$4503,1))</f>
        <v/>
      </c>
      <c r="D3800">
        <f>"Privileges reappointment – "&amp;IF(LEN(INDEX('Providers'!$A$4:$A$503,297))=0,"",INDEX('Providers'!$A$4:$A$503,297))</f>
        <v/>
      </c>
      <c r="E3800">
        <f>IF(ISNUMBER(INDEX('Providers'!$Y$4:$Y$503,297)),TEXT(INDEX('Providers'!$Y$4:$Y$503,297),"yyyy-mm-dd"),"")</f>
        <v/>
      </c>
      <c r="F3800">
        <f>"Credentialing"</f>
        <v/>
      </c>
      <c r="G3800">
        <f>""</f>
        <v/>
      </c>
      <c r="H3800">
        <f>"High"</f>
        <v/>
      </c>
      <c r="I3800">
        <f>TRIM(IF(LEN(IF(LEN(INDEX('Providers'!$X$4:$X$503,297))=0,"",INDEX('Providers'!$X$4:$X$503,297)))=0,"","Facility: "&amp;IF(LEN(INDEX('Providers'!$X$4:$X$503,297))=0,"",INDEX('Providers'!$X$4:$X$503,297))&amp;". "))</f>
        <v/>
      </c>
      <c r="J3800">
        <f>IF(LEN(INDEX('Providers'!$AJ$4:$AJ$503,297))=0,"",INDEX('Providers'!$AJ$4:$AJ$503,297))</f>
        <v/>
      </c>
      <c r="K3800">
        <f>IF(LEN(INDEX('Providers'!$AI$4:$AI$503,297))=0,"",INDEX('Providers'!$AI$4:$AI$503,297))</f>
        <v/>
      </c>
    </row>
    <row r="3801">
      <c r="A3801">
        <f>IF(AND(LEN('Providers'!A301)&gt;0,ISNUMBER('Providers'!Y301)),1,0)</f>
        <v/>
      </c>
      <c r="B3801">
        <f>B3800+A3801</f>
        <v/>
      </c>
      <c r="C3801">
        <f>IF(3798&gt;$B$4503,"",MATCH(3798-0.5,$B$3:$B$4503,1))</f>
        <v/>
      </c>
      <c r="D3801">
        <f>"Privileges reappointment – "&amp;IF(LEN(INDEX('Providers'!$A$4:$A$503,298))=0,"",INDEX('Providers'!$A$4:$A$503,298))</f>
        <v/>
      </c>
      <c r="E3801">
        <f>IF(ISNUMBER(INDEX('Providers'!$Y$4:$Y$503,298)),TEXT(INDEX('Providers'!$Y$4:$Y$503,298),"yyyy-mm-dd"),"")</f>
        <v/>
      </c>
      <c r="F3801">
        <f>"Credentialing"</f>
        <v/>
      </c>
      <c r="G3801">
        <f>""</f>
        <v/>
      </c>
      <c r="H3801">
        <f>"High"</f>
        <v/>
      </c>
      <c r="I3801">
        <f>TRIM(IF(LEN(IF(LEN(INDEX('Providers'!$X$4:$X$503,298))=0,"",INDEX('Providers'!$X$4:$X$503,298)))=0,"","Facility: "&amp;IF(LEN(INDEX('Providers'!$X$4:$X$503,298))=0,"",INDEX('Providers'!$X$4:$X$503,298))&amp;". "))</f>
        <v/>
      </c>
      <c r="J3801">
        <f>IF(LEN(INDEX('Providers'!$AJ$4:$AJ$503,298))=0,"",INDEX('Providers'!$AJ$4:$AJ$503,298))</f>
        <v/>
      </c>
      <c r="K3801">
        <f>IF(LEN(INDEX('Providers'!$AI$4:$AI$503,298))=0,"",INDEX('Providers'!$AI$4:$AI$503,298))</f>
        <v/>
      </c>
    </row>
    <row r="3802">
      <c r="A3802">
        <f>IF(AND(LEN('Providers'!A302)&gt;0,ISNUMBER('Providers'!Y302)),1,0)</f>
        <v/>
      </c>
      <c r="B3802">
        <f>B3801+A3802</f>
        <v/>
      </c>
      <c r="C3802">
        <f>IF(3799&gt;$B$4503,"",MATCH(3799-0.5,$B$3:$B$4503,1))</f>
        <v/>
      </c>
      <c r="D3802">
        <f>"Privileges reappointment – "&amp;IF(LEN(INDEX('Providers'!$A$4:$A$503,299))=0,"",INDEX('Providers'!$A$4:$A$503,299))</f>
        <v/>
      </c>
      <c r="E3802">
        <f>IF(ISNUMBER(INDEX('Providers'!$Y$4:$Y$503,299)),TEXT(INDEX('Providers'!$Y$4:$Y$503,299),"yyyy-mm-dd"),"")</f>
        <v/>
      </c>
      <c r="F3802">
        <f>"Credentialing"</f>
        <v/>
      </c>
      <c r="G3802">
        <f>""</f>
        <v/>
      </c>
      <c r="H3802">
        <f>"High"</f>
        <v/>
      </c>
      <c r="I3802">
        <f>TRIM(IF(LEN(IF(LEN(INDEX('Providers'!$X$4:$X$503,299))=0,"",INDEX('Providers'!$X$4:$X$503,299)))=0,"","Facility: "&amp;IF(LEN(INDEX('Providers'!$X$4:$X$503,299))=0,"",INDEX('Providers'!$X$4:$X$503,299))&amp;". "))</f>
        <v/>
      </c>
      <c r="J3802">
        <f>IF(LEN(INDEX('Providers'!$AJ$4:$AJ$503,299))=0,"",INDEX('Providers'!$AJ$4:$AJ$503,299))</f>
        <v/>
      </c>
      <c r="K3802">
        <f>IF(LEN(INDEX('Providers'!$AI$4:$AI$503,299))=0,"",INDEX('Providers'!$AI$4:$AI$503,299))</f>
        <v/>
      </c>
    </row>
    <row r="3803">
      <c r="A3803">
        <f>IF(AND(LEN('Providers'!A303)&gt;0,ISNUMBER('Providers'!Y303)),1,0)</f>
        <v/>
      </c>
      <c r="B3803">
        <f>B3802+A3803</f>
        <v/>
      </c>
      <c r="C3803">
        <f>IF(3800&gt;$B$4503,"",MATCH(3800-0.5,$B$3:$B$4503,1))</f>
        <v/>
      </c>
      <c r="D3803">
        <f>"Privileges reappointment – "&amp;IF(LEN(INDEX('Providers'!$A$4:$A$503,300))=0,"",INDEX('Providers'!$A$4:$A$503,300))</f>
        <v/>
      </c>
      <c r="E3803">
        <f>IF(ISNUMBER(INDEX('Providers'!$Y$4:$Y$503,300)),TEXT(INDEX('Providers'!$Y$4:$Y$503,300),"yyyy-mm-dd"),"")</f>
        <v/>
      </c>
      <c r="F3803">
        <f>"Credentialing"</f>
        <v/>
      </c>
      <c r="G3803">
        <f>""</f>
        <v/>
      </c>
      <c r="H3803">
        <f>"High"</f>
        <v/>
      </c>
      <c r="I3803">
        <f>TRIM(IF(LEN(IF(LEN(INDEX('Providers'!$X$4:$X$503,300))=0,"",INDEX('Providers'!$X$4:$X$503,300)))=0,"","Facility: "&amp;IF(LEN(INDEX('Providers'!$X$4:$X$503,300))=0,"",INDEX('Providers'!$X$4:$X$503,300))&amp;". "))</f>
        <v/>
      </c>
      <c r="J3803">
        <f>IF(LEN(INDEX('Providers'!$AJ$4:$AJ$503,300))=0,"",INDEX('Providers'!$AJ$4:$AJ$503,300))</f>
        <v/>
      </c>
      <c r="K3803">
        <f>IF(LEN(INDEX('Providers'!$AI$4:$AI$503,300))=0,"",INDEX('Providers'!$AI$4:$AI$503,300))</f>
        <v/>
      </c>
    </row>
    <row r="3804">
      <c r="A3804">
        <f>IF(AND(LEN('Providers'!A304)&gt;0,ISNUMBER('Providers'!Y304)),1,0)</f>
        <v/>
      </c>
      <c r="B3804">
        <f>B3803+A3804</f>
        <v/>
      </c>
      <c r="C3804">
        <f>IF(3801&gt;$B$4503,"",MATCH(3801-0.5,$B$3:$B$4503,1))</f>
        <v/>
      </c>
      <c r="D3804">
        <f>"Privileges reappointment – "&amp;IF(LEN(INDEX('Providers'!$A$4:$A$503,301))=0,"",INDEX('Providers'!$A$4:$A$503,301))</f>
        <v/>
      </c>
      <c r="E3804">
        <f>IF(ISNUMBER(INDEX('Providers'!$Y$4:$Y$503,301)),TEXT(INDEX('Providers'!$Y$4:$Y$503,301),"yyyy-mm-dd"),"")</f>
        <v/>
      </c>
      <c r="F3804">
        <f>"Credentialing"</f>
        <v/>
      </c>
      <c r="G3804">
        <f>""</f>
        <v/>
      </c>
      <c r="H3804">
        <f>"High"</f>
        <v/>
      </c>
      <c r="I3804">
        <f>TRIM(IF(LEN(IF(LEN(INDEX('Providers'!$X$4:$X$503,301))=0,"",INDEX('Providers'!$X$4:$X$503,301)))=0,"","Facility: "&amp;IF(LEN(INDEX('Providers'!$X$4:$X$503,301))=0,"",INDEX('Providers'!$X$4:$X$503,301))&amp;". "))</f>
        <v/>
      </c>
      <c r="J3804">
        <f>IF(LEN(INDEX('Providers'!$AJ$4:$AJ$503,301))=0,"",INDEX('Providers'!$AJ$4:$AJ$503,301))</f>
        <v/>
      </c>
      <c r="K3804">
        <f>IF(LEN(INDEX('Providers'!$AI$4:$AI$503,301))=0,"",INDEX('Providers'!$AI$4:$AI$503,301))</f>
        <v/>
      </c>
    </row>
    <row r="3805">
      <c r="A3805">
        <f>IF(AND(LEN('Providers'!A305)&gt;0,ISNUMBER('Providers'!Y305)),1,0)</f>
        <v/>
      </c>
      <c r="B3805">
        <f>B3804+A3805</f>
        <v/>
      </c>
      <c r="C3805">
        <f>IF(3802&gt;$B$4503,"",MATCH(3802-0.5,$B$3:$B$4503,1))</f>
        <v/>
      </c>
      <c r="D3805">
        <f>"Privileges reappointment – "&amp;IF(LEN(INDEX('Providers'!$A$4:$A$503,302))=0,"",INDEX('Providers'!$A$4:$A$503,302))</f>
        <v/>
      </c>
      <c r="E3805">
        <f>IF(ISNUMBER(INDEX('Providers'!$Y$4:$Y$503,302)),TEXT(INDEX('Providers'!$Y$4:$Y$503,302),"yyyy-mm-dd"),"")</f>
        <v/>
      </c>
      <c r="F3805">
        <f>"Credentialing"</f>
        <v/>
      </c>
      <c r="G3805">
        <f>""</f>
        <v/>
      </c>
      <c r="H3805">
        <f>"High"</f>
        <v/>
      </c>
      <c r="I3805">
        <f>TRIM(IF(LEN(IF(LEN(INDEX('Providers'!$X$4:$X$503,302))=0,"",INDEX('Providers'!$X$4:$X$503,302)))=0,"","Facility: "&amp;IF(LEN(INDEX('Providers'!$X$4:$X$503,302))=0,"",INDEX('Providers'!$X$4:$X$503,302))&amp;". "))</f>
        <v/>
      </c>
      <c r="J3805">
        <f>IF(LEN(INDEX('Providers'!$AJ$4:$AJ$503,302))=0,"",INDEX('Providers'!$AJ$4:$AJ$503,302))</f>
        <v/>
      </c>
      <c r="K3805">
        <f>IF(LEN(INDEX('Providers'!$AI$4:$AI$503,302))=0,"",INDEX('Providers'!$AI$4:$AI$503,302))</f>
        <v/>
      </c>
    </row>
    <row r="3806">
      <c r="A3806">
        <f>IF(AND(LEN('Providers'!A306)&gt;0,ISNUMBER('Providers'!Y306)),1,0)</f>
        <v/>
      </c>
      <c r="B3806">
        <f>B3805+A3806</f>
        <v/>
      </c>
      <c r="C3806">
        <f>IF(3803&gt;$B$4503,"",MATCH(3803-0.5,$B$3:$B$4503,1))</f>
        <v/>
      </c>
      <c r="D3806">
        <f>"Privileges reappointment – "&amp;IF(LEN(INDEX('Providers'!$A$4:$A$503,303))=0,"",INDEX('Providers'!$A$4:$A$503,303))</f>
        <v/>
      </c>
      <c r="E3806">
        <f>IF(ISNUMBER(INDEX('Providers'!$Y$4:$Y$503,303)),TEXT(INDEX('Providers'!$Y$4:$Y$503,303),"yyyy-mm-dd"),"")</f>
        <v/>
      </c>
      <c r="F3806">
        <f>"Credentialing"</f>
        <v/>
      </c>
      <c r="G3806">
        <f>""</f>
        <v/>
      </c>
      <c r="H3806">
        <f>"High"</f>
        <v/>
      </c>
      <c r="I3806">
        <f>TRIM(IF(LEN(IF(LEN(INDEX('Providers'!$X$4:$X$503,303))=0,"",INDEX('Providers'!$X$4:$X$503,303)))=0,"","Facility: "&amp;IF(LEN(INDEX('Providers'!$X$4:$X$503,303))=0,"",INDEX('Providers'!$X$4:$X$503,303))&amp;". "))</f>
        <v/>
      </c>
      <c r="J3806">
        <f>IF(LEN(INDEX('Providers'!$AJ$4:$AJ$503,303))=0,"",INDEX('Providers'!$AJ$4:$AJ$503,303))</f>
        <v/>
      </c>
      <c r="K3806">
        <f>IF(LEN(INDEX('Providers'!$AI$4:$AI$503,303))=0,"",INDEX('Providers'!$AI$4:$AI$503,303))</f>
        <v/>
      </c>
    </row>
    <row r="3807">
      <c r="A3807">
        <f>IF(AND(LEN('Providers'!A307)&gt;0,ISNUMBER('Providers'!Y307)),1,0)</f>
        <v/>
      </c>
      <c r="B3807">
        <f>B3806+A3807</f>
        <v/>
      </c>
      <c r="C3807">
        <f>IF(3804&gt;$B$4503,"",MATCH(3804-0.5,$B$3:$B$4503,1))</f>
        <v/>
      </c>
      <c r="D3807">
        <f>"Privileges reappointment – "&amp;IF(LEN(INDEX('Providers'!$A$4:$A$503,304))=0,"",INDEX('Providers'!$A$4:$A$503,304))</f>
        <v/>
      </c>
      <c r="E3807">
        <f>IF(ISNUMBER(INDEX('Providers'!$Y$4:$Y$503,304)),TEXT(INDEX('Providers'!$Y$4:$Y$503,304),"yyyy-mm-dd"),"")</f>
        <v/>
      </c>
      <c r="F3807">
        <f>"Credentialing"</f>
        <v/>
      </c>
      <c r="G3807">
        <f>""</f>
        <v/>
      </c>
      <c r="H3807">
        <f>"High"</f>
        <v/>
      </c>
      <c r="I3807">
        <f>TRIM(IF(LEN(IF(LEN(INDEX('Providers'!$X$4:$X$503,304))=0,"",INDEX('Providers'!$X$4:$X$503,304)))=0,"","Facility: "&amp;IF(LEN(INDEX('Providers'!$X$4:$X$503,304))=0,"",INDEX('Providers'!$X$4:$X$503,304))&amp;". "))</f>
        <v/>
      </c>
      <c r="J3807">
        <f>IF(LEN(INDEX('Providers'!$AJ$4:$AJ$503,304))=0,"",INDEX('Providers'!$AJ$4:$AJ$503,304))</f>
        <v/>
      </c>
      <c r="K3807">
        <f>IF(LEN(INDEX('Providers'!$AI$4:$AI$503,304))=0,"",INDEX('Providers'!$AI$4:$AI$503,304))</f>
        <v/>
      </c>
    </row>
    <row r="3808">
      <c r="A3808">
        <f>IF(AND(LEN('Providers'!A308)&gt;0,ISNUMBER('Providers'!Y308)),1,0)</f>
        <v/>
      </c>
      <c r="B3808">
        <f>B3807+A3808</f>
        <v/>
      </c>
      <c r="C3808">
        <f>IF(3805&gt;$B$4503,"",MATCH(3805-0.5,$B$3:$B$4503,1))</f>
        <v/>
      </c>
      <c r="D3808">
        <f>"Privileges reappointment – "&amp;IF(LEN(INDEX('Providers'!$A$4:$A$503,305))=0,"",INDEX('Providers'!$A$4:$A$503,305))</f>
        <v/>
      </c>
      <c r="E3808">
        <f>IF(ISNUMBER(INDEX('Providers'!$Y$4:$Y$503,305)),TEXT(INDEX('Providers'!$Y$4:$Y$503,305),"yyyy-mm-dd"),"")</f>
        <v/>
      </c>
      <c r="F3808">
        <f>"Credentialing"</f>
        <v/>
      </c>
      <c r="G3808">
        <f>""</f>
        <v/>
      </c>
      <c r="H3808">
        <f>"High"</f>
        <v/>
      </c>
      <c r="I3808">
        <f>TRIM(IF(LEN(IF(LEN(INDEX('Providers'!$X$4:$X$503,305))=0,"",INDEX('Providers'!$X$4:$X$503,305)))=0,"","Facility: "&amp;IF(LEN(INDEX('Providers'!$X$4:$X$503,305))=0,"",INDEX('Providers'!$X$4:$X$503,305))&amp;". "))</f>
        <v/>
      </c>
      <c r="J3808">
        <f>IF(LEN(INDEX('Providers'!$AJ$4:$AJ$503,305))=0,"",INDEX('Providers'!$AJ$4:$AJ$503,305))</f>
        <v/>
      </c>
      <c r="K3808">
        <f>IF(LEN(INDEX('Providers'!$AI$4:$AI$503,305))=0,"",INDEX('Providers'!$AI$4:$AI$503,305))</f>
        <v/>
      </c>
    </row>
    <row r="3809">
      <c r="A3809">
        <f>IF(AND(LEN('Providers'!A309)&gt;0,ISNUMBER('Providers'!Y309)),1,0)</f>
        <v/>
      </c>
      <c r="B3809">
        <f>B3808+A3809</f>
        <v/>
      </c>
      <c r="C3809">
        <f>IF(3806&gt;$B$4503,"",MATCH(3806-0.5,$B$3:$B$4503,1))</f>
        <v/>
      </c>
      <c r="D3809">
        <f>"Privileges reappointment – "&amp;IF(LEN(INDEX('Providers'!$A$4:$A$503,306))=0,"",INDEX('Providers'!$A$4:$A$503,306))</f>
        <v/>
      </c>
      <c r="E3809">
        <f>IF(ISNUMBER(INDEX('Providers'!$Y$4:$Y$503,306)),TEXT(INDEX('Providers'!$Y$4:$Y$503,306),"yyyy-mm-dd"),"")</f>
        <v/>
      </c>
      <c r="F3809">
        <f>"Credentialing"</f>
        <v/>
      </c>
      <c r="G3809">
        <f>""</f>
        <v/>
      </c>
      <c r="H3809">
        <f>"High"</f>
        <v/>
      </c>
      <c r="I3809">
        <f>TRIM(IF(LEN(IF(LEN(INDEX('Providers'!$X$4:$X$503,306))=0,"",INDEX('Providers'!$X$4:$X$503,306)))=0,"","Facility: "&amp;IF(LEN(INDEX('Providers'!$X$4:$X$503,306))=0,"",INDEX('Providers'!$X$4:$X$503,306))&amp;". "))</f>
        <v/>
      </c>
      <c r="J3809">
        <f>IF(LEN(INDEX('Providers'!$AJ$4:$AJ$503,306))=0,"",INDEX('Providers'!$AJ$4:$AJ$503,306))</f>
        <v/>
      </c>
      <c r="K3809">
        <f>IF(LEN(INDEX('Providers'!$AI$4:$AI$503,306))=0,"",INDEX('Providers'!$AI$4:$AI$503,306))</f>
        <v/>
      </c>
    </row>
    <row r="3810">
      <c r="A3810">
        <f>IF(AND(LEN('Providers'!A310)&gt;0,ISNUMBER('Providers'!Y310)),1,0)</f>
        <v/>
      </c>
      <c r="B3810">
        <f>B3809+A3810</f>
        <v/>
      </c>
      <c r="C3810">
        <f>IF(3807&gt;$B$4503,"",MATCH(3807-0.5,$B$3:$B$4503,1))</f>
        <v/>
      </c>
      <c r="D3810">
        <f>"Privileges reappointment – "&amp;IF(LEN(INDEX('Providers'!$A$4:$A$503,307))=0,"",INDEX('Providers'!$A$4:$A$503,307))</f>
        <v/>
      </c>
      <c r="E3810">
        <f>IF(ISNUMBER(INDEX('Providers'!$Y$4:$Y$503,307)),TEXT(INDEX('Providers'!$Y$4:$Y$503,307),"yyyy-mm-dd"),"")</f>
        <v/>
      </c>
      <c r="F3810">
        <f>"Credentialing"</f>
        <v/>
      </c>
      <c r="G3810">
        <f>""</f>
        <v/>
      </c>
      <c r="H3810">
        <f>"High"</f>
        <v/>
      </c>
      <c r="I3810">
        <f>TRIM(IF(LEN(IF(LEN(INDEX('Providers'!$X$4:$X$503,307))=0,"",INDEX('Providers'!$X$4:$X$503,307)))=0,"","Facility: "&amp;IF(LEN(INDEX('Providers'!$X$4:$X$503,307))=0,"",INDEX('Providers'!$X$4:$X$503,307))&amp;". "))</f>
        <v/>
      </c>
      <c r="J3810">
        <f>IF(LEN(INDEX('Providers'!$AJ$4:$AJ$503,307))=0,"",INDEX('Providers'!$AJ$4:$AJ$503,307))</f>
        <v/>
      </c>
      <c r="K3810">
        <f>IF(LEN(INDEX('Providers'!$AI$4:$AI$503,307))=0,"",INDEX('Providers'!$AI$4:$AI$503,307))</f>
        <v/>
      </c>
    </row>
    <row r="3811">
      <c r="A3811">
        <f>IF(AND(LEN('Providers'!A311)&gt;0,ISNUMBER('Providers'!Y311)),1,0)</f>
        <v/>
      </c>
      <c r="B3811">
        <f>B3810+A3811</f>
        <v/>
      </c>
      <c r="C3811">
        <f>IF(3808&gt;$B$4503,"",MATCH(3808-0.5,$B$3:$B$4503,1))</f>
        <v/>
      </c>
      <c r="D3811">
        <f>"Privileges reappointment – "&amp;IF(LEN(INDEX('Providers'!$A$4:$A$503,308))=0,"",INDEX('Providers'!$A$4:$A$503,308))</f>
        <v/>
      </c>
      <c r="E3811">
        <f>IF(ISNUMBER(INDEX('Providers'!$Y$4:$Y$503,308)),TEXT(INDEX('Providers'!$Y$4:$Y$503,308),"yyyy-mm-dd"),"")</f>
        <v/>
      </c>
      <c r="F3811">
        <f>"Credentialing"</f>
        <v/>
      </c>
      <c r="G3811">
        <f>""</f>
        <v/>
      </c>
      <c r="H3811">
        <f>"High"</f>
        <v/>
      </c>
      <c r="I3811">
        <f>TRIM(IF(LEN(IF(LEN(INDEX('Providers'!$X$4:$X$503,308))=0,"",INDEX('Providers'!$X$4:$X$503,308)))=0,"","Facility: "&amp;IF(LEN(INDEX('Providers'!$X$4:$X$503,308))=0,"",INDEX('Providers'!$X$4:$X$503,308))&amp;". "))</f>
        <v/>
      </c>
      <c r="J3811">
        <f>IF(LEN(INDEX('Providers'!$AJ$4:$AJ$503,308))=0,"",INDEX('Providers'!$AJ$4:$AJ$503,308))</f>
        <v/>
      </c>
      <c r="K3811">
        <f>IF(LEN(INDEX('Providers'!$AI$4:$AI$503,308))=0,"",INDEX('Providers'!$AI$4:$AI$503,308))</f>
        <v/>
      </c>
    </row>
    <row r="3812">
      <c r="A3812">
        <f>IF(AND(LEN('Providers'!A312)&gt;0,ISNUMBER('Providers'!Y312)),1,0)</f>
        <v/>
      </c>
      <c r="B3812">
        <f>B3811+A3812</f>
        <v/>
      </c>
      <c r="C3812">
        <f>IF(3809&gt;$B$4503,"",MATCH(3809-0.5,$B$3:$B$4503,1))</f>
        <v/>
      </c>
      <c r="D3812">
        <f>"Privileges reappointment – "&amp;IF(LEN(INDEX('Providers'!$A$4:$A$503,309))=0,"",INDEX('Providers'!$A$4:$A$503,309))</f>
        <v/>
      </c>
      <c r="E3812">
        <f>IF(ISNUMBER(INDEX('Providers'!$Y$4:$Y$503,309)),TEXT(INDEX('Providers'!$Y$4:$Y$503,309),"yyyy-mm-dd"),"")</f>
        <v/>
      </c>
      <c r="F3812">
        <f>"Credentialing"</f>
        <v/>
      </c>
      <c r="G3812">
        <f>""</f>
        <v/>
      </c>
      <c r="H3812">
        <f>"High"</f>
        <v/>
      </c>
      <c r="I3812">
        <f>TRIM(IF(LEN(IF(LEN(INDEX('Providers'!$X$4:$X$503,309))=0,"",INDEX('Providers'!$X$4:$X$503,309)))=0,"","Facility: "&amp;IF(LEN(INDEX('Providers'!$X$4:$X$503,309))=0,"",INDEX('Providers'!$X$4:$X$503,309))&amp;". "))</f>
        <v/>
      </c>
      <c r="J3812">
        <f>IF(LEN(INDEX('Providers'!$AJ$4:$AJ$503,309))=0,"",INDEX('Providers'!$AJ$4:$AJ$503,309))</f>
        <v/>
      </c>
      <c r="K3812">
        <f>IF(LEN(INDEX('Providers'!$AI$4:$AI$503,309))=0,"",INDEX('Providers'!$AI$4:$AI$503,309))</f>
        <v/>
      </c>
    </row>
    <row r="3813">
      <c r="A3813">
        <f>IF(AND(LEN('Providers'!A313)&gt;0,ISNUMBER('Providers'!Y313)),1,0)</f>
        <v/>
      </c>
      <c r="B3813">
        <f>B3812+A3813</f>
        <v/>
      </c>
      <c r="C3813">
        <f>IF(3810&gt;$B$4503,"",MATCH(3810-0.5,$B$3:$B$4503,1))</f>
        <v/>
      </c>
      <c r="D3813">
        <f>"Privileges reappointment – "&amp;IF(LEN(INDEX('Providers'!$A$4:$A$503,310))=0,"",INDEX('Providers'!$A$4:$A$503,310))</f>
        <v/>
      </c>
      <c r="E3813">
        <f>IF(ISNUMBER(INDEX('Providers'!$Y$4:$Y$503,310)),TEXT(INDEX('Providers'!$Y$4:$Y$503,310),"yyyy-mm-dd"),"")</f>
        <v/>
      </c>
      <c r="F3813">
        <f>"Credentialing"</f>
        <v/>
      </c>
      <c r="G3813">
        <f>""</f>
        <v/>
      </c>
      <c r="H3813">
        <f>"High"</f>
        <v/>
      </c>
      <c r="I3813">
        <f>TRIM(IF(LEN(IF(LEN(INDEX('Providers'!$X$4:$X$503,310))=0,"",INDEX('Providers'!$X$4:$X$503,310)))=0,"","Facility: "&amp;IF(LEN(INDEX('Providers'!$X$4:$X$503,310))=0,"",INDEX('Providers'!$X$4:$X$503,310))&amp;". "))</f>
        <v/>
      </c>
      <c r="J3813">
        <f>IF(LEN(INDEX('Providers'!$AJ$4:$AJ$503,310))=0,"",INDEX('Providers'!$AJ$4:$AJ$503,310))</f>
        <v/>
      </c>
      <c r="K3813">
        <f>IF(LEN(INDEX('Providers'!$AI$4:$AI$503,310))=0,"",INDEX('Providers'!$AI$4:$AI$503,310))</f>
        <v/>
      </c>
    </row>
    <row r="3814">
      <c r="A3814">
        <f>IF(AND(LEN('Providers'!A314)&gt;0,ISNUMBER('Providers'!Y314)),1,0)</f>
        <v/>
      </c>
      <c r="B3814">
        <f>B3813+A3814</f>
        <v/>
      </c>
      <c r="C3814">
        <f>IF(3811&gt;$B$4503,"",MATCH(3811-0.5,$B$3:$B$4503,1))</f>
        <v/>
      </c>
      <c r="D3814">
        <f>"Privileges reappointment – "&amp;IF(LEN(INDEX('Providers'!$A$4:$A$503,311))=0,"",INDEX('Providers'!$A$4:$A$503,311))</f>
        <v/>
      </c>
      <c r="E3814">
        <f>IF(ISNUMBER(INDEX('Providers'!$Y$4:$Y$503,311)),TEXT(INDEX('Providers'!$Y$4:$Y$503,311),"yyyy-mm-dd"),"")</f>
        <v/>
      </c>
      <c r="F3814">
        <f>"Credentialing"</f>
        <v/>
      </c>
      <c r="G3814">
        <f>""</f>
        <v/>
      </c>
      <c r="H3814">
        <f>"High"</f>
        <v/>
      </c>
      <c r="I3814">
        <f>TRIM(IF(LEN(IF(LEN(INDEX('Providers'!$X$4:$X$503,311))=0,"",INDEX('Providers'!$X$4:$X$503,311)))=0,"","Facility: "&amp;IF(LEN(INDEX('Providers'!$X$4:$X$503,311))=0,"",INDEX('Providers'!$X$4:$X$503,311))&amp;". "))</f>
        <v/>
      </c>
      <c r="J3814">
        <f>IF(LEN(INDEX('Providers'!$AJ$4:$AJ$503,311))=0,"",INDEX('Providers'!$AJ$4:$AJ$503,311))</f>
        <v/>
      </c>
      <c r="K3814">
        <f>IF(LEN(INDEX('Providers'!$AI$4:$AI$503,311))=0,"",INDEX('Providers'!$AI$4:$AI$503,311))</f>
        <v/>
      </c>
    </row>
    <row r="3815">
      <c r="A3815">
        <f>IF(AND(LEN('Providers'!A315)&gt;0,ISNUMBER('Providers'!Y315)),1,0)</f>
        <v/>
      </c>
      <c r="B3815">
        <f>B3814+A3815</f>
        <v/>
      </c>
      <c r="C3815">
        <f>IF(3812&gt;$B$4503,"",MATCH(3812-0.5,$B$3:$B$4503,1))</f>
        <v/>
      </c>
      <c r="D3815">
        <f>"Privileges reappointment – "&amp;IF(LEN(INDEX('Providers'!$A$4:$A$503,312))=0,"",INDEX('Providers'!$A$4:$A$503,312))</f>
        <v/>
      </c>
      <c r="E3815">
        <f>IF(ISNUMBER(INDEX('Providers'!$Y$4:$Y$503,312)),TEXT(INDEX('Providers'!$Y$4:$Y$503,312),"yyyy-mm-dd"),"")</f>
        <v/>
      </c>
      <c r="F3815">
        <f>"Credentialing"</f>
        <v/>
      </c>
      <c r="G3815">
        <f>""</f>
        <v/>
      </c>
      <c r="H3815">
        <f>"High"</f>
        <v/>
      </c>
      <c r="I3815">
        <f>TRIM(IF(LEN(IF(LEN(INDEX('Providers'!$X$4:$X$503,312))=0,"",INDEX('Providers'!$X$4:$X$503,312)))=0,"","Facility: "&amp;IF(LEN(INDEX('Providers'!$X$4:$X$503,312))=0,"",INDEX('Providers'!$X$4:$X$503,312))&amp;". "))</f>
        <v/>
      </c>
      <c r="J3815">
        <f>IF(LEN(INDEX('Providers'!$AJ$4:$AJ$503,312))=0,"",INDEX('Providers'!$AJ$4:$AJ$503,312))</f>
        <v/>
      </c>
      <c r="K3815">
        <f>IF(LEN(INDEX('Providers'!$AI$4:$AI$503,312))=0,"",INDEX('Providers'!$AI$4:$AI$503,312))</f>
        <v/>
      </c>
    </row>
    <row r="3816">
      <c r="A3816">
        <f>IF(AND(LEN('Providers'!A316)&gt;0,ISNUMBER('Providers'!Y316)),1,0)</f>
        <v/>
      </c>
      <c r="B3816">
        <f>B3815+A3816</f>
        <v/>
      </c>
      <c r="C3816">
        <f>IF(3813&gt;$B$4503,"",MATCH(3813-0.5,$B$3:$B$4503,1))</f>
        <v/>
      </c>
      <c r="D3816">
        <f>"Privileges reappointment – "&amp;IF(LEN(INDEX('Providers'!$A$4:$A$503,313))=0,"",INDEX('Providers'!$A$4:$A$503,313))</f>
        <v/>
      </c>
      <c r="E3816">
        <f>IF(ISNUMBER(INDEX('Providers'!$Y$4:$Y$503,313)),TEXT(INDEX('Providers'!$Y$4:$Y$503,313),"yyyy-mm-dd"),"")</f>
        <v/>
      </c>
      <c r="F3816">
        <f>"Credentialing"</f>
        <v/>
      </c>
      <c r="G3816">
        <f>""</f>
        <v/>
      </c>
      <c r="H3816">
        <f>"High"</f>
        <v/>
      </c>
      <c r="I3816">
        <f>TRIM(IF(LEN(IF(LEN(INDEX('Providers'!$X$4:$X$503,313))=0,"",INDEX('Providers'!$X$4:$X$503,313)))=0,"","Facility: "&amp;IF(LEN(INDEX('Providers'!$X$4:$X$503,313))=0,"",INDEX('Providers'!$X$4:$X$503,313))&amp;". "))</f>
        <v/>
      </c>
      <c r="J3816">
        <f>IF(LEN(INDEX('Providers'!$AJ$4:$AJ$503,313))=0,"",INDEX('Providers'!$AJ$4:$AJ$503,313))</f>
        <v/>
      </c>
      <c r="K3816">
        <f>IF(LEN(INDEX('Providers'!$AI$4:$AI$503,313))=0,"",INDEX('Providers'!$AI$4:$AI$503,313))</f>
        <v/>
      </c>
    </row>
    <row r="3817">
      <c r="A3817">
        <f>IF(AND(LEN('Providers'!A317)&gt;0,ISNUMBER('Providers'!Y317)),1,0)</f>
        <v/>
      </c>
      <c r="B3817">
        <f>B3816+A3817</f>
        <v/>
      </c>
      <c r="C3817">
        <f>IF(3814&gt;$B$4503,"",MATCH(3814-0.5,$B$3:$B$4503,1))</f>
        <v/>
      </c>
      <c r="D3817">
        <f>"Privileges reappointment – "&amp;IF(LEN(INDEX('Providers'!$A$4:$A$503,314))=0,"",INDEX('Providers'!$A$4:$A$503,314))</f>
        <v/>
      </c>
      <c r="E3817">
        <f>IF(ISNUMBER(INDEX('Providers'!$Y$4:$Y$503,314)),TEXT(INDEX('Providers'!$Y$4:$Y$503,314),"yyyy-mm-dd"),"")</f>
        <v/>
      </c>
      <c r="F3817">
        <f>"Credentialing"</f>
        <v/>
      </c>
      <c r="G3817">
        <f>""</f>
        <v/>
      </c>
      <c r="H3817">
        <f>"High"</f>
        <v/>
      </c>
      <c r="I3817">
        <f>TRIM(IF(LEN(IF(LEN(INDEX('Providers'!$X$4:$X$503,314))=0,"",INDEX('Providers'!$X$4:$X$503,314)))=0,"","Facility: "&amp;IF(LEN(INDEX('Providers'!$X$4:$X$503,314))=0,"",INDEX('Providers'!$X$4:$X$503,314))&amp;". "))</f>
        <v/>
      </c>
      <c r="J3817">
        <f>IF(LEN(INDEX('Providers'!$AJ$4:$AJ$503,314))=0,"",INDEX('Providers'!$AJ$4:$AJ$503,314))</f>
        <v/>
      </c>
      <c r="K3817">
        <f>IF(LEN(INDEX('Providers'!$AI$4:$AI$503,314))=0,"",INDEX('Providers'!$AI$4:$AI$503,314))</f>
        <v/>
      </c>
    </row>
    <row r="3818">
      <c r="A3818">
        <f>IF(AND(LEN('Providers'!A318)&gt;0,ISNUMBER('Providers'!Y318)),1,0)</f>
        <v/>
      </c>
      <c r="B3818">
        <f>B3817+A3818</f>
        <v/>
      </c>
      <c r="C3818">
        <f>IF(3815&gt;$B$4503,"",MATCH(3815-0.5,$B$3:$B$4503,1))</f>
        <v/>
      </c>
      <c r="D3818">
        <f>"Privileges reappointment – "&amp;IF(LEN(INDEX('Providers'!$A$4:$A$503,315))=0,"",INDEX('Providers'!$A$4:$A$503,315))</f>
        <v/>
      </c>
      <c r="E3818">
        <f>IF(ISNUMBER(INDEX('Providers'!$Y$4:$Y$503,315)),TEXT(INDEX('Providers'!$Y$4:$Y$503,315),"yyyy-mm-dd"),"")</f>
        <v/>
      </c>
      <c r="F3818">
        <f>"Credentialing"</f>
        <v/>
      </c>
      <c r="G3818">
        <f>""</f>
        <v/>
      </c>
      <c r="H3818">
        <f>"High"</f>
        <v/>
      </c>
      <c r="I3818">
        <f>TRIM(IF(LEN(IF(LEN(INDEX('Providers'!$X$4:$X$503,315))=0,"",INDEX('Providers'!$X$4:$X$503,315)))=0,"","Facility: "&amp;IF(LEN(INDEX('Providers'!$X$4:$X$503,315))=0,"",INDEX('Providers'!$X$4:$X$503,315))&amp;". "))</f>
        <v/>
      </c>
      <c r="J3818">
        <f>IF(LEN(INDEX('Providers'!$AJ$4:$AJ$503,315))=0,"",INDEX('Providers'!$AJ$4:$AJ$503,315))</f>
        <v/>
      </c>
      <c r="K3818">
        <f>IF(LEN(INDEX('Providers'!$AI$4:$AI$503,315))=0,"",INDEX('Providers'!$AI$4:$AI$503,315))</f>
        <v/>
      </c>
    </row>
    <row r="3819">
      <c r="A3819">
        <f>IF(AND(LEN('Providers'!A319)&gt;0,ISNUMBER('Providers'!Y319)),1,0)</f>
        <v/>
      </c>
      <c r="B3819">
        <f>B3818+A3819</f>
        <v/>
      </c>
      <c r="C3819">
        <f>IF(3816&gt;$B$4503,"",MATCH(3816-0.5,$B$3:$B$4503,1))</f>
        <v/>
      </c>
      <c r="D3819">
        <f>"Privileges reappointment – "&amp;IF(LEN(INDEX('Providers'!$A$4:$A$503,316))=0,"",INDEX('Providers'!$A$4:$A$503,316))</f>
        <v/>
      </c>
      <c r="E3819">
        <f>IF(ISNUMBER(INDEX('Providers'!$Y$4:$Y$503,316)),TEXT(INDEX('Providers'!$Y$4:$Y$503,316),"yyyy-mm-dd"),"")</f>
        <v/>
      </c>
      <c r="F3819">
        <f>"Credentialing"</f>
        <v/>
      </c>
      <c r="G3819">
        <f>""</f>
        <v/>
      </c>
      <c r="H3819">
        <f>"High"</f>
        <v/>
      </c>
      <c r="I3819">
        <f>TRIM(IF(LEN(IF(LEN(INDEX('Providers'!$X$4:$X$503,316))=0,"",INDEX('Providers'!$X$4:$X$503,316)))=0,"","Facility: "&amp;IF(LEN(INDEX('Providers'!$X$4:$X$503,316))=0,"",INDEX('Providers'!$X$4:$X$503,316))&amp;". "))</f>
        <v/>
      </c>
      <c r="J3819">
        <f>IF(LEN(INDEX('Providers'!$AJ$4:$AJ$503,316))=0,"",INDEX('Providers'!$AJ$4:$AJ$503,316))</f>
        <v/>
      </c>
      <c r="K3819">
        <f>IF(LEN(INDEX('Providers'!$AI$4:$AI$503,316))=0,"",INDEX('Providers'!$AI$4:$AI$503,316))</f>
        <v/>
      </c>
    </row>
    <row r="3820">
      <c r="A3820">
        <f>IF(AND(LEN('Providers'!A320)&gt;0,ISNUMBER('Providers'!Y320)),1,0)</f>
        <v/>
      </c>
      <c r="B3820">
        <f>B3819+A3820</f>
        <v/>
      </c>
      <c r="C3820">
        <f>IF(3817&gt;$B$4503,"",MATCH(3817-0.5,$B$3:$B$4503,1))</f>
        <v/>
      </c>
      <c r="D3820">
        <f>"Privileges reappointment – "&amp;IF(LEN(INDEX('Providers'!$A$4:$A$503,317))=0,"",INDEX('Providers'!$A$4:$A$503,317))</f>
        <v/>
      </c>
      <c r="E3820">
        <f>IF(ISNUMBER(INDEX('Providers'!$Y$4:$Y$503,317)),TEXT(INDEX('Providers'!$Y$4:$Y$503,317),"yyyy-mm-dd"),"")</f>
        <v/>
      </c>
      <c r="F3820">
        <f>"Credentialing"</f>
        <v/>
      </c>
      <c r="G3820">
        <f>""</f>
        <v/>
      </c>
      <c r="H3820">
        <f>"High"</f>
        <v/>
      </c>
      <c r="I3820">
        <f>TRIM(IF(LEN(IF(LEN(INDEX('Providers'!$X$4:$X$503,317))=0,"",INDEX('Providers'!$X$4:$X$503,317)))=0,"","Facility: "&amp;IF(LEN(INDEX('Providers'!$X$4:$X$503,317))=0,"",INDEX('Providers'!$X$4:$X$503,317))&amp;". "))</f>
        <v/>
      </c>
      <c r="J3820">
        <f>IF(LEN(INDEX('Providers'!$AJ$4:$AJ$503,317))=0,"",INDEX('Providers'!$AJ$4:$AJ$503,317))</f>
        <v/>
      </c>
      <c r="K3820">
        <f>IF(LEN(INDEX('Providers'!$AI$4:$AI$503,317))=0,"",INDEX('Providers'!$AI$4:$AI$503,317))</f>
        <v/>
      </c>
    </row>
    <row r="3821">
      <c r="A3821">
        <f>IF(AND(LEN('Providers'!A321)&gt;0,ISNUMBER('Providers'!Y321)),1,0)</f>
        <v/>
      </c>
      <c r="B3821">
        <f>B3820+A3821</f>
        <v/>
      </c>
      <c r="C3821">
        <f>IF(3818&gt;$B$4503,"",MATCH(3818-0.5,$B$3:$B$4503,1))</f>
        <v/>
      </c>
      <c r="D3821">
        <f>"Privileges reappointment – "&amp;IF(LEN(INDEX('Providers'!$A$4:$A$503,318))=0,"",INDEX('Providers'!$A$4:$A$503,318))</f>
        <v/>
      </c>
      <c r="E3821">
        <f>IF(ISNUMBER(INDEX('Providers'!$Y$4:$Y$503,318)),TEXT(INDEX('Providers'!$Y$4:$Y$503,318),"yyyy-mm-dd"),"")</f>
        <v/>
      </c>
      <c r="F3821">
        <f>"Credentialing"</f>
        <v/>
      </c>
      <c r="G3821">
        <f>""</f>
        <v/>
      </c>
      <c r="H3821">
        <f>"High"</f>
        <v/>
      </c>
      <c r="I3821">
        <f>TRIM(IF(LEN(IF(LEN(INDEX('Providers'!$X$4:$X$503,318))=0,"",INDEX('Providers'!$X$4:$X$503,318)))=0,"","Facility: "&amp;IF(LEN(INDEX('Providers'!$X$4:$X$503,318))=0,"",INDEX('Providers'!$X$4:$X$503,318))&amp;". "))</f>
        <v/>
      </c>
      <c r="J3821">
        <f>IF(LEN(INDEX('Providers'!$AJ$4:$AJ$503,318))=0,"",INDEX('Providers'!$AJ$4:$AJ$503,318))</f>
        <v/>
      </c>
      <c r="K3821">
        <f>IF(LEN(INDEX('Providers'!$AI$4:$AI$503,318))=0,"",INDEX('Providers'!$AI$4:$AI$503,318))</f>
        <v/>
      </c>
    </row>
    <row r="3822">
      <c r="A3822">
        <f>IF(AND(LEN('Providers'!A322)&gt;0,ISNUMBER('Providers'!Y322)),1,0)</f>
        <v/>
      </c>
      <c r="B3822">
        <f>B3821+A3822</f>
        <v/>
      </c>
      <c r="C3822">
        <f>IF(3819&gt;$B$4503,"",MATCH(3819-0.5,$B$3:$B$4503,1))</f>
        <v/>
      </c>
      <c r="D3822">
        <f>"Privileges reappointment – "&amp;IF(LEN(INDEX('Providers'!$A$4:$A$503,319))=0,"",INDEX('Providers'!$A$4:$A$503,319))</f>
        <v/>
      </c>
      <c r="E3822">
        <f>IF(ISNUMBER(INDEX('Providers'!$Y$4:$Y$503,319)),TEXT(INDEX('Providers'!$Y$4:$Y$503,319),"yyyy-mm-dd"),"")</f>
        <v/>
      </c>
      <c r="F3822">
        <f>"Credentialing"</f>
        <v/>
      </c>
      <c r="G3822">
        <f>""</f>
        <v/>
      </c>
      <c r="H3822">
        <f>"High"</f>
        <v/>
      </c>
      <c r="I3822">
        <f>TRIM(IF(LEN(IF(LEN(INDEX('Providers'!$X$4:$X$503,319))=0,"",INDEX('Providers'!$X$4:$X$503,319)))=0,"","Facility: "&amp;IF(LEN(INDEX('Providers'!$X$4:$X$503,319))=0,"",INDEX('Providers'!$X$4:$X$503,319))&amp;". "))</f>
        <v/>
      </c>
      <c r="J3822">
        <f>IF(LEN(INDEX('Providers'!$AJ$4:$AJ$503,319))=0,"",INDEX('Providers'!$AJ$4:$AJ$503,319))</f>
        <v/>
      </c>
      <c r="K3822">
        <f>IF(LEN(INDEX('Providers'!$AI$4:$AI$503,319))=0,"",INDEX('Providers'!$AI$4:$AI$503,319))</f>
        <v/>
      </c>
    </row>
    <row r="3823">
      <c r="A3823">
        <f>IF(AND(LEN('Providers'!A323)&gt;0,ISNUMBER('Providers'!Y323)),1,0)</f>
        <v/>
      </c>
      <c r="B3823">
        <f>B3822+A3823</f>
        <v/>
      </c>
      <c r="C3823">
        <f>IF(3820&gt;$B$4503,"",MATCH(3820-0.5,$B$3:$B$4503,1))</f>
        <v/>
      </c>
      <c r="D3823">
        <f>"Privileges reappointment – "&amp;IF(LEN(INDEX('Providers'!$A$4:$A$503,320))=0,"",INDEX('Providers'!$A$4:$A$503,320))</f>
        <v/>
      </c>
      <c r="E3823">
        <f>IF(ISNUMBER(INDEX('Providers'!$Y$4:$Y$503,320)),TEXT(INDEX('Providers'!$Y$4:$Y$503,320),"yyyy-mm-dd"),"")</f>
        <v/>
      </c>
      <c r="F3823">
        <f>"Credentialing"</f>
        <v/>
      </c>
      <c r="G3823">
        <f>""</f>
        <v/>
      </c>
      <c r="H3823">
        <f>"High"</f>
        <v/>
      </c>
      <c r="I3823">
        <f>TRIM(IF(LEN(IF(LEN(INDEX('Providers'!$X$4:$X$503,320))=0,"",INDEX('Providers'!$X$4:$X$503,320)))=0,"","Facility: "&amp;IF(LEN(INDEX('Providers'!$X$4:$X$503,320))=0,"",INDEX('Providers'!$X$4:$X$503,320))&amp;". "))</f>
        <v/>
      </c>
      <c r="J3823">
        <f>IF(LEN(INDEX('Providers'!$AJ$4:$AJ$503,320))=0,"",INDEX('Providers'!$AJ$4:$AJ$503,320))</f>
        <v/>
      </c>
      <c r="K3823">
        <f>IF(LEN(INDEX('Providers'!$AI$4:$AI$503,320))=0,"",INDEX('Providers'!$AI$4:$AI$503,320))</f>
        <v/>
      </c>
    </row>
    <row r="3824">
      <c r="A3824">
        <f>IF(AND(LEN('Providers'!A324)&gt;0,ISNUMBER('Providers'!Y324)),1,0)</f>
        <v/>
      </c>
      <c r="B3824">
        <f>B3823+A3824</f>
        <v/>
      </c>
      <c r="C3824">
        <f>IF(3821&gt;$B$4503,"",MATCH(3821-0.5,$B$3:$B$4503,1))</f>
        <v/>
      </c>
      <c r="D3824">
        <f>"Privileges reappointment – "&amp;IF(LEN(INDEX('Providers'!$A$4:$A$503,321))=0,"",INDEX('Providers'!$A$4:$A$503,321))</f>
        <v/>
      </c>
      <c r="E3824">
        <f>IF(ISNUMBER(INDEX('Providers'!$Y$4:$Y$503,321)),TEXT(INDEX('Providers'!$Y$4:$Y$503,321),"yyyy-mm-dd"),"")</f>
        <v/>
      </c>
      <c r="F3824">
        <f>"Credentialing"</f>
        <v/>
      </c>
      <c r="G3824">
        <f>""</f>
        <v/>
      </c>
      <c r="H3824">
        <f>"High"</f>
        <v/>
      </c>
      <c r="I3824">
        <f>TRIM(IF(LEN(IF(LEN(INDEX('Providers'!$X$4:$X$503,321))=0,"",INDEX('Providers'!$X$4:$X$503,321)))=0,"","Facility: "&amp;IF(LEN(INDEX('Providers'!$X$4:$X$503,321))=0,"",INDEX('Providers'!$X$4:$X$503,321))&amp;". "))</f>
        <v/>
      </c>
      <c r="J3824">
        <f>IF(LEN(INDEX('Providers'!$AJ$4:$AJ$503,321))=0,"",INDEX('Providers'!$AJ$4:$AJ$503,321))</f>
        <v/>
      </c>
      <c r="K3824">
        <f>IF(LEN(INDEX('Providers'!$AI$4:$AI$503,321))=0,"",INDEX('Providers'!$AI$4:$AI$503,321))</f>
        <v/>
      </c>
    </row>
    <row r="3825">
      <c r="A3825">
        <f>IF(AND(LEN('Providers'!A325)&gt;0,ISNUMBER('Providers'!Y325)),1,0)</f>
        <v/>
      </c>
      <c r="B3825">
        <f>B3824+A3825</f>
        <v/>
      </c>
      <c r="C3825">
        <f>IF(3822&gt;$B$4503,"",MATCH(3822-0.5,$B$3:$B$4503,1))</f>
        <v/>
      </c>
      <c r="D3825">
        <f>"Privileges reappointment – "&amp;IF(LEN(INDEX('Providers'!$A$4:$A$503,322))=0,"",INDEX('Providers'!$A$4:$A$503,322))</f>
        <v/>
      </c>
      <c r="E3825">
        <f>IF(ISNUMBER(INDEX('Providers'!$Y$4:$Y$503,322)),TEXT(INDEX('Providers'!$Y$4:$Y$503,322),"yyyy-mm-dd"),"")</f>
        <v/>
      </c>
      <c r="F3825">
        <f>"Credentialing"</f>
        <v/>
      </c>
      <c r="G3825">
        <f>""</f>
        <v/>
      </c>
      <c r="H3825">
        <f>"High"</f>
        <v/>
      </c>
      <c r="I3825">
        <f>TRIM(IF(LEN(IF(LEN(INDEX('Providers'!$X$4:$X$503,322))=0,"",INDEX('Providers'!$X$4:$X$503,322)))=0,"","Facility: "&amp;IF(LEN(INDEX('Providers'!$X$4:$X$503,322))=0,"",INDEX('Providers'!$X$4:$X$503,322))&amp;". "))</f>
        <v/>
      </c>
      <c r="J3825">
        <f>IF(LEN(INDEX('Providers'!$AJ$4:$AJ$503,322))=0,"",INDEX('Providers'!$AJ$4:$AJ$503,322))</f>
        <v/>
      </c>
      <c r="K3825">
        <f>IF(LEN(INDEX('Providers'!$AI$4:$AI$503,322))=0,"",INDEX('Providers'!$AI$4:$AI$503,322))</f>
        <v/>
      </c>
    </row>
    <row r="3826">
      <c r="A3826">
        <f>IF(AND(LEN('Providers'!A326)&gt;0,ISNUMBER('Providers'!Y326)),1,0)</f>
        <v/>
      </c>
      <c r="B3826">
        <f>B3825+A3826</f>
        <v/>
      </c>
      <c r="C3826">
        <f>IF(3823&gt;$B$4503,"",MATCH(3823-0.5,$B$3:$B$4503,1))</f>
        <v/>
      </c>
      <c r="D3826">
        <f>"Privileges reappointment – "&amp;IF(LEN(INDEX('Providers'!$A$4:$A$503,323))=0,"",INDEX('Providers'!$A$4:$A$503,323))</f>
        <v/>
      </c>
      <c r="E3826">
        <f>IF(ISNUMBER(INDEX('Providers'!$Y$4:$Y$503,323)),TEXT(INDEX('Providers'!$Y$4:$Y$503,323),"yyyy-mm-dd"),"")</f>
        <v/>
      </c>
      <c r="F3826">
        <f>"Credentialing"</f>
        <v/>
      </c>
      <c r="G3826">
        <f>""</f>
        <v/>
      </c>
      <c r="H3826">
        <f>"High"</f>
        <v/>
      </c>
      <c r="I3826">
        <f>TRIM(IF(LEN(IF(LEN(INDEX('Providers'!$X$4:$X$503,323))=0,"",INDEX('Providers'!$X$4:$X$503,323)))=0,"","Facility: "&amp;IF(LEN(INDEX('Providers'!$X$4:$X$503,323))=0,"",INDEX('Providers'!$X$4:$X$503,323))&amp;". "))</f>
        <v/>
      </c>
      <c r="J3826">
        <f>IF(LEN(INDEX('Providers'!$AJ$4:$AJ$503,323))=0,"",INDEX('Providers'!$AJ$4:$AJ$503,323))</f>
        <v/>
      </c>
      <c r="K3826">
        <f>IF(LEN(INDEX('Providers'!$AI$4:$AI$503,323))=0,"",INDEX('Providers'!$AI$4:$AI$503,323))</f>
        <v/>
      </c>
    </row>
    <row r="3827">
      <c r="A3827">
        <f>IF(AND(LEN('Providers'!A327)&gt;0,ISNUMBER('Providers'!Y327)),1,0)</f>
        <v/>
      </c>
      <c r="B3827">
        <f>B3826+A3827</f>
        <v/>
      </c>
      <c r="C3827">
        <f>IF(3824&gt;$B$4503,"",MATCH(3824-0.5,$B$3:$B$4503,1))</f>
        <v/>
      </c>
      <c r="D3827">
        <f>"Privileges reappointment – "&amp;IF(LEN(INDEX('Providers'!$A$4:$A$503,324))=0,"",INDEX('Providers'!$A$4:$A$503,324))</f>
        <v/>
      </c>
      <c r="E3827">
        <f>IF(ISNUMBER(INDEX('Providers'!$Y$4:$Y$503,324)),TEXT(INDEX('Providers'!$Y$4:$Y$503,324),"yyyy-mm-dd"),"")</f>
        <v/>
      </c>
      <c r="F3827">
        <f>"Credentialing"</f>
        <v/>
      </c>
      <c r="G3827">
        <f>""</f>
        <v/>
      </c>
      <c r="H3827">
        <f>"High"</f>
        <v/>
      </c>
      <c r="I3827">
        <f>TRIM(IF(LEN(IF(LEN(INDEX('Providers'!$X$4:$X$503,324))=0,"",INDEX('Providers'!$X$4:$X$503,324)))=0,"","Facility: "&amp;IF(LEN(INDEX('Providers'!$X$4:$X$503,324))=0,"",INDEX('Providers'!$X$4:$X$503,324))&amp;". "))</f>
        <v/>
      </c>
      <c r="J3827">
        <f>IF(LEN(INDEX('Providers'!$AJ$4:$AJ$503,324))=0,"",INDEX('Providers'!$AJ$4:$AJ$503,324))</f>
        <v/>
      </c>
      <c r="K3827">
        <f>IF(LEN(INDEX('Providers'!$AI$4:$AI$503,324))=0,"",INDEX('Providers'!$AI$4:$AI$503,324))</f>
        <v/>
      </c>
    </row>
    <row r="3828">
      <c r="A3828">
        <f>IF(AND(LEN('Providers'!A328)&gt;0,ISNUMBER('Providers'!Y328)),1,0)</f>
        <v/>
      </c>
      <c r="B3828">
        <f>B3827+A3828</f>
        <v/>
      </c>
      <c r="C3828">
        <f>IF(3825&gt;$B$4503,"",MATCH(3825-0.5,$B$3:$B$4503,1))</f>
        <v/>
      </c>
      <c r="D3828">
        <f>"Privileges reappointment – "&amp;IF(LEN(INDEX('Providers'!$A$4:$A$503,325))=0,"",INDEX('Providers'!$A$4:$A$503,325))</f>
        <v/>
      </c>
      <c r="E3828">
        <f>IF(ISNUMBER(INDEX('Providers'!$Y$4:$Y$503,325)),TEXT(INDEX('Providers'!$Y$4:$Y$503,325),"yyyy-mm-dd"),"")</f>
        <v/>
      </c>
      <c r="F3828">
        <f>"Credentialing"</f>
        <v/>
      </c>
      <c r="G3828">
        <f>""</f>
        <v/>
      </c>
      <c r="H3828">
        <f>"High"</f>
        <v/>
      </c>
      <c r="I3828">
        <f>TRIM(IF(LEN(IF(LEN(INDEX('Providers'!$X$4:$X$503,325))=0,"",INDEX('Providers'!$X$4:$X$503,325)))=0,"","Facility: "&amp;IF(LEN(INDEX('Providers'!$X$4:$X$503,325))=0,"",INDEX('Providers'!$X$4:$X$503,325))&amp;". "))</f>
        <v/>
      </c>
      <c r="J3828">
        <f>IF(LEN(INDEX('Providers'!$AJ$4:$AJ$503,325))=0,"",INDEX('Providers'!$AJ$4:$AJ$503,325))</f>
        <v/>
      </c>
      <c r="K3828">
        <f>IF(LEN(INDEX('Providers'!$AI$4:$AI$503,325))=0,"",INDEX('Providers'!$AI$4:$AI$503,325))</f>
        <v/>
      </c>
    </row>
    <row r="3829">
      <c r="A3829">
        <f>IF(AND(LEN('Providers'!A329)&gt;0,ISNUMBER('Providers'!Y329)),1,0)</f>
        <v/>
      </c>
      <c r="B3829">
        <f>B3828+A3829</f>
        <v/>
      </c>
      <c r="C3829">
        <f>IF(3826&gt;$B$4503,"",MATCH(3826-0.5,$B$3:$B$4503,1))</f>
        <v/>
      </c>
      <c r="D3829">
        <f>"Privileges reappointment – "&amp;IF(LEN(INDEX('Providers'!$A$4:$A$503,326))=0,"",INDEX('Providers'!$A$4:$A$503,326))</f>
        <v/>
      </c>
      <c r="E3829">
        <f>IF(ISNUMBER(INDEX('Providers'!$Y$4:$Y$503,326)),TEXT(INDEX('Providers'!$Y$4:$Y$503,326),"yyyy-mm-dd"),"")</f>
        <v/>
      </c>
      <c r="F3829">
        <f>"Credentialing"</f>
        <v/>
      </c>
      <c r="G3829">
        <f>""</f>
        <v/>
      </c>
      <c r="H3829">
        <f>"High"</f>
        <v/>
      </c>
      <c r="I3829">
        <f>TRIM(IF(LEN(IF(LEN(INDEX('Providers'!$X$4:$X$503,326))=0,"",INDEX('Providers'!$X$4:$X$503,326)))=0,"","Facility: "&amp;IF(LEN(INDEX('Providers'!$X$4:$X$503,326))=0,"",INDEX('Providers'!$X$4:$X$503,326))&amp;". "))</f>
        <v/>
      </c>
      <c r="J3829">
        <f>IF(LEN(INDEX('Providers'!$AJ$4:$AJ$503,326))=0,"",INDEX('Providers'!$AJ$4:$AJ$503,326))</f>
        <v/>
      </c>
      <c r="K3829">
        <f>IF(LEN(INDEX('Providers'!$AI$4:$AI$503,326))=0,"",INDEX('Providers'!$AI$4:$AI$503,326))</f>
        <v/>
      </c>
    </row>
    <row r="3830">
      <c r="A3830">
        <f>IF(AND(LEN('Providers'!A330)&gt;0,ISNUMBER('Providers'!Y330)),1,0)</f>
        <v/>
      </c>
      <c r="B3830">
        <f>B3829+A3830</f>
        <v/>
      </c>
      <c r="C3830">
        <f>IF(3827&gt;$B$4503,"",MATCH(3827-0.5,$B$3:$B$4503,1))</f>
        <v/>
      </c>
      <c r="D3830">
        <f>"Privileges reappointment – "&amp;IF(LEN(INDEX('Providers'!$A$4:$A$503,327))=0,"",INDEX('Providers'!$A$4:$A$503,327))</f>
        <v/>
      </c>
      <c r="E3830">
        <f>IF(ISNUMBER(INDEX('Providers'!$Y$4:$Y$503,327)),TEXT(INDEX('Providers'!$Y$4:$Y$503,327),"yyyy-mm-dd"),"")</f>
        <v/>
      </c>
      <c r="F3830">
        <f>"Credentialing"</f>
        <v/>
      </c>
      <c r="G3830">
        <f>""</f>
        <v/>
      </c>
      <c r="H3830">
        <f>"High"</f>
        <v/>
      </c>
      <c r="I3830">
        <f>TRIM(IF(LEN(IF(LEN(INDEX('Providers'!$X$4:$X$503,327))=0,"",INDEX('Providers'!$X$4:$X$503,327)))=0,"","Facility: "&amp;IF(LEN(INDEX('Providers'!$X$4:$X$503,327))=0,"",INDEX('Providers'!$X$4:$X$503,327))&amp;". "))</f>
        <v/>
      </c>
      <c r="J3830">
        <f>IF(LEN(INDEX('Providers'!$AJ$4:$AJ$503,327))=0,"",INDEX('Providers'!$AJ$4:$AJ$503,327))</f>
        <v/>
      </c>
      <c r="K3830">
        <f>IF(LEN(INDEX('Providers'!$AI$4:$AI$503,327))=0,"",INDEX('Providers'!$AI$4:$AI$503,327))</f>
        <v/>
      </c>
    </row>
    <row r="3831">
      <c r="A3831">
        <f>IF(AND(LEN('Providers'!A331)&gt;0,ISNUMBER('Providers'!Y331)),1,0)</f>
        <v/>
      </c>
      <c r="B3831">
        <f>B3830+A3831</f>
        <v/>
      </c>
      <c r="C3831">
        <f>IF(3828&gt;$B$4503,"",MATCH(3828-0.5,$B$3:$B$4503,1))</f>
        <v/>
      </c>
      <c r="D3831">
        <f>"Privileges reappointment – "&amp;IF(LEN(INDEX('Providers'!$A$4:$A$503,328))=0,"",INDEX('Providers'!$A$4:$A$503,328))</f>
        <v/>
      </c>
      <c r="E3831">
        <f>IF(ISNUMBER(INDEX('Providers'!$Y$4:$Y$503,328)),TEXT(INDEX('Providers'!$Y$4:$Y$503,328),"yyyy-mm-dd"),"")</f>
        <v/>
      </c>
      <c r="F3831">
        <f>"Credentialing"</f>
        <v/>
      </c>
      <c r="G3831">
        <f>""</f>
        <v/>
      </c>
      <c r="H3831">
        <f>"High"</f>
        <v/>
      </c>
      <c r="I3831">
        <f>TRIM(IF(LEN(IF(LEN(INDEX('Providers'!$X$4:$X$503,328))=0,"",INDEX('Providers'!$X$4:$X$503,328)))=0,"","Facility: "&amp;IF(LEN(INDEX('Providers'!$X$4:$X$503,328))=0,"",INDEX('Providers'!$X$4:$X$503,328))&amp;". "))</f>
        <v/>
      </c>
      <c r="J3831">
        <f>IF(LEN(INDEX('Providers'!$AJ$4:$AJ$503,328))=0,"",INDEX('Providers'!$AJ$4:$AJ$503,328))</f>
        <v/>
      </c>
      <c r="K3831">
        <f>IF(LEN(INDEX('Providers'!$AI$4:$AI$503,328))=0,"",INDEX('Providers'!$AI$4:$AI$503,328))</f>
        <v/>
      </c>
    </row>
    <row r="3832">
      <c r="A3832">
        <f>IF(AND(LEN('Providers'!A332)&gt;0,ISNUMBER('Providers'!Y332)),1,0)</f>
        <v/>
      </c>
      <c r="B3832">
        <f>B3831+A3832</f>
        <v/>
      </c>
      <c r="C3832">
        <f>IF(3829&gt;$B$4503,"",MATCH(3829-0.5,$B$3:$B$4503,1))</f>
        <v/>
      </c>
      <c r="D3832">
        <f>"Privileges reappointment – "&amp;IF(LEN(INDEX('Providers'!$A$4:$A$503,329))=0,"",INDEX('Providers'!$A$4:$A$503,329))</f>
        <v/>
      </c>
      <c r="E3832">
        <f>IF(ISNUMBER(INDEX('Providers'!$Y$4:$Y$503,329)),TEXT(INDEX('Providers'!$Y$4:$Y$503,329),"yyyy-mm-dd"),"")</f>
        <v/>
      </c>
      <c r="F3832">
        <f>"Credentialing"</f>
        <v/>
      </c>
      <c r="G3832">
        <f>""</f>
        <v/>
      </c>
      <c r="H3832">
        <f>"High"</f>
        <v/>
      </c>
      <c r="I3832">
        <f>TRIM(IF(LEN(IF(LEN(INDEX('Providers'!$X$4:$X$503,329))=0,"",INDEX('Providers'!$X$4:$X$503,329)))=0,"","Facility: "&amp;IF(LEN(INDEX('Providers'!$X$4:$X$503,329))=0,"",INDEX('Providers'!$X$4:$X$503,329))&amp;". "))</f>
        <v/>
      </c>
      <c r="J3832">
        <f>IF(LEN(INDEX('Providers'!$AJ$4:$AJ$503,329))=0,"",INDEX('Providers'!$AJ$4:$AJ$503,329))</f>
        <v/>
      </c>
      <c r="K3832">
        <f>IF(LEN(INDEX('Providers'!$AI$4:$AI$503,329))=0,"",INDEX('Providers'!$AI$4:$AI$503,329))</f>
        <v/>
      </c>
    </row>
    <row r="3833">
      <c r="A3833">
        <f>IF(AND(LEN('Providers'!A333)&gt;0,ISNUMBER('Providers'!Y333)),1,0)</f>
        <v/>
      </c>
      <c r="B3833">
        <f>B3832+A3833</f>
        <v/>
      </c>
      <c r="C3833">
        <f>IF(3830&gt;$B$4503,"",MATCH(3830-0.5,$B$3:$B$4503,1))</f>
        <v/>
      </c>
      <c r="D3833">
        <f>"Privileges reappointment – "&amp;IF(LEN(INDEX('Providers'!$A$4:$A$503,330))=0,"",INDEX('Providers'!$A$4:$A$503,330))</f>
        <v/>
      </c>
      <c r="E3833">
        <f>IF(ISNUMBER(INDEX('Providers'!$Y$4:$Y$503,330)),TEXT(INDEX('Providers'!$Y$4:$Y$503,330),"yyyy-mm-dd"),"")</f>
        <v/>
      </c>
      <c r="F3833">
        <f>"Credentialing"</f>
        <v/>
      </c>
      <c r="G3833">
        <f>""</f>
        <v/>
      </c>
      <c r="H3833">
        <f>"High"</f>
        <v/>
      </c>
      <c r="I3833">
        <f>TRIM(IF(LEN(IF(LEN(INDEX('Providers'!$X$4:$X$503,330))=0,"",INDEX('Providers'!$X$4:$X$503,330)))=0,"","Facility: "&amp;IF(LEN(INDEX('Providers'!$X$4:$X$503,330))=0,"",INDEX('Providers'!$X$4:$X$503,330))&amp;". "))</f>
        <v/>
      </c>
      <c r="J3833">
        <f>IF(LEN(INDEX('Providers'!$AJ$4:$AJ$503,330))=0,"",INDEX('Providers'!$AJ$4:$AJ$503,330))</f>
        <v/>
      </c>
      <c r="K3833">
        <f>IF(LEN(INDEX('Providers'!$AI$4:$AI$503,330))=0,"",INDEX('Providers'!$AI$4:$AI$503,330))</f>
        <v/>
      </c>
    </row>
    <row r="3834">
      <c r="A3834">
        <f>IF(AND(LEN('Providers'!A334)&gt;0,ISNUMBER('Providers'!Y334)),1,0)</f>
        <v/>
      </c>
      <c r="B3834">
        <f>B3833+A3834</f>
        <v/>
      </c>
      <c r="C3834">
        <f>IF(3831&gt;$B$4503,"",MATCH(3831-0.5,$B$3:$B$4503,1))</f>
        <v/>
      </c>
      <c r="D3834">
        <f>"Privileges reappointment – "&amp;IF(LEN(INDEX('Providers'!$A$4:$A$503,331))=0,"",INDEX('Providers'!$A$4:$A$503,331))</f>
        <v/>
      </c>
      <c r="E3834">
        <f>IF(ISNUMBER(INDEX('Providers'!$Y$4:$Y$503,331)),TEXT(INDEX('Providers'!$Y$4:$Y$503,331),"yyyy-mm-dd"),"")</f>
        <v/>
      </c>
      <c r="F3834">
        <f>"Credentialing"</f>
        <v/>
      </c>
      <c r="G3834">
        <f>""</f>
        <v/>
      </c>
      <c r="H3834">
        <f>"High"</f>
        <v/>
      </c>
      <c r="I3834">
        <f>TRIM(IF(LEN(IF(LEN(INDEX('Providers'!$X$4:$X$503,331))=0,"",INDEX('Providers'!$X$4:$X$503,331)))=0,"","Facility: "&amp;IF(LEN(INDEX('Providers'!$X$4:$X$503,331))=0,"",INDEX('Providers'!$X$4:$X$503,331))&amp;". "))</f>
        <v/>
      </c>
      <c r="J3834">
        <f>IF(LEN(INDEX('Providers'!$AJ$4:$AJ$503,331))=0,"",INDEX('Providers'!$AJ$4:$AJ$503,331))</f>
        <v/>
      </c>
      <c r="K3834">
        <f>IF(LEN(INDEX('Providers'!$AI$4:$AI$503,331))=0,"",INDEX('Providers'!$AI$4:$AI$503,331))</f>
        <v/>
      </c>
    </row>
    <row r="3835">
      <c r="A3835">
        <f>IF(AND(LEN('Providers'!A335)&gt;0,ISNUMBER('Providers'!Y335)),1,0)</f>
        <v/>
      </c>
      <c r="B3835">
        <f>B3834+A3835</f>
        <v/>
      </c>
      <c r="C3835">
        <f>IF(3832&gt;$B$4503,"",MATCH(3832-0.5,$B$3:$B$4503,1))</f>
        <v/>
      </c>
      <c r="D3835">
        <f>"Privileges reappointment – "&amp;IF(LEN(INDEX('Providers'!$A$4:$A$503,332))=0,"",INDEX('Providers'!$A$4:$A$503,332))</f>
        <v/>
      </c>
      <c r="E3835">
        <f>IF(ISNUMBER(INDEX('Providers'!$Y$4:$Y$503,332)),TEXT(INDEX('Providers'!$Y$4:$Y$503,332),"yyyy-mm-dd"),"")</f>
        <v/>
      </c>
      <c r="F3835">
        <f>"Credentialing"</f>
        <v/>
      </c>
      <c r="G3835">
        <f>""</f>
        <v/>
      </c>
      <c r="H3835">
        <f>"High"</f>
        <v/>
      </c>
      <c r="I3835">
        <f>TRIM(IF(LEN(IF(LEN(INDEX('Providers'!$X$4:$X$503,332))=0,"",INDEX('Providers'!$X$4:$X$503,332)))=0,"","Facility: "&amp;IF(LEN(INDEX('Providers'!$X$4:$X$503,332))=0,"",INDEX('Providers'!$X$4:$X$503,332))&amp;". "))</f>
        <v/>
      </c>
      <c r="J3835">
        <f>IF(LEN(INDEX('Providers'!$AJ$4:$AJ$503,332))=0,"",INDEX('Providers'!$AJ$4:$AJ$503,332))</f>
        <v/>
      </c>
      <c r="K3835">
        <f>IF(LEN(INDEX('Providers'!$AI$4:$AI$503,332))=0,"",INDEX('Providers'!$AI$4:$AI$503,332))</f>
        <v/>
      </c>
    </row>
    <row r="3836">
      <c r="A3836">
        <f>IF(AND(LEN('Providers'!A336)&gt;0,ISNUMBER('Providers'!Y336)),1,0)</f>
        <v/>
      </c>
      <c r="B3836">
        <f>B3835+A3836</f>
        <v/>
      </c>
      <c r="C3836">
        <f>IF(3833&gt;$B$4503,"",MATCH(3833-0.5,$B$3:$B$4503,1))</f>
        <v/>
      </c>
      <c r="D3836">
        <f>"Privileges reappointment – "&amp;IF(LEN(INDEX('Providers'!$A$4:$A$503,333))=0,"",INDEX('Providers'!$A$4:$A$503,333))</f>
        <v/>
      </c>
      <c r="E3836">
        <f>IF(ISNUMBER(INDEX('Providers'!$Y$4:$Y$503,333)),TEXT(INDEX('Providers'!$Y$4:$Y$503,333),"yyyy-mm-dd"),"")</f>
        <v/>
      </c>
      <c r="F3836">
        <f>"Credentialing"</f>
        <v/>
      </c>
      <c r="G3836">
        <f>""</f>
        <v/>
      </c>
      <c r="H3836">
        <f>"High"</f>
        <v/>
      </c>
      <c r="I3836">
        <f>TRIM(IF(LEN(IF(LEN(INDEX('Providers'!$X$4:$X$503,333))=0,"",INDEX('Providers'!$X$4:$X$503,333)))=0,"","Facility: "&amp;IF(LEN(INDEX('Providers'!$X$4:$X$503,333))=0,"",INDEX('Providers'!$X$4:$X$503,333))&amp;". "))</f>
        <v/>
      </c>
      <c r="J3836">
        <f>IF(LEN(INDEX('Providers'!$AJ$4:$AJ$503,333))=0,"",INDEX('Providers'!$AJ$4:$AJ$503,333))</f>
        <v/>
      </c>
      <c r="K3836">
        <f>IF(LEN(INDEX('Providers'!$AI$4:$AI$503,333))=0,"",INDEX('Providers'!$AI$4:$AI$503,333))</f>
        <v/>
      </c>
    </row>
    <row r="3837">
      <c r="A3837">
        <f>IF(AND(LEN('Providers'!A337)&gt;0,ISNUMBER('Providers'!Y337)),1,0)</f>
        <v/>
      </c>
      <c r="B3837">
        <f>B3836+A3837</f>
        <v/>
      </c>
      <c r="C3837">
        <f>IF(3834&gt;$B$4503,"",MATCH(3834-0.5,$B$3:$B$4503,1))</f>
        <v/>
      </c>
      <c r="D3837">
        <f>"Privileges reappointment – "&amp;IF(LEN(INDEX('Providers'!$A$4:$A$503,334))=0,"",INDEX('Providers'!$A$4:$A$503,334))</f>
        <v/>
      </c>
      <c r="E3837">
        <f>IF(ISNUMBER(INDEX('Providers'!$Y$4:$Y$503,334)),TEXT(INDEX('Providers'!$Y$4:$Y$503,334),"yyyy-mm-dd"),"")</f>
        <v/>
      </c>
      <c r="F3837">
        <f>"Credentialing"</f>
        <v/>
      </c>
      <c r="G3837">
        <f>""</f>
        <v/>
      </c>
      <c r="H3837">
        <f>"High"</f>
        <v/>
      </c>
      <c r="I3837">
        <f>TRIM(IF(LEN(IF(LEN(INDEX('Providers'!$X$4:$X$503,334))=0,"",INDEX('Providers'!$X$4:$X$503,334)))=0,"","Facility: "&amp;IF(LEN(INDEX('Providers'!$X$4:$X$503,334))=0,"",INDEX('Providers'!$X$4:$X$503,334))&amp;". "))</f>
        <v/>
      </c>
      <c r="J3837">
        <f>IF(LEN(INDEX('Providers'!$AJ$4:$AJ$503,334))=0,"",INDEX('Providers'!$AJ$4:$AJ$503,334))</f>
        <v/>
      </c>
      <c r="K3837">
        <f>IF(LEN(INDEX('Providers'!$AI$4:$AI$503,334))=0,"",INDEX('Providers'!$AI$4:$AI$503,334))</f>
        <v/>
      </c>
    </row>
    <row r="3838">
      <c r="A3838">
        <f>IF(AND(LEN('Providers'!A338)&gt;0,ISNUMBER('Providers'!Y338)),1,0)</f>
        <v/>
      </c>
      <c r="B3838">
        <f>B3837+A3838</f>
        <v/>
      </c>
      <c r="C3838">
        <f>IF(3835&gt;$B$4503,"",MATCH(3835-0.5,$B$3:$B$4503,1))</f>
        <v/>
      </c>
      <c r="D3838">
        <f>"Privileges reappointment – "&amp;IF(LEN(INDEX('Providers'!$A$4:$A$503,335))=0,"",INDEX('Providers'!$A$4:$A$503,335))</f>
        <v/>
      </c>
      <c r="E3838">
        <f>IF(ISNUMBER(INDEX('Providers'!$Y$4:$Y$503,335)),TEXT(INDEX('Providers'!$Y$4:$Y$503,335),"yyyy-mm-dd"),"")</f>
        <v/>
      </c>
      <c r="F3838">
        <f>"Credentialing"</f>
        <v/>
      </c>
      <c r="G3838">
        <f>""</f>
        <v/>
      </c>
      <c r="H3838">
        <f>"High"</f>
        <v/>
      </c>
      <c r="I3838">
        <f>TRIM(IF(LEN(IF(LEN(INDEX('Providers'!$X$4:$X$503,335))=0,"",INDEX('Providers'!$X$4:$X$503,335)))=0,"","Facility: "&amp;IF(LEN(INDEX('Providers'!$X$4:$X$503,335))=0,"",INDEX('Providers'!$X$4:$X$503,335))&amp;". "))</f>
        <v/>
      </c>
      <c r="J3838">
        <f>IF(LEN(INDEX('Providers'!$AJ$4:$AJ$503,335))=0,"",INDEX('Providers'!$AJ$4:$AJ$503,335))</f>
        <v/>
      </c>
      <c r="K3838">
        <f>IF(LEN(INDEX('Providers'!$AI$4:$AI$503,335))=0,"",INDEX('Providers'!$AI$4:$AI$503,335))</f>
        <v/>
      </c>
    </row>
    <row r="3839">
      <c r="A3839">
        <f>IF(AND(LEN('Providers'!A339)&gt;0,ISNUMBER('Providers'!Y339)),1,0)</f>
        <v/>
      </c>
      <c r="B3839">
        <f>B3838+A3839</f>
        <v/>
      </c>
      <c r="C3839">
        <f>IF(3836&gt;$B$4503,"",MATCH(3836-0.5,$B$3:$B$4503,1))</f>
        <v/>
      </c>
      <c r="D3839">
        <f>"Privileges reappointment – "&amp;IF(LEN(INDEX('Providers'!$A$4:$A$503,336))=0,"",INDEX('Providers'!$A$4:$A$503,336))</f>
        <v/>
      </c>
      <c r="E3839">
        <f>IF(ISNUMBER(INDEX('Providers'!$Y$4:$Y$503,336)),TEXT(INDEX('Providers'!$Y$4:$Y$503,336),"yyyy-mm-dd"),"")</f>
        <v/>
      </c>
      <c r="F3839">
        <f>"Credentialing"</f>
        <v/>
      </c>
      <c r="G3839">
        <f>""</f>
        <v/>
      </c>
      <c r="H3839">
        <f>"High"</f>
        <v/>
      </c>
      <c r="I3839">
        <f>TRIM(IF(LEN(IF(LEN(INDEX('Providers'!$X$4:$X$503,336))=0,"",INDEX('Providers'!$X$4:$X$503,336)))=0,"","Facility: "&amp;IF(LEN(INDEX('Providers'!$X$4:$X$503,336))=0,"",INDEX('Providers'!$X$4:$X$503,336))&amp;". "))</f>
        <v/>
      </c>
      <c r="J3839">
        <f>IF(LEN(INDEX('Providers'!$AJ$4:$AJ$503,336))=0,"",INDEX('Providers'!$AJ$4:$AJ$503,336))</f>
        <v/>
      </c>
      <c r="K3839">
        <f>IF(LEN(INDEX('Providers'!$AI$4:$AI$503,336))=0,"",INDEX('Providers'!$AI$4:$AI$503,336))</f>
        <v/>
      </c>
    </row>
    <row r="3840">
      <c r="A3840">
        <f>IF(AND(LEN('Providers'!A340)&gt;0,ISNUMBER('Providers'!Y340)),1,0)</f>
        <v/>
      </c>
      <c r="B3840">
        <f>B3839+A3840</f>
        <v/>
      </c>
      <c r="C3840">
        <f>IF(3837&gt;$B$4503,"",MATCH(3837-0.5,$B$3:$B$4503,1))</f>
        <v/>
      </c>
      <c r="D3840">
        <f>"Privileges reappointment – "&amp;IF(LEN(INDEX('Providers'!$A$4:$A$503,337))=0,"",INDEX('Providers'!$A$4:$A$503,337))</f>
        <v/>
      </c>
      <c r="E3840">
        <f>IF(ISNUMBER(INDEX('Providers'!$Y$4:$Y$503,337)),TEXT(INDEX('Providers'!$Y$4:$Y$503,337),"yyyy-mm-dd"),"")</f>
        <v/>
      </c>
      <c r="F3840">
        <f>"Credentialing"</f>
        <v/>
      </c>
      <c r="G3840">
        <f>""</f>
        <v/>
      </c>
      <c r="H3840">
        <f>"High"</f>
        <v/>
      </c>
      <c r="I3840">
        <f>TRIM(IF(LEN(IF(LEN(INDEX('Providers'!$X$4:$X$503,337))=0,"",INDEX('Providers'!$X$4:$X$503,337)))=0,"","Facility: "&amp;IF(LEN(INDEX('Providers'!$X$4:$X$503,337))=0,"",INDEX('Providers'!$X$4:$X$503,337))&amp;". "))</f>
        <v/>
      </c>
      <c r="J3840">
        <f>IF(LEN(INDEX('Providers'!$AJ$4:$AJ$503,337))=0,"",INDEX('Providers'!$AJ$4:$AJ$503,337))</f>
        <v/>
      </c>
      <c r="K3840">
        <f>IF(LEN(INDEX('Providers'!$AI$4:$AI$503,337))=0,"",INDEX('Providers'!$AI$4:$AI$503,337))</f>
        <v/>
      </c>
    </row>
    <row r="3841">
      <c r="A3841">
        <f>IF(AND(LEN('Providers'!A341)&gt;0,ISNUMBER('Providers'!Y341)),1,0)</f>
        <v/>
      </c>
      <c r="B3841">
        <f>B3840+A3841</f>
        <v/>
      </c>
      <c r="C3841">
        <f>IF(3838&gt;$B$4503,"",MATCH(3838-0.5,$B$3:$B$4503,1))</f>
        <v/>
      </c>
      <c r="D3841">
        <f>"Privileges reappointment – "&amp;IF(LEN(INDEX('Providers'!$A$4:$A$503,338))=0,"",INDEX('Providers'!$A$4:$A$503,338))</f>
        <v/>
      </c>
      <c r="E3841">
        <f>IF(ISNUMBER(INDEX('Providers'!$Y$4:$Y$503,338)),TEXT(INDEX('Providers'!$Y$4:$Y$503,338),"yyyy-mm-dd"),"")</f>
        <v/>
      </c>
      <c r="F3841">
        <f>"Credentialing"</f>
        <v/>
      </c>
      <c r="G3841">
        <f>""</f>
        <v/>
      </c>
      <c r="H3841">
        <f>"High"</f>
        <v/>
      </c>
      <c r="I3841">
        <f>TRIM(IF(LEN(IF(LEN(INDEX('Providers'!$X$4:$X$503,338))=0,"",INDEX('Providers'!$X$4:$X$503,338)))=0,"","Facility: "&amp;IF(LEN(INDEX('Providers'!$X$4:$X$503,338))=0,"",INDEX('Providers'!$X$4:$X$503,338))&amp;". "))</f>
        <v/>
      </c>
      <c r="J3841">
        <f>IF(LEN(INDEX('Providers'!$AJ$4:$AJ$503,338))=0,"",INDEX('Providers'!$AJ$4:$AJ$503,338))</f>
        <v/>
      </c>
      <c r="K3841">
        <f>IF(LEN(INDEX('Providers'!$AI$4:$AI$503,338))=0,"",INDEX('Providers'!$AI$4:$AI$503,338))</f>
        <v/>
      </c>
    </row>
    <row r="3842">
      <c r="A3842">
        <f>IF(AND(LEN('Providers'!A342)&gt;0,ISNUMBER('Providers'!Y342)),1,0)</f>
        <v/>
      </c>
      <c r="B3842">
        <f>B3841+A3842</f>
        <v/>
      </c>
      <c r="C3842">
        <f>IF(3839&gt;$B$4503,"",MATCH(3839-0.5,$B$3:$B$4503,1))</f>
        <v/>
      </c>
      <c r="D3842">
        <f>"Privileges reappointment – "&amp;IF(LEN(INDEX('Providers'!$A$4:$A$503,339))=0,"",INDEX('Providers'!$A$4:$A$503,339))</f>
        <v/>
      </c>
      <c r="E3842">
        <f>IF(ISNUMBER(INDEX('Providers'!$Y$4:$Y$503,339)),TEXT(INDEX('Providers'!$Y$4:$Y$503,339),"yyyy-mm-dd"),"")</f>
        <v/>
      </c>
      <c r="F3842">
        <f>"Credentialing"</f>
        <v/>
      </c>
      <c r="G3842">
        <f>""</f>
        <v/>
      </c>
      <c r="H3842">
        <f>"High"</f>
        <v/>
      </c>
      <c r="I3842">
        <f>TRIM(IF(LEN(IF(LEN(INDEX('Providers'!$X$4:$X$503,339))=0,"",INDEX('Providers'!$X$4:$X$503,339)))=0,"","Facility: "&amp;IF(LEN(INDEX('Providers'!$X$4:$X$503,339))=0,"",INDEX('Providers'!$X$4:$X$503,339))&amp;". "))</f>
        <v/>
      </c>
      <c r="J3842">
        <f>IF(LEN(INDEX('Providers'!$AJ$4:$AJ$503,339))=0,"",INDEX('Providers'!$AJ$4:$AJ$503,339))</f>
        <v/>
      </c>
      <c r="K3842">
        <f>IF(LEN(INDEX('Providers'!$AI$4:$AI$503,339))=0,"",INDEX('Providers'!$AI$4:$AI$503,339))</f>
        <v/>
      </c>
    </row>
    <row r="3843">
      <c r="A3843">
        <f>IF(AND(LEN('Providers'!A343)&gt;0,ISNUMBER('Providers'!Y343)),1,0)</f>
        <v/>
      </c>
      <c r="B3843">
        <f>B3842+A3843</f>
        <v/>
      </c>
      <c r="C3843">
        <f>IF(3840&gt;$B$4503,"",MATCH(3840-0.5,$B$3:$B$4503,1))</f>
        <v/>
      </c>
      <c r="D3843">
        <f>"Privileges reappointment – "&amp;IF(LEN(INDEX('Providers'!$A$4:$A$503,340))=0,"",INDEX('Providers'!$A$4:$A$503,340))</f>
        <v/>
      </c>
      <c r="E3843">
        <f>IF(ISNUMBER(INDEX('Providers'!$Y$4:$Y$503,340)),TEXT(INDEX('Providers'!$Y$4:$Y$503,340),"yyyy-mm-dd"),"")</f>
        <v/>
      </c>
      <c r="F3843">
        <f>"Credentialing"</f>
        <v/>
      </c>
      <c r="G3843">
        <f>""</f>
        <v/>
      </c>
      <c r="H3843">
        <f>"High"</f>
        <v/>
      </c>
      <c r="I3843">
        <f>TRIM(IF(LEN(IF(LEN(INDEX('Providers'!$X$4:$X$503,340))=0,"",INDEX('Providers'!$X$4:$X$503,340)))=0,"","Facility: "&amp;IF(LEN(INDEX('Providers'!$X$4:$X$503,340))=0,"",INDEX('Providers'!$X$4:$X$503,340))&amp;". "))</f>
        <v/>
      </c>
      <c r="J3843">
        <f>IF(LEN(INDEX('Providers'!$AJ$4:$AJ$503,340))=0,"",INDEX('Providers'!$AJ$4:$AJ$503,340))</f>
        <v/>
      </c>
      <c r="K3843">
        <f>IF(LEN(INDEX('Providers'!$AI$4:$AI$503,340))=0,"",INDEX('Providers'!$AI$4:$AI$503,340))</f>
        <v/>
      </c>
    </row>
    <row r="3844">
      <c r="A3844">
        <f>IF(AND(LEN('Providers'!A344)&gt;0,ISNUMBER('Providers'!Y344)),1,0)</f>
        <v/>
      </c>
      <c r="B3844">
        <f>B3843+A3844</f>
        <v/>
      </c>
      <c r="C3844">
        <f>IF(3841&gt;$B$4503,"",MATCH(3841-0.5,$B$3:$B$4503,1))</f>
        <v/>
      </c>
      <c r="D3844">
        <f>"Privileges reappointment – "&amp;IF(LEN(INDEX('Providers'!$A$4:$A$503,341))=0,"",INDEX('Providers'!$A$4:$A$503,341))</f>
        <v/>
      </c>
      <c r="E3844">
        <f>IF(ISNUMBER(INDEX('Providers'!$Y$4:$Y$503,341)),TEXT(INDEX('Providers'!$Y$4:$Y$503,341),"yyyy-mm-dd"),"")</f>
        <v/>
      </c>
      <c r="F3844">
        <f>"Credentialing"</f>
        <v/>
      </c>
      <c r="G3844">
        <f>""</f>
        <v/>
      </c>
      <c r="H3844">
        <f>"High"</f>
        <v/>
      </c>
      <c r="I3844">
        <f>TRIM(IF(LEN(IF(LEN(INDEX('Providers'!$X$4:$X$503,341))=0,"",INDEX('Providers'!$X$4:$X$503,341)))=0,"","Facility: "&amp;IF(LEN(INDEX('Providers'!$X$4:$X$503,341))=0,"",INDEX('Providers'!$X$4:$X$503,341))&amp;". "))</f>
        <v/>
      </c>
      <c r="J3844">
        <f>IF(LEN(INDEX('Providers'!$AJ$4:$AJ$503,341))=0,"",INDEX('Providers'!$AJ$4:$AJ$503,341))</f>
        <v/>
      </c>
      <c r="K3844">
        <f>IF(LEN(INDEX('Providers'!$AI$4:$AI$503,341))=0,"",INDEX('Providers'!$AI$4:$AI$503,341))</f>
        <v/>
      </c>
    </row>
    <row r="3845">
      <c r="A3845">
        <f>IF(AND(LEN('Providers'!A345)&gt;0,ISNUMBER('Providers'!Y345)),1,0)</f>
        <v/>
      </c>
      <c r="B3845">
        <f>B3844+A3845</f>
        <v/>
      </c>
      <c r="C3845">
        <f>IF(3842&gt;$B$4503,"",MATCH(3842-0.5,$B$3:$B$4503,1))</f>
        <v/>
      </c>
      <c r="D3845">
        <f>"Privileges reappointment – "&amp;IF(LEN(INDEX('Providers'!$A$4:$A$503,342))=0,"",INDEX('Providers'!$A$4:$A$503,342))</f>
        <v/>
      </c>
      <c r="E3845">
        <f>IF(ISNUMBER(INDEX('Providers'!$Y$4:$Y$503,342)),TEXT(INDEX('Providers'!$Y$4:$Y$503,342),"yyyy-mm-dd"),"")</f>
        <v/>
      </c>
      <c r="F3845">
        <f>"Credentialing"</f>
        <v/>
      </c>
      <c r="G3845">
        <f>""</f>
        <v/>
      </c>
      <c r="H3845">
        <f>"High"</f>
        <v/>
      </c>
      <c r="I3845">
        <f>TRIM(IF(LEN(IF(LEN(INDEX('Providers'!$X$4:$X$503,342))=0,"",INDEX('Providers'!$X$4:$X$503,342)))=0,"","Facility: "&amp;IF(LEN(INDEX('Providers'!$X$4:$X$503,342))=0,"",INDEX('Providers'!$X$4:$X$503,342))&amp;". "))</f>
        <v/>
      </c>
      <c r="J3845">
        <f>IF(LEN(INDEX('Providers'!$AJ$4:$AJ$503,342))=0,"",INDEX('Providers'!$AJ$4:$AJ$503,342))</f>
        <v/>
      </c>
      <c r="K3845">
        <f>IF(LEN(INDEX('Providers'!$AI$4:$AI$503,342))=0,"",INDEX('Providers'!$AI$4:$AI$503,342))</f>
        <v/>
      </c>
    </row>
    <row r="3846">
      <c r="A3846">
        <f>IF(AND(LEN('Providers'!A346)&gt;0,ISNUMBER('Providers'!Y346)),1,0)</f>
        <v/>
      </c>
      <c r="B3846">
        <f>B3845+A3846</f>
        <v/>
      </c>
      <c r="C3846">
        <f>IF(3843&gt;$B$4503,"",MATCH(3843-0.5,$B$3:$B$4503,1))</f>
        <v/>
      </c>
      <c r="D3846">
        <f>"Privileges reappointment – "&amp;IF(LEN(INDEX('Providers'!$A$4:$A$503,343))=0,"",INDEX('Providers'!$A$4:$A$503,343))</f>
        <v/>
      </c>
      <c r="E3846">
        <f>IF(ISNUMBER(INDEX('Providers'!$Y$4:$Y$503,343)),TEXT(INDEX('Providers'!$Y$4:$Y$503,343),"yyyy-mm-dd"),"")</f>
        <v/>
      </c>
      <c r="F3846">
        <f>"Credentialing"</f>
        <v/>
      </c>
      <c r="G3846">
        <f>""</f>
        <v/>
      </c>
      <c r="H3846">
        <f>"High"</f>
        <v/>
      </c>
      <c r="I3846">
        <f>TRIM(IF(LEN(IF(LEN(INDEX('Providers'!$X$4:$X$503,343))=0,"",INDEX('Providers'!$X$4:$X$503,343)))=0,"","Facility: "&amp;IF(LEN(INDEX('Providers'!$X$4:$X$503,343))=0,"",INDEX('Providers'!$X$4:$X$503,343))&amp;". "))</f>
        <v/>
      </c>
      <c r="J3846">
        <f>IF(LEN(INDEX('Providers'!$AJ$4:$AJ$503,343))=0,"",INDEX('Providers'!$AJ$4:$AJ$503,343))</f>
        <v/>
      </c>
      <c r="K3846">
        <f>IF(LEN(INDEX('Providers'!$AI$4:$AI$503,343))=0,"",INDEX('Providers'!$AI$4:$AI$503,343))</f>
        <v/>
      </c>
    </row>
    <row r="3847">
      <c r="A3847">
        <f>IF(AND(LEN('Providers'!A347)&gt;0,ISNUMBER('Providers'!Y347)),1,0)</f>
        <v/>
      </c>
      <c r="B3847">
        <f>B3846+A3847</f>
        <v/>
      </c>
      <c r="C3847">
        <f>IF(3844&gt;$B$4503,"",MATCH(3844-0.5,$B$3:$B$4503,1))</f>
        <v/>
      </c>
      <c r="D3847">
        <f>"Privileges reappointment – "&amp;IF(LEN(INDEX('Providers'!$A$4:$A$503,344))=0,"",INDEX('Providers'!$A$4:$A$503,344))</f>
        <v/>
      </c>
      <c r="E3847">
        <f>IF(ISNUMBER(INDEX('Providers'!$Y$4:$Y$503,344)),TEXT(INDEX('Providers'!$Y$4:$Y$503,344),"yyyy-mm-dd"),"")</f>
        <v/>
      </c>
      <c r="F3847">
        <f>"Credentialing"</f>
        <v/>
      </c>
      <c r="G3847">
        <f>""</f>
        <v/>
      </c>
      <c r="H3847">
        <f>"High"</f>
        <v/>
      </c>
      <c r="I3847">
        <f>TRIM(IF(LEN(IF(LEN(INDEX('Providers'!$X$4:$X$503,344))=0,"",INDEX('Providers'!$X$4:$X$503,344)))=0,"","Facility: "&amp;IF(LEN(INDEX('Providers'!$X$4:$X$503,344))=0,"",INDEX('Providers'!$X$4:$X$503,344))&amp;". "))</f>
        <v/>
      </c>
      <c r="J3847">
        <f>IF(LEN(INDEX('Providers'!$AJ$4:$AJ$503,344))=0,"",INDEX('Providers'!$AJ$4:$AJ$503,344))</f>
        <v/>
      </c>
      <c r="K3847">
        <f>IF(LEN(INDEX('Providers'!$AI$4:$AI$503,344))=0,"",INDEX('Providers'!$AI$4:$AI$503,344))</f>
        <v/>
      </c>
    </row>
    <row r="3848">
      <c r="A3848">
        <f>IF(AND(LEN('Providers'!A348)&gt;0,ISNUMBER('Providers'!Y348)),1,0)</f>
        <v/>
      </c>
      <c r="B3848">
        <f>B3847+A3848</f>
        <v/>
      </c>
      <c r="C3848">
        <f>IF(3845&gt;$B$4503,"",MATCH(3845-0.5,$B$3:$B$4503,1))</f>
        <v/>
      </c>
      <c r="D3848">
        <f>"Privileges reappointment – "&amp;IF(LEN(INDEX('Providers'!$A$4:$A$503,345))=0,"",INDEX('Providers'!$A$4:$A$503,345))</f>
        <v/>
      </c>
      <c r="E3848">
        <f>IF(ISNUMBER(INDEX('Providers'!$Y$4:$Y$503,345)),TEXT(INDEX('Providers'!$Y$4:$Y$503,345),"yyyy-mm-dd"),"")</f>
        <v/>
      </c>
      <c r="F3848">
        <f>"Credentialing"</f>
        <v/>
      </c>
      <c r="G3848">
        <f>""</f>
        <v/>
      </c>
      <c r="H3848">
        <f>"High"</f>
        <v/>
      </c>
      <c r="I3848">
        <f>TRIM(IF(LEN(IF(LEN(INDEX('Providers'!$X$4:$X$503,345))=0,"",INDEX('Providers'!$X$4:$X$503,345)))=0,"","Facility: "&amp;IF(LEN(INDEX('Providers'!$X$4:$X$503,345))=0,"",INDEX('Providers'!$X$4:$X$503,345))&amp;". "))</f>
        <v/>
      </c>
      <c r="J3848">
        <f>IF(LEN(INDEX('Providers'!$AJ$4:$AJ$503,345))=0,"",INDEX('Providers'!$AJ$4:$AJ$503,345))</f>
        <v/>
      </c>
      <c r="K3848">
        <f>IF(LEN(INDEX('Providers'!$AI$4:$AI$503,345))=0,"",INDEX('Providers'!$AI$4:$AI$503,345))</f>
        <v/>
      </c>
    </row>
    <row r="3849">
      <c r="A3849">
        <f>IF(AND(LEN('Providers'!A349)&gt;0,ISNUMBER('Providers'!Y349)),1,0)</f>
        <v/>
      </c>
      <c r="B3849">
        <f>B3848+A3849</f>
        <v/>
      </c>
      <c r="C3849">
        <f>IF(3846&gt;$B$4503,"",MATCH(3846-0.5,$B$3:$B$4503,1))</f>
        <v/>
      </c>
      <c r="D3849">
        <f>"Privileges reappointment – "&amp;IF(LEN(INDEX('Providers'!$A$4:$A$503,346))=0,"",INDEX('Providers'!$A$4:$A$503,346))</f>
        <v/>
      </c>
      <c r="E3849">
        <f>IF(ISNUMBER(INDEX('Providers'!$Y$4:$Y$503,346)),TEXT(INDEX('Providers'!$Y$4:$Y$503,346),"yyyy-mm-dd"),"")</f>
        <v/>
      </c>
      <c r="F3849">
        <f>"Credentialing"</f>
        <v/>
      </c>
      <c r="G3849">
        <f>""</f>
        <v/>
      </c>
      <c r="H3849">
        <f>"High"</f>
        <v/>
      </c>
      <c r="I3849">
        <f>TRIM(IF(LEN(IF(LEN(INDEX('Providers'!$X$4:$X$503,346))=0,"",INDEX('Providers'!$X$4:$X$503,346)))=0,"","Facility: "&amp;IF(LEN(INDEX('Providers'!$X$4:$X$503,346))=0,"",INDEX('Providers'!$X$4:$X$503,346))&amp;". "))</f>
        <v/>
      </c>
      <c r="J3849">
        <f>IF(LEN(INDEX('Providers'!$AJ$4:$AJ$503,346))=0,"",INDEX('Providers'!$AJ$4:$AJ$503,346))</f>
        <v/>
      </c>
      <c r="K3849">
        <f>IF(LEN(INDEX('Providers'!$AI$4:$AI$503,346))=0,"",INDEX('Providers'!$AI$4:$AI$503,346))</f>
        <v/>
      </c>
    </row>
    <row r="3850">
      <c r="A3850">
        <f>IF(AND(LEN('Providers'!A350)&gt;0,ISNUMBER('Providers'!Y350)),1,0)</f>
        <v/>
      </c>
      <c r="B3850">
        <f>B3849+A3850</f>
        <v/>
      </c>
      <c r="C3850">
        <f>IF(3847&gt;$B$4503,"",MATCH(3847-0.5,$B$3:$B$4503,1))</f>
        <v/>
      </c>
      <c r="D3850">
        <f>"Privileges reappointment – "&amp;IF(LEN(INDEX('Providers'!$A$4:$A$503,347))=0,"",INDEX('Providers'!$A$4:$A$503,347))</f>
        <v/>
      </c>
      <c r="E3850">
        <f>IF(ISNUMBER(INDEX('Providers'!$Y$4:$Y$503,347)),TEXT(INDEX('Providers'!$Y$4:$Y$503,347),"yyyy-mm-dd"),"")</f>
        <v/>
      </c>
      <c r="F3850">
        <f>"Credentialing"</f>
        <v/>
      </c>
      <c r="G3850">
        <f>""</f>
        <v/>
      </c>
      <c r="H3850">
        <f>"High"</f>
        <v/>
      </c>
      <c r="I3850">
        <f>TRIM(IF(LEN(IF(LEN(INDEX('Providers'!$X$4:$X$503,347))=0,"",INDEX('Providers'!$X$4:$X$503,347)))=0,"","Facility: "&amp;IF(LEN(INDEX('Providers'!$X$4:$X$503,347))=0,"",INDEX('Providers'!$X$4:$X$503,347))&amp;". "))</f>
        <v/>
      </c>
      <c r="J3850">
        <f>IF(LEN(INDEX('Providers'!$AJ$4:$AJ$503,347))=0,"",INDEX('Providers'!$AJ$4:$AJ$503,347))</f>
        <v/>
      </c>
      <c r="K3850">
        <f>IF(LEN(INDEX('Providers'!$AI$4:$AI$503,347))=0,"",INDEX('Providers'!$AI$4:$AI$503,347))</f>
        <v/>
      </c>
    </row>
    <row r="3851">
      <c r="A3851">
        <f>IF(AND(LEN('Providers'!A351)&gt;0,ISNUMBER('Providers'!Y351)),1,0)</f>
        <v/>
      </c>
      <c r="B3851">
        <f>B3850+A3851</f>
        <v/>
      </c>
      <c r="C3851">
        <f>IF(3848&gt;$B$4503,"",MATCH(3848-0.5,$B$3:$B$4503,1))</f>
        <v/>
      </c>
      <c r="D3851">
        <f>"Privileges reappointment – "&amp;IF(LEN(INDEX('Providers'!$A$4:$A$503,348))=0,"",INDEX('Providers'!$A$4:$A$503,348))</f>
        <v/>
      </c>
      <c r="E3851">
        <f>IF(ISNUMBER(INDEX('Providers'!$Y$4:$Y$503,348)),TEXT(INDEX('Providers'!$Y$4:$Y$503,348),"yyyy-mm-dd"),"")</f>
        <v/>
      </c>
      <c r="F3851">
        <f>"Credentialing"</f>
        <v/>
      </c>
      <c r="G3851">
        <f>""</f>
        <v/>
      </c>
      <c r="H3851">
        <f>"High"</f>
        <v/>
      </c>
      <c r="I3851">
        <f>TRIM(IF(LEN(IF(LEN(INDEX('Providers'!$X$4:$X$503,348))=0,"",INDEX('Providers'!$X$4:$X$503,348)))=0,"","Facility: "&amp;IF(LEN(INDEX('Providers'!$X$4:$X$503,348))=0,"",INDEX('Providers'!$X$4:$X$503,348))&amp;". "))</f>
        <v/>
      </c>
      <c r="J3851">
        <f>IF(LEN(INDEX('Providers'!$AJ$4:$AJ$503,348))=0,"",INDEX('Providers'!$AJ$4:$AJ$503,348))</f>
        <v/>
      </c>
      <c r="K3851">
        <f>IF(LEN(INDEX('Providers'!$AI$4:$AI$503,348))=0,"",INDEX('Providers'!$AI$4:$AI$503,348))</f>
        <v/>
      </c>
    </row>
    <row r="3852">
      <c r="A3852">
        <f>IF(AND(LEN('Providers'!A352)&gt;0,ISNUMBER('Providers'!Y352)),1,0)</f>
        <v/>
      </c>
      <c r="B3852">
        <f>B3851+A3852</f>
        <v/>
      </c>
      <c r="C3852">
        <f>IF(3849&gt;$B$4503,"",MATCH(3849-0.5,$B$3:$B$4503,1))</f>
        <v/>
      </c>
      <c r="D3852">
        <f>"Privileges reappointment – "&amp;IF(LEN(INDEX('Providers'!$A$4:$A$503,349))=0,"",INDEX('Providers'!$A$4:$A$503,349))</f>
        <v/>
      </c>
      <c r="E3852">
        <f>IF(ISNUMBER(INDEX('Providers'!$Y$4:$Y$503,349)),TEXT(INDEX('Providers'!$Y$4:$Y$503,349),"yyyy-mm-dd"),"")</f>
        <v/>
      </c>
      <c r="F3852">
        <f>"Credentialing"</f>
        <v/>
      </c>
      <c r="G3852">
        <f>""</f>
        <v/>
      </c>
      <c r="H3852">
        <f>"High"</f>
        <v/>
      </c>
      <c r="I3852">
        <f>TRIM(IF(LEN(IF(LEN(INDEX('Providers'!$X$4:$X$503,349))=0,"",INDEX('Providers'!$X$4:$X$503,349)))=0,"","Facility: "&amp;IF(LEN(INDEX('Providers'!$X$4:$X$503,349))=0,"",INDEX('Providers'!$X$4:$X$503,349))&amp;". "))</f>
        <v/>
      </c>
      <c r="J3852">
        <f>IF(LEN(INDEX('Providers'!$AJ$4:$AJ$503,349))=0,"",INDEX('Providers'!$AJ$4:$AJ$503,349))</f>
        <v/>
      </c>
      <c r="K3852">
        <f>IF(LEN(INDEX('Providers'!$AI$4:$AI$503,349))=0,"",INDEX('Providers'!$AI$4:$AI$503,349))</f>
        <v/>
      </c>
    </row>
    <row r="3853">
      <c r="A3853">
        <f>IF(AND(LEN('Providers'!A353)&gt;0,ISNUMBER('Providers'!Y353)),1,0)</f>
        <v/>
      </c>
      <c r="B3853">
        <f>B3852+A3853</f>
        <v/>
      </c>
      <c r="C3853">
        <f>IF(3850&gt;$B$4503,"",MATCH(3850-0.5,$B$3:$B$4503,1))</f>
        <v/>
      </c>
      <c r="D3853">
        <f>"Privileges reappointment – "&amp;IF(LEN(INDEX('Providers'!$A$4:$A$503,350))=0,"",INDEX('Providers'!$A$4:$A$503,350))</f>
        <v/>
      </c>
      <c r="E3853">
        <f>IF(ISNUMBER(INDEX('Providers'!$Y$4:$Y$503,350)),TEXT(INDEX('Providers'!$Y$4:$Y$503,350),"yyyy-mm-dd"),"")</f>
        <v/>
      </c>
      <c r="F3853">
        <f>"Credentialing"</f>
        <v/>
      </c>
      <c r="G3853">
        <f>""</f>
        <v/>
      </c>
      <c r="H3853">
        <f>"High"</f>
        <v/>
      </c>
      <c r="I3853">
        <f>TRIM(IF(LEN(IF(LEN(INDEX('Providers'!$X$4:$X$503,350))=0,"",INDEX('Providers'!$X$4:$X$503,350)))=0,"","Facility: "&amp;IF(LEN(INDEX('Providers'!$X$4:$X$503,350))=0,"",INDEX('Providers'!$X$4:$X$503,350))&amp;". "))</f>
        <v/>
      </c>
      <c r="J3853">
        <f>IF(LEN(INDEX('Providers'!$AJ$4:$AJ$503,350))=0,"",INDEX('Providers'!$AJ$4:$AJ$503,350))</f>
        <v/>
      </c>
      <c r="K3853">
        <f>IF(LEN(INDEX('Providers'!$AI$4:$AI$503,350))=0,"",INDEX('Providers'!$AI$4:$AI$503,350))</f>
        <v/>
      </c>
    </row>
    <row r="3854">
      <c r="A3854">
        <f>IF(AND(LEN('Providers'!A354)&gt;0,ISNUMBER('Providers'!Y354)),1,0)</f>
        <v/>
      </c>
      <c r="B3854">
        <f>B3853+A3854</f>
        <v/>
      </c>
      <c r="C3854">
        <f>IF(3851&gt;$B$4503,"",MATCH(3851-0.5,$B$3:$B$4503,1))</f>
        <v/>
      </c>
      <c r="D3854">
        <f>"Privileges reappointment – "&amp;IF(LEN(INDEX('Providers'!$A$4:$A$503,351))=0,"",INDEX('Providers'!$A$4:$A$503,351))</f>
        <v/>
      </c>
      <c r="E3854">
        <f>IF(ISNUMBER(INDEX('Providers'!$Y$4:$Y$503,351)),TEXT(INDEX('Providers'!$Y$4:$Y$503,351),"yyyy-mm-dd"),"")</f>
        <v/>
      </c>
      <c r="F3854">
        <f>"Credentialing"</f>
        <v/>
      </c>
      <c r="G3854">
        <f>""</f>
        <v/>
      </c>
      <c r="H3854">
        <f>"High"</f>
        <v/>
      </c>
      <c r="I3854">
        <f>TRIM(IF(LEN(IF(LEN(INDEX('Providers'!$X$4:$X$503,351))=0,"",INDEX('Providers'!$X$4:$X$503,351)))=0,"","Facility: "&amp;IF(LEN(INDEX('Providers'!$X$4:$X$503,351))=0,"",INDEX('Providers'!$X$4:$X$503,351))&amp;". "))</f>
        <v/>
      </c>
      <c r="J3854">
        <f>IF(LEN(INDEX('Providers'!$AJ$4:$AJ$503,351))=0,"",INDEX('Providers'!$AJ$4:$AJ$503,351))</f>
        <v/>
      </c>
      <c r="K3854">
        <f>IF(LEN(INDEX('Providers'!$AI$4:$AI$503,351))=0,"",INDEX('Providers'!$AI$4:$AI$503,351))</f>
        <v/>
      </c>
    </row>
    <row r="3855">
      <c r="A3855">
        <f>IF(AND(LEN('Providers'!A355)&gt;0,ISNUMBER('Providers'!Y355)),1,0)</f>
        <v/>
      </c>
      <c r="B3855">
        <f>B3854+A3855</f>
        <v/>
      </c>
      <c r="C3855">
        <f>IF(3852&gt;$B$4503,"",MATCH(3852-0.5,$B$3:$B$4503,1))</f>
        <v/>
      </c>
      <c r="D3855">
        <f>"Privileges reappointment – "&amp;IF(LEN(INDEX('Providers'!$A$4:$A$503,352))=0,"",INDEX('Providers'!$A$4:$A$503,352))</f>
        <v/>
      </c>
      <c r="E3855">
        <f>IF(ISNUMBER(INDEX('Providers'!$Y$4:$Y$503,352)),TEXT(INDEX('Providers'!$Y$4:$Y$503,352),"yyyy-mm-dd"),"")</f>
        <v/>
      </c>
      <c r="F3855">
        <f>"Credentialing"</f>
        <v/>
      </c>
      <c r="G3855">
        <f>""</f>
        <v/>
      </c>
      <c r="H3855">
        <f>"High"</f>
        <v/>
      </c>
      <c r="I3855">
        <f>TRIM(IF(LEN(IF(LEN(INDEX('Providers'!$X$4:$X$503,352))=0,"",INDEX('Providers'!$X$4:$X$503,352)))=0,"","Facility: "&amp;IF(LEN(INDEX('Providers'!$X$4:$X$503,352))=0,"",INDEX('Providers'!$X$4:$X$503,352))&amp;". "))</f>
        <v/>
      </c>
      <c r="J3855">
        <f>IF(LEN(INDEX('Providers'!$AJ$4:$AJ$503,352))=0,"",INDEX('Providers'!$AJ$4:$AJ$503,352))</f>
        <v/>
      </c>
      <c r="K3855">
        <f>IF(LEN(INDEX('Providers'!$AI$4:$AI$503,352))=0,"",INDEX('Providers'!$AI$4:$AI$503,352))</f>
        <v/>
      </c>
    </row>
    <row r="3856">
      <c r="A3856">
        <f>IF(AND(LEN('Providers'!A356)&gt;0,ISNUMBER('Providers'!Y356)),1,0)</f>
        <v/>
      </c>
      <c r="B3856">
        <f>B3855+A3856</f>
        <v/>
      </c>
      <c r="C3856">
        <f>IF(3853&gt;$B$4503,"",MATCH(3853-0.5,$B$3:$B$4503,1))</f>
        <v/>
      </c>
      <c r="D3856">
        <f>"Privileges reappointment – "&amp;IF(LEN(INDEX('Providers'!$A$4:$A$503,353))=0,"",INDEX('Providers'!$A$4:$A$503,353))</f>
        <v/>
      </c>
      <c r="E3856">
        <f>IF(ISNUMBER(INDEX('Providers'!$Y$4:$Y$503,353)),TEXT(INDEX('Providers'!$Y$4:$Y$503,353),"yyyy-mm-dd"),"")</f>
        <v/>
      </c>
      <c r="F3856">
        <f>"Credentialing"</f>
        <v/>
      </c>
      <c r="G3856">
        <f>""</f>
        <v/>
      </c>
      <c r="H3856">
        <f>"High"</f>
        <v/>
      </c>
      <c r="I3856">
        <f>TRIM(IF(LEN(IF(LEN(INDEX('Providers'!$X$4:$X$503,353))=0,"",INDEX('Providers'!$X$4:$X$503,353)))=0,"","Facility: "&amp;IF(LEN(INDEX('Providers'!$X$4:$X$503,353))=0,"",INDEX('Providers'!$X$4:$X$503,353))&amp;". "))</f>
        <v/>
      </c>
      <c r="J3856">
        <f>IF(LEN(INDEX('Providers'!$AJ$4:$AJ$503,353))=0,"",INDEX('Providers'!$AJ$4:$AJ$503,353))</f>
        <v/>
      </c>
      <c r="K3856">
        <f>IF(LEN(INDEX('Providers'!$AI$4:$AI$503,353))=0,"",INDEX('Providers'!$AI$4:$AI$503,353))</f>
        <v/>
      </c>
    </row>
    <row r="3857">
      <c r="A3857">
        <f>IF(AND(LEN('Providers'!A357)&gt;0,ISNUMBER('Providers'!Y357)),1,0)</f>
        <v/>
      </c>
      <c r="B3857">
        <f>B3856+A3857</f>
        <v/>
      </c>
      <c r="C3857">
        <f>IF(3854&gt;$B$4503,"",MATCH(3854-0.5,$B$3:$B$4503,1))</f>
        <v/>
      </c>
      <c r="D3857">
        <f>"Privileges reappointment – "&amp;IF(LEN(INDEX('Providers'!$A$4:$A$503,354))=0,"",INDEX('Providers'!$A$4:$A$503,354))</f>
        <v/>
      </c>
      <c r="E3857">
        <f>IF(ISNUMBER(INDEX('Providers'!$Y$4:$Y$503,354)),TEXT(INDEX('Providers'!$Y$4:$Y$503,354),"yyyy-mm-dd"),"")</f>
        <v/>
      </c>
      <c r="F3857">
        <f>"Credentialing"</f>
        <v/>
      </c>
      <c r="G3857">
        <f>""</f>
        <v/>
      </c>
      <c r="H3857">
        <f>"High"</f>
        <v/>
      </c>
      <c r="I3857">
        <f>TRIM(IF(LEN(IF(LEN(INDEX('Providers'!$X$4:$X$503,354))=0,"",INDEX('Providers'!$X$4:$X$503,354)))=0,"","Facility: "&amp;IF(LEN(INDEX('Providers'!$X$4:$X$503,354))=0,"",INDEX('Providers'!$X$4:$X$503,354))&amp;". "))</f>
        <v/>
      </c>
      <c r="J3857">
        <f>IF(LEN(INDEX('Providers'!$AJ$4:$AJ$503,354))=0,"",INDEX('Providers'!$AJ$4:$AJ$503,354))</f>
        <v/>
      </c>
      <c r="K3857">
        <f>IF(LEN(INDEX('Providers'!$AI$4:$AI$503,354))=0,"",INDEX('Providers'!$AI$4:$AI$503,354))</f>
        <v/>
      </c>
    </row>
    <row r="3858">
      <c r="A3858">
        <f>IF(AND(LEN('Providers'!A358)&gt;0,ISNUMBER('Providers'!Y358)),1,0)</f>
        <v/>
      </c>
      <c r="B3858">
        <f>B3857+A3858</f>
        <v/>
      </c>
      <c r="C3858">
        <f>IF(3855&gt;$B$4503,"",MATCH(3855-0.5,$B$3:$B$4503,1))</f>
        <v/>
      </c>
      <c r="D3858">
        <f>"Privileges reappointment – "&amp;IF(LEN(INDEX('Providers'!$A$4:$A$503,355))=0,"",INDEX('Providers'!$A$4:$A$503,355))</f>
        <v/>
      </c>
      <c r="E3858">
        <f>IF(ISNUMBER(INDEX('Providers'!$Y$4:$Y$503,355)),TEXT(INDEX('Providers'!$Y$4:$Y$503,355),"yyyy-mm-dd"),"")</f>
        <v/>
      </c>
      <c r="F3858">
        <f>"Credentialing"</f>
        <v/>
      </c>
      <c r="G3858">
        <f>""</f>
        <v/>
      </c>
      <c r="H3858">
        <f>"High"</f>
        <v/>
      </c>
      <c r="I3858">
        <f>TRIM(IF(LEN(IF(LEN(INDEX('Providers'!$X$4:$X$503,355))=0,"",INDEX('Providers'!$X$4:$X$503,355)))=0,"","Facility: "&amp;IF(LEN(INDEX('Providers'!$X$4:$X$503,355))=0,"",INDEX('Providers'!$X$4:$X$503,355))&amp;". "))</f>
        <v/>
      </c>
      <c r="J3858">
        <f>IF(LEN(INDEX('Providers'!$AJ$4:$AJ$503,355))=0,"",INDEX('Providers'!$AJ$4:$AJ$503,355))</f>
        <v/>
      </c>
      <c r="K3858">
        <f>IF(LEN(INDEX('Providers'!$AI$4:$AI$503,355))=0,"",INDEX('Providers'!$AI$4:$AI$503,355))</f>
        <v/>
      </c>
    </row>
    <row r="3859">
      <c r="A3859">
        <f>IF(AND(LEN('Providers'!A359)&gt;0,ISNUMBER('Providers'!Y359)),1,0)</f>
        <v/>
      </c>
      <c r="B3859">
        <f>B3858+A3859</f>
        <v/>
      </c>
      <c r="C3859">
        <f>IF(3856&gt;$B$4503,"",MATCH(3856-0.5,$B$3:$B$4503,1))</f>
        <v/>
      </c>
      <c r="D3859">
        <f>"Privileges reappointment – "&amp;IF(LEN(INDEX('Providers'!$A$4:$A$503,356))=0,"",INDEX('Providers'!$A$4:$A$503,356))</f>
        <v/>
      </c>
      <c r="E3859">
        <f>IF(ISNUMBER(INDEX('Providers'!$Y$4:$Y$503,356)),TEXT(INDEX('Providers'!$Y$4:$Y$503,356),"yyyy-mm-dd"),"")</f>
        <v/>
      </c>
      <c r="F3859">
        <f>"Credentialing"</f>
        <v/>
      </c>
      <c r="G3859">
        <f>""</f>
        <v/>
      </c>
      <c r="H3859">
        <f>"High"</f>
        <v/>
      </c>
      <c r="I3859">
        <f>TRIM(IF(LEN(IF(LEN(INDEX('Providers'!$X$4:$X$503,356))=0,"",INDEX('Providers'!$X$4:$X$503,356)))=0,"","Facility: "&amp;IF(LEN(INDEX('Providers'!$X$4:$X$503,356))=0,"",INDEX('Providers'!$X$4:$X$503,356))&amp;". "))</f>
        <v/>
      </c>
      <c r="J3859">
        <f>IF(LEN(INDEX('Providers'!$AJ$4:$AJ$503,356))=0,"",INDEX('Providers'!$AJ$4:$AJ$503,356))</f>
        <v/>
      </c>
      <c r="K3859">
        <f>IF(LEN(INDEX('Providers'!$AI$4:$AI$503,356))=0,"",INDEX('Providers'!$AI$4:$AI$503,356))</f>
        <v/>
      </c>
    </row>
    <row r="3860">
      <c r="A3860">
        <f>IF(AND(LEN('Providers'!A360)&gt;0,ISNUMBER('Providers'!Y360)),1,0)</f>
        <v/>
      </c>
      <c r="B3860">
        <f>B3859+A3860</f>
        <v/>
      </c>
      <c r="C3860">
        <f>IF(3857&gt;$B$4503,"",MATCH(3857-0.5,$B$3:$B$4503,1))</f>
        <v/>
      </c>
      <c r="D3860">
        <f>"Privileges reappointment – "&amp;IF(LEN(INDEX('Providers'!$A$4:$A$503,357))=0,"",INDEX('Providers'!$A$4:$A$503,357))</f>
        <v/>
      </c>
      <c r="E3860">
        <f>IF(ISNUMBER(INDEX('Providers'!$Y$4:$Y$503,357)),TEXT(INDEX('Providers'!$Y$4:$Y$503,357),"yyyy-mm-dd"),"")</f>
        <v/>
      </c>
      <c r="F3860">
        <f>"Credentialing"</f>
        <v/>
      </c>
      <c r="G3860">
        <f>""</f>
        <v/>
      </c>
      <c r="H3860">
        <f>"High"</f>
        <v/>
      </c>
      <c r="I3860">
        <f>TRIM(IF(LEN(IF(LEN(INDEX('Providers'!$X$4:$X$503,357))=0,"",INDEX('Providers'!$X$4:$X$503,357)))=0,"","Facility: "&amp;IF(LEN(INDEX('Providers'!$X$4:$X$503,357))=0,"",INDEX('Providers'!$X$4:$X$503,357))&amp;". "))</f>
        <v/>
      </c>
      <c r="J3860">
        <f>IF(LEN(INDEX('Providers'!$AJ$4:$AJ$503,357))=0,"",INDEX('Providers'!$AJ$4:$AJ$503,357))</f>
        <v/>
      </c>
      <c r="K3860">
        <f>IF(LEN(INDEX('Providers'!$AI$4:$AI$503,357))=0,"",INDEX('Providers'!$AI$4:$AI$503,357))</f>
        <v/>
      </c>
    </row>
    <row r="3861">
      <c r="A3861">
        <f>IF(AND(LEN('Providers'!A361)&gt;0,ISNUMBER('Providers'!Y361)),1,0)</f>
        <v/>
      </c>
      <c r="B3861">
        <f>B3860+A3861</f>
        <v/>
      </c>
      <c r="C3861">
        <f>IF(3858&gt;$B$4503,"",MATCH(3858-0.5,$B$3:$B$4503,1))</f>
        <v/>
      </c>
      <c r="D3861">
        <f>"Privileges reappointment – "&amp;IF(LEN(INDEX('Providers'!$A$4:$A$503,358))=0,"",INDEX('Providers'!$A$4:$A$503,358))</f>
        <v/>
      </c>
      <c r="E3861">
        <f>IF(ISNUMBER(INDEX('Providers'!$Y$4:$Y$503,358)),TEXT(INDEX('Providers'!$Y$4:$Y$503,358),"yyyy-mm-dd"),"")</f>
        <v/>
      </c>
      <c r="F3861">
        <f>"Credentialing"</f>
        <v/>
      </c>
      <c r="G3861">
        <f>""</f>
        <v/>
      </c>
      <c r="H3861">
        <f>"High"</f>
        <v/>
      </c>
      <c r="I3861">
        <f>TRIM(IF(LEN(IF(LEN(INDEX('Providers'!$X$4:$X$503,358))=0,"",INDEX('Providers'!$X$4:$X$503,358)))=0,"","Facility: "&amp;IF(LEN(INDEX('Providers'!$X$4:$X$503,358))=0,"",INDEX('Providers'!$X$4:$X$503,358))&amp;". "))</f>
        <v/>
      </c>
      <c r="J3861">
        <f>IF(LEN(INDEX('Providers'!$AJ$4:$AJ$503,358))=0,"",INDEX('Providers'!$AJ$4:$AJ$503,358))</f>
        <v/>
      </c>
      <c r="K3861">
        <f>IF(LEN(INDEX('Providers'!$AI$4:$AI$503,358))=0,"",INDEX('Providers'!$AI$4:$AI$503,358))</f>
        <v/>
      </c>
    </row>
    <row r="3862">
      <c r="A3862">
        <f>IF(AND(LEN('Providers'!A362)&gt;0,ISNUMBER('Providers'!Y362)),1,0)</f>
        <v/>
      </c>
      <c r="B3862">
        <f>B3861+A3862</f>
        <v/>
      </c>
      <c r="C3862">
        <f>IF(3859&gt;$B$4503,"",MATCH(3859-0.5,$B$3:$B$4503,1))</f>
        <v/>
      </c>
      <c r="D3862">
        <f>"Privileges reappointment – "&amp;IF(LEN(INDEX('Providers'!$A$4:$A$503,359))=0,"",INDEX('Providers'!$A$4:$A$503,359))</f>
        <v/>
      </c>
      <c r="E3862">
        <f>IF(ISNUMBER(INDEX('Providers'!$Y$4:$Y$503,359)),TEXT(INDEX('Providers'!$Y$4:$Y$503,359),"yyyy-mm-dd"),"")</f>
        <v/>
      </c>
      <c r="F3862">
        <f>"Credentialing"</f>
        <v/>
      </c>
      <c r="G3862">
        <f>""</f>
        <v/>
      </c>
      <c r="H3862">
        <f>"High"</f>
        <v/>
      </c>
      <c r="I3862">
        <f>TRIM(IF(LEN(IF(LEN(INDEX('Providers'!$X$4:$X$503,359))=0,"",INDEX('Providers'!$X$4:$X$503,359)))=0,"","Facility: "&amp;IF(LEN(INDEX('Providers'!$X$4:$X$503,359))=0,"",INDEX('Providers'!$X$4:$X$503,359))&amp;". "))</f>
        <v/>
      </c>
      <c r="J3862">
        <f>IF(LEN(INDEX('Providers'!$AJ$4:$AJ$503,359))=0,"",INDEX('Providers'!$AJ$4:$AJ$503,359))</f>
        <v/>
      </c>
      <c r="K3862">
        <f>IF(LEN(INDEX('Providers'!$AI$4:$AI$503,359))=0,"",INDEX('Providers'!$AI$4:$AI$503,359))</f>
        <v/>
      </c>
    </row>
    <row r="3863">
      <c r="A3863">
        <f>IF(AND(LEN('Providers'!A363)&gt;0,ISNUMBER('Providers'!Y363)),1,0)</f>
        <v/>
      </c>
      <c r="B3863">
        <f>B3862+A3863</f>
        <v/>
      </c>
      <c r="C3863">
        <f>IF(3860&gt;$B$4503,"",MATCH(3860-0.5,$B$3:$B$4503,1))</f>
        <v/>
      </c>
      <c r="D3863">
        <f>"Privileges reappointment – "&amp;IF(LEN(INDEX('Providers'!$A$4:$A$503,360))=0,"",INDEX('Providers'!$A$4:$A$503,360))</f>
        <v/>
      </c>
      <c r="E3863">
        <f>IF(ISNUMBER(INDEX('Providers'!$Y$4:$Y$503,360)),TEXT(INDEX('Providers'!$Y$4:$Y$503,360),"yyyy-mm-dd"),"")</f>
        <v/>
      </c>
      <c r="F3863">
        <f>"Credentialing"</f>
        <v/>
      </c>
      <c r="G3863">
        <f>""</f>
        <v/>
      </c>
      <c r="H3863">
        <f>"High"</f>
        <v/>
      </c>
      <c r="I3863">
        <f>TRIM(IF(LEN(IF(LEN(INDEX('Providers'!$X$4:$X$503,360))=0,"",INDEX('Providers'!$X$4:$X$503,360)))=0,"","Facility: "&amp;IF(LEN(INDEX('Providers'!$X$4:$X$503,360))=0,"",INDEX('Providers'!$X$4:$X$503,360))&amp;". "))</f>
        <v/>
      </c>
      <c r="J3863">
        <f>IF(LEN(INDEX('Providers'!$AJ$4:$AJ$503,360))=0,"",INDEX('Providers'!$AJ$4:$AJ$503,360))</f>
        <v/>
      </c>
      <c r="K3863">
        <f>IF(LEN(INDEX('Providers'!$AI$4:$AI$503,360))=0,"",INDEX('Providers'!$AI$4:$AI$503,360))</f>
        <v/>
      </c>
    </row>
    <row r="3864">
      <c r="A3864">
        <f>IF(AND(LEN('Providers'!A364)&gt;0,ISNUMBER('Providers'!Y364)),1,0)</f>
        <v/>
      </c>
      <c r="B3864">
        <f>B3863+A3864</f>
        <v/>
      </c>
      <c r="C3864">
        <f>IF(3861&gt;$B$4503,"",MATCH(3861-0.5,$B$3:$B$4503,1))</f>
        <v/>
      </c>
      <c r="D3864">
        <f>"Privileges reappointment – "&amp;IF(LEN(INDEX('Providers'!$A$4:$A$503,361))=0,"",INDEX('Providers'!$A$4:$A$503,361))</f>
        <v/>
      </c>
      <c r="E3864">
        <f>IF(ISNUMBER(INDEX('Providers'!$Y$4:$Y$503,361)),TEXT(INDEX('Providers'!$Y$4:$Y$503,361),"yyyy-mm-dd"),"")</f>
        <v/>
      </c>
      <c r="F3864">
        <f>"Credentialing"</f>
        <v/>
      </c>
      <c r="G3864">
        <f>""</f>
        <v/>
      </c>
      <c r="H3864">
        <f>"High"</f>
        <v/>
      </c>
      <c r="I3864">
        <f>TRIM(IF(LEN(IF(LEN(INDEX('Providers'!$X$4:$X$503,361))=0,"",INDEX('Providers'!$X$4:$X$503,361)))=0,"","Facility: "&amp;IF(LEN(INDEX('Providers'!$X$4:$X$503,361))=0,"",INDEX('Providers'!$X$4:$X$503,361))&amp;". "))</f>
        <v/>
      </c>
      <c r="J3864">
        <f>IF(LEN(INDEX('Providers'!$AJ$4:$AJ$503,361))=0,"",INDEX('Providers'!$AJ$4:$AJ$503,361))</f>
        <v/>
      </c>
      <c r="K3864">
        <f>IF(LEN(INDEX('Providers'!$AI$4:$AI$503,361))=0,"",INDEX('Providers'!$AI$4:$AI$503,361))</f>
        <v/>
      </c>
    </row>
    <row r="3865">
      <c r="A3865">
        <f>IF(AND(LEN('Providers'!A365)&gt;0,ISNUMBER('Providers'!Y365)),1,0)</f>
        <v/>
      </c>
      <c r="B3865">
        <f>B3864+A3865</f>
        <v/>
      </c>
      <c r="C3865">
        <f>IF(3862&gt;$B$4503,"",MATCH(3862-0.5,$B$3:$B$4503,1))</f>
        <v/>
      </c>
      <c r="D3865">
        <f>"Privileges reappointment – "&amp;IF(LEN(INDEX('Providers'!$A$4:$A$503,362))=0,"",INDEX('Providers'!$A$4:$A$503,362))</f>
        <v/>
      </c>
      <c r="E3865">
        <f>IF(ISNUMBER(INDEX('Providers'!$Y$4:$Y$503,362)),TEXT(INDEX('Providers'!$Y$4:$Y$503,362),"yyyy-mm-dd"),"")</f>
        <v/>
      </c>
      <c r="F3865">
        <f>"Credentialing"</f>
        <v/>
      </c>
      <c r="G3865">
        <f>""</f>
        <v/>
      </c>
      <c r="H3865">
        <f>"High"</f>
        <v/>
      </c>
      <c r="I3865">
        <f>TRIM(IF(LEN(IF(LEN(INDEX('Providers'!$X$4:$X$503,362))=0,"",INDEX('Providers'!$X$4:$X$503,362)))=0,"","Facility: "&amp;IF(LEN(INDEX('Providers'!$X$4:$X$503,362))=0,"",INDEX('Providers'!$X$4:$X$503,362))&amp;". "))</f>
        <v/>
      </c>
      <c r="J3865">
        <f>IF(LEN(INDEX('Providers'!$AJ$4:$AJ$503,362))=0,"",INDEX('Providers'!$AJ$4:$AJ$503,362))</f>
        <v/>
      </c>
      <c r="K3865">
        <f>IF(LEN(INDEX('Providers'!$AI$4:$AI$503,362))=0,"",INDEX('Providers'!$AI$4:$AI$503,362))</f>
        <v/>
      </c>
    </row>
    <row r="3866">
      <c r="A3866">
        <f>IF(AND(LEN('Providers'!A366)&gt;0,ISNUMBER('Providers'!Y366)),1,0)</f>
        <v/>
      </c>
      <c r="B3866">
        <f>B3865+A3866</f>
        <v/>
      </c>
      <c r="C3866">
        <f>IF(3863&gt;$B$4503,"",MATCH(3863-0.5,$B$3:$B$4503,1))</f>
        <v/>
      </c>
      <c r="D3866">
        <f>"Privileges reappointment – "&amp;IF(LEN(INDEX('Providers'!$A$4:$A$503,363))=0,"",INDEX('Providers'!$A$4:$A$503,363))</f>
        <v/>
      </c>
      <c r="E3866">
        <f>IF(ISNUMBER(INDEX('Providers'!$Y$4:$Y$503,363)),TEXT(INDEX('Providers'!$Y$4:$Y$503,363),"yyyy-mm-dd"),"")</f>
        <v/>
      </c>
      <c r="F3866">
        <f>"Credentialing"</f>
        <v/>
      </c>
      <c r="G3866">
        <f>""</f>
        <v/>
      </c>
      <c r="H3866">
        <f>"High"</f>
        <v/>
      </c>
      <c r="I3866">
        <f>TRIM(IF(LEN(IF(LEN(INDEX('Providers'!$X$4:$X$503,363))=0,"",INDEX('Providers'!$X$4:$X$503,363)))=0,"","Facility: "&amp;IF(LEN(INDEX('Providers'!$X$4:$X$503,363))=0,"",INDEX('Providers'!$X$4:$X$503,363))&amp;". "))</f>
        <v/>
      </c>
      <c r="J3866">
        <f>IF(LEN(INDEX('Providers'!$AJ$4:$AJ$503,363))=0,"",INDEX('Providers'!$AJ$4:$AJ$503,363))</f>
        <v/>
      </c>
      <c r="K3866">
        <f>IF(LEN(INDEX('Providers'!$AI$4:$AI$503,363))=0,"",INDEX('Providers'!$AI$4:$AI$503,363))</f>
        <v/>
      </c>
    </row>
    <row r="3867">
      <c r="A3867">
        <f>IF(AND(LEN('Providers'!A367)&gt;0,ISNUMBER('Providers'!Y367)),1,0)</f>
        <v/>
      </c>
      <c r="B3867">
        <f>B3866+A3867</f>
        <v/>
      </c>
      <c r="C3867">
        <f>IF(3864&gt;$B$4503,"",MATCH(3864-0.5,$B$3:$B$4503,1))</f>
        <v/>
      </c>
      <c r="D3867">
        <f>"Privileges reappointment – "&amp;IF(LEN(INDEX('Providers'!$A$4:$A$503,364))=0,"",INDEX('Providers'!$A$4:$A$503,364))</f>
        <v/>
      </c>
      <c r="E3867">
        <f>IF(ISNUMBER(INDEX('Providers'!$Y$4:$Y$503,364)),TEXT(INDEX('Providers'!$Y$4:$Y$503,364),"yyyy-mm-dd"),"")</f>
        <v/>
      </c>
      <c r="F3867">
        <f>"Credentialing"</f>
        <v/>
      </c>
      <c r="G3867">
        <f>""</f>
        <v/>
      </c>
      <c r="H3867">
        <f>"High"</f>
        <v/>
      </c>
      <c r="I3867">
        <f>TRIM(IF(LEN(IF(LEN(INDEX('Providers'!$X$4:$X$503,364))=0,"",INDEX('Providers'!$X$4:$X$503,364)))=0,"","Facility: "&amp;IF(LEN(INDEX('Providers'!$X$4:$X$503,364))=0,"",INDEX('Providers'!$X$4:$X$503,364))&amp;". "))</f>
        <v/>
      </c>
      <c r="J3867">
        <f>IF(LEN(INDEX('Providers'!$AJ$4:$AJ$503,364))=0,"",INDEX('Providers'!$AJ$4:$AJ$503,364))</f>
        <v/>
      </c>
      <c r="K3867">
        <f>IF(LEN(INDEX('Providers'!$AI$4:$AI$503,364))=0,"",INDEX('Providers'!$AI$4:$AI$503,364))</f>
        <v/>
      </c>
    </row>
    <row r="3868">
      <c r="A3868">
        <f>IF(AND(LEN('Providers'!A368)&gt;0,ISNUMBER('Providers'!Y368)),1,0)</f>
        <v/>
      </c>
      <c r="B3868">
        <f>B3867+A3868</f>
        <v/>
      </c>
      <c r="C3868">
        <f>IF(3865&gt;$B$4503,"",MATCH(3865-0.5,$B$3:$B$4503,1))</f>
        <v/>
      </c>
      <c r="D3868">
        <f>"Privileges reappointment – "&amp;IF(LEN(INDEX('Providers'!$A$4:$A$503,365))=0,"",INDEX('Providers'!$A$4:$A$503,365))</f>
        <v/>
      </c>
      <c r="E3868">
        <f>IF(ISNUMBER(INDEX('Providers'!$Y$4:$Y$503,365)),TEXT(INDEX('Providers'!$Y$4:$Y$503,365),"yyyy-mm-dd"),"")</f>
        <v/>
      </c>
      <c r="F3868">
        <f>"Credentialing"</f>
        <v/>
      </c>
      <c r="G3868">
        <f>""</f>
        <v/>
      </c>
      <c r="H3868">
        <f>"High"</f>
        <v/>
      </c>
      <c r="I3868">
        <f>TRIM(IF(LEN(IF(LEN(INDEX('Providers'!$X$4:$X$503,365))=0,"",INDEX('Providers'!$X$4:$X$503,365)))=0,"","Facility: "&amp;IF(LEN(INDEX('Providers'!$X$4:$X$503,365))=0,"",INDEX('Providers'!$X$4:$X$503,365))&amp;". "))</f>
        <v/>
      </c>
      <c r="J3868">
        <f>IF(LEN(INDEX('Providers'!$AJ$4:$AJ$503,365))=0,"",INDEX('Providers'!$AJ$4:$AJ$503,365))</f>
        <v/>
      </c>
      <c r="K3868">
        <f>IF(LEN(INDEX('Providers'!$AI$4:$AI$503,365))=0,"",INDEX('Providers'!$AI$4:$AI$503,365))</f>
        <v/>
      </c>
    </row>
    <row r="3869">
      <c r="A3869">
        <f>IF(AND(LEN('Providers'!A369)&gt;0,ISNUMBER('Providers'!Y369)),1,0)</f>
        <v/>
      </c>
      <c r="B3869">
        <f>B3868+A3869</f>
        <v/>
      </c>
      <c r="C3869">
        <f>IF(3866&gt;$B$4503,"",MATCH(3866-0.5,$B$3:$B$4503,1))</f>
        <v/>
      </c>
      <c r="D3869">
        <f>"Privileges reappointment – "&amp;IF(LEN(INDEX('Providers'!$A$4:$A$503,366))=0,"",INDEX('Providers'!$A$4:$A$503,366))</f>
        <v/>
      </c>
      <c r="E3869">
        <f>IF(ISNUMBER(INDEX('Providers'!$Y$4:$Y$503,366)),TEXT(INDEX('Providers'!$Y$4:$Y$503,366),"yyyy-mm-dd"),"")</f>
        <v/>
      </c>
      <c r="F3869">
        <f>"Credentialing"</f>
        <v/>
      </c>
      <c r="G3869">
        <f>""</f>
        <v/>
      </c>
      <c r="H3869">
        <f>"High"</f>
        <v/>
      </c>
      <c r="I3869">
        <f>TRIM(IF(LEN(IF(LEN(INDEX('Providers'!$X$4:$X$503,366))=0,"",INDEX('Providers'!$X$4:$X$503,366)))=0,"","Facility: "&amp;IF(LEN(INDEX('Providers'!$X$4:$X$503,366))=0,"",INDEX('Providers'!$X$4:$X$503,366))&amp;". "))</f>
        <v/>
      </c>
      <c r="J3869">
        <f>IF(LEN(INDEX('Providers'!$AJ$4:$AJ$503,366))=0,"",INDEX('Providers'!$AJ$4:$AJ$503,366))</f>
        <v/>
      </c>
      <c r="K3869">
        <f>IF(LEN(INDEX('Providers'!$AI$4:$AI$503,366))=0,"",INDEX('Providers'!$AI$4:$AI$503,366))</f>
        <v/>
      </c>
    </row>
    <row r="3870">
      <c r="A3870">
        <f>IF(AND(LEN('Providers'!A370)&gt;0,ISNUMBER('Providers'!Y370)),1,0)</f>
        <v/>
      </c>
      <c r="B3870">
        <f>B3869+A3870</f>
        <v/>
      </c>
      <c r="C3870">
        <f>IF(3867&gt;$B$4503,"",MATCH(3867-0.5,$B$3:$B$4503,1))</f>
        <v/>
      </c>
      <c r="D3870">
        <f>"Privileges reappointment – "&amp;IF(LEN(INDEX('Providers'!$A$4:$A$503,367))=0,"",INDEX('Providers'!$A$4:$A$503,367))</f>
        <v/>
      </c>
      <c r="E3870">
        <f>IF(ISNUMBER(INDEX('Providers'!$Y$4:$Y$503,367)),TEXT(INDEX('Providers'!$Y$4:$Y$503,367),"yyyy-mm-dd"),"")</f>
        <v/>
      </c>
      <c r="F3870">
        <f>"Credentialing"</f>
        <v/>
      </c>
      <c r="G3870">
        <f>""</f>
        <v/>
      </c>
      <c r="H3870">
        <f>"High"</f>
        <v/>
      </c>
      <c r="I3870">
        <f>TRIM(IF(LEN(IF(LEN(INDEX('Providers'!$X$4:$X$503,367))=0,"",INDEX('Providers'!$X$4:$X$503,367)))=0,"","Facility: "&amp;IF(LEN(INDEX('Providers'!$X$4:$X$503,367))=0,"",INDEX('Providers'!$X$4:$X$503,367))&amp;". "))</f>
        <v/>
      </c>
      <c r="J3870">
        <f>IF(LEN(INDEX('Providers'!$AJ$4:$AJ$503,367))=0,"",INDEX('Providers'!$AJ$4:$AJ$503,367))</f>
        <v/>
      </c>
      <c r="K3870">
        <f>IF(LEN(INDEX('Providers'!$AI$4:$AI$503,367))=0,"",INDEX('Providers'!$AI$4:$AI$503,367))</f>
        <v/>
      </c>
    </row>
    <row r="3871">
      <c r="A3871">
        <f>IF(AND(LEN('Providers'!A371)&gt;0,ISNUMBER('Providers'!Y371)),1,0)</f>
        <v/>
      </c>
      <c r="B3871">
        <f>B3870+A3871</f>
        <v/>
      </c>
      <c r="C3871">
        <f>IF(3868&gt;$B$4503,"",MATCH(3868-0.5,$B$3:$B$4503,1))</f>
        <v/>
      </c>
      <c r="D3871">
        <f>"Privileges reappointment – "&amp;IF(LEN(INDEX('Providers'!$A$4:$A$503,368))=0,"",INDEX('Providers'!$A$4:$A$503,368))</f>
        <v/>
      </c>
      <c r="E3871">
        <f>IF(ISNUMBER(INDEX('Providers'!$Y$4:$Y$503,368)),TEXT(INDEX('Providers'!$Y$4:$Y$503,368),"yyyy-mm-dd"),"")</f>
        <v/>
      </c>
      <c r="F3871">
        <f>"Credentialing"</f>
        <v/>
      </c>
      <c r="G3871">
        <f>""</f>
        <v/>
      </c>
      <c r="H3871">
        <f>"High"</f>
        <v/>
      </c>
      <c r="I3871">
        <f>TRIM(IF(LEN(IF(LEN(INDEX('Providers'!$X$4:$X$503,368))=0,"",INDEX('Providers'!$X$4:$X$503,368)))=0,"","Facility: "&amp;IF(LEN(INDEX('Providers'!$X$4:$X$503,368))=0,"",INDEX('Providers'!$X$4:$X$503,368))&amp;". "))</f>
        <v/>
      </c>
      <c r="J3871">
        <f>IF(LEN(INDEX('Providers'!$AJ$4:$AJ$503,368))=0,"",INDEX('Providers'!$AJ$4:$AJ$503,368))</f>
        <v/>
      </c>
      <c r="K3871">
        <f>IF(LEN(INDEX('Providers'!$AI$4:$AI$503,368))=0,"",INDEX('Providers'!$AI$4:$AI$503,368))</f>
        <v/>
      </c>
    </row>
    <row r="3872">
      <c r="A3872">
        <f>IF(AND(LEN('Providers'!A372)&gt;0,ISNUMBER('Providers'!Y372)),1,0)</f>
        <v/>
      </c>
      <c r="B3872">
        <f>B3871+A3872</f>
        <v/>
      </c>
      <c r="C3872">
        <f>IF(3869&gt;$B$4503,"",MATCH(3869-0.5,$B$3:$B$4503,1))</f>
        <v/>
      </c>
      <c r="D3872">
        <f>"Privileges reappointment – "&amp;IF(LEN(INDEX('Providers'!$A$4:$A$503,369))=0,"",INDEX('Providers'!$A$4:$A$503,369))</f>
        <v/>
      </c>
      <c r="E3872">
        <f>IF(ISNUMBER(INDEX('Providers'!$Y$4:$Y$503,369)),TEXT(INDEX('Providers'!$Y$4:$Y$503,369),"yyyy-mm-dd"),"")</f>
        <v/>
      </c>
      <c r="F3872">
        <f>"Credentialing"</f>
        <v/>
      </c>
      <c r="G3872">
        <f>""</f>
        <v/>
      </c>
      <c r="H3872">
        <f>"High"</f>
        <v/>
      </c>
      <c r="I3872">
        <f>TRIM(IF(LEN(IF(LEN(INDEX('Providers'!$X$4:$X$503,369))=0,"",INDEX('Providers'!$X$4:$X$503,369)))=0,"","Facility: "&amp;IF(LEN(INDEX('Providers'!$X$4:$X$503,369))=0,"",INDEX('Providers'!$X$4:$X$503,369))&amp;". "))</f>
        <v/>
      </c>
      <c r="J3872">
        <f>IF(LEN(INDEX('Providers'!$AJ$4:$AJ$503,369))=0,"",INDEX('Providers'!$AJ$4:$AJ$503,369))</f>
        <v/>
      </c>
      <c r="K3872">
        <f>IF(LEN(INDEX('Providers'!$AI$4:$AI$503,369))=0,"",INDEX('Providers'!$AI$4:$AI$503,369))</f>
        <v/>
      </c>
    </row>
    <row r="3873">
      <c r="A3873">
        <f>IF(AND(LEN('Providers'!A373)&gt;0,ISNUMBER('Providers'!Y373)),1,0)</f>
        <v/>
      </c>
      <c r="B3873">
        <f>B3872+A3873</f>
        <v/>
      </c>
      <c r="C3873">
        <f>IF(3870&gt;$B$4503,"",MATCH(3870-0.5,$B$3:$B$4503,1))</f>
        <v/>
      </c>
      <c r="D3873">
        <f>"Privileges reappointment – "&amp;IF(LEN(INDEX('Providers'!$A$4:$A$503,370))=0,"",INDEX('Providers'!$A$4:$A$503,370))</f>
        <v/>
      </c>
      <c r="E3873">
        <f>IF(ISNUMBER(INDEX('Providers'!$Y$4:$Y$503,370)),TEXT(INDEX('Providers'!$Y$4:$Y$503,370),"yyyy-mm-dd"),"")</f>
        <v/>
      </c>
      <c r="F3873">
        <f>"Credentialing"</f>
        <v/>
      </c>
      <c r="G3873">
        <f>""</f>
        <v/>
      </c>
      <c r="H3873">
        <f>"High"</f>
        <v/>
      </c>
      <c r="I3873">
        <f>TRIM(IF(LEN(IF(LEN(INDEX('Providers'!$X$4:$X$503,370))=0,"",INDEX('Providers'!$X$4:$X$503,370)))=0,"","Facility: "&amp;IF(LEN(INDEX('Providers'!$X$4:$X$503,370))=0,"",INDEX('Providers'!$X$4:$X$503,370))&amp;". "))</f>
        <v/>
      </c>
      <c r="J3873">
        <f>IF(LEN(INDEX('Providers'!$AJ$4:$AJ$503,370))=0,"",INDEX('Providers'!$AJ$4:$AJ$503,370))</f>
        <v/>
      </c>
      <c r="K3873">
        <f>IF(LEN(INDEX('Providers'!$AI$4:$AI$503,370))=0,"",INDEX('Providers'!$AI$4:$AI$503,370))</f>
        <v/>
      </c>
    </row>
    <row r="3874">
      <c r="A3874">
        <f>IF(AND(LEN('Providers'!A374)&gt;0,ISNUMBER('Providers'!Y374)),1,0)</f>
        <v/>
      </c>
      <c r="B3874">
        <f>B3873+A3874</f>
        <v/>
      </c>
      <c r="C3874">
        <f>IF(3871&gt;$B$4503,"",MATCH(3871-0.5,$B$3:$B$4503,1))</f>
        <v/>
      </c>
      <c r="D3874">
        <f>"Privileges reappointment – "&amp;IF(LEN(INDEX('Providers'!$A$4:$A$503,371))=0,"",INDEX('Providers'!$A$4:$A$503,371))</f>
        <v/>
      </c>
      <c r="E3874">
        <f>IF(ISNUMBER(INDEX('Providers'!$Y$4:$Y$503,371)),TEXT(INDEX('Providers'!$Y$4:$Y$503,371),"yyyy-mm-dd"),"")</f>
        <v/>
      </c>
      <c r="F3874">
        <f>"Credentialing"</f>
        <v/>
      </c>
      <c r="G3874">
        <f>""</f>
        <v/>
      </c>
      <c r="H3874">
        <f>"High"</f>
        <v/>
      </c>
      <c r="I3874">
        <f>TRIM(IF(LEN(IF(LEN(INDEX('Providers'!$X$4:$X$503,371))=0,"",INDEX('Providers'!$X$4:$X$503,371)))=0,"","Facility: "&amp;IF(LEN(INDEX('Providers'!$X$4:$X$503,371))=0,"",INDEX('Providers'!$X$4:$X$503,371))&amp;". "))</f>
        <v/>
      </c>
      <c r="J3874">
        <f>IF(LEN(INDEX('Providers'!$AJ$4:$AJ$503,371))=0,"",INDEX('Providers'!$AJ$4:$AJ$503,371))</f>
        <v/>
      </c>
      <c r="K3874">
        <f>IF(LEN(INDEX('Providers'!$AI$4:$AI$503,371))=0,"",INDEX('Providers'!$AI$4:$AI$503,371))</f>
        <v/>
      </c>
    </row>
    <row r="3875">
      <c r="A3875">
        <f>IF(AND(LEN('Providers'!A375)&gt;0,ISNUMBER('Providers'!Y375)),1,0)</f>
        <v/>
      </c>
      <c r="B3875">
        <f>B3874+A3875</f>
        <v/>
      </c>
      <c r="C3875">
        <f>IF(3872&gt;$B$4503,"",MATCH(3872-0.5,$B$3:$B$4503,1))</f>
        <v/>
      </c>
      <c r="D3875">
        <f>"Privileges reappointment – "&amp;IF(LEN(INDEX('Providers'!$A$4:$A$503,372))=0,"",INDEX('Providers'!$A$4:$A$503,372))</f>
        <v/>
      </c>
      <c r="E3875">
        <f>IF(ISNUMBER(INDEX('Providers'!$Y$4:$Y$503,372)),TEXT(INDEX('Providers'!$Y$4:$Y$503,372),"yyyy-mm-dd"),"")</f>
        <v/>
      </c>
      <c r="F3875">
        <f>"Credentialing"</f>
        <v/>
      </c>
      <c r="G3875">
        <f>""</f>
        <v/>
      </c>
      <c r="H3875">
        <f>"High"</f>
        <v/>
      </c>
      <c r="I3875">
        <f>TRIM(IF(LEN(IF(LEN(INDEX('Providers'!$X$4:$X$503,372))=0,"",INDEX('Providers'!$X$4:$X$503,372)))=0,"","Facility: "&amp;IF(LEN(INDEX('Providers'!$X$4:$X$503,372))=0,"",INDEX('Providers'!$X$4:$X$503,372))&amp;". "))</f>
        <v/>
      </c>
      <c r="J3875">
        <f>IF(LEN(INDEX('Providers'!$AJ$4:$AJ$503,372))=0,"",INDEX('Providers'!$AJ$4:$AJ$503,372))</f>
        <v/>
      </c>
      <c r="K3875">
        <f>IF(LEN(INDEX('Providers'!$AI$4:$AI$503,372))=0,"",INDEX('Providers'!$AI$4:$AI$503,372))</f>
        <v/>
      </c>
    </row>
    <row r="3876">
      <c r="A3876">
        <f>IF(AND(LEN('Providers'!A376)&gt;0,ISNUMBER('Providers'!Y376)),1,0)</f>
        <v/>
      </c>
      <c r="B3876">
        <f>B3875+A3876</f>
        <v/>
      </c>
      <c r="C3876">
        <f>IF(3873&gt;$B$4503,"",MATCH(3873-0.5,$B$3:$B$4503,1))</f>
        <v/>
      </c>
      <c r="D3876">
        <f>"Privileges reappointment – "&amp;IF(LEN(INDEX('Providers'!$A$4:$A$503,373))=0,"",INDEX('Providers'!$A$4:$A$503,373))</f>
        <v/>
      </c>
      <c r="E3876">
        <f>IF(ISNUMBER(INDEX('Providers'!$Y$4:$Y$503,373)),TEXT(INDEX('Providers'!$Y$4:$Y$503,373),"yyyy-mm-dd"),"")</f>
        <v/>
      </c>
      <c r="F3876">
        <f>"Credentialing"</f>
        <v/>
      </c>
      <c r="G3876">
        <f>""</f>
        <v/>
      </c>
      <c r="H3876">
        <f>"High"</f>
        <v/>
      </c>
      <c r="I3876">
        <f>TRIM(IF(LEN(IF(LEN(INDEX('Providers'!$X$4:$X$503,373))=0,"",INDEX('Providers'!$X$4:$X$503,373)))=0,"","Facility: "&amp;IF(LEN(INDEX('Providers'!$X$4:$X$503,373))=0,"",INDEX('Providers'!$X$4:$X$503,373))&amp;". "))</f>
        <v/>
      </c>
      <c r="J3876">
        <f>IF(LEN(INDEX('Providers'!$AJ$4:$AJ$503,373))=0,"",INDEX('Providers'!$AJ$4:$AJ$503,373))</f>
        <v/>
      </c>
      <c r="K3876">
        <f>IF(LEN(INDEX('Providers'!$AI$4:$AI$503,373))=0,"",INDEX('Providers'!$AI$4:$AI$503,373))</f>
        <v/>
      </c>
    </row>
    <row r="3877">
      <c r="A3877">
        <f>IF(AND(LEN('Providers'!A377)&gt;0,ISNUMBER('Providers'!Y377)),1,0)</f>
        <v/>
      </c>
      <c r="B3877">
        <f>B3876+A3877</f>
        <v/>
      </c>
      <c r="C3877">
        <f>IF(3874&gt;$B$4503,"",MATCH(3874-0.5,$B$3:$B$4503,1))</f>
        <v/>
      </c>
      <c r="D3877">
        <f>"Privileges reappointment – "&amp;IF(LEN(INDEX('Providers'!$A$4:$A$503,374))=0,"",INDEX('Providers'!$A$4:$A$503,374))</f>
        <v/>
      </c>
      <c r="E3877">
        <f>IF(ISNUMBER(INDEX('Providers'!$Y$4:$Y$503,374)),TEXT(INDEX('Providers'!$Y$4:$Y$503,374),"yyyy-mm-dd"),"")</f>
        <v/>
      </c>
      <c r="F3877">
        <f>"Credentialing"</f>
        <v/>
      </c>
      <c r="G3877">
        <f>""</f>
        <v/>
      </c>
      <c r="H3877">
        <f>"High"</f>
        <v/>
      </c>
      <c r="I3877">
        <f>TRIM(IF(LEN(IF(LEN(INDEX('Providers'!$X$4:$X$503,374))=0,"",INDEX('Providers'!$X$4:$X$503,374)))=0,"","Facility: "&amp;IF(LEN(INDEX('Providers'!$X$4:$X$503,374))=0,"",INDEX('Providers'!$X$4:$X$503,374))&amp;". "))</f>
        <v/>
      </c>
      <c r="J3877">
        <f>IF(LEN(INDEX('Providers'!$AJ$4:$AJ$503,374))=0,"",INDEX('Providers'!$AJ$4:$AJ$503,374))</f>
        <v/>
      </c>
      <c r="K3877">
        <f>IF(LEN(INDEX('Providers'!$AI$4:$AI$503,374))=0,"",INDEX('Providers'!$AI$4:$AI$503,374))</f>
        <v/>
      </c>
    </row>
    <row r="3878">
      <c r="A3878">
        <f>IF(AND(LEN('Providers'!A378)&gt;0,ISNUMBER('Providers'!Y378)),1,0)</f>
        <v/>
      </c>
      <c r="B3878">
        <f>B3877+A3878</f>
        <v/>
      </c>
      <c r="C3878">
        <f>IF(3875&gt;$B$4503,"",MATCH(3875-0.5,$B$3:$B$4503,1))</f>
        <v/>
      </c>
      <c r="D3878">
        <f>"Privileges reappointment – "&amp;IF(LEN(INDEX('Providers'!$A$4:$A$503,375))=0,"",INDEX('Providers'!$A$4:$A$503,375))</f>
        <v/>
      </c>
      <c r="E3878">
        <f>IF(ISNUMBER(INDEX('Providers'!$Y$4:$Y$503,375)),TEXT(INDEX('Providers'!$Y$4:$Y$503,375),"yyyy-mm-dd"),"")</f>
        <v/>
      </c>
      <c r="F3878">
        <f>"Credentialing"</f>
        <v/>
      </c>
      <c r="G3878">
        <f>""</f>
        <v/>
      </c>
      <c r="H3878">
        <f>"High"</f>
        <v/>
      </c>
      <c r="I3878">
        <f>TRIM(IF(LEN(IF(LEN(INDEX('Providers'!$X$4:$X$503,375))=0,"",INDEX('Providers'!$X$4:$X$503,375)))=0,"","Facility: "&amp;IF(LEN(INDEX('Providers'!$X$4:$X$503,375))=0,"",INDEX('Providers'!$X$4:$X$503,375))&amp;". "))</f>
        <v/>
      </c>
      <c r="J3878">
        <f>IF(LEN(INDEX('Providers'!$AJ$4:$AJ$503,375))=0,"",INDEX('Providers'!$AJ$4:$AJ$503,375))</f>
        <v/>
      </c>
      <c r="K3878">
        <f>IF(LEN(INDEX('Providers'!$AI$4:$AI$503,375))=0,"",INDEX('Providers'!$AI$4:$AI$503,375))</f>
        <v/>
      </c>
    </row>
    <row r="3879">
      <c r="A3879">
        <f>IF(AND(LEN('Providers'!A379)&gt;0,ISNUMBER('Providers'!Y379)),1,0)</f>
        <v/>
      </c>
      <c r="B3879">
        <f>B3878+A3879</f>
        <v/>
      </c>
      <c r="C3879">
        <f>IF(3876&gt;$B$4503,"",MATCH(3876-0.5,$B$3:$B$4503,1))</f>
        <v/>
      </c>
      <c r="D3879">
        <f>"Privileges reappointment – "&amp;IF(LEN(INDEX('Providers'!$A$4:$A$503,376))=0,"",INDEX('Providers'!$A$4:$A$503,376))</f>
        <v/>
      </c>
      <c r="E3879">
        <f>IF(ISNUMBER(INDEX('Providers'!$Y$4:$Y$503,376)),TEXT(INDEX('Providers'!$Y$4:$Y$503,376),"yyyy-mm-dd"),"")</f>
        <v/>
      </c>
      <c r="F3879">
        <f>"Credentialing"</f>
        <v/>
      </c>
      <c r="G3879">
        <f>""</f>
        <v/>
      </c>
      <c r="H3879">
        <f>"High"</f>
        <v/>
      </c>
      <c r="I3879">
        <f>TRIM(IF(LEN(IF(LEN(INDEX('Providers'!$X$4:$X$503,376))=0,"",INDEX('Providers'!$X$4:$X$503,376)))=0,"","Facility: "&amp;IF(LEN(INDEX('Providers'!$X$4:$X$503,376))=0,"",INDEX('Providers'!$X$4:$X$503,376))&amp;". "))</f>
        <v/>
      </c>
      <c r="J3879">
        <f>IF(LEN(INDEX('Providers'!$AJ$4:$AJ$503,376))=0,"",INDEX('Providers'!$AJ$4:$AJ$503,376))</f>
        <v/>
      </c>
      <c r="K3879">
        <f>IF(LEN(INDEX('Providers'!$AI$4:$AI$503,376))=0,"",INDEX('Providers'!$AI$4:$AI$503,376))</f>
        <v/>
      </c>
    </row>
    <row r="3880">
      <c r="A3880">
        <f>IF(AND(LEN('Providers'!A380)&gt;0,ISNUMBER('Providers'!Y380)),1,0)</f>
        <v/>
      </c>
      <c r="B3880">
        <f>B3879+A3880</f>
        <v/>
      </c>
      <c r="C3880">
        <f>IF(3877&gt;$B$4503,"",MATCH(3877-0.5,$B$3:$B$4503,1))</f>
        <v/>
      </c>
      <c r="D3880">
        <f>"Privileges reappointment – "&amp;IF(LEN(INDEX('Providers'!$A$4:$A$503,377))=0,"",INDEX('Providers'!$A$4:$A$503,377))</f>
        <v/>
      </c>
      <c r="E3880">
        <f>IF(ISNUMBER(INDEX('Providers'!$Y$4:$Y$503,377)),TEXT(INDEX('Providers'!$Y$4:$Y$503,377),"yyyy-mm-dd"),"")</f>
        <v/>
      </c>
      <c r="F3880">
        <f>"Credentialing"</f>
        <v/>
      </c>
      <c r="G3880">
        <f>""</f>
        <v/>
      </c>
      <c r="H3880">
        <f>"High"</f>
        <v/>
      </c>
      <c r="I3880">
        <f>TRIM(IF(LEN(IF(LEN(INDEX('Providers'!$X$4:$X$503,377))=0,"",INDEX('Providers'!$X$4:$X$503,377)))=0,"","Facility: "&amp;IF(LEN(INDEX('Providers'!$X$4:$X$503,377))=0,"",INDEX('Providers'!$X$4:$X$503,377))&amp;". "))</f>
        <v/>
      </c>
      <c r="J3880">
        <f>IF(LEN(INDEX('Providers'!$AJ$4:$AJ$503,377))=0,"",INDEX('Providers'!$AJ$4:$AJ$503,377))</f>
        <v/>
      </c>
      <c r="K3880">
        <f>IF(LEN(INDEX('Providers'!$AI$4:$AI$503,377))=0,"",INDEX('Providers'!$AI$4:$AI$503,377))</f>
        <v/>
      </c>
    </row>
    <row r="3881">
      <c r="A3881">
        <f>IF(AND(LEN('Providers'!A381)&gt;0,ISNUMBER('Providers'!Y381)),1,0)</f>
        <v/>
      </c>
      <c r="B3881">
        <f>B3880+A3881</f>
        <v/>
      </c>
      <c r="C3881">
        <f>IF(3878&gt;$B$4503,"",MATCH(3878-0.5,$B$3:$B$4503,1))</f>
        <v/>
      </c>
      <c r="D3881">
        <f>"Privileges reappointment – "&amp;IF(LEN(INDEX('Providers'!$A$4:$A$503,378))=0,"",INDEX('Providers'!$A$4:$A$503,378))</f>
        <v/>
      </c>
      <c r="E3881">
        <f>IF(ISNUMBER(INDEX('Providers'!$Y$4:$Y$503,378)),TEXT(INDEX('Providers'!$Y$4:$Y$503,378),"yyyy-mm-dd"),"")</f>
        <v/>
      </c>
      <c r="F3881">
        <f>"Credentialing"</f>
        <v/>
      </c>
      <c r="G3881">
        <f>""</f>
        <v/>
      </c>
      <c r="H3881">
        <f>"High"</f>
        <v/>
      </c>
      <c r="I3881">
        <f>TRIM(IF(LEN(IF(LEN(INDEX('Providers'!$X$4:$X$503,378))=0,"",INDEX('Providers'!$X$4:$X$503,378)))=0,"","Facility: "&amp;IF(LEN(INDEX('Providers'!$X$4:$X$503,378))=0,"",INDEX('Providers'!$X$4:$X$503,378))&amp;". "))</f>
        <v/>
      </c>
      <c r="J3881">
        <f>IF(LEN(INDEX('Providers'!$AJ$4:$AJ$503,378))=0,"",INDEX('Providers'!$AJ$4:$AJ$503,378))</f>
        <v/>
      </c>
      <c r="K3881">
        <f>IF(LEN(INDEX('Providers'!$AI$4:$AI$503,378))=0,"",INDEX('Providers'!$AI$4:$AI$503,378))</f>
        <v/>
      </c>
    </row>
    <row r="3882">
      <c r="A3882">
        <f>IF(AND(LEN('Providers'!A382)&gt;0,ISNUMBER('Providers'!Y382)),1,0)</f>
        <v/>
      </c>
      <c r="B3882">
        <f>B3881+A3882</f>
        <v/>
      </c>
      <c r="C3882">
        <f>IF(3879&gt;$B$4503,"",MATCH(3879-0.5,$B$3:$B$4503,1))</f>
        <v/>
      </c>
      <c r="D3882">
        <f>"Privileges reappointment – "&amp;IF(LEN(INDEX('Providers'!$A$4:$A$503,379))=0,"",INDEX('Providers'!$A$4:$A$503,379))</f>
        <v/>
      </c>
      <c r="E3882">
        <f>IF(ISNUMBER(INDEX('Providers'!$Y$4:$Y$503,379)),TEXT(INDEX('Providers'!$Y$4:$Y$503,379),"yyyy-mm-dd"),"")</f>
        <v/>
      </c>
      <c r="F3882">
        <f>"Credentialing"</f>
        <v/>
      </c>
      <c r="G3882">
        <f>""</f>
        <v/>
      </c>
      <c r="H3882">
        <f>"High"</f>
        <v/>
      </c>
      <c r="I3882">
        <f>TRIM(IF(LEN(IF(LEN(INDEX('Providers'!$X$4:$X$503,379))=0,"",INDEX('Providers'!$X$4:$X$503,379)))=0,"","Facility: "&amp;IF(LEN(INDEX('Providers'!$X$4:$X$503,379))=0,"",INDEX('Providers'!$X$4:$X$503,379))&amp;". "))</f>
        <v/>
      </c>
      <c r="J3882">
        <f>IF(LEN(INDEX('Providers'!$AJ$4:$AJ$503,379))=0,"",INDEX('Providers'!$AJ$4:$AJ$503,379))</f>
        <v/>
      </c>
      <c r="K3882">
        <f>IF(LEN(INDEX('Providers'!$AI$4:$AI$503,379))=0,"",INDEX('Providers'!$AI$4:$AI$503,379))</f>
        <v/>
      </c>
    </row>
    <row r="3883">
      <c r="A3883">
        <f>IF(AND(LEN('Providers'!A383)&gt;0,ISNUMBER('Providers'!Y383)),1,0)</f>
        <v/>
      </c>
      <c r="B3883">
        <f>B3882+A3883</f>
        <v/>
      </c>
      <c r="C3883">
        <f>IF(3880&gt;$B$4503,"",MATCH(3880-0.5,$B$3:$B$4503,1))</f>
        <v/>
      </c>
      <c r="D3883">
        <f>"Privileges reappointment – "&amp;IF(LEN(INDEX('Providers'!$A$4:$A$503,380))=0,"",INDEX('Providers'!$A$4:$A$503,380))</f>
        <v/>
      </c>
      <c r="E3883">
        <f>IF(ISNUMBER(INDEX('Providers'!$Y$4:$Y$503,380)),TEXT(INDEX('Providers'!$Y$4:$Y$503,380),"yyyy-mm-dd"),"")</f>
        <v/>
      </c>
      <c r="F3883">
        <f>"Credentialing"</f>
        <v/>
      </c>
      <c r="G3883">
        <f>""</f>
        <v/>
      </c>
      <c r="H3883">
        <f>"High"</f>
        <v/>
      </c>
      <c r="I3883">
        <f>TRIM(IF(LEN(IF(LEN(INDEX('Providers'!$X$4:$X$503,380))=0,"",INDEX('Providers'!$X$4:$X$503,380)))=0,"","Facility: "&amp;IF(LEN(INDEX('Providers'!$X$4:$X$503,380))=0,"",INDEX('Providers'!$X$4:$X$503,380))&amp;". "))</f>
        <v/>
      </c>
      <c r="J3883">
        <f>IF(LEN(INDEX('Providers'!$AJ$4:$AJ$503,380))=0,"",INDEX('Providers'!$AJ$4:$AJ$503,380))</f>
        <v/>
      </c>
      <c r="K3883">
        <f>IF(LEN(INDEX('Providers'!$AI$4:$AI$503,380))=0,"",INDEX('Providers'!$AI$4:$AI$503,380))</f>
        <v/>
      </c>
    </row>
    <row r="3884">
      <c r="A3884">
        <f>IF(AND(LEN('Providers'!A384)&gt;0,ISNUMBER('Providers'!Y384)),1,0)</f>
        <v/>
      </c>
      <c r="B3884">
        <f>B3883+A3884</f>
        <v/>
      </c>
      <c r="C3884">
        <f>IF(3881&gt;$B$4503,"",MATCH(3881-0.5,$B$3:$B$4503,1))</f>
        <v/>
      </c>
      <c r="D3884">
        <f>"Privileges reappointment – "&amp;IF(LEN(INDEX('Providers'!$A$4:$A$503,381))=0,"",INDEX('Providers'!$A$4:$A$503,381))</f>
        <v/>
      </c>
      <c r="E3884">
        <f>IF(ISNUMBER(INDEX('Providers'!$Y$4:$Y$503,381)),TEXT(INDEX('Providers'!$Y$4:$Y$503,381),"yyyy-mm-dd"),"")</f>
        <v/>
      </c>
      <c r="F3884">
        <f>"Credentialing"</f>
        <v/>
      </c>
      <c r="G3884">
        <f>""</f>
        <v/>
      </c>
      <c r="H3884">
        <f>"High"</f>
        <v/>
      </c>
      <c r="I3884">
        <f>TRIM(IF(LEN(IF(LEN(INDEX('Providers'!$X$4:$X$503,381))=0,"",INDEX('Providers'!$X$4:$X$503,381)))=0,"","Facility: "&amp;IF(LEN(INDEX('Providers'!$X$4:$X$503,381))=0,"",INDEX('Providers'!$X$4:$X$503,381))&amp;". "))</f>
        <v/>
      </c>
      <c r="J3884">
        <f>IF(LEN(INDEX('Providers'!$AJ$4:$AJ$503,381))=0,"",INDEX('Providers'!$AJ$4:$AJ$503,381))</f>
        <v/>
      </c>
      <c r="K3884">
        <f>IF(LEN(INDEX('Providers'!$AI$4:$AI$503,381))=0,"",INDEX('Providers'!$AI$4:$AI$503,381))</f>
        <v/>
      </c>
    </row>
    <row r="3885">
      <c r="A3885">
        <f>IF(AND(LEN('Providers'!A385)&gt;0,ISNUMBER('Providers'!Y385)),1,0)</f>
        <v/>
      </c>
      <c r="B3885">
        <f>B3884+A3885</f>
        <v/>
      </c>
      <c r="C3885">
        <f>IF(3882&gt;$B$4503,"",MATCH(3882-0.5,$B$3:$B$4503,1))</f>
        <v/>
      </c>
      <c r="D3885">
        <f>"Privileges reappointment – "&amp;IF(LEN(INDEX('Providers'!$A$4:$A$503,382))=0,"",INDEX('Providers'!$A$4:$A$503,382))</f>
        <v/>
      </c>
      <c r="E3885">
        <f>IF(ISNUMBER(INDEX('Providers'!$Y$4:$Y$503,382)),TEXT(INDEX('Providers'!$Y$4:$Y$503,382),"yyyy-mm-dd"),"")</f>
        <v/>
      </c>
      <c r="F3885">
        <f>"Credentialing"</f>
        <v/>
      </c>
      <c r="G3885">
        <f>""</f>
        <v/>
      </c>
      <c r="H3885">
        <f>"High"</f>
        <v/>
      </c>
      <c r="I3885">
        <f>TRIM(IF(LEN(IF(LEN(INDEX('Providers'!$X$4:$X$503,382))=0,"",INDEX('Providers'!$X$4:$X$503,382)))=0,"","Facility: "&amp;IF(LEN(INDEX('Providers'!$X$4:$X$503,382))=0,"",INDEX('Providers'!$X$4:$X$503,382))&amp;". "))</f>
        <v/>
      </c>
      <c r="J3885">
        <f>IF(LEN(INDEX('Providers'!$AJ$4:$AJ$503,382))=0,"",INDEX('Providers'!$AJ$4:$AJ$503,382))</f>
        <v/>
      </c>
      <c r="K3885">
        <f>IF(LEN(INDEX('Providers'!$AI$4:$AI$503,382))=0,"",INDEX('Providers'!$AI$4:$AI$503,382))</f>
        <v/>
      </c>
    </row>
    <row r="3886">
      <c r="A3886">
        <f>IF(AND(LEN('Providers'!A386)&gt;0,ISNUMBER('Providers'!Y386)),1,0)</f>
        <v/>
      </c>
      <c r="B3886">
        <f>B3885+A3886</f>
        <v/>
      </c>
      <c r="C3886">
        <f>IF(3883&gt;$B$4503,"",MATCH(3883-0.5,$B$3:$B$4503,1))</f>
        <v/>
      </c>
      <c r="D3886">
        <f>"Privileges reappointment – "&amp;IF(LEN(INDEX('Providers'!$A$4:$A$503,383))=0,"",INDEX('Providers'!$A$4:$A$503,383))</f>
        <v/>
      </c>
      <c r="E3886">
        <f>IF(ISNUMBER(INDEX('Providers'!$Y$4:$Y$503,383)),TEXT(INDEX('Providers'!$Y$4:$Y$503,383),"yyyy-mm-dd"),"")</f>
        <v/>
      </c>
      <c r="F3886">
        <f>"Credentialing"</f>
        <v/>
      </c>
      <c r="G3886">
        <f>""</f>
        <v/>
      </c>
      <c r="H3886">
        <f>"High"</f>
        <v/>
      </c>
      <c r="I3886">
        <f>TRIM(IF(LEN(IF(LEN(INDEX('Providers'!$X$4:$X$503,383))=0,"",INDEX('Providers'!$X$4:$X$503,383)))=0,"","Facility: "&amp;IF(LEN(INDEX('Providers'!$X$4:$X$503,383))=0,"",INDEX('Providers'!$X$4:$X$503,383))&amp;". "))</f>
        <v/>
      </c>
      <c r="J3886">
        <f>IF(LEN(INDEX('Providers'!$AJ$4:$AJ$503,383))=0,"",INDEX('Providers'!$AJ$4:$AJ$503,383))</f>
        <v/>
      </c>
      <c r="K3886">
        <f>IF(LEN(INDEX('Providers'!$AI$4:$AI$503,383))=0,"",INDEX('Providers'!$AI$4:$AI$503,383))</f>
        <v/>
      </c>
    </row>
    <row r="3887">
      <c r="A3887">
        <f>IF(AND(LEN('Providers'!A387)&gt;0,ISNUMBER('Providers'!Y387)),1,0)</f>
        <v/>
      </c>
      <c r="B3887">
        <f>B3886+A3887</f>
        <v/>
      </c>
      <c r="C3887">
        <f>IF(3884&gt;$B$4503,"",MATCH(3884-0.5,$B$3:$B$4503,1))</f>
        <v/>
      </c>
      <c r="D3887">
        <f>"Privileges reappointment – "&amp;IF(LEN(INDEX('Providers'!$A$4:$A$503,384))=0,"",INDEX('Providers'!$A$4:$A$503,384))</f>
        <v/>
      </c>
      <c r="E3887">
        <f>IF(ISNUMBER(INDEX('Providers'!$Y$4:$Y$503,384)),TEXT(INDEX('Providers'!$Y$4:$Y$503,384),"yyyy-mm-dd"),"")</f>
        <v/>
      </c>
      <c r="F3887">
        <f>"Credentialing"</f>
        <v/>
      </c>
      <c r="G3887">
        <f>""</f>
        <v/>
      </c>
      <c r="H3887">
        <f>"High"</f>
        <v/>
      </c>
      <c r="I3887">
        <f>TRIM(IF(LEN(IF(LEN(INDEX('Providers'!$X$4:$X$503,384))=0,"",INDEX('Providers'!$X$4:$X$503,384)))=0,"","Facility: "&amp;IF(LEN(INDEX('Providers'!$X$4:$X$503,384))=0,"",INDEX('Providers'!$X$4:$X$503,384))&amp;". "))</f>
        <v/>
      </c>
      <c r="J3887">
        <f>IF(LEN(INDEX('Providers'!$AJ$4:$AJ$503,384))=0,"",INDEX('Providers'!$AJ$4:$AJ$503,384))</f>
        <v/>
      </c>
      <c r="K3887">
        <f>IF(LEN(INDEX('Providers'!$AI$4:$AI$503,384))=0,"",INDEX('Providers'!$AI$4:$AI$503,384))</f>
        <v/>
      </c>
    </row>
    <row r="3888">
      <c r="A3888">
        <f>IF(AND(LEN('Providers'!A388)&gt;0,ISNUMBER('Providers'!Y388)),1,0)</f>
        <v/>
      </c>
      <c r="B3888">
        <f>B3887+A3888</f>
        <v/>
      </c>
      <c r="C3888">
        <f>IF(3885&gt;$B$4503,"",MATCH(3885-0.5,$B$3:$B$4503,1))</f>
        <v/>
      </c>
      <c r="D3888">
        <f>"Privileges reappointment – "&amp;IF(LEN(INDEX('Providers'!$A$4:$A$503,385))=0,"",INDEX('Providers'!$A$4:$A$503,385))</f>
        <v/>
      </c>
      <c r="E3888">
        <f>IF(ISNUMBER(INDEX('Providers'!$Y$4:$Y$503,385)),TEXT(INDEX('Providers'!$Y$4:$Y$503,385),"yyyy-mm-dd"),"")</f>
        <v/>
      </c>
      <c r="F3888">
        <f>"Credentialing"</f>
        <v/>
      </c>
      <c r="G3888">
        <f>""</f>
        <v/>
      </c>
      <c r="H3888">
        <f>"High"</f>
        <v/>
      </c>
      <c r="I3888">
        <f>TRIM(IF(LEN(IF(LEN(INDEX('Providers'!$X$4:$X$503,385))=0,"",INDEX('Providers'!$X$4:$X$503,385)))=0,"","Facility: "&amp;IF(LEN(INDEX('Providers'!$X$4:$X$503,385))=0,"",INDEX('Providers'!$X$4:$X$503,385))&amp;". "))</f>
        <v/>
      </c>
      <c r="J3888">
        <f>IF(LEN(INDEX('Providers'!$AJ$4:$AJ$503,385))=0,"",INDEX('Providers'!$AJ$4:$AJ$503,385))</f>
        <v/>
      </c>
      <c r="K3888">
        <f>IF(LEN(INDEX('Providers'!$AI$4:$AI$503,385))=0,"",INDEX('Providers'!$AI$4:$AI$503,385))</f>
        <v/>
      </c>
    </row>
    <row r="3889">
      <c r="A3889">
        <f>IF(AND(LEN('Providers'!A389)&gt;0,ISNUMBER('Providers'!Y389)),1,0)</f>
        <v/>
      </c>
      <c r="B3889">
        <f>B3888+A3889</f>
        <v/>
      </c>
      <c r="C3889">
        <f>IF(3886&gt;$B$4503,"",MATCH(3886-0.5,$B$3:$B$4503,1))</f>
        <v/>
      </c>
      <c r="D3889">
        <f>"Privileges reappointment – "&amp;IF(LEN(INDEX('Providers'!$A$4:$A$503,386))=0,"",INDEX('Providers'!$A$4:$A$503,386))</f>
        <v/>
      </c>
      <c r="E3889">
        <f>IF(ISNUMBER(INDEX('Providers'!$Y$4:$Y$503,386)),TEXT(INDEX('Providers'!$Y$4:$Y$503,386),"yyyy-mm-dd"),"")</f>
        <v/>
      </c>
      <c r="F3889">
        <f>"Credentialing"</f>
        <v/>
      </c>
      <c r="G3889">
        <f>""</f>
        <v/>
      </c>
      <c r="H3889">
        <f>"High"</f>
        <v/>
      </c>
      <c r="I3889">
        <f>TRIM(IF(LEN(IF(LEN(INDEX('Providers'!$X$4:$X$503,386))=0,"",INDEX('Providers'!$X$4:$X$503,386)))=0,"","Facility: "&amp;IF(LEN(INDEX('Providers'!$X$4:$X$503,386))=0,"",INDEX('Providers'!$X$4:$X$503,386))&amp;". "))</f>
        <v/>
      </c>
      <c r="J3889">
        <f>IF(LEN(INDEX('Providers'!$AJ$4:$AJ$503,386))=0,"",INDEX('Providers'!$AJ$4:$AJ$503,386))</f>
        <v/>
      </c>
      <c r="K3889">
        <f>IF(LEN(INDEX('Providers'!$AI$4:$AI$503,386))=0,"",INDEX('Providers'!$AI$4:$AI$503,386))</f>
        <v/>
      </c>
    </row>
    <row r="3890">
      <c r="A3890">
        <f>IF(AND(LEN('Providers'!A390)&gt;0,ISNUMBER('Providers'!Y390)),1,0)</f>
        <v/>
      </c>
      <c r="B3890">
        <f>B3889+A3890</f>
        <v/>
      </c>
      <c r="C3890">
        <f>IF(3887&gt;$B$4503,"",MATCH(3887-0.5,$B$3:$B$4503,1))</f>
        <v/>
      </c>
      <c r="D3890">
        <f>"Privileges reappointment – "&amp;IF(LEN(INDEX('Providers'!$A$4:$A$503,387))=0,"",INDEX('Providers'!$A$4:$A$503,387))</f>
        <v/>
      </c>
      <c r="E3890">
        <f>IF(ISNUMBER(INDEX('Providers'!$Y$4:$Y$503,387)),TEXT(INDEX('Providers'!$Y$4:$Y$503,387),"yyyy-mm-dd"),"")</f>
        <v/>
      </c>
      <c r="F3890">
        <f>"Credentialing"</f>
        <v/>
      </c>
      <c r="G3890">
        <f>""</f>
        <v/>
      </c>
      <c r="H3890">
        <f>"High"</f>
        <v/>
      </c>
      <c r="I3890">
        <f>TRIM(IF(LEN(IF(LEN(INDEX('Providers'!$X$4:$X$503,387))=0,"",INDEX('Providers'!$X$4:$X$503,387)))=0,"","Facility: "&amp;IF(LEN(INDEX('Providers'!$X$4:$X$503,387))=0,"",INDEX('Providers'!$X$4:$X$503,387))&amp;". "))</f>
        <v/>
      </c>
      <c r="J3890">
        <f>IF(LEN(INDEX('Providers'!$AJ$4:$AJ$503,387))=0,"",INDEX('Providers'!$AJ$4:$AJ$503,387))</f>
        <v/>
      </c>
      <c r="K3890">
        <f>IF(LEN(INDEX('Providers'!$AI$4:$AI$503,387))=0,"",INDEX('Providers'!$AI$4:$AI$503,387))</f>
        <v/>
      </c>
    </row>
    <row r="3891">
      <c r="A3891">
        <f>IF(AND(LEN('Providers'!A391)&gt;0,ISNUMBER('Providers'!Y391)),1,0)</f>
        <v/>
      </c>
      <c r="B3891">
        <f>B3890+A3891</f>
        <v/>
      </c>
      <c r="C3891">
        <f>IF(3888&gt;$B$4503,"",MATCH(3888-0.5,$B$3:$B$4503,1))</f>
        <v/>
      </c>
      <c r="D3891">
        <f>"Privileges reappointment – "&amp;IF(LEN(INDEX('Providers'!$A$4:$A$503,388))=0,"",INDEX('Providers'!$A$4:$A$503,388))</f>
        <v/>
      </c>
      <c r="E3891">
        <f>IF(ISNUMBER(INDEX('Providers'!$Y$4:$Y$503,388)),TEXT(INDEX('Providers'!$Y$4:$Y$503,388),"yyyy-mm-dd"),"")</f>
        <v/>
      </c>
      <c r="F3891">
        <f>"Credentialing"</f>
        <v/>
      </c>
      <c r="G3891">
        <f>""</f>
        <v/>
      </c>
      <c r="H3891">
        <f>"High"</f>
        <v/>
      </c>
      <c r="I3891">
        <f>TRIM(IF(LEN(IF(LEN(INDEX('Providers'!$X$4:$X$503,388))=0,"",INDEX('Providers'!$X$4:$X$503,388)))=0,"","Facility: "&amp;IF(LEN(INDEX('Providers'!$X$4:$X$503,388))=0,"",INDEX('Providers'!$X$4:$X$503,388))&amp;". "))</f>
        <v/>
      </c>
      <c r="J3891">
        <f>IF(LEN(INDEX('Providers'!$AJ$4:$AJ$503,388))=0,"",INDEX('Providers'!$AJ$4:$AJ$503,388))</f>
        <v/>
      </c>
      <c r="K3891">
        <f>IF(LEN(INDEX('Providers'!$AI$4:$AI$503,388))=0,"",INDEX('Providers'!$AI$4:$AI$503,388))</f>
        <v/>
      </c>
    </row>
    <row r="3892">
      <c r="A3892">
        <f>IF(AND(LEN('Providers'!A392)&gt;0,ISNUMBER('Providers'!Y392)),1,0)</f>
        <v/>
      </c>
      <c r="B3892">
        <f>B3891+A3892</f>
        <v/>
      </c>
      <c r="C3892">
        <f>IF(3889&gt;$B$4503,"",MATCH(3889-0.5,$B$3:$B$4503,1))</f>
        <v/>
      </c>
      <c r="D3892">
        <f>"Privileges reappointment – "&amp;IF(LEN(INDEX('Providers'!$A$4:$A$503,389))=0,"",INDEX('Providers'!$A$4:$A$503,389))</f>
        <v/>
      </c>
      <c r="E3892">
        <f>IF(ISNUMBER(INDEX('Providers'!$Y$4:$Y$503,389)),TEXT(INDEX('Providers'!$Y$4:$Y$503,389),"yyyy-mm-dd"),"")</f>
        <v/>
      </c>
      <c r="F3892">
        <f>"Credentialing"</f>
        <v/>
      </c>
      <c r="G3892">
        <f>""</f>
        <v/>
      </c>
      <c r="H3892">
        <f>"High"</f>
        <v/>
      </c>
      <c r="I3892">
        <f>TRIM(IF(LEN(IF(LEN(INDEX('Providers'!$X$4:$X$503,389))=0,"",INDEX('Providers'!$X$4:$X$503,389)))=0,"","Facility: "&amp;IF(LEN(INDEX('Providers'!$X$4:$X$503,389))=0,"",INDEX('Providers'!$X$4:$X$503,389))&amp;". "))</f>
        <v/>
      </c>
      <c r="J3892">
        <f>IF(LEN(INDEX('Providers'!$AJ$4:$AJ$503,389))=0,"",INDEX('Providers'!$AJ$4:$AJ$503,389))</f>
        <v/>
      </c>
      <c r="K3892">
        <f>IF(LEN(INDEX('Providers'!$AI$4:$AI$503,389))=0,"",INDEX('Providers'!$AI$4:$AI$503,389))</f>
        <v/>
      </c>
    </row>
    <row r="3893">
      <c r="A3893">
        <f>IF(AND(LEN('Providers'!A393)&gt;0,ISNUMBER('Providers'!Y393)),1,0)</f>
        <v/>
      </c>
      <c r="B3893">
        <f>B3892+A3893</f>
        <v/>
      </c>
      <c r="C3893">
        <f>IF(3890&gt;$B$4503,"",MATCH(3890-0.5,$B$3:$B$4503,1))</f>
        <v/>
      </c>
      <c r="D3893">
        <f>"Privileges reappointment – "&amp;IF(LEN(INDEX('Providers'!$A$4:$A$503,390))=0,"",INDEX('Providers'!$A$4:$A$503,390))</f>
        <v/>
      </c>
      <c r="E3893">
        <f>IF(ISNUMBER(INDEX('Providers'!$Y$4:$Y$503,390)),TEXT(INDEX('Providers'!$Y$4:$Y$503,390),"yyyy-mm-dd"),"")</f>
        <v/>
      </c>
      <c r="F3893">
        <f>"Credentialing"</f>
        <v/>
      </c>
      <c r="G3893">
        <f>""</f>
        <v/>
      </c>
      <c r="H3893">
        <f>"High"</f>
        <v/>
      </c>
      <c r="I3893">
        <f>TRIM(IF(LEN(IF(LEN(INDEX('Providers'!$X$4:$X$503,390))=0,"",INDEX('Providers'!$X$4:$X$503,390)))=0,"","Facility: "&amp;IF(LEN(INDEX('Providers'!$X$4:$X$503,390))=0,"",INDEX('Providers'!$X$4:$X$503,390))&amp;". "))</f>
        <v/>
      </c>
      <c r="J3893">
        <f>IF(LEN(INDEX('Providers'!$AJ$4:$AJ$503,390))=0,"",INDEX('Providers'!$AJ$4:$AJ$503,390))</f>
        <v/>
      </c>
      <c r="K3893">
        <f>IF(LEN(INDEX('Providers'!$AI$4:$AI$503,390))=0,"",INDEX('Providers'!$AI$4:$AI$503,390))</f>
        <v/>
      </c>
    </row>
    <row r="3894">
      <c r="A3894">
        <f>IF(AND(LEN('Providers'!A394)&gt;0,ISNUMBER('Providers'!Y394)),1,0)</f>
        <v/>
      </c>
      <c r="B3894">
        <f>B3893+A3894</f>
        <v/>
      </c>
      <c r="C3894">
        <f>IF(3891&gt;$B$4503,"",MATCH(3891-0.5,$B$3:$B$4503,1))</f>
        <v/>
      </c>
      <c r="D3894">
        <f>"Privileges reappointment – "&amp;IF(LEN(INDEX('Providers'!$A$4:$A$503,391))=0,"",INDEX('Providers'!$A$4:$A$503,391))</f>
        <v/>
      </c>
      <c r="E3894">
        <f>IF(ISNUMBER(INDEX('Providers'!$Y$4:$Y$503,391)),TEXT(INDEX('Providers'!$Y$4:$Y$503,391),"yyyy-mm-dd"),"")</f>
        <v/>
      </c>
      <c r="F3894">
        <f>"Credentialing"</f>
        <v/>
      </c>
      <c r="G3894">
        <f>""</f>
        <v/>
      </c>
      <c r="H3894">
        <f>"High"</f>
        <v/>
      </c>
      <c r="I3894">
        <f>TRIM(IF(LEN(IF(LEN(INDEX('Providers'!$X$4:$X$503,391))=0,"",INDEX('Providers'!$X$4:$X$503,391)))=0,"","Facility: "&amp;IF(LEN(INDEX('Providers'!$X$4:$X$503,391))=0,"",INDEX('Providers'!$X$4:$X$503,391))&amp;". "))</f>
        <v/>
      </c>
      <c r="J3894">
        <f>IF(LEN(INDEX('Providers'!$AJ$4:$AJ$503,391))=0,"",INDEX('Providers'!$AJ$4:$AJ$503,391))</f>
        <v/>
      </c>
      <c r="K3894">
        <f>IF(LEN(INDEX('Providers'!$AI$4:$AI$503,391))=0,"",INDEX('Providers'!$AI$4:$AI$503,391))</f>
        <v/>
      </c>
    </row>
    <row r="3895">
      <c r="A3895">
        <f>IF(AND(LEN('Providers'!A395)&gt;0,ISNUMBER('Providers'!Y395)),1,0)</f>
        <v/>
      </c>
      <c r="B3895">
        <f>B3894+A3895</f>
        <v/>
      </c>
      <c r="C3895">
        <f>IF(3892&gt;$B$4503,"",MATCH(3892-0.5,$B$3:$B$4503,1))</f>
        <v/>
      </c>
      <c r="D3895">
        <f>"Privileges reappointment – "&amp;IF(LEN(INDEX('Providers'!$A$4:$A$503,392))=0,"",INDEX('Providers'!$A$4:$A$503,392))</f>
        <v/>
      </c>
      <c r="E3895">
        <f>IF(ISNUMBER(INDEX('Providers'!$Y$4:$Y$503,392)),TEXT(INDEX('Providers'!$Y$4:$Y$503,392),"yyyy-mm-dd"),"")</f>
        <v/>
      </c>
      <c r="F3895">
        <f>"Credentialing"</f>
        <v/>
      </c>
      <c r="G3895">
        <f>""</f>
        <v/>
      </c>
      <c r="H3895">
        <f>"High"</f>
        <v/>
      </c>
      <c r="I3895">
        <f>TRIM(IF(LEN(IF(LEN(INDEX('Providers'!$X$4:$X$503,392))=0,"",INDEX('Providers'!$X$4:$X$503,392)))=0,"","Facility: "&amp;IF(LEN(INDEX('Providers'!$X$4:$X$503,392))=0,"",INDEX('Providers'!$X$4:$X$503,392))&amp;". "))</f>
        <v/>
      </c>
      <c r="J3895">
        <f>IF(LEN(INDEX('Providers'!$AJ$4:$AJ$503,392))=0,"",INDEX('Providers'!$AJ$4:$AJ$503,392))</f>
        <v/>
      </c>
      <c r="K3895">
        <f>IF(LEN(INDEX('Providers'!$AI$4:$AI$503,392))=0,"",INDEX('Providers'!$AI$4:$AI$503,392))</f>
        <v/>
      </c>
    </row>
    <row r="3896">
      <c r="A3896">
        <f>IF(AND(LEN('Providers'!A396)&gt;0,ISNUMBER('Providers'!Y396)),1,0)</f>
        <v/>
      </c>
      <c r="B3896">
        <f>B3895+A3896</f>
        <v/>
      </c>
      <c r="C3896">
        <f>IF(3893&gt;$B$4503,"",MATCH(3893-0.5,$B$3:$B$4503,1))</f>
        <v/>
      </c>
      <c r="D3896">
        <f>"Privileges reappointment – "&amp;IF(LEN(INDEX('Providers'!$A$4:$A$503,393))=0,"",INDEX('Providers'!$A$4:$A$503,393))</f>
        <v/>
      </c>
      <c r="E3896">
        <f>IF(ISNUMBER(INDEX('Providers'!$Y$4:$Y$503,393)),TEXT(INDEX('Providers'!$Y$4:$Y$503,393),"yyyy-mm-dd"),"")</f>
        <v/>
      </c>
      <c r="F3896">
        <f>"Credentialing"</f>
        <v/>
      </c>
      <c r="G3896">
        <f>""</f>
        <v/>
      </c>
      <c r="H3896">
        <f>"High"</f>
        <v/>
      </c>
      <c r="I3896">
        <f>TRIM(IF(LEN(IF(LEN(INDEX('Providers'!$X$4:$X$503,393))=0,"",INDEX('Providers'!$X$4:$X$503,393)))=0,"","Facility: "&amp;IF(LEN(INDEX('Providers'!$X$4:$X$503,393))=0,"",INDEX('Providers'!$X$4:$X$503,393))&amp;". "))</f>
        <v/>
      </c>
      <c r="J3896">
        <f>IF(LEN(INDEX('Providers'!$AJ$4:$AJ$503,393))=0,"",INDEX('Providers'!$AJ$4:$AJ$503,393))</f>
        <v/>
      </c>
      <c r="K3896">
        <f>IF(LEN(INDEX('Providers'!$AI$4:$AI$503,393))=0,"",INDEX('Providers'!$AI$4:$AI$503,393))</f>
        <v/>
      </c>
    </row>
    <row r="3897">
      <c r="A3897">
        <f>IF(AND(LEN('Providers'!A397)&gt;0,ISNUMBER('Providers'!Y397)),1,0)</f>
        <v/>
      </c>
      <c r="B3897">
        <f>B3896+A3897</f>
        <v/>
      </c>
      <c r="C3897">
        <f>IF(3894&gt;$B$4503,"",MATCH(3894-0.5,$B$3:$B$4503,1))</f>
        <v/>
      </c>
      <c r="D3897">
        <f>"Privileges reappointment – "&amp;IF(LEN(INDEX('Providers'!$A$4:$A$503,394))=0,"",INDEX('Providers'!$A$4:$A$503,394))</f>
        <v/>
      </c>
      <c r="E3897">
        <f>IF(ISNUMBER(INDEX('Providers'!$Y$4:$Y$503,394)),TEXT(INDEX('Providers'!$Y$4:$Y$503,394),"yyyy-mm-dd"),"")</f>
        <v/>
      </c>
      <c r="F3897">
        <f>"Credentialing"</f>
        <v/>
      </c>
      <c r="G3897">
        <f>""</f>
        <v/>
      </c>
      <c r="H3897">
        <f>"High"</f>
        <v/>
      </c>
      <c r="I3897">
        <f>TRIM(IF(LEN(IF(LEN(INDEX('Providers'!$X$4:$X$503,394))=0,"",INDEX('Providers'!$X$4:$X$503,394)))=0,"","Facility: "&amp;IF(LEN(INDEX('Providers'!$X$4:$X$503,394))=0,"",INDEX('Providers'!$X$4:$X$503,394))&amp;". "))</f>
        <v/>
      </c>
      <c r="J3897">
        <f>IF(LEN(INDEX('Providers'!$AJ$4:$AJ$503,394))=0,"",INDEX('Providers'!$AJ$4:$AJ$503,394))</f>
        <v/>
      </c>
      <c r="K3897">
        <f>IF(LEN(INDEX('Providers'!$AI$4:$AI$503,394))=0,"",INDEX('Providers'!$AI$4:$AI$503,394))</f>
        <v/>
      </c>
    </row>
    <row r="3898">
      <c r="A3898">
        <f>IF(AND(LEN('Providers'!A398)&gt;0,ISNUMBER('Providers'!Y398)),1,0)</f>
        <v/>
      </c>
      <c r="B3898">
        <f>B3897+A3898</f>
        <v/>
      </c>
      <c r="C3898">
        <f>IF(3895&gt;$B$4503,"",MATCH(3895-0.5,$B$3:$B$4503,1))</f>
        <v/>
      </c>
      <c r="D3898">
        <f>"Privileges reappointment – "&amp;IF(LEN(INDEX('Providers'!$A$4:$A$503,395))=0,"",INDEX('Providers'!$A$4:$A$503,395))</f>
        <v/>
      </c>
      <c r="E3898">
        <f>IF(ISNUMBER(INDEX('Providers'!$Y$4:$Y$503,395)),TEXT(INDEX('Providers'!$Y$4:$Y$503,395),"yyyy-mm-dd"),"")</f>
        <v/>
      </c>
      <c r="F3898">
        <f>"Credentialing"</f>
        <v/>
      </c>
      <c r="G3898">
        <f>""</f>
        <v/>
      </c>
      <c r="H3898">
        <f>"High"</f>
        <v/>
      </c>
      <c r="I3898">
        <f>TRIM(IF(LEN(IF(LEN(INDEX('Providers'!$X$4:$X$503,395))=0,"",INDEX('Providers'!$X$4:$X$503,395)))=0,"","Facility: "&amp;IF(LEN(INDEX('Providers'!$X$4:$X$503,395))=0,"",INDEX('Providers'!$X$4:$X$503,395))&amp;". "))</f>
        <v/>
      </c>
      <c r="J3898">
        <f>IF(LEN(INDEX('Providers'!$AJ$4:$AJ$503,395))=0,"",INDEX('Providers'!$AJ$4:$AJ$503,395))</f>
        <v/>
      </c>
      <c r="K3898">
        <f>IF(LEN(INDEX('Providers'!$AI$4:$AI$503,395))=0,"",INDEX('Providers'!$AI$4:$AI$503,395))</f>
        <v/>
      </c>
    </row>
    <row r="3899">
      <c r="A3899">
        <f>IF(AND(LEN('Providers'!A399)&gt;0,ISNUMBER('Providers'!Y399)),1,0)</f>
        <v/>
      </c>
      <c r="B3899">
        <f>B3898+A3899</f>
        <v/>
      </c>
      <c r="C3899">
        <f>IF(3896&gt;$B$4503,"",MATCH(3896-0.5,$B$3:$B$4503,1))</f>
        <v/>
      </c>
      <c r="D3899">
        <f>"Privileges reappointment – "&amp;IF(LEN(INDEX('Providers'!$A$4:$A$503,396))=0,"",INDEX('Providers'!$A$4:$A$503,396))</f>
        <v/>
      </c>
      <c r="E3899">
        <f>IF(ISNUMBER(INDEX('Providers'!$Y$4:$Y$503,396)),TEXT(INDEX('Providers'!$Y$4:$Y$503,396),"yyyy-mm-dd"),"")</f>
        <v/>
      </c>
      <c r="F3899">
        <f>"Credentialing"</f>
        <v/>
      </c>
      <c r="G3899">
        <f>""</f>
        <v/>
      </c>
      <c r="H3899">
        <f>"High"</f>
        <v/>
      </c>
      <c r="I3899">
        <f>TRIM(IF(LEN(IF(LEN(INDEX('Providers'!$X$4:$X$503,396))=0,"",INDEX('Providers'!$X$4:$X$503,396)))=0,"","Facility: "&amp;IF(LEN(INDEX('Providers'!$X$4:$X$503,396))=0,"",INDEX('Providers'!$X$4:$X$503,396))&amp;". "))</f>
        <v/>
      </c>
      <c r="J3899">
        <f>IF(LEN(INDEX('Providers'!$AJ$4:$AJ$503,396))=0,"",INDEX('Providers'!$AJ$4:$AJ$503,396))</f>
        <v/>
      </c>
      <c r="K3899">
        <f>IF(LEN(INDEX('Providers'!$AI$4:$AI$503,396))=0,"",INDEX('Providers'!$AI$4:$AI$503,396))</f>
        <v/>
      </c>
    </row>
    <row r="3900">
      <c r="A3900">
        <f>IF(AND(LEN('Providers'!A400)&gt;0,ISNUMBER('Providers'!Y400)),1,0)</f>
        <v/>
      </c>
      <c r="B3900">
        <f>B3899+A3900</f>
        <v/>
      </c>
      <c r="C3900">
        <f>IF(3897&gt;$B$4503,"",MATCH(3897-0.5,$B$3:$B$4503,1))</f>
        <v/>
      </c>
      <c r="D3900">
        <f>"Privileges reappointment – "&amp;IF(LEN(INDEX('Providers'!$A$4:$A$503,397))=0,"",INDEX('Providers'!$A$4:$A$503,397))</f>
        <v/>
      </c>
      <c r="E3900">
        <f>IF(ISNUMBER(INDEX('Providers'!$Y$4:$Y$503,397)),TEXT(INDEX('Providers'!$Y$4:$Y$503,397),"yyyy-mm-dd"),"")</f>
        <v/>
      </c>
      <c r="F3900">
        <f>"Credentialing"</f>
        <v/>
      </c>
      <c r="G3900">
        <f>""</f>
        <v/>
      </c>
      <c r="H3900">
        <f>"High"</f>
        <v/>
      </c>
      <c r="I3900">
        <f>TRIM(IF(LEN(IF(LEN(INDEX('Providers'!$X$4:$X$503,397))=0,"",INDEX('Providers'!$X$4:$X$503,397)))=0,"","Facility: "&amp;IF(LEN(INDEX('Providers'!$X$4:$X$503,397))=0,"",INDEX('Providers'!$X$4:$X$503,397))&amp;". "))</f>
        <v/>
      </c>
      <c r="J3900">
        <f>IF(LEN(INDEX('Providers'!$AJ$4:$AJ$503,397))=0,"",INDEX('Providers'!$AJ$4:$AJ$503,397))</f>
        <v/>
      </c>
      <c r="K3900">
        <f>IF(LEN(INDEX('Providers'!$AI$4:$AI$503,397))=0,"",INDEX('Providers'!$AI$4:$AI$503,397))</f>
        <v/>
      </c>
    </row>
    <row r="3901">
      <c r="A3901">
        <f>IF(AND(LEN('Providers'!A401)&gt;0,ISNUMBER('Providers'!Y401)),1,0)</f>
        <v/>
      </c>
      <c r="B3901">
        <f>B3900+A3901</f>
        <v/>
      </c>
      <c r="C3901">
        <f>IF(3898&gt;$B$4503,"",MATCH(3898-0.5,$B$3:$B$4503,1))</f>
        <v/>
      </c>
      <c r="D3901">
        <f>"Privileges reappointment – "&amp;IF(LEN(INDEX('Providers'!$A$4:$A$503,398))=0,"",INDEX('Providers'!$A$4:$A$503,398))</f>
        <v/>
      </c>
      <c r="E3901">
        <f>IF(ISNUMBER(INDEX('Providers'!$Y$4:$Y$503,398)),TEXT(INDEX('Providers'!$Y$4:$Y$503,398),"yyyy-mm-dd"),"")</f>
        <v/>
      </c>
      <c r="F3901">
        <f>"Credentialing"</f>
        <v/>
      </c>
      <c r="G3901">
        <f>""</f>
        <v/>
      </c>
      <c r="H3901">
        <f>"High"</f>
        <v/>
      </c>
      <c r="I3901">
        <f>TRIM(IF(LEN(IF(LEN(INDEX('Providers'!$X$4:$X$503,398))=0,"",INDEX('Providers'!$X$4:$X$503,398)))=0,"","Facility: "&amp;IF(LEN(INDEX('Providers'!$X$4:$X$503,398))=0,"",INDEX('Providers'!$X$4:$X$503,398))&amp;". "))</f>
        <v/>
      </c>
      <c r="J3901">
        <f>IF(LEN(INDEX('Providers'!$AJ$4:$AJ$503,398))=0,"",INDEX('Providers'!$AJ$4:$AJ$503,398))</f>
        <v/>
      </c>
      <c r="K3901">
        <f>IF(LEN(INDEX('Providers'!$AI$4:$AI$503,398))=0,"",INDEX('Providers'!$AI$4:$AI$503,398))</f>
        <v/>
      </c>
    </row>
    <row r="3902">
      <c r="A3902">
        <f>IF(AND(LEN('Providers'!A402)&gt;0,ISNUMBER('Providers'!Y402)),1,0)</f>
        <v/>
      </c>
      <c r="B3902">
        <f>B3901+A3902</f>
        <v/>
      </c>
      <c r="C3902">
        <f>IF(3899&gt;$B$4503,"",MATCH(3899-0.5,$B$3:$B$4503,1))</f>
        <v/>
      </c>
      <c r="D3902">
        <f>"Privileges reappointment – "&amp;IF(LEN(INDEX('Providers'!$A$4:$A$503,399))=0,"",INDEX('Providers'!$A$4:$A$503,399))</f>
        <v/>
      </c>
      <c r="E3902">
        <f>IF(ISNUMBER(INDEX('Providers'!$Y$4:$Y$503,399)),TEXT(INDEX('Providers'!$Y$4:$Y$503,399),"yyyy-mm-dd"),"")</f>
        <v/>
      </c>
      <c r="F3902">
        <f>"Credentialing"</f>
        <v/>
      </c>
      <c r="G3902">
        <f>""</f>
        <v/>
      </c>
      <c r="H3902">
        <f>"High"</f>
        <v/>
      </c>
      <c r="I3902">
        <f>TRIM(IF(LEN(IF(LEN(INDEX('Providers'!$X$4:$X$503,399))=0,"",INDEX('Providers'!$X$4:$X$503,399)))=0,"","Facility: "&amp;IF(LEN(INDEX('Providers'!$X$4:$X$503,399))=0,"",INDEX('Providers'!$X$4:$X$503,399))&amp;". "))</f>
        <v/>
      </c>
      <c r="J3902">
        <f>IF(LEN(INDEX('Providers'!$AJ$4:$AJ$503,399))=0,"",INDEX('Providers'!$AJ$4:$AJ$503,399))</f>
        <v/>
      </c>
      <c r="K3902">
        <f>IF(LEN(INDEX('Providers'!$AI$4:$AI$503,399))=0,"",INDEX('Providers'!$AI$4:$AI$503,399))</f>
        <v/>
      </c>
    </row>
    <row r="3903">
      <c r="A3903">
        <f>IF(AND(LEN('Providers'!A403)&gt;0,ISNUMBER('Providers'!Y403)),1,0)</f>
        <v/>
      </c>
      <c r="B3903">
        <f>B3902+A3903</f>
        <v/>
      </c>
      <c r="C3903">
        <f>IF(3900&gt;$B$4503,"",MATCH(3900-0.5,$B$3:$B$4503,1))</f>
        <v/>
      </c>
      <c r="D3903">
        <f>"Privileges reappointment – "&amp;IF(LEN(INDEX('Providers'!$A$4:$A$503,400))=0,"",INDEX('Providers'!$A$4:$A$503,400))</f>
        <v/>
      </c>
      <c r="E3903">
        <f>IF(ISNUMBER(INDEX('Providers'!$Y$4:$Y$503,400)),TEXT(INDEX('Providers'!$Y$4:$Y$503,400),"yyyy-mm-dd"),"")</f>
        <v/>
      </c>
      <c r="F3903">
        <f>"Credentialing"</f>
        <v/>
      </c>
      <c r="G3903">
        <f>""</f>
        <v/>
      </c>
      <c r="H3903">
        <f>"High"</f>
        <v/>
      </c>
      <c r="I3903">
        <f>TRIM(IF(LEN(IF(LEN(INDEX('Providers'!$X$4:$X$503,400))=0,"",INDEX('Providers'!$X$4:$X$503,400)))=0,"","Facility: "&amp;IF(LEN(INDEX('Providers'!$X$4:$X$503,400))=0,"",INDEX('Providers'!$X$4:$X$503,400))&amp;". "))</f>
        <v/>
      </c>
      <c r="J3903">
        <f>IF(LEN(INDEX('Providers'!$AJ$4:$AJ$503,400))=0,"",INDEX('Providers'!$AJ$4:$AJ$503,400))</f>
        <v/>
      </c>
      <c r="K3903">
        <f>IF(LEN(INDEX('Providers'!$AI$4:$AI$503,400))=0,"",INDEX('Providers'!$AI$4:$AI$503,400))</f>
        <v/>
      </c>
    </row>
    <row r="3904">
      <c r="A3904">
        <f>IF(AND(LEN('Providers'!A404)&gt;0,ISNUMBER('Providers'!Y404)),1,0)</f>
        <v/>
      </c>
      <c r="B3904">
        <f>B3903+A3904</f>
        <v/>
      </c>
      <c r="C3904">
        <f>IF(3901&gt;$B$4503,"",MATCH(3901-0.5,$B$3:$B$4503,1))</f>
        <v/>
      </c>
      <c r="D3904">
        <f>"Privileges reappointment – "&amp;IF(LEN(INDEX('Providers'!$A$4:$A$503,401))=0,"",INDEX('Providers'!$A$4:$A$503,401))</f>
        <v/>
      </c>
      <c r="E3904">
        <f>IF(ISNUMBER(INDEX('Providers'!$Y$4:$Y$503,401)),TEXT(INDEX('Providers'!$Y$4:$Y$503,401),"yyyy-mm-dd"),"")</f>
        <v/>
      </c>
      <c r="F3904">
        <f>"Credentialing"</f>
        <v/>
      </c>
      <c r="G3904">
        <f>""</f>
        <v/>
      </c>
      <c r="H3904">
        <f>"High"</f>
        <v/>
      </c>
      <c r="I3904">
        <f>TRIM(IF(LEN(IF(LEN(INDEX('Providers'!$X$4:$X$503,401))=0,"",INDEX('Providers'!$X$4:$X$503,401)))=0,"","Facility: "&amp;IF(LEN(INDEX('Providers'!$X$4:$X$503,401))=0,"",INDEX('Providers'!$X$4:$X$503,401))&amp;". "))</f>
        <v/>
      </c>
      <c r="J3904">
        <f>IF(LEN(INDEX('Providers'!$AJ$4:$AJ$503,401))=0,"",INDEX('Providers'!$AJ$4:$AJ$503,401))</f>
        <v/>
      </c>
      <c r="K3904">
        <f>IF(LEN(INDEX('Providers'!$AI$4:$AI$503,401))=0,"",INDEX('Providers'!$AI$4:$AI$503,401))</f>
        <v/>
      </c>
    </row>
    <row r="3905">
      <c r="A3905">
        <f>IF(AND(LEN('Providers'!A405)&gt;0,ISNUMBER('Providers'!Y405)),1,0)</f>
        <v/>
      </c>
      <c r="B3905">
        <f>B3904+A3905</f>
        <v/>
      </c>
      <c r="C3905">
        <f>IF(3902&gt;$B$4503,"",MATCH(3902-0.5,$B$3:$B$4503,1))</f>
        <v/>
      </c>
      <c r="D3905">
        <f>"Privileges reappointment – "&amp;IF(LEN(INDEX('Providers'!$A$4:$A$503,402))=0,"",INDEX('Providers'!$A$4:$A$503,402))</f>
        <v/>
      </c>
      <c r="E3905">
        <f>IF(ISNUMBER(INDEX('Providers'!$Y$4:$Y$503,402)),TEXT(INDEX('Providers'!$Y$4:$Y$503,402),"yyyy-mm-dd"),"")</f>
        <v/>
      </c>
      <c r="F3905">
        <f>"Credentialing"</f>
        <v/>
      </c>
      <c r="G3905">
        <f>""</f>
        <v/>
      </c>
      <c r="H3905">
        <f>"High"</f>
        <v/>
      </c>
      <c r="I3905">
        <f>TRIM(IF(LEN(IF(LEN(INDEX('Providers'!$X$4:$X$503,402))=0,"",INDEX('Providers'!$X$4:$X$503,402)))=0,"","Facility: "&amp;IF(LEN(INDEX('Providers'!$X$4:$X$503,402))=0,"",INDEX('Providers'!$X$4:$X$503,402))&amp;". "))</f>
        <v/>
      </c>
      <c r="J3905">
        <f>IF(LEN(INDEX('Providers'!$AJ$4:$AJ$503,402))=0,"",INDEX('Providers'!$AJ$4:$AJ$503,402))</f>
        <v/>
      </c>
      <c r="K3905">
        <f>IF(LEN(INDEX('Providers'!$AI$4:$AI$503,402))=0,"",INDEX('Providers'!$AI$4:$AI$503,402))</f>
        <v/>
      </c>
    </row>
    <row r="3906">
      <c r="A3906">
        <f>IF(AND(LEN('Providers'!A406)&gt;0,ISNUMBER('Providers'!Y406)),1,0)</f>
        <v/>
      </c>
      <c r="B3906">
        <f>B3905+A3906</f>
        <v/>
      </c>
      <c r="C3906">
        <f>IF(3903&gt;$B$4503,"",MATCH(3903-0.5,$B$3:$B$4503,1))</f>
        <v/>
      </c>
      <c r="D3906">
        <f>"Privileges reappointment – "&amp;IF(LEN(INDEX('Providers'!$A$4:$A$503,403))=0,"",INDEX('Providers'!$A$4:$A$503,403))</f>
        <v/>
      </c>
      <c r="E3906">
        <f>IF(ISNUMBER(INDEX('Providers'!$Y$4:$Y$503,403)),TEXT(INDEX('Providers'!$Y$4:$Y$503,403),"yyyy-mm-dd"),"")</f>
        <v/>
      </c>
      <c r="F3906">
        <f>"Credentialing"</f>
        <v/>
      </c>
      <c r="G3906">
        <f>""</f>
        <v/>
      </c>
      <c r="H3906">
        <f>"High"</f>
        <v/>
      </c>
      <c r="I3906">
        <f>TRIM(IF(LEN(IF(LEN(INDEX('Providers'!$X$4:$X$503,403))=0,"",INDEX('Providers'!$X$4:$X$503,403)))=0,"","Facility: "&amp;IF(LEN(INDEX('Providers'!$X$4:$X$503,403))=0,"",INDEX('Providers'!$X$4:$X$503,403))&amp;". "))</f>
        <v/>
      </c>
      <c r="J3906">
        <f>IF(LEN(INDEX('Providers'!$AJ$4:$AJ$503,403))=0,"",INDEX('Providers'!$AJ$4:$AJ$503,403))</f>
        <v/>
      </c>
      <c r="K3906">
        <f>IF(LEN(INDEX('Providers'!$AI$4:$AI$503,403))=0,"",INDEX('Providers'!$AI$4:$AI$503,403))</f>
        <v/>
      </c>
    </row>
    <row r="3907">
      <c r="A3907">
        <f>IF(AND(LEN('Providers'!A407)&gt;0,ISNUMBER('Providers'!Y407)),1,0)</f>
        <v/>
      </c>
      <c r="B3907">
        <f>B3906+A3907</f>
        <v/>
      </c>
      <c r="C3907">
        <f>IF(3904&gt;$B$4503,"",MATCH(3904-0.5,$B$3:$B$4503,1))</f>
        <v/>
      </c>
      <c r="D3907">
        <f>"Privileges reappointment – "&amp;IF(LEN(INDEX('Providers'!$A$4:$A$503,404))=0,"",INDEX('Providers'!$A$4:$A$503,404))</f>
        <v/>
      </c>
      <c r="E3907">
        <f>IF(ISNUMBER(INDEX('Providers'!$Y$4:$Y$503,404)),TEXT(INDEX('Providers'!$Y$4:$Y$503,404),"yyyy-mm-dd"),"")</f>
        <v/>
      </c>
      <c r="F3907">
        <f>"Credentialing"</f>
        <v/>
      </c>
      <c r="G3907">
        <f>""</f>
        <v/>
      </c>
      <c r="H3907">
        <f>"High"</f>
        <v/>
      </c>
      <c r="I3907">
        <f>TRIM(IF(LEN(IF(LEN(INDEX('Providers'!$X$4:$X$503,404))=0,"",INDEX('Providers'!$X$4:$X$503,404)))=0,"","Facility: "&amp;IF(LEN(INDEX('Providers'!$X$4:$X$503,404))=0,"",INDEX('Providers'!$X$4:$X$503,404))&amp;". "))</f>
        <v/>
      </c>
      <c r="J3907">
        <f>IF(LEN(INDEX('Providers'!$AJ$4:$AJ$503,404))=0,"",INDEX('Providers'!$AJ$4:$AJ$503,404))</f>
        <v/>
      </c>
      <c r="K3907">
        <f>IF(LEN(INDEX('Providers'!$AI$4:$AI$503,404))=0,"",INDEX('Providers'!$AI$4:$AI$503,404))</f>
        <v/>
      </c>
    </row>
    <row r="3908">
      <c r="A3908">
        <f>IF(AND(LEN('Providers'!A408)&gt;0,ISNUMBER('Providers'!Y408)),1,0)</f>
        <v/>
      </c>
      <c r="B3908">
        <f>B3907+A3908</f>
        <v/>
      </c>
      <c r="C3908">
        <f>IF(3905&gt;$B$4503,"",MATCH(3905-0.5,$B$3:$B$4503,1))</f>
        <v/>
      </c>
      <c r="D3908">
        <f>"Privileges reappointment – "&amp;IF(LEN(INDEX('Providers'!$A$4:$A$503,405))=0,"",INDEX('Providers'!$A$4:$A$503,405))</f>
        <v/>
      </c>
      <c r="E3908">
        <f>IF(ISNUMBER(INDEX('Providers'!$Y$4:$Y$503,405)),TEXT(INDEX('Providers'!$Y$4:$Y$503,405),"yyyy-mm-dd"),"")</f>
        <v/>
      </c>
      <c r="F3908">
        <f>"Credentialing"</f>
        <v/>
      </c>
      <c r="G3908">
        <f>""</f>
        <v/>
      </c>
      <c r="H3908">
        <f>"High"</f>
        <v/>
      </c>
      <c r="I3908">
        <f>TRIM(IF(LEN(IF(LEN(INDEX('Providers'!$X$4:$X$503,405))=0,"",INDEX('Providers'!$X$4:$X$503,405)))=0,"","Facility: "&amp;IF(LEN(INDEX('Providers'!$X$4:$X$503,405))=0,"",INDEX('Providers'!$X$4:$X$503,405))&amp;". "))</f>
        <v/>
      </c>
      <c r="J3908">
        <f>IF(LEN(INDEX('Providers'!$AJ$4:$AJ$503,405))=0,"",INDEX('Providers'!$AJ$4:$AJ$503,405))</f>
        <v/>
      </c>
      <c r="K3908">
        <f>IF(LEN(INDEX('Providers'!$AI$4:$AI$503,405))=0,"",INDEX('Providers'!$AI$4:$AI$503,405))</f>
        <v/>
      </c>
    </row>
    <row r="3909">
      <c r="A3909">
        <f>IF(AND(LEN('Providers'!A409)&gt;0,ISNUMBER('Providers'!Y409)),1,0)</f>
        <v/>
      </c>
      <c r="B3909">
        <f>B3908+A3909</f>
        <v/>
      </c>
      <c r="C3909">
        <f>IF(3906&gt;$B$4503,"",MATCH(3906-0.5,$B$3:$B$4503,1))</f>
        <v/>
      </c>
      <c r="D3909">
        <f>"Privileges reappointment – "&amp;IF(LEN(INDEX('Providers'!$A$4:$A$503,406))=0,"",INDEX('Providers'!$A$4:$A$503,406))</f>
        <v/>
      </c>
      <c r="E3909">
        <f>IF(ISNUMBER(INDEX('Providers'!$Y$4:$Y$503,406)),TEXT(INDEX('Providers'!$Y$4:$Y$503,406),"yyyy-mm-dd"),"")</f>
        <v/>
      </c>
      <c r="F3909">
        <f>"Credentialing"</f>
        <v/>
      </c>
      <c r="G3909">
        <f>""</f>
        <v/>
      </c>
      <c r="H3909">
        <f>"High"</f>
        <v/>
      </c>
      <c r="I3909">
        <f>TRIM(IF(LEN(IF(LEN(INDEX('Providers'!$X$4:$X$503,406))=0,"",INDEX('Providers'!$X$4:$X$503,406)))=0,"","Facility: "&amp;IF(LEN(INDEX('Providers'!$X$4:$X$503,406))=0,"",INDEX('Providers'!$X$4:$X$503,406))&amp;". "))</f>
        <v/>
      </c>
      <c r="J3909">
        <f>IF(LEN(INDEX('Providers'!$AJ$4:$AJ$503,406))=0,"",INDEX('Providers'!$AJ$4:$AJ$503,406))</f>
        <v/>
      </c>
      <c r="K3909">
        <f>IF(LEN(INDEX('Providers'!$AI$4:$AI$503,406))=0,"",INDEX('Providers'!$AI$4:$AI$503,406))</f>
        <v/>
      </c>
    </row>
    <row r="3910">
      <c r="A3910">
        <f>IF(AND(LEN('Providers'!A410)&gt;0,ISNUMBER('Providers'!Y410)),1,0)</f>
        <v/>
      </c>
      <c r="B3910">
        <f>B3909+A3910</f>
        <v/>
      </c>
      <c r="C3910">
        <f>IF(3907&gt;$B$4503,"",MATCH(3907-0.5,$B$3:$B$4503,1))</f>
        <v/>
      </c>
      <c r="D3910">
        <f>"Privileges reappointment – "&amp;IF(LEN(INDEX('Providers'!$A$4:$A$503,407))=0,"",INDEX('Providers'!$A$4:$A$503,407))</f>
        <v/>
      </c>
      <c r="E3910">
        <f>IF(ISNUMBER(INDEX('Providers'!$Y$4:$Y$503,407)),TEXT(INDEX('Providers'!$Y$4:$Y$503,407),"yyyy-mm-dd"),"")</f>
        <v/>
      </c>
      <c r="F3910">
        <f>"Credentialing"</f>
        <v/>
      </c>
      <c r="G3910">
        <f>""</f>
        <v/>
      </c>
      <c r="H3910">
        <f>"High"</f>
        <v/>
      </c>
      <c r="I3910">
        <f>TRIM(IF(LEN(IF(LEN(INDEX('Providers'!$X$4:$X$503,407))=0,"",INDEX('Providers'!$X$4:$X$503,407)))=0,"","Facility: "&amp;IF(LEN(INDEX('Providers'!$X$4:$X$503,407))=0,"",INDEX('Providers'!$X$4:$X$503,407))&amp;". "))</f>
        <v/>
      </c>
      <c r="J3910">
        <f>IF(LEN(INDEX('Providers'!$AJ$4:$AJ$503,407))=0,"",INDEX('Providers'!$AJ$4:$AJ$503,407))</f>
        <v/>
      </c>
      <c r="K3910">
        <f>IF(LEN(INDEX('Providers'!$AI$4:$AI$503,407))=0,"",INDEX('Providers'!$AI$4:$AI$503,407))</f>
        <v/>
      </c>
    </row>
    <row r="3911">
      <c r="A3911">
        <f>IF(AND(LEN('Providers'!A411)&gt;0,ISNUMBER('Providers'!Y411)),1,0)</f>
        <v/>
      </c>
      <c r="B3911">
        <f>B3910+A3911</f>
        <v/>
      </c>
      <c r="C3911">
        <f>IF(3908&gt;$B$4503,"",MATCH(3908-0.5,$B$3:$B$4503,1))</f>
        <v/>
      </c>
      <c r="D3911">
        <f>"Privileges reappointment – "&amp;IF(LEN(INDEX('Providers'!$A$4:$A$503,408))=0,"",INDEX('Providers'!$A$4:$A$503,408))</f>
        <v/>
      </c>
      <c r="E3911">
        <f>IF(ISNUMBER(INDEX('Providers'!$Y$4:$Y$503,408)),TEXT(INDEX('Providers'!$Y$4:$Y$503,408),"yyyy-mm-dd"),"")</f>
        <v/>
      </c>
      <c r="F3911">
        <f>"Credentialing"</f>
        <v/>
      </c>
      <c r="G3911">
        <f>""</f>
        <v/>
      </c>
      <c r="H3911">
        <f>"High"</f>
        <v/>
      </c>
      <c r="I3911">
        <f>TRIM(IF(LEN(IF(LEN(INDEX('Providers'!$X$4:$X$503,408))=0,"",INDEX('Providers'!$X$4:$X$503,408)))=0,"","Facility: "&amp;IF(LEN(INDEX('Providers'!$X$4:$X$503,408))=0,"",INDEX('Providers'!$X$4:$X$503,408))&amp;". "))</f>
        <v/>
      </c>
      <c r="J3911">
        <f>IF(LEN(INDEX('Providers'!$AJ$4:$AJ$503,408))=0,"",INDEX('Providers'!$AJ$4:$AJ$503,408))</f>
        <v/>
      </c>
      <c r="K3911">
        <f>IF(LEN(INDEX('Providers'!$AI$4:$AI$503,408))=0,"",INDEX('Providers'!$AI$4:$AI$503,408))</f>
        <v/>
      </c>
    </row>
    <row r="3912">
      <c r="A3912">
        <f>IF(AND(LEN('Providers'!A412)&gt;0,ISNUMBER('Providers'!Y412)),1,0)</f>
        <v/>
      </c>
      <c r="B3912">
        <f>B3911+A3912</f>
        <v/>
      </c>
      <c r="C3912">
        <f>IF(3909&gt;$B$4503,"",MATCH(3909-0.5,$B$3:$B$4503,1))</f>
        <v/>
      </c>
      <c r="D3912">
        <f>"Privileges reappointment – "&amp;IF(LEN(INDEX('Providers'!$A$4:$A$503,409))=0,"",INDEX('Providers'!$A$4:$A$503,409))</f>
        <v/>
      </c>
      <c r="E3912">
        <f>IF(ISNUMBER(INDEX('Providers'!$Y$4:$Y$503,409)),TEXT(INDEX('Providers'!$Y$4:$Y$503,409),"yyyy-mm-dd"),"")</f>
        <v/>
      </c>
      <c r="F3912">
        <f>"Credentialing"</f>
        <v/>
      </c>
      <c r="G3912">
        <f>""</f>
        <v/>
      </c>
      <c r="H3912">
        <f>"High"</f>
        <v/>
      </c>
      <c r="I3912">
        <f>TRIM(IF(LEN(IF(LEN(INDEX('Providers'!$X$4:$X$503,409))=0,"",INDEX('Providers'!$X$4:$X$503,409)))=0,"","Facility: "&amp;IF(LEN(INDEX('Providers'!$X$4:$X$503,409))=0,"",INDEX('Providers'!$X$4:$X$503,409))&amp;". "))</f>
        <v/>
      </c>
      <c r="J3912">
        <f>IF(LEN(INDEX('Providers'!$AJ$4:$AJ$503,409))=0,"",INDEX('Providers'!$AJ$4:$AJ$503,409))</f>
        <v/>
      </c>
      <c r="K3912">
        <f>IF(LEN(INDEX('Providers'!$AI$4:$AI$503,409))=0,"",INDEX('Providers'!$AI$4:$AI$503,409))</f>
        <v/>
      </c>
    </row>
    <row r="3913">
      <c r="A3913">
        <f>IF(AND(LEN('Providers'!A413)&gt;0,ISNUMBER('Providers'!Y413)),1,0)</f>
        <v/>
      </c>
      <c r="B3913">
        <f>B3912+A3913</f>
        <v/>
      </c>
      <c r="C3913">
        <f>IF(3910&gt;$B$4503,"",MATCH(3910-0.5,$B$3:$B$4503,1))</f>
        <v/>
      </c>
      <c r="D3913">
        <f>"Privileges reappointment – "&amp;IF(LEN(INDEX('Providers'!$A$4:$A$503,410))=0,"",INDEX('Providers'!$A$4:$A$503,410))</f>
        <v/>
      </c>
      <c r="E3913">
        <f>IF(ISNUMBER(INDEX('Providers'!$Y$4:$Y$503,410)),TEXT(INDEX('Providers'!$Y$4:$Y$503,410),"yyyy-mm-dd"),"")</f>
        <v/>
      </c>
      <c r="F3913">
        <f>"Credentialing"</f>
        <v/>
      </c>
      <c r="G3913">
        <f>""</f>
        <v/>
      </c>
      <c r="H3913">
        <f>"High"</f>
        <v/>
      </c>
      <c r="I3913">
        <f>TRIM(IF(LEN(IF(LEN(INDEX('Providers'!$X$4:$X$503,410))=0,"",INDEX('Providers'!$X$4:$X$503,410)))=0,"","Facility: "&amp;IF(LEN(INDEX('Providers'!$X$4:$X$503,410))=0,"",INDEX('Providers'!$X$4:$X$503,410))&amp;". "))</f>
        <v/>
      </c>
      <c r="J3913">
        <f>IF(LEN(INDEX('Providers'!$AJ$4:$AJ$503,410))=0,"",INDEX('Providers'!$AJ$4:$AJ$503,410))</f>
        <v/>
      </c>
      <c r="K3913">
        <f>IF(LEN(INDEX('Providers'!$AI$4:$AI$503,410))=0,"",INDEX('Providers'!$AI$4:$AI$503,410))</f>
        <v/>
      </c>
    </row>
    <row r="3914">
      <c r="A3914">
        <f>IF(AND(LEN('Providers'!A414)&gt;0,ISNUMBER('Providers'!Y414)),1,0)</f>
        <v/>
      </c>
      <c r="B3914">
        <f>B3913+A3914</f>
        <v/>
      </c>
      <c r="C3914">
        <f>IF(3911&gt;$B$4503,"",MATCH(3911-0.5,$B$3:$B$4503,1))</f>
        <v/>
      </c>
      <c r="D3914">
        <f>"Privileges reappointment – "&amp;IF(LEN(INDEX('Providers'!$A$4:$A$503,411))=0,"",INDEX('Providers'!$A$4:$A$503,411))</f>
        <v/>
      </c>
      <c r="E3914">
        <f>IF(ISNUMBER(INDEX('Providers'!$Y$4:$Y$503,411)),TEXT(INDEX('Providers'!$Y$4:$Y$503,411),"yyyy-mm-dd"),"")</f>
        <v/>
      </c>
      <c r="F3914">
        <f>"Credentialing"</f>
        <v/>
      </c>
      <c r="G3914">
        <f>""</f>
        <v/>
      </c>
      <c r="H3914">
        <f>"High"</f>
        <v/>
      </c>
      <c r="I3914">
        <f>TRIM(IF(LEN(IF(LEN(INDEX('Providers'!$X$4:$X$503,411))=0,"",INDEX('Providers'!$X$4:$X$503,411)))=0,"","Facility: "&amp;IF(LEN(INDEX('Providers'!$X$4:$X$503,411))=0,"",INDEX('Providers'!$X$4:$X$503,411))&amp;". "))</f>
        <v/>
      </c>
      <c r="J3914">
        <f>IF(LEN(INDEX('Providers'!$AJ$4:$AJ$503,411))=0,"",INDEX('Providers'!$AJ$4:$AJ$503,411))</f>
        <v/>
      </c>
      <c r="K3914">
        <f>IF(LEN(INDEX('Providers'!$AI$4:$AI$503,411))=0,"",INDEX('Providers'!$AI$4:$AI$503,411))</f>
        <v/>
      </c>
    </row>
    <row r="3915">
      <c r="A3915">
        <f>IF(AND(LEN('Providers'!A415)&gt;0,ISNUMBER('Providers'!Y415)),1,0)</f>
        <v/>
      </c>
      <c r="B3915">
        <f>B3914+A3915</f>
        <v/>
      </c>
      <c r="C3915">
        <f>IF(3912&gt;$B$4503,"",MATCH(3912-0.5,$B$3:$B$4503,1))</f>
        <v/>
      </c>
      <c r="D3915">
        <f>"Privileges reappointment – "&amp;IF(LEN(INDEX('Providers'!$A$4:$A$503,412))=0,"",INDEX('Providers'!$A$4:$A$503,412))</f>
        <v/>
      </c>
      <c r="E3915">
        <f>IF(ISNUMBER(INDEX('Providers'!$Y$4:$Y$503,412)),TEXT(INDEX('Providers'!$Y$4:$Y$503,412),"yyyy-mm-dd"),"")</f>
        <v/>
      </c>
      <c r="F3915">
        <f>"Credentialing"</f>
        <v/>
      </c>
      <c r="G3915">
        <f>""</f>
        <v/>
      </c>
      <c r="H3915">
        <f>"High"</f>
        <v/>
      </c>
      <c r="I3915">
        <f>TRIM(IF(LEN(IF(LEN(INDEX('Providers'!$X$4:$X$503,412))=0,"",INDEX('Providers'!$X$4:$X$503,412)))=0,"","Facility: "&amp;IF(LEN(INDEX('Providers'!$X$4:$X$503,412))=0,"",INDEX('Providers'!$X$4:$X$503,412))&amp;". "))</f>
        <v/>
      </c>
      <c r="J3915">
        <f>IF(LEN(INDEX('Providers'!$AJ$4:$AJ$503,412))=0,"",INDEX('Providers'!$AJ$4:$AJ$503,412))</f>
        <v/>
      </c>
      <c r="K3915">
        <f>IF(LEN(INDEX('Providers'!$AI$4:$AI$503,412))=0,"",INDEX('Providers'!$AI$4:$AI$503,412))</f>
        <v/>
      </c>
    </row>
    <row r="3916">
      <c r="A3916">
        <f>IF(AND(LEN('Providers'!A416)&gt;0,ISNUMBER('Providers'!Y416)),1,0)</f>
        <v/>
      </c>
      <c r="B3916">
        <f>B3915+A3916</f>
        <v/>
      </c>
      <c r="C3916">
        <f>IF(3913&gt;$B$4503,"",MATCH(3913-0.5,$B$3:$B$4503,1))</f>
        <v/>
      </c>
      <c r="D3916">
        <f>"Privileges reappointment – "&amp;IF(LEN(INDEX('Providers'!$A$4:$A$503,413))=0,"",INDEX('Providers'!$A$4:$A$503,413))</f>
        <v/>
      </c>
      <c r="E3916">
        <f>IF(ISNUMBER(INDEX('Providers'!$Y$4:$Y$503,413)),TEXT(INDEX('Providers'!$Y$4:$Y$503,413),"yyyy-mm-dd"),"")</f>
        <v/>
      </c>
      <c r="F3916">
        <f>"Credentialing"</f>
        <v/>
      </c>
      <c r="G3916">
        <f>""</f>
        <v/>
      </c>
      <c r="H3916">
        <f>"High"</f>
        <v/>
      </c>
      <c r="I3916">
        <f>TRIM(IF(LEN(IF(LEN(INDEX('Providers'!$X$4:$X$503,413))=0,"",INDEX('Providers'!$X$4:$X$503,413)))=0,"","Facility: "&amp;IF(LEN(INDEX('Providers'!$X$4:$X$503,413))=0,"",INDEX('Providers'!$X$4:$X$503,413))&amp;". "))</f>
        <v/>
      </c>
      <c r="J3916">
        <f>IF(LEN(INDEX('Providers'!$AJ$4:$AJ$503,413))=0,"",INDEX('Providers'!$AJ$4:$AJ$503,413))</f>
        <v/>
      </c>
      <c r="K3916">
        <f>IF(LEN(INDEX('Providers'!$AI$4:$AI$503,413))=0,"",INDEX('Providers'!$AI$4:$AI$503,413))</f>
        <v/>
      </c>
    </row>
    <row r="3917">
      <c r="A3917">
        <f>IF(AND(LEN('Providers'!A417)&gt;0,ISNUMBER('Providers'!Y417)),1,0)</f>
        <v/>
      </c>
      <c r="B3917">
        <f>B3916+A3917</f>
        <v/>
      </c>
      <c r="C3917">
        <f>IF(3914&gt;$B$4503,"",MATCH(3914-0.5,$B$3:$B$4503,1))</f>
        <v/>
      </c>
      <c r="D3917">
        <f>"Privileges reappointment – "&amp;IF(LEN(INDEX('Providers'!$A$4:$A$503,414))=0,"",INDEX('Providers'!$A$4:$A$503,414))</f>
        <v/>
      </c>
      <c r="E3917">
        <f>IF(ISNUMBER(INDEX('Providers'!$Y$4:$Y$503,414)),TEXT(INDEX('Providers'!$Y$4:$Y$503,414),"yyyy-mm-dd"),"")</f>
        <v/>
      </c>
      <c r="F3917">
        <f>"Credentialing"</f>
        <v/>
      </c>
      <c r="G3917">
        <f>""</f>
        <v/>
      </c>
      <c r="H3917">
        <f>"High"</f>
        <v/>
      </c>
      <c r="I3917">
        <f>TRIM(IF(LEN(IF(LEN(INDEX('Providers'!$X$4:$X$503,414))=0,"",INDEX('Providers'!$X$4:$X$503,414)))=0,"","Facility: "&amp;IF(LEN(INDEX('Providers'!$X$4:$X$503,414))=0,"",INDEX('Providers'!$X$4:$X$503,414))&amp;". "))</f>
        <v/>
      </c>
      <c r="J3917">
        <f>IF(LEN(INDEX('Providers'!$AJ$4:$AJ$503,414))=0,"",INDEX('Providers'!$AJ$4:$AJ$503,414))</f>
        <v/>
      </c>
      <c r="K3917">
        <f>IF(LEN(INDEX('Providers'!$AI$4:$AI$503,414))=0,"",INDEX('Providers'!$AI$4:$AI$503,414))</f>
        <v/>
      </c>
    </row>
    <row r="3918">
      <c r="A3918">
        <f>IF(AND(LEN('Providers'!A418)&gt;0,ISNUMBER('Providers'!Y418)),1,0)</f>
        <v/>
      </c>
      <c r="B3918">
        <f>B3917+A3918</f>
        <v/>
      </c>
      <c r="C3918">
        <f>IF(3915&gt;$B$4503,"",MATCH(3915-0.5,$B$3:$B$4503,1))</f>
        <v/>
      </c>
      <c r="D3918">
        <f>"Privileges reappointment – "&amp;IF(LEN(INDEX('Providers'!$A$4:$A$503,415))=0,"",INDEX('Providers'!$A$4:$A$503,415))</f>
        <v/>
      </c>
      <c r="E3918">
        <f>IF(ISNUMBER(INDEX('Providers'!$Y$4:$Y$503,415)),TEXT(INDEX('Providers'!$Y$4:$Y$503,415),"yyyy-mm-dd"),"")</f>
        <v/>
      </c>
      <c r="F3918">
        <f>"Credentialing"</f>
        <v/>
      </c>
      <c r="G3918">
        <f>""</f>
        <v/>
      </c>
      <c r="H3918">
        <f>"High"</f>
        <v/>
      </c>
      <c r="I3918">
        <f>TRIM(IF(LEN(IF(LEN(INDEX('Providers'!$X$4:$X$503,415))=0,"",INDEX('Providers'!$X$4:$X$503,415)))=0,"","Facility: "&amp;IF(LEN(INDEX('Providers'!$X$4:$X$503,415))=0,"",INDEX('Providers'!$X$4:$X$503,415))&amp;". "))</f>
        <v/>
      </c>
      <c r="J3918">
        <f>IF(LEN(INDEX('Providers'!$AJ$4:$AJ$503,415))=0,"",INDEX('Providers'!$AJ$4:$AJ$503,415))</f>
        <v/>
      </c>
      <c r="K3918">
        <f>IF(LEN(INDEX('Providers'!$AI$4:$AI$503,415))=0,"",INDEX('Providers'!$AI$4:$AI$503,415))</f>
        <v/>
      </c>
    </row>
    <row r="3919">
      <c r="A3919">
        <f>IF(AND(LEN('Providers'!A419)&gt;0,ISNUMBER('Providers'!Y419)),1,0)</f>
        <v/>
      </c>
      <c r="B3919">
        <f>B3918+A3919</f>
        <v/>
      </c>
      <c r="C3919">
        <f>IF(3916&gt;$B$4503,"",MATCH(3916-0.5,$B$3:$B$4503,1))</f>
        <v/>
      </c>
      <c r="D3919">
        <f>"Privileges reappointment – "&amp;IF(LEN(INDEX('Providers'!$A$4:$A$503,416))=0,"",INDEX('Providers'!$A$4:$A$503,416))</f>
        <v/>
      </c>
      <c r="E3919">
        <f>IF(ISNUMBER(INDEX('Providers'!$Y$4:$Y$503,416)),TEXT(INDEX('Providers'!$Y$4:$Y$503,416),"yyyy-mm-dd"),"")</f>
        <v/>
      </c>
      <c r="F3919">
        <f>"Credentialing"</f>
        <v/>
      </c>
      <c r="G3919">
        <f>""</f>
        <v/>
      </c>
      <c r="H3919">
        <f>"High"</f>
        <v/>
      </c>
      <c r="I3919">
        <f>TRIM(IF(LEN(IF(LEN(INDEX('Providers'!$X$4:$X$503,416))=0,"",INDEX('Providers'!$X$4:$X$503,416)))=0,"","Facility: "&amp;IF(LEN(INDEX('Providers'!$X$4:$X$503,416))=0,"",INDEX('Providers'!$X$4:$X$503,416))&amp;". "))</f>
        <v/>
      </c>
      <c r="J3919">
        <f>IF(LEN(INDEX('Providers'!$AJ$4:$AJ$503,416))=0,"",INDEX('Providers'!$AJ$4:$AJ$503,416))</f>
        <v/>
      </c>
      <c r="K3919">
        <f>IF(LEN(INDEX('Providers'!$AI$4:$AI$503,416))=0,"",INDEX('Providers'!$AI$4:$AI$503,416))</f>
        <v/>
      </c>
    </row>
    <row r="3920">
      <c r="A3920">
        <f>IF(AND(LEN('Providers'!A420)&gt;0,ISNUMBER('Providers'!Y420)),1,0)</f>
        <v/>
      </c>
      <c r="B3920">
        <f>B3919+A3920</f>
        <v/>
      </c>
      <c r="C3920">
        <f>IF(3917&gt;$B$4503,"",MATCH(3917-0.5,$B$3:$B$4503,1))</f>
        <v/>
      </c>
      <c r="D3920">
        <f>"Privileges reappointment – "&amp;IF(LEN(INDEX('Providers'!$A$4:$A$503,417))=0,"",INDEX('Providers'!$A$4:$A$503,417))</f>
        <v/>
      </c>
      <c r="E3920">
        <f>IF(ISNUMBER(INDEX('Providers'!$Y$4:$Y$503,417)),TEXT(INDEX('Providers'!$Y$4:$Y$503,417),"yyyy-mm-dd"),"")</f>
        <v/>
      </c>
      <c r="F3920">
        <f>"Credentialing"</f>
        <v/>
      </c>
      <c r="G3920">
        <f>""</f>
        <v/>
      </c>
      <c r="H3920">
        <f>"High"</f>
        <v/>
      </c>
      <c r="I3920">
        <f>TRIM(IF(LEN(IF(LEN(INDEX('Providers'!$X$4:$X$503,417))=0,"",INDEX('Providers'!$X$4:$X$503,417)))=0,"","Facility: "&amp;IF(LEN(INDEX('Providers'!$X$4:$X$503,417))=0,"",INDEX('Providers'!$X$4:$X$503,417))&amp;". "))</f>
        <v/>
      </c>
      <c r="J3920">
        <f>IF(LEN(INDEX('Providers'!$AJ$4:$AJ$503,417))=0,"",INDEX('Providers'!$AJ$4:$AJ$503,417))</f>
        <v/>
      </c>
      <c r="K3920">
        <f>IF(LEN(INDEX('Providers'!$AI$4:$AI$503,417))=0,"",INDEX('Providers'!$AI$4:$AI$503,417))</f>
        <v/>
      </c>
    </row>
    <row r="3921">
      <c r="A3921">
        <f>IF(AND(LEN('Providers'!A421)&gt;0,ISNUMBER('Providers'!Y421)),1,0)</f>
        <v/>
      </c>
      <c r="B3921">
        <f>B3920+A3921</f>
        <v/>
      </c>
      <c r="C3921">
        <f>IF(3918&gt;$B$4503,"",MATCH(3918-0.5,$B$3:$B$4503,1))</f>
        <v/>
      </c>
      <c r="D3921">
        <f>"Privileges reappointment – "&amp;IF(LEN(INDEX('Providers'!$A$4:$A$503,418))=0,"",INDEX('Providers'!$A$4:$A$503,418))</f>
        <v/>
      </c>
      <c r="E3921">
        <f>IF(ISNUMBER(INDEX('Providers'!$Y$4:$Y$503,418)),TEXT(INDEX('Providers'!$Y$4:$Y$503,418),"yyyy-mm-dd"),"")</f>
        <v/>
      </c>
      <c r="F3921">
        <f>"Credentialing"</f>
        <v/>
      </c>
      <c r="G3921">
        <f>""</f>
        <v/>
      </c>
      <c r="H3921">
        <f>"High"</f>
        <v/>
      </c>
      <c r="I3921">
        <f>TRIM(IF(LEN(IF(LEN(INDEX('Providers'!$X$4:$X$503,418))=0,"",INDEX('Providers'!$X$4:$X$503,418)))=0,"","Facility: "&amp;IF(LEN(INDEX('Providers'!$X$4:$X$503,418))=0,"",INDEX('Providers'!$X$4:$X$503,418))&amp;". "))</f>
        <v/>
      </c>
      <c r="J3921">
        <f>IF(LEN(INDEX('Providers'!$AJ$4:$AJ$503,418))=0,"",INDEX('Providers'!$AJ$4:$AJ$503,418))</f>
        <v/>
      </c>
      <c r="K3921">
        <f>IF(LEN(INDEX('Providers'!$AI$4:$AI$503,418))=0,"",INDEX('Providers'!$AI$4:$AI$503,418))</f>
        <v/>
      </c>
    </row>
    <row r="3922">
      <c r="A3922">
        <f>IF(AND(LEN('Providers'!A422)&gt;0,ISNUMBER('Providers'!Y422)),1,0)</f>
        <v/>
      </c>
      <c r="B3922">
        <f>B3921+A3922</f>
        <v/>
      </c>
      <c r="C3922">
        <f>IF(3919&gt;$B$4503,"",MATCH(3919-0.5,$B$3:$B$4503,1))</f>
        <v/>
      </c>
      <c r="D3922">
        <f>"Privileges reappointment – "&amp;IF(LEN(INDEX('Providers'!$A$4:$A$503,419))=0,"",INDEX('Providers'!$A$4:$A$503,419))</f>
        <v/>
      </c>
      <c r="E3922">
        <f>IF(ISNUMBER(INDEX('Providers'!$Y$4:$Y$503,419)),TEXT(INDEX('Providers'!$Y$4:$Y$503,419),"yyyy-mm-dd"),"")</f>
        <v/>
      </c>
      <c r="F3922">
        <f>"Credentialing"</f>
        <v/>
      </c>
      <c r="G3922">
        <f>""</f>
        <v/>
      </c>
      <c r="H3922">
        <f>"High"</f>
        <v/>
      </c>
      <c r="I3922">
        <f>TRIM(IF(LEN(IF(LEN(INDEX('Providers'!$X$4:$X$503,419))=0,"",INDEX('Providers'!$X$4:$X$503,419)))=0,"","Facility: "&amp;IF(LEN(INDEX('Providers'!$X$4:$X$503,419))=0,"",INDEX('Providers'!$X$4:$X$503,419))&amp;". "))</f>
        <v/>
      </c>
      <c r="J3922">
        <f>IF(LEN(INDEX('Providers'!$AJ$4:$AJ$503,419))=0,"",INDEX('Providers'!$AJ$4:$AJ$503,419))</f>
        <v/>
      </c>
      <c r="K3922">
        <f>IF(LEN(INDEX('Providers'!$AI$4:$AI$503,419))=0,"",INDEX('Providers'!$AI$4:$AI$503,419))</f>
        <v/>
      </c>
    </row>
    <row r="3923">
      <c r="A3923">
        <f>IF(AND(LEN('Providers'!A423)&gt;0,ISNUMBER('Providers'!Y423)),1,0)</f>
        <v/>
      </c>
      <c r="B3923">
        <f>B3922+A3923</f>
        <v/>
      </c>
      <c r="C3923">
        <f>IF(3920&gt;$B$4503,"",MATCH(3920-0.5,$B$3:$B$4503,1))</f>
        <v/>
      </c>
      <c r="D3923">
        <f>"Privileges reappointment – "&amp;IF(LEN(INDEX('Providers'!$A$4:$A$503,420))=0,"",INDEX('Providers'!$A$4:$A$503,420))</f>
        <v/>
      </c>
      <c r="E3923">
        <f>IF(ISNUMBER(INDEX('Providers'!$Y$4:$Y$503,420)),TEXT(INDEX('Providers'!$Y$4:$Y$503,420),"yyyy-mm-dd"),"")</f>
        <v/>
      </c>
      <c r="F3923">
        <f>"Credentialing"</f>
        <v/>
      </c>
      <c r="G3923">
        <f>""</f>
        <v/>
      </c>
      <c r="H3923">
        <f>"High"</f>
        <v/>
      </c>
      <c r="I3923">
        <f>TRIM(IF(LEN(IF(LEN(INDEX('Providers'!$X$4:$X$503,420))=0,"",INDEX('Providers'!$X$4:$X$503,420)))=0,"","Facility: "&amp;IF(LEN(INDEX('Providers'!$X$4:$X$503,420))=0,"",INDEX('Providers'!$X$4:$X$503,420))&amp;". "))</f>
        <v/>
      </c>
      <c r="J3923">
        <f>IF(LEN(INDEX('Providers'!$AJ$4:$AJ$503,420))=0,"",INDEX('Providers'!$AJ$4:$AJ$503,420))</f>
        <v/>
      </c>
      <c r="K3923">
        <f>IF(LEN(INDEX('Providers'!$AI$4:$AI$503,420))=0,"",INDEX('Providers'!$AI$4:$AI$503,420))</f>
        <v/>
      </c>
    </row>
    <row r="3924">
      <c r="A3924">
        <f>IF(AND(LEN('Providers'!A424)&gt;0,ISNUMBER('Providers'!Y424)),1,0)</f>
        <v/>
      </c>
      <c r="B3924">
        <f>B3923+A3924</f>
        <v/>
      </c>
      <c r="C3924">
        <f>IF(3921&gt;$B$4503,"",MATCH(3921-0.5,$B$3:$B$4503,1))</f>
        <v/>
      </c>
      <c r="D3924">
        <f>"Privileges reappointment – "&amp;IF(LEN(INDEX('Providers'!$A$4:$A$503,421))=0,"",INDEX('Providers'!$A$4:$A$503,421))</f>
        <v/>
      </c>
      <c r="E3924">
        <f>IF(ISNUMBER(INDEX('Providers'!$Y$4:$Y$503,421)),TEXT(INDEX('Providers'!$Y$4:$Y$503,421),"yyyy-mm-dd"),"")</f>
        <v/>
      </c>
      <c r="F3924">
        <f>"Credentialing"</f>
        <v/>
      </c>
      <c r="G3924">
        <f>""</f>
        <v/>
      </c>
      <c r="H3924">
        <f>"High"</f>
        <v/>
      </c>
      <c r="I3924">
        <f>TRIM(IF(LEN(IF(LEN(INDEX('Providers'!$X$4:$X$503,421))=0,"",INDEX('Providers'!$X$4:$X$503,421)))=0,"","Facility: "&amp;IF(LEN(INDEX('Providers'!$X$4:$X$503,421))=0,"",INDEX('Providers'!$X$4:$X$503,421))&amp;". "))</f>
        <v/>
      </c>
      <c r="J3924">
        <f>IF(LEN(INDEX('Providers'!$AJ$4:$AJ$503,421))=0,"",INDEX('Providers'!$AJ$4:$AJ$503,421))</f>
        <v/>
      </c>
      <c r="K3924">
        <f>IF(LEN(INDEX('Providers'!$AI$4:$AI$503,421))=0,"",INDEX('Providers'!$AI$4:$AI$503,421))</f>
        <v/>
      </c>
    </row>
    <row r="3925">
      <c r="A3925">
        <f>IF(AND(LEN('Providers'!A425)&gt;0,ISNUMBER('Providers'!Y425)),1,0)</f>
        <v/>
      </c>
      <c r="B3925">
        <f>B3924+A3925</f>
        <v/>
      </c>
      <c r="C3925">
        <f>IF(3922&gt;$B$4503,"",MATCH(3922-0.5,$B$3:$B$4503,1))</f>
        <v/>
      </c>
      <c r="D3925">
        <f>"Privileges reappointment – "&amp;IF(LEN(INDEX('Providers'!$A$4:$A$503,422))=0,"",INDEX('Providers'!$A$4:$A$503,422))</f>
        <v/>
      </c>
      <c r="E3925">
        <f>IF(ISNUMBER(INDEX('Providers'!$Y$4:$Y$503,422)),TEXT(INDEX('Providers'!$Y$4:$Y$503,422),"yyyy-mm-dd"),"")</f>
        <v/>
      </c>
      <c r="F3925">
        <f>"Credentialing"</f>
        <v/>
      </c>
      <c r="G3925">
        <f>""</f>
        <v/>
      </c>
      <c r="H3925">
        <f>"High"</f>
        <v/>
      </c>
      <c r="I3925">
        <f>TRIM(IF(LEN(IF(LEN(INDEX('Providers'!$X$4:$X$503,422))=0,"",INDEX('Providers'!$X$4:$X$503,422)))=0,"","Facility: "&amp;IF(LEN(INDEX('Providers'!$X$4:$X$503,422))=0,"",INDEX('Providers'!$X$4:$X$503,422))&amp;". "))</f>
        <v/>
      </c>
      <c r="J3925">
        <f>IF(LEN(INDEX('Providers'!$AJ$4:$AJ$503,422))=0,"",INDEX('Providers'!$AJ$4:$AJ$503,422))</f>
        <v/>
      </c>
      <c r="K3925">
        <f>IF(LEN(INDEX('Providers'!$AI$4:$AI$503,422))=0,"",INDEX('Providers'!$AI$4:$AI$503,422))</f>
        <v/>
      </c>
    </row>
    <row r="3926">
      <c r="A3926">
        <f>IF(AND(LEN('Providers'!A426)&gt;0,ISNUMBER('Providers'!Y426)),1,0)</f>
        <v/>
      </c>
      <c r="B3926">
        <f>B3925+A3926</f>
        <v/>
      </c>
      <c r="C3926">
        <f>IF(3923&gt;$B$4503,"",MATCH(3923-0.5,$B$3:$B$4503,1))</f>
        <v/>
      </c>
      <c r="D3926">
        <f>"Privileges reappointment – "&amp;IF(LEN(INDEX('Providers'!$A$4:$A$503,423))=0,"",INDEX('Providers'!$A$4:$A$503,423))</f>
        <v/>
      </c>
      <c r="E3926">
        <f>IF(ISNUMBER(INDEX('Providers'!$Y$4:$Y$503,423)),TEXT(INDEX('Providers'!$Y$4:$Y$503,423),"yyyy-mm-dd"),"")</f>
        <v/>
      </c>
      <c r="F3926">
        <f>"Credentialing"</f>
        <v/>
      </c>
      <c r="G3926">
        <f>""</f>
        <v/>
      </c>
      <c r="H3926">
        <f>"High"</f>
        <v/>
      </c>
      <c r="I3926">
        <f>TRIM(IF(LEN(IF(LEN(INDEX('Providers'!$X$4:$X$503,423))=0,"",INDEX('Providers'!$X$4:$X$503,423)))=0,"","Facility: "&amp;IF(LEN(INDEX('Providers'!$X$4:$X$503,423))=0,"",INDEX('Providers'!$X$4:$X$503,423))&amp;". "))</f>
        <v/>
      </c>
      <c r="J3926">
        <f>IF(LEN(INDEX('Providers'!$AJ$4:$AJ$503,423))=0,"",INDEX('Providers'!$AJ$4:$AJ$503,423))</f>
        <v/>
      </c>
      <c r="K3926">
        <f>IF(LEN(INDEX('Providers'!$AI$4:$AI$503,423))=0,"",INDEX('Providers'!$AI$4:$AI$503,423))</f>
        <v/>
      </c>
    </row>
    <row r="3927">
      <c r="A3927">
        <f>IF(AND(LEN('Providers'!A427)&gt;0,ISNUMBER('Providers'!Y427)),1,0)</f>
        <v/>
      </c>
      <c r="B3927">
        <f>B3926+A3927</f>
        <v/>
      </c>
      <c r="C3927">
        <f>IF(3924&gt;$B$4503,"",MATCH(3924-0.5,$B$3:$B$4503,1))</f>
        <v/>
      </c>
      <c r="D3927">
        <f>"Privileges reappointment – "&amp;IF(LEN(INDEX('Providers'!$A$4:$A$503,424))=0,"",INDEX('Providers'!$A$4:$A$503,424))</f>
        <v/>
      </c>
      <c r="E3927">
        <f>IF(ISNUMBER(INDEX('Providers'!$Y$4:$Y$503,424)),TEXT(INDEX('Providers'!$Y$4:$Y$503,424),"yyyy-mm-dd"),"")</f>
        <v/>
      </c>
      <c r="F3927">
        <f>"Credentialing"</f>
        <v/>
      </c>
      <c r="G3927">
        <f>""</f>
        <v/>
      </c>
      <c r="H3927">
        <f>"High"</f>
        <v/>
      </c>
      <c r="I3927">
        <f>TRIM(IF(LEN(IF(LEN(INDEX('Providers'!$X$4:$X$503,424))=0,"",INDEX('Providers'!$X$4:$X$503,424)))=0,"","Facility: "&amp;IF(LEN(INDEX('Providers'!$X$4:$X$503,424))=0,"",INDEX('Providers'!$X$4:$X$503,424))&amp;". "))</f>
        <v/>
      </c>
      <c r="J3927">
        <f>IF(LEN(INDEX('Providers'!$AJ$4:$AJ$503,424))=0,"",INDEX('Providers'!$AJ$4:$AJ$503,424))</f>
        <v/>
      </c>
      <c r="K3927">
        <f>IF(LEN(INDEX('Providers'!$AI$4:$AI$503,424))=0,"",INDEX('Providers'!$AI$4:$AI$503,424))</f>
        <v/>
      </c>
    </row>
    <row r="3928">
      <c r="A3928">
        <f>IF(AND(LEN('Providers'!A428)&gt;0,ISNUMBER('Providers'!Y428)),1,0)</f>
        <v/>
      </c>
      <c r="B3928">
        <f>B3927+A3928</f>
        <v/>
      </c>
      <c r="C3928">
        <f>IF(3925&gt;$B$4503,"",MATCH(3925-0.5,$B$3:$B$4503,1))</f>
        <v/>
      </c>
      <c r="D3928">
        <f>"Privileges reappointment – "&amp;IF(LEN(INDEX('Providers'!$A$4:$A$503,425))=0,"",INDEX('Providers'!$A$4:$A$503,425))</f>
        <v/>
      </c>
      <c r="E3928">
        <f>IF(ISNUMBER(INDEX('Providers'!$Y$4:$Y$503,425)),TEXT(INDEX('Providers'!$Y$4:$Y$503,425),"yyyy-mm-dd"),"")</f>
        <v/>
      </c>
      <c r="F3928">
        <f>"Credentialing"</f>
        <v/>
      </c>
      <c r="G3928">
        <f>""</f>
        <v/>
      </c>
      <c r="H3928">
        <f>"High"</f>
        <v/>
      </c>
      <c r="I3928">
        <f>TRIM(IF(LEN(IF(LEN(INDEX('Providers'!$X$4:$X$503,425))=0,"",INDEX('Providers'!$X$4:$X$503,425)))=0,"","Facility: "&amp;IF(LEN(INDEX('Providers'!$X$4:$X$503,425))=0,"",INDEX('Providers'!$X$4:$X$503,425))&amp;". "))</f>
        <v/>
      </c>
      <c r="J3928">
        <f>IF(LEN(INDEX('Providers'!$AJ$4:$AJ$503,425))=0,"",INDEX('Providers'!$AJ$4:$AJ$503,425))</f>
        <v/>
      </c>
      <c r="K3928">
        <f>IF(LEN(INDEX('Providers'!$AI$4:$AI$503,425))=0,"",INDEX('Providers'!$AI$4:$AI$503,425))</f>
        <v/>
      </c>
    </row>
    <row r="3929">
      <c r="A3929">
        <f>IF(AND(LEN('Providers'!A429)&gt;0,ISNUMBER('Providers'!Y429)),1,0)</f>
        <v/>
      </c>
      <c r="B3929">
        <f>B3928+A3929</f>
        <v/>
      </c>
      <c r="C3929">
        <f>IF(3926&gt;$B$4503,"",MATCH(3926-0.5,$B$3:$B$4503,1))</f>
        <v/>
      </c>
      <c r="D3929">
        <f>"Privileges reappointment – "&amp;IF(LEN(INDEX('Providers'!$A$4:$A$503,426))=0,"",INDEX('Providers'!$A$4:$A$503,426))</f>
        <v/>
      </c>
      <c r="E3929">
        <f>IF(ISNUMBER(INDEX('Providers'!$Y$4:$Y$503,426)),TEXT(INDEX('Providers'!$Y$4:$Y$503,426),"yyyy-mm-dd"),"")</f>
        <v/>
      </c>
      <c r="F3929">
        <f>"Credentialing"</f>
        <v/>
      </c>
      <c r="G3929">
        <f>""</f>
        <v/>
      </c>
      <c r="H3929">
        <f>"High"</f>
        <v/>
      </c>
      <c r="I3929">
        <f>TRIM(IF(LEN(IF(LEN(INDEX('Providers'!$X$4:$X$503,426))=0,"",INDEX('Providers'!$X$4:$X$503,426)))=0,"","Facility: "&amp;IF(LEN(INDEX('Providers'!$X$4:$X$503,426))=0,"",INDEX('Providers'!$X$4:$X$503,426))&amp;". "))</f>
        <v/>
      </c>
      <c r="J3929">
        <f>IF(LEN(INDEX('Providers'!$AJ$4:$AJ$503,426))=0,"",INDEX('Providers'!$AJ$4:$AJ$503,426))</f>
        <v/>
      </c>
      <c r="K3929">
        <f>IF(LEN(INDEX('Providers'!$AI$4:$AI$503,426))=0,"",INDEX('Providers'!$AI$4:$AI$503,426))</f>
        <v/>
      </c>
    </row>
    <row r="3930">
      <c r="A3930">
        <f>IF(AND(LEN('Providers'!A430)&gt;0,ISNUMBER('Providers'!Y430)),1,0)</f>
        <v/>
      </c>
      <c r="B3930">
        <f>B3929+A3930</f>
        <v/>
      </c>
      <c r="C3930">
        <f>IF(3927&gt;$B$4503,"",MATCH(3927-0.5,$B$3:$B$4503,1))</f>
        <v/>
      </c>
      <c r="D3930">
        <f>"Privileges reappointment – "&amp;IF(LEN(INDEX('Providers'!$A$4:$A$503,427))=0,"",INDEX('Providers'!$A$4:$A$503,427))</f>
        <v/>
      </c>
      <c r="E3930">
        <f>IF(ISNUMBER(INDEX('Providers'!$Y$4:$Y$503,427)),TEXT(INDEX('Providers'!$Y$4:$Y$503,427),"yyyy-mm-dd"),"")</f>
        <v/>
      </c>
      <c r="F3930">
        <f>"Credentialing"</f>
        <v/>
      </c>
      <c r="G3930">
        <f>""</f>
        <v/>
      </c>
      <c r="H3930">
        <f>"High"</f>
        <v/>
      </c>
      <c r="I3930">
        <f>TRIM(IF(LEN(IF(LEN(INDEX('Providers'!$X$4:$X$503,427))=0,"",INDEX('Providers'!$X$4:$X$503,427)))=0,"","Facility: "&amp;IF(LEN(INDEX('Providers'!$X$4:$X$503,427))=0,"",INDEX('Providers'!$X$4:$X$503,427))&amp;". "))</f>
        <v/>
      </c>
      <c r="J3930">
        <f>IF(LEN(INDEX('Providers'!$AJ$4:$AJ$503,427))=0,"",INDEX('Providers'!$AJ$4:$AJ$503,427))</f>
        <v/>
      </c>
      <c r="K3930">
        <f>IF(LEN(INDEX('Providers'!$AI$4:$AI$503,427))=0,"",INDEX('Providers'!$AI$4:$AI$503,427))</f>
        <v/>
      </c>
    </row>
    <row r="3931">
      <c r="A3931">
        <f>IF(AND(LEN('Providers'!A431)&gt;0,ISNUMBER('Providers'!Y431)),1,0)</f>
        <v/>
      </c>
      <c r="B3931">
        <f>B3930+A3931</f>
        <v/>
      </c>
      <c r="C3931">
        <f>IF(3928&gt;$B$4503,"",MATCH(3928-0.5,$B$3:$B$4503,1))</f>
        <v/>
      </c>
      <c r="D3931">
        <f>"Privileges reappointment – "&amp;IF(LEN(INDEX('Providers'!$A$4:$A$503,428))=0,"",INDEX('Providers'!$A$4:$A$503,428))</f>
        <v/>
      </c>
      <c r="E3931">
        <f>IF(ISNUMBER(INDEX('Providers'!$Y$4:$Y$503,428)),TEXT(INDEX('Providers'!$Y$4:$Y$503,428),"yyyy-mm-dd"),"")</f>
        <v/>
      </c>
      <c r="F3931">
        <f>"Credentialing"</f>
        <v/>
      </c>
      <c r="G3931">
        <f>""</f>
        <v/>
      </c>
      <c r="H3931">
        <f>"High"</f>
        <v/>
      </c>
      <c r="I3931">
        <f>TRIM(IF(LEN(IF(LEN(INDEX('Providers'!$X$4:$X$503,428))=0,"",INDEX('Providers'!$X$4:$X$503,428)))=0,"","Facility: "&amp;IF(LEN(INDEX('Providers'!$X$4:$X$503,428))=0,"",INDEX('Providers'!$X$4:$X$503,428))&amp;". "))</f>
        <v/>
      </c>
      <c r="J3931">
        <f>IF(LEN(INDEX('Providers'!$AJ$4:$AJ$503,428))=0,"",INDEX('Providers'!$AJ$4:$AJ$503,428))</f>
        <v/>
      </c>
      <c r="K3931">
        <f>IF(LEN(INDEX('Providers'!$AI$4:$AI$503,428))=0,"",INDEX('Providers'!$AI$4:$AI$503,428))</f>
        <v/>
      </c>
    </row>
    <row r="3932">
      <c r="A3932">
        <f>IF(AND(LEN('Providers'!A432)&gt;0,ISNUMBER('Providers'!Y432)),1,0)</f>
        <v/>
      </c>
      <c r="B3932">
        <f>B3931+A3932</f>
        <v/>
      </c>
      <c r="C3932">
        <f>IF(3929&gt;$B$4503,"",MATCH(3929-0.5,$B$3:$B$4503,1))</f>
        <v/>
      </c>
      <c r="D3932">
        <f>"Privileges reappointment – "&amp;IF(LEN(INDEX('Providers'!$A$4:$A$503,429))=0,"",INDEX('Providers'!$A$4:$A$503,429))</f>
        <v/>
      </c>
      <c r="E3932">
        <f>IF(ISNUMBER(INDEX('Providers'!$Y$4:$Y$503,429)),TEXT(INDEX('Providers'!$Y$4:$Y$503,429),"yyyy-mm-dd"),"")</f>
        <v/>
      </c>
      <c r="F3932">
        <f>"Credentialing"</f>
        <v/>
      </c>
      <c r="G3932">
        <f>""</f>
        <v/>
      </c>
      <c r="H3932">
        <f>"High"</f>
        <v/>
      </c>
      <c r="I3932">
        <f>TRIM(IF(LEN(IF(LEN(INDEX('Providers'!$X$4:$X$503,429))=0,"",INDEX('Providers'!$X$4:$X$503,429)))=0,"","Facility: "&amp;IF(LEN(INDEX('Providers'!$X$4:$X$503,429))=0,"",INDEX('Providers'!$X$4:$X$503,429))&amp;". "))</f>
        <v/>
      </c>
      <c r="J3932">
        <f>IF(LEN(INDEX('Providers'!$AJ$4:$AJ$503,429))=0,"",INDEX('Providers'!$AJ$4:$AJ$503,429))</f>
        <v/>
      </c>
      <c r="K3932">
        <f>IF(LEN(INDEX('Providers'!$AI$4:$AI$503,429))=0,"",INDEX('Providers'!$AI$4:$AI$503,429))</f>
        <v/>
      </c>
    </row>
    <row r="3933">
      <c r="A3933">
        <f>IF(AND(LEN('Providers'!A433)&gt;0,ISNUMBER('Providers'!Y433)),1,0)</f>
        <v/>
      </c>
      <c r="B3933">
        <f>B3932+A3933</f>
        <v/>
      </c>
      <c r="C3933">
        <f>IF(3930&gt;$B$4503,"",MATCH(3930-0.5,$B$3:$B$4503,1))</f>
        <v/>
      </c>
      <c r="D3933">
        <f>"Privileges reappointment – "&amp;IF(LEN(INDEX('Providers'!$A$4:$A$503,430))=0,"",INDEX('Providers'!$A$4:$A$503,430))</f>
        <v/>
      </c>
      <c r="E3933">
        <f>IF(ISNUMBER(INDEX('Providers'!$Y$4:$Y$503,430)),TEXT(INDEX('Providers'!$Y$4:$Y$503,430),"yyyy-mm-dd"),"")</f>
        <v/>
      </c>
      <c r="F3933">
        <f>"Credentialing"</f>
        <v/>
      </c>
      <c r="G3933">
        <f>""</f>
        <v/>
      </c>
      <c r="H3933">
        <f>"High"</f>
        <v/>
      </c>
      <c r="I3933">
        <f>TRIM(IF(LEN(IF(LEN(INDEX('Providers'!$X$4:$X$503,430))=0,"",INDEX('Providers'!$X$4:$X$503,430)))=0,"","Facility: "&amp;IF(LEN(INDEX('Providers'!$X$4:$X$503,430))=0,"",INDEX('Providers'!$X$4:$X$503,430))&amp;". "))</f>
        <v/>
      </c>
      <c r="J3933">
        <f>IF(LEN(INDEX('Providers'!$AJ$4:$AJ$503,430))=0,"",INDEX('Providers'!$AJ$4:$AJ$503,430))</f>
        <v/>
      </c>
      <c r="K3933">
        <f>IF(LEN(INDEX('Providers'!$AI$4:$AI$503,430))=0,"",INDEX('Providers'!$AI$4:$AI$503,430))</f>
        <v/>
      </c>
    </row>
    <row r="3934">
      <c r="A3934">
        <f>IF(AND(LEN('Providers'!A434)&gt;0,ISNUMBER('Providers'!Y434)),1,0)</f>
        <v/>
      </c>
      <c r="B3934">
        <f>B3933+A3934</f>
        <v/>
      </c>
      <c r="C3934">
        <f>IF(3931&gt;$B$4503,"",MATCH(3931-0.5,$B$3:$B$4503,1))</f>
        <v/>
      </c>
      <c r="D3934">
        <f>"Privileges reappointment – "&amp;IF(LEN(INDEX('Providers'!$A$4:$A$503,431))=0,"",INDEX('Providers'!$A$4:$A$503,431))</f>
        <v/>
      </c>
      <c r="E3934">
        <f>IF(ISNUMBER(INDEX('Providers'!$Y$4:$Y$503,431)),TEXT(INDEX('Providers'!$Y$4:$Y$503,431),"yyyy-mm-dd"),"")</f>
        <v/>
      </c>
      <c r="F3934">
        <f>"Credentialing"</f>
        <v/>
      </c>
      <c r="G3934">
        <f>""</f>
        <v/>
      </c>
      <c r="H3934">
        <f>"High"</f>
        <v/>
      </c>
      <c r="I3934">
        <f>TRIM(IF(LEN(IF(LEN(INDEX('Providers'!$X$4:$X$503,431))=0,"",INDEX('Providers'!$X$4:$X$503,431)))=0,"","Facility: "&amp;IF(LEN(INDEX('Providers'!$X$4:$X$503,431))=0,"",INDEX('Providers'!$X$4:$X$503,431))&amp;". "))</f>
        <v/>
      </c>
      <c r="J3934">
        <f>IF(LEN(INDEX('Providers'!$AJ$4:$AJ$503,431))=0,"",INDEX('Providers'!$AJ$4:$AJ$503,431))</f>
        <v/>
      </c>
      <c r="K3934">
        <f>IF(LEN(INDEX('Providers'!$AI$4:$AI$503,431))=0,"",INDEX('Providers'!$AI$4:$AI$503,431))</f>
        <v/>
      </c>
    </row>
    <row r="3935">
      <c r="A3935">
        <f>IF(AND(LEN('Providers'!A435)&gt;0,ISNUMBER('Providers'!Y435)),1,0)</f>
        <v/>
      </c>
      <c r="B3935">
        <f>B3934+A3935</f>
        <v/>
      </c>
      <c r="C3935">
        <f>IF(3932&gt;$B$4503,"",MATCH(3932-0.5,$B$3:$B$4503,1))</f>
        <v/>
      </c>
      <c r="D3935">
        <f>"Privileges reappointment – "&amp;IF(LEN(INDEX('Providers'!$A$4:$A$503,432))=0,"",INDEX('Providers'!$A$4:$A$503,432))</f>
        <v/>
      </c>
      <c r="E3935">
        <f>IF(ISNUMBER(INDEX('Providers'!$Y$4:$Y$503,432)),TEXT(INDEX('Providers'!$Y$4:$Y$503,432),"yyyy-mm-dd"),"")</f>
        <v/>
      </c>
      <c r="F3935">
        <f>"Credentialing"</f>
        <v/>
      </c>
      <c r="G3935">
        <f>""</f>
        <v/>
      </c>
      <c r="H3935">
        <f>"High"</f>
        <v/>
      </c>
      <c r="I3935">
        <f>TRIM(IF(LEN(IF(LEN(INDEX('Providers'!$X$4:$X$503,432))=0,"",INDEX('Providers'!$X$4:$X$503,432)))=0,"","Facility: "&amp;IF(LEN(INDEX('Providers'!$X$4:$X$503,432))=0,"",INDEX('Providers'!$X$4:$X$503,432))&amp;". "))</f>
        <v/>
      </c>
      <c r="J3935">
        <f>IF(LEN(INDEX('Providers'!$AJ$4:$AJ$503,432))=0,"",INDEX('Providers'!$AJ$4:$AJ$503,432))</f>
        <v/>
      </c>
      <c r="K3935">
        <f>IF(LEN(INDEX('Providers'!$AI$4:$AI$503,432))=0,"",INDEX('Providers'!$AI$4:$AI$503,432))</f>
        <v/>
      </c>
    </row>
    <row r="3936">
      <c r="A3936">
        <f>IF(AND(LEN('Providers'!A436)&gt;0,ISNUMBER('Providers'!Y436)),1,0)</f>
        <v/>
      </c>
      <c r="B3936">
        <f>B3935+A3936</f>
        <v/>
      </c>
      <c r="C3936">
        <f>IF(3933&gt;$B$4503,"",MATCH(3933-0.5,$B$3:$B$4503,1))</f>
        <v/>
      </c>
      <c r="D3936">
        <f>"Privileges reappointment – "&amp;IF(LEN(INDEX('Providers'!$A$4:$A$503,433))=0,"",INDEX('Providers'!$A$4:$A$503,433))</f>
        <v/>
      </c>
      <c r="E3936">
        <f>IF(ISNUMBER(INDEX('Providers'!$Y$4:$Y$503,433)),TEXT(INDEX('Providers'!$Y$4:$Y$503,433),"yyyy-mm-dd"),"")</f>
        <v/>
      </c>
      <c r="F3936">
        <f>"Credentialing"</f>
        <v/>
      </c>
      <c r="G3936">
        <f>""</f>
        <v/>
      </c>
      <c r="H3936">
        <f>"High"</f>
        <v/>
      </c>
      <c r="I3936">
        <f>TRIM(IF(LEN(IF(LEN(INDEX('Providers'!$X$4:$X$503,433))=0,"",INDEX('Providers'!$X$4:$X$503,433)))=0,"","Facility: "&amp;IF(LEN(INDEX('Providers'!$X$4:$X$503,433))=0,"",INDEX('Providers'!$X$4:$X$503,433))&amp;". "))</f>
        <v/>
      </c>
      <c r="J3936">
        <f>IF(LEN(INDEX('Providers'!$AJ$4:$AJ$503,433))=0,"",INDEX('Providers'!$AJ$4:$AJ$503,433))</f>
        <v/>
      </c>
      <c r="K3936">
        <f>IF(LEN(INDEX('Providers'!$AI$4:$AI$503,433))=0,"",INDEX('Providers'!$AI$4:$AI$503,433))</f>
        <v/>
      </c>
    </row>
    <row r="3937">
      <c r="A3937">
        <f>IF(AND(LEN('Providers'!A437)&gt;0,ISNUMBER('Providers'!Y437)),1,0)</f>
        <v/>
      </c>
      <c r="B3937">
        <f>B3936+A3937</f>
        <v/>
      </c>
      <c r="C3937">
        <f>IF(3934&gt;$B$4503,"",MATCH(3934-0.5,$B$3:$B$4503,1))</f>
        <v/>
      </c>
      <c r="D3937">
        <f>"Privileges reappointment – "&amp;IF(LEN(INDEX('Providers'!$A$4:$A$503,434))=0,"",INDEX('Providers'!$A$4:$A$503,434))</f>
        <v/>
      </c>
      <c r="E3937">
        <f>IF(ISNUMBER(INDEX('Providers'!$Y$4:$Y$503,434)),TEXT(INDEX('Providers'!$Y$4:$Y$503,434),"yyyy-mm-dd"),"")</f>
        <v/>
      </c>
      <c r="F3937">
        <f>"Credentialing"</f>
        <v/>
      </c>
      <c r="G3937">
        <f>""</f>
        <v/>
      </c>
      <c r="H3937">
        <f>"High"</f>
        <v/>
      </c>
      <c r="I3937">
        <f>TRIM(IF(LEN(IF(LEN(INDEX('Providers'!$X$4:$X$503,434))=0,"",INDEX('Providers'!$X$4:$X$503,434)))=0,"","Facility: "&amp;IF(LEN(INDEX('Providers'!$X$4:$X$503,434))=0,"",INDEX('Providers'!$X$4:$X$503,434))&amp;". "))</f>
        <v/>
      </c>
      <c r="J3937">
        <f>IF(LEN(INDEX('Providers'!$AJ$4:$AJ$503,434))=0,"",INDEX('Providers'!$AJ$4:$AJ$503,434))</f>
        <v/>
      </c>
      <c r="K3937">
        <f>IF(LEN(INDEX('Providers'!$AI$4:$AI$503,434))=0,"",INDEX('Providers'!$AI$4:$AI$503,434))</f>
        <v/>
      </c>
    </row>
    <row r="3938">
      <c r="A3938">
        <f>IF(AND(LEN('Providers'!A438)&gt;0,ISNUMBER('Providers'!Y438)),1,0)</f>
        <v/>
      </c>
      <c r="B3938">
        <f>B3937+A3938</f>
        <v/>
      </c>
      <c r="C3938">
        <f>IF(3935&gt;$B$4503,"",MATCH(3935-0.5,$B$3:$B$4503,1))</f>
        <v/>
      </c>
      <c r="D3938">
        <f>"Privileges reappointment – "&amp;IF(LEN(INDEX('Providers'!$A$4:$A$503,435))=0,"",INDEX('Providers'!$A$4:$A$503,435))</f>
        <v/>
      </c>
      <c r="E3938">
        <f>IF(ISNUMBER(INDEX('Providers'!$Y$4:$Y$503,435)),TEXT(INDEX('Providers'!$Y$4:$Y$503,435),"yyyy-mm-dd"),"")</f>
        <v/>
      </c>
      <c r="F3938">
        <f>"Credentialing"</f>
        <v/>
      </c>
      <c r="G3938">
        <f>""</f>
        <v/>
      </c>
      <c r="H3938">
        <f>"High"</f>
        <v/>
      </c>
      <c r="I3938">
        <f>TRIM(IF(LEN(IF(LEN(INDEX('Providers'!$X$4:$X$503,435))=0,"",INDEX('Providers'!$X$4:$X$503,435)))=0,"","Facility: "&amp;IF(LEN(INDEX('Providers'!$X$4:$X$503,435))=0,"",INDEX('Providers'!$X$4:$X$503,435))&amp;". "))</f>
        <v/>
      </c>
      <c r="J3938">
        <f>IF(LEN(INDEX('Providers'!$AJ$4:$AJ$503,435))=0,"",INDEX('Providers'!$AJ$4:$AJ$503,435))</f>
        <v/>
      </c>
      <c r="K3938">
        <f>IF(LEN(INDEX('Providers'!$AI$4:$AI$503,435))=0,"",INDEX('Providers'!$AI$4:$AI$503,435))</f>
        <v/>
      </c>
    </row>
    <row r="3939">
      <c r="A3939">
        <f>IF(AND(LEN('Providers'!A439)&gt;0,ISNUMBER('Providers'!Y439)),1,0)</f>
        <v/>
      </c>
      <c r="B3939">
        <f>B3938+A3939</f>
        <v/>
      </c>
      <c r="C3939">
        <f>IF(3936&gt;$B$4503,"",MATCH(3936-0.5,$B$3:$B$4503,1))</f>
        <v/>
      </c>
      <c r="D3939">
        <f>"Privileges reappointment – "&amp;IF(LEN(INDEX('Providers'!$A$4:$A$503,436))=0,"",INDEX('Providers'!$A$4:$A$503,436))</f>
        <v/>
      </c>
      <c r="E3939">
        <f>IF(ISNUMBER(INDEX('Providers'!$Y$4:$Y$503,436)),TEXT(INDEX('Providers'!$Y$4:$Y$503,436),"yyyy-mm-dd"),"")</f>
        <v/>
      </c>
      <c r="F3939">
        <f>"Credentialing"</f>
        <v/>
      </c>
      <c r="G3939">
        <f>""</f>
        <v/>
      </c>
      <c r="H3939">
        <f>"High"</f>
        <v/>
      </c>
      <c r="I3939">
        <f>TRIM(IF(LEN(IF(LEN(INDEX('Providers'!$X$4:$X$503,436))=0,"",INDEX('Providers'!$X$4:$X$503,436)))=0,"","Facility: "&amp;IF(LEN(INDEX('Providers'!$X$4:$X$503,436))=0,"",INDEX('Providers'!$X$4:$X$503,436))&amp;". "))</f>
        <v/>
      </c>
      <c r="J3939">
        <f>IF(LEN(INDEX('Providers'!$AJ$4:$AJ$503,436))=0,"",INDEX('Providers'!$AJ$4:$AJ$503,436))</f>
        <v/>
      </c>
      <c r="K3939">
        <f>IF(LEN(INDEX('Providers'!$AI$4:$AI$503,436))=0,"",INDEX('Providers'!$AI$4:$AI$503,436))</f>
        <v/>
      </c>
    </row>
    <row r="3940">
      <c r="A3940">
        <f>IF(AND(LEN('Providers'!A440)&gt;0,ISNUMBER('Providers'!Y440)),1,0)</f>
        <v/>
      </c>
      <c r="B3940">
        <f>B3939+A3940</f>
        <v/>
      </c>
      <c r="C3940">
        <f>IF(3937&gt;$B$4503,"",MATCH(3937-0.5,$B$3:$B$4503,1))</f>
        <v/>
      </c>
      <c r="D3940">
        <f>"Privileges reappointment – "&amp;IF(LEN(INDEX('Providers'!$A$4:$A$503,437))=0,"",INDEX('Providers'!$A$4:$A$503,437))</f>
        <v/>
      </c>
      <c r="E3940">
        <f>IF(ISNUMBER(INDEX('Providers'!$Y$4:$Y$503,437)),TEXT(INDEX('Providers'!$Y$4:$Y$503,437),"yyyy-mm-dd"),"")</f>
        <v/>
      </c>
      <c r="F3940">
        <f>"Credentialing"</f>
        <v/>
      </c>
      <c r="G3940">
        <f>""</f>
        <v/>
      </c>
      <c r="H3940">
        <f>"High"</f>
        <v/>
      </c>
      <c r="I3940">
        <f>TRIM(IF(LEN(IF(LEN(INDEX('Providers'!$X$4:$X$503,437))=0,"",INDEX('Providers'!$X$4:$X$503,437)))=0,"","Facility: "&amp;IF(LEN(INDEX('Providers'!$X$4:$X$503,437))=0,"",INDEX('Providers'!$X$4:$X$503,437))&amp;". "))</f>
        <v/>
      </c>
      <c r="J3940">
        <f>IF(LEN(INDEX('Providers'!$AJ$4:$AJ$503,437))=0,"",INDEX('Providers'!$AJ$4:$AJ$503,437))</f>
        <v/>
      </c>
      <c r="K3940">
        <f>IF(LEN(INDEX('Providers'!$AI$4:$AI$503,437))=0,"",INDEX('Providers'!$AI$4:$AI$503,437))</f>
        <v/>
      </c>
    </row>
    <row r="3941">
      <c r="A3941">
        <f>IF(AND(LEN('Providers'!A441)&gt;0,ISNUMBER('Providers'!Y441)),1,0)</f>
        <v/>
      </c>
      <c r="B3941">
        <f>B3940+A3941</f>
        <v/>
      </c>
      <c r="C3941">
        <f>IF(3938&gt;$B$4503,"",MATCH(3938-0.5,$B$3:$B$4503,1))</f>
        <v/>
      </c>
      <c r="D3941">
        <f>"Privileges reappointment – "&amp;IF(LEN(INDEX('Providers'!$A$4:$A$503,438))=0,"",INDEX('Providers'!$A$4:$A$503,438))</f>
        <v/>
      </c>
      <c r="E3941">
        <f>IF(ISNUMBER(INDEX('Providers'!$Y$4:$Y$503,438)),TEXT(INDEX('Providers'!$Y$4:$Y$503,438),"yyyy-mm-dd"),"")</f>
        <v/>
      </c>
      <c r="F3941">
        <f>"Credentialing"</f>
        <v/>
      </c>
      <c r="G3941">
        <f>""</f>
        <v/>
      </c>
      <c r="H3941">
        <f>"High"</f>
        <v/>
      </c>
      <c r="I3941">
        <f>TRIM(IF(LEN(IF(LEN(INDEX('Providers'!$X$4:$X$503,438))=0,"",INDEX('Providers'!$X$4:$X$503,438)))=0,"","Facility: "&amp;IF(LEN(INDEX('Providers'!$X$4:$X$503,438))=0,"",INDEX('Providers'!$X$4:$X$503,438))&amp;". "))</f>
        <v/>
      </c>
      <c r="J3941">
        <f>IF(LEN(INDEX('Providers'!$AJ$4:$AJ$503,438))=0,"",INDEX('Providers'!$AJ$4:$AJ$503,438))</f>
        <v/>
      </c>
      <c r="K3941">
        <f>IF(LEN(INDEX('Providers'!$AI$4:$AI$503,438))=0,"",INDEX('Providers'!$AI$4:$AI$503,438))</f>
        <v/>
      </c>
    </row>
    <row r="3942">
      <c r="A3942">
        <f>IF(AND(LEN('Providers'!A442)&gt;0,ISNUMBER('Providers'!Y442)),1,0)</f>
        <v/>
      </c>
      <c r="B3942">
        <f>B3941+A3942</f>
        <v/>
      </c>
      <c r="C3942">
        <f>IF(3939&gt;$B$4503,"",MATCH(3939-0.5,$B$3:$B$4503,1))</f>
        <v/>
      </c>
      <c r="D3942">
        <f>"Privileges reappointment – "&amp;IF(LEN(INDEX('Providers'!$A$4:$A$503,439))=0,"",INDEX('Providers'!$A$4:$A$503,439))</f>
        <v/>
      </c>
      <c r="E3942">
        <f>IF(ISNUMBER(INDEX('Providers'!$Y$4:$Y$503,439)),TEXT(INDEX('Providers'!$Y$4:$Y$503,439),"yyyy-mm-dd"),"")</f>
        <v/>
      </c>
      <c r="F3942">
        <f>"Credentialing"</f>
        <v/>
      </c>
      <c r="G3942">
        <f>""</f>
        <v/>
      </c>
      <c r="H3942">
        <f>"High"</f>
        <v/>
      </c>
      <c r="I3942">
        <f>TRIM(IF(LEN(IF(LEN(INDEX('Providers'!$X$4:$X$503,439))=0,"",INDEX('Providers'!$X$4:$X$503,439)))=0,"","Facility: "&amp;IF(LEN(INDEX('Providers'!$X$4:$X$503,439))=0,"",INDEX('Providers'!$X$4:$X$503,439))&amp;". "))</f>
        <v/>
      </c>
      <c r="J3942">
        <f>IF(LEN(INDEX('Providers'!$AJ$4:$AJ$503,439))=0,"",INDEX('Providers'!$AJ$4:$AJ$503,439))</f>
        <v/>
      </c>
      <c r="K3942">
        <f>IF(LEN(INDEX('Providers'!$AI$4:$AI$503,439))=0,"",INDEX('Providers'!$AI$4:$AI$503,439))</f>
        <v/>
      </c>
    </row>
    <row r="3943">
      <c r="A3943">
        <f>IF(AND(LEN('Providers'!A443)&gt;0,ISNUMBER('Providers'!Y443)),1,0)</f>
        <v/>
      </c>
      <c r="B3943">
        <f>B3942+A3943</f>
        <v/>
      </c>
      <c r="C3943">
        <f>IF(3940&gt;$B$4503,"",MATCH(3940-0.5,$B$3:$B$4503,1))</f>
        <v/>
      </c>
      <c r="D3943">
        <f>"Privileges reappointment – "&amp;IF(LEN(INDEX('Providers'!$A$4:$A$503,440))=0,"",INDEX('Providers'!$A$4:$A$503,440))</f>
        <v/>
      </c>
      <c r="E3943">
        <f>IF(ISNUMBER(INDEX('Providers'!$Y$4:$Y$503,440)),TEXT(INDEX('Providers'!$Y$4:$Y$503,440),"yyyy-mm-dd"),"")</f>
        <v/>
      </c>
      <c r="F3943">
        <f>"Credentialing"</f>
        <v/>
      </c>
      <c r="G3943">
        <f>""</f>
        <v/>
      </c>
      <c r="H3943">
        <f>"High"</f>
        <v/>
      </c>
      <c r="I3943">
        <f>TRIM(IF(LEN(IF(LEN(INDEX('Providers'!$X$4:$X$503,440))=0,"",INDEX('Providers'!$X$4:$X$503,440)))=0,"","Facility: "&amp;IF(LEN(INDEX('Providers'!$X$4:$X$503,440))=0,"",INDEX('Providers'!$X$4:$X$503,440))&amp;". "))</f>
        <v/>
      </c>
      <c r="J3943">
        <f>IF(LEN(INDEX('Providers'!$AJ$4:$AJ$503,440))=0,"",INDEX('Providers'!$AJ$4:$AJ$503,440))</f>
        <v/>
      </c>
      <c r="K3943">
        <f>IF(LEN(INDEX('Providers'!$AI$4:$AI$503,440))=0,"",INDEX('Providers'!$AI$4:$AI$503,440))</f>
        <v/>
      </c>
    </row>
    <row r="3944">
      <c r="A3944">
        <f>IF(AND(LEN('Providers'!A444)&gt;0,ISNUMBER('Providers'!Y444)),1,0)</f>
        <v/>
      </c>
      <c r="B3944">
        <f>B3943+A3944</f>
        <v/>
      </c>
      <c r="C3944">
        <f>IF(3941&gt;$B$4503,"",MATCH(3941-0.5,$B$3:$B$4503,1))</f>
        <v/>
      </c>
      <c r="D3944">
        <f>"Privileges reappointment – "&amp;IF(LEN(INDEX('Providers'!$A$4:$A$503,441))=0,"",INDEX('Providers'!$A$4:$A$503,441))</f>
        <v/>
      </c>
      <c r="E3944">
        <f>IF(ISNUMBER(INDEX('Providers'!$Y$4:$Y$503,441)),TEXT(INDEX('Providers'!$Y$4:$Y$503,441),"yyyy-mm-dd"),"")</f>
        <v/>
      </c>
      <c r="F3944">
        <f>"Credentialing"</f>
        <v/>
      </c>
      <c r="G3944">
        <f>""</f>
        <v/>
      </c>
      <c r="H3944">
        <f>"High"</f>
        <v/>
      </c>
      <c r="I3944">
        <f>TRIM(IF(LEN(IF(LEN(INDEX('Providers'!$X$4:$X$503,441))=0,"",INDEX('Providers'!$X$4:$X$503,441)))=0,"","Facility: "&amp;IF(LEN(INDEX('Providers'!$X$4:$X$503,441))=0,"",INDEX('Providers'!$X$4:$X$503,441))&amp;". "))</f>
        <v/>
      </c>
      <c r="J3944">
        <f>IF(LEN(INDEX('Providers'!$AJ$4:$AJ$503,441))=0,"",INDEX('Providers'!$AJ$4:$AJ$503,441))</f>
        <v/>
      </c>
      <c r="K3944">
        <f>IF(LEN(INDEX('Providers'!$AI$4:$AI$503,441))=0,"",INDEX('Providers'!$AI$4:$AI$503,441))</f>
        <v/>
      </c>
    </row>
    <row r="3945">
      <c r="A3945">
        <f>IF(AND(LEN('Providers'!A445)&gt;0,ISNUMBER('Providers'!Y445)),1,0)</f>
        <v/>
      </c>
      <c r="B3945">
        <f>B3944+A3945</f>
        <v/>
      </c>
      <c r="C3945">
        <f>IF(3942&gt;$B$4503,"",MATCH(3942-0.5,$B$3:$B$4503,1))</f>
        <v/>
      </c>
      <c r="D3945">
        <f>"Privileges reappointment – "&amp;IF(LEN(INDEX('Providers'!$A$4:$A$503,442))=0,"",INDEX('Providers'!$A$4:$A$503,442))</f>
        <v/>
      </c>
      <c r="E3945">
        <f>IF(ISNUMBER(INDEX('Providers'!$Y$4:$Y$503,442)),TEXT(INDEX('Providers'!$Y$4:$Y$503,442),"yyyy-mm-dd"),"")</f>
        <v/>
      </c>
      <c r="F3945">
        <f>"Credentialing"</f>
        <v/>
      </c>
      <c r="G3945">
        <f>""</f>
        <v/>
      </c>
      <c r="H3945">
        <f>"High"</f>
        <v/>
      </c>
      <c r="I3945">
        <f>TRIM(IF(LEN(IF(LEN(INDEX('Providers'!$X$4:$X$503,442))=0,"",INDEX('Providers'!$X$4:$X$503,442)))=0,"","Facility: "&amp;IF(LEN(INDEX('Providers'!$X$4:$X$503,442))=0,"",INDEX('Providers'!$X$4:$X$503,442))&amp;". "))</f>
        <v/>
      </c>
      <c r="J3945">
        <f>IF(LEN(INDEX('Providers'!$AJ$4:$AJ$503,442))=0,"",INDEX('Providers'!$AJ$4:$AJ$503,442))</f>
        <v/>
      </c>
      <c r="K3945">
        <f>IF(LEN(INDEX('Providers'!$AI$4:$AI$503,442))=0,"",INDEX('Providers'!$AI$4:$AI$503,442))</f>
        <v/>
      </c>
    </row>
    <row r="3946">
      <c r="A3946">
        <f>IF(AND(LEN('Providers'!A446)&gt;0,ISNUMBER('Providers'!Y446)),1,0)</f>
        <v/>
      </c>
      <c r="B3946">
        <f>B3945+A3946</f>
        <v/>
      </c>
      <c r="C3946">
        <f>IF(3943&gt;$B$4503,"",MATCH(3943-0.5,$B$3:$B$4503,1))</f>
        <v/>
      </c>
      <c r="D3946">
        <f>"Privileges reappointment – "&amp;IF(LEN(INDEX('Providers'!$A$4:$A$503,443))=0,"",INDEX('Providers'!$A$4:$A$503,443))</f>
        <v/>
      </c>
      <c r="E3946">
        <f>IF(ISNUMBER(INDEX('Providers'!$Y$4:$Y$503,443)),TEXT(INDEX('Providers'!$Y$4:$Y$503,443),"yyyy-mm-dd"),"")</f>
        <v/>
      </c>
      <c r="F3946">
        <f>"Credentialing"</f>
        <v/>
      </c>
      <c r="G3946">
        <f>""</f>
        <v/>
      </c>
      <c r="H3946">
        <f>"High"</f>
        <v/>
      </c>
      <c r="I3946">
        <f>TRIM(IF(LEN(IF(LEN(INDEX('Providers'!$X$4:$X$503,443))=0,"",INDEX('Providers'!$X$4:$X$503,443)))=0,"","Facility: "&amp;IF(LEN(INDEX('Providers'!$X$4:$X$503,443))=0,"",INDEX('Providers'!$X$4:$X$503,443))&amp;". "))</f>
        <v/>
      </c>
      <c r="J3946">
        <f>IF(LEN(INDEX('Providers'!$AJ$4:$AJ$503,443))=0,"",INDEX('Providers'!$AJ$4:$AJ$503,443))</f>
        <v/>
      </c>
      <c r="K3946">
        <f>IF(LEN(INDEX('Providers'!$AI$4:$AI$503,443))=0,"",INDEX('Providers'!$AI$4:$AI$503,443))</f>
        <v/>
      </c>
    </row>
    <row r="3947">
      <c r="A3947">
        <f>IF(AND(LEN('Providers'!A447)&gt;0,ISNUMBER('Providers'!Y447)),1,0)</f>
        <v/>
      </c>
      <c r="B3947">
        <f>B3946+A3947</f>
        <v/>
      </c>
      <c r="C3947">
        <f>IF(3944&gt;$B$4503,"",MATCH(3944-0.5,$B$3:$B$4503,1))</f>
        <v/>
      </c>
      <c r="D3947">
        <f>"Privileges reappointment – "&amp;IF(LEN(INDEX('Providers'!$A$4:$A$503,444))=0,"",INDEX('Providers'!$A$4:$A$503,444))</f>
        <v/>
      </c>
      <c r="E3947">
        <f>IF(ISNUMBER(INDEX('Providers'!$Y$4:$Y$503,444)),TEXT(INDEX('Providers'!$Y$4:$Y$503,444),"yyyy-mm-dd"),"")</f>
        <v/>
      </c>
      <c r="F3947">
        <f>"Credentialing"</f>
        <v/>
      </c>
      <c r="G3947">
        <f>""</f>
        <v/>
      </c>
      <c r="H3947">
        <f>"High"</f>
        <v/>
      </c>
      <c r="I3947">
        <f>TRIM(IF(LEN(IF(LEN(INDEX('Providers'!$X$4:$X$503,444))=0,"",INDEX('Providers'!$X$4:$X$503,444)))=0,"","Facility: "&amp;IF(LEN(INDEX('Providers'!$X$4:$X$503,444))=0,"",INDEX('Providers'!$X$4:$X$503,444))&amp;". "))</f>
        <v/>
      </c>
      <c r="J3947">
        <f>IF(LEN(INDEX('Providers'!$AJ$4:$AJ$503,444))=0,"",INDEX('Providers'!$AJ$4:$AJ$503,444))</f>
        <v/>
      </c>
      <c r="K3947">
        <f>IF(LEN(INDEX('Providers'!$AI$4:$AI$503,444))=0,"",INDEX('Providers'!$AI$4:$AI$503,444))</f>
        <v/>
      </c>
    </row>
    <row r="3948">
      <c r="A3948">
        <f>IF(AND(LEN('Providers'!A448)&gt;0,ISNUMBER('Providers'!Y448)),1,0)</f>
        <v/>
      </c>
      <c r="B3948">
        <f>B3947+A3948</f>
        <v/>
      </c>
      <c r="C3948">
        <f>IF(3945&gt;$B$4503,"",MATCH(3945-0.5,$B$3:$B$4503,1))</f>
        <v/>
      </c>
      <c r="D3948">
        <f>"Privileges reappointment – "&amp;IF(LEN(INDEX('Providers'!$A$4:$A$503,445))=0,"",INDEX('Providers'!$A$4:$A$503,445))</f>
        <v/>
      </c>
      <c r="E3948">
        <f>IF(ISNUMBER(INDEX('Providers'!$Y$4:$Y$503,445)),TEXT(INDEX('Providers'!$Y$4:$Y$503,445),"yyyy-mm-dd"),"")</f>
        <v/>
      </c>
      <c r="F3948">
        <f>"Credentialing"</f>
        <v/>
      </c>
      <c r="G3948">
        <f>""</f>
        <v/>
      </c>
      <c r="H3948">
        <f>"High"</f>
        <v/>
      </c>
      <c r="I3948">
        <f>TRIM(IF(LEN(IF(LEN(INDEX('Providers'!$X$4:$X$503,445))=0,"",INDEX('Providers'!$X$4:$X$503,445)))=0,"","Facility: "&amp;IF(LEN(INDEX('Providers'!$X$4:$X$503,445))=0,"",INDEX('Providers'!$X$4:$X$503,445))&amp;". "))</f>
        <v/>
      </c>
      <c r="J3948">
        <f>IF(LEN(INDEX('Providers'!$AJ$4:$AJ$503,445))=0,"",INDEX('Providers'!$AJ$4:$AJ$503,445))</f>
        <v/>
      </c>
      <c r="K3948">
        <f>IF(LEN(INDEX('Providers'!$AI$4:$AI$503,445))=0,"",INDEX('Providers'!$AI$4:$AI$503,445))</f>
        <v/>
      </c>
    </row>
    <row r="3949">
      <c r="A3949">
        <f>IF(AND(LEN('Providers'!A449)&gt;0,ISNUMBER('Providers'!Y449)),1,0)</f>
        <v/>
      </c>
      <c r="B3949">
        <f>B3948+A3949</f>
        <v/>
      </c>
      <c r="C3949">
        <f>IF(3946&gt;$B$4503,"",MATCH(3946-0.5,$B$3:$B$4503,1))</f>
        <v/>
      </c>
      <c r="D3949">
        <f>"Privileges reappointment – "&amp;IF(LEN(INDEX('Providers'!$A$4:$A$503,446))=0,"",INDEX('Providers'!$A$4:$A$503,446))</f>
        <v/>
      </c>
      <c r="E3949">
        <f>IF(ISNUMBER(INDEX('Providers'!$Y$4:$Y$503,446)),TEXT(INDEX('Providers'!$Y$4:$Y$503,446),"yyyy-mm-dd"),"")</f>
        <v/>
      </c>
      <c r="F3949">
        <f>"Credentialing"</f>
        <v/>
      </c>
      <c r="G3949">
        <f>""</f>
        <v/>
      </c>
      <c r="H3949">
        <f>"High"</f>
        <v/>
      </c>
      <c r="I3949">
        <f>TRIM(IF(LEN(IF(LEN(INDEX('Providers'!$X$4:$X$503,446))=0,"",INDEX('Providers'!$X$4:$X$503,446)))=0,"","Facility: "&amp;IF(LEN(INDEX('Providers'!$X$4:$X$503,446))=0,"",INDEX('Providers'!$X$4:$X$503,446))&amp;". "))</f>
        <v/>
      </c>
      <c r="J3949">
        <f>IF(LEN(INDEX('Providers'!$AJ$4:$AJ$503,446))=0,"",INDEX('Providers'!$AJ$4:$AJ$503,446))</f>
        <v/>
      </c>
      <c r="K3949">
        <f>IF(LEN(INDEX('Providers'!$AI$4:$AI$503,446))=0,"",INDEX('Providers'!$AI$4:$AI$503,446))</f>
        <v/>
      </c>
    </row>
    <row r="3950">
      <c r="A3950">
        <f>IF(AND(LEN('Providers'!A450)&gt;0,ISNUMBER('Providers'!Y450)),1,0)</f>
        <v/>
      </c>
      <c r="B3950">
        <f>B3949+A3950</f>
        <v/>
      </c>
      <c r="C3950">
        <f>IF(3947&gt;$B$4503,"",MATCH(3947-0.5,$B$3:$B$4503,1))</f>
        <v/>
      </c>
      <c r="D3950">
        <f>"Privileges reappointment – "&amp;IF(LEN(INDEX('Providers'!$A$4:$A$503,447))=0,"",INDEX('Providers'!$A$4:$A$503,447))</f>
        <v/>
      </c>
      <c r="E3950">
        <f>IF(ISNUMBER(INDEX('Providers'!$Y$4:$Y$503,447)),TEXT(INDEX('Providers'!$Y$4:$Y$503,447),"yyyy-mm-dd"),"")</f>
        <v/>
      </c>
      <c r="F3950">
        <f>"Credentialing"</f>
        <v/>
      </c>
      <c r="G3950">
        <f>""</f>
        <v/>
      </c>
      <c r="H3950">
        <f>"High"</f>
        <v/>
      </c>
      <c r="I3950">
        <f>TRIM(IF(LEN(IF(LEN(INDEX('Providers'!$X$4:$X$503,447))=0,"",INDEX('Providers'!$X$4:$X$503,447)))=0,"","Facility: "&amp;IF(LEN(INDEX('Providers'!$X$4:$X$503,447))=0,"",INDEX('Providers'!$X$4:$X$503,447))&amp;". "))</f>
        <v/>
      </c>
      <c r="J3950">
        <f>IF(LEN(INDEX('Providers'!$AJ$4:$AJ$503,447))=0,"",INDEX('Providers'!$AJ$4:$AJ$503,447))</f>
        <v/>
      </c>
      <c r="K3950">
        <f>IF(LEN(INDEX('Providers'!$AI$4:$AI$503,447))=0,"",INDEX('Providers'!$AI$4:$AI$503,447))</f>
        <v/>
      </c>
    </row>
    <row r="3951">
      <c r="A3951">
        <f>IF(AND(LEN('Providers'!A451)&gt;0,ISNUMBER('Providers'!Y451)),1,0)</f>
        <v/>
      </c>
      <c r="B3951">
        <f>B3950+A3951</f>
        <v/>
      </c>
      <c r="C3951">
        <f>IF(3948&gt;$B$4503,"",MATCH(3948-0.5,$B$3:$B$4503,1))</f>
        <v/>
      </c>
      <c r="D3951">
        <f>"Privileges reappointment – "&amp;IF(LEN(INDEX('Providers'!$A$4:$A$503,448))=0,"",INDEX('Providers'!$A$4:$A$503,448))</f>
        <v/>
      </c>
      <c r="E3951">
        <f>IF(ISNUMBER(INDEX('Providers'!$Y$4:$Y$503,448)),TEXT(INDEX('Providers'!$Y$4:$Y$503,448),"yyyy-mm-dd"),"")</f>
        <v/>
      </c>
      <c r="F3951">
        <f>"Credentialing"</f>
        <v/>
      </c>
      <c r="G3951">
        <f>""</f>
        <v/>
      </c>
      <c r="H3951">
        <f>"High"</f>
        <v/>
      </c>
      <c r="I3951">
        <f>TRIM(IF(LEN(IF(LEN(INDEX('Providers'!$X$4:$X$503,448))=0,"",INDEX('Providers'!$X$4:$X$503,448)))=0,"","Facility: "&amp;IF(LEN(INDEX('Providers'!$X$4:$X$503,448))=0,"",INDEX('Providers'!$X$4:$X$503,448))&amp;". "))</f>
        <v/>
      </c>
      <c r="J3951">
        <f>IF(LEN(INDEX('Providers'!$AJ$4:$AJ$503,448))=0,"",INDEX('Providers'!$AJ$4:$AJ$503,448))</f>
        <v/>
      </c>
      <c r="K3951">
        <f>IF(LEN(INDEX('Providers'!$AI$4:$AI$503,448))=0,"",INDEX('Providers'!$AI$4:$AI$503,448))</f>
        <v/>
      </c>
    </row>
    <row r="3952">
      <c r="A3952">
        <f>IF(AND(LEN('Providers'!A452)&gt;0,ISNUMBER('Providers'!Y452)),1,0)</f>
        <v/>
      </c>
      <c r="B3952">
        <f>B3951+A3952</f>
        <v/>
      </c>
      <c r="C3952">
        <f>IF(3949&gt;$B$4503,"",MATCH(3949-0.5,$B$3:$B$4503,1))</f>
        <v/>
      </c>
      <c r="D3952">
        <f>"Privileges reappointment – "&amp;IF(LEN(INDEX('Providers'!$A$4:$A$503,449))=0,"",INDEX('Providers'!$A$4:$A$503,449))</f>
        <v/>
      </c>
      <c r="E3952">
        <f>IF(ISNUMBER(INDEX('Providers'!$Y$4:$Y$503,449)),TEXT(INDEX('Providers'!$Y$4:$Y$503,449),"yyyy-mm-dd"),"")</f>
        <v/>
      </c>
      <c r="F3952">
        <f>"Credentialing"</f>
        <v/>
      </c>
      <c r="G3952">
        <f>""</f>
        <v/>
      </c>
      <c r="H3952">
        <f>"High"</f>
        <v/>
      </c>
      <c r="I3952">
        <f>TRIM(IF(LEN(IF(LEN(INDEX('Providers'!$X$4:$X$503,449))=0,"",INDEX('Providers'!$X$4:$X$503,449)))=0,"","Facility: "&amp;IF(LEN(INDEX('Providers'!$X$4:$X$503,449))=0,"",INDEX('Providers'!$X$4:$X$503,449))&amp;". "))</f>
        <v/>
      </c>
      <c r="J3952">
        <f>IF(LEN(INDEX('Providers'!$AJ$4:$AJ$503,449))=0,"",INDEX('Providers'!$AJ$4:$AJ$503,449))</f>
        <v/>
      </c>
      <c r="K3952">
        <f>IF(LEN(INDEX('Providers'!$AI$4:$AI$503,449))=0,"",INDEX('Providers'!$AI$4:$AI$503,449))</f>
        <v/>
      </c>
    </row>
    <row r="3953">
      <c r="A3953">
        <f>IF(AND(LEN('Providers'!A453)&gt;0,ISNUMBER('Providers'!Y453)),1,0)</f>
        <v/>
      </c>
      <c r="B3953">
        <f>B3952+A3953</f>
        <v/>
      </c>
      <c r="C3953">
        <f>IF(3950&gt;$B$4503,"",MATCH(3950-0.5,$B$3:$B$4503,1))</f>
        <v/>
      </c>
      <c r="D3953">
        <f>"Privileges reappointment – "&amp;IF(LEN(INDEX('Providers'!$A$4:$A$503,450))=0,"",INDEX('Providers'!$A$4:$A$503,450))</f>
        <v/>
      </c>
      <c r="E3953">
        <f>IF(ISNUMBER(INDEX('Providers'!$Y$4:$Y$503,450)),TEXT(INDEX('Providers'!$Y$4:$Y$503,450),"yyyy-mm-dd"),"")</f>
        <v/>
      </c>
      <c r="F3953">
        <f>"Credentialing"</f>
        <v/>
      </c>
      <c r="G3953">
        <f>""</f>
        <v/>
      </c>
      <c r="H3953">
        <f>"High"</f>
        <v/>
      </c>
      <c r="I3953">
        <f>TRIM(IF(LEN(IF(LEN(INDEX('Providers'!$X$4:$X$503,450))=0,"",INDEX('Providers'!$X$4:$X$503,450)))=0,"","Facility: "&amp;IF(LEN(INDEX('Providers'!$X$4:$X$503,450))=0,"",INDEX('Providers'!$X$4:$X$503,450))&amp;". "))</f>
        <v/>
      </c>
      <c r="J3953">
        <f>IF(LEN(INDEX('Providers'!$AJ$4:$AJ$503,450))=0,"",INDEX('Providers'!$AJ$4:$AJ$503,450))</f>
        <v/>
      </c>
      <c r="K3953">
        <f>IF(LEN(INDEX('Providers'!$AI$4:$AI$503,450))=0,"",INDEX('Providers'!$AI$4:$AI$503,450))</f>
        <v/>
      </c>
    </row>
    <row r="3954">
      <c r="A3954">
        <f>IF(AND(LEN('Providers'!A454)&gt;0,ISNUMBER('Providers'!Y454)),1,0)</f>
        <v/>
      </c>
      <c r="B3954">
        <f>B3953+A3954</f>
        <v/>
      </c>
      <c r="C3954">
        <f>IF(3951&gt;$B$4503,"",MATCH(3951-0.5,$B$3:$B$4503,1))</f>
        <v/>
      </c>
      <c r="D3954">
        <f>"Privileges reappointment – "&amp;IF(LEN(INDEX('Providers'!$A$4:$A$503,451))=0,"",INDEX('Providers'!$A$4:$A$503,451))</f>
        <v/>
      </c>
      <c r="E3954">
        <f>IF(ISNUMBER(INDEX('Providers'!$Y$4:$Y$503,451)),TEXT(INDEX('Providers'!$Y$4:$Y$503,451),"yyyy-mm-dd"),"")</f>
        <v/>
      </c>
      <c r="F3954">
        <f>"Credentialing"</f>
        <v/>
      </c>
      <c r="G3954">
        <f>""</f>
        <v/>
      </c>
      <c r="H3954">
        <f>"High"</f>
        <v/>
      </c>
      <c r="I3954">
        <f>TRIM(IF(LEN(IF(LEN(INDEX('Providers'!$X$4:$X$503,451))=0,"",INDEX('Providers'!$X$4:$X$503,451)))=0,"","Facility: "&amp;IF(LEN(INDEX('Providers'!$X$4:$X$503,451))=0,"",INDEX('Providers'!$X$4:$X$503,451))&amp;". "))</f>
        <v/>
      </c>
      <c r="J3954">
        <f>IF(LEN(INDEX('Providers'!$AJ$4:$AJ$503,451))=0,"",INDEX('Providers'!$AJ$4:$AJ$503,451))</f>
        <v/>
      </c>
      <c r="K3954">
        <f>IF(LEN(INDEX('Providers'!$AI$4:$AI$503,451))=0,"",INDEX('Providers'!$AI$4:$AI$503,451))</f>
        <v/>
      </c>
    </row>
    <row r="3955">
      <c r="A3955">
        <f>IF(AND(LEN('Providers'!A455)&gt;0,ISNUMBER('Providers'!Y455)),1,0)</f>
        <v/>
      </c>
      <c r="B3955">
        <f>B3954+A3955</f>
        <v/>
      </c>
      <c r="C3955">
        <f>IF(3952&gt;$B$4503,"",MATCH(3952-0.5,$B$3:$B$4503,1))</f>
        <v/>
      </c>
      <c r="D3955">
        <f>"Privileges reappointment – "&amp;IF(LEN(INDEX('Providers'!$A$4:$A$503,452))=0,"",INDEX('Providers'!$A$4:$A$503,452))</f>
        <v/>
      </c>
      <c r="E3955">
        <f>IF(ISNUMBER(INDEX('Providers'!$Y$4:$Y$503,452)),TEXT(INDEX('Providers'!$Y$4:$Y$503,452),"yyyy-mm-dd"),"")</f>
        <v/>
      </c>
      <c r="F3955">
        <f>"Credentialing"</f>
        <v/>
      </c>
      <c r="G3955">
        <f>""</f>
        <v/>
      </c>
      <c r="H3955">
        <f>"High"</f>
        <v/>
      </c>
      <c r="I3955">
        <f>TRIM(IF(LEN(IF(LEN(INDEX('Providers'!$X$4:$X$503,452))=0,"",INDEX('Providers'!$X$4:$X$503,452)))=0,"","Facility: "&amp;IF(LEN(INDEX('Providers'!$X$4:$X$503,452))=0,"",INDEX('Providers'!$X$4:$X$503,452))&amp;". "))</f>
        <v/>
      </c>
      <c r="J3955">
        <f>IF(LEN(INDEX('Providers'!$AJ$4:$AJ$503,452))=0,"",INDEX('Providers'!$AJ$4:$AJ$503,452))</f>
        <v/>
      </c>
      <c r="K3955">
        <f>IF(LEN(INDEX('Providers'!$AI$4:$AI$503,452))=0,"",INDEX('Providers'!$AI$4:$AI$503,452))</f>
        <v/>
      </c>
    </row>
    <row r="3956">
      <c r="A3956">
        <f>IF(AND(LEN('Providers'!A456)&gt;0,ISNUMBER('Providers'!Y456)),1,0)</f>
        <v/>
      </c>
      <c r="B3956">
        <f>B3955+A3956</f>
        <v/>
      </c>
      <c r="C3956">
        <f>IF(3953&gt;$B$4503,"",MATCH(3953-0.5,$B$3:$B$4503,1))</f>
        <v/>
      </c>
      <c r="D3956">
        <f>"Privileges reappointment – "&amp;IF(LEN(INDEX('Providers'!$A$4:$A$503,453))=0,"",INDEX('Providers'!$A$4:$A$503,453))</f>
        <v/>
      </c>
      <c r="E3956">
        <f>IF(ISNUMBER(INDEX('Providers'!$Y$4:$Y$503,453)),TEXT(INDEX('Providers'!$Y$4:$Y$503,453),"yyyy-mm-dd"),"")</f>
        <v/>
      </c>
      <c r="F3956">
        <f>"Credentialing"</f>
        <v/>
      </c>
      <c r="G3956">
        <f>""</f>
        <v/>
      </c>
      <c r="H3956">
        <f>"High"</f>
        <v/>
      </c>
      <c r="I3956">
        <f>TRIM(IF(LEN(IF(LEN(INDEX('Providers'!$X$4:$X$503,453))=0,"",INDEX('Providers'!$X$4:$X$503,453)))=0,"","Facility: "&amp;IF(LEN(INDEX('Providers'!$X$4:$X$503,453))=0,"",INDEX('Providers'!$X$4:$X$503,453))&amp;". "))</f>
        <v/>
      </c>
      <c r="J3956">
        <f>IF(LEN(INDEX('Providers'!$AJ$4:$AJ$503,453))=0,"",INDEX('Providers'!$AJ$4:$AJ$503,453))</f>
        <v/>
      </c>
      <c r="K3956">
        <f>IF(LEN(INDEX('Providers'!$AI$4:$AI$503,453))=0,"",INDEX('Providers'!$AI$4:$AI$503,453))</f>
        <v/>
      </c>
    </row>
    <row r="3957">
      <c r="A3957">
        <f>IF(AND(LEN('Providers'!A457)&gt;0,ISNUMBER('Providers'!Y457)),1,0)</f>
        <v/>
      </c>
      <c r="B3957">
        <f>B3956+A3957</f>
        <v/>
      </c>
      <c r="C3957">
        <f>IF(3954&gt;$B$4503,"",MATCH(3954-0.5,$B$3:$B$4503,1))</f>
        <v/>
      </c>
      <c r="D3957">
        <f>"Privileges reappointment – "&amp;IF(LEN(INDEX('Providers'!$A$4:$A$503,454))=0,"",INDEX('Providers'!$A$4:$A$503,454))</f>
        <v/>
      </c>
      <c r="E3957">
        <f>IF(ISNUMBER(INDEX('Providers'!$Y$4:$Y$503,454)),TEXT(INDEX('Providers'!$Y$4:$Y$503,454),"yyyy-mm-dd"),"")</f>
        <v/>
      </c>
      <c r="F3957">
        <f>"Credentialing"</f>
        <v/>
      </c>
      <c r="G3957">
        <f>""</f>
        <v/>
      </c>
      <c r="H3957">
        <f>"High"</f>
        <v/>
      </c>
      <c r="I3957">
        <f>TRIM(IF(LEN(IF(LEN(INDEX('Providers'!$X$4:$X$503,454))=0,"",INDEX('Providers'!$X$4:$X$503,454)))=0,"","Facility: "&amp;IF(LEN(INDEX('Providers'!$X$4:$X$503,454))=0,"",INDEX('Providers'!$X$4:$X$503,454))&amp;". "))</f>
        <v/>
      </c>
      <c r="J3957">
        <f>IF(LEN(INDEX('Providers'!$AJ$4:$AJ$503,454))=0,"",INDEX('Providers'!$AJ$4:$AJ$503,454))</f>
        <v/>
      </c>
      <c r="K3957">
        <f>IF(LEN(INDEX('Providers'!$AI$4:$AI$503,454))=0,"",INDEX('Providers'!$AI$4:$AI$503,454))</f>
        <v/>
      </c>
    </row>
    <row r="3958">
      <c r="A3958">
        <f>IF(AND(LEN('Providers'!A458)&gt;0,ISNUMBER('Providers'!Y458)),1,0)</f>
        <v/>
      </c>
      <c r="B3958">
        <f>B3957+A3958</f>
        <v/>
      </c>
      <c r="C3958">
        <f>IF(3955&gt;$B$4503,"",MATCH(3955-0.5,$B$3:$B$4503,1))</f>
        <v/>
      </c>
      <c r="D3958">
        <f>"Privileges reappointment – "&amp;IF(LEN(INDEX('Providers'!$A$4:$A$503,455))=0,"",INDEX('Providers'!$A$4:$A$503,455))</f>
        <v/>
      </c>
      <c r="E3958">
        <f>IF(ISNUMBER(INDEX('Providers'!$Y$4:$Y$503,455)),TEXT(INDEX('Providers'!$Y$4:$Y$503,455),"yyyy-mm-dd"),"")</f>
        <v/>
      </c>
      <c r="F3958">
        <f>"Credentialing"</f>
        <v/>
      </c>
      <c r="G3958">
        <f>""</f>
        <v/>
      </c>
      <c r="H3958">
        <f>"High"</f>
        <v/>
      </c>
      <c r="I3958">
        <f>TRIM(IF(LEN(IF(LEN(INDEX('Providers'!$X$4:$X$503,455))=0,"",INDEX('Providers'!$X$4:$X$503,455)))=0,"","Facility: "&amp;IF(LEN(INDEX('Providers'!$X$4:$X$503,455))=0,"",INDEX('Providers'!$X$4:$X$503,455))&amp;". "))</f>
        <v/>
      </c>
      <c r="J3958">
        <f>IF(LEN(INDEX('Providers'!$AJ$4:$AJ$503,455))=0,"",INDEX('Providers'!$AJ$4:$AJ$503,455))</f>
        <v/>
      </c>
      <c r="K3958">
        <f>IF(LEN(INDEX('Providers'!$AI$4:$AI$503,455))=0,"",INDEX('Providers'!$AI$4:$AI$503,455))</f>
        <v/>
      </c>
    </row>
    <row r="3959">
      <c r="A3959">
        <f>IF(AND(LEN('Providers'!A459)&gt;0,ISNUMBER('Providers'!Y459)),1,0)</f>
        <v/>
      </c>
      <c r="B3959">
        <f>B3958+A3959</f>
        <v/>
      </c>
      <c r="C3959">
        <f>IF(3956&gt;$B$4503,"",MATCH(3956-0.5,$B$3:$B$4503,1))</f>
        <v/>
      </c>
      <c r="D3959">
        <f>"Privileges reappointment – "&amp;IF(LEN(INDEX('Providers'!$A$4:$A$503,456))=0,"",INDEX('Providers'!$A$4:$A$503,456))</f>
        <v/>
      </c>
      <c r="E3959">
        <f>IF(ISNUMBER(INDEX('Providers'!$Y$4:$Y$503,456)),TEXT(INDEX('Providers'!$Y$4:$Y$503,456),"yyyy-mm-dd"),"")</f>
        <v/>
      </c>
      <c r="F3959">
        <f>"Credentialing"</f>
        <v/>
      </c>
      <c r="G3959">
        <f>""</f>
        <v/>
      </c>
      <c r="H3959">
        <f>"High"</f>
        <v/>
      </c>
      <c r="I3959">
        <f>TRIM(IF(LEN(IF(LEN(INDEX('Providers'!$X$4:$X$503,456))=0,"",INDEX('Providers'!$X$4:$X$503,456)))=0,"","Facility: "&amp;IF(LEN(INDEX('Providers'!$X$4:$X$503,456))=0,"",INDEX('Providers'!$X$4:$X$503,456))&amp;". "))</f>
        <v/>
      </c>
      <c r="J3959">
        <f>IF(LEN(INDEX('Providers'!$AJ$4:$AJ$503,456))=0,"",INDEX('Providers'!$AJ$4:$AJ$503,456))</f>
        <v/>
      </c>
      <c r="K3959">
        <f>IF(LEN(INDEX('Providers'!$AI$4:$AI$503,456))=0,"",INDEX('Providers'!$AI$4:$AI$503,456))</f>
        <v/>
      </c>
    </row>
    <row r="3960">
      <c r="A3960">
        <f>IF(AND(LEN('Providers'!A460)&gt;0,ISNUMBER('Providers'!Y460)),1,0)</f>
        <v/>
      </c>
      <c r="B3960">
        <f>B3959+A3960</f>
        <v/>
      </c>
      <c r="C3960">
        <f>IF(3957&gt;$B$4503,"",MATCH(3957-0.5,$B$3:$B$4503,1))</f>
        <v/>
      </c>
      <c r="D3960">
        <f>"Privileges reappointment – "&amp;IF(LEN(INDEX('Providers'!$A$4:$A$503,457))=0,"",INDEX('Providers'!$A$4:$A$503,457))</f>
        <v/>
      </c>
      <c r="E3960">
        <f>IF(ISNUMBER(INDEX('Providers'!$Y$4:$Y$503,457)),TEXT(INDEX('Providers'!$Y$4:$Y$503,457),"yyyy-mm-dd"),"")</f>
        <v/>
      </c>
      <c r="F3960">
        <f>"Credentialing"</f>
        <v/>
      </c>
      <c r="G3960">
        <f>""</f>
        <v/>
      </c>
      <c r="H3960">
        <f>"High"</f>
        <v/>
      </c>
      <c r="I3960">
        <f>TRIM(IF(LEN(IF(LEN(INDEX('Providers'!$X$4:$X$503,457))=0,"",INDEX('Providers'!$X$4:$X$503,457)))=0,"","Facility: "&amp;IF(LEN(INDEX('Providers'!$X$4:$X$503,457))=0,"",INDEX('Providers'!$X$4:$X$503,457))&amp;". "))</f>
        <v/>
      </c>
      <c r="J3960">
        <f>IF(LEN(INDEX('Providers'!$AJ$4:$AJ$503,457))=0,"",INDEX('Providers'!$AJ$4:$AJ$503,457))</f>
        <v/>
      </c>
      <c r="K3960">
        <f>IF(LEN(INDEX('Providers'!$AI$4:$AI$503,457))=0,"",INDEX('Providers'!$AI$4:$AI$503,457))</f>
        <v/>
      </c>
    </row>
    <row r="3961">
      <c r="A3961">
        <f>IF(AND(LEN('Providers'!A461)&gt;0,ISNUMBER('Providers'!Y461)),1,0)</f>
        <v/>
      </c>
      <c r="B3961">
        <f>B3960+A3961</f>
        <v/>
      </c>
      <c r="C3961">
        <f>IF(3958&gt;$B$4503,"",MATCH(3958-0.5,$B$3:$B$4503,1))</f>
        <v/>
      </c>
      <c r="D3961">
        <f>"Privileges reappointment – "&amp;IF(LEN(INDEX('Providers'!$A$4:$A$503,458))=0,"",INDEX('Providers'!$A$4:$A$503,458))</f>
        <v/>
      </c>
      <c r="E3961">
        <f>IF(ISNUMBER(INDEX('Providers'!$Y$4:$Y$503,458)),TEXT(INDEX('Providers'!$Y$4:$Y$503,458),"yyyy-mm-dd"),"")</f>
        <v/>
      </c>
      <c r="F3961">
        <f>"Credentialing"</f>
        <v/>
      </c>
      <c r="G3961">
        <f>""</f>
        <v/>
      </c>
      <c r="H3961">
        <f>"High"</f>
        <v/>
      </c>
      <c r="I3961">
        <f>TRIM(IF(LEN(IF(LEN(INDEX('Providers'!$X$4:$X$503,458))=0,"",INDEX('Providers'!$X$4:$X$503,458)))=0,"","Facility: "&amp;IF(LEN(INDEX('Providers'!$X$4:$X$503,458))=0,"",INDEX('Providers'!$X$4:$X$503,458))&amp;". "))</f>
        <v/>
      </c>
      <c r="J3961">
        <f>IF(LEN(INDEX('Providers'!$AJ$4:$AJ$503,458))=0,"",INDEX('Providers'!$AJ$4:$AJ$503,458))</f>
        <v/>
      </c>
      <c r="K3961">
        <f>IF(LEN(INDEX('Providers'!$AI$4:$AI$503,458))=0,"",INDEX('Providers'!$AI$4:$AI$503,458))</f>
        <v/>
      </c>
    </row>
    <row r="3962">
      <c r="A3962">
        <f>IF(AND(LEN('Providers'!A462)&gt;0,ISNUMBER('Providers'!Y462)),1,0)</f>
        <v/>
      </c>
      <c r="B3962">
        <f>B3961+A3962</f>
        <v/>
      </c>
      <c r="C3962">
        <f>IF(3959&gt;$B$4503,"",MATCH(3959-0.5,$B$3:$B$4503,1))</f>
        <v/>
      </c>
      <c r="D3962">
        <f>"Privileges reappointment – "&amp;IF(LEN(INDEX('Providers'!$A$4:$A$503,459))=0,"",INDEX('Providers'!$A$4:$A$503,459))</f>
        <v/>
      </c>
      <c r="E3962">
        <f>IF(ISNUMBER(INDEX('Providers'!$Y$4:$Y$503,459)),TEXT(INDEX('Providers'!$Y$4:$Y$503,459),"yyyy-mm-dd"),"")</f>
        <v/>
      </c>
      <c r="F3962">
        <f>"Credentialing"</f>
        <v/>
      </c>
      <c r="G3962">
        <f>""</f>
        <v/>
      </c>
      <c r="H3962">
        <f>"High"</f>
        <v/>
      </c>
      <c r="I3962">
        <f>TRIM(IF(LEN(IF(LEN(INDEX('Providers'!$X$4:$X$503,459))=0,"",INDEX('Providers'!$X$4:$X$503,459)))=0,"","Facility: "&amp;IF(LEN(INDEX('Providers'!$X$4:$X$503,459))=0,"",INDEX('Providers'!$X$4:$X$503,459))&amp;". "))</f>
        <v/>
      </c>
      <c r="J3962">
        <f>IF(LEN(INDEX('Providers'!$AJ$4:$AJ$503,459))=0,"",INDEX('Providers'!$AJ$4:$AJ$503,459))</f>
        <v/>
      </c>
      <c r="K3962">
        <f>IF(LEN(INDEX('Providers'!$AI$4:$AI$503,459))=0,"",INDEX('Providers'!$AI$4:$AI$503,459))</f>
        <v/>
      </c>
    </row>
    <row r="3963">
      <c r="A3963">
        <f>IF(AND(LEN('Providers'!A463)&gt;0,ISNUMBER('Providers'!Y463)),1,0)</f>
        <v/>
      </c>
      <c r="B3963">
        <f>B3962+A3963</f>
        <v/>
      </c>
      <c r="C3963">
        <f>IF(3960&gt;$B$4503,"",MATCH(3960-0.5,$B$3:$B$4503,1))</f>
        <v/>
      </c>
      <c r="D3963">
        <f>"Privileges reappointment – "&amp;IF(LEN(INDEX('Providers'!$A$4:$A$503,460))=0,"",INDEX('Providers'!$A$4:$A$503,460))</f>
        <v/>
      </c>
      <c r="E3963">
        <f>IF(ISNUMBER(INDEX('Providers'!$Y$4:$Y$503,460)),TEXT(INDEX('Providers'!$Y$4:$Y$503,460),"yyyy-mm-dd"),"")</f>
        <v/>
      </c>
      <c r="F3963">
        <f>"Credentialing"</f>
        <v/>
      </c>
      <c r="G3963">
        <f>""</f>
        <v/>
      </c>
      <c r="H3963">
        <f>"High"</f>
        <v/>
      </c>
      <c r="I3963">
        <f>TRIM(IF(LEN(IF(LEN(INDEX('Providers'!$X$4:$X$503,460))=0,"",INDEX('Providers'!$X$4:$X$503,460)))=0,"","Facility: "&amp;IF(LEN(INDEX('Providers'!$X$4:$X$503,460))=0,"",INDEX('Providers'!$X$4:$X$503,460))&amp;". "))</f>
        <v/>
      </c>
      <c r="J3963">
        <f>IF(LEN(INDEX('Providers'!$AJ$4:$AJ$503,460))=0,"",INDEX('Providers'!$AJ$4:$AJ$503,460))</f>
        <v/>
      </c>
      <c r="K3963">
        <f>IF(LEN(INDEX('Providers'!$AI$4:$AI$503,460))=0,"",INDEX('Providers'!$AI$4:$AI$503,460))</f>
        <v/>
      </c>
    </row>
    <row r="3964">
      <c r="A3964">
        <f>IF(AND(LEN('Providers'!A464)&gt;0,ISNUMBER('Providers'!Y464)),1,0)</f>
        <v/>
      </c>
      <c r="B3964">
        <f>B3963+A3964</f>
        <v/>
      </c>
      <c r="C3964">
        <f>IF(3961&gt;$B$4503,"",MATCH(3961-0.5,$B$3:$B$4503,1))</f>
        <v/>
      </c>
      <c r="D3964">
        <f>"Privileges reappointment – "&amp;IF(LEN(INDEX('Providers'!$A$4:$A$503,461))=0,"",INDEX('Providers'!$A$4:$A$503,461))</f>
        <v/>
      </c>
      <c r="E3964">
        <f>IF(ISNUMBER(INDEX('Providers'!$Y$4:$Y$503,461)),TEXT(INDEX('Providers'!$Y$4:$Y$503,461),"yyyy-mm-dd"),"")</f>
        <v/>
      </c>
      <c r="F3964">
        <f>"Credentialing"</f>
        <v/>
      </c>
      <c r="G3964">
        <f>""</f>
        <v/>
      </c>
      <c r="H3964">
        <f>"High"</f>
        <v/>
      </c>
      <c r="I3964">
        <f>TRIM(IF(LEN(IF(LEN(INDEX('Providers'!$X$4:$X$503,461))=0,"",INDEX('Providers'!$X$4:$X$503,461)))=0,"","Facility: "&amp;IF(LEN(INDEX('Providers'!$X$4:$X$503,461))=0,"",INDEX('Providers'!$X$4:$X$503,461))&amp;". "))</f>
        <v/>
      </c>
      <c r="J3964">
        <f>IF(LEN(INDEX('Providers'!$AJ$4:$AJ$503,461))=0,"",INDEX('Providers'!$AJ$4:$AJ$503,461))</f>
        <v/>
      </c>
      <c r="K3964">
        <f>IF(LEN(INDEX('Providers'!$AI$4:$AI$503,461))=0,"",INDEX('Providers'!$AI$4:$AI$503,461))</f>
        <v/>
      </c>
    </row>
    <row r="3965">
      <c r="A3965">
        <f>IF(AND(LEN('Providers'!A465)&gt;0,ISNUMBER('Providers'!Y465)),1,0)</f>
        <v/>
      </c>
      <c r="B3965">
        <f>B3964+A3965</f>
        <v/>
      </c>
      <c r="C3965">
        <f>IF(3962&gt;$B$4503,"",MATCH(3962-0.5,$B$3:$B$4503,1))</f>
        <v/>
      </c>
      <c r="D3965">
        <f>"Privileges reappointment – "&amp;IF(LEN(INDEX('Providers'!$A$4:$A$503,462))=0,"",INDEX('Providers'!$A$4:$A$503,462))</f>
        <v/>
      </c>
      <c r="E3965">
        <f>IF(ISNUMBER(INDEX('Providers'!$Y$4:$Y$503,462)),TEXT(INDEX('Providers'!$Y$4:$Y$503,462),"yyyy-mm-dd"),"")</f>
        <v/>
      </c>
      <c r="F3965">
        <f>"Credentialing"</f>
        <v/>
      </c>
      <c r="G3965">
        <f>""</f>
        <v/>
      </c>
      <c r="H3965">
        <f>"High"</f>
        <v/>
      </c>
      <c r="I3965">
        <f>TRIM(IF(LEN(IF(LEN(INDEX('Providers'!$X$4:$X$503,462))=0,"",INDEX('Providers'!$X$4:$X$503,462)))=0,"","Facility: "&amp;IF(LEN(INDEX('Providers'!$X$4:$X$503,462))=0,"",INDEX('Providers'!$X$4:$X$503,462))&amp;". "))</f>
        <v/>
      </c>
      <c r="J3965">
        <f>IF(LEN(INDEX('Providers'!$AJ$4:$AJ$503,462))=0,"",INDEX('Providers'!$AJ$4:$AJ$503,462))</f>
        <v/>
      </c>
      <c r="K3965">
        <f>IF(LEN(INDEX('Providers'!$AI$4:$AI$503,462))=0,"",INDEX('Providers'!$AI$4:$AI$503,462))</f>
        <v/>
      </c>
    </row>
    <row r="3966">
      <c r="A3966">
        <f>IF(AND(LEN('Providers'!A466)&gt;0,ISNUMBER('Providers'!Y466)),1,0)</f>
        <v/>
      </c>
      <c r="B3966">
        <f>B3965+A3966</f>
        <v/>
      </c>
      <c r="C3966">
        <f>IF(3963&gt;$B$4503,"",MATCH(3963-0.5,$B$3:$B$4503,1))</f>
        <v/>
      </c>
      <c r="D3966">
        <f>"Privileges reappointment – "&amp;IF(LEN(INDEX('Providers'!$A$4:$A$503,463))=0,"",INDEX('Providers'!$A$4:$A$503,463))</f>
        <v/>
      </c>
      <c r="E3966">
        <f>IF(ISNUMBER(INDEX('Providers'!$Y$4:$Y$503,463)),TEXT(INDEX('Providers'!$Y$4:$Y$503,463),"yyyy-mm-dd"),"")</f>
        <v/>
      </c>
      <c r="F3966">
        <f>"Credentialing"</f>
        <v/>
      </c>
      <c r="G3966">
        <f>""</f>
        <v/>
      </c>
      <c r="H3966">
        <f>"High"</f>
        <v/>
      </c>
      <c r="I3966">
        <f>TRIM(IF(LEN(IF(LEN(INDEX('Providers'!$X$4:$X$503,463))=0,"",INDEX('Providers'!$X$4:$X$503,463)))=0,"","Facility: "&amp;IF(LEN(INDEX('Providers'!$X$4:$X$503,463))=0,"",INDEX('Providers'!$X$4:$X$503,463))&amp;". "))</f>
        <v/>
      </c>
      <c r="J3966">
        <f>IF(LEN(INDEX('Providers'!$AJ$4:$AJ$503,463))=0,"",INDEX('Providers'!$AJ$4:$AJ$503,463))</f>
        <v/>
      </c>
      <c r="K3966">
        <f>IF(LEN(INDEX('Providers'!$AI$4:$AI$503,463))=0,"",INDEX('Providers'!$AI$4:$AI$503,463))</f>
        <v/>
      </c>
    </row>
    <row r="3967">
      <c r="A3967">
        <f>IF(AND(LEN('Providers'!A467)&gt;0,ISNUMBER('Providers'!Y467)),1,0)</f>
        <v/>
      </c>
      <c r="B3967">
        <f>B3966+A3967</f>
        <v/>
      </c>
      <c r="C3967">
        <f>IF(3964&gt;$B$4503,"",MATCH(3964-0.5,$B$3:$B$4503,1))</f>
        <v/>
      </c>
      <c r="D3967">
        <f>"Privileges reappointment – "&amp;IF(LEN(INDEX('Providers'!$A$4:$A$503,464))=0,"",INDEX('Providers'!$A$4:$A$503,464))</f>
        <v/>
      </c>
      <c r="E3967">
        <f>IF(ISNUMBER(INDEX('Providers'!$Y$4:$Y$503,464)),TEXT(INDEX('Providers'!$Y$4:$Y$503,464),"yyyy-mm-dd"),"")</f>
        <v/>
      </c>
      <c r="F3967">
        <f>"Credentialing"</f>
        <v/>
      </c>
      <c r="G3967">
        <f>""</f>
        <v/>
      </c>
      <c r="H3967">
        <f>"High"</f>
        <v/>
      </c>
      <c r="I3967">
        <f>TRIM(IF(LEN(IF(LEN(INDEX('Providers'!$X$4:$X$503,464))=0,"",INDEX('Providers'!$X$4:$X$503,464)))=0,"","Facility: "&amp;IF(LEN(INDEX('Providers'!$X$4:$X$503,464))=0,"",INDEX('Providers'!$X$4:$X$503,464))&amp;". "))</f>
        <v/>
      </c>
      <c r="J3967">
        <f>IF(LEN(INDEX('Providers'!$AJ$4:$AJ$503,464))=0,"",INDEX('Providers'!$AJ$4:$AJ$503,464))</f>
        <v/>
      </c>
      <c r="K3967">
        <f>IF(LEN(INDEX('Providers'!$AI$4:$AI$503,464))=0,"",INDEX('Providers'!$AI$4:$AI$503,464))</f>
        <v/>
      </c>
    </row>
    <row r="3968">
      <c r="A3968">
        <f>IF(AND(LEN('Providers'!A468)&gt;0,ISNUMBER('Providers'!Y468)),1,0)</f>
        <v/>
      </c>
      <c r="B3968">
        <f>B3967+A3968</f>
        <v/>
      </c>
      <c r="C3968">
        <f>IF(3965&gt;$B$4503,"",MATCH(3965-0.5,$B$3:$B$4503,1))</f>
        <v/>
      </c>
      <c r="D3968">
        <f>"Privileges reappointment – "&amp;IF(LEN(INDEX('Providers'!$A$4:$A$503,465))=0,"",INDEX('Providers'!$A$4:$A$503,465))</f>
        <v/>
      </c>
      <c r="E3968">
        <f>IF(ISNUMBER(INDEX('Providers'!$Y$4:$Y$503,465)),TEXT(INDEX('Providers'!$Y$4:$Y$503,465),"yyyy-mm-dd"),"")</f>
        <v/>
      </c>
      <c r="F3968">
        <f>"Credentialing"</f>
        <v/>
      </c>
      <c r="G3968">
        <f>""</f>
        <v/>
      </c>
      <c r="H3968">
        <f>"High"</f>
        <v/>
      </c>
      <c r="I3968">
        <f>TRIM(IF(LEN(IF(LEN(INDEX('Providers'!$X$4:$X$503,465))=0,"",INDEX('Providers'!$X$4:$X$503,465)))=0,"","Facility: "&amp;IF(LEN(INDEX('Providers'!$X$4:$X$503,465))=0,"",INDEX('Providers'!$X$4:$X$503,465))&amp;". "))</f>
        <v/>
      </c>
      <c r="J3968">
        <f>IF(LEN(INDEX('Providers'!$AJ$4:$AJ$503,465))=0,"",INDEX('Providers'!$AJ$4:$AJ$503,465))</f>
        <v/>
      </c>
      <c r="K3968">
        <f>IF(LEN(INDEX('Providers'!$AI$4:$AI$503,465))=0,"",INDEX('Providers'!$AI$4:$AI$503,465))</f>
        <v/>
      </c>
    </row>
    <row r="3969">
      <c r="A3969">
        <f>IF(AND(LEN('Providers'!A469)&gt;0,ISNUMBER('Providers'!Y469)),1,0)</f>
        <v/>
      </c>
      <c r="B3969">
        <f>B3968+A3969</f>
        <v/>
      </c>
      <c r="C3969">
        <f>IF(3966&gt;$B$4503,"",MATCH(3966-0.5,$B$3:$B$4503,1))</f>
        <v/>
      </c>
      <c r="D3969">
        <f>"Privileges reappointment – "&amp;IF(LEN(INDEX('Providers'!$A$4:$A$503,466))=0,"",INDEX('Providers'!$A$4:$A$503,466))</f>
        <v/>
      </c>
      <c r="E3969">
        <f>IF(ISNUMBER(INDEX('Providers'!$Y$4:$Y$503,466)),TEXT(INDEX('Providers'!$Y$4:$Y$503,466),"yyyy-mm-dd"),"")</f>
        <v/>
      </c>
      <c r="F3969">
        <f>"Credentialing"</f>
        <v/>
      </c>
      <c r="G3969">
        <f>""</f>
        <v/>
      </c>
      <c r="H3969">
        <f>"High"</f>
        <v/>
      </c>
      <c r="I3969">
        <f>TRIM(IF(LEN(IF(LEN(INDEX('Providers'!$X$4:$X$503,466))=0,"",INDEX('Providers'!$X$4:$X$503,466)))=0,"","Facility: "&amp;IF(LEN(INDEX('Providers'!$X$4:$X$503,466))=0,"",INDEX('Providers'!$X$4:$X$503,466))&amp;". "))</f>
        <v/>
      </c>
      <c r="J3969">
        <f>IF(LEN(INDEX('Providers'!$AJ$4:$AJ$503,466))=0,"",INDEX('Providers'!$AJ$4:$AJ$503,466))</f>
        <v/>
      </c>
      <c r="K3969">
        <f>IF(LEN(INDEX('Providers'!$AI$4:$AI$503,466))=0,"",INDEX('Providers'!$AI$4:$AI$503,466))</f>
        <v/>
      </c>
    </row>
    <row r="3970">
      <c r="A3970">
        <f>IF(AND(LEN('Providers'!A470)&gt;0,ISNUMBER('Providers'!Y470)),1,0)</f>
        <v/>
      </c>
      <c r="B3970">
        <f>B3969+A3970</f>
        <v/>
      </c>
      <c r="C3970">
        <f>IF(3967&gt;$B$4503,"",MATCH(3967-0.5,$B$3:$B$4503,1))</f>
        <v/>
      </c>
      <c r="D3970">
        <f>"Privileges reappointment – "&amp;IF(LEN(INDEX('Providers'!$A$4:$A$503,467))=0,"",INDEX('Providers'!$A$4:$A$503,467))</f>
        <v/>
      </c>
      <c r="E3970">
        <f>IF(ISNUMBER(INDEX('Providers'!$Y$4:$Y$503,467)),TEXT(INDEX('Providers'!$Y$4:$Y$503,467),"yyyy-mm-dd"),"")</f>
        <v/>
      </c>
      <c r="F3970">
        <f>"Credentialing"</f>
        <v/>
      </c>
      <c r="G3970">
        <f>""</f>
        <v/>
      </c>
      <c r="H3970">
        <f>"High"</f>
        <v/>
      </c>
      <c r="I3970">
        <f>TRIM(IF(LEN(IF(LEN(INDEX('Providers'!$X$4:$X$503,467))=0,"",INDEX('Providers'!$X$4:$X$503,467)))=0,"","Facility: "&amp;IF(LEN(INDEX('Providers'!$X$4:$X$503,467))=0,"",INDEX('Providers'!$X$4:$X$503,467))&amp;". "))</f>
        <v/>
      </c>
      <c r="J3970">
        <f>IF(LEN(INDEX('Providers'!$AJ$4:$AJ$503,467))=0,"",INDEX('Providers'!$AJ$4:$AJ$503,467))</f>
        <v/>
      </c>
      <c r="K3970">
        <f>IF(LEN(INDEX('Providers'!$AI$4:$AI$503,467))=0,"",INDEX('Providers'!$AI$4:$AI$503,467))</f>
        <v/>
      </c>
    </row>
    <row r="3971">
      <c r="A3971">
        <f>IF(AND(LEN('Providers'!A471)&gt;0,ISNUMBER('Providers'!Y471)),1,0)</f>
        <v/>
      </c>
      <c r="B3971">
        <f>B3970+A3971</f>
        <v/>
      </c>
      <c r="C3971">
        <f>IF(3968&gt;$B$4503,"",MATCH(3968-0.5,$B$3:$B$4503,1))</f>
        <v/>
      </c>
      <c r="D3971">
        <f>"Privileges reappointment – "&amp;IF(LEN(INDEX('Providers'!$A$4:$A$503,468))=0,"",INDEX('Providers'!$A$4:$A$503,468))</f>
        <v/>
      </c>
      <c r="E3971">
        <f>IF(ISNUMBER(INDEX('Providers'!$Y$4:$Y$503,468)),TEXT(INDEX('Providers'!$Y$4:$Y$503,468),"yyyy-mm-dd"),"")</f>
        <v/>
      </c>
      <c r="F3971">
        <f>"Credentialing"</f>
        <v/>
      </c>
      <c r="G3971">
        <f>""</f>
        <v/>
      </c>
      <c r="H3971">
        <f>"High"</f>
        <v/>
      </c>
      <c r="I3971">
        <f>TRIM(IF(LEN(IF(LEN(INDEX('Providers'!$X$4:$X$503,468))=0,"",INDEX('Providers'!$X$4:$X$503,468)))=0,"","Facility: "&amp;IF(LEN(INDEX('Providers'!$X$4:$X$503,468))=0,"",INDEX('Providers'!$X$4:$X$503,468))&amp;". "))</f>
        <v/>
      </c>
      <c r="J3971">
        <f>IF(LEN(INDEX('Providers'!$AJ$4:$AJ$503,468))=0,"",INDEX('Providers'!$AJ$4:$AJ$503,468))</f>
        <v/>
      </c>
      <c r="K3971">
        <f>IF(LEN(INDEX('Providers'!$AI$4:$AI$503,468))=0,"",INDEX('Providers'!$AI$4:$AI$503,468))</f>
        <v/>
      </c>
    </row>
    <row r="3972">
      <c r="A3972">
        <f>IF(AND(LEN('Providers'!A472)&gt;0,ISNUMBER('Providers'!Y472)),1,0)</f>
        <v/>
      </c>
      <c r="B3972">
        <f>B3971+A3972</f>
        <v/>
      </c>
      <c r="C3972">
        <f>IF(3969&gt;$B$4503,"",MATCH(3969-0.5,$B$3:$B$4503,1))</f>
        <v/>
      </c>
      <c r="D3972">
        <f>"Privileges reappointment – "&amp;IF(LEN(INDEX('Providers'!$A$4:$A$503,469))=0,"",INDEX('Providers'!$A$4:$A$503,469))</f>
        <v/>
      </c>
      <c r="E3972">
        <f>IF(ISNUMBER(INDEX('Providers'!$Y$4:$Y$503,469)),TEXT(INDEX('Providers'!$Y$4:$Y$503,469),"yyyy-mm-dd"),"")</f>
        <v/>
      </c>
      <c r="F3972">
        <f>"Credentialing"</f>
        <v/>
      </c>
      <c r="G3972">
        <f>""</f>
        <v/>
      </c>
      <c r="H3972">
        <f>"High"</f>
        <v/>
      </c>
      <c r="I3972">
        <f>TRIM(IF(LEN(IF(LEN(INDEX('Providers'!$X$4:$X$503,469))=0,"",INDEX('Providers'!$X$4:$X$503,469)))=0,"","Facility: "&amp;IF(LEN(INDEX('Providers'!$X$4:$X$503,469))=0,"",INDEX('Providers'!$X$4:$X$503,469))&amp;". "))</f>
        <v/>
      </c>
      <c r="J3972">
        <f>IF(LEN(INDEX('Providers'!$AJ$4:$AJ$503,469))=0,"",INDEX('Providers'!$AJ$4:$AJ$503,469))</f>
        <v/>
      </c>
      <c r="K3972">
        <f>IF(LEN(INDEX('Providers'!$AI$4:$AI$503,469))=0,"",INDEX('Providers'!$AI$4:$AI$503,469))</f>
        <v/>
      </c>
    </row>
    <row r="3973">
      <c r="A3973">
        <f>IF(AND(LEN('Providers'!A473)&gt;0,ISNUMBER('Providers'!Y473)),1,0)</f>
        <v/>
      </c>
      <c r="B3973">
        <f>B3972+A3973</f>
        <v/>
      </c>
      <c r="C3973">
        <f>IF(3970&gt;$B$4503,"",MATCH(3970-0.5,$B$3:$B$4503,1))</f>
        <v/>
      </c>
      <c r="D3973">
        <f>"Privileges reappointment – "&amp;IF(LEN(INDEX('Providers'!$A$4:$A$503,470))=0,"",INDEX('Providers'!$A$4:$A$503,470))</f>
        <v/>
      </c>
      <c r="E3973">
        <f>IF(ISNUMBER(INDEX('Providers'!$Y$4:$Y$503,470)),TEXT(INDEX('Providers'!$Y$4:$Y$503,470),"yyyy-mm-dd"),"")</f>
        <v/>
      </c>
      <c r="F3973">
        <f>"Credentialing"</f>
        <v/>
      </c>
      <c r="G3973">
        <f>""</f>
        <v/>
      </c>
      <c r="H3973">
        <f>"High"</f>
        <v/>
      </c>
      <c r="I3973">
        <f>TRIM(IF(LEN(IF(LEN(INDEX('Providers'!$X$4:$X$503,470))=0,"",INDEX('Providers'!$X$4:$X$503,470)))=0,"","Facility: "&amp;IF(LEN(INDEX('Providers'!$X$4:$X$503,470))=0,"",INDEX('Providers'!$X$4:$X$503,470))&amp;". "))</f>
        <v/>
      </c>
      <c r="J3973">
        <f>IF(LEN(INDEX('Providers'!$AJ$4:$AJ$503,470))=0,"",INDEX('Providers'!$AJ$4:$AJ$503,470))</f>
        <v/>
      </c>
      <c r="K3973">
        <f>IF(LEN(INDEX('Providers'!$AI$4:$AI$503,470))=0,"",INDEX('Providers'!$AI$4:$AI$503,470))</f>
        <v/>
      </c>
    </row>
    <row r="3974">
      <c r="A3974">
        <f>IF(AND(LEN('Providers'!A474)&gt;0,ISNUMBER('Providers'!Y474)),1,0)</f>
        <v/>
      </c>
      <c r="B3974">
        <f>B3973+A3974</f>
        <v/>
      </c>
      <c r="C3974">
        <f>IF(3971&gt;$B$4503,"",MATCH(3971-0.5,$B$3:$B$4503,1))</f>
        <v/>
      </c>
      <c r="D3974">
        <f>"Privileges reappointment – "&amp;IF(LEN(INDEX('Providers'!$A$4:$A$503,471))=0,"",INDEX('Providers'!$A$4:$A$503,471))</f>
        <v/>
      </c>
      <c r="E3974">
        <f>IF(ISNUMBER(INDEX('Providers'!$Y$4:$Y$503,471)),TEXT(INDEX('Providers'!$Y$4:$Y$503,471),"yyyy-mm-dd"),"")</f>
        <v/>
      </c>
      <c r="F3974">
        <f>"Credentialing"</f>
        <v/>
      </c>
      <c r="G3974">
        <f>""</f>
        <v/>
      </c>
      <c r="H3974">
        <f>"High"</f>
        <v/>
      </c>
      <c r="I3974">
        <f>TRIM(IF(LEN(IF(LEN(INDEX('Providers'!$X$4:$X$503,471))=0,"",INDEX('Providers'!$X$4:$X$503,471)))=0,"","Facility: "&amp;IF(LEN(INDEX('Providers'!$X$4:$X$503,471))=0,"",INDEX('Providers'!$X$4:$X$503,471))&amp;". "))</f>
        <v/>
      </c>
      <c r="J3974">
        <f>IF(LEN(INDEX('Providers'!$AJ$4:$AJ$503,471))=0,"",INDEX('Providers'!$AJ$4:$AJ$503,471))</f>
        <v/>
      </c>
      <c r="K3974">
        <f>IF(LEN(INDEX('Providers'!$AI$4:$AI$503,471))=0,"",INDEX('Providers'!$AI$4:$AI$503,471))</f>
        <v/>
      </c>
    </row>
    <row r="3975">
      <c r="A3975">
        <f>IF(AND(LEN('Providers'!A475)&gt;0,ISNUMBER('Providers'!Y475)),1,0)</f>
        <v/>
      </c>
      <c r="B3975">
        <f>B3974+A3975</f>
        <v/>
      </c>
      <c r="C3975">
        <f>IF(3972&gt;$B$4503,"",MATCH(3972-0.5,$B$3:$B$4503,1))</f>
        <v/>
      </c>
      <c r="D3975">
        <f>"Privileges reappointment – "&amp;IF(LEN(INDEX('Providers'!$A$4:$A$503,472))=0,"",INDEX('Providers'!$A$4:$A$503,472))</f>
        <v/>
      </c>
      <c r="E3975">
        <f>IF(ISNUMBER(INDEX('Providers'!$Y$4:$Y$503,472)),TEXT(INDEX('Providers'!$Y$4:$Y$503,472),"yyyy-mm-dd"),"")</f>
        <v/>
      </c>
      <c r="F3975">
        <f>"Credentialing"</f>
        <v/>
      </c>
      <c r="G3975">
        <f>""</f>
        <v/>
      </c>
      <c r="H3975">
        <f>"High"</f>
        <v/>
      </c>
      <c r="I3975">
        <f>TRIM(IF(LEN(IF(LEN(INDEX('Providers'!$X$4:$X$503,472))=0,"",INDEX('Providers'!$X$4:$X$503,472)))=0,"","Facility: "&amp;IF(LEN(INDEX('Providers'!$X$4:$X$503,472))=0,"",INDEX('Providers'!$X$4:$X$503,472))&amp;". "))</f>
        <v/>
      </c>
      <c r="J3975">
        <f>IF(LEN(INDEX('Providers'!$AJ$4:$AJ$503,472))=0,"",INDEX('Providers'!$AJ$4:$AJ$503,472))</f>
        <v/>
      </c>
      <c r="K3975">
        <f>IF(LEN(INDEX('Providers'!$AI$4:$AI$503,472))=0,"",INDEX('Providers'!$AI$4:$AI$503,472))</f>
        <v/>
      </c>
    </row>
    <row r="3976">
      <c r="A3976">
        <f>IF(AND(LEN('Providers'!A476)&gt;0,ISNUMBER('Providers'!Y476)),1,0)</f>
        <v/>
      </c>
      <c r="B3976">
        <f>B3975+A3976</f>
        <v/>
      </c>
      <c r="C3976">
        <f>IF(3973&gt;$B$4503,"",MATCH(3973-0.5,$B$3:$B$4503,1))</f>
        <v/>
      </c>
      <c r="D3976">
        <f>"Privileges reappointment – "&amp;IF(LEN(INDEX('Providers'!$A$4:$A$503,473))=0,"",INDEX('Providers'!$A$4:$A$503,473))</f>
        <v/>
      </c>
      <c r="E3976">
        <f>IF(ISNUMBER(INDEX('Providers'!$Y$4:$Y$503,473)),TEXT(INDEX('Providers'!$Y$4:$Y$503,473),"yyyy-mm-dd"),"")</f>
        <v/>
      </c>
      <c r="F3976">
        <f>"Credentialing"</f>
        <v/>
      </c>
      <c r="G3976">
        <f>""</f>
        <v/>
      </c>
      <c r="H3976">
        <f>"High"</f>
        <v/>
      </c>
      <c r="I3976">
        <f>TRIM(IF(LEN(IF(LEN(INDEX('Providers'!$X$4:$X$503,473))=0,"",INDEX('Providers'!$X$4:$X$503,473)))=0,"","Facility: "&amp;IF(LEN(INDEX('Providers'!$X$4:$X$503,473))=0,"",INDEX('Providers'!$X$4:$X$503,473))&amp;". "))</f>
        <v/>
      </c>
      <c r="J3976">
        <f>IF(LEN(INDEX('Providers'!$AJ$4:$AJ$503,473))=0,"",INDEX('Providers'!$AJ$4:$AJ$503,473))</f>
        <v/>
      </c>
      <c r="K3976">
        <f>IF(LEN(INDEX('Providers'!$AI$4:$AI$503,473))=0,"",INDEX('Providers'!$AI$4:$AI$503,473))</f>
        <v/>
      </c>
    </row>
    <row r="3977">
      <c r="A3977">
        <f>IF(AND(LEN('Providers'!A477)&gt;0,ISNUMBER('Providers'!Y477)),1,0)</f>
        <v/>
      </c>
      <c r="B3977">
        <f>B3976+A3977</f>
        <v/>
      </c>
      <c r="C3977">
        <f>IF(3974&gt;$B$4503,"",MATCH(3974-0.5,$B$3:$B$4503,1))</f>
        <v/>
      </c>
      <c r="D3977">
        <f>"Privileges reappointment – "&amp;IF(LEN(INDEX('Providers'!$A$4:$A$503,474))=0,"",INDEX('Providers'!$A$4:$A$503,474))</f>
        <v/>
      </c>
      <c r="E3977">
        <f>IF(ISNUMBER(INDEX('Providers'!$Y$4:$Y$503,474)),TEXT(INDEX('Providers'!$Y$4:$Y$503,474),"yyyy-mm-dd"),"")</f>
        <v/>
      </c>
      <c r="F3977">
        <f>"Credentialing"</f>
        <v/>
      </c>
      <c r="G3977">
        <f>""</f>
        <v/>
      </c>
      <c r="H3977">
        <f>"High"</f>
        <v/>
      </c>
      <c r="I3977">
        <f>TRIM(IF(LEN(IF(LEN(INDEX('Providers'!$X$4:$X$503,474))=0,"",INDEX('Providers'!$X$4:$X$503,474)))=0,"","Facility: "&amp;IF(LEN(INDEX('Providers'!$X$4:$X$503,474))=0,"",INDEX('Providers'!$X$4:$X$503,474))&amp;". "))</f>
        <v/>
      </c>
      <c r="J3977">
        <f>IF(LEN(INDEX('Providers'!$AJ$4:$AJ$503,474))=0,"",INDEX('Providers'!$AJ$4:$AJ$503,474))</f>
        <v/>
      </c>
      <c r="K3977">
        <f>IF(LEN(INDEX('Providers'!$AI$4:$AI$503,474))=0,"",INDEX('Providers'!$AI$4:$AI$503,474))</f>
        <v/>
      </c>
    </row>
    <row r="3978">
      <c r="A3978">
        <f>IF(AND(LEN('Providers'!A478)&gt;0,ISNUMBER('Providers'!Y478)),1,0)</f>
        <v/>
      </c>
      <c r="B3978">
        <f>B3977+A3978</f>
        <v/>
      </c>
      <c r="C3978">
        <f>IF(3975&gt;$B$4503,"",MATCH(3975-0.5,$B$3:$B$4503,1))</f>
        <v/>
      </c>
      <c r="D3978">
        <f>"Privileges reappointment – "&amp;IF(LEN(INDEX('Providers'!$A$4:$A$503,475))=0,"",INDEX('Providers'!$A$4:$A$503,475))</f>
        <v/>
      </c>
      <c r="E3978">
        <f>IF(ISNUMBER(INDEX('Providers'!$Y$4:$Y$503,475)),TEXT(INDEX('Providers'!$Y$4:$Y$503,475),"yyyy-mm-dd"),"")</f>
        <v/>
      </c>
      <c r="F3978">
        <f>"Credentialing"</f>
        <v/>
      </c>
      <c r="G3978">
        <f>""</f>
        <v/>
      </c>
      <c r="H3978">
        <f>"High"</f>
        <v/>
      </c>
      <c r="I3978">
        <f>TRIM(IF(LEN(IF(LEN(INDEX('Providers'!$X$4:$X$503,475))=0,"",INDEX('Providers'!$X$4:$X$503,475)))=0,"","Facility: "&amp;IF(LEN(INDEX('Providers'!$X$4:$X$503,475))=0,"",INDEX('Providers'!$X$4:$X$503,475))&amp;". "))</f>
        <v/>
      </c>
      <c r="J3978">
        <f>IF(LEN(INDEX('Providers'!$AJ$4:$AJ$503,475))=0,"",INDEX('Providers'!$AJ$4:$AJ$503,475))</f>
        <v/>
      </c>
      <c r="K3978">
        <f>IF(LEN(INDEX('Providers'!$AI$4:$AI$503,475))=0,"",INDEX('Providers'!$AI$4:$AI$503,475))</f>
        <v/>
      </c>
    </row>
    <row r="3979">
      <c r="A3979">
        <f>IF(AND(LEN('Providers'!A479)&gt;0,ISNUMBER('Providers'!Y479)),1,0)</f>
        <v/>
      </c>
      <c r="B3979">
        <f>B3978+A3979</f>
        <v/>
      </c>
      <c r="C3979">
        <f>IF(3976&gt;$B$4503,"",MATCH(3976-0.5,$B$3:$B$4503,1))</f>
        <v/>
      </c>
      <c r="D3979">
        <f>"Privileges reappointment – "&amp;IF(LEN(INDEX('Providers'!$A$4:$A$503,476))=0,"",INDEX('Providers'!$A$4:$A$503,476))</f>
        <v/>
      </c>
      <c r="E3979">
        <f>IF(ISNUMBER(INDEX('Providers'!$Y$4:$Y$503,476)),TEXT(INDEX('Providers'!$Y$4:$Y$503,476),"yyyy-mm-dd"),"")</f>
        <v/>
      </c>
      <c r="F3979">
        <f>"Credentialing"</f>
        <v/>
      </c>
      <c r="G3979">
        <f>""</f>
        <v/>
      </c>
      <c r="H3979">
        <f>"High"</f>
        <v/>
      </c>
      <c r="I3979">
        <f>TRIM(IF(LEN(IF(LEN(INDEX('Providers'!$X$4:$X$503,476))=0,"",INDEX('Providers'!$X$4:$X$503,476)))=0,"","Facility: "&amp;IF(LEN(INDEX('Providers'!$X$4:$X$503,476))=0,"",INDEX('Providers'!$X$4:$X$503,476))&amp;". "))</f>
        <v/>
      </c>
      <c r="J3979">
        <f>IF(LEN(INDEX('Providers'!$AJ$4:$AJ$503,476))=0,"",INDEX('Providers'!$AJ$4:$AJ$503,476))</f>
        <v/>
      </c>
      <c r="K3979">
        <f>IF(LEN(INDEX('Providers'!$AI$4:$AI$503,476))=0,"",INDEX('Providers'!$AI$4:$AI$503,476))</f>
        <v/>
      </c>
    </row>
    <row r="3980">
      <c r="A3980">
        <f>IF(AND(LEN('Providers'!A480)&gt;0,ISNUMBER('Providers'!Y480)),1,0)</f>
        <v/>
      </c>
      <c r="B3980">
        <f>B3979+A3980</f>
        <v/>
      </c>
      <c r="C3980">
        <f>IF(3977&gt;$B$4503,"",MATCH(3977-0.5,$B$3:$B$4503,1))</f>
        <v/>
      </c>
      <c r="D3980">
        <f>"Privileges reappointment – "&amp;IF(LEN(INDEX('Providers'!$A$4:$A$503,477))=0,"",INDEX('Providers'!$A$4:$A$503,477))</f>
        <v/>
      </c>
      <c r="E3980">
        <f>IF(ISNUMBER(INDEX('Providers'!$Y$4:$Y$503,477)),TEXT(INDEX('Providers'!$Y$4:$Y$503,477),"yyyy-mm-dd"),"")</f>
        <v/>
      </c>
      <c r="F3980">
        <f>"Credentialing"</f>
        <v/>
      </c>
      <c r="G3980">
        <f>""</f>
        <v/>
      </c>
      <c r="H3980">
        <f>"High"</f>
        <v/>
      </c>
      <c r="I3980">
        <f>TRIM(IF(LEN(IF(LEN(INDEX('Providers'!$X$4:$X$503,477))=0,"",INDEX('Providers'!$X$4:$X$503,477)))=0,"","Facility: "&amp;IF(LEN(INDEX('Providers'!$X$4:$X$503,477))=0,"",INDEX('Providers'!$X$4:$X$503,477))&amp;". "))</f>
        <v/>
      </c>
      <c r="J3980">
        <f>IF(LEN(INDEX('Providers'!$AJ$4:$AJ$503,477))=0,"",INDEX('Providers'!$AJ$4:$AJ$503,477))</f>
        <v/>
      </c>
      <c r="K3980">
        <f>IF(LEN(INDEX('Providers'!$AI$4:$AI$503,477))=0,"",INDEX('Providers'!$AI$4:$AI$503,477))</f>
        <v/>
      </c>
    </row>
    <row r="3981">
      <c r="A3981">
        <f>IF(AND(LEN('Providers'!A481)&gt;0,ISNUMBER('Providers'!Y481)),1,0)</f>
        <v/>
      </c>
      <c r="B3981">
        <f>B3980+A3981</f>
        <v/>
      </c>
      <c r="C3981">
        <f>IF(3978&gt;$B$4503,"",MATCH(3978-0.5,$B$3:$B$4503,1))</f>
        <v/>
      </c>
      <c r="D3981">
        <f>"Privileges reappointment – "&amp;IF(LEN(INDEX('Providers'!$A$4:$A$503,478))=0,"",INDEX('Providers'!$A$4:$A$503,478))</f>
        <v/>
      </c>
      <c r="E3981">
        <f>IF(ISNUMBER(INDEX('Providers'!$Y$4:$Y$503,478)),TEXT(INDEX('Providers'!$Y$4:$Y$503,478),"yyyy-mm-dd"),"")</f>
        <v/>
      </c>
      <c r="F3981">
        <f>"Credentialing"</f>
        <v/>
      </c>
      <c r="G3981">
        <f>""</f>
        <v/>
      </c>
      <c r="H3981">
        <f>"High"</f>
        <v/>
      </c>
      <c r="I3981">
        <f>TRIM(IF(LEN(IF(LEN(INDEX('Providers'!$X$4:$X$503,478))=0,"",INDEX('Providers'!$X$4:$X$503,478)))=0,"","Facility: "&amp;IF(LEN(INDEX('Providers'!$X$4:$X$503,478))=0,"",INDEX('Providers'!$X$4:$X$503,478))&amp;". "))</f>
        <v/>
      </c>
      <c r="J3981">
        <f>IF(LEN(INDEX('Providers'!$AJ$4:$AJ$503,478))=0,"",INDEX('Providers'!$AJ$4:$AJ$503,478))</f>
        <v/>
      </c>
      <c r="K3981">
        <f>IF(LEN(INDEX('Providers'!$AI$4:$AI$503,478))=0,"",INDEX('Providers'!$AI$4:$AI$503,478))</f>
        <v/>
      </c>
    </row>
    <row r="3982">
      <c r="A3982">
        <f>IF(AND(LEN('Providers'!A482)&gt;0,ISNUMBER('Providers'!Y482)),1,0)</f>
        <v/>
      </c>
      <c r="B3982">
        <f>B3981+A3982</f>
        <v/>
      </c>
      <c r="C3982">
        <f>IF(3979&gt;$B$4503,"",MATCH(3979-0.5,$B$3:$B$4503,1))</f>
        <v/>
      </c>
      <c r="D3982">
        <f>"Privileges reappointment – "&amp;IF(LEN(INDEX('Providers'!$A$4:$A$503,479))=0,"",INDEX('Providers'!$A$4:$A$503,479))</f>
        <v/>
      </c>
      <c r="E3982">
        <f>IF(ISNUMBER(INDEX('Providers'!$Y$4:$Y$503,479)),TEXT(INDEX('Providers'!$Y$4:$Y$503,479),"yyyy-mm-dd"),"")</f>
        <v/>
      </c>
      <c r="F3982">
        <f>"Credentialing"</f>
        <v/>
      </c>
      <c r="G3982">
        <f>""</f>
        <v/>
      </c>
      <c r="H3982">
        <f>"High"</f>
        <v/>
      </c>
      <c r="I3982">
        <f>TRIM(IF(LEN(IF(LEN(INDEX('Providers'!$X$4:$X$503,479))=0,"",INDEX('Providers'!$X$4:$X$503,479)))=0,"","Facility: "&amp;IF(LEN(INDEX('Providers'!$X$4:$X$503,479))=0,"",INDEX('Providers'!$X$4:$X$503,479))&amp;". "))</f>
        <v/>
      </c>
      <c r="J3982">
        <f>IF(LEN(INDEX('Providers'!$AJ$4:$AJ$503,479))=0,"",INDEX('Providers'!$AJ$4:$AJ$503,479))</f>
        <v/>
      </c>
      <c r="K3982">
        <f>IF(LEN(INDEX('Providers'!$AI$4:$AI$503,479))=0,"",INDEX('Providers'!$AI$4:$AI$503,479))</f>
        <v/>
      </c>
    </row>
    <row r="3983">
      <c r="A3983">
        <f>IF(AND(LEN('Providers'!A483)&gt;0,ISNUMBER('Providers'!Y483)),1,0)</f>
        <v/>
      </c>
      <c r="B3983">
        <f>B3982+A3983</f>
        <v/>
      </c>
      <c r="C3983">
        <f>IF(3980&gt;$B$4503,"",MATCH(3980-0.5,$B$3:$B$4503,1))</f>
        <v/>
      </c>
      <c r="D3983">
        <f>"Privileges reappointment – "&amp;IF(LEN(INDEX('Providers'!$A$4:$A$503,480))=0,"",INDEX('Providers'!$A$4:$A$503,480))</f>
        <v/>
      </c>
      <c r="E3983">
        <f>IF(ISNUMBER(INDEX('Providers'!$Y$4:$Y$503,480)),TEXT(INDEX('Providers'!$Y$4:$Y$503,480),"yyyy-mm-dd"),"")</f>
        <v/>
      </c>
      <c r="F3983">
        <f>"Credentialing"</f>
        <v/>
      </c>
      <c r="G3983">
        <f>""</f>
        <v/>
      </c>
      <c r="H3983">
        <f>"High"</f>
        <v/>
      </c>
      <c r="I3983">
        <f>TRIM(IF(LEN(IF(LEN(INDEX('Providers'!$X$4:$X$503,480))=0,"",INDEX('Providers'!$X$4:$X$503,480)))=0,"","Facility: "&amp;IF(LEN(INDEX('Providers'!$X$4:$X$503,480))=0,"",INDEX('Providers'!$X$4:$X$503,480))&amp;". "))</f>
        <v/>
      </c>
      <c r="J3983">
        <f>IF(LEN(INDEX('Providers'!$AJ$4:$AJ$503,480))=0,"",INDEX('Providers'!$AJ$4:$AJ$503,480))</f>
        <v/>
      </c>
      <c r="K3983">
        <f>IF(LEN(INDEX('Providers'!$AI$4:$AI$503,480))=0,"",INDEX('Providers'!$AI$4:$AI$503,480))</f>
        <v/>
      </c>
    </row>
    <row r="3984">
      <c r="A3984">
        <f>IF(AND(LEN('Providers'!A484)&gt;0,ISNUMBER('Providers'!Y484)),1,0)</f>
        <v/>
      </c>
      <c r="B3984">
        <f>B3983+A3984</f>
        <v/>
      </c>
      <c r="C3984">
        <f>IF(3981&gt;$B$4503,"",MATCH(3981-0.5,$B$3:$B$4503,1))</f>
        <v/>
      </c>
      <c r="D3984">
        <f>"Privileges reappointment – "&amp;IF(LEN(INDEX('Providers'!$A$4:$A$503,481))=0,"",INDEX('Providers'!$A$4:$A$503,481))</f>
        <v/>
      </c>
      <c r="E3984">
        <f>IF(ISNUMBER(INDEX('Providers'!$Y$4:$Y$503,481)),TEXT(INDEX('Providers'!$Y$4:$Y$503,481),"yyyy-mm-dd"),"")</f>
        <v/>
      </c>
      <c r="F3984">
        <f>"Credentialing"</f>
        <v/>
      </c>
      <c r="G3984">
        <f>""</f>
        <v/>
      </c>
      <c r="H3984">
        <f>"High"</f>
        <v/>
      </c>
      <c r="I3984">
        <f>TRIM(IF(LEN(IF(LEN(INDEX('Providers'!$X$4:$X$503,481))=0,"",INDEX('Providers'!$X$4:$X$503,481)))=0,"","Facility: "&amp;IF(LEN(INDEX('Providers'!$X$4:$X$503,481))=0,"",INDEX('Providers'!$X$4:$X$503,481))&amp;". "))</f>
        <v/>
      </c>
      <c r="J3984">
        <f>IF(LEN(INDEX('Providers'!$AJ$4:$AJ$503,481))=0,"",INDEX('Providers'!$AJ$4:$AJ$503,481))</f>
        <v/>
      </c>
      <c r="K3984">
        <f>IF(LEN(INDEX('Providers'!$AI$4:$AI$503,481))=0,"",INDEX('Providers'!$AI$4:$AI$503,481))</f>
        <v/>
      </c>
    </row>
    <row r="3985">
      <c r="A3985">
        <f>IF(AND(LEN('Providers'!A485)&gt;0,ISNUMBER('Providers'!Y485)),1,0)</f>
        <v/>
      </c>
      <c r="B3985">
        <f>B3984+A3985</f>
        <v/>
      </c>
      <c r="C3985">
        <f>IF(3982&gt;$B$4503,"",MATCH(3982-0.5,$B$3:$B$4503,1))</f>
        <v/>
      </c>
      <c r="D3985">
        <f>"Privileges reappointment – "&amp;IF(LEN(INDEX('Providers'!$A$4:$A$503,482))=0,"",INDEX('Providers'!$A$4:$A$503,482))</f>
        <v/>
      </c>
      <c r="E3985">
        <f>IF(ISNUMBER(INDEX('Providers'!$Y$4:$Y$503,482)),TEXT(INDEX('Providers'!$Y$4:$Y$503,482),"yyyy-mm-dd"),"")</f>
        <v/>
      </c>
      <c r="F3985">
        <f>"Credentialing"</f>
        <v/>
      </c>
      <c r="G3985">
        <f>""</f>
        <v/>
      </c>
      <c r="H3985">
        <f>"High"</f>
        <v/>
      </c>
      <c r="I3985">
        <f>TRIM(IF(LEN(IF(LEN(INDEX('Providers'!$X$4:$X$503,482))=0,"",INDEX('Providers'!$X$4:$X$503,482)))=0,"","Facility: "&amp;IF(LEN(INDEX('Providers'!$X$4:$X$503,482))=0,"",INDEX('Providers'!$X$4:$X$503,482))&amp;". "))</f>
        <v/>
      </c>
      <c r="J3985">
        <f>IF(LEN(INDEX('Providers'!$AJ$4:$AJ$503,482))=0,"",INDEX('Providers'!$AJ$4:$AJ$503,482))</f>
        <v/>
      </c>
      <c r="K3985">
        <f>IF(LEN(INDEX('Providers'!$AI$4:$AI$503,482))=0,"",INDEX('Providers'!$AI$4:$AI$503,482))</f>
        <v/>
      </c>
    </row>
    <row r="3986">
      <c r="A3986">
        <f>IF(AND(LEN('Providers'!A486)&gt;0,ISNUMBER('Providers'!Y486)),1,0)</f>
        <v/>
      </c>
      <c r="B3986">
        <f>B3985+A3986</f>
        <v/>
      </c>
      <c r="C3986">
        <f>IF(3983&gt;$B$4503,"",MATCH(3983-0.5,$B$3:$B$4503,1))</f>
        <v/>
      </c>
      <c r="D3986">
        <f>"Privileges reappointment – "&amp;IF(LEN(INDEX('Providers'!$A$4:$A$503,483))=0,"",INDEX('Providers'!$A$4:$A$503,483))</f>
        <v/>
      </c>
      <c r="E3986">
        <f>IF(ISNUMBER(INDEX('Providers'!$Y$4:$Y$503,483)),TEXT(INDEX('Providers'!$Y$4:$Y$503,483),"yyyy-mm-dd"),"")</f>
        <v/>
      </c>
      <c r="F3986">
        <f>"Credentialing"</f>
        <v/>
      </c>
      <c r="G3986">
        <f>""</f>
        <v/>
      </c>
      <c r="H3986">
        <f>"High"</f>
        <v/>
      </c>
      <c r="I3986">
        <f>TRIM(IF(LEN(IF(LEN(INDEX('Providers'!$X$4:$X$503,483))=0,"",INDEX('Providers'!$X$4:$X$503,483)))=0,"","Facility: "&amp;IF(LEN(INDEX('Providers'!$X$4:$X$503,483))=0,"",INDEX('Providers'!$X$4:$X$503,483))&amp;". "))</f>
        <v/>
      </c>
      <c r="J3986">
        <f>IF(LEN(INDEX('Providers'!$AJ$4:$AJ$503,483))=0,"",INDEX('Providers'!$AJ$4:$AJ$503,483))</f>
        <v/>
      </c>
      <c r="K3986">
        <f>IF(LEN(INDEX('Providers'!$AI$4:$AI$503,483))=0,"",INDEX('Providers'!$AI$4:$AI$503,483))</f>
        <v/>
      </c>
    </row>
    <row r="3987">
      <c r="A3987">
        <f>IF(AND(LEN('Providers'!A487)&gt;0,ISNUMBER('Providers'!Y487)),1,0)</f>
        <v/>
      </c>
      <c r="B3987">
        <f>B3986+A3987</f>
        <v/>
      </c>
      <c r="C3987">
        <f>IF(3984&gt;$B$4503,"",MATCH(3984-0.5,$B$3:$B$4503,1))</f>
        <v/>
      </c>
      <c r="D3987">
        <f>"Privileges reappointment – "&amp;IF(LEN(INDEX('Providers'!$A$4:$A$503,484))=0,"",INDEX('Providers'!$A$4:$A$503,484))</f>
        <v/>
      </c>
      <c r="E3987">
        <f>IF(ISNUMBER(INDEX('Providers'!$Y$4:$Y$503,484)),TEXT(INDEX('Providers'!$Y$4:$Y$503,484),"yyyy-mm-dd"),"")</f>
        <v/>
      </c>
      <c r="F3987">
        <f>"Credentialing"</f>
        <v/>
      </c>
      <c r="G3987">
        <f>""</f>
        <v/>
      </c>
      <c r="H3987">
        <f>"High"</f>
        <v/>
      </c>
      <c r="I3987">
        <f>TRIM(IF(LEN(IF(LEN(INDEX('Providers'!$X$4:$X$503,484))=0,"",INDEX('Providers'!$X$4:$X$503,484)))=0,"","Facility: "&amp;IF(LEN(INDEX('Providers'!$X$4:$X$503,484))=0,"",INDEX('Providers'!$X$4:$X$503,484))&amp;". "))</f>
        <v/>
      </c>
      <c r="J3987">
        <f>IF(LEN(INDEX('Providers'!$AJ$4:$AJ$503,484))=0,"",INDEX('Providers'!$AJ$4:$AJ$503,484))</f>
        <v/>
      </c>
      <c r="K3987">
        <f>IF(LEN(INDEX('Providers'!$AI$4:$AI$503,484))=0,"",INDEX('Providers'!$AI$4:$AI$503,484))</f>
        <v/>
      </c>
    </row>
    <row r="3988">
      <c r="A3988">
        <f>IF(AND(LEN('Providers'!A488)&gt;0,ISNUMBER('Providers'!Y488)),1,0)</f>
        <v/>
      </c>
      <c r="B3988">
        <f>B3987+A3988</f>
        <v/>
      </c>
      <c r="C3988">
        <f>IF(3985&gt;$B$4503,"",MATCH(3985-0.5,$B$3:$B$4503,1))</f>
        <v/>
      </c>
      <c r="D3988">
        <f>"Privileges reappointment – "&amp;IF(LEN(INDEX('Providers'!$A$4:$A$503,485))=0,"",INDEX('Providers'!$A$4:$A$503,485))</f>
        <v/>
      </c>
      <c r="E3988">
        <f>IF(ISNUMBER(INDEX('Providers'!$Y$4:$Y$503,485)),TEXT(INDEX('Providers'!$Y$4:$Y$503,485),"yyyy-mm-dd"),"")</f>
        <v/>
      </c>
      <c r="F3988">
        <f>"Credentialing"</f>
        <v/>
      </c>
      <c r="G3988">
        <f>""</f>
        <v/>
      </c>
      <c r="H3988">
        <f>"High"</f>
        <v/>
      </c>
      <c r="I3988">
        <f>TRIM(IF(LEN(IF(LEN(INDEX('Providers'!$X$4:$X$503,485))=0,"",INDEX('Providers'!$X$4:$X$503,485)))=0,"","Facility: "&amp;IF(LEN(INDEX('Providers'!$X$4:$X$503,485))=0,"",INDEX('Providers'!$X$4:$X$503,485))&amp;". "))</f>
        <v/>
      </c>
      <c r="J3988">
        <f>IF(LEN(INDEX('Providers'!$AJ$4:$AJ$503,485))=0,"",INDEX('Providers'!$AJ$4:$AJ$503,485))</f>
        <v/>
      </c>
      <c r="K3988">
        <f>IF(LEN(INDEX('Providers'!$AI$4:$AI$503,485))=0,"",INDEX('Providers'!$AI$4:$AI$503,485))</f>
        <v/>
      </c>
    </row>
    <row r="3989">
      <c r="A3989">
        <f>IF(AND(LEN('Providers'!A489)&gt;0,ISNUMBER('Providers'!Y489)),1,0)</f>
        <v/>
      </c>
      <c r="B3989">
        <f>B3988+A3989</f>
        <v/>
      </c>
      <c r="C3989">
        <f>IF(3986&gt;$B$4503,"",MATCH(3986-0.5,$B$3:$B$4503,1))</f>
        <v/>
      </c>
      <c r="D3989">
        <f>"Privileges reappointment – "&amp;IF(LEN(INDEX('Providers'!$A$4:$A$503,486))=0,"",INDEX('Providers'!$A$4:$A$503,486))</f>
        <v/>
      </c>
      <c r="E3989">
        <f>IF(ISNUMBER(INDEX('Providers'!$Y$4:$Y$503,486)),TEXT(INDEX('Providers'!$Y$4:$Y$503,486),"yyyy-mm-dd"),"")</f>
        <v/>
      </c>
      <c r="F3989">
        <f>"Credentialing"</f>
        <v/>
      </c>
      <c r="G3989">
        <f>""</f>
        <v/>
      </c>
      <c r="H3989">
        <f>"High"</f>
        <v/>
      </c>
      <c r="I3989">
        <f>TRIM(IF(LEN(IF(LEN(INDEX('Providers'!$X$4:$X$503,486))=0,"",INDEX('Providers'!$X$4:$X$503,486)))=0,"","Facility: "&amp;IF(LEN(INDEX('Providers'!$X$4:$X$503,486))=0,"",INDEX('Providers'!$X$4:$X$503,486))&amp;". "))</f>
        <v/>
      </c>
      <c r="J3989">
        <f>IF(LEN(INDEX('Providers'!$AJ$4:$AJ$503,486))=0,"",INDEX('Providers'!$AJ$4:$AJ$503,486))</f>
        <v/>
      </c>
      <c r="K3989">
        <f>IF(LEN(INDEX('Providers'!$AI$4:$AI$503,486))=0,"",INDEX('Providers'!$AI$4:$AI$503,486))</f>
        <v/>
      </c>
    </row>
    <row r="3990">
      <c r="A3990">
        <f>IF(AND(LEN('Providers'!A490)&gt;0,ISNUMBER('Providers'!Y490)),1,0)</f>
        <v/>
      </c>
      <c r="B3990">
        <f>B3989+A3990</f>
        <v/>
      </c>
      <c r="C3990">
        <f>IF(3987&gt;$B$4503,"",MATCH(3987-0.5,$B$3:$B$4503,1))</f>
        <v/>
      </c>
      <c r="D3990">
        <f>"Privileges reappointment – "&amp;IF(LEN(INDEX('Providers'!$A$4:$A$503,487))=0,"",INDEX('Providers'!$A$4:$A$503,487))</f>
        <v/>
      </c>
      <c r="E3990">
        <f>IF(ISNUMBER(INDEX('Providers'!$Y$4:$Y$503,487)),TEXT(INDEX('Providers'!$Y$4:$Y$503,487),"yyyy-mm-dd"),"")</f>
        <v/>
      </c>
      <c r="F3990">
        <f>"Credentialing"</f>
        <v/>
      </c>
      <c r="G3990">
        <f>""</f>
        <v/>
      </c>
      <c r="H3990">
        <f>"High"</f>
        <v/>
      </c>
      <c r="I3990">
        <f>TRIM(IF(LEN(IF(LEN(INDEX('Providers'!$X$4:$X$503,487))=0,"",INDEX('Providers'!$X$4:$X$503,487)))=0,"","Facility: "&amp;IF(LEN(INDEX('Providers'!$X$4:$X$503,487))=0,"",INDEX('Providers'!$X$4:$X$503,487))&amp;". "))</f>
        <v/>
      </c>
      <c r="J3990">
        <f>IF(LEN(INDEX('Providers'!$AJ$4:$AJ$503,487))=0,"",INDEX('Providers'!$AJ$4:$AJ$503,487))</f>
        <v/>
      </c>
      <c r="K3990">
        <f>IF(LEN(INDEX('Providers'!$AI$4:$AI$503,487))=0,"",INDEX('Providers'!$AI$4:$AI$503,487))</f>
        <v/>
      </c>
    </row>
    <row r="3991">
      <c r="A3991">
        <f>IF(AND(LEN('Providers'!A491)&gt;0,ISNUMBER('Providers'!Y491)),1,0)</f>
        <v/>
      </c>
      <c r="B3991">
        <f>B3990+A3991</f>
        <v/>
      </c>
      <c r="C3991">
        <f>IF(3988&gt;$B$4503,"",MATCH(3988-0.5,$B$3:$B$4503,1))</f>
        <v/>
      </c>
      <c r="D3991">
        <f>"Privileges reappointment – "&amp;IF(LEN(INDEX('Providers'!$A$4:$A$503,488))=0,"",INDEX('Providers'!$A$4:$A$503,488))</f>
        <v/>
      </c>
      <c r="E3991">
        <f>IF(ISNUMBER(INDEX('Providers'!$Y$4:$Y$503,488)),TEXT(INDEX('Providers'!$Y$4:$Y$503,488),"yyyy-mm-dd"),"")</f>
        <v/>
      </c>
      <c r="F3991">
        <f>"Credentialing"</f>
        <v/>
      </c>
      <c r="G3991">
        <f>""</f>
        <v/>
      </c>
      <c r="H3991">
        <f>"High"</f>
        <v/>
      </c>
      <c r="I3991">
        <f>TRIM(IF(LEN(IF(LEN(INDEX('Providers'!$X$4:$X$503,488))=0,"",INDEX('Providers'!$X$4:$X$503,488)))=0,"","Facility: "&amp;IF(LEN(INDEX('Providers'!$X$4:$X$503,488))=0,"",INDEX('Providers'!$X$4:$X$503,488))&amp;". "))</f>
        <v/>
      </c>
      <c r="J3991">
        <f>IF(LEN(INDEX('Providers'!$AJ$4:$AJ$503,488))=0,"",INDEX('Providers'!$AJ$4:$AJ$503,488))</f>
        <v/>
      </c>
      <c r="K3991">
        <f>IF(LEN(INDEX('Providers'!$AI$4:$AI$503,488))=0,"",INDEX('Providers'!$AI$4:$AI$503,488))</f>
        <v/>
      </c>
    </row>
    <row r="3992">
      <c r="A3992">
        <f>IF(AND(LEN('Providers'!A492)&gt;0,ISNUMBER('Providers'!Y492)),1,0)</f>
        <v/>
      </c>
      <c r="B3992">
        <f>B3991+A3992</f>
        <v/>
      </c>
      <c r="C3992">
        <f>IF(3989&gt;$B$4503,"",MATCH(3989-0.5,$B$3:$B$4503,1))</f>
        <v/>
      </c>
      <c r="D3992">
        <f>"Privileges reappointment – "&amp;IF(LEN(INDEX('Providers'!$A$4:$A$503,489))=0,"",INDEX('Providers'!$A$4:$A$503,489))</f>
        <v/>
      </c>
      <c r="E3992">
        <f>IF(ISNUMBER(INDEX('Providers'!$Y$4:$Y$503,489)),TEXT(INDEX('Providers'!$Y$4:$Y$503,489),"yyyy-mm-dd"),"")</f>
        <v/>
      </c>
      <c r="F3992">
        <f>"Credentialing"</f>
        <v/>
      </c>
      <c r="G3992">
        <f>""</f>
        <v/>
      </c>
      <c r="H3992">
        <f>"High"</f>
        <v/>
      </c>
      <c r="I3992">
        <f>TRIM(IF(LEN(IF(LEN(INDEX('Providers'!$X$4:$X$503,489))=0,"",INDEX('Providers'!$X$4:$X$503,489)))=0,"","Facility: "&amp;IF(LEN(INDEX('Providers'!$X$4:$X$503,489))=0,"",INDEX('Providers'!$X$4:$X$503,489))&amp;". "))</f>
        <v/>
      </c>
      <c r="J3992">
        <f>IF(LEN(INDEX('Providers'!$AJ$4:$AJ$503,489))=0,"",INDEX('Providers'!$AJ$4:$AJ$503,489))</f>
        <v/>
      </c>
      <c r="K3992">
        <f>IF(LEN(INDEX('Providers'!$AI$4:$AI$503,489))=0,"",INDEX('Providers'!$AI$4:$AI$503,489))</f>
        <v/>
      </c>
    </row>
    <row r="3993">
      <c r="A3993">
        <f>IF(AND(LEN('Providers'!A493)&gt;0,ISNUMBER('Providers'!Y493)),1,0)</f>
        <v/>
      </c>
      <c r="B3993">
        <f>B3992+A3993</f>
        <v/>
      </c>
      <c r="C3993">
        <f>IF(3990&gt;$B$4503,"",MATCH(3990-0.5,$B$3:$B$4503,1))</f>
        <v/>
      </c>
      <c r="D3993">
        <f>"Privileges reappointment – "&amp;IF(LEN(INDEX('Providers'!$A$4:$A$503,490))=0,"",INDEX('Providers'!$A$4:$A$503,490))</f>
        <v/>
      </c>
      <c r="E3993">
        <f>IF(ISNUMBER(INDEX('Providers'!$Y$4:$Y$503,490)),TEXT(INDEX('Providers'!$Y$4:$Y$503,490),"yyyy-mm-dd"),"")</f>
        <v/>
      </c>
      <c r="F3993">
        <f>"Credentialing"</f>
        <v/>
      </c>
      <c r="G3993">
        <f>""</f>
        <v/>
      </c>
      <c r="H3993">
        <f>"High"</f>
        <v/>
      </c>
      <c r="I3993">
        <f>TRIM(IF(LEN(IF(LEN(INDEX('Providers'!$X$4:$X$503,490))=0,"",INDEX('Providers'!$X$4:$X$503,490)))=0,"","Facility: "&amp;IF(LEN(INDEX('Providers'!$X$4:$X$503,490))=0,"",INDEX('Providers'!$X$4:$X$503,490))&amp;". "))</f>
        <v/>
      </c>
      <c r="J3993">
        <f>IF(LEN(INDEX('Providers'!$AJ$4:$AJ$503,490))=0,"",INDEX('Providers'!$AJ$4:$AJ$503,490))</f>
        <v/>
      </c>
      <c r="K3993">
        <f>IF(LEN(INDEX('Providers'!$AI$4:$AI$503,490))=0,"",INDEX('Providers'!$AI$4:$AI$503,490))</f>
        <v/>
      </c>
    </row>
    <row r="3994">
      <c r="A3994">
        <f>IF(AND(LEN('Providers'!A494)&gt;0,ISNUMBER('Providers'!Y494)),1,0)</f>
        <v/>
      </c>
      <c r="B3994">
        <f>B3993+A3994</f>
        <v/>
      </c>
      <c r="C3994">
        <f>IF(3991&gt;$B$4503,"",MATCH(3991-0.5,$B$3:$B$4503,1))</f>
        <v/>
      </c>
      <c r="D3994">
        <f>"Privileges reappointment – "&amp;IF(LEN(INDEX('Providers'!$A$4:$A$503,491))=0,"",INDEX('Providers'!$A$4:$A$503,491))</f>
        <v/>
      </c>
      <c r="E3994">
        <f>IF(ISNUMBER(INDEX('Providers'!$Y$4:$Y$503,491)),TEXT(INDEX('Providers'!$Y$4:$Y$503,491),"yyyy-mm-dd"),"")</f>
        <v/>
      </c>
      <c r="F3994">
        <f>"Credentialing"</f>
        <v/>
      </c>
      <c r="G3994">
        <f>""</f>
        <v/>
      </c>
      <c r="H3994">
        <f>"High"</f>
        <v/>
      </c>
      <c r="I3994">
        <f>TRIM(IF(LEN(IF(LEN(INDEX('Providers'!$X$4:$X$503,491))=0,"",INDEX('Providers'!$X$4:$X$503,491)))=0,"","Facility: "&amp;IF(LEN(INDEX('Providers'!$X$4:$X$503,491))=0,"",INDEX('Providers'!$X$4:$X$503,491))&amp;". "))</f>
        <v/>
      </c>
      <c r="J3994">
        <f>IF(LEN(INDEX('Providers'!$AJ$4:$AJ$503,491))=0,"",INDEX('Providers'!$AJ$4:$AJ$503,491))</f>
        <v/>
      </c>
      <c r="K3994">
        <f>IF(LEN(INDEX('Providers'!$AI$4:$AI$503,491))=0,"",INDEX('Providers'!$AI$4:$AI$503,491))</f>
        <v/>
      </c>
    </row>
    <row r="3995">
      <c r="A3995">
        <f>IF(AND(LEN('Providers'!A495)&gt;0,ISNUMBER('Providers'!Y495)),1,0)</f>
        <v/>
      </c>
      <c r="B3995">
        <f>B3994+A3995</f>
        <v/>
      </c>
      <c r="C3995">
        <f>IF(3992&gt;$B$4503,"",MATCH(3992-0.5,$B$3:$B$4503,1))</f>
        <v/>
      </c>
      <c r="D3995">
        <f>"Privileges reappointment – "&amp;IF(LEN(INDEX('Providers'!$A$4:$A$503,492))=0,"",INDEX('Providers'!$A$4:$A$503,492))</f>
        <v/>
      </c>
      <c r="E3995">
        <f>IF(ISNUMBER(INDEX('Providers'!$Y$4:$Y$503,492)),TEXT(INDEX('Providers'!$Y$4:$Y$503,492),"yyyy-mm-dd"),"")</f>
        <v/>
      </c>
      <c r="F3995">
        <f>"Credentialing"</f>
        <v/>
      </c>
      <c r="G3995">
        <f>""</f>
        <v/>
      </c>
      <c r="H3995">
        <f>"High"</f>
        <v/>
      </c>
      <c r="I3995">
        <f>TRIM(IF(LEN(IF(LEN(INDEX('Providers'!$X$4:$X$503,492))=0,"",INDEX('Providers'!$X$4:$X$503,492)))=0,"","Facility: "&amp;IF(LEN(INDEX('Providers'!$X$4:$X$503,492))=0,"",INDEX('Providers'!$X$4:$X$503,492))&amp;". "))</f>
        <v/>
      </c>
      <c r="J3995">
        <f>IF(LEN(INDEX('Providers'!$AJ$4:$AJ$503,492))=0,"",INDEX('Providers'!$AJ$4:$AJ$503,492))</f>
        <v/>
      </c>
      <c r="K3995">
        <f>IF(LEN(INDEX('Providers'!$AI$4:$AI$503,492))=0,"",INDEX('Providers'!$AI$4:$AI$503,492))</f>
        <v/>
      </c>
    </row>
    <row r="3996">
      <c r="A3996">
        <f>IF(AND(LEN('Providers'!A496)&gt;0,ISNUMBER('Providers'!Y496)),1,0)</f>
        <v/>
      </c>
      <c r="B3996">
        <f>B3995+A3996</f>
        <v/>
      </c>
      <c r="C3996">
        <f>IF(3993&gt;$B$4503,"",MATCH(3993-0.5,$B$3:$B$4503,1))</f>
        <v/>
      </c>
      <c r="D3996">
        <f>"Privileges reappointment – "&amp;IF(LEN(INDEX('Providers'!$A$4:$A$503,493))=0,"",INDEX('Providers'!$A$4:$A$503,493))</f>
        <v/>
      </c>
      <c r="E3996">
        <f>IF(ISNUMBER(INDEX('Providers'!$Y$4:$Y$503,493)),TEXT(INDEX('Providers'!$Y$4:$Y$503,493),"yyyy-mm-dd"),"")</f>
        <v/>
      </c>
      <c r="F3996">
        <f>"Credentialing"</f>
        <v/>
      </c>
      <c r="G3996">
        <f>""</f>
        <v/>
      </c>
      <c r="H3996">
        <f>"High"</f>
        <v/>
      </c>
      <c r="I3996">
        <f>TRIM(IF(LEN(IF(LEN(INDEX('Providers'!$X$4:$X$503,493))=0,"",INDEX('Providers'!$X$4:$X$503,493)))=0,"","Facility: "&amp;IF(LEN(INDEX('Providers'!$X$4:$X$503,493))=0,"",INDEX('Providers'!$X$4:$X$503,493))&amp;". "))</f>
        <v/>
      </c>
      <c r="J3996">
        <f>IF(LEN(INDEX('Providers'!$AJ$4:$AJ$503,493))=0,"",INDEX('Providers'!$AJ$4:$AJ$503,493))</f>
        <v/>
      </c>
      <c r="K3996">
        <f>IF(LEN(INDEX('Providers'!$AI$4:$AI$503,493))=0,"",INDEX('Providers'!$AI$4:$AI$503,493))</f>
        <v/>
      </c>
    </row>
    <row r="3997">
      <c r="A3997">
        <f>IF(AND(LEN('Providers'!A497)&gt;0,ISNUMBER('Providers'!Y497)),1,0)</f>
        <v/>
      </c>
      <c r="B3997">
        <f>B3996+A3997</f>
        <v/>
      </c>
      <c r="C3997">
        <f>IF(3994&gt;$B$4503,"",MATCH(3994-0.5,$B$3:$B$4503,1))</f>
        <v/>
      </c>
      <c r="D3997">
        <f>"Privileges reappointment – "&amp;IF(LEN(INDEX('Providers'!$A$4:$A$503,494))=0,"",INDEX('Providers'!$A$4:$A$503,494))</f>
        <v/>
      </c>
      <c r="E3997">
        <f>IF(ISNUMBER(INDEX('Providers'!$Y$4:$Y$503,494)),TEXT(INDEX('Providers'!$Y$4:$Y$503,494),"yyyy-mm-dd"),"")</f>
        <v/>
      </c>
      <c r="F3997">
        <f>"Credentialing"</f>
        <v/>
      </c>
      <c r="G3997">
        <f>""</f>
        <v/>
      </c>
      <c r="H3997">
        <f>"High"</f>
        <v/>
      </c>
      <c r="I3997">
        <f>TRIM(IF(LEN(IF(LEN(INDEX('Providers'!$X$4:$X$503,494))=0,"",INDEX('Providers'!$X$4:$X$503,494)))=0,"","Facility: "&amp;IF(LEN(INDEX('Providers'!$X$4:$X$503,494))=0,"",INDEX('Providers'!$X$4:$X$503,494))&amp;". "))</f>
        <v/>
      </c>
      <c r="J3997">
        <f>IF(LEN(INDEX('Providers'!$AJ$4:$AJ$503,494))=0,"",INDEX('Providers'!$AJ$4:$AJ$503,494))</f>
        <v/>
      </c>
      <c r="K3997">
        <f>IF(LEN(INDEX('Providers'!$AI$4:$AI$503,494))=0,"",INDEX('Providers'!$AI$4:$AI$503,494))</f>
        <v/>
      </c>
    </row>
    <row r="3998">
      <c r="A3998">
        <f>IF(AND(LEN('Providers'!A498)&gt;0,ISNUMBER('Providers'!Y498)),1,0)</f>
        <v/>
      </c>
      <c r="B3998">
        <f>B3997+A3998</f>
        <v/>
      </c>
      <c r="C3998">
        <f>IF(3995&gt;$B$4503,"",MATCH(3995-0.5,$B$3:$B$4503,1))</f>
        <v/>
      </c>
      <c r="D3998">
        <f>"Privileges reappointment – "&amp;IF(LEN(INDEX('Providers'!$A$4:$A$503,495))=0,"",INDEX('Providers'!$A$4:$A$503,495))</f>
        <v/>
      </c>
      <c r="E3998">
        <f>IF(ISNUMBER(INDEX('Providers'!$Y$4:$Y$503,495)),TEXT(INDEX('Providers'!$Y$4:$Y$503,495),"yyyy-mm-dd"),"")</f>
        <v/>
      </c>
      <c r="F3998">
        <f>"Credentialing"</f>
        <v/>
      </c>
      <c r="G3998">
        <f>""</f>
        <v/>
      </c>
      <c r="H3998">
        <f>"High"</f>
        <v/>
      </c>
      <c r="I3998">
        <f>TRIM(IF(LEN(IF(LEN(INDEX('Providers'!$X$4:$X$503,495))=0,"",INDEX('Providers'!$X$4:$X$503,495)))=0,"","Facility: "&amp;IF(LEN(INDEX('Providers'!$X$4:$X$503,495))=0,"",INDEX('Providers'!$X$4:$X$503,495))&amp;". "))</f>
        <v/>
      </c>
      <c r="J3998">
        <f>IF(LEN(INDEX('Providers'!$AJ$4:$AJ$503,495))=0,"",INDEX('Providers'!$AJ$4:$AJ$503,495))</f>
        <v/>
      </c>
      <c r="K3998">
        <f>IF(LEN(INDEX('Providers'!$AI$4:$AI$503,495))=0,"",INDEX('Providers'!$AI$4:$AI$503,495))</f>
        <v/>
      </c>
    </row>
    <row r="3999">
      <c r="A3999">
        <f>IF(AND(LEN('Providers'!A499)&gt;0,ISNUMBER('Providers'!Y499)),1,0)</f>
        <v/>
      </c>
      <c r="B3999">
        <f>B3998+A3999</f>
        <v/>
      </c>
      <c r="C3999">
        <f>IF(3996&gt;$B$4503,"",MATCH(3996-0.5,$B$3:$B$4503,1))</f>
        <v/>
      </c>
      <c r="D3999">
        <f>"Privileges reappointment – "&amp;IF(LEN(INDEX('Providers'!$A$4:$A$503,496))=0,"",INDEX('Providers'!$A$4:$A$503,496))</f>
        <v/>
      </c>
      <c r="E3999">
        <f>IF(ISNUMBER(INDEX('Providers'!$Y$4:$Y$503,496)),TEXT(INDEX('Providers'!$Y$4:$Y$503,496),"yyyy-mm-dd"),"")</f>
        <v/>
      </c>
      <c r="F3999">
        <f>"Credentialing"</f>
        <v/>
      </c>
      <c r="G3999">
        <f>""</f>
        <v/>
      </c>
      <c r="H3999">
        <f>"High"</f>
        <v/>
      </c>
      <c r="I3999">
        <f>TRIM(IF(LEN(IF(LEN(INDEX('Providers'!$X$4:$X$503,496))=0,"",INDEX('Providers'!$X$4:$X$503,496)))=0,"","Facility: "&amp;IF(LEN(INDEX('Providers'!$X$4:$X$503,496))=0,"",INDEX('Providers'!$X$4:$X$503,496))&amp;". "))</f>
        <v/>
      </c>
      <c r="J3999">
        <f>IF(LEN(INDEX('Providers'!$AJ$4:$AJ$503,496))=0,"",INDEX('Providers'!$AJ$4:$AJ$503,496))</f>
        <v/>
      </c>
      <c r="K3999">
        <f>IF(LEN(INDEX('Providers'!$AI$4:$AI$503,496))=0,"",INDEX('Providers'!$AI$4:$AI$503,496))</f>
        <v/>
      </c>
    </row>
    <row r="4000">
      <c r="A4000">
        <f>IF(AND(LEN('Providers'!A500)&gt;0,ISNUMBER('Providers'!Y500)),1,0)</f>
        <v/>
      </c>
      <c r="B4000">
        <f>B3999+A4000</f>
        <v/>
      </c>
      <c r="C4000">
        <f>IF(3997&gt;$B$4503,"",MATCH(3997-0.5,$B$3:$B$4503,1))</f>
        <v/>
      </c>
      <c r="D4000">
        <f>"Privileges reappointment – "&amp;IF(LEN(INDEX('Providers'!$A$4:$A$503,497))=0,"",INDEX('Providers'!$A$4:$A$503,497))</f>
        <v/>
      </c>
      <c r="E4000">
        <f>IF(ISNUMBER(INDEX('Providers'!$Y$4:$Y$503,497)),TEXT(INDEX('Providers'!$Y$4:$Y$503,497),"yyyy-mm-dd"),"")</f>
        <v/>
      </c>
      <c r="F4000">
        <f>"Credentialing"</f>
        <v/>
      </c>
      <c r="G4000">
        <f>""</f>
        <v/>
      </c>
      <c r="H4000">
        <f>"High"</f>
        <v/>
      </c>
      <c r="I4000">
        <f>TRIM(IF(LEN(IF(LEN(INDEX('Providers'!$X$4:$X$503,497))=0,"",INDEX('Providers'!$X$4:$X$503,497)))=0,"","Facility: "&amp;IF(LEN(INDEX('Providers'!$X$4:$X$503,497))=0,"",INDEX('Providers'!$X$4:$X$503,497))&amp;". "))</f>
        <v/>
      </c>
      <c r="J4000">
        <f>IF(LEN(INDEX('Providers'!$AJ$4:$AJ$503,497))=0,"",INDEX('Providers'!$AJ$4:$AJ$503,497))</f>
        <v/>
      </c>
      <c r="K4000">
        <f>IF(LEN(INDEX('Providers'!$AI$4:$AI$503,497))=0,"",INDEX('Providers'!$AI$4:$AI$503,497))</f>
        <v/>
      </c>
    </row>
    <row r="4001">
      <c r="A4001">
        <f>IF(AND(LEN('Providers'!A501)&gt;0,ISNUMBER('Providers'!Y501)),1,0)</f>
        <v/>
      </c>
      <c r="B4001">
        <f>B4000+A4001</f>
        <v/>
      </c>
      <c r="C4001">
        <f>IF(3998&gt;$B$4503,"",MATCH(3998-0.5,$B$3:$B$4503,1))</f>
        <v/>
      </c>
      <c r="D4001">
        <f>"Privileges reappointment – "&amp;IF(LEN(INDEX('Providers'!$A$4:$A$503,498))=0,"",INDEX('Providers'!$A$4:$A$503,498))</f>
        <v/>
      </c>
      <c r="E4001">
        <f>IF(ISNUMBER(INDEX('Providers'!$Y$4:$Y$503,498)),TEXT(INDEX('Providers'!$Y$4:$Y$503,498),"yyyy-mm-dd"),"")</f>
        <v/>
      </c>
      <c r="F4001">
        <f>"Credentialing"</f>
        <v/>
      </c>
      <c r="G4001">
        <f>""</f>
        <v/>
      </c>
      <c r="H4001">
        <f>"High"</f>
        <v/>
      </c>
      <c r="I4001">
        <f>TRIM(IF(LEN(IF(LEN(INDEX('Providers'!$X$4:$X$503,498))=0,"",INDEX('Providers'!$X$4:$X$503,498)))=0,"","Facility: "&amp;IF(LEN(INDEX('Providers'!$X$4:$X$503,498))=0,"",INDEX('Providers'!$X$4:$X$503,498))&amp;". "))</f>
        <v/>
      </c>
      <c r="J4001">
        <f>IF(LEN(INDEX('Providers'!$AJ$4:$AJ$503,498))=0,"",INDEX('Providers'!$AJ$4:$AJ$503,498))</f>
        <v/>
      </c>
      <c r="K4001">
        <f>IF(LEN(INDEX('Providers'!$AI$4:$AI$503,498))=0,"",INDEX('Providers'!$AI$4:$AI$503,498))</f>
        <v/>
      </c>
    </row>
    <row r="4002">
      <c r="A4002">
        <f>IF(AND(LEN('Providers'!A502)&gt;0,ISNUMBER('Providers'!Y502)),1,0)</f>
        <v/>
      </c>
      <c r="B4002">
        <f>B4001+A4002</f>
        <v/>
      </c>
      <c r="C4002">
        <f>IF(3999&gt;$B$4503,"",MATCH(3999-0.5,$B$3:$B$4503,1))</f>
        <v/>
      </c>
      <c r="D4002">
        <f>"Privileges reappointment – "&amp;IF(LEN(INDEX('Providers'!$A$4:$A$503,499))=0,"",INDEX('Providers'!$A$4:$A$503,499))</f>
        <v/>
      </c>
      <c r="E4002">
        <f>IF(ISNUMBER(INDEX('Providers'!$Y$4:$Y$503,499)),TEXT(INDEX('Providers'!$Y$4:$Y$503,499),"yyyy-mm-dd"),"")</f>
        <v/>
      </c>
      <c r="F4002">
        <f>"Credentialing"</f>
        <v/>
      </c>
      <c r="G4002">
        <f>""</f>
        <v/>
      </c>
      <c r="H4002">
        <f>"High"</f>
        <v/>
      </c>
      <c r="I4002">
        <f>TRIM(IF(LEN(IF(LEN(INDEX('Providers'!$X$4:$X$503,499))=0,"",INDEX('Providers'!$X$4:$X$503,499)))=0,"","Facility: "&amp;IF(LEN(INDEX('Providers'!$X$4:$X$503,499))=0,"",INDEX('Providers'!$X$4:$X$503,499))&amp;". "))</f>
        <v/>
      </c>
      <c r="J4002">
        <f>IF(LEN(INDEX('Providers'!$AJ$4:$AJ$503,499))=0,"",INDEX('Providers'!$AJ$4:$AJ$503,499))</f>
        <v/>
      </c>
      <c r="K4002">
        <f>IF(LEN(INDEX('Providers'!$AI$4:$AI$503,499))=0,"",INDEX('Providers'!$AI$4:$AI$503,499))</f>
        <v/>
      </c>
    </row>
    <row r="4003">
      <c r="A4003">
        <f>IF(AND(LEN('Providers'!A503)&gt;0,ISNUMBER('Providers'!Y503)),1,0)</f>
        <v/>
      </c>
      <c r="B4003">
        <f>B4002+A4003</f>
        <v/>
      </c>
      <c r="C4003">
        <f>IF(4000&gt;$B$4503,"",MATCH(4000-0.5,$B$3:$B$4503,1))</f>
        <v/>
      </c>
      <c r="D4003">
        <f>"Privileges reappointment – "&amp;IF(LEN(INDEX('Providers'!$A$4:$A$503,500))=0,"",INDEX('Providers'!$A$4:$A$503,500))</f>
        <v/>
      </c>
      <c r="E4003">
        <f>IF(ISNUMBER(INDEX('Providers'!$Y$4:$Y$503,500)),TEXT(INDEX('Providers'!$Y$4:$Y$503,500),"yyyy-mm-dd"),"")</f>
        <v/>
      </c>
      <c r="F4003">
        <f>"Credentialing"</f>
        <v/>
      </c>
      <c r="G4003">
        <f>""</f>
        <v/>
      </c>
      <c r="H4003">
        <f>"High"</f>
        <v/>
      </c>
      <c r="I4003">
        <f>TRIM(IF(LEN(IF(LEN(INDEX('Providers'!$X$4:$X$503,500))=0,"",INDEX('Providers'!$X$4:$X$503,500)))=0,"","Facility: "&amp;IF(LEN(INDEX('Providers'!$X$4:$X$503,500))=0,"",INDEX('Providers'!$X$4:$X$503,500))&amp;". "))</f>
        <v/>
      </c>
      <c r="J4003">
        <f>IF(LEN(INDEX('Providers'!$AJ$4:$AJ$503,500))=0,"",INDEX('Providers'!$AJ$4:$AJ$503,500))</f>
        <v/>
      </c>
      <c r="K4003">
        <f>IF(LEN(INDEX('Providers'!$AI$4:$AI$503,500))=0,"",INDEX('Providers'!$AI$4:$AI$503,500))</f>
        <v/>
      </c>
    </row>
    <row r="4004">
      <c r="A4004">
        <f>IF(AND(LEN('Providers'!A4)&gt;0,ISNUMBER('Providers'!AA4)),1,0)</f>
        <v/>
      </c>
      <c r="B4004">
        <f>B4003+A4004</f>
        <v/>
      </c>
      <c r="C4004">
        <f>IF(4001&gt;$B$4503,"",MATCH(4001-0.5,$B$3:$B$4503,1))</f>
        <v/>
      </c>
      <c r="D4004">
        <f>"Payer recredentialing – "&amp;IF(LEN(INDEX('Providers'!$A$4:$A$503,1))=0,"",INDEX('Providers'!$A$4:$A$503,1))</f>
        <v/>
      </c>
      <c r="E4004">
        <f>IF(ISNUMBER(INDEX('Providers'!$AA$4:$AA$503,1)),TEXT(INDEX('Providers'!$AA$4:$AA$503,1),"yyyy-mm-dd"),"")</f>
        <v/>
      </c>
      <c r="F4004">
        <f>"Credentialing"</f>
        <v/>
      </c>
      <c r="G4004">
        <f>""</f>
        <v/>
      </c>
      <c r="H4004">
        <f>"High"</f>
        <v/>
      </c>
      <c r="I4004">
        <f>TRIM(IF(LEN(IF(LEN(INDEX('Providers'!$Z$4:$Z$503,1))=0,"",INDEX('Providers'!$Z$4:$Z$503,1)))=0,"","Payer(s): "&amp;IF(LEN(INDEX('Providers'!$Z$4:$Z$503,1))=0,"",INDEX('Providers'!$Z$4:$Z$503,1))&amp;". "))</f>
        <v/>
      </c>
      <c r="J4004">
        <f>IF(LEN(INDEX('Providers'!$AJ$4:$AJ$503,1))=0,"",INDEX('Providers'!$AJ$4:$AJ$503,1))</f>
        <v/>
      </c>
      <c r="K4004">
        <f>IF(LEN(INDEX('Providers'!$AI$4:$AI$503,1))=0,"",INDEX('Providers'!$AI$4:$AI$503,1))</f>
        <v/>
      </c>
    </row>
    <row r="4005">
      <c r="A4005">
        <f>IF(AND(LEN('Providers'!A5)&gt;0,ISNUMBER('Providers'!AA5)),1,0)</f>
        <v/>
      </c>
      <c r="B4005">
        <f>B4004+A4005</f>
        <v/>
      </c>
      <c r="C4005">
        <f>IF(4002&gt;$B$4503,"",MATCH(4002-0.5,$B$3:$B$4503,1))</f>
        <v/>
      </c>
      <c r="D4005">
        <f>"Payer recredentialing – "&amp;IF(LEN(INDEX('Providers'!$A$4:$A$503,2))=0,"",INDEX('Providers'!$A$4:$A$503,2))</f>
        <v/>
      </c>
      <c r="E4005">
        <f>IF(ISNUMBER(INDEX('Providers'!$AA$4:$AA$503,2)),TEXT(INDEX('Providers'!$AA$4:$AA$503,2),"yyyy-mm-dd"),"")</f>
        <v/>
      </c>
      <c r="F4005">
        <f>"Credentialing"</f>
        <v/>
      </c>
      <c r="G4005">
        <f>""</f>
        <v/>
      </c>
      <c r="H4005">
        <f>"High"</f>
        <v/>
      </c>
      <c r="I4005">
        <f>TRIM(IF(LEN(IF(LEN(INDEX('Providers'!$Z$4:$Z$503,2))=0,"",INDEX('Providers'!$Z$4:$Z$503,2)))=0,"","Payer(s): "&amp;IF(LEN(INDEX('Providers'!$Z$4:$Z$503,2))=0,"",INDEX('Providers'!$Z$4:$Z$503,2))&amp;". "))</f>
        <v/>
      </c>
      <c r="J4005">
        <f>IF(LEN(INDEX('Providers'!$AJ$4:$AJ$503,2))=0,"",INDEX('Providers'!$AJ$4:$AJ$503,2))</f>
        <v/>
      </c>
      <c r="K4005">
        <f>IF(LEN(INDEX('Providers'!$AI$4:$AI$503,2))=0,"",INDEX('Providers'!$AI$4:$AI$503,2))</f>
        <v/>
      </c>
    </row>
    <row r="4006">
      <c r="A4006">
        <f>IF(AND(LEN('Providers'!A6)&gt;0,ISNUMBER('Providers'!AA6)),1,0)</f>
        <v/>
      </c>
      <c r="B4006">
        <f>B4005+A4006</f>
        <v/>
      </c>
      <c r="C4006">
        <f>IF(4003&gt;$B$4503,"",MATCH(4003-0.5,$B$3:$B$4503,1))</f>
        <v/>
      </c>
      <c r="D4006">
        <f>"Payer recredentialing – "&amp;IF(LEN(INDEX('Providers'!$A$4:$A$503,3))=0,"",INDEX('Providers'!$A$4:$A$503,3))</f>
        <v/>
      </c>
      <c r="E4006">
        <f>IF(ISNUMBER(INDEX('Providers'!$AA$4:$AA$503,3)),TEXT(INDEX('Providers'!$AA$4:$AA$503,3),"yyyy-mm-dd"),"")</f>
        <v/>
      </c>
      <c r="F4006">
        <f>"Credentialing"</f>
        <v/>
      </c>
      <c r="G4006">
        <f>""</f>
        <v/>
      </c>
      <c r="H4006">
        <f>"High"</f>
        <v/>
      </c>
      <c r="I4006">
        <f>TRIM(IF(LEN(IF(LEN(INDEX('Providers'!$Z$4:$Z$503,3))=0,"",INDEX('Providers'!$Z$4:$Z$503,3)))=0,"","Payer(s): "&amp;IF(LEN(INDEX('Providers'!$Z$4:$Z$503,3))=0,"",INDEX('Providers'!$Z$4:$Z$503,3))&amp;". "))</f>
        <v/>
      </c>
      <c r="J4006">
        <f>IF(LEN(INDEX('Providers'!$AJ$4:$AJ$503,3))=0,"",INDEX('Providers'!$AJ$4:$AJ$503,3))</f>
        <v/>
      </c>
      <c r="K4006">
        <f>IF(LEN(INDEX('Providers'!$AI$4:$AI$503,3))=0,"",INDEX('Providers'!$AI$4:$AI$503,3))</f>
        <v/>
      </c>
    </row>
    <row r="4007">
      <c r="A4007">
        <f>IF(AND(LEN('Providers'!A7)&gt;0,ISNUMBER('Providers'!AA7)),1,0)</f>
        <v/>
      </c>
      <c r="B4007">
        <f>B4006+A4007</f>
        <v/>
      </c>
      <c r="C4007">
        <f>IF(4004&gt;$B$4503,"",MATCH(4004-0.5,$B$3:$B$4503,1))</f>
        <v/>
      </c>
      <c r="D4007">
        <f>"Payer recredentialing – "&amp;IF(LEN(INDEX('Providers'!$A$4:$A$503,4))=0,"",INDEX('Providers'!$A$4:$A$503,4))</f>
        <v/>
      </c>
      <c r="E4007">
        <f>IF(ISNUMBER(INDEX('Providers'!$AA$4:$AA$503,4)),TEXT(INDEX('Providers'!$AA$4:$AA$503,4),"yyyy-mm-dd"),"")</f>
        <v/>
      </c>
      <c r="F4007">
        <f>"Credentialing"</f>
        <v/>
      </c>
      <c r="G4007">
        <f>""</f>
        <v/>
      </c>
      <c r="H4007">
        <f>"High"</f>
        <v/>
      </c>
      <c r="I4007">
        <f>TRIM(IF(LEN(IF(LEN(INDEX('Providers'!$Z$4:$Z$503,4))=0,"",INDEX('Providers'!$Z$4:$Z$503,4)))=0,"","Payer(s): "&amp;IF(LEN(INDEX('Providers'!$Z$4:$Z$503,4))=0,"",INDEX('Providers'!$Z$4:$Z$503,4))&amp;". "))</f>
        <v/>
      </c>
      <c r="J4007">
        <f>IF(LEN(INDEX('Providers'!$AJ$4:$AJ$503,4))=0,"",INDEX('Providers'!$AJ$4:$AJ$503,4))</f>
        <v/>
      </c>
      <c r="K4007">
        <f>IF(LEN(INDEX('Providers'!$AI$4:$AI$503,4))=0,"",INDEX('Providers'!$AI$4:$AI$503,4))</f>
        <v/>
      </c>
    </row>
    <row r="4008">
      <c r="A4008">
        <f>IF(AND(LEN('Providers'!A8)&gt;0,ISNUMBER('Providers'!AA8)),1,0)</f>
        <v/>
      </c>
      <c r="B4008">
        <f>B4007+A4008</f>
        <v/>
      </c>
      <c r="C4008">
        <f>IF(4005&gt;$B$4503,"",MATCH(4005-0.5,$B$3:$B$4503,1))</f>
        <v/>
      </c>
      <c r="D4008">
        <f>"Payer recredentialing – "&amp;IF(LEN(INDEX('Providers'!$A$4:$A$503,5))=0,"",INDEX('Providers'!$A$4:$A$503,5))</f>
        <v/>
      </c>
      <c r="E4008">
        <f>IF(ISNUMBER(INDEX('Providers'!$AA$4:$AA$503,5)),TEXT(INDEX('Providers'!$AA$4:$AA$503,5),"yyyy-mm-dd"),"")</f>
        <v/>
      </c>
      <c r="F4008">
        <f>"Credentialing"</f>
        <v/>
      </c>
      <c r="G4008">
        <f>""</f>
        <v/>
      </c>
      <c r="H4008">
        <f>"High"</f>
        <v/>
      </c>
      <c r="I4008">
        <f>TRIM(IF(LEN(IF(LEN(INDEX('Providers'!$Z$4:$Z$503,5))=0,"",INDEX('Providers'!$Z$4:$Z$503,5)))=0,"","Payer(s): "&amp;IF(LEN(INDEX('Providers'!$Z$4:$Z$503,5))=0,"",INDEX('Providers'!$Z$4:$Z$503,5))&amp;". "))</f>
        <v/>
      </c>
      <c r="J4008">
        <f>IF(LEN(INDEX('Providers'!$AJ$4:$AJ$503,5))=0,"",INDEX('Providers'!$AJ$4:$AJ$503,5))</f>
        <v/>
      </c>
      <c r="K4008">
        <f>IF(LEN(INDEX('Providers'!$AI$4:$AI$503,5))=0,"",INDEX('Providers'!$AI$4:$AI$503,5))</f>
        <v/>
      </c>
    </row>
    <row r="4009">
      <c r="A4009">
        <f>IF(AND(LEN('Providers'!A9)&gt;0,ISNUMBER('Providers'!AA9)),1,0)</f>
        <v/>
      </c>
      <c r="B4009">
        <f>B4008+A4009</f>
        <v/>
      </c>
      <c r="C4009">
        <f>IF(4006&gt;$B$4503,"",MATCH(4006-0.5,$B$3:$B$4503,1))</f>
        <v/>
      </c>
      <c r="D4009">
        <f>"Payer recredentialing – "&amp;IF(LEN(INDEX('Providers'!$A$4:$A$503,6))=0,"",INDEX('Providers'!$A$4:$A$503,6))</f>
        <v/>
      </c>
      <c r="E4009">
        <f>IF(ISNUMBER(INDEX('Providers'!$AA$4:$AA$503,6)),TEXT(INDEX('Providers'!$AA$4:$AA$503,6),"yyyy-mm-dd"),"")</f>
        <v/>
      </c>
      <c r="F4009">
        <f>"Credentialing"</f>
        <v/>
      </c>
      <c r="G4009">
        <f>""</f>
        <v/>
      </c>
      <c r="H4009">
        <f>"High"</f>
        <v/>
      </c>
      <c r="I4009">
        <f>TRIM(IF(LEN(IF(LEN(INDEX('Providers'!$Z$4:$Z$503,6))=0,"",INDEX('Providers'!$Z$4:$Z$503,6)))=0,"","Payer(s): "&amp;IF(LEN(INDEX('Providers'!$Z$4:$Z$503,6))=0,"",INDEX('Providers'!$Z$4:$Z$503,6))&amp;". "))</f>
        <v/>
      </c>
      <c r="J4009">
        <f>IF(LEN(INDEX('Providers'!$AJ$4:$AJ$503,6))=0,"",INDEX('Providers'!$AJ$4:$AJ$503,6))</f>
        <v/>
      </c>
      <c r="K4009">
        <f>IF(LEN(INDEX('Providers'!$AI$4:$AI$503,6))=0,"",INDEX('Providers'!$AI$4:$AI$503,6))</f>
        <v/>
      </c>
    </row>
    <row r="4010">
      <c r="A4010">
        <f>IF(AND(LEN('Providers'!A10)&gt;0,ISNUMBER('Providers'!AA10)),1,0)</f>
        <v/>
      </c>
      <c r="B4010">
        <f>B4009+A4010</f>
        <v/>
      </c>
      <c r="C4010">
        <f>IF(4007&gt;$B$4503,"",MATCH(4007-0.5,$B$3:$B$4503,1))</f>
        <v/>
      </c>
      <c r="D4010">
        <f>"Payer recredentialing – "&amp;IF(LEN(INDEX('Providers'!$A$4:$A$503,7))=0,"",INDEX('Providers'!$A$4:$A$503,7))</f>
        <v/>
      </c>
      <c r="E4010">
        <f>IF(ISNUMBER(INDEX('Providers'!$AA$4:$AA$503,7)),TEXT(INDEX('Providers'!$AA$4:$AA$503,7),"yyyy-mm-dd"),"")</f>
        <v/>
      </c>
      <c r="F4010">
        <f>"Credentialing"</f>
        <v/>
      </c>
      <c r="G4010">
        <f>""</f>
        <v/>
      </c>
      <c r="H4010">
        <f>"High"</f>
        <v/>
      </c>
      <c r="I4010">
        <f>TRIM(IF(LEN(IF(LEN(INDEX('Providers'!$Z$4:$Z$503,7))=0,"",INDEX('Providers'!$Z$4:$Z$503,7)))=0,"","Payer(s): "&amp;IF(LEN(INDEX('Providers'!$Z$4:$Z$503,7))=0,"",INDEX('Providers'!$Z$4:$Z$503,7))&amp;". "))</f>
        <v/>
      </c>
      <c r="J4010">
        <f>IF(LEN(INDEX('Providers'!$AJ$4:$AJ$503,7))=0,"",INDEX('Providers'!$AJ$4:$AJ$503,7))</f>
        <v/>
      </c>
      <c r="K4010">
        <f>IF(LEN(INDEX('Providers'!$AI$4:$AI$503,7))=0,"",INDEX('Providers'!$AI$4:$AI$503,7))</f>
        <v/>
      </c>
    </row>
    <row r="4011">
      <c r="A4011">
        <f>IF(AND(LEN('Providers'!A11)&gt;0,ISNUMBER('Providers'!AA11)),1,0)</f>
        <v/>
      </c>
      <c r="B4011">
        <f>B4010+A4011</f>
        <v/>
      </c>
      <c r="C4011">
        <f>IF(4008&gt;$B$4503,"",MATCH(4008-0.5,$B$3:$B$4503,1))</f>
        <v/>
      </c>
      <c r="D4011">
        <f>"Payer recredentialing – "&amp;IF(LEN(INDEX('Providers'!$A$4:$A$503,8))=0,"",INDEX('Providers'!$A$4:$A$503,8))</f>
        <v/>
      </c>
      <c r="E4011">
        <f>IF(ISNUMBER(INDEX('Providers'!$AA$4:$AA$503,8)),TEXT(INDEX('Providers'!$AA$4:$AA$503,8),"yyyy-mm-dd"),"")</f>
        <v/>
      </c>
      <c r="F4011">
        <f>"Credentialing"</f>
        <v/>
      </c>
      <c r="G4011">
        <f>""</f>
        <v/>
      </c>
      <c r="H4011">
        <f>"High"</f>
        <v/>
      </c>
      <c r="I4011">
        <f>TRIM(IF(LEN(IF(LEN(INDEX('Providers'!$Z$4:$Z$503,8))=0,"",INDEX('Providers'!$Z$4:$Z$503,8)))=0,"","Payer(s): "&amp;IF(LEN(INDEX('Providers'!$Z$4:$Z$503,8))=0,"",INDEX('Providers'!$Z$4:$Z$503,8))&amp;". "))</f>
        <v/>
      </c>
      <c r="J4011">
        <f>IF(LEN(INDEX('Providers'!$AJ$4:$AJ$503,8))=0,"",INDEX('Providers'!$AJ$4:$AJ$503,8))</f>
        <v/>
      </c>
      <c r="K4011">
        <f>IF(LEN(INDEX('Providers'!$AI$4:$AI$503,8))=0,"",INDEX('Providers'!$AI$4:$AI$503,8))</f>
        <v/>
      </c>
    </row>
    <row r="4012">
      <c r="A4012">
        <f>IF(AND(LEN('Providers'!A12)&gt;0,ISNUMBER('Providers'!AA12)),1,0)</f>
        <v/>
      </c>
      <c r="B4012">
        <f>B4011+A4012</f>
        <v/>
      </c>
      <c r="C4012">
        <f>IF(4009&gt;$B$4503,"",MATCH(4009-0.5,$B$3:$B$4503,1))</f>
        <v/>
      </c>
      <c r="D4012">
        <f>"Payer recredentialing – "&amp;IF(LEN(INDEX('Providers'!$A$4:$A$503,9))=0,"",INDEX('Providers'!$A$4:$A$503,9))</f>
        <v/>
      </c>
      <c r="E4012">
        <f>IF(ISNUMBER(INDEX('Providers'!$AA$4:$AA$503,9)),TEXT(INDEX('Providers'!$AA$4:$AA$503,9),"yyyy-mm-dd"),"")</f>
        <v/>
      </c>
      <c r="F4012">
        <f>"Credentialing"</f>
        <v/>
      </c>
      <c r="G4012">
        <f>""</f>
        <v/>
      </c>
      <c r="H4012">
        <f>"High"</f>
        <v/>
      </c>
      <c r="I4012">
        <f>TRIM(IF(LEN(IF(LEN(INDEX('Providers'!$Z$4:$Z$503,9))=0,"",INDEX('Providers'!$Z$4:$Z$503,9)))=0,"","Payer(s): "&amp;IF(LEN(INDEX('Providers'!$Z$4:$Z$503,9))=0,"",INDEX('Providers'!$Z$4:$Z$503,9))&amp;". "))</f>
        <v/>
      </c>
      <c r="J4012">
        <f>IF(LEN(INDEX('Providers'!$AJ$4:$AJ$503,9))=0,"",INDEX('Providers'!$AJ$4:$AJ$503,9))</f>
        <v/>
      </c>
      <c r="K4012">
        <f>IF(LEN(INDEX('Providers'!$AI$4:$AI$503,9))=0,"",INDEX('Providers'!$AI$4:$AI$503,9))</f>
        <v/>
      </c>
    </row>
    <row r="4013">
      <c r="A4013">
        <f>IF(AND(LEN('Providers'!A13)&gt;0,ISNUMBER('Providers'!AA13)),1,0)</f>
        <v/>
      </c>
      <c r="B4013">
        <f>B4012+A4013</f>
        <v/>
      </c>
      <c r="C4013">
        <f>IF(4010&gt;$B$4503,"",MATCH(4010-0.5,$B$3:$B$4503,1))</f>
        <v/>
      </c>
      <c r="D4013">
        <f>"Payer recredentialing – "&amp;IF(LEN(INDEX('Providers'!$A$4:$A$503,10))=0,"",INDEX('Providers'!$A$4:$A$503,10))</f>
        <v/>
      </c>
      <c r="E4013">
        <f>IF(ISNUMBER(INDEX('Providers'!$AA$4:$AA$503,10)),TEXT(INDEX('Providers'!$AA$4:$AA$503,10),"yyyy-mm-dd"),"")</f>
        <v/>
      </c>
      <c r="F4013">
        <f>"Credentialing"</f>
        <v/>
      </c>
      <c r="G4013">
        <f>""</f>
        <v/>
      </c>
      <c r="H4013">
        <f>"High"</f>
        <v/>
      </c>
      <c r="I4013">
        <f>TRIM(IF(LEN(IF(LEN(INDEX('Providers'!$Z$4:$Z$503,10))=0,"",INDEX('Providers'!$Z$4:$Z$503,10)))=0,"","Payer(s): "&amp;IF(LEN(INDEX('Providers'!$Z$4:$Z$503,10))=0,"",INDEX('Providers'!$Z$4:$Z$503,10))&amp;". "))</f>
        <v/>
      </c>
      <c r="J4013">
        <f>IF(LEN(INDEX('Providers'!$AJ$4:$AJ$503,10))=0,"",INDEX('Providers'!$AJ$4:$AJ$503,10))</f>
        <v/>
      </c>
      <c r="K4013">
        <f>IF(LEN(INDEX('Providers'!$AI$4:$AI$503,10))=0,"",INDEX('Providers'!$AI$4:$AI$503,10))</f>
        <v/>
      </c>
    </row>
    <row r="4014">
      <c r="A4014">
        <f>IF(AND(LEN('Providers'!A14)&gt;0,ISNUMBER('Providers'!AA14)),1,0)</f>
        <v/>
      </c>
      <c r="B4014">
        <f>B4013+A4014</f>
        <v/>
      </c>
      <c r="C4014">
        <f>IF(4011&gt;$B$4503,"",MATCH(4011-0.5,$B$3:$B$4503,1))</f>
        <v/>
      </c>
      <c r="D4014">
        <f>"Payer recredentialing – "&amp;IF(LEN(INDEX('Providers'!$A$4:$A$503,11))=0,"",INDEX('Providers'!$A$4:$A$503,11))</f>
        <v/>
      </c>
      <c r="E4014">
        <f>IF(ISNUMBER(INDEX('Providers'!$AA$4:$AA$503,11)),TEXT(INDEX('Providers'!$AA$4:$AA$503,11),"yyyy-mm-dd"),"")</f>
        <v/>
      </c>
      <c r="F4014">
        <f>"Credentialing"</f>
        <v/>
      </c>
      <c r="G4014">
        <f>""</f>
        <v/>
      </c>
      <c r="H4014">
        <f>"High"</f>
        <v/>
      </c>
      <c r="I4014">
        <f>TRIM(IF(LEN(IF(LEN(INDEX('Providers'!$Z$4:$Z$503,11))=0,"",INDEX('Providers'!$Z$4:$Z$503,11)))=0,"","Payer(s): "&amp;IF(LEN(INDEX('Providers'!$Z$4:$Z$503,11))=0,"",INDEX('Providers'!$Z$4:$Z$503,11))&amp;". "))</f>
        <v/>
      </c>
      <c r="J4014">
        <f>IF(LEN(INDEX('Providers'!$AJ$4:$AJ$503,11))=0,"",INDEX('Providers'!$AJ$4:$AJ$503,11))</f>
        <v/>
      </c>
      <c r="K4014">
        <f>IF(LEN(INDEX('Providers'!$AI$4:$AI$503,11))=0,"",INDEX('Providers'!$AI$4:$AI$503,11))</f>
        <v/>
      </c>
    </row>
    <row r="4015">
      <c r="A4015">
        <f>IF(AND(LEN('Providers'!A15)&gt;0,ISNUMBER('Providers'!AA15)),1,0)</f>
        <v/>
      </c>
      <c r="B4015">
        <f>B4014+A4015</f>
        <v/>
      </c>
      <c r="C4015">
        <f>IF(4012&gt;$B$4503,"",MATCH(4012-0.5,$B$3:$B$4503,1))</f>
        <v/>
      </c>
      <c r="D4015">
        <f>"Payer recredentialing – "&amp;IF(LEN(INDEX('Providers'!$A$4:$A$503,12))=0,"",INDEX('Providers'!$A$4:$A$503,12))</f>
        <v/>
      </c>
      <c r="E4015">
        <f>IF(ISNUMBER(INDEX('Providers'!$AA$4:$AA$503,12)),TEXT(INDEX('Providers'!$AA$4:$AA$503,12),"yyyy-mm-dd"),"")</f>
        <v/>
      </c>
      <c r="F4015">
        <f>"Credentialing"</f>
        <v/>
      </c>
      <c r="G4015">
        <f>""</f>
        <v/>
      </c>
      <c r="H4015">
        <f>"High"</f>
        <v/>
      </c>
      <c r="I4015">
        <f>TRIM(IF(LEN(IF(LEN(INDEX('Providers'!$Z$4:$Z$503,12))=0,"",INDEX('Providers'!$Z$4:$Z$503,12)))=0,"","Payer(s): "&amp;IF(LEN(INDEX('Providers'!$Z$4:$Z$503,12))=0,"",INDEX('Providers'!$Z$4:$Z$503,12))&amp;". "))</f>
        <v/>
      </c>
      <c r="J4015">
        <f>IF(LEN(INDEX('Providers'!$AJ$4:$AJ$503,12))=0,"",INDEX('Providers'!$AJ$4:$AJ$503,12))</f>
        <v/>
      </c>
      <c r="K4015">
        <f>IF(LEN(INDEX('Providers'!$AI$4:$AI$503,12))=0,"",INDEX('Providers'!$AI$4:$AI$503,12))</f>
        <v/>
      </c>
    </row>
    <row r="4016">
      <c r="A4016">
        <f>IF(AND(LEN('Providers'!A16)&gt;0,ISNUMBER('Providers'!AA16)),1,0)</f>
        <v/>
      </c>
      <c r="B4016">
        <f>B4015+A4016</f>
        <v/>
      </c>
      <c r="C4016">
        <f>IF(4013&gt;$B$4503,"",MATCH(4013-0.5,$B$3:$B$4503,1))</f>
        <v/>
      </c>
      <c r="D4016">
        <f>"Payer recredentialing – "&amp;IF(LEN(INDEX('Providers'!$A$4:$A$503,13))=0,"",INDEX('Providers'!$A$4:$A$503,13))</f>
        <v/>
      </c>
      <c r="E4016">
        <f>IF(ISNUMBER(INDEX('Providers'!$AA$4:$AA$503,13)),TEXT(INDEX('Providers'!$AA$4:$AA$503,13),"yyyy-mm-dd"),"")</f>
        <v/>
      </c>
      <c r="F4016">
        <f>"Credentialing"</f>
        <v/>
      </c>
      <c r="G4016">
        <f>""</f>
        <v/>
      </c>
      <c r="H4016">
        <f>"High"</f>
        <v/>
      </c>
      <c r="I4016">
        <f>TRIM(IF(LEN(IF(LEN(INDEX('Providers'!$Z$4:$Z$503,13))=0,"",INDEX('Providers'!$Z$4:$Z$503,13)))=0,"","Payer(s): "&amp;IF(LEN(INDEX('Providers'!$Z$4:$Z$503,13))=0,"",INDEX('Providers'!$Z$4:$Z$503,13))&amp;". "))</f>
        <v/>
      </c>
      <c r="J4016">
        <f>IF(LEN(INDEX('Providers'!$AJ$4:$AJ$503,13))=0,"",INDEX('Providers'!$AJ$4:$AJ$503,13))</f>
        <v/>
      </c>
      <c r="K4016">
        <f>IF(LEN(INDEX('Providers'!$AI$4:$AI$503,13))=0,"",INDEX('Providers'!$AI$4:$AI$503,13))</f>
        <v/>
      </c>
    </row>
    <row r="4017">
      <c r="A4017">
        <f>IF(AND(LEN('Providers'!A17)&gt;0,ISNUMBER('Providers'!AA17)),1,0)</f>
        <v/>
      </c>
      <c r="B4017">
        <f>B4016+A4017</f>
        <v/>
      </c>
      <c r="C4017">
        <f>IF(4014&gt;$B$4503,"",MATCH(4014-0.5,$B$3:$B$4503,1))</f>
        <v/>
      </c>
      <c r="D4017">
        <f>"Payer recredentialing – "&amp;IF(LEN(INDEX('Providers'!$A$4:$A$503,14))=0,"",INDEX('Providers'!$A$4:$A$503,14))</f>
        <v/>
      </c>
      <c r="E4017">
        <f>IF(ISNUMBER(INDEX('Providers'!$AA$4:$AA$503,14)),TEXT(INDEX('Providers'!$AA$4:$AA$503,14),"yyyy-mm-dd"),"")</f>
        <v/>
      </c>
      <c r="F4017">
        <f>"Credentialing"</f>
        <v/>
      </c>
      <c r="G4017">
        <f>""</f>
        <v/>
      </c>
      <c r="H4017">
        <f>"High"</f>
        <v/>
      </c>
      <c r="I4017">
        <f>TRIM(IF(LEN(IF(LEN(INDEX('Providers'!$Z$4:$Z$503,14))=0,"",INDEX('Providers'!$Z$4:$Z$503,14)))=0,"","Payer(s): "&amp;IF(LEN(INDEX('Providers'!$Z$4:$Z$503,14))=0,"",INDEX('Providers'!$Z$4:$Z$503,14))&amp;". "))</f>
        <v/>
      </c>
      <c r="J4017">
        <f>IF(LEN(INDEX('Providers'!$AJ$4:$AJ$503,14))=0,"",INDEX('Providers'!$AJ$4:$AJ$503,14))</f>
        <v/>
      </c>
      <c r="K4017">
        <f>IF(LEN(INDEX('Providers'!$AI$4:$AI$503,14))=0,"",INDEX('Providers'!$AI$4:$AI$503,14))</f>
        <v/>
      </c>
    </row>
    <row r="4018">
      <c r="A4018">
        <f>IF(AND(LEN('Providers'!A18)&gt;0,ISNUMBER('Providers'!AA18)),1,0)</f>
        <v/>
      </c>
      <c r="B4018">
        <f>B4017+A4018</f>
        <v/>
      </c>
      <c r="C4018">
        <f>IF(4015&gt;$B$4503,"",MATCH(4015-0.5,$B$3:$B$4503,1))</f>
        <v/>
      </c>
      <c r="D4018">
        <f>"Payer recredentialing – "&amp;IF(LEN(INDEX('Providers'!$A$4:$A$503,15))=0,"",INDEX('Providers'!$A$4:$A$503,15))</f>
        <v/>
      </c>
      <c r="E4018">
        <f>IF(ISNUMBER(INDEX('Providers'!$AA$4:$AA$503,15)),TEXT(INDEX('Providers'!$AA$4:$AA$503,15),"yyyy-mm-dd"),"")</f>
        <v/>
      </c>
      <c r="F4018">
        <f>"Credentialing"</f>
        <v/>
      </c>
      <c r="G4018">
        <f>""</f>
        <v/>
      </c>
      <c r="H4018">
        <f>"High"</f>
        <v/>
      </c>
      <c r="I4018">
        <f>TRIM(IF(LEN(IF(LEN(INDEX('Providers'!$Z$4:$Z$503,15))=0,"",INDEX('Providers'!$Z$4:$Z$503,15)))=0,"","Payer(s): "&amp;IF(LEN(INDEX('Providers'!$Z$4:$Z$503,15))=0,"",INDEX('Providers'!$Z$4:$Z$503,15))&amp;". "))</f>
        <v/>
      </c>
      <c r="J4018">
        <f>IF(LEN(INDEX('Providers'!$AJ$4:$AJ$503,15))=0,"",INDEX('Providers'!$AJ$4:$AJ$503,15))</f>
        <v/>
      </c>
      <c r="K4018">
        <f>IF(LEN(INDEX('Providers'!$AI$4:$AI$503,15))=0,"",INDEX('Providers'!$AI$4:$AI$503,15))</f>
        <v/>
      </c>
    </row>
    <row r="4019">
      <c r="A4019">
        <f>IF(AND(LEN('Providers'!A19)&gt;0,ISNUMBER('Providers'!AA19)),1,0)</f>
        <v/>
      </c>
      <c r="B4019">
        <f>B4018+A4019</f>
        <v/>
      </c>
      <c r="C4019">
        <f>IF(4016&gt;$B$4503,"",MATCH(4016-0.5,$B$3:$B$4503,1))</f>
        <v/>
      </c>
      <c r="D4019">
        <f>"Payer recredentialing – "&amp;IF(LEN(INDEX('Providers'!$A$4:$A$503,16))=0,"",INDEX('Providers'!$A$4:$A$503,16))</f>
        <v/>
      </c>
      <c r="E4019">
        <f>IF(ISNUMBER(INDEX('Providers'!$AA$4:$AA$503,16)),TEXT(INDEX('Providers'!$AA$4:$AA$503,16),"yyyy-mm-dd"),"")</f>
        <v/>
      </c>
      <c r="F4019">
        <f>"Credentialing"</f>
        <v/>
      </c>
      <c r="G4019">
        <f>""</f>
        <v/>
      </c>
      <c r="H4019">
        <f>"High"</f>
        <v/>
      </c>
      <c r="I4019">
        <f>TRIM(IF(LEN(IF(LEN(INDEX('Providers'!$Z$4:$Z$503,16))=0,"",INDEX('Providers'!$Z$4:$Z$503,16)))=0,"","Payer(s): "&amp;IF(LEN(INDEX('Providers'!$Z$4:$Z$503,16))=0,"",INDEX('Providers'!$Z$4:$Z$503,16))&amp;". "))</f>
        <v/>
      </c>
      <c r="J4019">
        <f>IF(LEN(INDEX('Providers'!$AJ$4:$AJ$503,16))=0,"",INDEX('Providers'!$AJ$4:$AJ$503,16))</f>
        <v/>
      </c>
      <c r="K4019">
        <f>IF(LEN(INDEX('Providers'!$AI$4:$AI$503,16))=0,"",INDEX('Providers'!$AI$4:$AI$503,16))</f>
        <v/>
      </c>
    </row>
    <row r="4020">
      <c r="A4020">
        <f>IF(AND(LEN('Providers'!A20)&gt;0,ISNUMBER('Providers'!AA20)),1,0)</f>
        <v/>
      </c>
      <c r="B4020">
        <f>B4019+A4020</f>
        <v/>
      </c>
      <c r="C4020">
        <f>IF(4017&gt;$B$4503,"",MATCH(4017-0.5,$B$3:$B$4503,1))</f>
        <v/>
      </c>
      <c r="D4020">
        <f>"Payer recredentialing – "&amp;IF(LEN(INDEX('Providers'!$A$4:$A$503,17))=0,"",INDEX('Providers'!$A$4:$A$503,17))</f>
        <v/>
      </c>
      <c r="E4020">
        <f>IF(ISNUMBER(INDEX('Providers'!$AA$4:$AA$503,17)),TEXT(INDEX('Providers'!$AA$4:$AA$503,17),"yyyy-mm-dd"),"")</f>
        <v/>
      </c>
      <c r="F4020">
        <f>"Credentialing"</f>
        <v/>
      </c>
      <c r="G4020">
        <f>""</f>
        <v/>
      </c>
      <c r="H4020">
        <f>"High"</f>
        <v/>
      </c>
      <c r="I4020">
        <f>TRIM(IF(LEN(IF(LEN(INDEX('Providers'!$Z$4:$Z$503,17))=0,"",INDEX('Providers'!$Z$4:$Z$503,17)))=0,"","Payer(s): "&amp;IF(LEN(INDEX('Providers'!$Z$4:$Z$503,17))=0,"",INDEX('Providers'!$Z$4:$Z$503,17))&amp;". "))</f>
        <v/>
      </c>
      <c r="J4020">
        <f>IF(LEN(INDEX('Providers'!$AJ$4:$AJ$503,17))=0,"",INDEX('Providers'!$AJ$4:$AJ$503,17))</f>
        <v/>
      </c>
      <c r="K4020">
        <f>IF(LEN(INDEX('Providers'!$AI$4:$AI$503,17))=0,"",INDEX('Providers'!$AI$4:$AI$503,17))</f>
        <v/>
      </c>
    </row>
    <row r="4021">
      <c r="A4021">
        <f>IF(AND(LEN('Providers'!A21)&gt;0,ISNUMBER('Providers'!AA21)),1,0)</f>
        <v/>
      </c>
      <c r="B4021">
        <f>B4020+A4021</f>
        <v/>
      </c>
      <c r="C4021">
        <f>IF(4018&gt;$B$4503,"",MATCH(4018-0.5,$B$3:$B$4503,1))</f>
        <v/>
      </c>
      <c r="D4021">
        <f>"Payer recredentialing – "&amp;IF(LEN(INDEX('Providers'!$A$4:$A$503,18))=0,"",INDEX('Providers'!$A$4:$A$503,18))</f>
        <v/>
      </c>
      <c r="E4021">
        <f>IF(ISNUMBER(INDEX('Providers'!$AA$4:$AA$503,18)),TEXT(INDEX('Providers'!$AA$4:$AA$503,18),"yyyy-mm-dd"),"")</f>
        <v/>
      </c>
      <c r="F4021">
        <f>"Credentialing"</f>
        <v/>
      </c>
      <c r="G4021">
        <f>""</f>
        <v/>
      </c>
      <c r="H4021">
        <f>"High"</f>
        <v/>
      </c>
      <c r="I4021">
        <f>TRIM(IF(LEN(IF(LEN(INDEX('Providers'!$Z$4:$Z$503,18))=0,"",INDEX('Providers'!$Z$4:$Z$503,18)))=0,"","Payer(s): "&amp;IF(LEN(INDEX('Providers'!$Z$4:$Z$503,18))=0,"",INDEX('Providers'!$Z$4:$Z$503,18))&amp;". "))</f>
        <v/>
      </c>
      <c r="J4021">
        <f>IF(LEN(INDEX('Providers'!$AJ$4:$AJ$503,18))=0,"",INDEX('Providers'!$AJ$4:$AJ$503,18))</f>
        <v/>
      </c>
      <c r="K4021">
        <f>IF(LEN(INDEX('Providers'!$AI$4:$AI$503,18))=0,"",INDEX('Providers'!$AI$4:$AI$503,18))</f>
        <v/>
      </c>
    </row>
    <row r="4022">
      <c r="A4022">
        <f>IF(AND(LEN('Providers'!A22)&gt;0,ISNUMBER('Providers'!AA22)),1,0)</f>
        <v/>
      </c>
      <c r="B4022">
        <f>B4021+A4022</f>
        <v/>
      </c>
      <c r="C4022">
        <f>IF(4019&gt;$B$4503,"",MATCH(4019-0.5,$B$3:$B$4503,1))</f>
        <v/>
      </c>
      <c r="D4022">
        <f>"Payer recredentialing – "&amp;IF(LEN(INDEX('Providers'!$A$4:$A$503,19))=0,"",INDEX('Providers'!$A$4:$A$503,19))</f>
        <v/>
      </c>
      <c r="E4022">
        <f>IF(ISNUMBER(INDEX('Providers'!$AA$4:$AA$503,19)),TEXT(INDEX('Providers'!$AA$4:$AA$503,19),"yyyy-mm-dd"),"")</f>
        <v/>
      </c>
      <c r="F4022">
        <f>"Credentialing"</f>
        <v/>
      </c>
      <c r="G4022">
        <f>""</f>
        <v/>
      </c>
      <c r="H4022">
        <f>"High"</f>
        <v/>
      </c>
      <c r="I4022">
        <f>TRIM(IF(LEN(IF(LEN(INDEX('Providers'!$Z$4:$Z$503,19))=0,"",INDEX('Providers'!$Z$4:$Z$503,19)))=0,"","Payer(s): "&amp;IF(LEN(INDEX('Providers'!$Z$4:$Z$503,19))=0,"",INDEX('Providers'!$Z$4:$Z$503,19))&amp;". "))</f>
        <v/>
      </c>
      <c r="J4022">
        <f>IF(LEN(INDEX('Providers'!$AJ$4:$AJ$503,19))=0,"",INDEX('Providers'!$AJ$4:$AJ$503,19))</f>
        <v/>
      </c>
      <c r="K4022">
        <f>IF(LEN(INDEX('Providers'!$AI$4:$AI$503,19))=0,"",INDEX('Providers'!$AI$4:$AI$503,19))</f>
        <v/>
      </c>
    </row>
    <row r="4023">
      <c r="A4023">
        <f>IF(AND(LEN('Providers'!A23)&gt;0,ISNUMBER('Providers'!AA23)),1,0)</f>
        <v/>
      </c>
      <c r="B4023">
        <f>B4022+A4023</f>
        <v/>
      </c>
      <c r="C4023">
        <f>IF(4020&gt;$B$4503,"",MATCH(4020-0.5,$B$3:$B$4503,1))</f>
        <v/>
      </c>
      <c r="D4023">
        <f>"Payer recredentialing – "&amp;IF(LEN(INDEX('Providers'!$A$4:$A$503,20))=0,"",INDEX('Providers'!$A$4:$A$503,20))</f>
        <v/>
      </c>
      <c r="E4023">
        <f>IF(ISNUMBER(INDEX('Providers'!$AA$4:$AA$503,20)),TEXT(INDEX('Providers'!$AA$4:$AA$503,20),"yyyy-mm-dd"),"")</f>
        <v/>
      </c>
      <c r="F4023">
        <f>"Credentialing"</f>
        <v/>
      </c>
      <c r="G4023">
        <f>""</f>
        <v/>
      </c>
      <c r="H4023">
        <f>"High"</f>
        <v/>
      </c>
      <c r="I4023">
        <f>TRIM(IF(LEN(IF(LEN(INDEX('Providers'!$Z$4:$Z$503,20))=0,"",INDEX('Providers'!$Z$4:$Z$503,20)))=0,"","Payer(s): "&amp;IF(LEN(INDEX('Providers'!$Z$4:$Z$503,20))=0,"",INDEX('Providers'!$Z$4:$Z$503,20))&amp;". "))</f>
        <v/>
      </c>
      <c r="J4023">
        <f>IF(LEN(INDEX('Providers'!$AJ$4:$AJ$503,20))=0,"",INDEX('Providers'!$AJ$4:$AJ$503,20))</f>
        <v/>
      </c>
      <c r="K4023">
        <f>IF(LEN(INDEX('Providers'!$AI$4:$AI$503,20))=0,"",INDEX('Providers'!$AI$4:$AI$503,20))</f>
        <v/>
      </c>
    </row>
    <row r="4024">
      <c r="A4024">
        <f>IF(AND(LEN('Providers'!A24)&gt;0,ISNUMBER('Providers'!AA24)),1,0)</f>
        <v/>
      </c>
      <c r="B4024">
        <f>B4023+A4024</f>
        <v/>
      </c>
      <c r="C4024">
        <f>IF(4021&gt;$B$4503,"",MATCH(4021-0.5,$B$3:$B$4503,1))</f>
        <v/>
      </c>
      <c r="D4024">
        <f>"Payer recredentialing – "&amp;IF(LEN(INDEX('Providers'!$A$4:$A$503,21))=0,"",INDEX('Providers'!$A$4:$A$503,21))</f>
        <v/>
      </c>
      <c r="E4024">
        <f>IF(ISNUMBER(INDEX('Providers'!$AA$4:$AA$503,21)),TEXT(INDEX('Providers'!$AA$4:$AA$503,21),"yyyy-mm-dd"),"")</f>
        <v/>
      </c>
      <c r="F4024">
        <f>"Credentialing"</f>
        <v/>
      </c>
      <c r="G4024">
        <f>""</f>
        <v/>
      </c>
      <c r="H4024">
        <f>"High"</f>
        <v/>
      </c>
      <c r="I4024">
        <f>TRIM(IF(LEN(IF(LEN(INDEX('Providers'!$Z$4:$Z$503,21))=0,"",INDEX('Providers'!$Z$4:$Z$503,21)))=0,"","Payer(s): "&amp;IF(LEN(INDEX('Providers'!$Z$4:$Z$503,21))=0,"",INDEX('Providers'!$Z$4:$Z$503,21))&amp;". "))</f>
        <v/>
      </c>
      <c r="J4024">
        <f>IF(LEN(INDEX('Providers'!$AJ$4:$AJ$503,21))=0,"",INDEX('Providers'!$AJ$4:$AJ$503,21))</f>
        <v/>
      </c>
      <c r="K4024">
        <f>IF(LEN(INDEX('Providers'!$AI$4:$AI$503,21))=0,"",INDEX('Providers'!$AI$4:$AI$503,21))</f>
        <v/>
      </c>
    </row>
    <row r="4025">
      <c r="A4025">
        <f>IF(AND(LEN('Providers'!A25)&gt;0,ISNUMBER('Providers'!AA25)),1,0)</f>
        <v/>
      </c>
      <c r="B4025">
        <f>B4024+A4025</f>
        <v/>
      </c>
      <c r="C4025">
        <f>IF(4022&gt;$B$4503,"",MATCH(4022-0.5,$B$3:$B$4503,1))</f>
        <v/>
      </c>
      <c r="D4025">
        <f>"Payer recredentialing – "&amp;IF(LEN(INDEX('Providers'!$A$4:$A$503,22))=0,"",INDEX('Providers'!$A$4:$A$503,22))</f>
        <v/>
      </c>
      <c r="E4025">
        <f>IF(ISNUMBER(INDEX('Providers'!$AA$4:$AA$503,22)),TEXT(INDEX('Providers'!$AA$4:$AA$503,22),"yyyy-mm-dd"),"")</f>
        <v/>
      </c>
      <c r="F4025">
        <f>"Credentialing"</f>
        <v/>
      </c>
      <c r="G4025">
        <f>""</f>
        <v/>
      </c>
      <c r="H4025">
        <f>"High"</f>
        <v/>
      </c>
      <c r="I4025">
        <f>TRIM(IF(LEN(IF(LEN(INDEX('Providers'!$Z$4:$Z$503,22))=0,"",INDEX('Providers'!$Z$4:$Z$503,22)))=0,"","Payer(s): "&amp;IF(LEN(INDEX('Providers'!$Z$4:$Z$503,22))=0,"",INDEX('Providers'!$Z$4:$Z$503,22))&amp;". "))</f>
        <v/>
      </c>
      <c r="J4025">
        <f>IF(LEN(INDEX('Providers'!$AJ$4:$AJ$503,22))=0,"",INDEX('Providers'!$AJ$4:$AJ$503,22))</f>
        <v/>
      </c>
      <c r="K4025">
        <f>IF(LEN(INDEX('Providers'!$AI$4:$AI$503,22))=0,"",INDEX('Providers'!$AI$4:$AI$503,22))</f>
        <v/>
      </c>
    </row>
    <row r="4026">
      <c r="A4026">
        <f>IF(AND(LEN('Providers'!A26)&gt;0,ISNUMBER('Providers'!AA26)),1,0)</f>
        <v/>
      </c>
      <c r="B4026">
        <f>B4025+A4026</f>
        <v/>
      </c>
      <c r="C4026">
        <f>IF(4023&gt;$B$4503,"",MATCH(4023-0.5,$B$3:$B$4503,1))</f>
        <v/>
      </c>
      <c r="D4026">
        <f>"Payer recredentialing – "&amp;IF(LEN(INDEX('Providers'!$A$4:$A$503,23))=0,"",INDEX('Providers'!$A$4:$A$503,23))</f>
        <v/>
      </c>
      <c r="E4026">
        <f>IF(ISNUMBER(INDEX('Providers'!$AA$4:$AA$503,23)),TEXT(INDEX('Providers'!$AA$4:$AA$503,23),"yyyy-mm-dd"),"")</f>
        <v/>
      </c>
      <c r="F4026">
        <f>"Credentialing"</f>
        <v/>
      </c>
      <c r="G4026">
        <f>""</f>
        <v/>
      </c>
      <c r="H4026">
        <f>"High"</f>
        <v/>
      </c>
      <c r="I4026">
        <f>TRIM(IF(LEN(IF(LEN(INDEX('Providers'!$Z$4:$Z$503,23))=0,"",INDEX('Providers'!$Z$4:$Z$503,23)))=0,"","Payer(s): "&amp;IF(LEN(INDEX('Providers'!$Z$4:$Z$503,23))=0,"",INDEX('Providers'!$Z$4:$Z$503,23))&amp;". "))</f>
        <v/>
      </c>
      <c r="J4026">
        <f>IF(LEN(INDEX('Providers'!$AJ$4:$AJ$503,23))=0,"",INDEX('Providers'!$AJ$4:$AJ$503,23))</f>
        <v/>
      </c>
      <c r="K4026">
        <f>IF(LEN(INDEX('Providers'!$AI$4:$AI$503,23))=0,"",INDEX('Providers'!$AI$4:$AI$503,23))</f>
        <v/>
      </c>
    </row>
    <row r="4027">
      <c r="A4027">
        <f>IF(AND(LEN('Providers'!A27)&gt;0,ISNUMBER('Providers'!AA27)),1,0)</f>
        <v/>
      </c>
      <c r="B4027">
        <f>B4026+A4027</f>
        <v/>
      </c>
      <c r="C4027">
        <f>IF(4024&gt;$B$4503,"",MATCH(4024-0.5,$B$3:$B$4503,1))</f>
        <v/>
      </c>
      <c r="D4027">
        <f>"Payer recredentialing – "&amp;IF(LEN(INDEX('Providers'!$A$4:$A$503,24))=0,"",INDEX('Providers'!$A$4:$A$503,24))</f>
        <v/>
      </c>
      <c r="E4027">
        <f>IF(ISNUMBER(INDEX('Providers'!$AA$4:$AA$503,24)),TEXT(INDEX('Providers'!$AA$4:$AA$503,24),"yyyy-mm-dd"),"")</f>
        <v/>
      </c>
      <c r="F4027">
        <f>"Credentialing"</f>
        <v/>
      </c>
      <c r="G4027">
        <f>""</f>
        <v/>
      </c>
      <c r="H4027">
        <f>"High"</f>
        <v/>
      </c>
      <c r="I4027">
        <f>TRIM(IF(LEN(IF(LEN(INDEX('Providers'!$Z$4:$Z$503,24))=0,"",INDEX('Providers'!$Z$4:$Z$503,24)))=0,"","Payer(s): "&amp;IF(LEN(INDEX('Providers'!$Z$4:$Z$503,24))=0,"",INDEX('Providers'!$Z$4:$Z$503,24))&amp;". "))</f>
        <v/>
      </c>
      <c r="J4027">
        <f>IF(LEN(INDEX('Providers'!$AJ$4:$AJ$503,24))=0,"",INDEX('Providers'!$AJ$4:$AJ$503,24))</f>
        <v/>
      </c>
      <c r="K4027">
        <f>IF(LEN(INDEX('Providers'!$AI$4:$AI$503,24))=0,"",INDEX('Providers'!$AI$4:$AI$503,24))</f>
        <v/>
      </c>
    </row>
    <row r="4028">
      <c r="A4028">
        <f>IF(AND(LEN('Providers'!A28)&gt;0,ISNUMBER('Providers'!AA28)),1,0)</f>
        <v/>
      </c>
      <c r="B4028">
        <f>B4027+A4028</f>
        <v/>
      </c>
      <c r="C4028">
        <f>IF(4025&gt;$B$4503,"",MATCH(4025-0.5,$B$3:$B$4503,1))</f>
        <v/>
      </c>
      <c r="D4028">
        <f>"Payer recredentialing – "&amp;IF(LEN(INDEX('Providers'!$A$4:$A$503,25))=0,"",INDEX('Providers'!$A$4:$A$503,25))</f>
        <v/>
      </c>
      <c r="E4028">
        <f>IF(ISNUMBER(INDEX('Providers'!$AA$4:$AA$503,25)),TEXT(INDEX('Providers'!$AA$4:$AA$503,25),"yyyy-mm-dd"),"")</f>
        <v/>
      </c>
      <c r="F4028">
        <f>"Credentialing"</f>
        <v/>
      </c>
      <c r="G4028">
        <f>""</f>
        <v/>
      </c>
      <c r="H4028">
        <f>"High"</f>
        <v/>
      </c>
      <c r="I4028">
        <f>TRIM(IF(LEN(IF(LEN(INDEX('Providers'!$Z$4:$Z$503,25))=0,"",INDEX('Providers'!$Z$4:$Z$503,25)))=0,"","Payer(s): "&amp;IF(LEN(INDEX('Providers'!$Z$4:$Z$503,25))=0,"",INDEX('Providers'!$Z$4:$Z$503,25))&amp;". "))</f>
        <v/>
      </c>
      <c r="J4028">
        <f>IF(LEN(INDEX('Providers'!$AJ$4:$AJ$503,25))=0,"",INDEX('Providers'!$AJ$4:$AJ$503,25))</f>
        <v/>
      </c>
      <c r="K4028">
        <f>IF(LEN(INDEX('Providers'!$AI$4:$AI$503,25))=0,"",INDEX('Providers'!$AI$4:$AI$503,25))</f>
        <v/>
      </c>
    </row>
    <row r="4029">
      <c r="A4029">
        <f>IF(AND(LEN('Providers'!A29)&gt;0,ISNUMBER('Providers'!AA29)),1,0)</f>
        <v/>
      </c>
      <c r="B4029">
        <f>B4028+A4029</f>
        <v/>
      </c>
      <c r="C4029">
        <f>IF(4026&gt;$B$4503,"",MATCH(4026-0.5,$B$3:$B$4503,1))</f>
        <v/>
      </c>
      <c r="D4029">
        <f>"Payer recredentialing – "&amp;IF(LEN(INDEX('Providers'!$A$4:$A$503,26))=0,"",INDEX('Providers'!$A$4:$A$503,26))</f>
        <v/>
      </c>
      <c r="E4029">
        <f>IF(ISNUMBER(INDEX('Providers'!$AA$4:$AA$503,26)),TEXT(INDEX('Providers'!$AA$4:$AA$503,26),"yyyy-mm-dd"),"")</f>
        <v/>
      </c>
      <c r="F4029">
        <f>"Credentialing"</f>
        <v/>
      </c>
      <c r="G4029">
        <f>""</f>
        <v/>
      </c>
      <c r="H4029">
        <f>"High"</f>
        <v/>
      </c>
      <c r="I4029">
        <f>TRIM(IF(LEN(IF(LEN(INDEX('Providers'!$Z$4:$Z$503,26))=0,"",INDEX('Providers'!$Z$4:$Z$503,26)))=0,"","Payer(s): "&amp;IF(LEN(INDEX('Providers'!$Z$4:$Z$503,26))=0,"",INDEX('Providers'!$Z$4:$Z$503,26))&amp;". "))</f>
        <v/>
      </c>
      <c r="J4029">
        <f>IF(LEN(INDEX('Providers'!$AJ$4:$AJ$503,26))=0,"",INDEX('Providers'!$AJ$4:$AJ$503,26))</f>
        <v/>
      </c>
      <c r="K4029">
        <f>IF(LEN(INDEX('Providers'!$AI$4:$AI$503,26))=0,"",INDEX('Providers'!$AI$4:$AI$503,26))</f>
        <v/>
      </c>
    </row>
    <row r="4030">
      <c r="A4030">
        <f>IF(AND(LEN('Providers'!A30)&gt;0,ISNUMBER('Providers'!AA30)),1,0)</f>
        <v/>
      </c>
      <c r="B4030">
        <f>B4029+A4030</f>
        <v/>
      </c>
      <c r="C4030">
        <f>IF(4027&gt;$B$4503,"",MATCH(4027-0.5,$B$3:$B$4503,1))</f>
        <v/>
      </c>
      <c r="D4030">
        <f>"Payer recredentialing – "&amp;IF(LEN(INDEX('Providers'!$A$4:$A$503,27))=0,"",INDEX('Providers'!$A$4:$A$503,27))</f>
        <v/>
      </c>
      <c r="E4030">
        <f>IF(ISNUMBER(INDEX('Providers'!$AA$4:$AA$503,27)),TEXT(INDEX('Providers'!$AA$4:$AA$503,27),"yyyy-mm-dd"),"")</f>
        <v/>
      </c>
      <c r="F4030">
        <f>"Credentialing"</f>
        <v/>
      </c>
      <c r="G4030">
        <f>""</f>
        <v/>
      </c>
      <c r="H4030">
        <f>"High"</f>
        <v/>
      </c>
      <c r="I4030">
        <f>TRIM(IF(LEN(IF(LEN(INDEX('Providers'!$Z$4:$Z$503,27))=0,"",INDEX('Providers'!$Z$4:$Z$503,27)))=0,"","Payer(s): "&amp;IF(LEN(INDEX('Providers'!$Z$4:$Z$503,27))=0,"",INDEX('Providers'!$Z$4:$Z$503,27))&amp;". "))</f>
        <v/>
      </c>
      <c r="J4030">
        <f>IF(LEN(INDEX('Providers'!$AJ$4:$AJ$503,27))=0,"",INDEX('Providers'!$AJ$4:$AJ$503,27))</f>
        <v/>
      </c>
      <c r="K4030">
        <f>IF(LEN(INDEX('Providers'!$AI$4:$AI$503,27))=0,"",INDEX('Providers'!$AI$4:$AI$503,27))</f>
        <v/>
      </c>
    </row>
    <row r="4031">
      <c r="A4031">
        <f>IF(AND(LEN('Providers'!A31)&gt;0,ISNUMBER('Providers'!AA31)),1,0)</f>
        <v/>
      </c>
      <c r="B4031">
        <f>B4030+A4031</f>
        <v/>
      </c>
      <c r="C4031">
        <f>IF(4028&gt;$B$4503,"",MATCH(4028-0.5,$B$3:$B$4503,1))</f>
        <v/>
      </c>
      <c r="D4031">
        <f>"Payer recredentialing – "&amp;IF(LEN(INDEX('Providers'!$A$4:$A$503,28))=0,"",INDEX('Providers'!$A$4:$A$503,28))</f>
        <v/>
      </c>
      <c r="E4031">
        <f>IF(ISNUMBER(INDEX('Providers'!$AA$4:$AA$503,28)),TEXT(INDEX('Providers'!$AA$4:$AA$503,28),"yyyy-mm-dd"),"")</f>
        <v/>
      </c>
      <c r="F4031">
        <f>"Credentialing"</f>
        <v/>
      </c>
      <c r="G4031">
        <f>""</f>
        <v/>
      </c>
      <c r="H4031">
        <f>"High"</f>
        <v/>
      </c>
      <c r="I4031">
        <f>TRIM(IF(LEN(IF(LEN(INDEX('Providers'!$Z$4:$Z$503,28))=0,"",INDEX('Providers'!$Z$4:$Z$503,28)))=0,"","Payer(s): "&amp;IF(LEN(INDEX('Providers'!$Z$4:$Z$503,28))=0,"",INDEX('Providers'!$Z$4:$Z$503,28))&amp;". "))</f>
        <v/>
      </c>
      <c r="J4031">
        <f>IF(LEN(INDEX('Providers'!$AJ$4:$AJ$503,28))=0,"",INDEX('Providers'!$AJ$4:$AJ$503,28))</f>
        <v/>
      </c>
      <c r="K4031">
        <f>IF(LEN(INDEX('Providers'!$AI$4:$AI$503,28))=0,"",INDEX('Providers'!$AI$4:$AI$503,28))</f>
        <v/>
      </c>
    </row>
    <row r="4032">
      <c r="A4032">
        <f>IF(AND(LEN('Providers'!A32)&gt;0,ISNUMBER('Providers'!AA32)),1,0)</f>
        <v/>
      </c>
      <c r="B4032">
        <f>B4031+A4032</f>
        <v/>
      </c>
      <c r="C4032">
        <f>IF(4029&gt;$B$4503,"",MATCH(4029-0.5,$B$3:$B$4503,1))</f>
        <v/>
      </c>
      <c r="D4032">
        <f>"Payer recredentialing – "&amp;IF(LEN(INDEX('Providers'!$A$4:$A$503,29))=0,"",INDEX('Providers'!$A$4:$A$503,29))</f>
        <v/>
      </c>
      <c r="E4032">
        <f>IF(ISNUMBER(INDEX('Providers'!$AA$4:$AA$503,29)),TEXT(INDEX('Providers'!$AA$4:$AA$503,29),"yyyy-mm-dd"),"")</f>
        <v/>
      </c>
      <c r="F4032">
        <f>"Credentialing"</f>
        <v/>
      </c>
      <c r="G4032">
        <f>""</f>
        <v/>
      </c>
      <c r="H4032">
        <f>"High"</f>
        <v/>
      </c>
      <c r="I4032">
        <f>TRIM(IF(LEN(IF(LEN(INDEX('Providers'!$Z$4:$Z$503,29))=0,"",INDEX('Providers'!$Z$4:$Z$503,29)))=0,"","Payer(s): "&amp;IF(LEN(INDEX('Providers'!$Z$4:$Z$503,29))=0,"",INDEX('Providers'!$Z$4:$Z$503,29))&amp;". "))</f>
        <v/>
      </c>
      <c r="J4032">
        <f>IF(LEN(INDEX('Providers'!$AJ$4:$AJ$503,29))=0,"",INDEX('Providers'!$AJ$4:$AJ$503,29))</f>
        <v/>
      </c>
      <c r="K4032">
        <f>IF(LEN(INDEX('Providers'!$AI$4:$AI$503,29))=0,"",INDEX('Providers'!$AI$4:$AI$503,29))</f>
        <v/>
      </c>
    </row>
    <row r="4033">
      <c r="A4033">
        <f>IF(AND(LEN('Providers'!A33)&gt;0,ISNUMBER('Providers'!AA33)),1,0)</f>
        <v/>
      </c>
      <c r="B4033">
        <f>B4032+A4033</f>
        <v/>
      </c>
      <c r="C4033">
        <f>IF(4030&gt;$B$4503,"",MATCH(4030-0.5,$B$3:$B$4503,1))</f>
        <v/>
      </c>
      <c r="D4033">
        <f>"Payer recredentialing – "&amp;IF(LEN(INDEX('Providers'!$A$4:$A$503,30))=0,"",INDEX('Providers'!$A$4:$A$503,30))</f>
        <v/>
      </c>
      <c r="E4033">
        <f>IF(ISNUMBER(INDEX('Providers'!$AA$4:$AA$503,30)),TEXT(INDEX('Providers'!$AA$4:$AA$503,30),"yyyy-mm-dd"),"")</f>
        <v/>
      </c>
      <c r="F4033">
        <f>"Credentialing"</f>
        <v/>
      </c>
      <c r="G4033">
        <f>""</f>
        <v/>
      </c>
      <c r="H4033">
        <f>"High"</f>
        <v/>
      </c>
      <c r="I4033">
        <f>TRIM(IF(LEN(IF(LEN(INDEX('Providers'!$Z$4:$Z$503,30))=0,"",INDEX('Providers'!$Z$4:$Z$503,30)))=0,"","Payer(s): "&amp;IF(LEN(INDEX('Providers'!$Z$4:$Z$503,30))=0,"",INDEX('Providers'!$Z$4:$Z$503,30))&amp;". "))</f>
        <v/>
      </c>
      <c r="J4033">
        <f>IF(LEN(INDEX('Providers'!$AJ$4:$AJ$503,30))=0,"",INDEX('Providers'!$AJ$4:$AJ$503,30))</f>
        <v/>
      </c>
      <c r="K4033">
        <f>IF(LEN(INDEX('Providers'!$AI$4:$AI$503,30))=0,"",INDEX('Providers'!$AI$4:$AI$503,30))</f>
        <v/>
      </c>
    </row>
    <row r="4034">
      <c r="A4034">
        <f>IF(AND(LEN('Providers'!A34)&gt;0,ISNUMBER('Providers'!AA34)),1,0)</f>
        <v/>
      </c>
      <c r="B4034">
        <f>B4033+A4034</f>
        <v/>
      </c>
      <c r="C4034">
        <f>IF(4031&gt;$B$4503,"",MATCH(4031-0.5,$B$3:$B$4503,1))</f>
        <v/>
      </c>
      <c r="D4034">
        <f>"Payer recredentialing – "&amp;IF(LEN(INDEX('Providers'!$A$4:$A$503,31))=0,"",INDEX('Providers'!$A$4:$A$503,31))</f>
        <v/>
      </c>
      <c r="E4034">
        <f>IF(ISNUMBER(INDEX('Providers'!$AA$4:$AA$503,31)),TEXT(INDEX('Providers'!$AA$4:$AA$503,31),"yyyy-mm-dd"),"")</f>
        <v/>
      </c>
      <c r="F4034">
        <f>"Credentialing"</f>
        <v/>
      </c>
      <c r="G4034">
        <f>""</f>
        <v/>
      </c>
      <c r="H4034">
        <f>"High"</f>
        <v/>
      </c>
      <c r="I4034">
        <f>TRIM(IF(LEN(IF(LEN(INDEX('Providers'!$Z$4:$Z$503,31))=0,"",INDEX('Providers'!$Z$4:$Z$503,31)))=0,"","Payer(s): "&amp;IF(LEN(INDEX('Providers'!$Z$4:$Z$503,31))=0,"",INDEX('Providers'!$Z$4:$Z$503,31))&amp;". "))</f>
        <v/>
      </c>
      <c r="J4034">
        <f>IF(LEN(INDEX('Providers'!$AJ$4:$AJ$503,31))=0,"",INDEX('Providers'!$AJ$4:$AJ$503,31))</f>
        <v/>
      </c>
      <c r="K4034">
        <f>IF(LEN(INDEX('Providers'!$AI$4:$AI$503,31))=0,"",INDEX('Providers'!$AI$4:$AI$503,31))</f>
        <v/>
      </c>
    </row>
    <row r="4035">
      <c r="A4035">
        <f>IF(AND(LEN('Providers'!A35)&gt;0,ISNUMBER('Providers'!AA35)),1,0)</f>
        <v/>
      </c>
      <c r="B4035">
        <f>B4034+A4035</f>
        <v/>
      </c>
      <c r="C4035">
        <f>IF(4032&gt;$B$4503,"",MATCH(4032-0.5,$B$3:$B$4503,1))</f>
        <v/>
      </c>
      <c r="D4035">
        <f>"Payer recredentialing – "&amp;IF(LEN(INDEX('Providers'!$A$4:$A$503,32))=0,"",INDEX('Providers'!$A$4:$A$503,32))</f>
        <v/>
      </c>
      <c r="E4035">
        <f>IF(ISNUMBER(INDEX('Providers'!$AA$4:$AA$503,32)),TEXT(INDEX('Providers'!$AA$4:$AA$503,32),"yyyy-mm-dd"),"")</f>
        <v/>
      </c>
      <c r="F4035">
        <f>"Credentialing"</f>
        <v/>
      </c>
      <c r="G4035">
        <f>""</f>
        <v/>
      </c>
      <c r="H4035">
        <f>"High"</f>
        <v/>
      </c>
      <c r="I4035">
        <f>TRIM(IF(LEN(IF(LEN(INDEX('Providers'!$Z$4:$Z$503,32))=0,"",INDEX('Providers'!$Z$4:$Z$503,32)))=0,"","Payer(s): "&amp;IF(LEN(INDEX('Providers'!$Z$4:$Z$503,32))=0,"",INDEX('Providers'!$Z$4:$Z$503,32))&amp;". "))</f>
        <v/>
      </c>
      <c r="J4035">
        <f>IF(LEN(INDEX('Providers'!$AJ$4:$AJ$503,32))=0,"",INDEX('Providers'!$AJ$4:$AJ$503,32))</f>
        <v/>
      </c>
      <c r="K4035">
        <f>IF(LEN(INDEX('Providers'!$AI$4:$AI$503,32))=0,"",INDEX('Providers'!$AI$4:$AI$503,32))</f>
        <v/>
      </c>
    </row>
    <row r="4036">
      <c r="A4036">
        <f>IF(AND(LEN('Providers'!A36)&gt;0,ISNUMBER('Providers'!AA36)),1,0)</f>
        <v/>
      </c>
      <c r="B4036">
        <f>B4035+A4036</f>
        <v/>
      </c>
      <c r="C4036">
        <f>IF(4033&gt;$B$4503,"",MATCH(4033-0.5,$B$3:$B$4503,1))</f>
        <v/>
      </c>
      <c r="D4036">
        <f>"Payer recredentialing – "&amp;IF(LEN(INDEX('Providers'!$A$4:$A$503,33))=0,"",INDEX('Providers'!$A$4:$A$503,33))</f>
        <v/>
      </c>
      <c r="E4036">
        <f>IF(ISNUMBER(INDEX('Providers'!$AA$4:$AA$503,33)),TEXT(INDEX('Providers'!$AA$4:$AA$503,33),"yyyy-mm-dd"),"")</f>
        <v/>
      </c>
      <c r="F4036">
        <f>"Credentialing"</f>
        <v/>
      </c>
      <c r="G4036">
        <f>""</f>
        <v/>
      </c>
      <c r="H4036">
        <f>"High"</f>
        <v/>
      </c>
      <c r="I4036">
        <f>TRIM(IF(LEN(IF(LEN(INDEX('Providers'!$Z$4:$Z$503,33))=0,"",INDEX('Providers'!$Z$4:$Z$503,33)))=0,"","Payer(s): "&amp;IF(LEN(INDEX('Providers'!$Z$4:$Z$503,33))=0,"",INDEX('Providers'!$Z$4:$Z$503,33))&amp;". "))</f>
        <v/>
      </c>
      <c r="J4036">
        <f>IF(LEN(INDEX('Providers'!$AJ$4:$AJ$503,33))=0,"",INDEX('Providers'!$AJ$4:$AJ$503,33))</f>
        <v/>
      </c>
      <c r="K4036">
        <f>IF(LEN(INDEX('Providers'!$AI$4:$AI$503,33))=0,"",INDEX('Providers'!$AI$4:$AI$503,33))</f>
        <v/>
      </c>
    </row>
    <row r="4037">
      <c r="A4037">
        <f>IF(AND(LEN('Providers'!A37)&gt;0,ISNUMBER('Providers'!AA37)),1,0)</f>
        <v/>
      </c>
      <c r="B4037">
        <f>B4036+A4037</f>
        <v/>
      </c>
      <c r="C4037">
        <f>IF(4034&gt;$B$4503,"",MATCH(4034-0.5,$B$3:$B$4503,1))</f>
        <v/>
      </c>
      <c r="D4037">
        <f>"Payer recredentialing – "&amp;IF(LEN(INDEX('Providers'!$A$4:$A$503,34))=0,"",INDEX('Providers'!$A$4:$A$503,34))</f>
        <v/>
      </c>
      <c r="E4037">
        <f>IF(ISNUMBER(INDEX('Providers'!$AA$4:$AA$503,34)),TEXT(INDEX('Providers'!$AA$4:$AA$503,34),"yyyy-mm-dd"),"")</f>
        <v/>
      </c>
      <c r="F4037">
        <f>"Credentialing"</f>
        <v/>
      </c>
      <c r="G4037">
        <f>""</f>
        <v/>
      </c>
      <c r="H4037">
        <f>"High"</f>
        <v/>
      </c>
      <c r="I4037">
        <f>TRIM(IF(LEN(IF(LEN(INDEX('Providers'!$Z$4:$Z$503,34))=0,"",INDEX('Providers'!$Z$4:$Z$503,34)))=0,"","Payer(s): "&amp;IF(LEN(INDEX('Providers'!$Z$4:$Z$503,34))=0,"",INDEX('Providers'!$Z$4:$Z$503,34))&amp;". "))</f>
        <v/>
      </c>
      <c r="J4037">
        <f>IF(LEN(INDEX('Providers'!$AJ$4:$AJ$503,34))=0,"",INDEX('Providers'!$AJ$4:$AJ$503,34))</f>
        <v/>
      </c>
      <c r="K4037">
        <f>IF(LEN(INDEX('Providers'!$AI$4:$AI$503,34))=0,"",INDEX('Providers'!$AI$4:$AI$503,34))</f>
        <v/>
      </c>
    </row>
    <row r="4038">
      <c r="A4038">
        <f>IF(AND(LEN('Providers'!A38)&gt;0,ISNUMBER('Providers'!AA38)),1,0)</f>
        <v/>
      </c>
      <c r="B4038">
        <f>B4037+A4038</f>
        <v/>
      </c>
      <c r="C4038">
        <f>IF(4035&gt;$B$4503,"",MATCH(4035-0.5,$B$3:$B$4503,1))</f>
        <v/>
      </c>
      <c r="D4038">
        <f>"Payer recredentialing – "&amp;IF(LEN(INDEX('Providers'!$A$4:$A$503,35))=0,"",INDEX('Providers'!$A$4:$A$503,35))</f>
        <v/>
      </c>
      <c r="E4038">
        <f>IF(ISNUMBER(INDEX('Providers'!$AA$4:$AA$503,35)),TEXT(INDEX('Providers'!$AA$4:$AA$503,35),"yyyy-mm-dd"),"")</f>
        <v/>
      </c>
      <c r="F4038">
        <f>"Credentialing"</f>
        <v/>
      </c>
      <c r="G4038">
        <f>""</f>
        <v/>
      </c>
      <c r="H4038">
        <f>"High"</f>
        <v/>
      </c>
      <c r="I4038">
        <f>TRIM(IF(LEN(IF(LEN(INDEX('Providers'!$Z$4:$Z$503,35))=0,"",INDEX('Providers'!$Z$4:$Z$503,35)))=0,"","Payer(s): "&amp;IF(LEN(INDEX('Providers'!$Z$4:$Z$503,35))=0,"",INDEX('Providers'!$Z$4:$Z$503,35))&amp;". "))</f>
        <v/>
      </c>
      <c r="J4038">
        <f>IF(LEN(INDEX('Providers'!$AJ$4:$AJ$503,35))=0,"",INDEX('Providers'!$AJ$4:$AJ$503,35))</f>
        <v/>
      </c>
      <c r="K4038">
        <f>IF(LEN(INDEX('Providers'!$AI$4:$AI$503,35))=0,"",INDEX('Providers'!$AI$4:$AI$503,35))</f>
        <v/>
      </c>
    </row>
    <row r="4039">
      <c r="A4039">
        <f>IF(AND(LEN('Providers'!A39)&gt;0,ISNUMBER('Providers'!AA39)),1,0)</f>
        <v/>
      </c>
      <c r="B4039">
        <f>B4038+A4039</f>
        <v/>
      </c>
      <c r="C4039">
        <f>IF(4036&gt;$B$4503,"",MATCH(4036-0.5,$B$3:$B$4503,1))</f>
        <v/>
      </c>
      <c r="D4039">
        <f>"Payer recredentialing – "&amp;IF(LEN(INDEX('Providers'!$A$4:$A$503,36))=0,"",INDEX('Providers'!$A$4:$A$503,36))</f>
        <v/>
      </c>
      <c r="E4039">
        <f>IF(ISNUMBER(INDEX('Providers'!$AA$4:$AA$503,36)),TEXT(INDEX('Providers'!$AA$4:$AA$503,36),"yyyy-mm-dd"),"")</f>
        <v/>
      </c>
      <c r="F4039">
        <f>"Credentialing"</f>
        <v/>
      </c>
      <c r="G4039">
        <f>""</f>
        <v/>
      </c>
      <c r="H4039">
        <f>"High"</f>
        <v/>
      </c>
      <c r="I4039">
        <f>TRIM(IF(LEN(IF(LEN(INDEX('Providers'!$Z$4:$Z$503,36))=0,"",INDEX('Providers'!$Z$4:$Z$503,36)))=0,"","Payer(s): "&amp;IF(LEN(INDEX('Providers'!$Z$4:$Z$503,36))=0,"",INDEX('Providers'!$Z$4:$Z$503,36))&amp;". "))</f>
        <v/>
      </c>
      <c r="J4039">
        <f>IF(LEN(INDEX('Providers'!$AJ$4:$AJ$503,36))=0,"",INDEX('Providers'!$AJ$4:$AJ$503,36))</f>
        <v/>
      </c>
      <c r="K4039">
        <f>IF(LEN(INDEX('Providers'!$AI$4:$AI$503,36))=0,"",INDEX('Providers'!$AI$4:$AI$503,36))</f>
        <v/>
      </c>
    </row>
    <row r="4040">
      <c r="A4040">
        <f>IF(AND(LEN('Providers'!A40)&gt;0,ISNUMBER('Providers'!AA40)),1,0)</f>
        <v/>
      </c>
      <c r="B4040">
        <f>B4039+A4040</f>
        <v/>
      </c>
      <c r="C4040">
        <f>IF(4037&gt;$B$4503,"",MATCH(4037-0.5,$B$3:$B$4503,1))</f>
        <v/>
      </c>
      <c r="D4040">
        <f>"Payer recredentialing – "&amp;IF(LEN(INDEX('Providers'!$A$4:$A$503,37))=0,"",INDEX('Providers'!$A$4:$A$503,37))</f>
        <v/>
      </c>
      <c r="E4040">
        <f>IF(ISNUMBER(INDEX('Providers'!$AA$4:$AA$503,37)),TEXT(INDEX('Providers'!$AA$4:$AA$503,37),"yyyy-mm-dd"),"")</f>
        <v/>
      </c>
      <c r="F4040">
        <f>"Credentialing"</f>
        <v/>
      </c>
      <c r="G4040">
        <f>""</f>
        <v/>
      </c>
      <c r="H4040">
        <f>"High"</f>
        <v/>
      </c>
      <c r="I4040">
        <f>TRIM(IF(LEN(IF(LEN(INDEX('Providers'!$Z$4:$Z$503,37))=0,"",INDEX('Providers'!$Z$4:$Z$503,37)))=0,"","Payer(s): "&amp;IF(LEN(INDEX('Providers'!$Z$4:$Z$503,37))=0,"",INDEX('Providers'!$Z$4:$Z$503,37))&amp;". "))</f>
        <v/>
      </c>
      <c r="J4040">
        <f>IF(LEN(INDEX('Providers'!$AJ$4:$AJ$503,37))=0,"",INDEX('Providers'!$AJ$4:$AJ$503,37))</f>
        <v/>
      </c>
      <c r="K4040">
        <f>IF(LEN(INDEX('Providers'!$AI$4:$AI$503,37))=0,"",INDEX('Providers'!$AI$4:$AI$503,37))</f>
        <v/>
      </c>
    </row>
    <row r="4041">
      <c r="A4041">
        <f>IF(AND(LEN('Providers'!A41)&gt;0,ISNUMBER('Providers'!AA41)),1,0)</f>
        <v/>
      </c>
      <c r="B4041">
        <f>B4040+A4041</f>
        <v/>
      </c>
      <c r="C4041">
        <f>IF(4038&gt;$B$4503,"",MATCH(4038-0.5,$B$3:$B$4503,1))</f>
        <v/>
      </c>
      <c r="D4041">
        <f>"Payer recredentialing – "&amp;IF(LEN(INDEX('Providers'!$A$4:$A$503,38))=0,"",INDEX('Providers'!$A$4:$A$503,38))</f>
        <v/>
      </c>
      <c r="E4041">
        <f>IF(ISNUMBER(INDEX('Providers'!$AA$4:$AA$503,38)),TEXT(INDEX('Providers'!$AA$4:$AA$503,38),"yyyy-mm-dd"),"")</f>
        <v/>
      </c>
      <c r="F4041">
        <f>"Credentialing"</f>
        <v/>
      </c>
      <c r="G4041">
        <f>""</f>
        <v/>
      </c>
      <c r="H4041">
        <f>"High"</f>
        <v/>
      </c>
      <c r="I4041">
        <f>TRIM(IF(LEN(IF(LEN(INDEX('Providers'!$Z$4:$Z$503,38))=0,"",INDEX('Providers'!$Z$4:$Z$503,38)))=0,"","Payer(s): "&amp;IF(LEN(INDEX('Providers'!$Z$4:$Z$503,38))=0,"",INDEX('Providers'!$Z$4:$Z$503,38))&amp;". "))</f>
        <v/>
      </c>
      <c r="J4041">
        <f>IF(LEN(INDEX('Providers'!$AJ$4:$AJ$503,38))=0,"",INDEX('Providers'!$AJ$4:$AJ$503,38))</f>
        <v/>
      </c>
      <c r="K4041">
        <f>IF(LEN(INDEX('Providers'!$AI$4:$AI$503,38))=0,"",INDEX('Providers'!$AI$4:$AI$503,38))</f>
        <v/>
      </c>
    </row>
    <row r="4042">
      <c r="A4042">
        <f>IF(AND(LEN('Providers'!A42)&gt;0,ISNUMBER('Providers'!AA42)),1,0)</f>
        <v/>
      </c>
      <c r="B4042">
        <f>B4041+A4042</f>
        <v/>
      </c>
      <c r="C4042">
        <f>IF(4039&gt;$B$4503,"",MATCH(4039-0.5,$B$3:$B$4503,1))</f>
        <v/>
      </c>
      <c r="D4042">
        <f>"Payer recredentialing – "&amp;IF(LEN(INDEX('Providers'!$A$4:$A$503,39))=0,"",INDEX('Providers'!$A$4:$A$503,39))</f>
        <v/>
      </c>
      <c r="E4042">
        <f>IF(ISNUMBER(INDEX('Providers'!$AA$4:$AA$503,39)),TEXT(INDEX('Providers'!$AA$4:$AA$503,39),"yyyy-mm-dd"),"")</f>
        <v/>
      </c>
      <c r="F4042">
        <f>"Credentialing"</f>
        <v/>
      </c>
      <c r="G4042">
        <f>""</f>
        <v/>
      </c>
      <c r="H4042">
        <f>"High"</f>
        <v/>
      </c>
      <c r="I4042">
        <f>TRIM(IF(LEN(IF(LEN(INDEX('Providers'!$Z$4:$Z$503,39))=0,"",INDEX('Providers'!$Z$4:$Z$503,39)))=0,"","Payer(s): "&amp;IF(LEN(INDEX('Providers'!$Z$4:$Z$503,39))=0,"",INDEX('Providers'!$Z$4:$Z$503,39))&amp;". "))</f>
        <v/>
      </c>
      <c r="J4042">
        <f>IF(LEN(INDEX('Providers'!$AJ$4:$AJ$503,39))=0,"",INDEX('Providers'!$AJ$4:$AJ$503,39))</f>
        <v/>
      </c>
      <c r="K4042">
        <f>IF(LEN(INDEX('Providers'!$AI$4:$AI$503,39))=0,"",INDEX('Providers'!$AI$4:$AI$503,39))</f>
        <v/>
      </c>
    </row>
    <row r="4043">
      <c r="A4043">
        <f>IF(AND(LEN('Providers'!A43)&gt;0,ISNUMBER('Providers'!AA43)),1,0)</f>
        <v/>
      </c>
      <c r="B4043">
        <f>B4042+A4043</f>
        <v/>
      </c>
      <c r="C4043">
        <f>IF(4040&gt;$B$4503,"",MATCH(4040-0.5,$B$3:$B$4503,1))</f>
        <v/>
      </c>
      <c r="D4043">
        <f>"Payer recredentialing – "&amp;IF(LEN(INDEX('Providers'!$A$4:$A$503,40))=0,"",INDEX('Providers'!$A$4:$A$503,40))</f>
        <v/>
      </c>
      <c r="E4043">
        <f>IF(ISNUMBER(INDEX('Providers'!$AA$4:$AA$503,40)),TEXT(INDEX('Providers'!$AA$4:$AA$503,40),"yyyy-mm-dd"),"")</f>
        <v/>
      </c>
      <c r="F4043">
        <f>"Credentialing"</f>
        <v/>
      </c>
      <c r="G4043">
        <f>""</f>
        <v/>
      </c>
      <c r="H4043">
        <f>"High"</f>
        <v/>
      </c>
      <c r="I4043">
        <f>TRIM(IF(LEN(IF(LEN(INDEX('Providers'!$Z$4:$Z$503,40))=0,"",INDEX('Providers'!$Z$4:$Z$503,40)))=0,"","Payer(s): "&amp;IF(LEN(INDEX('Providers'!$Z$4:$Z$503,40))=0,"",INDEX('Providers'!$Z$4:$Z$503,40))&amp;". "))</f>
        <v/>
      </c>
      <c r="J4043">
        <f>IF(LEN(INDEX('Providers'!$AJ$4:$AJ$503,40))=0,"",INDEX('Providers'!$AJ$4:$AJ$503,40))</f>
        <v/>
      </c>
      <c r="K4043">
        <f>IF(LEN(INDEX('Providers'!$AI$4:$AI$503,40))=0,"",INDEX('Providers'!$AI$4:$AI$503,40))</f>
        <v/>
      </c>
    </row>
    <row r="4044">
      <c r="A4044">
        <f>IF(AND(LEN('Providers'!A44)&gt;0,ISNUMBER('Providers'!AA44)),1,0)</f>
        <v/>
      </c>
      <c r="B4044">
        <f>B4043+A4044</f>
        <v/>
      </c>
      <c r="C4044">
        <f>IF(4041&gt;$B$4503,"",MATCH(4041-0.5,$B$3:$B$4503,1))</f>
        <v/>
      </c>
      <c r="D4044">
        <f>"Payer recredentialing – "&amp;IF(LEN(INDEX('Providers'!$A$4:$A$503,41))=0,"",INDEX('Providers'!$A$4:$A$503,41))</f>
        <v/>
      </c>
      <c r="E4044">
        <f>IF(ISNUMBER(INDEX('Providers'!$AA$4:$AA$503,41)),TEXT(INDEX('Providers'!$AA$4:$AA$503,41),"yyyy-mm-dd"),"")</f>
        <v/>
      </c>
      <c r="F4044">
        <f>"Credentialing"</f>
        <v/>
      </c>
      <c r="G4044">
        <f>""</f>
        <v/>
      </c>
      <c r="H4044">
        <f>"High"</f>
        <v/>
      </c>
      <c r="I4044">
        <f>TRIM(IF(LEN(IF(LEN(INDEX('Providers'!$Z$4:$Z$503,41))=0,"",INDEX('Providers'!$Z$4:$Z$503,41)))=0,"","Payer(s): "&amp;IF(LEN(INDEX('Providers'!$Z$4:$Z$503,41))=0,"",INDEX('Providers'!$Z$4:$Z$503,41))&amp;". "))</f>
        <v/>
      </c>
      <c r="J4044">
        <f>IF(LEN(INDEX('Providers'!$AJ$4:$AJ$503,41))=0,"",INDEX('Providers'!$AJ$4:$AJ$503,41))</f>
        <v/>
      </c>
      <c r="K4044">
        <f>IF(LEN(INDEX('Providers'!$AI$4:$AI$503,41))=0,"",INDEX('Providers'!$AI$4:$AI$503,41))</f>
        <v/>
      </c>
    </row>
    <row r="4045">
      <c r="A4045">
        <f>IF(AND(LEN('Providers'!A45)&gt;0,ISNUMBER('Providers'!AA45)),1,0)</f>
        <v/>
      </c>
      <c r="B4045">
        <f>B4044+A4045</f>
        <v/>
      </c>
      <c r="C4045">
        <f>IF(4042&gt;$B$4503,"",MATCH(4042-0.5,$B$3:$B$4503,1))</f>
        <v/>
      </c>
      <c r="D4045">
        <f>"Payer recredentialing – "&amp;IF(LEN(INDEX('Providers'!$A$4:$A$503,42))=0,"",INDEX('Providers'!$A$4:$A$503,42))</f>
        <v/>
      </c>
      <c r="E4045">
        <f>IF(ISNUMBER(INDEX('Providers'!$AA$4:$AA$503,42)),TEXT(INDEX('Providers'!$AA$4:$AA$503,42),"yyyy-mm-dd"),"")</f>
        <v/>
      </c>
      <c r="F4045">
        <f>"Credentialing"</f>
        <v/>
      </c>
      <c r="G4045">
        <f>""</f>
        <v/>
      </c>
      <c r="H4045">
        <f>"High"</f>
        <v/>
      </c>
      <c r="I4045">
        <f>TRIM(IF(LEN(IF(LEN(INDEX('Providers'!$Z$4:$Z$503,42))=0,"",INDEX('Providers'!$Z$4:$Z$503,42)))=0,"","Payer(s): "&amp;IF(LEN(INDEX('Providers'!$Z$4:$Z$503,42))=0,"",INDEX('Providers'!$Z$4:$Z$503,42))&amp;". "))</f>
        <v/>
      </c>
      <c r="J4045">
        <f>IF(LEN(INDEX('Providers'!$AJ$4:$AJ$503,42))=0,"",INDEX('Providers'!$AJ$4:$AJ$503,42))</f>
        <v/>
      </c>
      <c r="K4045">
        <f>IF(LEN(INDEX('Providers'!$AI$4:$AI$503,42))=0,"",INDEX('Providers'!$AI$4:$AI$503,42))</f>
        <v/>
      </c>
    </row>
    <row r="4046">
      <c r="A4046">
        <f>IF(AND(LEN('Providers'!A46)&gt;0,ISNUMBER('Providers'!AA46)),1,0)</f>
        <v/>
      </c>
      <c r="B4046">
        <f>B4045+A4046</f>
        <v/>
      </c>
      <c r="C4046">
        <f>IF(4043&gt;$B$4503,"",MATCH(4043-0.5,$B$3:$B$4503,1))</f>
        <v/>
      </c>
      <c r="D4046">
        <f>"Payer recredentialing – "&amp;IF(LEN(INDEX('Providers'!$A$4:$A$503,43))=0,"",INDEX('Providers'!$A$4:$A$503,43))</f>
        <v/>
      </c>
      <c r="E4046">
        <f>IF(ISNUMBER(INDEX('Providers'!$AA$4:$AA$503,43)),TEXT(INDEX('Providers'!$AA$4:$AA$503,43),"yyyy-mm-dd"),"")</f>
        <v/>
      </c>
      <c r="F4046">
        <f>"Credentialing"</f>
        <v/>
      </c>
      <c r="G4046">
        <f>""</f>
        <v/>
      </c>
      <c r="H4046">
        <f>"High"</f>
        <v/>
      </c>
      <c r="I4046">
        <f>TRIM(IF(LEN(IF(LEN(INDEX('Providers'!$Z$4:$Z$503,43))=0,"",INDEX('Providers'!$Z$4:$Z$503,43)))=0,"","Payer(s): "&amp;IF(LEN(INDEX('Providers'!$Z$4:$Z$503,43))=0,"",INDEX('Providers'!$Z$4:$Z$503,43))&amp;". "))</f>
        <v/>
      </c>
      <c r="J4046">
        <f>IF(LEN(INDEX('Providers'!$AJ$4:$AJ$503,43))=0,"",INDEX('Providers'!$AJ$4:$AJ$503,43))</f>
        <v/>
      </c>
      <c r="K4046">
        <f>IF(LEN(INDEX('Providers'!$AI$4:$AI$503,43))=0,"",INDEX('Providers'!$AI$4:$AI$503,43))</f>
        <v/>
      </c>
    </row>
    <row r="4047">
      <c r="A4047">
        <f>IF(AND(LEN('Providers'!A47)&gt;0,ISNUMBER('Providers'!AA47)),1,0)</f>
        <v/>
      </c>
      <c r="B4047">
        <f>B4046+A4047</f>
        <v/>
      </c>
      <c r="C4047">
        <f>IF(4044&gt;$B$4503,"",MATCH(4044-0.5,$B$3:$B$4503,1))</f>
        <v/>
      </c>
      <c r="D4047">
        <f>"Payer recredentialing – "&amp;IF(LEN(INDEX('Providers'!$A$4:$A$503,44))=0,"",INDEX('Providers'!$A$4:$A$503,44))</f>
        <v/>
      </c>
      <c r="E4047">
        <f>IF(ISNUMBER(INDEX('Providers'!$AA$4:$AA$503,44)),TEXT(INDEX('Providers'!$AA$4:$AA$503,44),"yyyy-mm-dd"),"")</f>
        <v/>
      </c>
      <c r="F4047">
        <f>"Credentialing"</f>
        <v/>
      </c>
      <c r="G4047">
        <f>""</f>
        <v/>
      </c>
      <c r="H4047">
        <f>"High"</f>
        <v/>
      </c>
      <c r="I4047">
        <f>TRIM(IF(LEN(IF(LEN(INDEX('Providers'!$Z$4:$Z$503,44))=0,"",INDEX('Providers'!$Z$4:$Z$503,44)))=0,"","Payer(s): "&amp;IF(LEN(INDEX('Providers'!$Z$4:$Z$503,44))=0,"",INDEX('Providers'!$Z$4:$Z$503,44))&amp;". "))</f>
        <v/>
      </c>
      <c r="J4047">
        <f>IF(LEN(INDEX('Providers'!$AJ$4:$AJ$503,44))=0,"",INDEX('Providers'!$AJ$4:$AJ$503,44))</f>
        <v/>
      </c>
      <c r="K4047">
        <f>IF(LEN(INDEX('Providers'!$AI$4:$AI$503,44))=0,"",INDEX('Providers'!$AI$4:$AI$503,44))</f>
        <v/>
      </c>
    </row>
    <row r="4048">
      <c r="A4048">
        <f>IF(AND(LEN('Providers'!A48)&gt;0,ISNUMBER('Providers'!AA48)),1,0)</f>
        <v/>
      </c>
      <c r="B4048">
        <f>B4047+A4048</f>
        <v/>
      </c>
      <c r="C4048">
        <f>IF(4045&gt;$B$4503,"",MATCH(4045-0.5,$B$3:$B$4503,1))</f>
        <v/>
      </c>
      <c r="D4048">
        <f>"Payer recredentialing – "&amp;IF(LEN(INDEX('Providers'!$A$4:$A$503,45))=0,"",INDEX('Providers'!$A$4:$A$503,45))</f>
        <v/>
      </c>
      <c r="E4048">
        <f>IF(ISNUMBER(INDEX('Providers'!$AA$4:$AA$503,45)),TEXT(INDEX('Providers'!$AA$4:$AA$503,45),"yyyy-mm-dd"),"")</f>
        <v/>
      </c>
      <c r="F4048">
        <f>"Credentialing"</f>
        <v/>
      </c>
      <c r="G4048">
        <f>""</f>
        <v/>
      </c>
      <c r="H4048">
        <f>"High"</f>
        <v/>
      </c>
      <c r="I4048">
        <f>TRIM(IF(LEN(IF(LEN(INDEX('Providers'!$Z$4:$Z$503,45))=0,"",INDEX('Providers'!$Z$4:$Z$503,45)))=0,"","Payer(s): "&amp;IF(LEN(INDEX('Providers'!$Z$4:$Z$503,45))=0,"",INDEX('Providers'!$Z$4:$Z$503,45))&amp;". "))</f>
        <v/>
      </c>
      <c r="J4048">
        <f>IF(LEN(INDEX('Providers'!$AJ$4:$AJ$503,45))=0,"",INDEX('Providers'!$AJ$4:$AJ$503,45))</f>
        <v/>
      </c>
      <c r="K4048">
        <f>IF(LEN(INDEX('Providers'!$AI$4:$AI$503,45))=0,"",INDEX('Providers'!$AI$4:$AI$503,45))</f>
        <v/>
      </c>
    </row>
    <row r="4049">
      <c r="A4049">
        <f>IF(AND(LEN('Providers'!A49)&gt;0,ISNUMBER('Providers'!AA49)),1,0)</f>
        <v/>
      </c>
      <c r="B4049">
        <f>B4048+A4049</f>
        <v/>
      </c>
      <c r="C4049">
        <f>IF(4046&gt;$B$4503,"",MATCH(4046-0.5,$B$3:$B$4503,1))</f>
        <v/>
      </c>
      <c r="D4049">
        <f>"Payer recredentialing – "&amp;IF(LEN(INDEX('Providers'!$A$4:$A$503,46))=0,"",INDEX('Providers'!$A$4:$A$503,46))</f>
        <v/>
      </c>
      <c r="E4049">
        <f>IF(ISNUMBER(INDEX('Providers'!$AA$4:$AA$503,46)),TEXT(INDEX('Providers'!$AA$4:$AA$503,46),"yyyy-mm-dd"),"")</f>
        <v/>
      </c>
      <c r="F4049">
        <f>"Credentialing"</f>
        <v/>
      </c>
      <c r="G4049">
        <f>""</f>
        <v/>
      </c>
      <c r="H4049">
        <f>"High"</f>
        <v/>
      </c>
      <c r="I4049">
        <f>TRIM(IF(LEN(IF(LEN(INDEX('Providers'!$Z$4:$Z$503,46))=0,"",INDEX('Providers'!$Z$4:$Z$503,46)))=0,"","Payer(s): "&amp;IF(LEN(INDEX('Providers'!$Z$4:$Z$503,46))=0,"",INDEX('Providers'!$Z$4:$Z$503,46))&amp;". "))</f>
        <v/>
      </c>
      <c r="J4049">
        <f>IF(LEN(INDEX('Providers'!$AJ$4:$AJ$503,46))=0,"",INDEX('Providers'!$AJ$4:$AJ$503,46))</f>
        <v/>
      </c>
      <c r="K4049">
        <f>IF(LEN(INDEX('Providers'!$AI$4:$AI$503,46))=0,"",INDEX('Providers'!$AI$4:$AI$503,46))</f>
        <v/>
      </c>
    </row>
    <row r="4050">
      <c r="A4050">
        <f>IF(AND(LEN('Providers'!A50)&gt;0,ISNUMBER('Providers'!AA50)),1,0)</f>
        <v/>
      </c>
      <c r="B4050">
        <f>B4049+A4050</f>
        <v/>
      </c>
      <c r="C4050">
        <f>IF(4047&gt;$B$4503,"",MATCH(4047-0.5,$B$3:$B$4503,1))</f>
        <v/>
      </c>
      <c r="D4050">
        <f>"Payer recredentialing – "&amp;IF(LEN(INDEX('Providers'!$A$4:$A$503,47))=0,"",INDEX('Providers'!$A$4:$A$503,47))</f>
        <v/>
      </c>
      <c r="E4050">
        <f>IF(ISNUMBER(INDEX('Providers'!$AA$4:$AA$503,47)),TEXT(INDEX('Providers'!$AA$4:$AA$503,47),"yyyy-mm-dd"),"")</f>
        <v/>
      </c>
      <c r="F4050">
        <f>"Credentialing"</f>
        <v/>
      </c>
      <c r="G4050">
        <f>""</f>
        <v/>
      </c>
      <c r="H4050">
        <f>"High"</f>
        <v/>
      </c>
      <c r="I4050">
        <f>TRIM(IF(LEN(IF(LEN(INDEX('Providers'!$Z$4:$Z$503,47))=0,"",INDEX('Providers'!$Z$4:$Z$503,47)))=0,"","Payer(s): "&amp;IF(LEN(INDEX('Providers'!$Z$4:$Z$503,47))=0,"",INDEX('Providers'!$Z$4:$Z$503,47))&amp;". "))</f>
        <v/>
      </c>
      <c r="J4050">
        <f>IF(LEN(INDEX('Providers'!$AJ$4:$AJ$503,47))=0,"",INDEX('Providers'!$AJ$4:$AJ$503,47))</f>
        <v/>
      </c>
      <c r="K4050">
        <f>IF(LEN(INDEX('Providers'!$AI$4:$AI$503,47))=0,"",INDEX('Providers'!$AI$4:$AI$503,47))</f>
        <v/>
      </c>
    </row>
    <row r="4051">
      <c r="A4051">
        <f>IF(AND(LEN('Providers'!A51)&gt;0,ISNUMBER('Providers'!AA51)),1,0)</f>
        <v/>
      </c>
      <c r="B4051">
        <f>B4050+A4051</f>
        <v/>
      </c>
      <c r="C4051">
        <f>IF(4048&gt;$B$4503,"",MATCH(4048-0.5,$B$3:$B$4503,1))</f>
        <v/>
      </c>
      <c r="D4051">
        <f>"Payer recredentialing – "&amp;IF(LEN(INDEX('Providers'!$A$4:$A$503,48))=0,"",INDEX('Providers'!$A$4:$A$503,48))</f>
        <v/>
      </c>
      <c r="E4051">
        <f>IF(ISNUMBER(INDEX('Providers'!$AA$4:$AA$503,48)),TEXT(INDEX('Providers'!$AA$4:$AA$503,48),"yyyy-mm-dd"),"")</f>
        <v/>
      </c>
      <c r="F4051">
        <f>"Credentialing"</f>
        <v/>
      </c>
      <c r="G4051">
        <f>""</f>
        <v/>
      </c>
      <c r="H4051">
        <f>"High"</f>
        <v/>
      </c>
      <c r="I4051">
        <f>TRIM(IF(LEN(IF(LEN(INDEX('Providers'!$Z$4:$Z$503,48))=0,"",INDEX('Providers'!$Z$4:$Z$503,48)))=0,"","Payer(s): "&amp;IF(LEN(INDEX('Providers'!$Z$4:$Z$503,48))=0,"",INDEX('Providers'!$Z$4:$Z$503,48))&amp;". "))</f>
        <v/>
      </c>
      <c r="J4051">
        <f>IF(LEN(INDEX('Providers'!$AJ$4:$AJ$503,48))=0,"",INDEX('Providers'!$AJ$4:$AJ$503,48))</f>
        <v/>
      </c>
      <c r="K4051">
        <f>IF(LEN(INDEX('Providers'!$AI$4:$AI$503,48))=0,"",INDEX('Providers'!$AI$4:$AI$503,48))</f>
        <v/>
      </c>
    </row>
    <row r="4052">
      <c r="A4052">
        <f>IF(AND(LEN('Providers'!A52)&gt;0,ISNUMBER('Providers'!AA52)),1,0)</f>
        <v/>
      </c>
      <c r="B4052">
        <f>B4051+A4052</f>
        <v/>
      </c>
      <c r="C4052">
        <f>IF(4049&gt;$B$4503,"",MATCH(4049-0.5,$B$3:$B$4503,1))</f>
        <v/>
      </c>
      <c r="D4052">
        <f>"Payer recredentialing – "&amp;IF(LEN(INDEX('Providers'!$A$4:$A$503,49))=0,"",INDEX('Providers'!$A$4:$A$503,49))</f>
        <v/>
      </c>
      <c r="E4052">
        <f>IF(ISNUMBER(INDEX('Providers'!$AA$4:$AA$503,49)),TEXT(INDEX('Providers'!$AA$4:$AA$503,49),"yyyy-mm-dd"),"")</f>
        <v/>
      </c>
      <c r="F4052">
        <f>"Credentialing"</f>
        <v/>
      </c>
      <c r="G4052">
        <f>""</f>
        <v/>
      </c>
      <c r="H4052">
        <f>"High"</f>
        <v/>
      </c>
      <c r="I4052">
        <f>TRIM(IF(LEN(IF(LEN(INDEX('Providers'!$Z$4:$Z$503,49))=0,"",INDEX('Providers'!$Z$4:$Z$503,49)))=0,"","Payer(s): "&amp;IF(LEN(INDEX('Providers'!$Z$4:$Z$503,49))=0,"",INDEX('Providers'!$Z$4:$Z$503,49))&amp;". "))</f>
        <v/>
      </c>
      <c r="J4052">
        <f>IF(LEN(INDEX('Providers'!$AJ$4:$AJ$503,49))=0,"",INDEX('Providers'!$AJ$4:$AJ$503,49))</f>
        <v/>
      </c>
      <c r="K4052">
        <f>IF(LEN(INDEX('Providers'!$AI$4:$AI$503,49))=0,"",INDEX('Providers'!$AI$4:$AI$503,49))</f>
        <v/>
      </c>
    </row>
    <row r="4053">
      <c r="A4053">
        <f>IF(AND(LEN('Providers'!A53)&gt;0,ISNUMBER('Providers'!AA53)),1,0)</f>
        <v/>
      </c>
      <c r="B4053">
        <f>B4052+A4053</f>
        <v/>
      </c>
      <c r="C4053">
        <f>IF(4050&gt;$B$4503,"",MATCH(4050-0.5,$B$3:$B$4503,1))</f>
        <v/>
      </c>
      <c r="D4053">
        <f>"Payer recredentialing – "&amp;IF(LEN(INDEX('Providers'!$A$4:$A$503,50))=0,"",INDEX('Providers'!$A$4:$A$503,50))</f>
        <v/>
      </c>
      <c r="E4053">
        <f>IF(ISNUMBER(INDEX('Providers'!$AA$4:$AA$503,50)),TEXT(INDEX('Providers'!$AA$4:$AA$503,50),"yyyy-mm-dd"),"")</f>
        <v/>
      </c>
      <c r="F4053">
        <f>"Credentialing"</f>
        <v/>
      </c>
      <c r="G4053">
        <f>""</f>
        <v/>
      </c>
      <c r="H4053">
        <f>"High"</f>
        <v/>
      </c>
      <c r="I4053">
        <f>TRIM(IF(LEN(IF(LEN(INDEX('Providers'!$Z$4:$Z$503,50))=0,"",INDEX('Providers'!$Z$4:$Z$503,50)))=0,"","Payer(s): "&amp;IF(LEN(INDEX('Providers'!$Z$4:$Z$503,50))=0,"",INDEX('Providers'!$Z$4:$Z$503,50))&amp;". "))</f>
        <v/>
      </c>
      <c r="J4053">
        <f>IF(LEN(INDEX('Providers'!$AJ$4:$AJ$503,50))=0,"",INDEX('Providers'!$AJ$4:$AJ$503,50))</f>
        <v/>
      </c>
      <c r="K4053">
        <f>IF(LEN(INDEX('Providers'!$AI$4:$AI$503,50))=0,"",INDEX('Providers'!$AI$4:$AI$503,50))</f>
        <v/>
      </c>
    </row>
    <row r="4054">
      <c r="A4054">
        <f>IF(AND(LEN('Providers'!A54)&gt;0,ISNUMBER('Providers'!AA54)),1,0)</f>
        <v/>
      </c>
      <c r="B4054">
        <f>B4053+A4054</f>
        <v/>
      </c>
      <c r="C4054">
        <f>IF(4051&gt;$B$4503,"",MATCH(4051-0.5,$B$3:$B$4503,1))</f>
        <v/>
      </c>
      <c r="D4054">
        <f>"Payer recredentialing – "&amp;IF(LEN(INDEX('Providers'!$A$4:$A$503,51))=0,"",INDEX('Providers'!$A$4:$A$503,51))</f>
        <v/>
      </c>
      <c r="E4054">
        <f>IF(ISNUMBER(INDEX('Providers'!$AA$4:$AA$503,51)),TEXT(INDEX('Providers'!$AA$4:$AA$503,51),"yyyy-mm-dd"),"")</f>
        <v/>
      </c>
      <c r="F4054">
        <f>"Credentialing"</f>
        <v/>
      </c>
      <c r="G4054">
        <f>""</f>
        <v/>
      </c>
      <c r="H4054">
        <f>"High"</f>
        <v/>
      </c>
      <c r="I4054">
        <f>TRIM(IF(LEN(IF(LEN(INDEX('Providers'!$Z$4:$Z$503,51))=0,"",INDEX('Providers'!$Z$4:$Z$503,51)))=0,"","Payer(s): "&amp;IF(LEN(INDEX('Providers'!$Z$4:$Z$503,51))=0,"",INDEX('Providers'!$Z$4:$Z$503,51))&amp;". "))</f>
        <v/>
      </c>
      <c r="J4054">
        <f>IF(LEN(INDEX('Providers'!$AJ$4:$AJ$503,51))=0,"",INDEX('Providers'!$AJ$4:$AJ$503,51))</f>
        <v/>
      </c>
      <c r="K4054">
        <f>IF(LEN(INDEX('Providers'!$AI$4:$AI$503,51))=0,"",INDEX('Providers'!$AI$4:$AI$503,51))</f>
        <v/>
      </c>
    </row>
    <row r="4055">
      <c r="A4055">
        <f>IF(AND(LEN('Providers'!A55)&gt;0,ISNUMBER('Providers'!AA55)),1,0)</f>
        <v/>
      </c>
      <c r="B4055">
        <f>B4054+A4055</f>
        <v/>
      </c>
      <c r="C4055">
        <f>IF(4052&gt;$B$4503,"",MATCH(4052-0.5,$B$3:$B$4503,1))</f>
        <v/>
      </c>
      <c r="D4055">
        <f>"Payer recredentialing – "&amp;IF(LEN(INDEX('Providers'!$A$4:$A$503,52))=0,"",INDEX('Providers'!$A$4:$A$503,52))</f>
        <v/>
      </c>
      <c r="E4055">
        <f>IF(ISNUMBER(INDEX('Providers'!$AA$4:$AA$503,52)),TEXT(INDEX('Providers'!$AA$4:$AA$503,52),"yyyy-mm-dd"),"")</f>
        <v/>
      </c>
      <c r="F4055">
        <f>"Credentialing"</f>
        <v/>
      </c>
      <c r="G4055">
        <f>""</f>
        <v/>
      </c>
      <c r="H4055">
        <f>"High"</f>
        <v/>
      </c>
      <c r="I4055">
        <f>TRIM(IF(LEN(IF(LEN(INDEX('Providers'!$Z$4:$Z$503,52))=0,"",INDEX('Providers'!$Z$4:$Z$503,52)))=0,"","Payer(s): "&amp;IF(LEN(INDEX('Providers'!$Z$4:$Z$503,52))=0,"",INDEX('Providers'!$Z$4:$Z$503,52))&amp;". "))</f>
        <v/>
      </c>
      <c r="J4055">
        <f>IF(LEN(INDEX('Providers'!$AJ$4:$AJ$503,52))=0,"",INDEX('Providers'!$AJ$4:$AJ$503,52))</f>
        <v/>
      </c>
      <c r="K4055">
        <f>IF(LEN(INDEX('Providers'!$AI$4:$AI$503,52))=0,"",INDEX('Providers'!$AI$4:$AI$503,52))</f>
        <v/>
      </c>
    </row>
    <row r="4056">
      <c r="A4056">
        <f>IF(AND(LEN('Providers'!A56)&gt;0,ISNUMBER('Providers'!AA56)),1,0)</f>
        <v/>
      </c>
      <c r="B4056">
        <f>B4055+A4056</f>
        <v/>
      </c>
      <c r="C4056">
        <f>IF(4053&gt;$B$4503,"",MATCH(4053-0.5,$B$3:$B$4503,1))</f>
        <v/>
      </c>
      <c r="D4056">
        <f>"Payer recredentialing – "&amp;IF(LEN(INDEX('Providers'!$A$4:$A$503,53))=0,"",INDEX('Providers'!$A$4:$A$503,53))</f>
        <v/>
      </c>
      <c r="E4056">
        <f>IF(ISNUMBER(INDEX('Providers'!$AA$4:$AA$503,53)),TEXT(INDEX('Providers'!$AA$4:$AA$503,53),"yyyy-mm-dd"),"")</f>
        <v/>
      </c>
      <c r="F4056">
        <f>"Credentialing"</f>
        <v/>
      </c>
      <c r="G4056">
        <f>""</f>
        <v/>
      </c>
      <c r="H4056">
        <f>"High"</f>
        <v/>
      </c>
      <c r="I4056">
        <f>TRIM(IF(LEN(IF(LEN(INDEX('Providers'!$Z$4:$Z$503,53))=0,"",INDEX('Providers'!$Z$4:$Z$503,53)))=0,"","Payer(s): "&amp;IF(LEN(INDEX('Providers'!$Z$4:$Z$503,53))=0,"",INDEX('Providers'!$Z$4:$Z$503,53))&amp;". "))</f>
        <v/>
      </c>
      <c r="J4056">
        <f>IF(LEN(INDEX('Providers'!$AJ$4:$AJ$503,53))=0,"",INDEX('Providers'!$AJ$4:$AJ$503,53))</f>
        <v/>
      </c>
      <c r="K4056">
        <f>IF(LEN(INDEX('Providers'!$AI$4:$AI$503,53))=0,"",INDEX('Providers'!$AI$4:$AI$503,53))</f>
        <v/>
      </c>
    </row>
    <row r="4057">
      <c r="A4057">
        <f>IF(AND(LEN('Providers'!A57)&gt;0,ISNUMBER('Providers'!AA57)),1,0)</f>
        <v/>
      </c>
      <c r="B4057">
        <f>B4056+A4057</f>
        <v/>
      </c>
      <c r="C4057">
        <f>IF(4054&gt;$B$4503,"",MATCH(4054-0.5,$B$3:$B$4503,1))</f>
        <v/>
      </c>
      <c r="D4057">
        <f>"Payer recredentialing – "&amp;IF(LEN(INDEX('Providers'!$A$4:$A$503,54))=0,"",INDEX('Providers'!$A$4:$A$503,54))</f>
        <v/>
      </c>
      <c r="E4057">
        <f>IF(ISNUMBER(INDEX('Providers'!$AA$4:$AA$503,54)),TEXT(INDEX('Providers'!$AA$4:$AA$503,54),"yyyy-mm-dd"),"")</f>
        <v/>
      </c>
      <c r="F4057">
        <f>"Credentialing"</f>
        <v/>
      </c>
      <c r="G4057">
        <f>""</f>
        <v/>
      </c>
      <c r="H4057">
        <f>"High"</f>
        <v/>
      </c>
      <c r="I4057">
        <f>TRIM(IF(LEN(IF(LEN(INDEX('Providers'!$Z$4:$Z$503,54))=0,"",INDEX('Providers'!$Z$4:$Z$503,54)))=0,"","Payer(s): "&amp;IF(LEN(INDEX('Providers'!$Z$4:$Z$503,54))=0,"",INDEX('Providers'!$Z$4:$Z$503,54))&amp;". "))</f>
        <v/>
      </c>
      <c r="J4057">
        <f>IF(LEN(INDEX('Providers'!$AJ$4:$AJ$503,54))=0,"",INDEX('Providers'!$AJ$4:$AJ$503,54))</f>
        <v/>
      </c>
      <c r="K4057">
        <f>IF(LEN(INDEX('Providers'!$AI$4:$AI$503,54))=0,"",INDEX('Providers'!$AI$4:$AI$503,54))</f>
        <v/>
      </c>
    </row>
    <row r="4058">
      <c r="A4058">
        <f>IF(AND(LEN('Providers'!A58)&gt;0,ISNUMBER('Providers'!AA58)),1,0)</f>
        <v/>
      </c>
      <c r="B4058">
        <f>B4057+A4058</f>
        <v/>
      </c>
      <c r="C4058">
        <f>IF(4055&gt;$B$4503,"",MATCH(4055-0.5,$B$3:$B$4503,1))</f>
        <v/>
      </c>
      <c r="D4058">
        <f>"Payer recredentialing – "&amp;IF(LEN(INDEX('Providers'!$A$4:$A$503,55))=0,"",INDEX('Providers'!$A$4:$A$503,55))</f>
        <v/>
      </c>
      <c r="E4058">
        <f>IF(ISNUMBER(INDEX('Providers'!$AA$4:$AA$503,55)),TEXT(INDEX('Providers'!$AA$4:$AA$503,55),"yyyy-mm-dd"),"")</f>
        <v/>
      </c>
      <c r="F4058">
        <f>"Credentialing"</f>
        <v/>
      </c>
      <c r="G4058">
        <f>""</f>
        <v/>
      </c>
      <c r="H4058">
        <f>"High"</f>
        <v/>
      </c>
      <c r="I4058">
        <f>TRIM(IF(LEN(IF(LEN(INDEX('Providers'!$Z$4:$Z$503,55))=0,"",INDEX('Providers'!$Z$4:$Z$503,55)))=0,"","Payer(s): "&amp;IF(LEN(INDEX('Providers'!$Z$4:$Z$503,55))=0,"",INDEX('Providers'!$Z$4:$Z$503,55))&amp;". "))</f>
        <v/>
      </c>
      <c r="J4058">
        <f>IF(LEN(INDEX('Providers'!$AJ$4:$AJ$503,55))=0,"",INDEX('Providers'!$AJ$4:$AJ$503,55))</f>
        <v/>
      </c>
      <c r="K4058">
        <f>IF(LEN(INDEX('Providers'!$AI$4:$AI$503,55))=0,"",INDEX('Providers'!$AI$4:$AI$503,55))</f>
        <v/>
      </c>
    </row>
    <row r="4059">
      <c r="A4059">
        <f>IF(AND(LEN('Providers'!A59)&gt;0,ISNUMBER('Providers'!AA59)),1,0)</f>
        <v/>
      </c>
      <c r="B4059">
        <f>B4058+A4059</f>
        <v/>
      </c>
      <c r="C4059">
        <f>IF(4056&gt;$B$4503,"",MATCH(4056-0.5,$B$3:$B$4503,1))</f>
        <v/>
      </c>
      <c r="D4059">
        <f>"Payer recredentialing – "&amp;IF(LEN(INDEX('Providers'!$A$4:$A$503,56))=0,"",INDEX('Providers'!$A$4:$A$503,56))</f>
        <v/>
      </c>
      <c r="E4059">
        <f>IF(ISNUMBER(INDEX('Providers'!$AA$4:$AA$503,56)),TEXT(INDEX('Providers'!$AA$4:$AA$503,56),"yyyy-mm-dd"),"")</f>
        <v/>
      </c>
      <c r="F4059">
        <f>"Credentialing"</f>
        <v/>
      </c>
      <c r="G4059">
        <f>""</f>
        <v/>
      </c>
      <c r="H4059">
        <f>"High"</f>
        <v/>
      </c>
      <c r="I4059">
        <f>TRIM(IF(LEN(IF(LEN(INDEX('Providers'!$Z$4:$Z$503,56))=0,"",INDEX('Providers'!$Z$4:$Z$503,56)))=0,"","Payer(s): "&amp;IF(LEN(INDEX('Providers'!$Z$4:$Z$503,56))=0,"",INDEX('Providers'!$Z$4:$Z$503,56))&amp;". "))</f>
        <v/>
      </c>
      <c r="J4059">
        <f>IF(LEN(INDEX('Providers'!$AJ$4:$AJ$503,56))=0,"",INDEX('Providers'!$AJ$4:$AJ$503,56))</f>
        <v/>
      </c>
      <c r="K4059">
        <f>IF(LEN(INDEX('Providers'!$AI$4:$AI$503,56))=0,"",INDEX('Providers'!$AI$4:$AI$503,56))</f>
        <v/>
      </c>
    </row>
    <row r="4060">
      <c r="A4060">
        <f>IF(AND(LEN('Providers'!A60)&gt;0,ISNUMBER('Providers'!AA60)),1,0)</f>
        <v/>
      </c>
      <c r="B4060">
        <f>B4059+A4060</f>
        <v/>
      </c>
      <c r="C4060">
        <f>IF(4057&gt;$B$4503,"",MATCH(4057-0.5,$B$3:$B$4503,1))</f>
        <v/>
      </c>
      <c r="D4060">
        <f>"Payer recredentialing – "&amp;IF(LEN(INDEX('Providers'!$A$4:$A$503,57))=0,"",INDEX('Providers'!$A$4:$A$503,57))</f>
        <v/>
      </c>
      <c r="E4060">
        <f>IF(ISNUMBER(INDEX('Providers'!$AA$4:$AA$503,57)),TEXT(INDEX('Providers'!$AA$4:$AA$503,57),"yyyy-mm-dd"),"")</f>
        <v/>
      </c>
      <c r="F4060">
        <f>"Credentialing"</f>
        <v/>
      </c>
      <c r="G4060">
        <f>""</f>
        <v/>
      </c>
      <c r="H4060">
        <f>"High"</f>
        <v/>
      </c>
      <c r="I4060">
        <f>TRIM(IF(LEN(IF(LEN(INDEX('Providers'!$Z$4:$Z$503,57))=0,"",INDEX('Providers'!$Z$4:$Z$503,57)))=0,"","Payer(s): "&amp;IF(LEN(INDEX('Providers'!$Z$4:$Z$503,57))=0,"",INDEX('Providers'!$Z$4:$Z$503,57))&amp;". "))</f>
        <v/>
      </c>
      <c r="J4060">
        <f>IF(LEN(INDEX('Providers'!$AJ$4:$AJ$503,57))=0,"",INDEX('Providers'!$AJ$4:$AJ$503,57))</f>
        <v/>
      </c>
      <c r="K4060">
        <f>IF(LEN(INDEX('Providers'!$AI$4:$AI$503,57))=0,"",INDEX('Providers'!$AI$4:$AI$503,57))</f>
        <v/>
      </c>
    </row>
    <row r="4061">
      <c r="A4061">
        <f>IF(AND(LEN('Providers'!A61)&gt;0,ISNUMBER('Providers'!AA61)),1,0)</f>
        <v/>
      </c>
      <c r="B4061">
        <f>B4060+A4061</f>
        <v/>
      </c>
      <c r="C4061">
        <f>IF(4058&gt;$B$4503,"",MATCH(4058-0.5,$B$3:$B$4503,1))</f>
        <v/>
      </c>
      <c r="D4061">
        <f>"Payer recredentialing – "&amp;IF(LEN(INDEX('Providers'!$A$4:$A$503,58))=0,"",INDEX('Providers'!$A$4:$A$503,58))</f>
        <v/>
      </c>
      <c r="E4061">
        <f>IF(ISNUMBER(INDEX('Providers'!$AA$4:$AA$503,58)),TEXT(INDEX('Providers'!$AA$4:$AA$503,58),"yyyy-mm-dd"),"")</f>
        <v/>
      </c>
      <c r="F4061">
        <f>"Credentialing"</f>
        <v/>
      </c>
      <c r="G4061">
        <f>""</f>
        <v/>
      </c>
      <c r="H4061">
        <f>"High"</f>
        <v/>
      </c>
      <c r="I4061">
        <f>TRIM(IF(LEN(IF(LEN(INDEX('Providers'!$Z$4:$Z$503,58))=0,"",INDEX('Providers'!$Z$4:$Z$503,58)))=0,"","Payer(s): "&amp;IF(LEN(INDEX('Providers'!$Z$4:$Z$503,58))=0,"",INDEX('Providers'!$Z$4:$Z$503,58))&amp;". "))</f>
        <v/>
      </c>
      <c r="J4061">
        <f>IF(LEN(INDEX('Providers'!$AJ$4:$AJ$503,58))=0,"",INDEX('Providers'!$AJ$4:$AJ$503,58))</f>
        <v/>
      </c>
      <c r="K4061">
        <f>IF(LEN(INDEX('Providers'!$AI$4:$AI$503,58))=0,"",INDEX('Providers'!$AI$4:$AI$503,58))</f>
        <v/>
      </c>
    </row>
    <row r="4062">
      <c r="A4062">
        <f>IF(AND(LEN('Providers'!A62)&gt;0,ISNUMBER('Providers'!AA62)),1,0)</f>
        <v/>
      </c>
      <c r="B4062">
        <f>B4061+A4062</f>
        <v/>
      </c>
      <c r="C4062">
        <f>IF(4059&gt;$B$4503,"",MATCH(4059-0.5,$B$3:$B$4503,1))</f>
        <v/>
      </c>
      <c r="D4062">
        <f>"Payer recredentialing – "&amp;IF(LEN(INDEX('Providers'!$A$4:$A$503,59))=0,"",INDEX('Providers'!$A$4:$A$503,59))</f>
        <v/>
      </c>
      <c r="E4062">
        <f>IF(ISNUMBER(INDEX('Providers'!$AA$4:$AA$503,59)),TEXT(INDEX('Providers'!$AA$4:$AA$503,59),"yyyy-mm-dd"),"")</f>
        <v/>
      </c>
      <c r="F4062">
        <f>"Credentialing"</f>
        <v/>
      </c>
      <c r="G4062">
        <f>""</f>
        <v/>
      </c>
      <c r="H4062">
        <f>"High"</f>
        <v/>
      </c>
      <c r="I4062">
        <f>TRIM(IF(LEN(IF(LEN(INDEX('Providers'!$Z$4:$Z$503,59))=0,"",INDEX('Providers'!$Z$4:$Z$503,59)))=0,"","Payer(s): "&amp;IF(LEN(INDEX('Providers'!$Z$4:$Z$503,59))=0,"",INDEX('Providers'!$Z$4:$Z$503,59))&amp;". "))</f>
        <v/>
      </c>
      <c r="J4062">
        <f>IF(LEN(INDEX('Providers'!$AJ$4:$AJ$503,59))=0,"",INDEX('Providers'!$AJ$4:$AJ$503,59))</f>
        <v/>
      </c>
      <c r="K4062">
        <f>IF(LEN(INDEX('Providers'!$AI$4:$AI$503,59))=0,"",INDEX('Providers'!$AI$4:$AI$503,59))</f>
        <v/>
      </c>
    </row>
    <row r="4063">
      <c r="A4063">
        <f>IF(AND(LEN('Providers'!A63)&gt;0,ISNUMBER('Providers'!AA63)),1,0)</f>
        <v/>
      </c>
      <c r="B4063">
        <f>B4062+A4063</f>
        <v/>
      </c>
      <c r="C4063">
        <f>IF(4060&gt;$B$4503,"",MATCH(4060-0.5,$B$3:$B$4503,1))</f>
        <v/>
      </c>
      <c r="D4063">
        <f>"Payer recredentialing – "&amp;IF(LEN(INDEX('Providers'!$A$4:$A$503,60))=0,"",INDEX('Providers'!$A$4:$A$503,60))</f>
        <v/>
      </c>
      <c r="E4063">
        <f>IF(ISNUMBER(INDEX('Providers'!$AA$4:$AA$503,60)),TEXT(INDEX('Providers'!$AA$4:$AA$503,60),"yyyy-mm-dd"),"")</f>
        <v/>
      </c>
      <c r="F4063">
        <f>"Credentialing"</f>
        <v/>
      </c>
      <c r="G4063">
        <f>""</f>
        <v/>
      </c>
      <c r="H4063">
        <f>"High"</f>
        <v/>
      </c>
      <c r="I4063">
        <f>TRIM(IF(LEN(IF(LEN(INDEX('Providers'!$Z$4:$Z$503,60))=0,"",INDEX('Providers'!$Z$4:$Z$503,60)))=0,"","Payer(s): "&amp;IF(LEN(INDEX('Providers'!$Z$4:$Z$503,60))=0,"",INDEX('Providers'!$Z$4:$Z$503,60))&amp;". "))</f>
        <v/>
      </c>
      <c r="J4063">
        <f>IF(LEN(INDEX('Providers'!$AJ$4:$AJ$503,60))=0,"",INDEX('Providers'!$AJ$4:$AJ$503,60))</f>
        <v/>
      </c>
      <c r="K4063">
        <f>IF(LEN(INDEX('Providers'!$AI$4:$AI$503,60))=0,"",INDEX('Providers'!$AI$4:$AI$503,60))</f>
        <v/>
      </c>
    </row>
    <row r="4064">
      <c r="A4064">
        <f>IF(AND(LEN('Providers'!A64)&gt;0,ISNUMBER('Providers'!AA64)),1,0)</f>
        <v/>
      </c>
      <c r="B4064">
        <f>B4063+A4064</f>
        <v/>
      </c>
      <c r="C4064">
        <f>IF(4061&gt;$B$4503,"",MATCH(4061-0.5,$B$3:$B$4503,1))</f>
        <v/>
      </c>
      <c r="D4064">
        <f>"Payer recredentialing – "&amp;IF(LEN(INDEX('Providers'!$A$4:$A$503,61))=0,"",INDEX('Providers'!$A$4:$A$503,61))</f>
        <v/>
      </c>
      <c r="E4064">
        <f>IF(ISNUMBER(INDEX('Providers'!$AA$4:$AA$503,61)),TEXT(INDEX('Providers'!$AA$4:$AA$503,61),"yyyy-mm-dd"),"")</f>
        <v/>
      </c>
      <c r="F4064">
        <f>"Credentialing"</f>
        <v/>
      </c>
      <c r="G4064">
        <f>""</f>
        <v/>
      </c>
      <c r="H4064">
        <f>"High"</f>
        <v/>
      </c>
      <c r="I4064">
        <f>TRIM(IF(LEN(IF(LEN(INDEX('Providers'!$Z$4:$Z$503,61))=0,"",INDEX('Providers'!$Z$4:$Z$503,61)))=0,"","Payer(s): "&amp;IF(LEN(INDEX('Providers'!$Z$4:$Z$503,61))=0,"",INDEX('Providers'!$Z$4:$Z$503,61))&amp;". "))</f>
        <v/>
      </c>
      <c r="J4064">
        <f>IF(LEN(INDEX('Providers'!$AJ$4:$AJ$503,61))=0,"",INDEX('Providers'!$AJ$4:$AJ$503,61))</f>
        <v/>
      </c>
      <c r="K4064">
        <f>IF(LEN(INDEX('Providers'!$AI$4:$AI$503,61))=0,"",INDEX('Providers'!$AI$4:$AI$503,61))</f>
        <v/>
      </c>
    </row>
    <row r="4065">
      <c r="A4065">
        <f>IF(AND(LEN('Providers'!A65)&gt;0,ISNUMBER('Providers'!AA65)),1,0)</f>
        <v/>
      </c>
      <c r="B4065">
        <f>B4064+A4065</f>
        <v/>
      </c>
      <c r="C4065">
        <f>IF(4062&gt;$B$4503,"",MATCH(4062-0.5,$B$3:$B$4503,1))</f>
        <v/>
      </c>
      <c r="D4065">
        <f>"Payer recredentialing – "&amp;IF(LEN(INDEX('Providers'!$A$4:$A$503,62))=0,"",INDEX('Providers'!$A$4:$A$503,62))</f>
        <v/>
      </c>
      <c r="E4065">
        <f>IF(ISNUMBER(INDEX('Providers'!$AA$4:$AA$503,62)),TEXT(INDEX('Providers'!$AA$4:$AA$503,62),"yyyy-mm-dd"),"")</f>
        <v/>
      </c>
      <c r="F4065">
        <f>"Credentialing"</f>
        <v/>
      </c>
      <c r="G4065">
        <f>""</f>
        <v/>
      </c>
      <c r="H4065">
        <f>"High"</f>
        <v/>
      </c>
      <c r="I4065">
        <f>TRIM(IF(LEN(IF(LEN(INDEX('Providers'!$Z$4:$Z$503,62))=0,"",INDEX('Providers'!$Z$4:$Z$503,62)))=0,"","Payer(s): "&amp;IF(LEN(INDEX('Providers'!$Z$4:$Z$503,62))=0,"",INDEX('Providers'!$Z$4:$Z$503,62))&amp;". "))</f>
        <v/>
      </c>
      <c r="J4065">
        <f>IF(LEN(INDEX('Providers'!$AJ$4:$AJ$503,62))=0,"",INDEX('Providers'!$AJ$4:$AJ$503,62))</f>
        <v/>
      </c>
      <c r="K4065">
        <f>IF(LEN(INDEX('Providers'!$AI$4:$AI$503,62))=0,"",INDEX('Providers'!$AI$4:$AI$503,62))</f>
        <v/>
      </c>
    </row>
    <row r="4066">
      <c r="A4066">
        <f>IF(AND(LEN('Providers'!A66)&gt;0,ISNUMBER('Providers'!AA66)),1,0)</f>
        <v/>
      </c>
      <c r="B4066">
        <f>B4065+A4066</f>
        <v/>
      </c>
      <c r="C4066">
        <f>IF(4063&gt;$B$4503,"",MATCH(4063-0.5,$B$3:$B$4503,1))</f>
        <v/>
      </c>
      <c r="D4066">
        <f>"Payer recredentialing – "&amp;IF(LEN(INDEX('Providers'!$A$4:$A$503,63))=0,"",INDEX('Providers'!$A$4:$A$503,63))</f>
        <v/>
      </c>
      <c r="E4066">
        <f>IF(ISNUMBER(INDEX('Providers'!$AA$4:$AA$503,63)),TEXT(INDEX('Providers'!$AA$4:$AA$503,63),"yyyy-mm-dd"),"")</f>
        <v/>
      </c>
      <c r="F4066">
        <f>"Credentialing"</f>
        <v/>
      </c>
      <c r="G4066">
        <f>""</f>
        <v/>
      </c>
      <c r="H4066">
        <f>"High"</f>
        <v/>
      </c>
      <c r="I4066">
        <f>TRIM(IF(LEN(IF(LEN(INDEX('Providers'!$Z$4:$Z$503,63))=0,"",INDEX('Providers'!$Z$4:$Z$503,63)))=0,"","Payer(s): "&amp;IF(LEN(INDEX('Providers'!$Z$4:$Z$503,63))=0,"",INDEX('Providers'!$Z$4:$Z$503,63))&amp;". "))</f>
        <v/>
      </c>
      <c r="J4066">
        <f>IF(LEN(INDEX('Providers'!$AJ$4:$AJ$503,63))=0,"",INDEX('Providers'!$AJ$4:$AJ$503,63))</f>
        <v/>
      </c>
      <c r="K4066">
        <f>IF(LEN(INDEX('Providers'!$AI$4:$AI$503,63))=0,"",INDEX('Providers'!$AI$4:$AI$503,63))</f>
        <v/>
      </c>
    </row>
    <row r="4067">
      <c r="A4067">
        <f>IF(AND(LEN('Providers'!A67)&gt;0,ISNUMBER('Providers'!AA67)),1,0)</f>
        <v/>
      </c>
      <c r="B4067">
        <f>B4066+A4067</f>
        <v/>
      </c>
      <c r="C4067">
        <f>IF(4064&gt;$B$4503,"",MATCH(4064-0.5,$B$3:$B$4503,1))</f>
        <v/>
      </c>
      <c r="D4067">
        <f>"Payer recredentialing – "&amp;IF(LEN(INDEX('Providers'!$A$4:$A$503,64))=0,"",INDEX('Providers'!$A$4:$A$503,64))</f>
        <v/>
      </c>
      <c r="E4067">
        <f>IF(ISNUMBER(INDEX('Providers'!$AA$4:$AA$503,64)),TEXT(INDEX('Providers'!$AA$4:$AA$503,64),"yyyy-mm-dd"),"")</f>
        <v/>
      </c>
      <c r="F4067">
        <f>"Credentialing"</f>
        <v/>
      </c>
      <c r="G4067">
        <f>""</f>
        <v/>
      </c>
      <c r="H4067">
        <f>"High"</f>
        <v/>
      </c>
      <c r="I4067">
        <f>TRIM(IF(LEN(IF(LEN(INDEX('Providers'!$Z$4:$Z$503,64))=0,"",INDEX('Providers'!$Z$4:$Z$503,64)))=0,"","Payer(s): "&amp;IF(LEN(INDEX('Providers'!$Z$4:$Z$503,64))=0,"",INDEX('Providers'!$Z$4:$Z$503,64))&amp;". "))</f>
        <v/>
      </c>
      <c r="J4067">
        <f>IF(LEN(INDEX('Providers'!$AJ$4:$AJ$503,64))=0,"",INDEX('Providers'!$AJ$4:$AJ$503,64))</f>
        <v/>
      </c>
      <c r="K4067">
        <f>IF(LEN(INDEX('Providers'!$AI$4:$AI$503,64))=0,"",INDEX('Providers'!$AI$4:$AI$503,64))</f>
        <v/>
      </c>
    </row>
    <row r="4068">
      <c r="A4068">
        <f>IF(AND(LEN('Providers'!A68)&gt;0,ISNUMBER('Providers'!AA68)),1,0)</f>
        <v/>
      </c>
      <c r="B4068">
        <f>B4067+A4068</f>
        <v/>
      </c>
      <c r="C4068">
        <f>IF(4065&gt;$B$4503,"",MATCH(4065-0.5,$B$3:$B$4503,1))</f>
        <v/>
      </c>
      <c r="D4068">
        <f>"Payer recredentialing – "&amp;IF(LEN(INDEX('Providers'!$A$4:$A$503,65))=0,"",INDEX('Providers'!$A$4:$A$503,65))</f>
        <v/>
      </c>
      <c r="E4068">
        <f>IF(ISNUMBER(INDEX('Providers'!$AA$4:$AA$503,65)),TEXT(INDEX('Providers'!$AA$4:$AA$503,65),"yyyy-mm-dd"),"")</f>
        <v/>
      </c>
      <c r="F4068">
        <f>"Credentialing"</f>
        <v/>
      </c>
      <c r="G4068">
        <f>""</f>
        <v/>
      </c>
      <c r="H4068">
        <f>"High"</f>
        <v/>
      </c>
      <c r="I4068">
        <f>TRIM(IF(LEN(IF(LEN(INDEX('Providers'!$Z$4:$Z$503,65))=0,"",INDEX('Providers'!$Z$4:$Z$503,65)))=0,"","Payer(s): "&amp;IF(LEN(INDEX('Providers'!$Z$4:$Z$503,65))=0,"",INDEX('Providers'!$Z$4:$Z$503,65))&amp;". "))</f>
        <v/>
      </c>
      <c r="J4068">
        <f>IF(LEN(INDEX('Providers'!$AJ$4:$AJ$503,65))=0,"",INDEX('Providers'!$AJ$4:$AJ$503,65))</f>
        <v/>
      </c>
      <c r="K4068">
        <f>IF(LEN(INDEX('Providers'!$AI$4:$AI$503,65))=0,"",INDEX('Providers'!$AI$4:$AI$503,65))</f>
        <v/>
      </c>
    </row>
    <row r="4069">
      <c r="A4069">
        <f>IF(AND(LEN('Providers'!A69)&gt;0,ISNUMBER('Providers'!AA69)),1,0)</f>
        <v/>
      </c>
      <c r="B4069">
        <f>B4068+A4069</f>
        <v/>
      </c>
      <c r="C4069">
        <f>IF(4066&gt;$B$4503,"",MATCH(4066-0.5,$B$3:$B$4503,1))</f>
        <v/>
      </c>
      <c r="D4069">
        <f>"Payer recredentialing – "&amp;IF(LEN(INDEX('Providers'!$A$4:$A$503,66))=0,"",INDEX('Providers'!$A$4:$A$503,66))</f>
        <v/>
      </c>
      <c r="E4069">
        <f>IF(ISNUMBER(INDEX('Providers'!$AA$4:$AA$503,66)),TEXT(INDEX('Providers'!$AA$4:$AA$503,66),"yyyy-mm-dd"),"")</f>
        <v/>
      </c>
      <c r="F4069">
        <f>"Credentialing"</f>
        <v/>
      </c>
      <c r="G4069">
        <f>""</f>
        <v/>
      </c>
      <c r="H4069">
        <f>"High"</f>
        <v/>
      </c>
      <c r="I4069">
        <f>TRIM(IF(LEN(IF(LEN(INDEX('Providers'!$Z$4:$Z$503,66))=0,"",INDEX('Providers'!$Z$4:$Z$503,66)))=0,"","Payer(s): "&amp;IF(LEN(INDEX('Providers'!$Z$4:$Z$503,66))=0,"",INDEX('Providers'!$Z$4:$Z$503,66))&amp;". "))</f>
        <v/>
      </c>
      <c r="J4069">
        <f>IF(LEN(INDEX('Providers'!$AJ$4:$AJ$503,66))=0,"",INDEX('Providers'!$AJ$4:$AJ$503,66))</f>
        <v/>
      </c>
      <c r="K4069">
        <f>IF(LEN(INDEX('Providers'!$AI$4:$AI$503,66))=0,"",INDEX('Providers'!$AI$4:$AI$503,66))</f>
        <v/>
      </c>
    </row>
    <row r="4070">
      <c r="A4070">
        <f>IF(AND(LEN('Providers'!A70)&gt;0,ISNUMBER('Providers'!AA70)),1,0)</f>
        <v/>
      </c>
      <c r="B4070">
        <f>B4069+A4070</f>
        <v/>
      </c>
      <c r="C4070">
        <f>IF(4067&gt;$B$4503,"",MATCH(4067-0.5,$B$3:$B$4503,1))</f>
        <v/>
      </c>
      <c r="D4070">
        <f>"Payer recredentialing – "&amp;IF(LEN(INDEX('Providers'!$A$4:$A$503,67))=0,"",INDEX('Providers'!$A$4:$A$503,67))</f>
        <v/>
      </c>
      <c r="E4070">
        <f>IF(ISNUMBER(INDEX('Providers'!$AA$4:$AA$503,67)),TEXT(INDEX('Providers'!$AA$4:$AA$503,67),"yyyy-mm-dd"),"")</f>
        <v/>
      </c>
      <c r="F4070">
        <f>"Credentialing"</f>
        <v/>
      </c>
      <c r="G4070">
        <f>""</f>
        <v/>
      </c>
      <c r="H4070">
        <f>"High"</f>
        <v/>
      </c>
      <c r="I4070">
        <f>TRIM(IF(LEN(IF(LEN(INDEX('Providers'!$Z$4:$Z$503,67))=0,"",INDEX('Providers'!$Z$4:$Z$503,67)))=0,"","Payer(s): "&amp;IF(LEN(INDEX('Providers'!$Z$4:$Z$503,67))=0,"",INDEX('Providers'!$Z$4:$Z$503,67))&amp;". "))</f>
        <v/>
      </c>
      <c r="J4070">
        <f>IF(LEN(INDEX('Providers'!$AJ$4:$AJ$503,67))=0,"",INDEX('Providers'!$AJ$4:$AJ$503,67))</f>
        <v/>
      </c>
      <c r="K4070">
        <f>IF(LEN(INDEX('Providers'!$AI$4:$AI$503,67))=0,"",INDEX('Providers'!$AI$4:$AI$503,67))</f>
        <v/>
      </c>
    </row>
    <row r="4071">
      <c r="A4071">
        <f>IF(AND(LEN('Providers'!A71)&gt;0,ISNUMBER('Providers'!AA71)),1,0)</f>
        <v/>
      </c>
      <c r="B4071">
        <f>B4070+A4071</f>
        <v/>
      </c>
      <c r="C4071">
        <f>IF(4068&gt;$B$4503,"",MATCH(4068-0.5,$B$3:$B$4503,1))</f>
        <v/>
      </c>
      <c r="D4071">
        <f>"Payer recredentialing – "&amp;IF(LEN(INDEX('Providers'!$A$4:$A$503,68))=0,"",INDEX('Providers'!$A$4:$A$503,68))</f>
        <v/>
      </c>
      <c r="E4071">
        <f>IF(ISNUMBER(INDEX('Providers'!$AA$4:$AA$503,68)),TEXT(INDEX('Providers'!$AA$4:$AA$503,68),"yyyy-mm-dd"),"")</f>
        <v/>
      </c>
      <c r="F4071">
        <f>"Credentialing"</f>
        <v/>
      </c>
      <c r="G4071">
        <f>""</f>
        <v/>
      </c>
      <c r="H4071">
        <f>"High"</f>
        <v/>
      </c>
      <c r="I4071">
        <f>TRIM(IF(LEN(IF(LEN(INDEX('Providers'!$Z$4:$Z$503,68))=0,"",INDEX('Providers'!$Z$4:$Z$503,68)))=0,"","Payer(s): "&amp;IF(LEN(INDEX('Providers'!$Z$4:$Z$503,68))=0,"",INDEX('Providers'!$Z$4:$Z$503,68))&amp;". "))</f>
        <v/>
      </c>
      <c r="J4071">
        <f>IF(LEN(INDEX('Providers'!$AJ$4:$AJ$503,68))=0,"",INDEX('Providers'!$AJ$4:$AJ$503,68))</f>
        <v/>
      </c>
      <c r="K4071">
        <f>IF(LEN(INDEX('Providers'!$AI$4:$AI$503,68))=0,"",INDEX('Providers'!$AI$4:$AI$503,68))</f>
        <v/>
      </c>
    </row>
    <row r="4072">
      <c r="A4072">
        <f>IF(AND(LEN('Providers'!A72)&gt;0,ISNUMBER('Providers'!AA72)),1,0)</f>
        <v/>
      </c>
      <c r="B4072">
        <f>B4071+A4072</f>
        <v/>
      </c>
      <c r="C4072">
        <f>IF(4069&gt;$B$4503,"",MATCH(4069-0.5,$B$3:$B$4503,1))</f>
        <v/>
      </c>
      <c r="D4072">
        <f>"Payer recredentialing – "&amp;IF(LEN(INDEX('Providers'!$A$4:$A$503,69))=0,"",INDEX('Providers'!$A$4:$A$503,69))</f>
        <v/>
      </c>
      <c r="E4072">
        <f>IF(ISNUMBER(INDEX('Providers'!$AA$4:$AA$503,69)),TEXT(INDEX('Providers'!$AA$4:$AA$503,69),"yyyy-mm-dd"),"")</f>
        <v/>
      </c>
      <c r="F4072">
        <f>"Credentialing"</f>
        <v/>
      </c>
      <c r="G4072">
        <f>""</f>
        <v/>
      </c>
      <c r="H4072">
        <f>"High"</f>
        <v/>
      </c>
      <c r="I4072">
        <f>TRIM(IF(LEN(IF(LEN(INDEX('Providers'!$Z$4:$Z$503,69))=0,"",INDEX('Providers'!$Z$4:$Z$503,69)))=0,"","Payer(s): "&amp;IF(LEN(INDEX('Providers'!$Z$4:$Z$503,69))=0,"",INDEX('Providers'!$Z$4:$Z$503,69))&amp;". "))</f>
        <v/>
      </c>
      <c r="J4072">
        <f>IF(LEN(INDEX('Providers'!$AJ$4:$AJ$503,69))=0,"",INDEX('Providers'!$AJ$4:$AJ$503,69))</f>
        <v/>
      </c>
      <c r="K4072">
        <f>IF(LEN(INDEX('Providers'!$AI$4:$AI$503,69))=0,"",INDEX('Providers'!$AI$4:$AI$503,69))</f>
        <v/>
      </c>
    </row>
    <row r="4073">
      <c r="A4073">
        <f>IF(AND(LEN('Providers'!A73)&gt;0,ISNUMBER('Providers'!AA73)),1,0)</f>
        <v/>
      </c>
      <c r="B4073">
        <f>B4072+A4073</f>
        <v/>
      </c>
      <c r="C4073">
        <f>IF(4070&gt;$B$4503,"",MATCH(4070-0.5,$B$3:$B$4503,1))</f>
        <v/>
      </c>
      <c r="D4073">
        <f>"Payer recredentialing – "&amp;IF(LEN(INDEX('Providers'!$A$4:$A$503,70))=0,"",INDEX('Providers'!$A$4:$A$503,70))</f>
        <v/>
      </c>
      <c r="E4073">
        <f>IF(ISNUMBER(INDEX('Providers'!$AA$4:$AA$503,70)),TEXT(INDEX('Providers'!$AA$4:$AA$503,70),"yyyy-mm-dd"),"")</f>
        <v/>
      </c>
      <c r="F4073">
        <f>"Credentialing"</f>
        <v/>
      </c>
      <c r="G4073">
        <f>""</f>
        <v/>
      </c>
      <c r="H4073">
        <f>"High"</f>
        <v/>
      </c>
      <c r="I4073">
        <f>TRIM(IF(LEN(IF(LEN(INDEX('Providers'!$Z$4:$Z$503,70))=0,"",INDEX('Providers'!$Z$4:$Z$503,70)))=0,"","Payer(s): "&amp;IF(LEN(INDEX('Providers'!$Z$4:$Z$503,70))=0,"",INDEX('Providers'!$Z$4:$Z$503,70))&amp;". "))</f>
        <v/>
      </c>
      <c r="J4073">
        <f>IF(LEN(INDEX('Providers'!$AJ$4:$AJ$503,70))=0,"",INDEX('Providers'!$AJ$4:$AJ$503,70))</f>
        <v/>
      </c>
      <c r="K4073">
        <f>IF(LEN(INDEX('Providers'!$AI$4:$AI$503,70))=0,"",INDEX('Providers'!$AI$4:$AI$503,70))</f>
        <v/>
      </c>
    </row>
    <row r="4074">
      <c r="A4074">
        <f>IF(AND(LEN('Providers'!A74)&gt;0,ISNUMBER('Providers'!AA74)),1,0)</f>
        <v/>
      </c>
      <c r="B4074">
        <f>B4073+A4074</f>
        <v/>
      </c>
      <c r="C4074">
        <f>IF(4071&gt;$B$4503,"",MATCH(4071-0.5,$B$3:$B$4503,1))</f>
        <v/>
      </c>
      <c r="D4074">
        <f>"Payer recredentialing – "&amp;IF(LEN(INDEX('Providers'!$A$4:$A$503,71))=0,"",INDEX('Providers'!$A$4:$A$503,71))</f>
        <v/>
      </c>
      <c r="E4074">
        <f>IF(ISNUMBER(INDEX('Providers'!$AA$4:$AA$503,71)),TEXT(INDEX('Providers'!$AA$4:$AA$503,71),"yyyy-mm-dd"),"")</f>
        <v/>
      </c>
      <c r="F4074">
        <f>"Credentialing"</f>
        <v/>
      </c>
      <c r="G4074">
        <f>""</f>
        <v/>
      </c>
      <c r="H4074">
        <f>"High"</f>
        <v/>
      </c>
      <c r="I4074">
        <f>TRIM(IF(LEN(IF(LEN(INDEX('Providers'!$Z$4:$Z$503,71))=0,"",INDEX('Providers'!$Z$4:$Z$503,71)))=0,"","Payer(s): "&amp;IF(LEN(INDEX('Providers'!$Z$4:$Z$503,71))=0,"",INDEX('Providers'!$Z$4:$Z$503,71))&amp;". "))</f>
        <v/>
      </c>
      <c r="J4074">
        <f>IF(LEN(INDEX('Providers'!$AJ$4:$AJ$503,71))=0,"",INDEX('Providers'!$AJ$4:$AJ$503,71))</f>
        <v/>
      </c>
      <c r="K4074">
        <f>IF(LEN(INDEX('Providers'!$AI$4:$AI$503,71))=0,"",INDEX('Providers'!$AI$4:$AI$503,71))</f>
        <v/>
      </c>
    </row>
    <row r="4075">
      <c r="A4075">
        <f>IF(AND(LEN('Providers'!A75)&gt;0,ISNUMBER('Providers'!AA75)),1,0)</f>
        <v/>
      </c>
      <c r="B4075">
        <f>B4074+A4075</f>
        <v/>
      </c>
      <c r="C4075">
        <f>IF(4072&gt;$B$4503,"",MATCH(4072-0.5,$B$3:$B$4503,1))</f>
        <v/>
      </c>
      <c r="D4075">
        <f>"Payer recredentialing – "&amp;IF(LEN(INDEX('Providers'!$A$4:$A$503,72))=0,"",INDEX('Providers'!$A$4:$A$503,72))</f>
        <v/>
      </c>
      <c r="E4075">
        <f>IF(ISNUMBER(INDEX('Providers'!$AA$4:$AA$503,72)),TEXT(INDEX('Providers'!$AA$4:$AA$503,72),"yyyy-mm-dd"),"")</f>
        <v/>
      </c>
      <c r="F4075">
        <f>"Credentialing"</f>
        <v/>
      </c>
      <c r="G4075">
        <f>""</f>
        <v/>
      </c>
      <c r="H4075">
        <f>"High"</f>
        <v/>
      </c>
      <c r="I4075">
        <f>TRIM(IF(LEN(IF(LEN(INDEX('Providers'!$Z$4:$Z$503,72))=0,"",INDEX('Providers'!$Z$4:$Z$503,72)))=0,"","Payer(s): "&amp;IF(LEN(INDEX('Providers'!$Z$4:$Z$503,72))=0,"",INDEX('Providers'!$Z$4:$Z$503,72))&amp;". "))</f>
        <v/>
      </c>
      <c r="J4075">
        <f>IF(LEN(INDEX('Providers'!$AJ$4:$AJ$503,72))=0,"",INDEX('Providers'!$AJ$4:$AJ$503,72))</f>
        <v/>
      </c>
      <c r="K4075">
        <f>IF(LEN(INDEX('Providers'!$AI$4:$AI$503,72))=0,"",INDEX('Providers'!$AI$4:$AI$503,72))</f>
        <v/>
      </c>
    </row>
    <row r="4076">
      <c r="A4076">
        <f>IF(AND(LEN('Providers'!A76)&gt;0,ISNUMBER('Providers'!AA76)),1,0)</f>
        <v/>
      </c>
      <c r="B4076">
        <f>B4075+A4076</f>
        <v/>
      </c>
      <c r="C4076">
        <f>IF(4073&gt;$B$4503,"",MATCH(4073-0.5,$B$3:$B$4503,1))</f>
        <v/>
      </c>
      <c r="D4076">
        <f>"Payer recredentialing – "&amp;IF(LEN(INDEX('Providers'!$A$4:$A$503,73))=0,"",INDEX('Providers'!$A$4:$A$503,73))</f>
        <v/>
      </c>
      <c r="E4076">
        <f>IF(ISNUMBER(INDEX('Providers'!$AA$4:$AA$503,73)),TEXT(INDEX('Providers'!$AA$4:$AA$503,73),"yyyy-mm-dd"),"")</f>
        <v/>
      </c>
      <c r="F4076">
        <f>"Credentialing"</f>
        <v/>
      </c>
      <c r="G4076">
        <f>""</f>
        <v/>
      </c>
      <c r="H4076">
        <f>"High"</f>
        <v/>
      </c>
      <c r="I4076">
        <f>TRIM(IF(LEN(IF(LEN(INDEX('Providers'!$Z$4:$Z$503,73))=0,"",INDEX('Providers'!$Z$4:$Z$503,73)))=0,"","Payer(s): "&amp;IF(LEN(INDEX('Providers'!$Z$4:$Z$503,73))=0,"",INDEX('Providers'!$Z$4:$Z$503,73))&amp;". "))</f>
        <v/>
      </c>
      <c r="J4076">
        <f>IF(LEN(INDEX('Providers'!$AJ$4:$AJ$503,73))=0,"",INDEX('Providers'!$AJ$4:$AJ$503,73))</f>
        <v/>
      </c>
      <c r="K4076">
        <f>IF(LEN(INDEX('Providers'!$AI$4:$AI$503,73))=0,"",INDEX('Providers'!$AI$4:$AI$503,73))</f>
        <v/>
      </c>
    </row>
    <row r="4077">
      <c r="A4077">
        <f>IF(AND(LEN('Providers'!A77)&gt;0,ISNUMBER('Providers'!AA77)),1,0)</f>
        <v/>
      </c>
      <c r="B4077">
        <f>B4076+A4077</f>
        <v/>
      </c>
      <c r="C4077">
        <f>IF(4074&gt;$B$4503,"",MATCH(4074-0.5,$B$3:$B$4503,1))</f>
        <v/>
      </c>
      <c r="D4077">
        <f>"Payer recredentialing – "&amp;IF(LEN(INDEX('Providers'!$A$4:$A$503,74))=0,"",INDEX('Providers'!$A$4:$A$503,74))</f>
        <v/>
      </c>
      <c r="E4077">
        <f>IF(ISNUMBER(INDEX('Providers'!$AA$4:$AA$503,74)),TEXT(INDEX('Providers'!$AA$4:$AA$503,74),"yyyy-mm-dd"),"")</f>
        <v/>
      </c>
      <c r="F4077">
        <f>"Credentialing"</f>
        <v/>
      </c>
      <c r="G4077">
        <f>""</f>
        <v/>
      </c>
      <c r="H4077">
        <f>"High"</f>
        <v/>
      </c>
      <c r="I4077">
        <f>TRIM(IF(LEN(IF(LEN(INDEX('Providers'!$Z$4:$Z$503,74))=0,"",INDEX('Providers'!$Z$4:$Z$503,74)))=0,"","Payer(s): "&amp;IF(LEN(INDEX('Providers'!$Z$4:$Z$503,74))=0,"",INDEX('Providers'!$Z$4:$Z$503,74))&amp;". "))</f>
        <v/>
      </c>
      <c r="J4077">
        <f>IF(LEN(INDEX('Providers'!$AJ$4:$AJ$503,74))=0,"",INDEX('Providers'!$AJ$4:$AJ$503,74))</f>
        <v/>
      </c>
      <c r="K4077">
        <f>IF(LEN(INDEX('Providers'!$AI$4:$AI$503,74))=0,"",INDEX('Providers'!$AI$4:$AI$503,74))</f>
        <v/>
      </c>
    </row>
    <row r="4078">
      <c r="A4078">
        <f>IF(AND(LEN('Providers'!A78)&gt;0,ISNUMBER('Providers'!AA78)),1,0)</f>
        <v/>
      </c>
      <c r="B4078">
        <f>B4077+A4078</f>
        <v/>
      </c>
      <c r="C4078">
        <f>IF(4075&gt;$B$4503,"",MATCH(4075-0.5,$B$3:$B$4503,1))</f>
        <v/>
      </c>
      <c r="D4078">
        <f>"Payer recredentialing – "&amp;IF(LEN(INDEX('Providers'!$A$4:$A$503,75))=0,"",INDEX('Providers'!$A$4:$A$503,75))</f>
        <v/>
      </c>
      <c r="E4078">
        <f>IF(ISNUMBER(INDEX('Providers'!$AA$4:$AA$503,75)),TEXT(INDEX('Providers'!$AA$4:$AA$503,75),"yyyy-mm-dd"),"")</f>
        <v/>
      </c>
      <c r="F4078">
        <f>"Credentialing"</f>
        <v/>
      </c>
      <c r="G4078">
        <f>""</f>
        <v/>
      </c>
      <c r="H4078">
        <f>"High"</f>
        <v/>
      </c>
      <c r="I4078">
        <f>TRIM(IF(LEN(IF(LEN(INDEX('Providers'!$Z$4:$Z$503,75))=0,"",INDEX('Providers'!$Z$4:$Z$503,75)))=0,"","Payer(s): "&amp;IF(LEN(INDEX('Providers'!$Z$4:$Z$503,75))=0,"",INDEX('Providers'!$Z$4:$Z$503,75))&amp;". "))</f>
        <v/>
      </c>
      <c r="J4078">
        <f>IF(LEN(INDEX('Providers'!$AJ$4:$AJ$503,75))=0,"",INDEX('Providers'!$AJ$4:$AJ$503,75))</f>
        <v/>
      </c>
      <c r="K4078">
        <f>IF(LEN(INDEX('Providers'!$AI$4:$AI$503,75))=0,"",INDEX('Providers'!$AI$4:$AI$503,75))</f>
        <v/>
      </c>
    </row>
    <row r="4079">
      <c r="A4079">
        <f>IF(AND(LEN('Providers'!A79)&gt;0,ISNUMBER('Providers'!AA79)),1,0)</f>
        <v/>
      </c>
      <c r="B4079">
        <f>B4078+A4079</f>
        <v/>
      </c>
      <c r="C4079">
        <f>IF(4076&gt;$B$4503,"",MATCH(4076-0.5,$B$3:$B$4503,1))</f>
        <v/>
      </c>
      <c r="D4079">
        <f>"Payer recredentialing – "&amp;IF(LEN(INDEX('Providers'!$A$4:$A$503,76))=0,"",INDEX('Providers'!$A$4:$A$503,76))</f>
        <v/>
      </c>
      <c r="E4079">
        <f>IF(ISNUMBER(INDEX('Providers'!$AA$4:$AA$503,76)),TEXT(INDEX('Providers'!$AA$4:$AA$503,76),"yyyy-mm-dd"),"")</f>
        <v/>
      </c>
      <c r="F4079">
        <f>"Credentialing"</f>
        <v/>
      </c>
      <c r="G4079">
        <f>""</f>
        <v/>
      </c>
      <c r="H4079">
        <f>"High"</f>
        <v/>
      </c>
      <c r="I4079">
        <f>TRIM(IF(LEN(IF(LEN(INDEX('Providers'!$Z$4:$Z$503,76))=0,"",INDEX('Providers'!$Z$4:$Z$503,76)))=0,"","Payer(s): "&amp;IF(LEN(INDEX('Providers'!$Z$4:$Z$503,76))=0,"",INDEX('Providers'!$Z$4:$Z$503,76))&amp;". "))</f>
        <v/>
      </c>
      <c r="J4079">
        <f>IF(LEN(INDEX('Providers'!$AJ$4:$AJ$503,76))=0,"",INDEX('Providers'!$AJ$4:$AJ$503,76))</f>
        <v/>
      </c>
      <c r="K4079">
        <f>IF(LEN(INDEX('Providers'!$AI$4:$AI$503,76))=0,"",INDEX('Providers'!$AI$4:$AI$503,76))</f>
        <v/>
      </c>
    </row>
    <row r="4080">
      <c r="A4080">
        <f>IF(AND(LEN('Providers'!A80)&gt;0,ISNUMBER('Providers'!AA80)),1,0)</f>
        <v/>
      </c>
      <c r="B4080">
        <f>B4079+A4080</f>
        <v/>
      </c>
      <c r="C4080">
        <f>IF(4077&gt;$B$4503,"",MATCH(4077-0.5,$B$3:$B$4503,1))</f>
        <v/>
      </c>
      <c r="D4080">
        <f>"Payer recredentialing – "&amp;IF(LEN(INDEX('Providers'!$A$4:$A$503,77))=0,"",INDEX('Providers'!$A$4:$A$503,77))</f>
        <v/>
      </c>
      <c r="E4080">
        <f>IF(ISNUMBER(INDEX('Providers'!$AA$4:$AA$503,77)),TEXT(INDEX('Providers'!$AA$4:$AA$503,77),"yyyy-mm-dd"),"")</f>
        <v/>
      </c>
      <c r="F4080">
        <f>"Credentialing"</f>
        <v/>
      </c>
      <c r="G4080">
        <f>""</f>
        <v/>
      </c>
      <c r="H4080">
        <f>"High"</f>
        <v/>
      </c>
      <c r="I4080">
        <f>TRIM(IF(LEN(IF(LEN(INDEX('Providers'!$Z$4:$Z$503,77))=0,"",INDEX('Providers'!$Z$4:$Z$503,77)))=0,"","Payer(s): "&amp;IF(LEN(INDEX('Providers'!$Z$4:$Z$503,77))=0,"",INDEX('Providers'!$Z$4:$Z$503,77))&amp;". "))</f>
        <v/>
      </c>
      <c r="J4080">
        <f>IF(LEN(INDEX('Providers'!$AJ$4:$AJ$503,77))=0,"",INDEX('Providers'!$AJ$4:$AJ$503,77))</f>
        <v/>
      </c>
      <c r="K4080">
        <f>IF(LEN(INDEX('Providers'!$AI$4:$AI$503,77))=0,"",INDEX('Providers'!$AI$4:$AI$503,77))</f>
        <v/>
      </c>
    </row>
    <row r="4081">
      <c r="A4081">
        <f>IF(AND(LEN('Providers'!A81)&gt;0,ISNUMBER('Providers'!AA81)),1,0)</f>
        <v/>
      </c>
      <c r="B4081">
        <f>B4080+A4081</f>
        <v/>
      </c>
      <c r="C4081">
        <f>IF(4078&gt;$B$4503,"",MATCH(4078-0.5,$B$3:$B$4503,1))</f>
        <v/>
      </c>
      <c r="D4081">
        <f>"Payer recredentialing – "&amp;IF(LEN(INDEX('Providers'!$A$4:$A$503,78))=0,"",INDEX('Providers'!$A$4:$A$503,78))</f>
        <v/>
      </c>
      <c r="E4081">
        <f>IF(ISNUMBER(INDEX('Providers'!$AA$4:$AA$503,78)),TEXT(INDEX('Providers'!$AA$4:$AA$503,78),"yyyy-mm-dd"),"")</f>
        <v/>
      </c>
      <c r="F4081">
        <f>"Credentialing"</f>
        <v/>
      </c>
      <c r="G4081">
        <f>""</f>
        <v/>
      </c>
      <c r="H4081">
        <f>"High"</f>
        <v/>
      </c>
      <c r="I4081">
        <f>TRIM(IF(LEN(IF(LEN(INDEX('Providers'!$Z$4:$Z$503,78))=0,"",INDEX('Providers'!$Z$4:$Z$503,78)))=0,"","Payer(s): "&amp;IF(LEN(INDEX('Providers'!$Z$4:$Z$503,78))=0,"",INDEX('Providers'!$Z$4:$Z$503,78))&amp;". "))</f>
        <v/>
      </c>
      <c r="J4081">
        <f>IF(LEN(INDEX('Providers'!$AJ$4:$AJ$503,78))=0,"",INDEX('Providers'!$AJ$4:$AJ$503,78))</f>
        <v/>
      </c>
      <c r="K4081">
        <f>IF(LEN(INDEX('Providers'!$AI$4:$AI$503,78))=0,"",INDEX('Providers'!$AI$4:$AI$503,78))</f>
        <v/>
      </c>
    </row>
    <row r="4082">
      <c r="A4082">
        <f>IF(AND(LEN('Providers'!A82)&gt;0,ISNUMBER('Providers'!AA82)),1,0)</f>
        <v/>
      </c>
      <c r="B4082">
        <f>B4081+A4082</f>
        <v/>
      </c>
      <c r="C4082">
        <f>IF(4079&gt;$B$4503,"",MATCH(4079-0.5,$B$3:$B$4503,1))</f>
        <v/>
      </c>
      <c r="D4082">
        <f>"Payer recredentialing – "&amp;IF(LEN(INDEX('Providers'!$A$4:$A$503,79))=0,"",INDEX('Providers'!$A$4:$A$503,79))</f>
        <v/>
      </c>
      <c r="E4082">
        <f>IF(ISNUMBER(INDEX('Providers'!$AA$4:$AA$503,79)),TEXT(INDEX('Providers'!$AA$4:$AA$503,79),"yyyy-mm-dd"),"")</f>
        <v/>
      </c>
      <c r="F4082">
        <f>"Credentialing"</f>
        <v/>
      </c>
      <c r="G4082">
        <f>""</f>
        <v/>
      </c>
      <c r="H4082">
        <f>"High"</f>
        <v/>
      </c>
      <c r="I4082">
        <f>TRIM(IF(LEN(IF(LEN(INDEX('Providers'!$Z$4:$Z$503,79))=0,"",INDEX('Providers'!$Z$4:$Z$503,79)))=0,"","Payer(s): "&amp;IF(LEN(INDEX('Providers'!$Z$4:$Z$503,79))=0,"",INDEX('Providers'!$Z$4:$Z$503,79))&amp;". "))</f>
        <v/>
      </c>
      <c r="J4082">
        <f>IF(LEN(INDEX('Providers'!$AJ$4:$AJ$503,79))=0,"",INDEX('Providers'!$AJ$4:$AJ$503,79))</f>
        <v/>
      </c>
      <c r="K4082">
        <f>IF(LEN(INDEX('Providers'!$AI$4:$AI$503,79))=0,"",INDEX('Providers'!$AI$4:$AI$503,79))</f>
        <v/>
      </c>
    </row>
    <row r="4083">
      <c r="A4083">
        <f>IF(AND(LEN('Providers'!A83)&gt;0,ISNUMBER('Providers'!AA83)),1,0)</f>
        <v/>
      </c>
      <c r="B4083">
        <f>B4082+A4083</f>
        <v/>
      </c>
      <c r="C4083">
        <f>IF(4080&gt;$B$4503,"",MATCH(4080-0.5,$B$3:$B$4503,1))</f>
        <v/>
      </c>
      <c r="D4083">
        <f>"Payer recredentialing – "&amp;IF(LEN(INDEX('Providers'!$A$4:$A$503,80))=0,"",INDEX('Providers'!$A$4:$A$503,80))</f>
        <v/>
      </c>
      <c r="E4083">
        <f>IF(ISNUMBER(INDEX('Providers'!$AA$4:$AA$503,80)),TEXT(INDEX('Providers'!$AA$4:$AA$503,80),"yyyy-mm-dd"),"")</f>
        <v/>
      </c>
      <c r="F4083">
        <f>"Credentialing"</f>
        <v/>
      </c>
      <c r="G4083">
        <f>""</f>
        <v/>
      </c>
      <c r="H4083">
        <f>"High"</f>
        <v/>
      </c>
      <c r="I4083">
        <f>TRIM(IF(LEN(IF(LEN(INDEX('Providers'!$Z$4:$Z$503,80))=0,"",INDEX('Providers'!$Z$4:$Z$503,80)))=0,"","Payer(s): "&amp;IF(LEN(INDEX('Providers'!$Z$4:$Z$503,80))=0,"",INDEX('Providers'!$Z$4:$Z$503,80))&amp;". "))</f>
        <v/>
      </c>
      <c r="J4083">
        <f>IF(LEN(INDEX('Providers'!$AJ$4:$AJ$503,80))=0,"",INDEX('Providers'!$AJ$4:$AJ$503,80))</f>
        <v/>
      </c>
      <c r="K4083">
        <f>IF(LEN(INDEX('Providers'!$AI$4:$AI$503,80))=0,"",INDEX('Providers'!$AI$4:$AI$503,80))</f>
        <v/>
      </c>
    </row>
    <row r="4084">
      <c r="A4084">
        <f>IF(AND(LEN('Providers'!A84)&gt;0,ISNUMBER('Providers'!AA84)),1,0)</f>
        <v/>
      </c>
      <c r="B4084">
        <f>B4083+A4084</f>
        <v/>
      </c>
      <c r="C4084">
        <f>IF(4081&gt;$B$4503,"",MATCH(4081-0.5,$B$3:$B$4503,1))</f>
        <v/>
      </c>
      <c r="D4084">
        <f>"Payer recredentialing – "&amp;IF(LEN(INDEX('Providers'!$A$4:$A$503,81))=0,"",INDEX('Providers'!$A$4:$A$503,81))</f>
        <v/>
      </c>
      <c r="E4084">
        <f>IF(ISNUMBER(INDEX('Providers'!$AA$4:$AA$503,81)),TEXT(INDEX('Providers'!$AA$4:$AA$503,81),"yyyy-mm-dd"),"")</f>
        <v/>
      </c>
      <c r="F4084">
        <f>"Credentialing"</f>
        <v/>
      </c>
      <c r="G4084">
        <f>""</f>
        <v/>
      </c>
      <c r="H4084">
        <f>"High"</f>
        <v/>
      </c>
      <c r="I4084">
        <f>TRIM(IF(LEN(IF(LEN(INDEX('Providers'!$Z$4:$Z$503,81))=0,"",INDEX('Providers'!$Z$4:$Z$503,81)))=0,"","Payer(s): "&amp;IF(LEN(INDEX('Providers'!$Z$4:$Z$503,81))=0,"",INDEX('Providers'!$Z$4:$Z$503,81))&amp;". "))</f>
        <v/>
      </c>
      <c r="J4084">
        <f>IF(LEN(INDEX('Providers'!$AJ$4:$AJ$503,81))=0,"",INDEX('Providers'!$AJ$4:$AJ$503,81))</f>
        <v/>
      </c>
      <c r="K4084">
        <f>IF(LEN(INDEX('Providers'!$AI$4:$AI$503,81))=0,"",INDEX('Providers'!$AI$4:$AI$503,81))</f>
        <v/>
      </c>
    </row>
    <row r="4085">
      <c r="A4085">
        <f>IF(AND(LEN('Providers'!A85)&gt;0,ISNUMBER('Providers'!AA85)),1,0)</f>
        <v/>
      </c>
      <c r="B4085">
        <f>B4084+A4085</f>
        <v/>
      </c>
      <c r="C4085">
        <f>IF(4082&gt;$B$4503,"",MATCH(4082-0.5,$B$3:$B$4503,1))</f>
        <v/>
      </c>
      <c r="D4085">
        <f>"Payer recredentialing – "&amp;IF(LEN(INDEX('Providers'!$A$4:$A$503,82))=0,"",INDEX('Providers'!$A$4:$A$503,82))</f>
        <v/>
      </c>
      <c r="E4085">
        <f>IF(ISNUMBER(INDEX('Providers'!$AA$4:$AA$503,82)),TEXT(INDEX('Providers'!$AA$4:$AA$503,82),"yyyy-mm-dd"),"")</f>
        <v/>
      </c>
      <c r="F4085">
        <f>"Credentialing"</f>
        <v/>
      </c>
      <c r="G4085">
        <f>""</f>
        <v/>
      </c>
      <c r="H4085">
        <f>"High"</f>
        <v/>
      </c>
      <c r="I4085">
        <f>TRIM(IF(LEN(IF(LEN(INDEX('Providers'!$Z$4:$Z$503,82))=0,"",INDEX('Providers'!$Z$4:$Z$503,82)))=0,"","Payer(s): "&amp;IF(LEN(INDEX('Providers'!$Z$4:$Z$503,82))=0,"",INDEX('Providers'!$Z$4:$Z$503,82))&amp;". "))</f>
        <v/>
      </c>
      <c r="J4085">
        <f>IF(LEN(INDEX('Providers'!$AJ$4:$AJ$503,82))=0,"",INDEX('Providers'!$AJ$4:$AJ$503,82))</f>
        <v/>
      </c>
      <c r="K4085">
        <f>IF(LEN(INDEX('Providers'!$AI$4:$AI$503,82))=0,"",INDEX('Providers'!$AI$4:$AI$503,82))</f>
        <v/>
      </c>
    </row>
    <row r="4086">
      <c r="A4086">
        <f>IF(AND(LEN('Providers'!A86)&gt;0,ISNUMBER('Providers'!AA86)),1,0)</f>
        <v/>
      </c>
      <c r="B4086">
        <f>B4085+A4086</f>
        <v/>
      </c>
      <c r="C4086">
        <f>IF(4083&gt;$B$4503,"",MATCH(4083-0.5,$B$3:$B$4503,1))</f>
        <v/>
      </c>
      <c r="D4086">
        <f>"Payer recredentialing – "&amp;IF(LEN(INDEX('Providers'!$A$4:$A$503,83))=0,"",INDEX('Providers'!$A$4:$A$503,83))</f>
        <v/>
      </c>
      <c r="E4086">
        <f>IF(ISNUMBER(INDEX('Providers'!$AA$4:$AA$503,83)),TEXT(INDEX('Providers'!$AA$4:$AA$503,83),"yyyy-mm-dd"),"")</f>
        <v/>
      </c>
      <c r="F4086">
        <f>"Credentialing"</f>
        <v/>
      </c>
      <c r="G4086">
        <f>""</f>
        <v/>
      </c>
      <c r="H4086">
        <f>"High"</f>
        <v/>
      </c>
      <c r="I4086">
        <f>TRIM(IF(LEN(IF(LEN(INDEX('Providers'!$Z$4:$Z$503,83))=0,"",INDEX('Providers'!$Z$4:$Z$503,83)))=0,"","Payer(s): "&amp;IF(LEN(INDEX('Providers'!$Z$4:$Z$503,83))=0,"",INDEX('Providers'!$Z$4:$Z$503,83))&amp;". "))</f>
        <v/>
      </c>
      <c r="J4086">
        <f>IF(LEN(INDEX('Providers'!$AJ$4:$AJ$503,83))=0,"",INDEX('Providers'!$AJ$4:$AJ$503,83))</f>
        <v/>
      </c>
      <c r="K4086">
        <f>IF(LEN(INDEX('Providers'!$AI$4:$AI$503,83))=0,"",INDEX('Providers'!$AI$4:$AI$503,83))</f>
        <v/>
      </c>
    </row>
    <row r="4087">
      <c r="A4087">
        <f>IF(AND(LEN('Providers'!A87)&gt;0,ISNUMBER('Providers'!AA87)),1,0)</f>
        <v/>
      </c>
      <c r="B4087">
        <f>B4086+A4087</f>
        <v/>
      </c>
      <c r="C4087">
        <f>IF(4084&gt;$B$4503,"",MATCH(4084-0.5,$B$3:$B$4503,1))</f>
        <v/>
      </c>
      <c r="D4087">
        <f>"Payer recredentialing – "&amp;IF(LEN(INDEX('Providers'!$A$4:$A$503,84))=0,"",INDEX('Providers'!$A$4:$A$503,84))</f>
        <v/>
      </c>
      <c r="E4087">
        <f>IF(ISNUMBER(INDEX('Providers'!$AA$4:$AA$503,84)),TEXT(INDEX('Providers'!$AA$4:$AA$503,84),"yyyy-mm-dd"),"")</f>
        <v/>
      </c>
      <c r="F4087">
        <f>"Credentialing"</f>
        <v/>
      </c>
      <c r="G4087">
        <f>""</f>
        <v/>
      </c>
      <c r="H4087">
        <f>"High"</f>
        <v/>
      </c>
      <c r="I4087">
        <f>TRIM(IF(LEN(IF(LEN(INDEX('Providers'!$Z$4:$Z$503,84))=0,"",INDEX('Providers'!$Z$4:$Z$503,84)))=0,"","Payer(s): "&amp;IF(LEN(INDEX('Providers'!$Z$4:$Z$503,84))=0,"",INDEX('Providers'!$Z$4:$Z$503,84))&amp;". "))</f>
        <v/>
      </c>
      <c r="J4087">
        <f>IF(LEN(INDEX('Providers'!$AJ$4:$AJ$503,84))=0,"",INDEX('Providers'!$AJ$4:$AJ$503,84))</f>
        <v/>
      </c>
      <c r="K4087">
        <f>IF(LEN(INDEX('Providers'!$AI$4:$AI$503,84))=0,"",INDEX('Providers'!$AI$4:$AI$503,84))</f>
        <v/>
      </c>
    </row>
    <row r="4088">
      <c r="A4088">
        <f>IF(AND(LEN('Providers'!A88)&gt;0,ISNUMBER('Providers'!AA88)),1,0)</f>
        <v/>
      </c>
      <c r="B4088">
        <f>B4087+A4088</f>
        <v/>
      </c>
      <c r="C4088">
        <f>IF(4085&gt;$B$4503,"",MATCH(4085-0.5,$B$3:$B$4503,1))</f>
        <v/>
      </c>
      <c r="D4088">
        <f>"Payer recredentialing – "&amp;IF(LEN(INDEX('Providers'!$A$4:$A$503,85))=0,"",INDEX('Providers'!$A$4:$A$503,85))</f>
        <v/>
      </c>
      <c r="E4088">
        <f>IF(ISNUMBER(INDEX('Providers'!$AA$4:$AA$503,85)),TEXT(INDEX('Providers'!$AA$4:$AA$503,85),"yyyy-mm-dd"),"")</f>
        <v/>
      </c>
      <c r="F4088">
        <f>"Credentialing"</f>
        <v/>
      </c>
      <c r="G4088">
        <f>""</f>
        <v/>
      </c>
      <c r="H4088">
        <f>"High"</f>
        <v/>
      </c>
      <c r="I4088">
        <f>TRIM(IF(LEN(IF(LEN(INDEX('Providers'!$Z$4:$Z$503,85))=0,"",INDEX('Providers'!$Z$4:$Z$503,85)))=0,"","Payer(s): "&amp;IF(LEN(INDEX('Providers'!$Z$4:$Z$503,85))=0,"",INDEX('Providers'!$Z$4:$Z$503,85))&amp;". "))</f>
        <v/>
      </c>
      <c r="J4088">
        <f>IF(LEN(INDEX('Providers'!$AJ$4:$AJ$503,85))=0,"",INDEX('Providers'!$AJ$4:$AJ$503,85))</f>
        <v/>
      </c>
      <c r="K4088">
        <f>IF(LEN(INDEX('Providers'!$AI$4:$AI$503,85))=0,"",INDEX('Providers'!$AI$4:$AI$503,85))</f>
        <v/>
      </c>
    </row>
    <row r="4089">
      <c r="A4089">
        <f>IF(AND(LEN('Providers'!A89)&gt;0,ISNUMBER('Providers'!AA89)),1,0)</f>
        <v/>
      </c>
      <c r="B4089">
        <f>B4088+A4089</f>
        <v/>
      </c>
      <c r="C4089">
        <f>IF(4086&gt;$B$4503,"",MATCH(4086-0.5,$B$3:$B$4503,1))</f>
        <v/>
      </c>
      <c r="D4089">
        <f>"Payer recredentialing – "&amp;IF(LEN(INDEX('Providers'!$A$4:$A$503,86))=0,"",INDEX('Providers'!$A$4:$A$503,86))</f>
        <v/>
      </c>
      <c r="E4089">
        <f>IF(ISNUMBER(INDEX('Providers'!$AA$4:$AA$503,86)),TEXT(INDEX('Providers'!$AA$4:$AA$503,86),"yyyy-mm-dd"),"")</f>
        <v/>
      </c>
      <c r="F4089">
        <f>"Credentialing"</f>
        <v/>
      </c>
      <c r="G4089">
        <f>""</f>
        <v/>
      </c>
      <c r="H4089">
        <f>"High"</f>
        <v/>
      </c>
      <c r="I4089">
        <f>TRIM(IF(LEN(IF(LEN(INDEX('Providers'!$Z$4:$Z$503,86))=0,"",INDEX('Providers'!$Z$4:$Z$503,86)))=0,"","Payer(s): "&amp;IF(LEN(INDEX('Providers'!$Z$4:$Z$503,86))=0,"",INDEX('Providers'!$Z$4:$Z$503,86))&amp;". "))</f>
        <v/>
      </c>
      <c r="J4089">
        <f>IF(LEN(INDEX('Providers'!$AJ$4:$AJ$503,86))=0,"",INDEX('Providers'!$AJ$4:$AJ$503,86))</f>
        <v/>
      </c>
      <c r="K4089">
        <f>IF(LEN(INDEX('Providers'!$AI$4:$AI$503,86))=0,"",INDEX('Providers'!$AI$4:$AI$503,86))</f>
        <v/>
      </c>
    </row>
    <row r="4090">
      <c r="A4090">
        <f>IF(AND(LEN('Providers'!A90)&gt;0,ISNUMBER('Providers'!AA90)),1,0)</f>
        <v/>
      </c>
      <c r="B4090">
        <f>B4089+A4090</f>
        <v/>
      </c>
      <c r="C4090">
        <f>IF(4087&gt;$B$4503,"",MATCH(4087-0.5,$B$3:$B$4503,1))</f>
        <v/>
      </c>
      <c r="D4090">
        <f>"Payer recredentialing – "&amp;IF(LEN(INDEX('Providers'!$A$4:$A$503,87))=0,"",INDEX('Providers'!$A$4:$A$503,87))</f>
        <v/>
      </c>
      <c r="E4090">
        <f>IF(ISNUMBER(INDEX('Providers'!$AA$4:$AA$503,87)),TEXT(INDEX('Providers'!$AA$4:$AA$503,87),"yyyy-mm-dd"),"")</f>
        <v/>
      </c>
      <c r="F4090">
        <f>"Credentialing"</f>
        <v/>
      </c>
      <c r="G4090">
        <f>""</f>
        <v/>
      </c>
      <c r="H4090">
        <f>"High"</f>
        <v/>
      </c>
      <c r="I4090">
        <f>TRIM(IF(LEN(IF(LEN(INDEX('Providers'!$Z$4:$Z$503,87))=0,"",INDEX('Providers'!$Z$4:$Z$503,87)))=0,"","Payer(s): "&amp;IF(LEN(INDEX('Providers'!$Z$4:$Z$503,87))=0,"",INDEX('Providers'!$Z$4:$Z$503,87))&amp;". "))</f>
        <v/>
      </c>
      <c r="J4090">
        <f>IF(LEN(INDEX('Providers'!$AJ$4:$AJ$503,87))=0,"",INDEX('Providers'!$AJ$4:$AJ$503,87))</f>
        <v/>
      </c>
      <c r="K4090">
        <f>IF(LEN(INDEX('Providers'!$AI$4:$AI$503,87))=0,"",INDEX('Providers'!$AI$4:$AI$503,87))</f>
        <v/>
      </c>
    </row>
    <row r="4091">
      <c r="A4091">
        <f>IF(AND(LEN('Providers'!A91)&gt;0,ISNUMBER('Providers'!AA91)),1,0)</f>
        <v/>
      </c>
      <c r="B4091">
        <f>B4090+A4091</f>
        <v/>
      </c>
      <c r="C4091">
        <f>IF(4088&gt;$B$4503,"",MATCH(4088-0.5,$B$3:$B$4503,1))</f>
        <v/>
      </c>
      <c r="D4091">
        <f>"Payer recredentialing – "&amp;IF(LEN(INDEX('Providers'!$A$4:$A$503,88))=0,"",INDEX('Providers'!$A$4:$A$503,88))</f>
        <v/>
      </c>
      <c r="E4091">
        <f>IF(ISNUMBER(INDEX('Providers'!$AA$4:$AA$503,88)),TEXT(INDEX('Providers'!$AA$4:$AA$503,88),"yyyy-mm-dd"),"")</f>
        <v/>
      </c>
      <c r="F4091">
        <f>"Credentialing"</f>
        <v/>
      </c>
      <c r="G4091">
        <f>""</f>
        <v/>
      </c>
      <c r="H4091">
        <f>"High"</f>
        <v/>
      </c>
      <c r="I4091">
        <f>TRIM(IF(LEN(IF(LEN(INDEX('Providers'!$Z$4:$Z$503,88))=0,"",INDEX('Providers'!$Z$4:$Z$503,88)))=0,"","Payer(s): "&amp;IF(LEN(INDEX('Providers'!$Z$4:$Z$503,88))=0,"",INDEX('Providers'!$Z$4:$Z$503,88))&amp;". "))</f>
        <v/>
      </c>
      <c r="J4091">
        <f>IF(LEN(INDEX('Providers'!$AJ$4:$AJ$503,88))=0,"",INDEX('Providers'!$AJ$4:$AJ$503,88))</f>
        <v/>
      </c>
      <c r="K4091">
        <f>IF(LEN(INDEX('Providers'!$AI$4:$AI$503,88))=0,"",INDEX('Providers'!$AI$4:$AI$503,88))</f>
        <v/>
      </c>
    </row>
    <row r="4092">
      <c r="A4092">
        <f>IF(AND(LEN('Providers'!A92)&gt;0,ISNUMBER('Providers'!AA92)),1,0)</f>
        <v/>
      </c>
      <c r="B4092">
        <f>B4091+A4092</f>
        <v/>
      </c>
      <c r="C4092">
        <f>IF(4089&gt;$B$4503,"",MATCH(4089-0.5,$B$3:$B$4503,1))</f>
        <v/>
      </c>
      <c r="D4092">
        <f>"Payer recredentialing – "&amp;IF(LEN(INDEX('Providers'!$A$4:$A$503,89))=0,"",INDEX('Providers'!$A$4:$A$503,89))</f>
        <v/>
      </c>
      <c r="E4092">
        <f>IF(ISNUMBER(INDEX('Providers'!$AA$4:$AA$503,89)),TEXT(INDEX('Providers'!$AA$4:$AA$503,89),"yyyy-mm-dd"),"")</f>
        <v/>
      </c>
      <c r="F4092">
        <f>"Credentialing"</f>
        <v/>
      </c>
      <c r="G4092">
        <f>""</f>
        <v/>
      </c>
      <c r="H4092">
        <f>"High"</f>
        <v/>
      </c>
      <c r="I4092">
        <f>TRIM(IF(LEN(IF(LEN(INDEX('Providers'!$Z$4:$Z$503,89))=0,"",INDEX('Providers'!$Z$4:$Z$503,89)))=0,"","Payer(s): "&amp;IF(LEN(INDEX('Providers'!$Z$4:$Z$503,89))=0,"",INDEX('Providers'!$Z$4:$Z$503,89))&amp;". "))</f>
        <v/>
      </c>
      <c r="J4092">
        <f>IF(LEN(INDEX('Providers'!$AJ$4:$AJ$503,89))=0,"",INDEX('Providers'!$AJ$4:$AJ$503,89))</f>
        <v/>
      </c>
      <c r="K4092">
        <f>IF(LEN(INDEX('Providers'!$AI$4:$AI$503,89))=0,"",INDEX('Providers'!$AI$4:$AI$503,89))</f>
        <v/>
      </c>
    </row>
    <row r="4093">
      <c r="A4093">
        <f>IF(AND(LEN('Providers'!A93)&gt;0,ISNUMBER('Providers'!AA93)),1,0)</f>
        <v/>
      </c>
      <c r="B4093">
        <f>B4092+A4093</f>
        <v/>
      </c>
      <c r="C4093">
        <f>IF(4090&gt;$B$4503,"",MATCH(4090-0.5,$B$3:$B$4503,1))</f>
        <v/>
      </c>
      <c r="D4093">
        <f>"Payer recredentialing – "&amp;IF(LEN(INDEX('Providers'!$A$4:$A$503,90))=0,"",INDEX('Providers'!$A$4:$A$503,90))</f>
        <v/>
      </c>
      <c r="E4093">
        <f>IF(ISNUMBER(INDEX('Providers'!$AA$4:$AA$503,90)),TEXT(INDEX('Providers'!$AA$4:$AA$503,90),"yyyy-mm-dd"),"")</f>
        <v/>
      </c>
      <c r="F4093">
        <f>"Credentialing"</f>
        <v/>
      </c>
      <c r="G4093">
        <f>""</f>
        <v/>
      </c>
      <c r="H4093">
        <f>"High"</f>
        <v/>
      </c>
      <c r="I4093">
        <f>TRIM(IF(LEN(IF(LEN(INDEX('Providers'!$Z$4:$Z$503,90))=0,"",INDEX('Providers'!$Z$4:$Z$503,90)))=0,"","Payer(s): "&amp;IF(LEN(INDEX('Providers'!$Z$4:$Z$503,90))=0,"",INDEX('Providers'!$Z$4:$Z$503,90))&amp;". "))</f>
        <v/>
      </c>
      <c r="J4093">
        <f>IF(LEN(INDEX('Providers'!$AJ$4:$AJ$503,90))=0,"",INDEX('Providers'!$AJ$4:$AJ$503,90))</f>
        <v/>
      </c>
      <c r="K4093">
        <f>IF(LEN(INDEX('Providers'!$AI$4:$AI$503,90))=0,"",INDEX('Providers'!$AI$4:$AI$503,90))</f>
        <v/>
      </c>
    </row>
    <row r="4094">
      <c r="A4094">
        <f>IF(AND(LEN('Providers'!A94)&gt;0,ISNUMBER('Providers'!AA94)),1,0)</f>
        <v/>
      </c>
      <c r="B4094">
        <f>B4093+A4094</f>
        <v/>
      </c>
      <c r="C4094">
        <f>IF(4091&gt;$B$4503,"",MATCH(4091-0.5,$B$3:$B$4503,1))</f>
        <v/>
      </c>
      <c r="D4094">
        <f>"Payer recredentialing – "&amp;IF(LEN(INDEX('Providers'!$A$4:$A$503,91))=0,"",INDEX('Providers'!$A$4:$A$503,91))</f>
        <v/>
      </c>
      <c r="E4094">
        <f>IF(ISNUMBER(INDEX('Providers'!$AA$4:$AA$503,91)),TEXT(INDEX('Providers'!$AA$4:$AA$503,91),"yyyy-mm-dd"),"")</f>
        <v/>
      </c>
      <c r="F4094">
        <f>"Credentialing"</f>
        <v/>
      </c>
      <c r="G4094">
        <f>""</f>
        <v/>
      </c>
      <c r="H4094">
        <f>"High"</f>
        <v/>
      </c>
      <c r="I4094">
        <f>TRIM(IF(LEN(IF(LEN(INDEX('Providers'!$Z$4:$Z$503,91))=0,"",INDEX('Providers'!$Z$4:$Z$503,91)))=0,"","Payer(s): "&amp;IF(LEN(INDEX('Providers'!$Z$4:$Z$503,91))=0,"",INDEX('Providers'!$Z$4:$Z$503,91))&amp;". "))</f>
        <v/>
      </c>
      <c r="J4094">
        <f>IF(LEN(INDEX('Providers'!$AJ$4:$AJ$503,91))=0,"",INDEX('Providers'!$AJ$4:$AJ$503,91))</f>
        <v/>
      </c>
      <c r="K4094">
        <f>IF(LEN(INDEX('Providers'!$AI$4:$AI$503,91))=0,"",INDEX('Providers'!$AI$4:$AI$503,91))</f>
        <v/>
      </c>
    </row>
    <row r="4095">
      <c r="A4095">
        <f>IF(AND(LEN('Providers'!A95)&gt;0,ISNUMBER('Providers'!AA95)),1,0)</f>
        <v/>
      </c>
      <c r="B4095">
        <f>B4094+A4095</f>
        <v/>
      </c>
      <c r="C4095">
        <f>IF(4092&gt;$B$4503,"",MATCH(4092-0.5,$B$3:$B$4503,1))</f>
        <v/>
      </c>
      <c r="D4095">
        <f>"Payer recredentialing – "&amp;IF(LEN(INDEX('Providers'!$A$4:$A$503,92))=0,"",INDEX('Providers'!$A$4:$A$503,92))</f>
        <v/>
      </c>
      <c r="E4095">
        <f>IF(ISNUMBER(INDEX('Providers'!$AA$4:$AA$503,92)),TEXT(INDEX('Providers'!$AA$4:$AA$503,92),"yyyy-mm-dd"),"")</f>
        <v/>
      </c>
      <c r="F4095">
        <f>"Credentialing"</f>
        <v/>
      </c>
      <c r="G4095">
        <f>""</f>
        <v/>
      </c>
      <c r="H4095">
        <f>"High"</f>
        <v/>
      </c>
      <c r="I4095">
        <f>TRIM(IF(LEN(IF(LEN(INDEX('Providers'!$Z$4:$Z$503,92))=0,"",INDEX('Providers'!$Z$4:$Z$503,92)))=0,"","Payer(s): "&amp;IF(LEN(INDEX('Providers'!$Z$4:$Z$503,92))=0,"",INDEX('Providers'!$Z$4:$Z$503,92))&amp;". "))</f>
        <v/>
      </c>
      <c r="J4095">
        <f>IF(LEN(INDEX('Providers'!$AJ$4:$AJ$503,92))=0,"",INDEX('Providers'!$AJ$4:$AJ$503,92))</f>
        <v/>
      </c>
      <c r="K4095">
        <f>IF(LEN(INDEX('Providers'!$AI$4:$AI$503,92))=0,"",INDEX('Providers'!$AI$4:$AI$503,92))</f>
        <v/>
      </c>
    </row>
    <row r="4096">
      <c r="A4096">
        <f>IF(AND(LEN('Providers'!A96)&gt;0,ISNUMBER('Providers'!AA96)),1,0)</f>
        <v/>
      </c>
      <c r="B4096">
        <f>B4095+A4096</f>
        <v/>
      </c>
      <c r="C4096">
        <f>IF(4093&gt;$B$4503,"",MATCH(4093-0.5,$B$3:$B$4503,1))</f>
        <v/>
      </c>
      <c r="D4096">
        <f>"Payer recredentialing – "&amp;IF(LEN(INDEX('Providers'!$A$4:$A$503,93))=0,"",INDEX('Providers'!$A$4:$A$503,93))</f>
        <v/>
      </c>
      <c r="E4096">
        <f>IF(ISNUMBER(INDEX('Providers'!$AA$4:$AA$503,93)),TEXT(INDEX('Providers'!$AA$4:$AA$503,93),"yyyy-mm-dd"),"")</f>
        <v/>
      </c>
      <c r="F4096">
        <f>"Credentialing"</f>
        <v/>
      </c>
      <c r="G4096">
        <f>""</f>
        <v/>
      </c>
      <c r="H4096">
        <f>"High"</f>
        <v/>
      </c>
      <c r="I4096">
        <f>TRIM(IF(LEN(IF(LEN(INDEX('Providers'!$Z$4:$Z$503,93))=0,"",INDEX('Providers'!$Z$4:$Z$503,93)))=0,"","Payer(s): "&amp;IF(LEN(INDEX('Providers'!$Z$4:$Z$503,93))=0,"",INDEX('Providers'!$Z$4:$Z$503,93))&amp;". "))</f>
        <v/>
      </c>
      <c r="J4096">
        <f>IF(LEN(INDEX('Providers'!$AJ$4:$AJ$503,93))=0,"",INDEX('Providers'!$AJ$4:$AJ$503,93))</f>
        <v/>
      </c>
      <c r="K4096">
        <f>IF(LEN(INDEX('Providers'!$AI$4:$AI$503,93))=0,"",INDEX('Providers'!$AI$4:$AI$503,93))</f>
        <v/>
      </c>
    </row>
    <row r="4097">
      <c r="A4097">
        <f>IF(AND(LEN('Providers'!A97)&gt;0,ISNUMBER('Providers'!AA97)),1,0)</f>
        <v/>
      </c>
      <c r="B4097">
        <f>B4096+A4097</f>
        <v/>
      </c>
      <c r="C4097">
        <f>IF(4094&gt;$B$4503,"",MATCH(4094-0.5,$B$3:$B$4503,1))</f>
        <v/>
      </c>
      <c r="D4097">
        <f>"Payer recredentialing – "&amp;IF(LEN(INDEX('Providers'!$A$4:$A$503,94))=0,"",INDEX('Providers'!$A$4:$A$503,94))</f>
        <v/>
      </c>
      <c r="E4097">
        <f>IF(ISNUMBER(INDEX('Providers'!$AA$4:$AA$503,94)),TEXT(INDEX('Providers'!$AA$4:$AA$503,94),"yyyy-mm-dd"),"")</f>
        <v/>
      </c>
      <c r="F4097">
        <f>"Credentialing"</f>
        <v/>
      </c>
      <c r="G4097">
        <f>""</f>
        <v/>
      </c>
      <c r="H4097">
        <f>"High"</f>
        <v/>
      </c>
      <c r="I4097">
        <f>TRIM(IF(LEN(IF(LEN(INDEX('Providers'!$Z$4:$Z$503,94))=0,"",INDEX('Providers'!$Z$4:$Z$503,94)))=0,"","Payer(s): "&amp;IF(LEN(INDEX('Providers'!$Z$4:$Z$503,94))=0,"",INDEX('Providers'!$Z$4:$Z$503,94))&amp;". "))</f>
        <v/>
      </c>
      <c r="J4097">
        <f>IF(LEN(INDEX('Providers'!$AJ$4:$AJ$503,94))=0,"",INDEX('Providers'!$AJ$4:$AJ$503,94))</f>
        <v/>
      </c>
      <c r="K4097">
        <f>IF(LEN(INDEX('Providers'!$AI$4:$AI$503,94))=0,"",INDEX('Providers'!$AI$4:$AI$503,94))</f>
        <v/>
      </c>
    </row>
    <row r="4098">
      <c r="A4098">
        <f>IF(AND(LEN('Providers'!A98)&gt;0,ISNUMBER('Providers'!AA98)),1,0)</f>
        <v/>
      </c>
      <c r="B4098">
        <f>B4097+A4098</f>
        <v/>
      </c>
      <c r="C4098">
        <f>IF(4095&gt;$B$4503,"",MATCH(4095-0.5,$B$3:$B$4503,1))</f>
        <v/>
      </c>
      <c r="D4098">
        <f>"Payer recredentialing – "&amp;IF(LEN(INDEX('Providers'!$A$4:$A$503,95))=0,"",INDEX('Providers'!$A$4:$A$503,95))</f>
        <v/>
      </c>
      <c r="E4098">
        <f>IF(ISNUMBER(INDEX('Providers'!$AA$4:$AA$503,95)),TEXT(INDEX('Providers'!$AA$4:$AA$503,95),"yyyy-mm-dd"),"")</f>
        <v/>
      </c>
      <c r="F4098">
        <f>"Credentialing"</f>
        <v/>
      </c>
      <c r="G4098">
        <f>""</f>
        <v/>
      </c>
      <c r="H4098">
        <f>"High"</f>
        <v/>
      </c>
      <c r="I4098">
        <f>TRIM(IF(LEN(IF(LEN(INDEX('Providers'!$Z$4:$Z$503,95))=0,"",INDEX('Providers'!$Z$4:$Z$503,95)))=0,"","Payer(s): "&amp;IF(LEN(INDEX('Providers'!$Z$4:$Z$503,95))=0,"",INDEX('Providers'!$Z$4:$Z$503,95))&amp;". "))</f>
        <v/>
      </c>
      <c r="J4098">
        <f>IF(LEN(INDEX('Providers'!$AJ$4:$AJ$503,95))=0,"",INDEX('Providers'!$AJ$4:$AJ$503,95))</f>
        <v/>
      </c>
      <c r="K4098">
        <f>IF(LEN(INDEX('Providers'!$AI$4:$AI$503,95))=0,"",INDEX('Providers'!$AI$4:$AI$503,95))</f>
        <v/>
      </c>
    </row>
    <row r="4099">
      <c r="A4099">
        <f>IF(AND(LEN('Providers'!A99)&gt;0,ISNUMBER('Providers'!AA99)),1,0)</f>
        <v/>
      </c>
      <c r="B4099">
        <f>B4098+A4099</f>
        <v/>
      </c>
      <c r="C4099">
        <f>IF(4096&gt;$B$4503,"",MATCH(4096-0.5,$B$3:$B$4503,1))</f>
        <v/>
      </c>
      <c r="D4099">
        <f>"Payer recredentialing – "&amp;IF(LEN(INDEX('Providers'!$A$4:$A$503,96))=0,"",INDEX('Providers'!$A$4:$A$503,96))</f>
        <v/>
      </c>
      <c r="E4099">
        <f>IF(ISNUMBER(INDEX('Providers'!$AA$4:$AA$503,96)),TEXT(INDEX('Providers'!$AA$4:$AA$503,96),"yyyy-mm-dd"),"")</f>
        <v/>
      </c>
      <c r="F4099">
        <f>"Credentialing"</f>
        <v/>
      </c>
      <c r="G4099">
        <f>""</f>
        <v/>
      </c>
      <c r="H4099">
        <f>"High"</f>
        <v/>
      </c>
      <c r="I4099">
        <f>TRIM(IF(LEN(IF(LEN(INDEX('Providers'!$Z$4:$Z$503,96))=0,"",INDEX('Providers'!$Z$4:$Z$503,96)))=0,"","Payer(s): "&amp;IF(LEN(INDEX('Providers'!$Z$4:$Z$503,96))=0,"",INDEX('Providers'!$Z$4:$Z$503,96))&amp;". "))</f>
        <v/>
      </c>
      <c r="J4099">
        <f>IF(LEN(INDEX('Providers'!$AJ$4:$AJ$503,96))=0,"",INDEX('Providers'!$AJ$4:$AJ$503,96))</f>
        <v/>
      </c>
      <c r="K4099">
        <f>IF(LEN(INDEX('Providers'!$AI$4:$AI$503,96))=0,"",INDEX('Providers'!$AI$4:$AI$503,96))</f>
        <v/>
      </c>
    </row>
    <row r="4100">
      <c r="A4100">
        <f>IF(AND(LEN('Providers'!A100)&gt;0,ISNUMBER('Providers'!AA100)),1,0)</f>
        <v/>
      </c>
      <c r="B4100">
        <f>B4099+A4100</f>
        <v/>
      </c>
      <c r="C4100">
        <f>IF(4097&gt;$B$4503,"",MATCH(4097-0.5,$B$3:$B$4503,1))</f>
        <v/>
      </c>
      <c r="D4100">
        <f>"Payer recredentialing – "&amp;IF(LEN(INDEX('Providers'!$A$4:$A$503,97))=0,"",INDEX('Providers'!$A$4:$A$503,97))</f>
        <v/>
      </c>
      <c r="E4100">
        <f>IF(ISNUMBER(INDEX('Providers'!$AA$4:$AA$503,97)),TEXT(INDEX('Providers'!$AA$4:$AA$503,97),"yyyy-mm-dd"),"")</f>
        <v/>
      </c>
      <c r="F4100">
        <f>"Credentialing"</f>
        <v/>
      </c>
      <c r="G4100">
        <f>""</f>
        <v/>
      </c>
      <c r="H4100">
        <f>"High"</f>
        <v/>
      </c>
      <c r="I4100">
        <f>TRIM(IF(LEN(IF(LEN(INDEX('Providers'!$Z$4:$Z$503,97))=0,"",INDEX('Providers'!$Z$4:$Z$503,97)))=0,"","Payer(s): "&amp;IF(LEN(INDEX('Providers'!$Z$4:$Z$503,97))=0,"",INDEX('Providers'!$Z$4:$Z$503,97))&amp;". "))</f>
        <v/>
      </c>
      <c r="J4100">
        <f>IF(LEN(INDEX('Providers'!$AJ$4:$AJ$503,97))=0,"",INDEX('Providers'!$AJ$4:$AJ$503,97))</f>
        <v/>
      </c>
      <c r="K4100">
        <f>IF(LEN(INDEX('Providers'!$AI$4:$AI$503,97))=0,"",INDEX('Providers'!$AI$4:$AI$503,97))</f>
        <v/>
      </c>
    </row>
    <row r="4101">
      <c r="A4101">
        <f>IF(AND(LEN('Providers'!A101)&gt;0,ISNUMBER('Providers'!AA101)),1,0)</f>
        <v/>
      </c>
      <c r="B4101">
        <f>B4100+A4101</f>
        <v/>
      </c>
      <c r="C4101">
        <f>IF(4098&gt;$B$4503,"",MATCH(4098-0.5,$B$3:$B$4503,1))</f>
        <v/>
      </c>
      <c r="D4101">
        <f>"Payer recredentialing – "&amp;IF(LEN(INDEX('Providers'!$A$4:$A$503,98))=0,"",INDEX('Providers'!$A$4:$A$503,98))</f>
        <v/>
      </c>
      <c r="E4101">
        <f>IF(ISNUMBER(INDEX('Providers'!$AA$4:$AA$503,98)),TEXT(INDEX('Providers'!$AA$4:$AA$503,98),"yyyy-mm-dd"),"")</f>
        <v/>
      </c>
      <c r="F4101">
        <f>"Credentialing"</f>
        <v/>
      </c>
      <c r="G4101">
        <f>""</f>
        <v/>
      </c>
      <c r="H4101">
        <f>"High"</f>
        <v/>
      </c>
      <c r="I4101">
        <f>TRIM(IF(LEN(IF(LEN(INDEX('Providers'!$Z$4:$Z$503,98))=0,"",INDEX('Providers'!$Z$4:$Z$503,98)))=0,"","Payer(s): "&amp;IF(LEN(INDEX('Providers'!$Z$4:$Z$503,98))=0,"",INDEX('Providers'!$Z$4:$Z$503,98))&amp;". "))</f>
        <v/>
      </c>
      <c r="J4101">
        <f>IF(LEN(INDEX('Providers'!$AJ$4:$AJ$503,98))=0,"",INDEX('Providers'!$AJ$4:$AJ$503,98))</f>
        <v/>
      </c>
      <c r="K4101">
        <f>IF(LEN(INDEX('Providers'!$AI$4:$AI$503,98))=0,"",INDEX('Providers'!$AI$4:$AI$503,98))</f>
        <v/>
      </c>
    </row>
    <row r="4102">
      <c r="A4102">
        <f>IF(AND(LEN('Providers'!A102)&gt;0,ISNUMBER('Providers'!AA102)),1,0)</f>
        <v/>
      </c>
      <c r="B4102">
        <f>B4101+A4102</f>
        <v/>
      </c>
      <c r="C4102">
        <f>IF(4099&gt;$B$4503,"",MATCH(4099-0.5,$B$3:$B$4503,1))</f>
        <v/>
      </c>
      <c r="D4102">
        <f>"Payer recredentialing – "&amp;IF(LEN(INDEX('Providers'!$A$4:$A$503,99))=0,"",INDEX('Providers'!$A$4:$A$503,99))</f>
        <v/>
      </c>
      <c r="E4102">
        <f>IF(ISNUMBER(INDEX('Providers'!$AA$4:$AA$503,99)),TEXT(INDEX('Providers'!$AA$4:$AA$503,99),"yyyy-mm-dd"),"")</f>
        <v/>
      </c>
      <c r="F4102">
        <f>"Credentialing"</f>
        <v/>
      </c>
      <c r="G4102">
        <f>""</f>
        <v/>
      </c>
      <c r="H4102">
        <f>"High"</f>
        <v/>
      </c>
      <c r="I4102">
        <f>TRIM(IF(LEN(IF(LEN(INDEX('Providers'!$Z$4:$Z$503,99))=0,"",INDEX('Providers'!$Z$4:$Z$503,99)))=0,"","Payer(s): "&amp;IF(LEN(INDEX('Providers'!$Z$4:$Z$503,99))=0,"",INDEX('Providers'!$Z$4:$Z$503,99))&amp;". "))</f>
        <v/>
      </c>
      <c r="J4102">
        <f>IF(LEN(INDEX('Providers'!$AJ$4:$AJ$503,99))=0,"",INDEX('Providers'!$AJ$4:$AJ$503,99))</f>
        <v/>
      </c>
      <c r="K4102">
        <f>IF(LEN(INDEX('Providers'!$AI$4:$AI$503,99))=0,"",INDEX('Providers'!$AI$4:$AI$503,99))</f>
        <v/>
      </c>
    </row>
    <row r="4103">
      <c r="A4103">
        <f>IF(AND(LEN('Providers'!A103)&gt;0,ISNUMBER('Providers'!AA103)),1,0)</f>
        <v/>
      </c>
      <c r="B4103">
        <f>B4102+A4103</f>
        <v/>
      </c>
      <c r="C4103">
        <f>IF(4100&gt;$B$4503,"",MATCH(4100-0.5,$B$3:$B$4503,1))</f>
        <v/>
      </c>
      <c r="D4103">
        <f>"Payer recredentialing – "&amp;IF(LEN(INDEX('Providers'!$A$4:$A$503,100))=0,"",INDEX('Providers'!$A$4:$A$503,100))</f>
        <v/>
      </c>
      <c r="E4103">
        <f>IF(ISNUMBER(INDEX('Providers'!$AA$4:$AA$503,100)),TEXT(INDEX('Providers'!$AA$4:$AA$503,100),"yyyy-mm-dd"),"")</f>
        <v/>
      </c>
      <c r="F4103">
        <f>"Credentialing"</f>
        <v/>
      </c>
      <c r="G4103">
        <f>""</f>
        <v/>
      </c>
      <c r="H4103">
        <f>"High"</f>
        <v/>
      </c>
      <c r="I4103">
        <f>TRIM(IF(LEN(IF(LEN(INDEX('Providers'!$Z$4:$Z$503,100))=0,"",INDEX('Providers'!$Z$4:$Z$503,100)))=0,"","Payer(s): "&amp;IF(LEN(INDEX('Providers'!$Z$4:$Z$503,100))=0,"",INDEX('Providers'!$Z$4:$Z$503,100))&amp;". "))</f>
        <v/>
      </c>
      <c r="J4103">
        <f>IF(LEN(INDEX('Providers'!$AJ$4:$AJ$503,100))=0,"",INDEX('Providers'!$AJ$4:$AJ$503,100))</f>
        <v/>
      </c>
      <c r="K4103">
        <f>IF(LEN(INDEX('Providers'!$AI$4:$AI$503,100))=0,"",INDEX('Providers'!$AI$4:$AI$503,100))</f>
        <v/>
      </c>
    </row>
    <row r="4104">
      <c r="A4104">
        <f>IF(AND(LEN('Providers'!A104)&gt;0,ISNUMBER('Providers'!AA104)),1,0)</f>
        <v/>
      </c>
      <c r="B4104">
        <f>B4103+A4104</f>
        <v/>
      </c>
      <c r="C4104">
        <f>IF(4101&gt;$B$4503,"",MATCH(4101-0.5,$B$3:$B$4503,1))</f>
        <v/>
      </c>
      <c r="D4104">
        <f>"Payer recredentialing – "&amp;IF(LEN(INDEX('Providers'!$A$4:$A$503,101))=0,"",INDEX('Providers'!$A$4:$A$503,101))</f>
        <v/>
      </c>
      <c r="E4104">
        <f>IF(ISNUMBER(INDEX('Providers'!$AA$4:$AA$503,101)),TEXT(INDEX('Providers'!$AA$4:$AA$503,101),"yyyy-mm-dd"),"")</f>
        <v/>
      </c>
      <c r="F4104">
        <f>"Credentialing"</f>
        <v/>
      </c>
      <c r="G4104">
        <f>""</f>
        <v/>
      </c>
      <c r="H4104">
        <f>"High"</f>
        <v/>
      </c>
      <c r="I4104">
        <f>TRIM(IF(LEN(IF(LEN(INDEX('Providers'!$Z$4:$Z$503,101))=0,"",INDEX('Providers'!$Z$4:$Z$503,101)))=0,"","Payer(s): "&amp;IF(LEN(INDEX('Providers'!$Z$4:$Z$503,101))=0,"",INDEX('Providers'!$Z$4:$Z$503,101))&amp;". "))</f>
        <v/>
      </c>
      <c r="J4104">
        <f>IF(LEN(INDEX('Providers'!$AJ$4:$AJ$503,101))=0,"",INDEX('Providers'!$AJ$4:$AJ$503,101))</f>
        <v/>
      </c>
      <c r="K4104">
        <f>IF(LEN(INDEX('Providers'!$AI$4:$AI$503,101))=0,"",INDEX('Providers'!$AI$4:$AI$503,101))</f>
        <v/>
      </c>
    </row>
    <row r="4105">
      <c r="A4105">
        <f>IF(AND(LEN('Providers'!A105)&gt;0,ISNUMBER('Providers'!AA105)),1,0)</f>
        <v/>
      </c>
      <c r="B4105">
        <f>B4104+A4105</f>
        <v/>
      </c>
      <c r="C4105">
        <f>IF(4102&gt;$B$4503,"",MATCH(4102-0.5,$B$3:$B$4503,1))</f>
        <v/>
      </c>
      <c r="D4105">
        <f>"Payer recredentialing – "&amp;IF(LEN(INDEX('Providers'!$A$4:$A$503,102))=0,"",INDEX('Providers'!$A$4:$A$503,102))</f>
        <v/>
      </c>
      <c r="E4105">
        <f>IF(ISNUMBER(INDEX('Providers'!$AA$4:$AA$503,102)),TEXT(INDEX('Providers'!$AA$4:$AA$503,102),"yyyy-mm-dd"),"")</f>
        <v/>
      </c>
      <c r="F4105">
        <f>"Credentialing"</f>
        <v/>
      </c>
      <c r="G4105">
        <f>""</f>
        <v/>
      </c>
      <c r="H4105">
        <f>"High"</f>
        <v/>
      </c>
      <c r="I4105">
        <f>TRIM(IF(LEN(IF(LEN(INDEX('Providers'!$Z$4:$Z$503,102))=0,"",INDEX('Providers'!$Z$4:$Z$503,102)))=0,"","Payer(s): "&amp;IF(LEN(INDEX('Providers'!$Z$4:$Z$503,102))=0,"",INDEX('Providers'!$Z$4:$Z$503,102))&amp;". "))</f>
        <v/>
      </c>
      <c r="J4105">
        <f>IF(LEN(INDEX('Providers'!$AJ$4:$AJ$503,102))=0,"",INDEX('Providers'!$AJ$4:$AJ$503,102))</f>
        <v/>
      </c>
      <c r="K4105">
        <f>IF(LEN(INDEX('Providers'!$AI$4:$AI$503,102))=0,"",INDEX('Providers'!$AI$4:$AI$503,102))</f>
        <v/>
      </c>
    </row>
    <row r="4106">
      <c r="A4106">
        <f>IF(AND(LEN('Providers'!A106)&gt;0,ISNUMBER('Providers'!AA106)),1,0)</f>
        <v/>
      </c>
      <c r="B4106">
        <f>B4105+A4106</f>
        <v/>
      </c>
      <c r="C4106">
        <f>IF(4103&gt;$B$4503,"",MATCH(4103-0.5,$B$3:$B$4503,1))</f>
        <v/>
      </c>
      <c r="D4106">
        <f>"Payer recredentialing – "&amp;IF(LEN(INDEX('Providers'!$A$4:$A$503,103))=0,"",INDEX('Providers'!$A$4:$A$503,103))</f>
        <v/>
      </c>
      <c r="E4106">
        <f>IF(ISNUMBER(INDEX('Providers'!$AA$4:$AA$503,103)),TEXT(INDEX('Providers'!$AA$4:$AA$503,103),"yyyy-mm-dd"),"")</f>
        <v/>
      </c>
      <c r="F4106">
        <f>"Credentialing"</f>
        <v/>
      </c>
      <c r="G4106">
        <f>""</f>
        <v/>
      </c>
      <c r="H4106">
        <f>"High"</f>
        <v/>
      </c>
      <c r="I4106">
        <f>TRIM(IF(LEN(IF(LEN(INDEX('Providers'!$Z$4:$Z$503,103))=0,"",INDEX('Providers'!$Z$4:$Z$503,103)))=0,"","Payer(s): "&amp;IF(LEN(INDEX('Providers'!$Z$4:$Z$503,103))=0,"",INDEX('Providers'!$Z$4:$Z$503,103))&amp;". "))</f>
        <v/>
      </c>
      <c r="J4106">
        <f>IF(LEN(INDEX('Providers'!$AJ$4:$AJ$503,103))=0,"",INDEX('Providers'!$AJ$4:$AJ$503,103))</f>
        <v/>
      </c>
      <c r="K4106">
        <f>IF(LEN(INDEX('Providers'!$AI$4:$AI$503,103))=0,"",INDEX('Providers'!$AI$4:$AI$503,103))</f>
        <v/>
      </c>
    </row>
    <row r="4107">
      <c r="A4107">
        <f>IF(AND(LEN('Providers'!A107)&gt;0,ISNUMBER('Providers'!AA107)),1,0)</f>
        <v/>
      </c>
      <c r="B4107">
        <f>B4106+A4107</f>
        <v/>
      </c>
      <c r="C4107">
        <f>IF(4104&gt;$B$4503,"",MATCH(4104-0.5,$B$3:$B$4503,1))</f>
        <v/>
      </c>
      <c r="D4107">
        <f>"Payer recredentialing – "&amp;IF(LEN(INDEX('Providers'!$A$4:$A$503,104))=0,"",INDEX('Providers'!$A$4:$A$503,104))</f>
        <v/>
      </c>
      <c r="E4107">
        <f>IF(ISNUMBER(INDEX('Providers'!$AA$4:$AA$503,104)),TEXT(INDEX('Providers'!$AA$4:$AA$503,104),"yyyy-mm-dd"),"")</f>
        <v/>
      </c>
      <c r="F4107">
        <f>"Credentialing"</f>
        <v/>
      </c>
      <c r="G4107">
        <f>""</f>
        <v/>
      </c>
      <c r="H4107">
        <f>"High"</f>
        <v/>
      </c>
      <c r="I4107">
        <f>TRIM(IF(LEN(IF(LEN(INDEX('Providers'!$Z$4:$Z$503,104))=0,"",INDEX('Providers'!$Z$4:$Z$503,104)))=0,"","Payer(s): "&amp;IF(LEN(INDEX('Providers'!$Z$4:$Z$503,104))=0,"",INDEX('Providers'!$Z$4:$Z$503,104))&amp;". "))</f>
        <v/>
      </c>
      <c r="J4107">
        <f>IF(LEN(INDEX('Providers'!$AJ$4:$AJ$503,104))=0,"",INDEX('Providers'!$AJ$4:$AJ$503,104))</f>
        <v/>
      </c>
      <c r="K4107">
        <f>IF(LEN(INDEX('Providers'!$AI$4:$AI$503,104))=0,"",INDEX('Providers'!$AI$4:$AI$503,104))</f>
        <v/>
      </c>
    </row>
    <row r="4108">
      <c r="A4108">
        <f>IF(AND(LEN('Providers'!A108)&gt;0,ISNUMBER('Providers'!AA108)),1,0)</f>
        <v/>
      </c>
      <c r="B4108">
        <f>B4107+A4108</f>
        <v/>
      </c>
      <c r="C4108">
        <f>IF(4105&gt;$B$4503,"",MATCH(4105-0.5,$B$3:$B$4503,1))</f>
        <v/>
      </c>
      <c r="D4108">
        <f>"Payer recredentialing – "&amp;IF(LEN(INDEX('Providers'!$A$4:$A$503,105))=0,"",INDEX('Providers'!$A$4:$A$503,105))</f>
        <v/>
      </c>
      <c r="E4108">
        <f>IF(ISNUMBER(INDEX('Providers'!$AA$4:$AA$503,105)),TEXT(INDEX('Providers'!$AA$4:$AA$503,105),"yyyy-mm-dd"),"")</f>
        <v/>
      </c>
      <c r="F4108">
        <f>"Credentialing"</f>
        <v/>
      </c>
      <c r="G4108">
        <f>""</f>
        <v/>
      </c>
      <c r="H4108">
        <f>"High"</f>
        <v/>
      </c>
      <c r="I4108">
        <f>TRIM(IF(LEN(IF(LEN(INDEX('Providers'!$Z$4:$Z$503,105))=0,"",INDEX('Providers'!$Z$4:$Z$503,105)))=0,"","Payer(s): "&amp;IF(LEN(INDEX('Providers'!$Z$4:$Z$503,105))=0,"",INDEX('Providers'!$Z$4:$Z$503,105))&amp;". "))</f>
        <v/>
      </c>
      <c r="J4108">
        <f>IF(LEN(INDEX('Providers'!$AJ$4:$AJ$503,105))=0,"",INDEX('Providers'!$AJ$4:$AJ$503,105))</f>
        <v/>
      </c>
      <c r="K4108">
        <f>IF(LEN(INDEX('Providers'!$AI$4:$AI$503,105))=0,"",INDEX('Providers'!$AI$4:$AI$503,105))</f>
        <v/>
      </c>
    </row>
    <row r="4109">
      <c r="A4109">
        <f>IF(AND(LEN('Providers'!A109)&gt;0,ISNUMBER('Providers'!AA109)),1,0)</f>
        <v/>
      </c>
      <c r="B4109">
        <f>B4108+A4109</f>
        <v/>
      </c>
      <c r="C4109">
        <f>IF(4106&gt;$B$4503,"",MATCH(4106-0.5,$B$3:$B$4503,1))</f>
        <v/>
      </c>
      <c r="D4109">
        <f>"Payer recredentialing – "&amp;IF(LEN(INDEX('Providers'!$A$4:$A$503,106))=0,"",INDEX('Providers'!$A$4:$A$503,106))</f>
        <v/>
      </c>
      <c r="E4109">
        <f>IF(ISNUMBER(INDEX('Providers'!$AA$4:$AA$503,106)),TEXT(INDEX('Providers'!$AA$4:$AA$503,106),"yyyy-mm-dd"),"")</f>
        <v/>
      </c>
      <c r="F4109">
        <f>"Credentialing"</f>
        <v/>
      </c>
      <c r="G4109">
        <f>""</f>
        <v/>
      </c>
      <c r="H4109">
        <f>"High"</f>
        <v/>
      </c>
      <c r="I4109">
        <f>TRIM(IF(LEN(IF(LEN(INDEX('Providers'!$Z$4:$Z$503,106))=0,"",INDEX('Providers'!$Z$4:$Z$503,106)))=0,"","Payer(s): "&amp;IF(LEN(INDEX('Providers'!$Z$4:$Z$503,106))=0,"",INDEX('Providers'!$Z$4:$Z$503,106))&amp;". "))</f>
        <v/>
      </c>
      <c r="J4109">
        <f>IF(LEN(INDEX('Providers'!$AJ$4:$AJ$503,106))=0,"",INDEX('Providers'!$AJ$4:$AJ$503,106))</f>
        <v/>
      </c>
      <c r="K4109">
        <f>IF(LEN(INDEX('Providers'!$AI$4:$AI$503,106))=0,"",INDEX('Providers'!$AI$4:$AI$503,106))</f>
        <v/>
      </c>
    </row>
    <row r="4110">
      <c r="A4110">
        <f>IF(AND(LEN('Providers'!A110)&gt;0,ISNUMBER('Providers'!AA110)),1,0)</f>
        <v/>
      </c>
      <c r="B4110">
        <f>B4109+A4110</f>
        <v/>
      </c>
      <c r="C4110">
        <f>IF(4107&gt;$B$4503,"",MATCH(4107-0.5,$B$3:$B$4503,1))</f>
        <v/>
      </c>
      <c r="D4110">
        <f>"Payer recredentialing – "&amp;IF(LEN(INDEX('Providers'!$A$4:$A$503,107))=0,"",INDEX('Providers'!$A$4:$A$503,107))</f>
        <v/>
      </c>
      <c r="E4110">
        <f>IF(ISNUMBER(INDEX('Providers'!$AA$4:$AA$503,107)),TEXT(INDEX('Providers'!$AA$4:$AA$503,107),"yyyy-mm-dd"),"")</f>
        <v/>
      </c>
      <c r="F4110">
        <f>"Credentialing"</f>
        <v/>
      </c>
      <c r="G4110">
        <f>""</f>
        <v/>
      </c>
      <c r="H4110">
        <f>"High"</f>
        <v/>
      </c>
      <c r="I4110">
        <f>TRIM(IF(LEN(IF(LEN(INDEX('Providers'!$Z$4:$Z$503,107))=0,"",INDEX('Providers'!$Z$4:$Z$503,107)))=0,"","Payer(s): "&amp;IF(LEN(INDEX('Providers'!$Z$4:$Z$503,107))=0,"",INDEX('Providers'!$Z$4:$Z$503,107))&amp;". "))</f>
        <v/>
      </c>
      <c r="J4110">
        <f>IF(LEN(INDEX('Providers'!$AJ$4:$AJ$503,107))=0,"",INDEX('Providers'!$AJ$4:$AJ$503,107))</f>
        <v/>
      </c>
      <c r="K4110">
        <f>IF(LEN(INDEX('Providers'!$AI$4:$AI$503,107))=0,"",INDEX('Providers'!$AI$4:$AI$503,107))</f>
        <v/>
      </c>
    </row>
    <row r="4111">
      <c r="A4111">
        <f>IF(AND(LEN('Providers'!A111)&gt;0,ISNUMBER('Providers'!AA111)),1,0)</f>
        <v/>
      </c>
      <c r="B4111">
        <f>B4110+A4111</f>
        <v/>
      </c>
      <c r="C4111">
        <f>IF(4108&gt;$B$4503,"",MATCH(4108-0.5,$B$3:$B$4503,1))</f>
        <v/>
      </c>
      <c r="D4111">
        <f>"Payer recredentialing – "&amp;IF(LEN(INDEX('Providers'!$A$4:$A$503,108))=0,"",INDEX('Providers'!$A$4:$A$503,108))</f>
        <v/>
      </c>
      <c r="E4111">
        <f>IF(ISNUMBER(INDEX('Providers'!$AA$4:$AA$503,108)),TEXT(INDEX('Providers'!$AA$4:$AA$503,108),"yyyy-mm-dd"),"")</f>
        <v/>
      </c>
      <c r="F4111">
        <f>"Credentialing"</f>
        <v/>
      </c>
      <c r="G4111">
        <f>""</f>
        <v/>
      </c>
      <c r="H4111">
        <f>"High"</f>
        <v/>
      </c>
      <c r="I4111">
        <f>TRIM(IF(LEN(IF(LEN(INDEX('Providers'!$Z$4:$Z$503,108))=0,"",INDEX('Providers'!$Z$4:$Z$503,108)))=0,"","Payer(s): "&amp;IF(LEN(INDEX('Providers'!$Z$4:$Z$503,108))=0,"",INDEX('Providers'!$Z$4:$Z$503,108))&amp;". "))</f>
        <v/>
      </c>
      <c r="J4111">
        <f>IF(LEN(INDEX('Providers'!$AJ$4:$AJ$503,108))=0,"",INDEX('Providers'!$AJ$4:$AJ$503,108))</f>
        <v/>
      </c>
      <c r="K4111">
        <f>IF(LEN(INDEX('Providers'!$AI$4:$AI$503,108))=0,"",INDEX('Providers'!$AI$4:$AI$503,108))</f>
        <v/>
      </c>
    </row>
    <row r="4112">
      <c r="A4112">
        <f>IF(AND(LEN('Providers'!A112)&gt;0,ISNUMBER('Providers'!AA112)),1,0)</f>
        <v/>
      </c>
      <c r="B4112">
        <f>B4111+A4112</f>
        <v/>
      </c>
      <c r="C4112">
        <f>IF(4109&gt;$B$4503,"",MATCH(4109-0.5,$B$3:$B$4503,1))</f>
        <v/>
      </c>
      <c r="D4112">
        <f>"Payer recredentialing – "&amp;IF(LEN(INDEX('Providers'!$A$4:$A$503,109))=0,"",INDEX('Providers'!$A$4:$A$503,109))</f>
        <v/>
      </c>
      <c r="E4112">
        <f>IF(ISNUMBER(INDEX('Providers'!$AA$4:$AA$503,109)),TEXT(INDEX('Providers'!$AA$4:$AA$503,109),"yyyy-mm-dd"),"")</f>
        <v/>
      </c>
      <c r="F4112">
        <f>"Credentialing"</f>
        <v/>
      </c>
      <c r="G4112">
        <f>""</f>
        <v/>
      </c>
      <c r="H4112">
        <f>"High"</f>
        <v/>
      </c>
      <c r="I4112">
        <f>TRIM(IF(LEN(IF(LEN(INDEX('Providers'!$Z$4:$Z$503,109))=0,"",INDEX('Providers'!$Z$4:$Z$503,109)))=0,"","Payer(s): "&amp;IF(LEN(INDEX('Providers'!$Z$4:$Z$503,109))=0,"",INDEX('Providers'!$Z$4:$Z$503,109))&amp;". "))</f>
        <v/>
      </c>
      <c r="J4112">
        <f>IF(LEN(INDEX('Providers'!$AJ$4:$AJ$503,109))=0,"",INDEX('Providers'!$AJ$4:$AJ$503,109))</f>
        <v/>
      </c>
      <c r="K4112">
        <f>IF(LEN(INDEX('Providers'!$AI$4:$AI$503,109))=0,"",INDEX('Providers'!$AI$4:$AI$503,109))</f>
        <v/>
      </c>
    </row>
    <row r="4113">
      <c r="A4113">
        <f>IF(AND(LEN('Providers'!A113)&gt;0,ISNUMBER('Providers'!AA113)),1,0)</f>
        <v/>
      </c>
      <c r="B4113">
        <f>B4112+A4113</f>
        <v/>
      </c>
      <c r="C4113">
        <f>IF(4110&gt;$B$4503,"",MATCH(4110-0.5,$B$3:$B$4503,1))</f>
        <v/>
      </c>
      <c r="D4113">
        <f>"Payer recredentialing – "&amp;IF(LEN(INDEX('Providers'!$A$4:$A$503,110))=0,"",INDEX('Providers'!$A$4:$A$503,110))</f>
        <v/>
      </c>
      <c r="E4113">
        <f>IF(ISNUMBER(INDEX('Providers'!$AA$4:$AA$503,110)),TEXT(INDEX('Providers'!$AA$4:$AA$503,110),"yyyy-mm-dd"),"")</f>
        <v/>
      </c>
      <c r="F4113">
        <f>"Credentialing"</f>
        <v/>
      </c>
      <c r="G4113">
        <f>""</f>
        <v/>
      </c>
      <c r="H4113">
        <f>"High"</f>
        <v/>
      </c>
      <c r="I4113">
        <f>TRIM(IF(LEN(IF(LEN(INDEX('Providers'!$Z$4:$Z$503,110))=0,"",INDEX('Providers'!$Z$4:$Z$503,110)))=0,"","Payer(s): "&amp;IF(LEN(INDEX('Providers'!$Z$4:$Z$503,110))=0,"",INDEX('Providers'!$Z$4:$Z$503,110))&amp;". "))</f>
        <v/>
      </c>
      <c r="J4113">
        <f>IF(LEN(INDEX('Providers'!$AJ$4:$AJ$503,110))=0,"",INDEX('Providers'!$AJ$4:$AJ$503,110))</f>
        <v/>
      </c>
      <c r="K4113">
        <f>IF(LEN(INDEX('Providers'!$AI$4:$AI$503,110))=0,"",INDEX('Providers'!$AI$4:$AI$503,110))</f>
        <v/>
      </c>
    </row>
    <row r="4114">
      <c r="A4114">
        <f>IF(AND(LEN('Providers'!A114)&gt;0,ISNUMBER('Providers'!AA114)),1,0)</f>
        <v/>
      </c>
      <c r="B4114">
        <f>B4113+A4114</f>
        <v/>
      </c>
      <c r="C4114">
        <f>IF(4111&gt;$B$4503,"",MATCH(4111-0.5,$B$3:$B$4503,1))</f>
        <v/>
      </c>
      <c r="D4114">
        <f>"Payer recredentialing – "&amp;IF(LEN(INDEX('Providers'!$A$4:$A$503,111))=0,"",INDEX('Providers'!$A$4:$A$503,111))</f>
        <v/>
      </c>
      <c r="E4114">
        <f>IF(ISNUMBER(INDEX('Providers'!$AA$4:$AA$503,111)),TEXT(INDEX('Providers'!$AA$4:$AA$503,111),"yyyy-mm-dd"),"")</f>
        <v/>
      </c>
      <c r="F4114">
        <f>"Credentialing"</f>
        <v/>
      </c>
      <c r="G4114">
        <f>""</f>
        <v/>
      </c>
      <c r="H4114">
        <f>"High"</f>
        <v/>
      </c>
      <c r="I4114">
        <f>TRIM(IF(LEN(IF(LEN(INDEX('Providers'!$Z$4:$Z$503,111))=0,"",INDEX('Providers'!$Z$4:$Z$503,111)))=0,"","Payer(s): "&amp;IF(LEN(INDEX('Providers'!$Z$4:$Z$503,111))=0,"",INDEX('Providers'!$Z$4:$Z$503,111))&amp;". "))</f>
        <v/>
      </c>
      <c r="J4114">
        <f>IF(LEN(INDEX('Providers'!$AJ$4:$AJ$503,111))=0,"",INDEX('Providers'!$AJ$4:$AJ$503,111))</f>
        <v/>
      </c>
      <c r="K4114">
        <f>IF(LEN(INDEX('Providers'!$AI$4:$AI$503,111))=0,"",INDEX('Providers'!$AI$4:$AI$503,111))</f>
        <v/>
      </c>
    </row>
    <row r="4115">
      <c r="A4115">
        <f>IF(AND(LEN('Providers'!A115)&gt;0,ISNUMBER('Providers'!AA115)),1,0)</f>
        <v/>
      </c>
      <c r="B4115">
        <f>B4114+A4115</f>
        <v/>
      </c>
      <c r="C4115">
        <f>IF(4112&gt;$B$4503,"",MATCH(4112-0.5,$B$3:$B$4503,1))</f>
        <v/>
      </c>
      <c r="D4115">
        <f>"Payer recredentialing – "&amp;IF(LEN(INDEX('Providers'!$A$4:$A$503,112))=0,"",INDEX('Providers'!$A$4:$A$503,112))</f>
        <v/>
      </c>
      <c r="E4115">
        <f>IF(ISNUMBER(INDEX('Providers'!$AA$4:$AA$503,112)),TEXT(INDEX('Providers'!$AA$4:$AA$503,112),"yyyy-mm-dd"),"")</f>
        <v/>
      </c>
      <c r="F4115">
        <f>"Credentialing"</f>
        <v/>
      </c>
      <c r="G4115">
        <f>""</f>
        <v/>
      </c>
      <c r="H4115">
        <f>"High"</f>
        <v/>
      </c>
      <c r="I4115">
        <f>TRIM(IF(LEN(IF(LEN(INDEX('Providers'!$Z$4:$Z$503,112))=0,"",INDEX('Providers'!$Z$4:$Z$503,112)))=0,"","Payer(s): "&amp;IF(LEN(INDEX('Providers'!$Z$4:$Z$503,112))=0,"",INDEX('Providers'!$Z$4:$Z$503,112))&amp;". "))</f>
        <v/>
      </c>
      <c r="J4115">
        <f>IF(LEN(INDEX('Providers'!$AJ$4:$AJ$503,112))=0,"",INDEX('Providers'!$AJ$4:$AJ$503,112))</f>
        <v/>
      </c>
      <c r="K4115">
        <f>IF(LEN(INDEX('Providers'!$AI$4:$AI$503,112))=0,"",INDEX('Providers'!$AI$4:$AI$503,112))</f>
        <v/>
      </c>
    </row>
    <row r="4116">
      <c r="A4116">
        <f>IF(AND(LEN('Providers'!A116)&gt;0,ISNUMBER('Providers'!AA116)),1,0)</f>
        <v/>
      </c>
      <c r="B4116">
        <f>B4115+A4116</f>
        <v/>
      </c>
      <c r="C4116">
        <f>IF(4113&gt;$B$4503,"",MATCH(4113-0.5,$B$3:$B$4503,1))</f>
        <v/>
      </c>
      <c r="D4116">
        <f>"Payer recredentialing – "&amp;IF(LEN(INDEX('Providers'!$A$4:$A$503,113))=0,"",INDEX('Providers'!$A$4:$A$503,113))</f>
        <v/>
      </c>
      <c r="E4116">
        <f>IF(ISNUMBER(INDEX('Providers'!$AA$4:$AA$503,113)),TEXT(INDEX('Providers'!$AA$4:$AA$503,113),"yyyy-mm-dd"),"")</f>
        <v/>
      </c>
      <c r="F4116">
        <f>"Credentialing"</f>
        <v/>
      </c>
      <c r="G4116">
        <f>""</f>
        <v/>
      </c>
      <c r="H4116">
        <f>"High"</f>
        <v/>
      </c>
      <c r="I4116">
        <f>TRIM(IF(LEN(IF(LEN(INDEX('Providers'!$Z$4:$Z$503,113))=0,"",INDEX('Providers'!$Z$4:$Z$503,113)))=0,"","Payer(s): "&amp;IF(LEN(INDEX('Providers'!$Z$4:$Z$503,113))=0,"",INDEX('Providers'!$Z$4:$Z$503,113))&amp;". "))</f>
        <v/>
      </c>
      <c r="J4116">
        <f>IF(LEN(INDEX('Providers'!$AJ$4:$AJ$503,113))=0,"",INDEX('Providers'!$AJ$4:$AJ$503,113))</f>
        <v/>
      </c>
      <c r="K4116">
        <f>IF(LEN(INDEX('Providers'!$AI$4:$AI$503,113))=0,"",INDEX('Providers'!$AI$4:$AI$503,113))</f>
        <v/>
      </c>
    </row>
    <row r="4117">
      <c r="A4117">
        <f>IF(AND(LEN('Providers'!A117)&gt;0,ISNUMBER('Providers'!AA117)),1,0)</f>
        <v/>
      </c>
      <c r="B4117">
        <f>B4116+A4117</f>
        <v/>
      </c>
      <c r="C4117">
        <f>IF(4114&gt;$B$4503,"",MATCH(4114-0.5,$B$3:$B$4503,1))</f>
        <v/>
      </c>
      <c r="D4117">
        <f>"Payer recredentialing – "&amp;IF(LEN(INDEX('Providers'!$A$4:$A$503,114))=0,"",INDEX('Providers'!$A$4:$A$503,114))</f>
        <v/>
      </c>
      <c r="E4117">
        <f>IF(ISNUMBER(INDEX('Providers'!$AA$4:$AA$503,114)),TEXT(INDEX('Providers'!$AA$4:$AA$503,114),"yyyy-mm-dd"),"")</f>
        <v/>
      </c>
      <c r="F4117">
        <f>"Credentialing"</f>
        <v/>
      </c>
      <c r="G4117">
        <f>""</f>
        <v/>
      </c>
      <c r="H4117">
        <f>"High"</f>
        <v/>
      </c>
      <c r="I4117">
        <f>TRIM(IF(LEN(IF(LEN(INDEX('Providers'!$Z$4:$Z$503,114))=0,"",INDEX('Providers'!$Z$4:$Z$503,114)))=0,"","Payer(s): "&amp;IF(LEN(INDEX('Providers'!$Z$4:$Z$503,114))=0,"",INDEX('Providers'!$Z$4:$Z$503,114))&amp;". "))</f>
        <v/>
      </c>
      <c r="J4117">
        <f>IF(LEN(INDEX('Providers'!$AJ$4:$AJ$503,114))=0,"",INDEX('Providers'!$AJ$4:$AJ$503,114))</f>
        <v/>
      </c>
      <c r="K4117">
        <f>IF(LEN(INDEX('Providers'!$AI$4:$AI$503,114))=0,"",INDEX('Providers'!$AI$4:$AI$503,114))</f>
        <v/>
      </c>
    </row>
    <row r="4118">
      <c r="A4118">
        <f>IF(AND(LEN('Providers'!A118)&gt;0,ISNUMBER('Providers'!AA118)),1,0)</f>
        <v/>
      </c>
      <c r="B4118">
        <f>B4117+A4118</f>
        <v/>
      </c>
      <c r="C4118">
        <f>IF(4115&gt;$B$4503,"",MATCH(4115-0.5,$B$3:$B$4503,1))</f>
        <v/>
      </c>
      <c r="D4118">
        <f>"Payer recredentialing – "&amp;IF(LEN(INDEX('Providers'!$A$4:$A$503,115))=0,"",INDEX('Providers'!$A$4:$A$503,115))</f>
        <v/>
      </c>
      <c r="E4118">
        <f>IF(ISNUMBER(INDEX('Providers'!$AA$4:$AA$503,115)),TEXT(INDEX('Providers'!$AA$4:$AA$503,115),"yyyy-mm-dd"),"")</f>
        <v/>
      </c>
      <c r="F4118">
        <f>"Credentialing"</f>
        <v/>
      </c>
      <c r="G4118">
        <f>""</f>
        <v/>
      </c>
      <c r="H4118">
        <f>"High"</f>
        <v/>
      </c>
      <c r="I4118">
        <f>TRIM(IF(LEN(IF(LEN(INDEX('Providers'!$Z$4:$Z$503,115))=0,"",INDEX('Providers'!$Z$4:$Z$503,115)))=0,"","Payer(s): "&amp;IF(LEN(INDEX('Providers'!$Z$4:$Z$503,115))=0,"",INDEX('Providers'!$Z$4:$Z$503,115))&amp;". "))</f>
        <v/>
      </c>
      <c r="J4118">
        <f>IF(LEN(INDEX('Providers'!$AJ$4:$AJ$503,115))=0,"",INDEX('Providers'!$AJ$4:$AJ$503,115))</f>
        <v/>
      </c>
      <c r="K4118">
        <f>IF(LEN(INDEX('Providers'!$AI$4:$AI$503,115))=0,"",INDEX('Providers'!$AI$4:$AI$503,115))</f>
        <v/>
      </c>
    </row>
    <row r="4119">
      <c r="A4119">
        <f>IF(AND(LEN('Providers'!A119)&gt;0,ISNUMBER('Providers'!AA119)),1,0)</f>
        <v/>
      </c>
      <c r="B4119">
        <f>B4118+A4119</f>
        <v/>
      </c>
      <c r="C4119">
        <f>IF(4116&gt;$B$4503,"",MATCH(4116-0.5,$B$3:$B$4503,1))</f>
        <v/>
      </c>
      <c r="D4119">
        <f>"Payer recredentialing – "&amp;IF(LEN(INDEX('Providers'!$A$4:$A$503,116))=0,"",INDEX('Providers'!$A$4:$A$503,116))</f>
        <v/>
      </c>
      <c r="E4119">
        <f>IF(ISNUMBER(INDEX('Providers'!$AA$4:$AA$503,116)),TEXT(INDEX('Providers'!$AA$4:$AA$503,116),"yyyy-mm-dd"),"")</f>
        <v/>
      </c>
      <c r="F4119">
        <f>"Credentialing"</f>
        <v/>
      </c>
      <c r="G4119">
        <f>""</f>
        <v/>
      </c>
      <c r="H4119">
        <f>"High"</f>
        <v/>
      </c>
      <c r="I4119">
        <f>TRIM(IF(LEN(IF(LEN(INDEX('Providers'!$Z$4:$Z$503,116))=0,"",INDEX('Providers'!$Z$4:$Z$503,116)))=0,"","Payer(s): "&amp;IF(LEN(INDEX('Providers'!$Z$4:$Z$503,116))=0,"",INDEX('Providers'!$Z$4:$Z$503,116))&amp;". "))</f>
        <v/>
      </c>
      <c r="J4119">
        <f>IF(LEN(INDEX('Providers'!$AJ$4:$AJ$503,116))=0,"",INDEX('Providers'!$AJ$4:$AJ$503,116))</f>
        <v/>
      </c>
      <c r="K4119">
        <f>IF(LEN(INDEX('Providers'!$AI$4:$AI$503,116))=0,"",INDEX('Providers'!$AI$4:$AI$503,116))</f>
        <v/>
      </c>
    </row>
    <row r="4120">
      <c r="A4120">
        <f>IF(AND(LEN('Providers'!A120)&gt;0,ISNUMBER('Providers'!AA120)),1,0)</f>
        <v/>
      </c>
      <c r="B4120">
        <f>B4119+A4120</f>
        <v/>
      </c>
      <c r="C4120">
        <f>IF(4117&gt;$B$4503,"",MATCH(4117-0.5,$B$3:$B$4503,1))</f>
        <v/>
      </c>
      <c r="D4120">
        <f>"Payer recredentialing – "&amp;IF(LEN(INDEX('Providers'!$A$4:$A$503,117))=0,"",INDEX('Providers'!$A$4:$A$503,117))</f>
        <v/>
      </c>
      <c r="E4120">
        <f>IF(ISNUMBER(INDEX('Providers'!$AA$4:$AA$503,117)),TEXT(INDEX('Providers'!$AA$4:$AA$503,117),"yyyy-mm-dd"),"")</f>
        <v/>
      </c>
      <c r="F4120">
        <f>"Credentialing"</f>
        <v/>
      </c>
      <c r="G4120">
        <f>""</f>
        <v/>
      </c>
      <c r="H4120">
        <f>"High"</f>
        <v/>
      </c>
      <c r="I4120">
        <f>TRIM(IF(LEN(IF(LEN(INDEX('Providers'!$Z$4:$Z$503,117))=0,"",INDEX('Providers'!$Z$4:$Z$503,117)))=0,"","Payer(s): "&amp;IF(LEN(INDEX('Providers'!$Z$4:$Z$503,117))=0,"",INDEX('Providers'!$Z$4:$Z$503,117))&amp;". "))</f>
        <v/>
      </c>
      <c r="J4120">
        <f>IF(LEN(INDEX('Providers'!$AJ$4:$AJ$503,117))=0,"",INDEX('Providers'!$AJ$4:$AJ$503,117))</f>
        <v/>
      </c>
      <c r="K4120">
        <f>IF(LEN(INDEX('Providers'!$AI$4:$AI$503,117))=0,"",INDEX('Providers'!$AI$4:$AI$503,117))</f>
        <v/>
      </c>
    </row>
    <row r="4121">
      <c r="A4121">
        <f>IF(AND(LEN('Providers'!A121)&gt;0,ISNUMBER('Providers'!AA121)),1,0)</f>
        <v/>
      </c>
      <c r="B4121">
        <f>B4120+A4121</f>
        <v/>
      </c>
      <c r="C4121">
        <f>IF(4118&gt;$B$4503,"",MATCH(4118-0.5,$B$3:$B$4503,1))</f>
        <v/>
      </c>
      <c r="D4121">
        <f>"Payer recredentialing – "&amp;IF(LEN(INDEX('Providers'!$A$4:$A$503,118))=0,"",INDEX('Providers'!$A$4:$A$503,118))</f>
        <v/>
      </c>
      <c r="E4121">
        <f>IF(ISNUMBER(INDEX('Providers'!$AA$4:$AA$503,118)),TEXT(INDEX('Providers'!$AA$4:$AA$503,118),"yyyy-mm-dd"),"")</f>
        <v/>
      </c>
      <c r="F4121">
        <f>"Credentialing"</f>
        <v/>
      </c>
      <c r="G4121">
        <f>""</f>
        <v/>
      </c>
      <c r="H4121">
        <f>"High"</f>
        <v/>
      </c>
      <c r="I4121">
        <f>TRIM(IF(LEN(IF(LEN(INDEX('Providers'!$Z$4:$Z$503,118))=0,"",INDEX('Providers'!$Z$4:$Z$503,118)))=0,"","Payer(s): "&amp;IF(LEN(INDEX('Providers'!$Z$4:$Z$503,118))=0,"",INDEX('Providers'!$Z$4:$Z$503,118))&amp;". "))</f>
        <v/>
      </c>
      <c r="J4121">
        <f>IF(LEN(INDEX('Providers'!$AJ$4:$AJ$503,118))=0,"",INDEX('Providers'!$AJ$4:$AJ$503,118))</f>
        <v/>
      </c>
      <c r="K4121">
        <f>IF(LEN(INDEX('Providers'!$AI$4:$AI$503,118))=0,"",INDEX('Providers'!$AI$4:$AI$503,118))</f>
        <v/>
      </c>
    </row>
    <row r="4122">
      <c r="A4122">
        <f>IF(AND(LEN('Providers'!A122)&gt;0,ISNUMBER('Providers'!AA122)),1,0)</f>
        <v/>
      </c>
      <c r="B4122">
        <f>B4121+A4122</f>
        <v/>
      </c>
      <c r="C4122">
        <f>IF(4119&gt;$B$4503,"",MATCH(4119-0.5,$B$3:$B$4503,1))</f>
        <v/>
      </c>
      <c r="D4122">
        <f>"Payer recredentialing – "&amp;IF(LEN(INDEX('Providers'!$A$4:$A$503,119))=0,"",INDEX('Providers'!$A$4:$A$503,119))</f>
        <v/>
      </c>
      <c r="E4122">
        <f>IF(ISNUMBER(INDEX('Providers'!$AA$4:$AA$503,119)),TEXT(INDEX('Providers'!$AA$4:$AA$503,119),"yyyy-mm-dd"),"")</f>
        <v/>
      </c>
      <c r="F4122">
        <f>"Credentialing"</f>
        <v/>
      </c>
      <c r="G4122">
        <f>""</f>
        <v/>
      </c>
      <c r="H4122">
        <f>"High"</f>
        <v/>
      </c>
      <c r="I4122">
        <f>TRIM(IF(LEN(IF(LEN(INDEX('Providers'!$Z$4:$Z$503,119))=0,"",INDEX('Providers'!$Z$4:$Z$503,119)))=0,"","Payer(s): "&amp;IF(LEN(INDEX('Providers'!$Z$4:$Z$503,119))=0,"",INDEX('Providers'!$Z$4:$Z$503,119))&amp;". "))</f>
        <v/>
      </c>
      <c r="J4122">
        <f>IF(LEN(INDEX('Providers'!$AJ$4:$AJ$503,119))=0,"",INDEX('Providers'!$AJ$4:$AJ$503,119))</f>
        <v/>
      </c>
      <c r="K4122">
        <f>IF(LEN(INDEX('Providers'!$AI$4:$AI$503,119))=0,"",INDEX('Providers'!$AI$4:$AI$503,119))</f>
        <v/>
      </c>
    </row>
    <row r="4123">
      <c r="A4123">
        <f>IF(AND(LEN('Providers'!A123)&gt;0,ISNUMBER('Providers'!AA123)),1,0)</f>
        <v/>
      </c>
      <c r="B4123">
        <f>B4122+A4123</f>
        <v/>
      </c>
      <c r="C4123">
        <f>IF(4120&gt;$B$4503,"",MATCH(4120-0.5,$B$3:$B$4503,1))</f>
        <v/>
      </c>
      <c r="D4123">
        <f>"Payer recredentialing – "&amp;IF(LEN(INDEX('Providers'!$A$4:$A$503,120))=0,"",INDEX('Providers'!$A$4:$A$503,120))</f>
        <v/>
      </c>
      <c r="E4123">
        <f>IF(ISNUMBER(INDEX('Providers'!$AA$4:$AA$503,120)),TEXT(INDEX('Providers'!$AA$4:$AA$503,120),"yyyy-mm-dd"),"")</f>
        <v/>
      </c>
      <c r="F4123">
        <f>"Credentialing"</f>
        <v/>
      </c>
      <c r="G4123">
        <f>""</f>
        <v/>
      </c>
      <c r="H4123">
        <f>"High"</f>
        <v/>
      </c>
      <c r="I4123">
        <f>TRIM(IF(LEN(IF(LEN(INDEX('Providers'!$Z$4:$Z$503,120))=0,"",INDEX('Providers'!$Z$4:$Z$503,120)))=0,"","Payer(s): "&amp;IF(LEN(INDEX('Providers'!$Z$4:$Z$503,120))=0,"",INDEX('Providers'!$Z$4:$Z$503,120))&amp;". "))</f>
        <v/>
      </c>
      <c r="J4123">
        <f>IF(LEN(INDEX('Providers'!$AJ$4:$AJ$503,120))=0,"",INDEX('Providers'!$AJ$4:$AJ$503,120))</f>
        <v/>
      </c>
      <c r="K4123">
        <f>IF(LEN(INDEX('Providers'!$AI$4:$AI$503,120))=0,"",INDEX('Providers'!$AI$4:$AI$503,120))</f>
        <v/>
      </c>
    </row>
    <row r="4124">
      <c r="A4124">
        <f>IF(AND(LEN('Providers'!A124)&gt;0,ISNUMBER('Providers'!AA124)),1,0)</f>
        <v/>
      </c>
      <c r="B4124">
        <f>B4123+A4124</f>
        <v/>
      </c>
      <c r="C4124">
        <f>IF(4121&gt;$B$4503,"",MATCH(4121-0.5,$B$3:$B$4503,1))</f>
        <v/>
      </c>
      <c r="D4124">
        <f>"Payer recredentialing – "&amp;IF(LEN(INDEX('Providers'!$A$4:$A$503,121))=0,"",INDEX('Providers'!$A$4:$A$503,121))</f>
        <v/>
      </c>
      <c r="E4124">
        <f>IF(ISNUMBER(INDEX('Providers'!$AA$4:$AA$503,121)),TEXT(INDEX('Providers'!$AA$4:$AA$503,121),"yyyy-mm-dd"),"")</f>
        <v/>
      </c>
      <c r="F4124">
        <f>"Credentialing"</f>
        <v/>
      </c>
      <c r="G4124">
        <f>""</f>
        <v/>
      </c>
      <c r="H4124">
        <f>"High"</f>
        <v/>
      </c>
      <c r="I4124">
        <f>TRIM(IF(LEN(IF(LEN(INDEX('Providers'!$Z$4:$Z$503,121))=0,"",INDEX('Providers'!$Z$4:$Z$503,121)))=0,"","Payer(s): "&amp;IF(LEN(INDEX('Providers'!$Z$4:$Z$503,121))=0,"",INDEX('Providers'!$Z$4:$Z$503,121))&amp;". "))</f>
        <v/>
      </c>
      <c r="J4124">
        <f>IF(LEN(INDEX('Providers'!$AJ$4:$AJ$503,121))=0,"",INDEX('Providers'!$AJ$4:$AJ$503,121))</f>
        <v/>
      </c>
      <c r="K4124">
        <f>IF(LEN(INDEX('Providers'!$AI$4:$AI$503,121))=0,"",INDEX('Providers'!$AI$4:$AI$503,121))</f>
        <v/>
      </c>
    </row>
    <row r="4125">
      <c r="A4125">
        <f>IF(AND(LEN('Providers'!A125)&gt;0,ISNUMBER('Providers'!AA125)),1,0)</f>
        <v/>
      </c>
      <c r="B4125">
        <f>B4124+A4125</f>
        <v/>
      </c>
      <c r="C4125">
        <f>IF(4122&gt;$B$4503,"",MATCH(4122-0.5,$B$3:$B$4503,1))</f>
        <v/>
      </c>
      <c r="D4125">
        <f>"Payer recredentialing – "&amp;IF(LEN(INDEX('Providers'!$A$4:$A$503,122))=0,"",INDEX('Providers'!$A$4:$A$503,122))</f>
        <v/>
      </c>
      <c r="E4125">
        <f>IF(ISNUMBER(INDEX('Providers'!$AA$4:$AA$503,122)),TEXT(INDEX('Providers'!$AA$4:$AA$503,122),"yyyy-mm-dd"),"")</f>
        <v/>
      </c>
      <c r="F4125">
        <f>"Credentialing"</f>
        <v/>
      </c>
      <c r="G4125">
        <f>""</f>
        <v/>
      </c>
      <c r="H4125">
        <f>"High"</f>
        <v/>
      </c>
      <c r="I4125">
        <f>TRIM(IF(LEN(IF(LEN(INDEX('Providers'!$Z$4:$Z$503,122))=0,"",INDEX('Providers'!$Z$4:$Z$503,122)))=0,"","Payer(s): "&amp;IF(LEN(INDEX('Providers'!$Z$4:$Z$503,122))=0,"",INDEX('Providers'!$Z$4:$Z$503,122))&amp;". "))</f>
        <v/>
      </c>
      <c r="J4125">
        <f>IF(LEN(INDEX('Providers'!$AJ$4:$AJ$503,122))=0,"",INDEX('Providers'!$AJ$4:$AJ$503,122))</f>
        <v/>
      </c>
      <c r="K4125">
        <f>IF(LEN(INDEX('Providers'!$AI$4:$AI$503,122))=0,"",INDEX('Providers'!$AI$4:$AI$503,122))</f>
        <v/>
      </c>
    </row>
    <row r="4126">
      <c r="A4126">
        <f>IF(AND(LEN('Providers'!A126)&gt;0,ISNUMBER('Providers'!AA126)),1,0)</f>
        <v/>
      </c>
      <c r="B4126">
        <f>B4125+A4126</f>
        <v/>
      </c>
      <c r="C4126">
        <f>IF(4123&gt;$B$4503,"",MATCH(4123-0.5,$B$3:$B$4503,1))</f>
        <v/>
      </c>
      <c r="D4126">
        <f>"Payer recredentialing – "&amp;IF(LEN(INDEX('Providers'!$A$4:$A$503,123))=0,"",INDEX('Providers'!$A$4:$A$503,123))</f>
        <v/>
      </c>
      <c r="E4126">
        <f>IF(ISNUMBER(INDEX('Providers'!$AA$4:$AA$503,123)),TEXT(INDEX('Providers'!$AA$4:$AA$503,123),"yyyy-mm-dd"),"")</f>
        <v/>
      </c>
      <c r="F4126">
        <f>"Credentialing"</f>
        <v/>
      </c>
      <c r="G4126">
        <f>""</f>
        <v/>
      </c>
      <c r="H4126">
        <f>"High"</f>
        <v/>
      </c>
      <c r="I4126">
        <f>TRIM(IF(LEN(IF(LEN(INDEX('Providers'!$Z$4:$Z$503,123))=0,"",INDEX('Providers'!$Z$4:$Z$503,123)))=0,"","Payer(s): "&amp;IF(LEN(INDEX('Providers'!$Z$4:$Z$503,123))=0,"",INDEX('Providers'!$Z$4:$Z$503,123))&amp;". "))</f>
        <v/>
      </c>
      <c r="J4126">
        <f>IF(LEN(INDEX('Providers'!$AJ$4:$AJ$503,123))=0,"",INDEX('Providers'!$AJ$4:$AJ$503,123))</f>
        <v/>
      </c>
      <c r="K4126">
        <f>IF(LEN(INDEX('Providers'!$AI$4:$AI$503,123))=0,"",INDEX('Providers'!$AI$4:$AI$503,123))</f>
        <v/>
      </c>
    </row>
    <row r="4127">
      <c r="A4127">
        <f>IF(AND(LEN('Providers'!A127)&gt;0,ISNUMBER('Providers'!AA127)),1,0)</f>
        <v/>
      </c>
      <c r="B4127">
        <f>B4126+A4127</f>
        <v/>
      </c>
      <c r="C4127">
        <f>IF(4124&gt;$B$4503,"",MATCH(4124-0.5,$B$3:$B$4503,1))</f>
        <v/>
      </c>
      <c r="D4127">
        <f>"Payer recredentialing – "&amp;IF(LEN(INDEX('Providers'!$A$4:$A$503,124))=0,"",INDEX('Providers'!$A$4:$A$503,124))</f>
        <v/>
      </c>
      <c r="E4127">
        <f>IF(ISNUMBER(INDEX('Providers'!$AA$4:$AA$503,124)),TEXT(INDEX('Providers'!$AA$4:$AA$503,124),"yyyy-mm-dd"),"")</f>
        <v/>
      </c>
      <c r="F4127">
        <f>"Credentialing"</f>
        <v/>
      </c>
      <c r="G4127">
        <f>""</f>
        <v/>
      </c>
      <c r="H4127">
        <f>"High"</f>
        <v/>
      </c>
      <c r="I4127">
        <f>TRIM(IF(LEN(IF(LEN(INDEX('Providers'!$Z$4:$Z$503,124))=0,"",INDEX('Providers'!$Z$4:$Z$503,124)))=0,"","Payer(s): "&amp;IF(LEN(INDEX('Providers'!$Z$4:$Z$503,124))=0,"",INDEX('Providers'!$Z$4:$Z$503,124))&amp;". "))</f>
        <v/>
      </c>
      <c r="J4127">
        <f>IF(LEN(INDEX('Providers'!$AJ$4:$AJ$503,124))=0,"",INDEX('Providers'!$AJ$4:$AJ$503,124))</f>
        <v/>
      </c>
      <c r="K4127">
        <f>IF(LEN(INDEX('Providers'!$AI$4:$AI$503,124))=0,"",INDEX('Providers'!$AI$4:$AI$503,124))</f>
        <v/>
      </c>
    </row>
    <row r="4128">
      <c r="A4128">
        <f>IF(AND(LEN('Providers'!A128)&gt;0,ISNUMBER('Providers'!AA128)),1,0)</f>
        <v/>
      </c>
      <c r="B4128">
        <f>B4127+A4128</f>
        <v/>
      </c>
      <c r="C4128">
        <f>IF(4125&gt;$B$4503,"",MATCH(4125-0.5,$B$3:$B$4503,1))</f>
        <v/>
      </c>
      <c r="D4128">
        <f>"Payer recredentialing – "&amp;IF(LEN(INDEX('Providers'!$A$4:$A$503,125))=0,"",INDEX('Providers'!$A$4:$A$503,125))</f>
        <v/>
      </c>
      <c r="E4128">
        <f>IF(ISNUMBER(INDEX('Providers'!$AA$4:$AA$503,125)),TEXT(INDEX('Providers'!$AA$4:$AA$503,125),"yyyy-mm-dd"),"")</f>
        <v/>
      </c>
      <c r="F4128">
        <f>"Credentialing"</f>
        <v/>
      </c>
      <c r="G4128">
        <f>""</f>
        <v/>
      </c>
      <c r="H4128">
        <f>"High"</f>
        <v/>
      </c>
      <c r="I4128">
        <f>TRIM(IF(LEN(IF(LEN(INDEX('Providers'!$Z$4:$Z$503,125))=0,"",INDEX('Providers'!$Z$4:$Z$503,125)))=0,"","Payer(s): "&amp;IF(LEN(INDEX('Providers'!$Z$4:$Z$503,125))=0,"",INDEX('Providers'!$Z$4:$Z$503,125))&amp;". "))</f>
        <v/>
      </c>
      <c r="J4128">
        <f>IF(LEN(INDEX('Providers'!$AJ$4:$AJ$503,125))=0,"",INDEX('Providers'!$AJ$4:$AJ$503,125))</f>
        <v/>
      </c>
      <c r="K4128">
        <f>IF(LEN(INDEX('Providers'!$AI$4:$AI$503,125))=0,"",INDEX('Providers'!$AI$4:$AI$503,125))</f>
        <v/>
      </c>
    </row>
    <row r="4129">
      <c r="A4129">
        <f>IF(AND(LEN('Providers'!A129)&gt;0,ISNUMBER('Providers'!AA129)),1,0)</f>
        <v/>
      </c>
      <c r="B4129">
        <f>B4128+A4129</f>
        <v/>
      </c>
      <c r="C4129">
        <f>IF(4126&gt;$B$4503,"",MATCH(4126-0.5,$B$3:$B$4503,1))</f>
        <v/>
      </c>
      <c r="D4129">
        <f>"Payer recredentialing – "&amp;IF(LEN(INDEX('Providers'!$A$4:$A$503,126))=0,"",INDEX('Providers'!$A$4:$A$503,126))</f>
        <v/>
      </c>
      <c r="E4129">
        <f>IF(ISNUMBER(INDEX('Providers'!$AA$4:$AA$503,126)),TEXT(INDEX('Providers'!$AA$4:$AA$503,126),"yyyy-mm-dd"),"")</f>
        <v/>
      </c>
      <c r="F4129">
        <f>"Credentialing"</f>
        <v/>
      </c>
      <c r="G4129">
        <f>""</f>
        <v/>
      </c>
      <c r="H4129">
        <f>"High"</f>
        <v/>
      </c>
      <c r="I4129">
        <f>TRIM(IF(LEN(IF(LEN(INDEX('Providers'!$Z$4:$Z$503,126))=0,"",INDEX('Providers'!$Z$4:$Z$503,126)))=0,"","Payer(s): "&amp;IF(LEN(INDEX('Providers'!$Z$4:$Z$503,126))=0,"",INDEX('Providers'!$Z$4:$Z$503,126))&amp;". "))</f>
        <v/>
      </c>
      <c r="J4129">
        <f>IF(LEN(INDEX('Providers'!$AJ$4:$AJ$503,126))=0,"",INDEX('Providers'!$AJ$4:$AJ$503,126))</f>
        <v/>
      </c>
      <c r="K4129">
        <f>IF(LEN(INDEX('Providers'!$AI$4:$AI$503,126))=0,"",INDEX('Providers'!$AI$4:$AI$503,126))</f>
        <v/>
      </c>
    </row>
    <row r="4130">
      <c r="A4130">
        <f>IF(AND(LEN('Providers'!A130)&gt;0,ISNUMBER('Providers'!AA130)),1,0)</f>
        <v/>
      </c>
      <c r="B4130">
        <f>B4129+A4130</f>
        <v/>
      </c>
      <c r="C4130">
        <f>IF(4127&gt;$B$4503,"",MATCH(4127-0.5,$B$3:$B$4503,1))</f>
        <v/>
      </c>
      <c r="D4130">
        <f>"Payer recredentialing – "&amp;IF(LEN(INDEX('Providers'!$A$4:$A$503,127))=0,"",INDEX('Providers'!$A$4:$A$503,127))</f>
        <v/>
      </c>
      <c r="E4130">
        <f>IF(ISNUMBER(INDEX('Providers'!$AA$4:$AA$503,127)),TEXT(INDEX('Providers'!$AA$4:$AA$503,127),"yyyy-mm-dd"),"")</f>
        <v/>
      </c>
      <c r="F4130">
        <f>"Credentialing"</f>
        <v/>
      </c>
      <c r="G4130">
        <f>""</f>
        <v/>
      </c>
      <c r="H4130">
        <f>"High"</f>
        <v/>
      </c>
      <c r="I4130">
        <f>TRIM(IF(LEN(IF(LEN(INDEX('Providers'!$Z$4:$Z$503,127))=0,"",INDEX('Providers'!$Z$4:$Z$503,127)))=0,"","Payer(s): "&amp;IF(LEN(INDEX('Providers'!$Z$4:$Z$503,127))=0,"",INDEX('Providers'!$Z$4:$Z$503,127))&amp;". "))</f>
        <v/>
      </c>
      <c r="J4130">
        <f>IF(LEN(INDEX('Providers'!$AJ$4:$AJ$503,127))=0,"",INDEX('Providers'!$AJ$4:$AJ$503,127))</f>
        <v/>
      </c>
      <c r="K4130">
        <f>IF(LEN(INDEX('Providers'!$AI$4:$AI$503,127))=0,"",INDEX('Providers'!$AI$4:$AI$503,127))</f>
        <v/>
      </c>
    </row>
    <row r="4131">
      <c r="A4131">
        <f>IF(AND(LEN('Providers'!A131)&gt;0,ISNUMBER('Providers'!AA131)),1,0)</f>
        <v/>
      </c>
      <c r="B4131">
        <f>B4130+A4131</f>
        <v/>
      </c>
      <c r="C4131">
        <f>IF(4128&gt;$B$4503,"",MATCH(4128-0.5,$B$3:$B$4503,1))</f>
        <v/>
      </c>
      <c r="D4131">
        <f>"Payer recredentialing – "&amp;IF(LEN(INDEX('Providers'!$A$4:$A$503,128))=0,"",INDEX('Providers'!$A$4:$A$503,128))</f>
        <v/>
      </c>
      <c r="E4131">
        <f>IF(ISNUMBER(INDEX('Providers'!$AA$4:$AA$503,128)),TEXT(INDEX('Providers'!$AA$4:$AA$503,128),"yyyy-mm-dd"),"")</f>
        <v/>
      </c>
      <c r="F4131">
        <f>"Credentialing"</f>
        <v/>
      </c>
      <c r="G4131">
        <f>""</f>
        <v/>
      </c>
      <c r="H4131">
        <f>"High"</f>
        <v/>
      </c>
      <c r="I4131">
        <f>TRIM(IF(LEN(IF(LEN(INDEX('Providers'!$Z$4:$Z$503,128))=0,"",INDEX('Providers'!$Z$4:$Z$503,128)))=0,"","Payer(s): "&amp;IF(LEN(INDEX('Providers'!$Z$4:$Z$503,128))=0,"",INDEX('Providers'!$Z$4:$Z$503,128))&amp;". "))</f>
        <v/>
      </c>
      <c r="J4131">
        <f>IF(LEN(INDEX('Providers'!$AJ$4:$AJ$503,128))=0,"",INDEX('Providers'!$AJ$4:$AJ$503,128))</f>
        <v/>
      </c>
      <c r="K4131">
        <f>IF(LEN(INDEX('Providers'!$AI$4:$AI$503,128))=0,"",INDEX('Providers'!$AI$4:$AI$503,128))</f>
        <v/>
      </c>
    </row>
    <row r="4132">
      <c r="A4132">
        <f>IF(AND(LEN('Providers'!A132)&gt;0,ISNUMBER('Providers'!AA132)),1,0)</f>
        <v/>
      </c>
      <c r="B4132">
        <f>B4131+A4132</f>
        <v/>
      </c>
      <c r="C4132">
        <f>IF(4129&gt;$B$4503,"",MATCH(4129-0.5,$B$3:$B$4503,1))</f>
        <v/>
      </c>
      <c r="D4132">
        <f>"Payer recredentialing – "&amp;IF(LEN(INDEX('Providers'!$A$4:$A$503,129))=0,"",INDEX('Providers'!$A$4:$A$503,129))</f>
        <v/>
      </c>
      <c r="E4132">
        <f>IF(ISNUMBER(INDEX('Providers'!$AA$4:$AA$503,129)),TEXT(INDEX('Providers'!$AA$4:$AA$503,129),"yyyy-mm-dd"),"")</f>
        <v/>
      </c>
      <c r="F4132">
        <f>"Credentialing"</f>
        <v/>
      </c>
      <c r="G4132">
        <f>""</f>
        <v/>
      </c>
      <c r="H4132">
        <f>"High"</f>
        <v/>
      </c>
      <c r="I4132">
        <f>TRIM(IF(LEN(IF(LEN(INDEX('Providers'!$Z$4:$Z$503,129))=0,"",INDEX('Providers'!$Z$4:$Z$503,129)))=0,"","Payer(s): "&amp;IF(LEN(INDEX('Providers'!$Z$4:$Z$503,129))=0,"",INDEX('Providers'!$Z$4:$Z$503,129))&amp;". "))</f>
        <v/>
      </c>
      <c r="J4132">
        <f>IF(LEN(INDEX('Providers'!$AJ$4:$AJ$503,129))=0,"",INDEX('Providers'!$AJ$4:$AJ$503,129))</f>
        <v/>
      </c>
      <c r="K4132">
        <f>IF(LEN(INDEX('Providers'!$AI$4:$AI$503,129))=0,"",INDEX('Providers'!$AI$4:$AI$503,129))</f>
        <v/>
      </c>
    </row>
    <row r="4133">
      <c r="A4133">
        <f>IF(AND(LEN('Providers'!A133)&gt;0,ISNUMBER('Providers'!AA133)),1,0)</f>
        <v/>
      </c>
      <c r="B4133">
        <f>B4132+A4133</f>
        <v/>
      </c>
      <c r="C4133">
        <f>IF(4130&gt;$B$4503,"",MATCH(4130-0.5,$B$3:$B$4503,1))</f>
        <v/>
      </c>
      <c r="D4133">
        <f>"Payer recredentialing – "&amp;IF(LEN(INDEX('Providers'!$A$4:$A$503,130))=0,"",INDEX('Providers'!$A$4:$A$503,130))</f>
        <v/>
      </c>
      <c r="E4133">
        <f>IF(ISNUMBER(INDEX('Providers'!$AA$4:$AA$503,130)),TEXT(INDEX('Providers'!$AA$4:$AA$503,130),"yyyy-mm-dd"),"")</f>
        <v/>
      </c>
      <c r="F4133">
        <f>"Credentialing"</f>
        <v/>
      </c>
      <c r="G4133">
        <f>""</f>
        <v/>
      </c>
      <c r="H4133">
        <f>"High"</f>
        <v/>
      </c>
      <c r="I4133">
        <f>TRIM(IF(LEN(IF(LEN(INDEX('Providers'!$Z$4:$Z$503,130))=0,"",INDEX('Providers'!$Z$4:$Z$503,130)))=0,"","Payer(s): "&amp;IF(LEN(INDEX('Providers'!$Z$4:$Z$503,130))=0,"",INDEX('Providers'!$Z$4:$Z$503,130))&amp;". "))</f>
        <v/>
      </c>
      <c r="J4133">
        <f>IF(LEN(INDEX('Providers'!$AJ$4:$AJ$503,130))=0,"",INDEX('Providers'!$AJ$4:$AJ$503,130))</f>
        <v/>
      </c>
      <c r="K4133">
        <f>IF(LEN(INDEX('Providers'!$AI$4:$AI$503,130))=0,"",INDEX('Providers'!$AI$4:$AI$503,130))</f>
        <v/>
      </c>
    </row>
    <row r="4134">
      <c r="A4134">
        <f>IF(AND(LEN('Providers'!A134)&gt;0,ISNUMBER('Providers'!AA134)),1,0)</f>
        <v/>
      </c>
      <c r="B4134">
        <f>B4133+A4134</f>
        <v/>
      </c>
      <c r="C4134">
        <f>IF(4131&gt;$B$4503,"",MATCH(4131-0.5,$B$3:$B$4503,1))</f>
        <v/>
      </c>
      <c r="D4134">
        <f>"Payer recredentialing – "&amp;IF(LEN(INDEX('Providers'!$A$4:$A$503,131))=0,"",INDEX('Providers'!$A$4:$A$503,131))</f>
        <v/>
      </c>
      <c r="E4134">
        <f>IF(ISNUMBER(INDEX('Providers'!$AA$4:$AA$503,131)),TEXT(INDEX('Providers'!$AA$4:$AA$503,131),"yyyy-mm-dd"),"")</f>
        <v/>
      </c>
      <c r="F4134">
        <f>"Credentialing"</f>
        <v/>
      </c>
      <c r="G4134">
        <f>""</f>
        <v/>
      </c>
      <c r="H4134">
        <f>"High"</f>
        <v/>
      </c>
      <c r="I4134">
        <f>TRIM(IF(LEN(IF(LEN(INDEX('Providers'!$Z$4:$Z$503,131))=0,"",INDEX('Providers'!$Z$4:$Z$503,131)))=0,"","Payer(s): "&amp;IF(LEN(INDEX('Providers'!$Z$4:$Z$503,131))=0,"",INDEX('Providers'!$Z$4:$Z$503,131))&amp;". "))</f>
        <v/>
      </c>
      <c r="J4134">
        <f>IF(LEN(INDEX('Providers'!$AJ$4:$AJ$503,131))=0,"",INDEX('Providers'!$AJ$4:$AJ$503,131))</f>
        <v/>
      </c>
      <c r="K4134">
        <f>IF(LEN(INDEX('Providers'!$AI$4:$AI$503,131))=0,"",INDEX('Providers'!$AI$4:$AI$503,131))</f>
        <v/>
      </c>
    </row>
    <row r="4135">
      <c r="A4135">
        <f>IF(AND(LEN('Providers'!A135)&gt;0,ISNUMBER('Providers'!AA135)),1,0)</f>
        <v/>
      </c>
      <c r="B4135">
        <f>B4134+A4135</f>
        <v/>
      </c>
      <c r="C4135">
        <f>IF(4132&gt;$B$4503,"",MATCH(4132-0.5,$B$3:$B$4503,1))</f>
        <v/>
      </c>
      <c r="D4135">
        <f>"Payer recredentialing – "&amp;IF(LEN(INDEX('Providers'!$A$4:$A$503,132))=0,"",INDEX('Providers'!$A$4:$A$503,132))</f>
        <v/>
      </c>
      <c r="E4135">
        <f>IF(ISNUMBER(INDEX('Providers'!$AA$4:$AA$503,132)),TEXT(INDEX('Providers'!$AA$4:$AA$503,132),"yyyy-mm-dd"),"")</f>
        <v/>
      </c>
      <c r="F4135">
        <f>"Credentialing"</f>
        <v/>
      </c>
      <c r="G4135">
        <f>""</f>
        <v/>
      </c>
      <c r="H4135">
        <f>"High"</f>
        <v/>
      </c>
      <c r="I4135">
        <f>TRIM(IF(LEN(IF(LEN(INDEX('Providers'!$Z$4:$Z$503,132))=0,"",INDEX('Providers'!$Z$4:$Z$503,132)))=0,"","Payer(s): "&amp;IF(LEN(INDEX('Providers'!$Z$4:$Z$503,132))=0,"",INDEX('Providers'!$Z$4:$Z$503,132))&amp;". "))</f>
        <v/>
      </c>
      <c r="J4135">
        <f>IF(LEN(INDEX('Providers'!$AJ$4:$AJ$503,132))=0,"",INDEX('Providers'!$AJ$4:$AJ$503,132))</f>
        <v/>
      </c>
      <c r="K4135">
        <f>IF(LEN(INDEX('Providers'!$AI$4:$AI$503,132))=0,"",INDEX('Providers'!$AI$4:$AI$503,132))</f>
        <v/>
      </c>
    </row>
    <row r="4136">
      <c r="A4136">
        <f>IF(AND(LEN('Providers'!A136)&gt;0,ISNUMBER('Providers'!AA136)),1,0)</f>
        <v/>
      </c>
      <c r="B4136">
        <f>B4135+A4136</f>
        <v/>
      </c>
      <c r="C4136">
        <f>IF(4133&gt;$B$4503,"",MATCH(4133-0.5,$B$3:$B$4503,1))</f>
        <v/>
      </c>
      <c r="D4136">
        <f>"Payer recredentialing – "&amp;IF(LEN(INDEX('Providers'!$A$4:$A$503,133))=0,"",INDEX('Providers'!$A$4:$A$503,133))</f>
        <v/>
      </c>
      <c r="E4136">
        <f>IF(ISNUMBER(INDEX('Providers'!$AA$4:$AA$503,133)),TEXT(INDEX('Providers'!$AA$4:$AA$503,133),"yyyy-mm-dd"),"")</f>
        <v/>
      </c>
      <c r="F4136">
        <f>"Credentialing"</f>
        <v/>
      </c>
      <c r="G4136">
        <f>""</f>
        <v/>
      </c>
      <c r="H4136">
        <f>"High"</f>
        <v/>
      </c>
      <c r="I4136">
        <f>TRIM(IF(LEN(IF(LEN(INDEX('Providers'!$Z$4:$Z$503,133))=0,"",INDEX('Providers'!$Z$4:$Z$503,133)))=0,"","Payer(s): "&amp;IF(LEN(INDEX('Providers'!$Z$4:$Z$503,133))=0,"",INDEX('Providers'!$Z$4:$Z$503,133))&amp;". "))</f>
        <v/>
      </c>
      <c r="J4136">
        <f>IF(LEN(INDEX('Providers'!$AJ$4:$AJ$503,133))=0,"",INDEX('Providers'!$AJ$4:$AJ$503,133))</f>
        <v/>
      </c>
      <c r="K4136">
        <f>IF(LEN(INDEX('Providers'!$AI$4:$AI$503,133))=0,"",INDEX('Providers'!$AI$4:$AI$503,133))</f>
        <v/>
      </c>
    </row>
    <row r="4137">
      <c r="A4137">
        <f>IF(AND(LEN('Providers'!A137)&gt;0,ISNUMBER('Providers'!AA137)),1,0)</f>
        <v/>
      </c>
      <c r="B4137">
        <f>B4136+A4137</f>
        <v/>
      </c>
      <c r="C4137">
        <f>IF(4134&gt;$B$4503,"",MATCH(4134-0.5,$B$3:$B$4503,1))</f>
        <v/>
      </c>
      <c r="D4137">
        <f>"Payer recredentialing – "&amp;IF(LEN(INDEX('Providers'!$A$4:$A$503,134))=0,"",INDEX('Providers'!$A$4:$A$503,134))</f>
        <v/>
      </c>
      <c r="E4137">
        <f>IF(ISNUMBER(INDEX('Providers'!$AA$4:$AA$503,134)),TEXT(INDEX('Providers'!$AA$4:$AA$503,134),"yyyy-mm-dd"),"")</f>
        <v/>
      </c>
      <c r="F4137">
        <f>"Credentialing"</f>
        <v/>
      </c>
      <c r="G4137">
        <f>""</f>
        <v/>
      </c>
      <c r="H4137">
        <f>"High"</f>
        <v/>
      </c>
      <c r="I4137">
        <f>TRIM(IF(LEN(IF(LEN(INDEX('Providers'!$Z$4:$Z$503,134))=0,"",INDEX('Providers'!$Z$4:$Z$503,134)))=0,"","Payer(s): "&amp;IF(LEN(INDEX('Providers'!$Z$4:$Z$503,134))=0,"",INDEX('Providers'!$Z$4:$Z$503,134))&amp;". "))</f>
        <v/>
      </c>
      <c r="J4137">
        <f>IF(LEN(INDEX('Providers'!$AJ$4:$AJ$503,134))=0,"",INDEX('Providers'!$AJ$4:$AJ$503,134))</f>
        <v/>
      </c>
      <c r="K4137">
        <f>IF(LEN(INDEX('Providers'!$AI$4:$AI$503,134))=0,"",INDEX('Providers'!$AI$4:$AI$503,134))</f>
        <v/>
      </c>
    </row>
    <row r="4138">
      <c r="A4138">
        <f>IF(AND(LEN('Providers'!A138)&gt;0,ISNUMBER('Providers'!AA138)),1,0)</f>
        <v/>
      </c>
      <c r="B4138">
        <f>B4137+A4138</f>
        <v/>
      </c>
      <c r="C4138">
        <f>IF(4135&gt;$B$4503,"",MATCH(4135-0.5,$B$3:$B$4503,1))</f>
        <v/>
      </c>
      <c r="D4138">
        <f>"Payer recredentialing – "&amp;IF(LEN(INDEX('Providers'!$A$4:$A$503,135))=0,"",INDEX('Providers'!$A$4:$A$503,135))</f>
        <v/>
      </c>
      <c r="E4138">
        <f>IF(ISNUMBER(INDEX('Providers'!$AA$4:$AA$503,135)),TEXT(INDEX('Providers'!$AA$4:$AA$503,135),"yyyy-mm-dd"),"")</f>
        <v/>
      </c>
      <c r="F4138">
        <f>"Credentialing"</f>
        <v/>
      </c>
      <c r="G4138">
        <f>""</f>
        <v/>
      </c>
      <c r="H4138">
        <f>"High"</f>
        <v/>
      </c>
      <c r="I4138">
        <f>TRIM(IF(LEN(IF(LEN(INDEX('Providers'!$Z$4:$Z$503,135))=0,"",INDEX('Providers'!$Z$4:$Z$503,135)))=0,"","Payer(s): "&amp;IF(LEN(INDEX('Providers'!$Z$4:$Z$503,135))=0,"",INDEX('Providers'!$Z$4:$Z$503,135))&amp;". "))</f>
        <v/>
      </c>
      <c r="J4138">
        <f>IF(LEN(INDEX('Providers'!$AJ$4:$AJ$503,135))=0,"",INDEX('Providers'!$AJ$4:$AJ$503,135))</f>
        <v/>
      </c>
      <c r="K4138">
        <f>IF(LEN(INDEX('Providers'!$AI$4:$AI$503,135))=0,"",INDEX('Providers'!$AI$4:$AI$503,135))</f>
        <v/>
      </c>
    </row>
    <row r="4139">
      <c r="A4139">
        <f>IF(AND(LEN('Providers'!A139)&gt;0,ISNUMBER('Providers'!AA139)),1,0)</f>
        <v/>
      </c>
      <c r="B4139">
        <f>B4138+A4139</f>
        <v/>
      </c>
      <c r="C4139">
        <f>IF(4136&gt;$B$4503,"",MATCH(4136-0.5,$B$3:$B$4503,1))</f>
        <v/>
      </c>
      <c r="D4139">
        <f>"Payer recredentialing – "&amp;IF(LEN(INDEX('Providers'!$A$4:$A$503,136))=0,"",INDEX('Providers'!$A$4:$A$503,136))</f>
        <v/>
      </c>
      <c r="E4139">
        <f>IF(ISNUMBER(INDEX('Providers'!$AA$4:$AA$503,136)),TEXT(INDEX('Providers'!$AA$4:$AA$503,136),"yyyy-mm-dd"),"")</f>
        <v/>
      </c>
      <c r="F4139">
        <f>"Credentialing"</f>
        <v/>
      </c>
      <c r="G4139">
        <f>""</f>
        <v/>
      </c>
      <c r="H4139">
        <f>"High"</f>
        <v/>
      </c>
      <c r="I4139">
        <f>TRIM(IF(LEN(IF(LEN(INDEX('Providers'!$Z$4:$Z$503,136))=0,"",INDEX('Providers'!$Z$4:$Z$503,136)))=0,"","Payer(s): "&amp;IF(LEN(INDEX('Providers'!$Z$4:$Z$503,136))=0,"",INDEX('Providers'!$Z$4:$Z$503,136))&amp;". "))</f>
        <v/>
      </c>
      <c r="J4139">
        <f>IF(LEN(INDEX('Providers'!$AJ$4:$AJ$503,136))=0,"",INDEX('Providers'!$AJ$4:$AJ$503,136))</f>
        <v/>
      </c>
      <c r="K4139">
        <f>IF(LEN(INDEX('Providers'!$AI$4:$AI$503,136))=0,"",INDEX('Providers'!$AI$4:$AI$503,136))</f>
        <v/>
      </c>
    </row>
    <row r="4140">
      <c r="A4140">
        <f>IF(AND(LEN('Providers'!A140)&gt;0,ISNUMBER('Providers'!AA140)),1,0)</f>
        <v/>
      </c>
      <c r="B4140">
        <f>B4139+A4140</f>
        <v/>
      </c>
      <c r="C4140">
        <f>IF(4137&gt;$B$4503,"",MATCH(4137-0.5,$B$3:$B$4503,1))</f>
        <v/>
      </c>
      <c r="D4140">
        <f>"Payer recredentialing – "&amp;IF(LEN(INDEX('Providers'!$A$4:$A$503,137))=0,"",INDEX('Providers'!$A$4:$A$503,137))</f>
        <v/>
      </c>
      <c r="E4140">
        <f>IF(ISNUMBER(INDEX('Providers'!$AA$4:$AA$503,137)),TEXT(INDEX('Providers'!$AA$4:$AA$503,137),"yyyy-mm-dd"),"")</f>
        <v/>
      </c>
      <c r="F4140">
        <f>"Credentialing"</f>
        <v/>
      </c>
      <c r="G4140">
        <f>""</f>
        <v/>
      </c>
      <c r="H4140">
        <f>"High"</f>
        <v/>
      </c>
      <c r="I4140">
        <f>TRIM(IF(LEN(IF(LEN(INDEX('Providers'!$Z$4:$Z$503,137))=0,"",INDEX('Providers'!$Z$4:$Z$503,137)))=0,"","Payer(s): "&amp;IF(LEN(INDEX('Providers'!$Z$4:$Z$503,137))=0,"",INDEX('Providers'!$Z$4:$Z$503,137))&amp;". "))</f>
        <v/>
      </c>
      <c r="J4140">
        <f>IF(LEN(INDEX('Providers'!$AJ$4:$AJ$503,137))=0,"",INDEX('Providers'!$AJ$4:$AJ$503,137))</f>
        <v/>
      </c>
      <c r="K4140">
        <f>IF(LEN(INDEX('Providers'!$AI$4:$AI$503,137))=0,"",INDEX('Providers'!$AI$4:$AI$503,137))</f>
        <v/>
      </c>
    </row>
    <row r="4141">
      <c r="A4141">
        <f>IF(AND(LEN('Providers'!A141)&gt;0,ISNUMBER('Providers'!AA141)),1,0)</f>
        <v/>
      </c>
      <c r="B4141">
        <f>B4140+A4141</f>
        <v/>
      </c>
      <c r="C4141">
        <f>IF(4138&gt;$B$4503,"",MATCH(4138-0.5,$B$3:$B$4503,1))</f>
        <v/>
      </c>
      <c r="D4141">
        <f>"Payer recredentialing – "&amp;IF(LEN(INDEX('Providers'!$A$4:$A$503,138))=0,"",INDEX('Providers'!$A$4:$A$503,138))</f>
        <v/>
      </c>
      <c r="E4141">
        <f>IF(ISNUMBER(INDEX('Providers'!$AA$4:$AA$503,138)),TEXT(INDEX('Providers'!$AA$4:$AA$503,138),"yyyy-mm-dd"),"")</f>
        <v/>
      </c>
      <c r="F4141">
        <f>"Credentialing"</f>
        <v/>
      </c>
      <c r="G4141">
        <f>""</f>
        <v/>
      </c>
      <c r="H4141">
        <f>"High"</f>
        <v/>
      </c>
      <c r="I4141">
        <f>TRIM(IF(LEN(IF(LEN(INDEX('Providers'!$Z$4:$Z$503,138))=0,"",INDEX('Providers'!$Z$4:$Z$503,138)))=0,"","Payer(s): "&amp;IF(LEN(INDEX('Providers'!$Z$4:$Z$503,138))=0,"",INDEX('Providers'!$Z$4:$Z$503,138))&amp;". "))</f>
        <v/>
      </c>
      <c r="J4141">
        <f>IF(LEN(INDEX('Providers'!$AJ$4:$AJ$503,138))=0,"",INDEX('Providers'!$AJ$4:$AJ$503,138))</f>
        <v/>
      </c>
      <c r="K4141">
        <f>IF(LEN(INDEX('Providers'!$AI$4:$AI$503,138))=0,"",INDEX('Providers'!$AI$4:$AI$503,138))</f>
        <v/>
      </c>
    </row>
    <row r="4142">
      <c r="A4142">
        <f>IF(AND(LEN('Providers'!A142)&gt;0,ISNUMBER('Providers'!AA142)),1,0)</f>
        <v/>
      </c>
      <c r="B4142">
        <f>B4141+A4142</f>
        <v/>
      </c>
      <c r="C4142">
        <f>IF(4139&gt;$B$4503,"",MATCH(4139-0.5,$B$3:$B$4503,1))</f>
        <v/>
      </c>
      <c r="D4142">
        <f>"Payer recredentialing – "&amp;IF(LEN(INDEX('Providers'!$A$4:$A$503,139))=0,"",INDEX('Providers'!$A$4:$A$503,139))</f>
        <v/>
      </c>
      <c r="E4142">
        <f>IF(ISNUMBER(INDEX('Providers'!$AA$4:$AA$503,139)),TEXT(INDEX('Providers'!$AA$4:$AA$503,139),"yyyy-mm-dd"),"")</f>
        <v/>
      </c>
      <c r="F4142">
        <f>"Credentialing"</f>
        <v/>
      </c>
      <c r="G4142">
        <f>""</f>
        <v/>
      </c>
      <c r="H4142">
        <f>"High"</f>
        <v/>
      </c>
      <c r="I4142">
        <f>TRIM(IF(LEN(IF(LEN(INDEX('Providers'!$Z$4:$Z$503,139))=0,"",INDEX('Providers'!$Z$4:$Z$503,139)))=0,"","Payer(s): "&amp;IF(LEN(INDEX('Providers'!$Z$4:$Z$503,139))=0,"",INDEX('Providers'!$Z$4:$Z$503,139))&amp;". "))</f>
        <v/>
      </c>
      <c r="J4142">
        <f>IF(LEN(INDEX('Providers'!$AJ$4:$AJ$503,139))=0,"",INDEX('Providers'!$AJ$4:$AJ$503,139))</f>
        <v/>
      </c>
      <c r="K4142">
        <f>IF(LEN(INDEX('Providers'!$AI$4:$AI$503,139))=0,"",INDEX('Providers'!$AI$4:$AI$503,139))</f>
        <v/>
      </c>
    </row>
    <row r="4143">
      <c r="A4143">
        <f>IF(AND(LEN('Providers'!A143)&gt;0,ISNUMBER('Providers'!AA143)),1,0)</f>
        <v/>
      </c>
      <c r="B4143">
        <f>B4142+A4143</f>
        <v/>
      </c>
      <c r="C4143">
        <f>IF(4140&gt;$B$4503,"",MATCH(4140-0.5,$B$3:$B$4503,1))</f>
        <v/>
      </c>
      <c r="D4143">
        <f>"Payer recredentialing – "&amp;IF(LEN(INDEX('Providers'!$A$4:$A$503,140))=0,"",INDEX('Providers'!$A$4:$A$503,140))</f>
        <v/>
      </c>
      <c r="E4143">
        <f>IF(ISNUMBER(INDEX('Providers'!$AA$4:$AA$503,140)),TEXT(INDEX('Providers'!$AA$4:$AA$503,140),"yyyy-mm-dd"),"")</f>
        <v/>
      </c>
      <c r="F4143">
        <f>"Credentialing"</f>
        <v/>
      </c>
      <c r="G4143">
        <f>""</f>
        <v/>
      </c>
      <c r="H4143">
        <f>"High"</f>
        <v/>
      </c>
      <c r="I4143">
        <f>TRIM(IF(LEN(IF(LEN(INDEX('Providers'!$Z$4:$Z$503,140))=0,"",INDEX('Providers'!$Z$4:$Z$503,140)))=0,"","Payer(s): "&amp;IF(LEN(INDEX('Providers'!$Z$4:$Z$503,140))=0,"",INDEX('Providers'!$Z$4:$Z$503,140))&amp;". "))</f>
        <v/>
      </c>
      <c r="J4143">
        <f>IF(LEN(INDEX('Providers'!$AJ$4:$AJ$503,140))=0,"",INDEX('Providers'!$AJ$4:$AJ$503,140))</f>
        <v/>
      </c>
      <c r="K4143">
        <f>IF(LEN(INDEX('Providers'!$AI$4:$AI$503,140))=0,"",INDEX('Providers'!$AI$4:$AI$503,140))</f>
        <v/>
      </c>
    </row>
    <row r="4144">
      <c r="A4144">
        <f>IF(AND(LEN('Providers'!A144)&gt;0,ISNUMBER('Providers'!AA144)),1,0)</f>
        <v/>
      </c>
      <c r="B4144">
        <f>B4143+A4144</f>
        <v/>
      </c>
      <c r="C4144">
        <f>IF(4141&gt;$B$4503,"",MATCH(4141-0.5,$B$3:$B$4503,1))</f>
        <v/>
      </c>
      <c r="D4144">
        <f>"Payer recredentialing – "&amp;IF(LEN(INDEX('Providers'!$A$4:$A$503,141))=0,"",INDEX('Providers'!$A$4:$A$503,141))</f>
        <v/>
      </c>
      <c r="E4144">
        <f>IF(ISNUMBER(INDEX('Providers'!$AA$4:$AA$503,141)),TEXT(INDEX('Providers'!$AA$4:$AA$503,141),"yyyy-mm-dd"),"")</f>
        <v/>
      </c>
      <c r="F4144">
        <f>"Credentialing"</f>
        <v/>
      </c>
      <c r="G4144">
        <f>""</f>
        <v/>
      </c>
      <c r="H4144">
        <f>"High"</f>
        <v/>
      </c>
      <c r="I4144">
        <f>TRIM(IF(LEN(IF(LEN(INDEX('Providers'!$Z$4:$Z$503,141))=0,"",INDEX('Providers'!$Z$4:$Z$503,141)))=0,"","Payer(s): "&amp;IF(LEN(INDEX('Providers'!$Z$4:$Z$503,141))=0,"",INDEX('Providers'!$Z$4:$Z$503,141))&amp;". "))</f>
        <v/>
      </c>
      <c r="J4144">
        <f>IF(LEN(INDEX('Providers'!$AJ$4:$AJ$503,141))=0,"",INDEX('Providers'!$AJ$4:$AJ$503,141))</f>
        <v/>
      </c>
      <c r="K4144">
        <f>IF(LEN(INDEX('Providers'!$AI$4:$AI$503,141))=0,"",INDEX('Providers'!$AI$4:$AI$503,141))</f>
        <v/>
      </c>
    </row>
    <row r="4145">
      <c r="A4145">
        <f>IF(AND(LEN('Providers'!A145)&gt;0,ISNUMBER('Providers'!AA145)),1,0)</f>
        <v/>
      </c>
      <c r="B4145">
        <f>B4144+A4145</f>
        <v/>
      </c>
      <c r="C4145">
        <f>IF(4142&gt;$B$4503,"",MATCH(4142-0.5,$B$3:$B$4503,1))</f>
        <v/>
      </c>
      <c r="D4145">
        <f>"Payer recredentialing – "&amp;IF(LEN(INDEX('Providers'!$A$4:$A$503,142))=0,"",INDEX('Providers'!$A$4:$A$503,142))</f>
        <v/>
      </c>
      <c r="E4145">
        <f>IF(ISNUMBER(INDEX('Providers'!$AA$4:$AA$503,142)),TEXT(INDEX('Providers'!$AA$4:$AA$503,142),"yyyy-mm-dd"),"")</f>
        <v/>
      </c>
      <c r="F4145">
        <f>"Credentialing"</f>
        <v/>
      </c>
      <c r="G4145">
        <f>""</f>
        <v/>
      </c>
      <c r="H4145">
        <f>"High"</f>
        <v/>
      </c>
      <c r="I4145">
        <f>TRIM(IF(LEN(IF(LEN(INDEX('Providers'!$Z$4:$Z$503,142))=0,"",INDEX('Providers'!$Z$4:$Z$503,142)))=0,"","Payer(s): "&amp;IF(LEN(INDEX('Providers'!$Z$4:$Z$503,142))=0,"",INDEX('Providers'!$Z$4:$Z$503,142))&amp;". "))</f>
        <v/>
      </c>
      <c r="J4145">
        <f>IF(LEN(INDEX('Providers'!$AJ$4:$AJ$503,142))=0,"",INDEX('Providers'!$AJ$4:$AJ$503,142))</f>
        <v/>
      </c>
      <c r="K4145">
        <f>IF(LEN(INDEX('Providers'!$AI$4:$AI$503,142))=0,"",INDEX('Providers'!$AI$4:$AI$503,142))</f>
        <v/>
      </c>
    </row>
    <row r="4146">
      <c r="A4146">
        <f>IF(AND(LEN('Providers'!A146)&gt;0,ISNUMBER('Providers'!AA146)),1,0)</f>
        <v/>
      </c>
      <c r="B4146">
        <f>B4145+A4146</f>
        <v/>
      </c>
      <c r="C4146">
        <f>IF(4143&gt;$B$4503,"",MATCH(4143-0.5,$B$3:$B$4503,1))</f>
        <v/>
      </c>
      <c r="D4146">
        <f>"Payer recredentialing – "&amp;IF(LEN(INDEX('Providers'!$A$4:$A$503,143))=0,"",INDEX('Providers'!$A$4:$A$503,143))</f>
        <v/>
      </c>
      <c r="E4146">
        <f>IF(ISNUMBER(INDEX('Providers'!$AA$4:$AA$503,143)),TEXT(INDEX('Providers'!$AA$4:$AA$503,143),"yyyy-mm-dd"),"")</f>
        <v/>
      </c>
      <c r="F4146">
        <f>"Credentialing"</f>
        <v/>
      </c>
      <c r="G4146">
        <f>""</f>
        <v/>
      </c>
      <c r="H4146">
        <f>"High"</f>
        <v/>
      </c>
      <c r="I4146">
        <f>TRIM(IF(LEN(IF(LEN(INDEX('Providers'!$Z$4:$Z$503,143))=0,"",INDEX('Providers'!$Z$4:$Z$503,143)))=0,"","Payer(s): "&amp;IF(LEN(INDEX('Providers'!$Z$4:$Z$503,143))=0,"",INDEX('Providers'!$Z$4:$Z$503,143))&amp;". "))</f>
        <v/>
      </c>
      <c r="J4146">
        <f>IF(LEN(INDEX('Providers'!$AJ$4:$AJ$503,143))=0,"",INDEX('Providers'!$AJ$4:$AJ$503,143))</f>
        <v/>
      </c>
      <c r="K4146">
        <f>IF(LEN(INDEX('Providers'!$AI$4:$AI$503,143))=0,"",INDEX('Providers'!$AI$4:$AI$503,143))</f>
        <v/>
      </c>
    </row>
    <row r="4147">
      <c r="A4147">
        <f>IF(AND(LEN('Providers'!A147)&gt;0,ISNUMBER('Providers'!AA147)),1,0)</f>
        <v/>
      </c>
      <c r="B4147">
        <f>B4146+A4147</f>
        <v/>
      </c>
      <c r="C4147">
        <f>IF(4144&gt;$B$4503,"",MATCH(4144-0.5,$B$3:$B$4503,1))</f>
        <v/>
      </c>
      <c r="D4147">
        <f>"Payer recredentialing – "&amp;IF(LEN(INDEX('Providers'!$A$4:$A$503,144))=0,"",INDEX('Providers'!$A$4:$A$503,144))</f>
        <v/>
      </c>
      <c r="E4147">
        <f>IF(ISNUMBER(INDEX('Providers'!$AA$4:$AA$503,144)),TEXT(INDEX('Providers'!$AA$4:$AA$503,144),"yyyy-mm-dd"),"")</f>
        <v/>
      </c>
      <c r="F4147">
        <f>"Credentialing"</f>
        <v/>
      </c>
      <c r="G4147">
        <f>""</f>
        <v/>
      </c>
      <c r="H4147">
        <f>"High"</f>
        <v/>
      </c>
      <c r="I4147">
        <f>TRIM(IF(LEN(IF(LEN(INDEX('Providers'!$Z$4:$Z$503,144))=0,"",INDEX('Providers'!$Z$4:$Z$503,144)))=0,"","Payer(s): "&amp;IF(LEN(INDEX('Providers'!$Z$4:$Z$503,144))=0,"",INDEX('Providers'!$Z$4:$Z$503,144))&amp;". "))</f>
        <v/>
      </c>
      <c r="J4147">
        <f>IF(LEN(INDEX('Providers'!$AJ$4:$AJ$503,144))=0,"",INDEX('Providers'!$AJ$4:$AJ$503,144))</f>
        <v/>
      </c>
      <c r="K4147">
        <f>IF(LEN(INDEX('Providers'!$AI$4:$AI$503,144))=0,"",INDEX('Providers'!$AI$4:$AI$503,144))</f>
        <v/>
      </c>
    </row>
    <row r="4148">
      <c r="A4148">
        <f>IF(AND(LEN('Providers'!A148)&gt;0,ISNUMBER('Providers'!AA148)),1,0)</f>
        <v/>
      </c>
      <c r="B4148">
        <f>B4147+A4148</f>
        <v/>
      </c>
      <c r="C4148">
        <f>IF(4145&gt;$B$4503,"",MATCH(4145-0.5,$B$3:$B$4503,1))</f>
        <v/>
      </c>
      <c r="D4148">
        <f>"Payer recredentialing – "&amp;IF(LEN(INDEX('Providers'!$A$4:$A$503,145))=0,"",INDEX('Providers'!$A$4:$A$503,145))</f>
        <v/>
      </c>
      <c r="E4148">
        <f>IF(ISNUMBER(INDEX('Providers'!$AA$4:$AA$503,145)),TEXT(INDEX('Providers'!$AA$4:$AA$503,145),"yyyy-mm-dd"),"")</f>
        <v/>
      </c>
      <c r="F4148">
        <f>"Credentialing"</f>
        <v/>
      </c>
      <c r="G4148">
        <f>""</f>
        <v/>
      </c>
      <c r="H4148">
        <f>"High"</f>
        <v/>
      </c>
      <c r="I4148">
        <f>TRIM(IF(LEN(IF(LEN(INDEX('Providers'!$Z$4:$Z$503,145))=0,"",INDEX('Providers'!$Z$4:$Z$503,145)))=0,"","Payer(s): "&amp;IF(LEN(INDEX('Providers'!$Z$4:$Z$503,145))=0,"",INDEX('Providers'!$Z$4:$Z$503,145))&amp;". "))</f>
        <v/>
      </c>
      <c r="J4148">
        <f>IF(LEN(INDEX('Providers'!$AJ$4:$AJ$503,145))=0,"",INDEX('Providers'!$AJ$4:$AJ$503,145))</f>
        <v/>
      </c>
      <c r="K4148">
        <f>IF(LEN(INDEX('Providers'!$AI$4:$AI$503,145))=0,"",INDEX('Providers'!$AI$4:$AI$503,145))</f>
        <v/>
      </c>
    </row>
    <row r="4149">
      <c r="A4149">
        <f>IF(AND(LEN('Providers'!A149)&gt;0,ISNUMBER('Providers'!AA149)),1,0)</f>
        <v/>
      </c>
      <c r="B4149">
        <f>B4148+A4149</f>
        <v/>
      </c>
      <c r="C4149">
        <f>IF(4146&gt;$B$4503,"",MATCH(4146-0.5,$B$3:$B$4503,1))</f>
        <v/>
      </c>
      <c r="D4149">
        <f>"Payer recredentialing – "&amp;IF(LEN(INDEX('Providers'!$A$4:$A$503,146))=0,"",INDEX('Providers'!$A$4:$A$503,146))</f>
        <v/>
      </c>
      <c r="E4149">
        <f>IF(ISNUMBER(INDEX('Providers'!$AA$4:$AA$503,146)),TEXT(INDEX('Providers'!$AA$4:$AA$503,146),"yyyy-mm-dd"),"")</f>
        <v/>
      </c>
      <c r="F4149">
        <f>"Credentialing"</f>
        <v/>
      </c>
      <c r="G4149">
        <f>""</f>
        <v/>
      </c>
      <c r="H4149">
        <f>"High"</f>
        <v/>
      </c>
      <c r="I4149">
        <f>TRIM(IF(LEN(IF(LEN(INDEX('Providers'!$Z$4:$Z$503,146))=0,"",INDEX('Providers'!$Z$4:$Z$503,146)))=0,"","Payer(s): "&amp;IF(LEN(INDEX('Providers'!$Z$4:$Z$503,146))=0,"",INDEX('Providers'!$Z$4:$Z$503,146))&amp;". "))</f>
        <v/>
      </c>
      <c r="J4149">
        <f>IF(LEN(INDEX('Providers'!$AJ$4:$AJ$503,146))=0,"",INDEX('Providers'!$AJ$4:$AJ$503,146))</f>
        <v/>
      </c>
      <c r="K4149">
        <f>IF(LEN(INDEX('Providers'!$AI$4:$AI$503,146))=0,"",INDEX('Providers'!$AI$4:$AI$503,146))</f>
        <v/>
      </c>
    </row>
    <row r="4150">
      <c r="A4150">
        <f>IF(AND(LEN('Providers'!A150)&gt;0,ISNUMBER('Providers'!AA150)),1,0)</f>
        <v/>
      </c>
      <c r="B4150">
        <f>B4149+A4150</f>
        <v/>
      </c>
      <c r="C4150">
        <f>IF(4147&gt;$B$4503,"",MATCH(4147-0.5,$B$3:$B$4503,1))</f>
        <v/>
      </c>
      <c r="D4150">
        <f>"Payer recredentialing – "&amp;IF(LEN(INDEX('Providers'!$A$4:$A$503,147))=0,"",INDEX('Providers'!$A$4:$A$503,147))</f>
        <v/>
      </c>
      <c r="E4150">
        <f>IF(ISNUMBER(INDEX('Providers'!$AA$4:$AA$503,147)),TEXT(INDEX('Providers'!$AA$4:$AA$503,147),"yyyy-mm-dd"),"")</f>
        <v/>
      </c>
      <c r="F4150">
        <f>"Credentialing"</f>
        <v/>
      </c>
      <c r="G4150">
        <f>""</f>
        <v/>
      </c>
      <c r="H4150">
        <f>"High"</f>
        <v/>
      </c>
      <c r="I4150">
        <f>TRIM(IF(LEN(IF(LEN(INDEX('Providers'!$Z$4:$Z$503,147))=0,"",INDEX('Providers'!$Z$4:$Z$503,147)))=0,"","Payer(s): "&amp;IF(LEN(INDEX('Providers'!$Z$4:$Z$503,147))=0,"",INDEX('Providers'!$Z$4:$Z$503,147))&amp;". "))</f>
        <v/>
      </c>
      <c r="J4150">
        <f>IF(LEN(INDEX('Providers'!$AJ$4:$AJ$503,147))=0,"",INDEX('Providers'!$AJ$4:$AJ$503,147))</f>
        <v/>
      </c>
      <c r="K4150">
        <f>IF(LEN(INDEX('Providers'!$AI$4:$AI$503,147))=0,"",INDEX('Providers'!$AI$4:$AI$503,147))</f>
        <v/>
      </c>
    </row>
    <row r="4151">
      <c r="A4151">
        <f>IF(AND(LEN('Providers'!A151)&gt;0,ISNUMBER('Providers'!AA151)),1,0)</f>
        <v/>
      </c>
      <c r="B4151">
        <f>B4150+A4151</f>
        <v/>
      </c>
      <c r="C4151">
        <f>IF(4148&gt;$B$4503,"",MATCH(4148-0.5,$B$3:$B$4503,1))</f>
        <v/>
      </c>
      <c r="D4151">
        <f>"Payer recredentialing – "&amp;IF(LEN(INDEX('Providers'!$A$4:$A$503,148))=0,"",INDEX('Providers'!$A$4:$A$503,148))</f>
        <v/>
      </c>
      <c r="E4151">
        <f>IF(ISNUMBER(INDEX('Providers'!$AA$4:$AA$503,148)),TEXT(INDEX('Providers'!$AA$4:$AA$503,148),"yyyy-mm-dd"),"")</f>
        <v/>
      </c>
      <c r="F4151">
        <f>"Credentialing"</f>
        <v/>
      </c>
      <c r="G4151">
        <f>""</f>
        <v/>
      </c>
      <c r="H4151">
        <f>"High"</f>
        <v/>
      </c>
      <c r="I4151">
        <f>TRIM(IF(LEN(IF(LEN(INDEX('Providers'!$Z$4:$Z$503,148))=0,"",INDEX('Providers'!$Z$4:$Z$503,148)))=0,"","Payer(s): "&amp;IF(LEN(INDEX('Providers'!$Z$4:$Z$503,148))=0,"",INDEX('Providers'!$Z$4:$Z$503,148))&amp;". "))</f>
        <v/>
      </c>
      <c r="J4151">
        <f>IF(LEN(INDEX('Providers'!$AJ$4:$AJ$503,148))=0,"",INDEX('Providers'!$AJ$4:$AJ$503,148))</f>
        <v/>
      </c>
      <c r="K4151">
        <f>IF(LEN(INDEX('Providers'!$AI$4:$AI$503,148))=0,"",INDEX('Providers'!$AI$4:$AI$503,148))</f>
        <v/>
      </c>
    </row>
    <row r="4152">
      <c r="A4152">
        <f>IF(AND(LEN('Providers'!A152)&gt;0,ISNUMBER('Providers'!AA152)),1,0)</f>
        <v/>
      </c>
      <c r="B4152">
        <f>B4151+A4152</f>
        <v/>
      </c>
      <c r="C4152">
        <f>IF(4149&gt;$B$4503,"",MATCH(4149-0.5,$B$3:$B$4503,1))</f>
        <v/>
      </c>
      <c r="D4152">
        <f>"Payer recredentialing – "&amp;IF(LEN(INDEX('Providers'!$A$4:$A$503,149))=0,"",INDEX('Providers'!$A$4:$A$503,149))</f>
        <v/>
      </c>
      <c r="E4152">
        <f>IF(ISNUMBER(INDEX('Providers'!$AA$4:$AA$503,149)),TEXT(INDEX('Providers'!$AA$4:$AA$503,149),"yyyy-mm-dd"),"")</f>
        <v/>
      </c>
      <c r="F4152">
        <f>"Credentialing"</f>
        <v/>
      </c>
      <c r="G4152">
        <f>""</f>
        <v/>
      </c>
      <c r="H4152">
        <f>"High"</f>
        <v/>
      </c>
      <c r="I4152">
        <f>TRIM(IF(LEN(IF(LEN(INDEX('Providers'!$Z$4:$Z$503,149))=0,"",INDEX('Providers'!$Z$4:$Z$503,149)))=0,"","Payer(s): "&amp;IF(LEN(INDEX('Providers'!$Z$4:$Z$503,149))=0,"",INDEX('Providers'!$Z$4:$Z$503,149))&amp;". "))</f>
        <v/>
      </c>
      <c r="J4152">
        <f>IF(LEN(INDEX('Providers'!$AJ$4:$AJ$503,149))=0,"",INDEX('Providers'!$AJ$4:$AJ$503,149))</f>
        <v/>
      </c>
      <c r="K4152">
        <f>IF(LEN(INDEX('Providers'!$AI$4:$AI$503,149))=0,"",INDEX('Providers'!$AI$4:$AI$503,149))</f>
        <v/>
      </c>
    </row>
    <row r="4153">
      <c r="A4153">
        <f>IF(AND(LEN('Providers'!A153)&gt;0,ISNUMBER('Providers'!AA153)),1,0)</f>
        <v/>
      </c>
      <c r="B4153">
        <f>B4152+A4153</f>
        <v/>
      </c>
      <c r="C4153">
        <f>IF(4150&gt;$B$4503,"",MATCH(4150-0.5,$B$3:$B$4503,1))</f>
        <v/>
      </c>
      <c r="D4153">
        <f>"Payer recredentialing – "&amp;IF(LEN(INDEX('Providers'!$A$4:$A$503,150))=0,"",INDEX('Providers'!$A$4:$A$503,150))</f>
        <v/>
      </c>
      <c r="E4153">
        <f>IF(ISNUMBER(INDEX('Providers'!$AA$4:$AA$503,150)),TEXT(INDEX('Providers'!$AA$4:$AA$503,150),"yyyy-mm-dd"),"")</f>
        <v/>
      </c>
      <c r="F4153">
        <f>"Credentialing"</f>
        <v/>
      </c>
      <c r="G4153">
        <f>""</f>
        <v/>
      </c>
      <c r="H4153">
        <f>"High"</f>
        <v/>
      </c>
      <c r="I4153">
        <f>TRIM(IF(LEN(IF(LEN(INDEX('Providers'!$Z$4:$Z$503,150))=0,"",INDEX('Providers'!$Z$4:$Z$503,150)))=0,"","Payer(s): "&amp;IF(LEN(INDEX('Providers'!$Z$4:$Z$503,150))=0,"",INDEX('Providers'!$Z$4:$Z$503,150))&amp;". "))</f>
        <v/>
      </c>
      <c r="J4153">
        <f>IF(LEN(INDEX('Providers'!$AJ$4:$AJ$503,150))=0,"",INDEX('Providers'!$AJ$4:$AJ$503,150))</f>
        <v/>
      </c>
      <c r="K4153">
        <f>IF(LEN(INDEX('Providers'!$AI$4:$AI$503,150))=0,"",INDEX('Providers'!$AI$4:$AI$503,150))</f>
        <v/>
      </c>
    </row>
    <row r="4154">
      <c r="A4154">
        <f>IF(AND(LEN('Providers'!A154)&gt;0,ISNUMBER('Providers'!AA154)),1,0)</f>
        <v/>
      </c>
      <c r="B4154">
        <f>B4153+A4154</f>
        <v/>
      </c>
      <c r="C4154">
        <f>IF(4151&gt;$B$4503,"",MATCH(4151-0.5,$B$3:$B$4503,1))</f>
        <v/>
      </c>
      <c r="D4154">
        <f>"Payer recredentialing – "&amp;IF(LEN(INDEX('Providers'!$A$4:$A$503,151))=0,"",INDEX('Providers'!$A$4:$A$503,151))</f>
        <v/>
      </c>
      <c r="E4154">
        <f>IF(ISNUMBER(INDEX('Providers'!$AA$4:$AA$503,151)),TEXT(INDEX('Providers'!$AA$4:$AA$503,151),"yyyy-mm-dd"),"")</f>
        <v/>
      </c>
      <c r="F4154">
        <f>"Credentialing"</f>
        <v/>
      </c>
      <c r="G4154">
        <f>""</f>
        <v/>
      </c>
      <c r="H4154">
        <f>"High"</f>
        <v/>
      </c>
      <c r="I4154">
        <f>TRIM(IF(LEN(IF(LEN(INDEX('Providers'!$Z$4:$Z$503,151))=0,"",INDEX('Providers'!$Z$4:$Z$503,151)))=0,"","Payer(s): "&amp;IF(LEN(INDEX('Providers'!$Z$4:$Z$503,151))=0,"",INDEX('Providers'!$Z$4:$Z$503,151))&amp;". "))</f>
        <v/>
      </c>
      <c r="J4154">
        <f>IF(LEN(INDEX('Providers'!$AJ$4:$AJ$503,151))=0,"",INDEX('Providers'!$AJ$4:$AJ$503,151))</f>
        <v/>
      </c>
      <c r="K4154">
        <f>IF(LEN(INDEX('Providers'!$AI$4:$AI$503,151))=0,"",INDEX('Providers'!$AI$4:$AI$503,151))</f>
        <v/>
      </c>
    </row>
    <row r="4155">
      <c r="A4155">
        <f>IF(AND(LEN('Providers'!A155)&gt;0,ISNUMBER('Providers'!AA155)),1,0)</f>
        <v/>
      </c>
      <c r="B4155">
        <f>B4154+A4155</f>
        <v/>
      </c>
      <c r="C4155">
        <f>IF(4152&gt;$B$4503,"",MATCH(4152-0.5,$B$3:$B$4503,1))</f>
        <v/>
      </c>
      <c r="D4155">
        <f>"Payer recredentialing – "&amp;IF(LEN(INDEX('Providers'!$A$4:$A$503,152))=0,"",INDEX('Providers'!$A$4:$A$503,152))</f>
        <v/>
      </c>
      <c r="E4155">
        <f>IF(ISNUMBER(INDEX('Providers'!$AA$4:$AA$503,152)),TEXT(INDEX('Providers'!$AA$4:$AA$503,152),"yyyy-mm-dd"),"")</f>
        <v/>
      </c>
      <c r="F4155">
        <f>"Credentialing"</f>
        <v/>
      </c>
      <c r="G4155">
        <f>""</f>
        <v/>
      </c>
      <c r="H4155">
        <f>"High"</f>
        <v/>
      </c>
      <c r="I4155">
        <f>TRIM(IF(LEN(IF(LEN(INDEX('Providers'!$Z$4:$Z$503,152))=0,"",INDEX('Providers'!$Z$4:$Z$503,152)))=0,"","Payer(s): "&amp;IF(LEN(INDEX('Providers'!$Z$4:$Z$503,152))=0,"",INDEX('Providers'!$Z$4:$Z$503,152))&amp;". "))</f>
        <v/>
      </c>
      <c r="J4155">
        <f>IF(LEN(INDEX('Providers'!$AJ$4:$AJ$503,152))=0,"",INDEX('Providers'!$AJ$4:$AJ$503,152))</f>
        <v/>
      </c>
      <c r="K4155">
        <f>IF(LEN(INDEX('Providers'!$AI$4:$AI$503,152))=0,"",INDEX('Providers'!$AI$4:$AI$503,152))</f>
        <v/>
      </c>
    </row>
    <row r="4156">
      <c r="A4156">
        <f>IF(AND(LEN('Providers'!A156)&gt;0,ISNUMBER('Providers'!AA156)),1,0)</f>
        <v/>
      </c>
      <c r="B4156">
        <f>B4155+A4156</f>
        <v/>
      </c>
      <c r="C4156">
        <f>IF(4153&gt;$B$4503,"",MATCH(4153-0.5,$B$3:$B$4503,1))</f>
        <v/>
      </c>
      <c r="D4156">
        <f>"Payer recredentialing – "&amp;IF(LEN(INDEX('Providers'!$A$4:$A$503,153))=0,"",INDEX('Providers'!$A$4:$A$503,153))</f>
        <v/>
      </c>
      <c r="E4156">
        <f>IF(ISNUMBER(INDEX('Providers'!$AA$4:$AA$503,153)),TEXT(INDEX('Providers'!$AA$4:$AA$503,153),"yyyy-mm-dd"),"")</f>
        <v/>
      </c>
      <c r="F4156">
        <f>"Credentialing"</f>
        <v/>
      </c>
      <c r="G4156">
        <f>""</f>
        <v/>
      </c>
      <c r="H4156">
        <f>"High"</f>
        <v/>
      </c>
      <c r="I4156">
        <f>TRIM(IF(LEN(IF(LEN(INDEX('Providers'!$Z$4:$Z$503,153))=0,"",INDEX('Providers'!$Z$4:$Z$503,153)))=0,"","Payer(s): "&amp;IF(LEN(INDEX('Providers'!$Z$4:$Z$503,153))=0,"",INDEX('Providers'!$Z$4:$Z$503,153))&amp;". "))</f>
        <v/>
      </c>
      <c r="J4156">
        <f>IF(LEN(INDEX('Providers'!$AJ$4:$AJ$503,153))=0,"",INDEX('Providers'!$AJ$4:$AJ$503,153))</f>
        <v/>
      </c>
      <c r="K4156">
        <f>IF(LEN(INDEX('Providers'!$AI$4:$AI$503,153))=0,"",INDEX('Providers'!$AI$4:$AI$503,153))</f>
        <v/>
      </c>
    </row>
    <row r="4157">
      <c r="A4157">
        <f>IF(AND(LEN('Providers'!A157)&gt;0,ISNUMBER('Providers'!AA157)),1,0)</f>
        <v/>
      </c>
      <c r="B4157">
        <f>B4156+A4157</f>
        <v/>
      </c>
      <c r="C4157">
        <f>IF(4154&gt;$B$4503,"",MATCH(4154-0.5,$B$3:$B$4503,1))</f>
        <v/>
      </c>
      <c r="D4157">
        <f>"Payer recredentialing – "&amp;IF(LEN(INDEX('Providers'!$A$4:$A$503,154))=0,"",INDEX('Providers'!$A$4:$A$503,154))</f>
        <v/>
      </c>
      <c r="E4157">
        <f>IF(ISNUMBER(INDEX('Providers'!$AA$4:$AA$503,154)),TEXT(INDEX('Providers'!$AA$4:$AA$503,154),"yyyy-mm-dd"),"")</f>
        <v/>
      </c>
      <c r="F4157">
        <f>"Credentialing"</f>
        <v/>
      </c>
      <c r="G4157">
        <f>""</f>
        <v/>
      </c>
      <c r="H4157">
        <f>"High"</f>
        <v/>
      </c>
      <c r="I4157">
        <f>TRIM(IF(LEN(IF(LEN(INDEX('Providers'!$Z$4:$Z$503,154))=0,"",INDEX('Providers'!$Z$4:$Z$503,154)))=0,"","Payer(s): "&amp;IF(LEN(INDEX('Providers'!$Z$4:$Z$503,154))=0,"",INDEX('Providers'!$Z$4:$Z$503,154))&amp;". "))</f>
        <v/>
      </c>
      <c r="J4157">
        <f>IF(LEN(INDEX('Providers'!$AJ$4:$AJ$503,154))=0,"",INDEX('Providers'!$AJ$4:$AJ$503,154))</f>
        <v/>
      </c>
      <c r="K4157">
        <f>IF(LEN(INDEX('Providers'!$AI$4:$AI$503,154))=0,"",INDEX('Providers'!$AI$4:$AI$503,154))</f>
        <v/>
      </c>
    </row>
    <row r="4158">
      <c r="A4158">
        <f>IF(AND(LEN('Providers'!A158)&gt;0,ISNUMBER('Providers'!AA158)),1,0)</f>
        <v/>
      </c>
      <c r="B4158">
        <f>B4157+A4158</f>
        <v/>
      </c>
      <c r="C4158">
        <f>IF(4155&gt;$B$4503,"",MATCH(4155-0.5,$B$3:$B$4503,1))</f>
        <v/>
      </c>
      <c r="D4158">
        <f>"Payer recredentialing – "&amp;IF(LEN(INDEX('Providers'!$A$4:$A$503,155))=0,"",INDEX('Providers'!$A$4:$A$503,155))</f>
        <v/>
      </c>
      <c r="E4158">
        <f>IF(ISNUMBER(INDEX('Providers'!$AA$4:$AA$503,155)),TEXT(INDEX('Providers'!$AA$4:$AA$503,155),"yyyy-mm-dd"),"")</f>
        <v/>
      </c>
      <c r="F4158">
        <f>"Credentialing"</f>
        <v/>
      </c>
      <c r="G4158">
        <f>""</f>
        <v/>
      </c>
      <c r="H4158">
        <f>"High"</f>
        <v/>
      </c>
      <c r="I4158">
        <f>TRIM(IF(LEN(IF(LEN(INDEX('Providers'!$Z$4:$Z$503,155))=0,"",INDEX('Providers'!$Z$4:$Z$503,155)))=0,"","Payer(s): "&amp;IF(LEN(INDEX('Providers'!$Z$4:$Z$503,155))=0,"",INDEX('Providers'!$Z$4:$Z$503,155))&amp;". "))</f>
        <v/>
      </c>
      <c r="J4158">
        <f>IF(LEN(INDEX('Providers'!$AJ$4:$AJ$503,155))=0,"",INDEX('Providers'!$AJ$4:$AJ$503,155))</f>
        <v/>
      </c>
      <c r="K4158">
        <f>IF(LEN(INDEX('Providers'!$AI$4:$AI$503,155))=0,"",INDEX('Providers'!$AI$4:$AI$503,155))</f>
        <v/>
      </c>
    </row>
    <row r="4159">
      <c r="A4159">
        <f>IF(AND(LEN('Providers'!A159)&gt;0,ISNUMBER('Providers'!AA159)),1,0)</f>
        <v/>
      </c>
      <c r="B4159">
        <f>B4158+A4159</f>
        <v/>
      </c>
      <c r="C4159">
        <f>IF(4156&gt;$B$4503,"",MATCH(4156-0.5,$B$3:$B$4503,1))</f>
        <v/>
      </c>
      <c r="D4159">
        <f>"Payer recredentialing – "&amp;IF(LEN(INDEX('Providers'!$A$4:$A$503,156))=0,"",INDEX('Providers'!$A$4:$A$503,156))</f>
        <v/>
      </c>
      <c r="E4159">
        <f>IF(ISNUMBER(INDEX('Providers'!$AA$4:$AA$503,156)),TEXT(INDEX('Providers'!$AA$4:$AA$503,156),"yyyy-mm-dd"),"")</f>
        <v/>
      </c>
      <c r="F4159">
        <f>"Credentialing"</f>
        <v/>
      </c>
      <c r="G4159">
        <f>""</f>
        <v/>
      </c>
      <c r="H4159">
        <f>"High"</f>
        <v/>
      </c>
      <c r="I4159">
        <f>TRIM(IF(LEN(IF(LEN(INDEX('Providers'!$Z$4:$Z$503,156))=0,"",INDEX('Providers'!$Z$4:$Z$503,156)))=0,"","Payer(s): "&amp;IF(LEN(INDEX('Providers'!$Z$4:$Z$503,156))=0,"",INDEX('Providers'!$Z$4:$Z$503,156))&amp;". "))</f>
        <v/>
      </c>
      <c r="J4159">
        <f>IF(LEN(INDEX('Providers'!$AJ$4:$AJ$503,156))=0,"",INDEX('Providers'!$AJ$4:$AJ$503,156))</f>
        <v/>
      </c>
      <c r="K4159">
        <f>IF(LEN(INDEX('Providers'!$AI$4:$AI$503,156))=0,"",INDEX('Providers'!$AI$4:$AI$503,156))</f>
        <v/>
      </c>
    </row>
    <row r="4160">
      <c r="A4160">
        <f>IF(AND(LEN('Providers'!A160)&gt;0,ISNUMBER('Providers'!AA160)),1,0)</f>
        <v/>
      </c>
      <c r="B4160">
        <f>B4159+A4160</f>
        <v/>
      </c>
      <c r="C4160">
        <f>IF(4157&gt;$B$4503,"",MATCH(4157-0.5,$B$3:$B$4503,1))</f>
        <v/>
      </c>
      <c r="D4160">
        <f>"Payer recredentialing – "&amp;IF(LEN(INDEX('Providers'!$A$4:$A$503,157))=0,"",INDEX('Providers'!$A$4:$A$503,157))</f>
        <v/>
      </c>
      <c r="E4160">
        <f>IF(ISNUMBER(INDEX('Providers'!$AA$4:$AA$503,157)),TEXT(INDEX('Providers'!$AA$4:$AA$503,157),"yyyy-mm-dd"),"")</f>
        <v/>
      </c>
      <c r="F4160">
        <f>"Credentialing"</f>
        <v/>
      </c>
      <c r="G4160">
        <f>""</f>
        <v/>
      </c>
      <c r="H4160">
        <f>"High"</f>
        <v/>
      </c>
      <c r="I4160">
        <f>TRIM(IF(LEN(IF(LEN(INDEX('Providers'!$Z$4:$Z$503,157))=0,"",INDEX('Providers'!$Z$4:$Z$503,157)))=0,"","Payer(s): "&amp;IF(LEN(INDEX('Providers'!$Z$4:$Z$503,157))=0,"",INDEX('Providers'!$Z$4:$Z$503,157))&amp;". "))</f>
        <v/>
      </c>
      <c r="J4160">
        <f>IF(LEN(INDEX('Providers'!$AJ$4:$AJ$503,157))=0,"",INDEX('Providers'!$AJ$4:$AJ$503,157))</f>
        <v/>
      </c>
      <c r="K4160">
        <f>IF(LEN(INDEX('Providers'!$AI$4:$AI$503,157))=0,"",INDEX('Providers'!$AI$4:$AI$503,157))</f>
        <v/>
      </c>
    </row>
    <row r="4161">
      <c r="A4161">
        <f>IF(AND(LEN('Providers'!A161)&gt;0,ISNUMBER('Providers'!AA161)),1,0)</f>
        <v/>
      </c>
      <c r="B4161">
        <f>B4160+A4161</f>
        <v/>
      </c>
      <c r="C4161">
        <f>IF(4158&gt;$B$4503,"",MATCH(4158-0.5,$B$3:$B$4503,1))</f>
        <v/>
      </c>
      <c r="D4161">
        <f>"Payer recredentialing – "&amp;IF(LEN(INDEX('Providers'!$A$4:$A$503,158))=0,"",INDEX('Providers'!$A$4:$A$503,158))</f>
        <v/>
      </c>
      <c r="E4161">
        <f>IF(ISNUMBER(INDEX('Providers'!$AA$4:$AA$503,158)),TEXT(INDEX('Providers'!$AA$4:$AA$503,158),"yyyy-mm-dd"),"")</f>
        <v/>
      </c>
      <c r="F4161">
        <f>"Credentialing"</f>
        <v/>
      </c>
      <c r="G4161">
        <f>""</f>
        <v/>
      </c>
      <c r="H4161">
        <f>"High"</f>
        <v/>
      </c>
      <c r="I4161">
        <f>TRIM(IF(LEN(IF(LEN(INDEX('Providers'!$Z$4:$Z$503,158))=0,"",INDEX('Providers'!$Z$4:$Z$503,158)))=0,"","Payer(s): "&amp;IF(LEN(INDEX('Providers'!$Z$4:$Z$503,158))=0,"",INDEX('Providers'!$Z$4:$Z$503,158))&amp;". "))</f>
        <v/>
      </c>
      <c r="J4161">
        <f>IF(LEN(INDEX('Providers'!$AJ$4:$AJ$503,158))=0,"",INDEX('Providers'!$AJ$4:$AJ$503,158))</f>
        <v/>
      </c>
      <c r="K4161">
        <f>IF(LEN(INDEX('Providers'!$AI$4:$AI$503,158))=0,"",INDEX('Providers'!$AI$4:$AI$503,158))</f>
        <v/>
      </c>
    </row>
    <row r="4162">
      <c r="A4162">
        <f>IF(AND(LEN('Providers'!A162)&gt;0,ISNUMBER('Providers'!AA162)),1,0)</f>
        <v/>
      </c>
      <c r="B4162">
        <f>B4161+A4162</f>
        <v/>
      </c>
      <c r="C4162">
        <f>IF(4159&gt;$B$4503,"",MATCH(4159-0.5,$B$3:$B$4503,1))</f>
        <v/>
      </c>
      <c r="D4162">
        <f>"Payer recredentialing – "&amp;IF(LEN(INDEX('Providers'!$A$4:$A$503,159))=0,"",INDEX('Providers'!$A$4:$A$503,159))</f>
        <v/>
      </c>
      <c r="E4162">
        <f>IF(ISNUMBER(INDEX('Providers'!$AA$4:$AA$503,159)),TEXT(INDEX('Providers'!$AA$4:$AA$503,159),"yyyy-mm-dd"),"")</f>
        <v/>
      </c>
      <c r="F4162">
        <f>"Credentialing"</f>
        <v/>
      </c>
      <c r="G4162">
        <f>""</f>
        <v/>
      </c>
      <c r="H4162">
        <f>"High"</f>
        <v/>
      </c>
      <c r="I4162">
        <f>TRIM(IF(LEN(IF(LEN(INDEX('Providers'!$Z$4:$Z$503,159))=0,"",INDEX('Providers'!$Z$4:$Z$503,159)))=0,"","Payer(s): "&amp;IF(LEN(INDEX('Providers'!$Z$4:$Z$503,159))=0,"",INDEX('Providers'!$Z$4:$Z$503,159))&amp;". "))</f>
        <v/>
      </c>
      <c r="J4162">
        <f>IF(LEN(INDEX('Providers'!$AJ$4:$AJ$503,159))=0,"",INDEX('Providers'!$AJ$4:$AJ$503,159))</f>
        <v/>
      </c>
      <c r="K4162">
        <f>IF(LEN(INDEX('Providers'!$AI$4:$AI$503,159))=0,"",INDEX('Providers'!$AI$4:$AI$503,159))</f>
        <v/>
      </c>
    </row>
    <row r="4163">
      <c r="A4163">
        <f>IF(AND(LEN('Providers'!A163)&gt;0,ISNUMBER('Providers'!AA163)),1,0)</f>
        <v/>
      </c>
      <c r="B4163">
        <f>B4162+A4163</f>
        <v/>
      </c>
      <c r="C4163">
        <f>IF(4160&gt;$B$4503,"",MATCH(4160-0.5,$B$3:$B$4503,1))</f>
        <v/>
      </c>
      <c r="D4163">
        <f>"Payer recredentialing – "&amp;IF(LEN(INDEX('Providers'!$A$4:$A$503,160))=0,"",INDEX('Providers'!$A$4:$A$503,160))</f>
        <v/>
      </c>
      <c r="E4163">
        <f>IF(ISNUMBER(INDEX('Providers'!$AA$4:$AA$503,160)),TEXT(INDEX('Providers'!$AA$4:$AA$503,160),"yyyy-mm-dd"),"")</f>
        <v/>
      </c>
      <c r="F4163">
        <f>"Credentialing"</f>
        <v/>
      </c>
      <c r="G4163">
        <f>""</f>
        <v/>
      </c>
      <c r="H4163">
        <f>"High"</f>
        <v/>
      </c>
      <c r="I4163">
        <f>TRIM(IF(LEN(IF(LEN(INDEX('Providers'!$Z$4:$Z$503,160))=0,"",INDEX('Providers'!$Z$4:$Z$503,160)))=0,"","Payer(s): "&amp;IF(LEN(INDEX('Providers'!$Z$4:$Z$503,160))=0,"",INDEX('Providers'!$Z$4:$Z$503,160))&amp;". "))</f>
        <v/>
      </c>
      <c r="J4163">
        <f>IF(LEN(INDEX('Providers'!$AJ$4:$AJ$503,160))=0,"",INDEX('Providers'!$AJ$4:$AJ$503,160))</f>
        <v/>
      </c>
      <c r="K4163">
        <f>IF(LEN(INDEX('Providers'!$AI$4:$AI$503,160))=0,"",INDEX('Providers'!$AI$4:$AI$503,160))</f>
        <v/>
      </c>
    </row>
    <row r="4164">
      <c r="A4164">
        <f>IF(AND(LEN('Providers'!A164)&gt;0,ISNUMBER('Providers'!AA164)),1,0)</f>
        <v/>
      </c>
      <c r="B4164">
        <f>B4163+A4164</f>
        <v/>
      </c>
      <c r="C4164">
        <f>IF(4161&gt;$B$4503,"",MATCH(4161-0.5,$B$3:$B$4503,1))</f>
        <v/>
      </c>
      <c r="D4164">
        <f>"Payer recredentialing – "&amp;IF(LEN(INDEX('Providers'!$A$4:$A$503,161))=0,"",INDEX('Providers'!$A$4:$A$503,161))</f>
        <v/>
      </c>
      <c r="E4164">
        <f>IF(ISNUMBER(INDEX('Providers'!$AA$4:$AA$503,161)),TEXT(INDEX('Providers'!$AA$4:$AA$503,161),"yyyy-mm-dd"),"")</f>
        <v/>
      </c>
      <c r="F4164">
        <f>"Credentialing"</f>
        <v/>
      </c>
      <c r="G4164">
        <f>""</f>
        <v/>
      </c>
      <c r="H4164">
        <f>"High"</f>
        <v/>
      </c>
      <c r="I4164">
        <f>TRIM(IF(LEN(IF(LEN(INDEX('Providers'!$Z$4:$Z$503,161))=0,"",INDEX('Providers'!$Z$4:$Z$503,161)))=0,"","Payer(s): "&amp;IF(LEN(INDEX('Providers'!$Z$4:$Z$503,161))=0,"",INDEX('Providers'!$Z$4:$Z$503,161))&amp;". "))</f>
        <v/>
      </c>
      <c r="J4164">
        <f>IF(LEN(INDEX('Providers'!$AJ$4:$AJ$503,161))=0,"",INDEX('Providers'!$AJ$4:$AJ$503,161))</f>
        <v/>
      </c>
      <c r="K4164">
        <f>IF(LEN(INDEX('Providers'!$AI$4:$AI$503,161))=0,"",INDEX('Providers'!$AI$4:$AI$503,161))</f>
        <v/>
      </c>
    </row>
    <row r="4165">
      <c r="A4165">
        <f>IF(AND(LEN('Providers'!A165)&gt;0,ISNUMBER('Providers'!AA165)),1,0)</f>
        <v/>
      </c>
      <c r="B4165">
        <f>B4164+A4165</f>
        <v/>
      </c>
      <c r="C4165">
        <f>IF(4162&gt;$B$4503,"",MATCH(4162-0.5,$B$3:$B$4503,1))</f>
        <v/>
      </c>
      <c r="D4165">
        <f>"Payer recredentialing – "&amp;IF(LEN(INDEX('Providers'!$A$4:$A$503,162))=0,"",INDEX('Providers'!$A$4:$A$503,162))</f>
        <v/>
      </c>
      <c r="E4165">
        <f>IF(ISNUMBER(INDEX('Providers'!$AA$4:$AA$503,162)),TEXT(INDEX('Providers'!$AA$4:$AA$503,162),"yyyy-mm-dd"),"")</f>
        <v/>
      </c>
      <c r="F4165">
        <f>"Credentialing"</f>
        <v/>
      </c>
      <c r="G4165">
        <f>""</f>
        <v/>
      </c>
      <c r="H4165">
        <f>"High"</f>
        <v/>
      </c>
      <c r="I4165">
        <f>TRIM(IF(LEN(IF(LEN(INDEX('Providers'!$Z$4:$Z$503,162))=0,"",INDEX('Providers'!$Z$4:$Z$503,162)))=0,"","Payer(s): "&amp;IF(LEN(INDEX('Providers'!$Z$4:$Z$503,162))=0,"",INDEX('Providers'!$Z$4:$Z$503,162))&amp;". "))</f>
        <v/>
      </c>
      <c r="J4165">
        <f>IF(LEN(INDEX('Providers'!$AJ$4:$AJ$503,162))=0,"",INDEX('Providers'!$AJ$4:$AJ$503,162))</f>
        <v/>
      </c>
      <c r="K4165">
        <f>IF(LEN(INDEX('Providers'!$AI$4:$AI$503,162))=0,"",INDEX('Providers'!$AI$4:$AI$503,162))</f>
        <v/>
      </c>
    </row>
    <row r="4166">
      <c r="A4166">
        <f>IF(AND(LEN('Providers'!A166)&gt;0,ISNUMBER('Providers'!AA166)),1,0)</f>
        <v/>
      </c>
      <c r="B4166">
        <f>B4165+A4166</f>
        <v/>
      </c>
      <c r="C4166">
        <f>IF(4163&gt;$B$4503,"",MATCH(4163-0.5,$B$3:$B$4503,1))</f>
        <v/>
      </c>
      <c r="D4166">
        <f>"Payer recredentialing – "&amp;IF(LEN(INDEX('Providers'!$A$4:$A$503,163))=0,"",INDEX('Providers'!$A$4:$A$503,163))</f>
        <v/>
      </c>
      <c r="E4166">
        <f>IF(ISNUMBER(INDEX('Providers'!$AA$4:$AA$503,163)),TEXT(INDEX('Providers'!$AA$4:$AA$503,163),"yyyy-mm-dd"),"")</f>
        <v/>
      </c>
      <c r="F4166">
        <f>"Credentialing"</f>
        <v/>
      </c>
      <c r="G4166">
        <f>""</f>
        <v/>
      </c>
      <c r="H4166">
        <f>"High"</f>
        <v/>
      </c>
      <c r="I4166">
        <f>TRIM(IF(LEN(IF(LEN(INDEX('Providers'!$Z$4:$Z$503,163))=0,"",INDEX('Providers'!$Z$4:$Z$503,163)))=0,"","Payer(s): "&amp;IF(LEN(INDEX('Providers'!$Z$4:$Z$503,163))=0,"",INDEX('Providers'!$Z$4:$Z$503,163))&amp;". "))</f>
        <v/>
      </c>
      <c r="J4166">
        <f>IF(LEN(INDEX('Providers'!$AJ$4:$AJ$503,163))=0,"",INDEX('Providers'!$AJ$4:$AJ$503,163))</f>
        <v/>
      </c>
      <c r="K4166">
        <f>IF(LEN(INDEX('Providers'!$AI$4:$AI$503,163))=0,"",INDEX('Providers'!$AI$4:$AI$503,163))</f>
        <v/>
      </c>
    </row>
    <row r="4167">
      <c r="A4167">
        <f>IF(AND(LEN('Providers'!A167)&gt;0,ISNUMBER('Providers'!AA167)),1,0)</f>
        <v/>
      </c>
      <c r="B4167">
        <f>B4166+A4167</f>
        <v/>
      </c>
      <c r="C4167">
        <f>IF(4164&gt;$B$4503,"",MATCH(4164-0.5,$B$3:$B$4503,1))</f>
        <v/>
      </c>
      <c r="D4167">
        <f>"Payer recredentialing – "&amp;IF(LEN(INDEX('Providers'!$A$4:$A$503,164))=0,"",INDEX('Providers'!$A$4:$A$503,164))</f>
        <v/>
      </c>
      <c r="E4167">
        <f>IF(ISNUMBER(INDEX('Providers'!$AA$4:$AA$503,164)),TEXT(INDEX('Providers'!$AA$4:$AA$503,164),"yyyy-mm-dd"),"")</f>
        <v/>
      </c>
      <c r="F4167">
        <f>"Credentialing"</f>
        <v/>
      </c>
      <c r="G4167">
        <f>""</f>
        <v/>
      </c>
      <c r="H4167">
        <f>"High"</f>
        <v/>
      </c>
      <c r="I4167">
        <f>TRIM(IF(LEN(IF(LEN(INDEX('Providers'!$Z$4:$Z$503,164))=0,"",INDEX('Providers'!$Z$4:$Z$503,164)))=0,"","Payer(s): "&amp;IF(LEN(INDEX('Providers'!$Z$4:$Z$503,164))=0,"",INDEX('Providers'!$Z$4:$Z$503,164))&amp;". "))</f>
        <v/>
      </c>
      <c r="J4167">
        <f>IF(LEN(INDEX('Providers'!$AJ$4:$AJ$503,164))=0,"",INDEX('Providers'!$AJ$4:$AJ$503,164))</f>
        <v/>
      </c>
      <c r="K4167">
        <f>IF(LEN(INDEX('Providers'!$AI$4:$AI$503,164))=0,"",INDEX('Providers'!$AI$4:$AI$503,164))</f>
        <v/>
      </c>
    </row>
    <row r="4168">
      <c r="A4168">
        <f>IF(AND(LEN('Providers'!A168)&gt;0,ISNUMBER('Providers'!AA168)),1,0)</f>
        <v/>
      </c>
      <c r="B4168">
        <f>B4167+A4168</f>
        <v/>
      </c>
      <c r="C4168">
        <f>IF(4165&gt;$B$4503,"",MATCH(4165-0.5,$B$3:$B$4503,1))</f>
        <v/>
      </c>
      <c r="D4168">
        <f>"Payer recredentialing – "&amp;IF(LEN(INDEX('Providers'!$A$4:$A$503,165))=0,"",INDEX('Providers'!$A$4:$A$503,165))</f>
        <v/>
      </c>
      <c r="E4168">
        <f>IF(ISNUMBER(INDEX('Providers'!$AA$4:$AA$503,165)),TEXT(INDEX('Providers'!$AA$4:$AA$503,165),"yyyy-mm-dd"),"")</f>
        <v/>
      </c>
      <c r="F4168">
        <f>"Credentialing"</f>
        <v/>
      </c>
      <c r="G4168">
        <f>""</f>
        <v/>
      </c>
      <c r="H4168">
        <f>"High"</f>
        <v/>
      </c>
      <c r="I4168">
        <f>TRIM(IF(LEN(IF(LEN(INDEX('Providers'!$Z$4:$Z$503,165))=0,"",INDEX('Providers'!$Z$4:$Z$503,165)))=0,"","Payer(s): "&amp;IF(LEN(INDEX('Providers'!$Z$4:$Z$503,165))=0,"",INDEX('Providers'!$Z$4:$Z$503,165))&amp;". "))</f>
        <v/>
      </c>
      <c r="J4168">
        <f>IF(LEN(INDEX('Providers'!$AJ$4:$AJ$503,165))=0,"",INDEX('Providers'!$AJ$4:$AJ$503,165))</f>
        <v/>
      </c>
      <c r="K4168">
        <f>IF(LEN(INDEX('Providers'!$AI$4:$AI$503,165))=0,"",INDEX('Providers'!$AI$4:$AI$503,165))</f>
        <v/>
      </c>
    </row>
    <row r="4169">
      <c r="A4169">
        <f>IF(AND(LEN('Providers'!A169)&gt;0,ISNUMBER('Providers'!AA169)),1,0)</f>
        <v/>
      </c>
      <c r="B4169">
        <f>B4168+A4169</f>
        <v/>
      </c>
      <c r="C4169">
        <f>IF(4166&gt;$B$4503,"",MATCH(4166-0.5,$B$3:$B$4503,1))</f>
        <v/>
      </c>
      <c r="D4169">
        <f>"Payer recredentialing – "&amp;IF(LEN(INDEX('Providers'!$A$4:$A$503,166))=0,"",INDEX('Providers'!$A$4:$A$503,166))</f>
        <v/>
      </c>
      <c r="E4169">
        <f>IF(ISNUMBER(INDEX('Providers'!$AA$4:$AA$503,166)),TEXT(INDEX('Providers'!$AA$4:$AA$503,166),"yyyy-mm-dd"),"")</f>
        <v/>
      </c>
      <c r="F4169">
        <f>"Credentialing"</f>
        <v/>
      </c>
      <c r="G4169">
        <f>""</f>
        <v/>
      </c>
      <c r="H4169">
        <f>"High"</f>
        <v/>
      </c>
      <c r="I4169">
        <f>TRIM(IF(LEN(IF(LEN(INDEX('Providers'!$Z$4:$Z$503,166))=0,"",INDEX('Providers'!$Z$4:$Z$503,166)))=0,"","Payer(s): "&amp;IF(LEN(INDEX('Providers'!$Z$4:$Z$503,166))=0,"",INDEX('Providers'!$Z$4:$Z$503,166))&amp;". "))</f>
        <v/>
      </c>
      <c r="J4169">
        <f>IF(LEN(INDEX('Providers'!$AJ$4:$AJ$503,166))=0,"",INDEX('Providers'!$AJ$4:$AJ$503,166))</f>
        <v/>
      </c>
      <c r="K4169">
        <f>IF(LEN(INDEX('Providers'!$AI$4:$AI$503,166))=0,"",INDEX('Providers'!$AI$4:$AI$503,166))</f>
        <v/>
      </c>
    </row>
    <row r="4170">
      <c r="A4170">
        <f>IF(AND(LEN('Providers'!A170)&gt;0,ISNUMBER('Providers'!AA170)),1,0)</f>
        <v/>
      </c>
      <c r="B4170">
        <f>B4169+A4170</f>
        <v/>
      </c>
      <c r="C4170">
        <f>IF(4167&gt;$B$4503,"",MATCH(4167-0.5,$B$3:$B$4503,1))</f>
        <v/>
      </c>
      <c r="D4170">
        <f>"Payer recredentialing – "&amp;IF(LEN(INDEX('Providers'!$A$4:$A$503,167))=0,"",INDEX('Providers'!$A$4:$A$503,167))</f>
        <v/>
      </c>
      <c r="E4170">
        <f>IF(ISNUMBER(INDEX('Providers'!$AA$4:$AA$503,167)),TEXT(INDEX('Providers'!$AA$4:$AA$503,167),"yyyy-mm-dd"),"")</f>
        <v/>
      </c>
      <c r="F4170">
        <f>"Credentialing"</f>
        <v/>
      </c>
      <c r="G4170">
        <f>""</f>
        <v/>
      </c>
      <c r="H4170">
        <f>"High"</f>
        <v/>
      </c>
      <c r="I4170">
        <f>TRIM(IF(LEN(IF(LEN(INDEX('Providers'!$Z$4:$Z$503,167))=0,"",INDEX('Providers'!$Z$4:$Z$503,167)))=0,"","Payer(s): "&amp;IF(LEN(INDEX('Providers'!$Z$4:$Z$503,167))=0,"",INDEX('Providers'!$Z$4:$Z$503,167))&amp;". "))</f>
        <v/>
      </c>
      <c r="J4170">
        <f>IF(LEN(INDEX('Providers'!$AJ$4:$AJ$503,167))=0,"",INDEX('Providers'!$AJ$4:$AJ$503,167))</f>
        <v/>
      </c>
      <c r="K4170">
        <f>IF(LEN(INDEX('Providers'!$AI$4:$AI$503,167))=0,"",INDEX('Providers'!$AI$4:$AI$503,167))</f>
        <v/>
      </c>
    </row>
    <row r="4171">
      <c r="A4171">
        <f>IF(AND(LEN('Providers'!A171)&gt;0,ISNUMBER('Providers'!AA171)),1,0)</f>
        <v/>
      </c>
      <c r="B4171">
        <f>B4170+A4171</f>
        <v/>
      </c>
      <c r="C4171">
        <f>IF(4168&gt;$B$4503,"",MATCH(4168-0.5,$B$3:$B$4503,1))</f>
        <v/>
      </c>
      <c r="D4171">
        <f>"Payer recredentialing – "&amp;IF(LEN(INDEX('Providers'!$A$4:$A$503,168))=0,"",INDEX('Providers'!$A$4:$A$503,168))</f>
        <v/>
      </c>
      <c r="E4171">
        <f>IF(ISNUMBER(INDEX('Providers'!$AA$4:$AA$503,168)),TEXT(INDEX('Providers'!$AA$4:$AA$503,168),"yyyy-mm-dd"),"")</f>
        <v/>
      </c>
      <c r="F4171">
        <f>"Credentialing"</f>
        <v/>
      </c>
      <c r="G4171">
        <f>""</f>
        <v/>
      </c>
      <c r="H4171">
        <f>"High"</f>
        <v/>
      </c>
      <c r="I4171">
        <f>TRIM(IF(LEN(IF(LEN(INDEX('Providers'!$Z$4:$Z$503,168))=0,"",INDEX('Providers'!$Z$4:$Z$503,168)))=0,"","Payer(s): "&amp;IF(LEN(INDEX('Providers'!$Z$4:$Z$503,168))=0,"",INDEX('Providers'!$Z$4:$Z$503,168))&amp;". "))</f>
        <v/>
      </c>
      <c r="J4171">
        <f>IF(LEN(INDEX('Providers'!$AJ$4:$AJ$503,168))=0,"",INDEX('Providers'!$AJ$4:$AJ$503,168))</f>
        <v/>
      </c>
      <c r="K4171">
        <f>IF(LEN(INDEX('Providers'!$AI$4:$AI$503,168))=0,"",INDEX('Providers'!$AI$4:$AI$503,168))</f>
        <v/>
      </c>
    </row>
    <row r="4172">
      <c r="A4172">
        <f>IF(AND(LEN('Providers'!A172)&gt;0,ISNUMBER('Providers'!AA172)),1,0)</f>
        <v/>
      </c>
      <c r="B4172">
        <f>B4171+A4172</f>
        <v/>
      </c>
      <c r="C4172">
        <f>IF(4169&gt;$B$4503,"",MATCH(4169-0.5,$B$3:$B$4503,1))</f>
        <v/>
      </c>
      <c r="D4172">
        <f>"Payer recredentialing – "&amp;IF(LEN(INDEX('Providers'!$A$4:$A$503,169))=0,"",INDEX('Providers'!$A$4:$A$503,169))</f>
        <v/>
      </c>
      <c r="E4172">
        <f>IF(ISNUMBER(INDEX('Providers'!$AA$4:$AA$503,169)),TEXT(INDEX('Providers'!$AA$4:$AA$503,169),"yyyy-mm-dd"),"")</f>
        <v/>
      </c>
      <c r="F4172">
        <f>"Credentialing"</f>
        <v/>
      </c>
      <c r="G4172">
        <f>""</f>
        <v/>
      </c>
      <c r="H4172">
        <f>"High"</f>
        <v/>
      </c>
      <c r="I4172">
        <f>TRIM(IF(LEN(IF(LEN(INDEX('Providers'!$Z$4:$Z$503,169))=0,"",INDEX('Providers'!$Z$4:$Z$503,169)))=0,"","Payer(s): "&amp;IF(LEN(INDEX('Providers'!$Z$4:$Z$503,169))=0,"",INDEX('Providers'!$Z$4:$Z$503,169))&amp;". "))</f>
        <v/>
      </c>
      <c r="J4172">
        <f>IF(LEN(INDEX('Providers'!$AJ$4:$AJ$503,169))=0,"",INDEX('Providers'!$AJ$4:$AJ$503,169))</f>
        <v/>
      </c>
      <c r="K4172">
        <f>IF(LEN(INDEX('Providers'!$AI$4:$AI$503,169))=0,"",INDEX('Providers'!$AI$4:$AI$503,169))</f>
        <v/>
      </c>
    </row>
    <row r="4173">
      <c r="A4173">
        <f>IF(AND(LEN('Providers'!A173)&gt;0,ISNUMBER('Providers'!AA173)),1,0)</f>
        <v/>
      </c>
      <c r="B4173">
        <f>B4172+A4173</f>
        <v/>
      </c>
      <c r="C4173">
        <f>IF(4170&gt;$B$4503,"",MATCH(4170-0.5,$B$3:$B$4503,1))</f>
        <v/>
      </c>
      <c r="D4173">
        <f>"Payer recredentialing – "&amp;IF(LEN(INDEX('Providers'!$A$4:$A$503,170))=0,"",INDEX('Providers'!$A$4:$A$503,170))</f>
        <v/>
      </c>
      <c r="E4173">
        <f>IF(ISNUMBER(INDEX('Providers'!$AA$4:$AA$503,170)),TEXT(INDEX('Providers'!$AA$4:$AA$503,170),"yyyy-mm-dd"),"")</f>
        <v/>
      </c>
      <c r="F4173">
        <f>"Credentialing"</f>
        <v/>
      </c>
      <c r="G4173">
        <f>""</f>
        <v/>
      </c>
      <c r="H4173">
        <f>"High"</f>
        <v/>
      </c>
      <c r="I4173">
        <f>TRIM(IF(LEN(IF(LEN(INDEX('Providers'!$Z$4:$Z$503,170))=0,"",INDEX('Providers'!$Z$4:$Z$503,170)))=0,"","Payer(s): "&amp;IF(LEN(INDEX('Providers'!$Z$4:$Z$503,170))=0,"",INDEX('Providers'!$Z$4:$Z$503,170))&amp;". "))</f>
        <v/>
      </c>
      <c r="J4173">
        <f>IF(LEN(INDEX('Providers'!$AJ$4:$AJ$503,170))=0,"",INDEX('Providers'!$AJ$4:$AJ$503,170))</f>
        <v/>
      </c>
      <c r="K4173">
        <f>IF(LEN(INDEX('Providers'!$AI$4:$AI$503,170))=0,"",INDEX('Providers'!$AI$4:$AI$503,170))</f>
        <v/>
      </c>
    </row>
    <row r="4174">
      <c r="A4174">
        <f>IF(AND(LEN('Providers'!A174)&gt;0,ISNUMBER('Providers'!AA174)),1,0)</f>
        <v/>
      </c>
      <c r="B4174">
        <f>B4173+A4174</f>
        <v/>
      </c>
      <c r="C4174">
        <f>IF(4171&gt;$B$4503,"",MATCH(4171-0.5,$B$3:$B$4503,1))</f>
        <v/>
      </c>
      <c r="D4174">
        <f>"Payer recredentialing – "&amp;IF(LEN(INDEX('Providers'!$A$4:$A$503,171))=0,"",INDEX('Providers'!$A$4:$A$503,171))</f>
        <v/>
      </c>
      <c r="E4174">
        <f>IF(ISNUMBER(INDEX('Providers'!$AA$4:$AA$503,171)),TEXT(INDEX('Providers'!$AA$4:$AA$503,171),"yyyy-mm-dd"),"")</f>
        <v/>
      </c>
      <c r="F4174">
        <f>"Credentialing"</f>
        <v/>
      </c>
      <c r="G4174">
        <f>""</f>
        <v/>
      </c>
      <c r="H4174">
        <f>"High"</f>
        <v/>
      </c>
      <c r="I4174">
        <f>TRIM(IF(LEN(IF(LEN(INDEX('Providers'!$Z$4:$Z$503,171))=0,"",INDEX('Providers'!$Z$4:$Z$503,171)))=0,"","Payer(s): "&amp;IF(LEN(INDEX('Providers'!$Z$4:$Z$503,171))=0,"",INDEX('Providers'!$Z$4:$Z$503,171))&amp;". "))</f>
        <v/>
      </c>
      <c r="J4174">
        <f>IF(LEN(INDEX('Providers'!$AJ$4:$AJ$503,171))=0,"",INDEX('Providers'!$AJ$4:$AJ$503,171))</f>
        <v/>
      </c>
      <c r="K4174">
        <f>IF(LEN(INDEX('Providers'!$AI$4:$AI$503,171))=0,"",INDEX('Providers'!$AI$4:$AI$503,171))</f>
        <v/>
      </c>
    </row>
    <row r="4175">
      <c r="A4175">
        <f>IF(AND(LEN('Providers'!A175)&gt;0,ISNUMBER('Providers'!AA175)),1,0)</f>
        <v/>
      </c>
      <c r="B4175">
        <f>B4174+A4175</f>
        <v/>
      </c>
      <c r="C4175">
        <f>IF(4172&gt;$B$4503,"",MATCH(4172-0.5,$B$3:$B$4503,1))</f>
        <v/>
      </c>
      <c r="D4175">
        <f>"Payer recredentialing – "&amp;IF(LEN(INDEX('Providers'!$A$4:$A$503,172))=0,"",INDEX('Providers'!$A$4:$A$503,172))</f>
        <v/>
      </c>
      <c r="E4175">
        <f>IF(ISNUMBER(INDEX('Providers'!$AA$4:$AA$503,172)),TEXT(INDEX('Providers'!$AA$4:$AA$503,172),"yyyy-mm-dd"),"")</f>
        <v/>
      </c>
      <c r="F4175">
        <f>"Credentialing"</f>
        <v/>
      </c>
      <c r="G4175">
        <f>""</f>
        <v/>
      </c>
      <c r="H4175">
        <f>"High"</f>
        <v/>
      </c>
      <c r="I4175">
        <f>TRIM(IF(LEN(IF(LEN(INDEX('Providers'!$Z$4:$Z$503,172))=0,"",INDEX('Providers'!$Z$4:$Z$503,172)))=0,"","Payer(s): "&amp;IF(LEN(INDEX('Providers'!$Z$4:$Z$503,172))=0,"",INDEX('Providers'!$Z$4:$Z$503,172))&amp;". "))</f>
        <v/>
      </c>
      <c r="J4175">
        <f>IF(LEN(INDEX('Providers'!$AJ$4:$AJ$503,172))=0,"",INDEX('Providers'!$AJ$4:$AJ$503,172))</f>
        <v/>
      </c>
      <c r="K4175">
        <f>IF(LEN(INDEX('Providers'!$AI$4:$AI$503,172))=0,"",INDEX('Providers'!$AI$4:$AI$503,172))</f>
        <v/>
      </c>
    </row>
    <row r="4176">
      <c r="A4176">
        <f>IF(AND(LEN('Providers'!A176)&gt;0,ISNUMBER('Providers'!AA176)),1,0)</f>
        <v/>
      </c>
      <c r="B4176">
        <f>B4175+A4176</f>
        <v/>
      </c>
      <c r="C4176">
        <f>IF(4173&gt;$B$4503,"",MATCH(4173-0.5,$B$3:$B$4503,1))</f>
        <v/>
      </c>
      <c r="D4176">
        <f>"Payer recredentialing – "&amp;IF(LEN(INDEX('Providers'!$A$4:$A$503,173))=0,"",INDEX('Providers'!$A$4:$A$503,173))</f>
        <v/>
      </c>
      <c r="E4176">
        <f>IF(ISNUMBER(INDEX('Providers'!$AA$4:$AA$503,173)),TEXT(INDEX('Providers'!$AA$4:$AA$503,173),"yyyy-mm-dd"),"")</f>
        <v/>
      </c>
      <c r="F4176">
        <f>"Credentialing"</f>
        <v/>
      </c>
      <c r="G4176">
        <f>""</f>
        <v/>
      </c>
      <c r="H4176">
        <f>"High"</f>
        <v/>
      </c>
      <c r="I4176">
        <f>TRIM(IF(LEN(IF(LEN(INDEX('Providers'!$Z$4:$Z$503,173))=0,"",INDEX('Providers'!$Z$4:$Z$503,173)))=0,"","Payer(s): "&amp;IF(LEN(INDEX('Providers'!$Z$4:$Z$503,173))=0,"",INDEX('Providers'!$Z$4:$Z$503,173))&amp;". "))</f>
        <v/>
      </c>
      <c r="J4176">
        <f>IF(LEN(INDEX('Providers'!$AJ$4:$AJ$503,173))=0,"",INDEX('Providers'!$AJ$4:$AJ$503,173))</f>
        <v/>
      </c>
      <c r="K4176">
        <f>IF(LEN(INDEX('Providers'!$AI$4:$AI$503,173))=0,"",INDEX('Providers'!$AI$4:$AI$503,173))</f>
        <v/>
      </c>
    </row>
    <row r="4177">
      <c r="A4177">
        <f>IF(AND(LEN('Providers'!A177)&gt;0,ISNUMBER('Providers'!AA177)),1,0)</f>
        <v/>
      </c>
      <c r="B4177">
        <f>B4176+A4177</f>
        <v/>
      </c>
      <c r="C4177">
        <f>IF(4174&gt;$B$4503,"",MATCH(4174-0.5,$B$3:$B$4503,1))</f>
        <v/>
      </c>
      <c r="D4177">
        <f>"Payer recredentialing – "&amp;IF(LEN(INDEX('Providers'!$A$4:$A$503,174))=0,"",INDEX('Providers'!$A$4:$A$503,174))</f>
        <v/>
      </c>
      <c r="E4177">
        <f>IF(ISNUMBER(INDEX('Providers'!$AA$4:$AA$503,174)),TEXT(INDEX('Providers'!$AA$4:$AA$503,174),"yyyy-mm-dd"),"")</f>
        <v/>
      </c>
      <c r="F4177">
        <f>"Credentialing"</f>
        <v/>
      </c>
      <c r="G4177">
        <f>""</f>
        <v/>
      </c>
      <c r="H4177">
        <f>"High"</f>
        <v/>
      </c>
      <c r="I4177">
        <f>TRIM(IF(LEN(IF(LEN(INDEX('Providers'!$Z$4:$Z$503,174))=0,"",INDEX('Providers'!$Z$4:$Z$503,174)))=0,"","Payer(s): "&amp;IF(LEN(INDEX('Providers'!$Z$4:$Z$503,174))=0,"",INDEX('Providers'!$Z$4:$Z$503,174))&amp;". "))</f>
        <v/>
      </c>
      <c r="J4177">
        <f>IF(LEN(INDEX('Providers'!$AJ$4:$AJ$503,174))=0,"",INDEX('Providers'!$AJ$4:$AJ$503,174))</f>
        <v/>
      </c>
      <c r="K4177">
        <f>IF(LEN(INDEX('Providers'!$AI$4:$AI$503,174))=0,"",INDEX('Providers'!$AI$4:$AI$503,174))</f>
        <v/>
      </c>
    </row>
    <row r="4178">
      <c r="A4178">
        <f>IF(AND(LEN('Providers'!A178)&gt;0,ISNUMBER('Providers'!AA178)),1,0)</f>
        <v/>
      </c>
      <c r="B4178">
        <f>B4177+A4178</f>
        <v/>
      </c>
      <c r="C4178">
        <f>IF(4175&gt;$B$4503,"",MATCH(4175-0.5,$B$3:$B$4503,1))</f>
        <v/>
      </c>
      <c r="D4178">
        <f>"Payer recredentialing – "&amp;IF(LEN(INDEX('Providers'!$A$4:$A$503,175))=0,"",INDEX('Providers'!$A$4:$A$503,175))</f>
        <v/>
      </c>
      <c r="E4178">
        <f>IF(ISNUMBER(INDEX('Providers'!$AA$4:$AA$503,175)),TEXT(INDEX('Providers'!$AA$4:$AA$503,175),"yyyy-mm-dd"),"")</f>
        <v/>
      </c>
      <c r="F4178">
        <f>"Credentialing"</f>
        <v/>
      </c>
      <c r="G4178">
        <f>""</f>
        <v/>
      </c>
      <c r="H4178">
        <f>"High"</f>
        <v/>
      </c>
      <c r="I4178">
        <f>TRIM(IF(LEN(IF(LEN(INDEX('Providers'!$Z$4:$Z$503,175))=0,"",INDEX('Providers'!$Z$4:$Z$503,175)))=0,"","Payer(s): "&amp;IF(LEN(INDEX('Providers'!$Z$4:$Z$503,175))=0,"",INDEX('Providers'!$Z$4:$Z$503,175))&amp;". "))</f>
        <v/>
      </c>
      <c r="J4178">
        <f>IF(LEN(INDEX('Providers'!$AJ$4:$AJ$503,175))=0,"",INDEX('Providers'!$AJ$4:$AJ$503,175))</f>
        <v/>
      </c>
      <c r="K4178">
        <f>IF(LEN(INDEX('Providers'!$AI$4:$AI$503,175))=0,"",INDEX('Providers'!$AI$4:$AI$503,175))</f>
        <v/>
      </c>
    </row>
    <row r="4179">
      <c r="A4179">
        <f>IF(AND(LEN('Providers'!A179)&gt;0,ISNUMBER('Providers'!AA179)),1,0)</f>
        <v/>
      </c>
      <c r="B4179">
        <f>B4178+A4179</f>
        <v/>
      </c>
      <c r="C4179">
        <f>IF(4176&gt;$B$4503,"",MATCH(4176-0.5,$B$3:$B$4503,1))</f>
        <v/>
      </c>
      <c r="D4179">
        <f>"Payer recredentialing – "&amp;IF(LEN(INDEX('Providers'!$A$4:$A$503,176))=0,"",INDEX('Providers'!$A$4:$A$503,176))</f>
        <v/>
      </c>
      <c r="E4179">
        <f>IF(ISNUMBER(INDEX('Providers'!$AA$4:$AA$503,176)),TEXT(INDEX('Providers'!$AA$4:$AA$503,176),"yyyy-mm-dd"),"")</f>
        <v/>
      </c>
      <c r="F4179">
        <f>"Credentialing"</f>
        <v/>
      </c>
      <c r="G4179">
        <f>""</f>
        <v/>
      </c>
      <c r="H4179">
        <f>"High"</f>
        <v/>
      </c>
      <c r="I4179">
        <f>TRIM(IF(LEN(IF(LEN(INDEX('Providers'!$Z$4:$Z$503,176))=0,"",INDEX('Providers'!$Z$4:$Z$503,176)))=0,"","Payer(s): "&amp;IF(LEN(INDEX('Providers'!$Z$4:$Z$503,176))=0,"",INDEX('Providers'!$Z$4:$Z$503,176))&amp;". "))</f>
        <v/>
      </c>
      <c r="J4179">
        <f>IF(LEN(INDEX('Providers'!$AJ$4:$AJ$503,176))=0,"",INDEX('Providers'!$AJ$4:$AJ$503,176))</f>
        <v/>
      </c>
      <c r="K4179">
        <f>IF(LEN(INDEX('Providers'!$AI$4:$AI$503,176))=0,"",INDEX('Providers'!$AI$4:$AI$503,176))</f>
        <v/>
      </c>
    </row>
    <row r="4180">
      <c r="A4180">
        <f>IF(AND(LEN('Providers'!A180)&gt;0,ISNUMBER('Providers'!AA180)),1,0)</f>
        <v/>
      </c>
      <c r="B4180">
        <f>B4179+A4180</f>
        <v/>
      </c>
      <c r="C4180">
        <f>IF(4177&gt;$B$4503,"",MATCH(4177-0.5,$B$3:$B$4503,1))</f>
        <v/>
      </c>
      <c r="D4180">
        <f>"Payer recredentialing – "&amp;IF(LEN(INDEX('Providers'!$A$4:$A$503,177))=0,"",INDEX('Providers'!$A$4:$A$503,177))</f>
        <v/>
      </c>
      <c r="E4180">
        <f>IF(ISNUMBER(INDEX('Providers'!$AA$4:$AA$503,177)),TEXT(INDEX('Providers'!$AA$4:$AA$503,177),"yyyy-mm-dd"),"")</f>
        <v/>
      </c>
      <c r="F4180">
        <f>"Credentialing"</f>
        <v/>
      </c>
      <c r="G4180">
        <f>""</f>
        <v/>
      </c>
      <c r="H4180">
        <f>"High"</f>
        <v/>
      </c>
      <c r="I4180">
        <f>TRIM(IF(LEN(IF(LEN(INDEX('Providers'!$Z$4:$Z$503,177))=0,"",INDEX('Providers'!$Z$4:$Z$503,177)))=0,"","Payer(s): "&amp;IF(LEN(INDEX('Providers'!$Z$4:$Z$503,177))=0,"",INDEX('Providers'!$Z$4:$Z$503,177))&amp;". "))</f>
        <v/>
      </c>
      <c r="J4180">
        <f>IF(LEN(INDEX('Providers'!$AJ$4:$AJ$503,177))=0,"",INDEX('Providers'!$AJ$4:$AJ$503,177))</f>
        <v/>
      </c>
      <c r="K4180">
        <f>IF(LEN(INDEX('Providers'!$AI$4:$AI$503,177))=0,"",INDEX('Providers'!$AI$4:$AI$503,177))</f>
        <v/>
      </c>
    </row>
    <row r="4181">
      <c r="A4181">
        <f>IF(AND(LEN('Providers'!A181)&gt;0,ISNUMBER('Providers'!AA181)),1,0)</f>
        <v/>
      </c>
      <c r="B4181">
        <f>B4180+A4181</f>
        <v/>
      </c>
      <c r="C4181">
        <f>IF(4178&gt;$B$4503,"",MATCH(4178-0.5,$B$3:$B$4503,1))</f>
        <v/>
      </c>
      <c r="D4181">
        <f>"Payer recredentialing – "&amp;IF(LEN(INDEX('Providers'!$A$4:$A$503,178))=0,"",INDEX('Providers'!$A$4:$A$503,178))</f>
        <v/>
      </c>
      <c r="E4181">
        <f>IF(ISNUMBER(INDEX('Providers'!$AA$4:$AA$503,178)),TEXT(INDEX('Providers'!$AA$4:$AA$503,178),"yyyy-mm-dd"),"")</f>
        <v/>
      </c>
      <c r="F4181">
        <f>"Credentialing"</f>
        <v/>
      </c>
      <c r="G4181">
        <f>""</f>
        <v/>
      </c>
      <c r="H4181">
        <f>"High"</f>
        <v/>
      </c>
      <c r="I4181">
        <f>TRIM(IF(LEN(IF(LEN(INDEX('Providers'!$Z$4:$Z$503,178))=0,"",INDEX('Providers'!$Z$4:$Z$503,178)))=0,"","Payer(s): "&amp;IF(LEN(INDEX('Providers'!$Z$4:$Z$503,178))=0,"",INDEX('Providers'!$Z$4:$Z$503,178))&amp;". "))</f>
        <v/>
      </c>
      <c r="J4181">
        <f>IF(LEN(INDEX('Providers'!$AJ$4:$AJ$503,178))=0,"",INDEX('Providers'!$AJ$4:$AJ$503,178))</f>
        <v/>
      </c>
      <c r="K4181">
        <f>IF(LEN(INDEX('Providers'!$AI$4:$AI$503,178))=0,"",INDEX('Providers'!$AI$4:$AI$503,178))</f>
        <v/>
      </c>
    </row>
    <row r="4182">
      <c r="A4182">
        <f>IF(AND(LEN('Providers'!A182)&gt;0,ISNUMBER('Providers'!AA182)),1,0)</f>
        <v/>
      </c>
      <c r="B4182">
        <f>B4181+A4182</f>
        <v/>
      </c>
      <c r="C4182">
        <f>IF(4179&gt;$B$4503,"",MATCH(4179-0.5,$B$3:$B$4503,1))</f>
        <v/>
      </c>
      <c r="D4182">
        <f>"Payer recredentialing – "&amp;IF(LEN(INDEX('Providers'!$A$4:$A$503,179))=0,"",INDEX('Providers'!$A$4:$A$503,179))</f>
        <v/>
      </c>
      <c r="E4182">
        <f>IF(ISNUMBER(INDEX('Providers'!$AA$4:$AA$503,179)),TEXT(INDEX('Providers'!$AA$4:$AA$503,179),"yyyy-mm-dd"),"")</f>
        <v/>
      </c>
      <c r="F4182">
        <f>"Credentialing"</f>
        <v/>
      </c>
      <c r="G4182">
        <f>""</f>
        <v/>
      </c>
      <c r="H4182">
        <f>"High"</f>
        <v/>
      </c>
      <c r="I4182">
        <f>TRIM(IF(LEN(IF(LEN(INDEX('Providers'!$Z$4:$Z$503,179))=0,"",INDEX('Providers'!$Z$4:$Z$503,179)))=0,"","Payer(s): "&amp;IF(LEN(INDEX('Providers'!$Z$4:$Z$503,179))=0,"",INDEX('Providers'!$Z$4:$Z$503,179))&amp;". "))</f>
        <v/>
      </c>
      <c r="J4182">
        <f>IF(LEN(INDEX('Providers'!$AJ$4:$AJ$503,179))=0,"",INDEX('Providers'!$AJ$4:$AJ$503,179))</f>
        <v/>
      </c>
      <c r="K4182">
        <f>IF(LEN(INDEX('Providers'!$AI$4:$AI$503,179))=0,"",INDEX('Providers'!$AI$4:$AI$503,179))</f>
        <v/>
      </c>
    </row>
    <row r="4183">
      <c r="A4183">
        <f>IF(AND(LEN('Providers'!A183)&gt;0,ISNUMBER('Providers'!AA183)),1,0)</f>
        <v/>
      </c>
      <c r="B4183">
        <f>B4182+A4183</f>
        <v/>
      </c>
      <c r="C4183">
        <f>IF(4180&gt;$B$4503,"",MATCH(4180-0.5,$B$3:$B$4503,1))</f>
        <v/>
      </c>
      <c r="D4183">
        <f>"Payer recredentialing – "&amp;IF(LEN(INDEX('Providers'!$A$4:$A$503,180))=0,"",INDEX('Providers'!$A$4:$A$503,180))</f>
        <v/>
      </c>
      <c r="E4183">
        <f>IF(ISNUMBER(INDEX('Providers'!$AA$4:$AA$503,180)),TEXT(INDEX('Providers'!$AA$4:$AA$503,180),"yyyy-mm-dd"),"")</f>
        <v/>
      </c>
      <c r="F4183">
        <f>"Credentialing"</f>
        <v/>
      </c>
      <c r="G4183">
        <f>""</f>
        <v/>
      </c>
      <c r="H4183">
        <f>"High"</f>
        <v/>
      </c>
      <c r="I4183">
        <f>TRIM(IF(LEN(IF(LEN(INDEX('Providers'!$Z$4:$Z$503,180))=0,"",INDEX('Providers'!$Z$4:$Z$503,180)))=0,"","Payer(s): "&amp;IF(LEN(INDEX('Providers'!$Z$4:$Z$503,180))=0,"",INDEX('Providers'!$Z$4:$Z$503,180))&amp;". "))</f>
        <v/>
      </c>
      <c r="J4183">
        <f>IF(LEN(INDEX('Providers'!$AJ$4:$AJ$503,180))=0,"",INDEX('Providers'!$AJ$4:$AJ$503,180))</f>
        <v/>
      </c>
      <c r="K4183">
        <f>IF(LEN(INDEX('Providers'!$AI$4:$AI$503,180))=0,"",INDEX('Providers'!$AI$4:$AI$503,180))</f>
        <v/>
      </c>
    </row>
    <row r="4184">
      <c r="A4184">
        <f>IF(AND(LEN('Providers'!A184)&gt;0,ISNUMBER('Providers'!AA184)),1,0)</f>
        <v/>
      </c>
      <c r="B4184">
        <f>B4183+A4184</f>
        <v/>
      </c>
      <c r="C4184">
        <f>IF(4181&gt;$B$4503,"",MATCH(4181-0.5,$B$3:$B$4503,1))</f>
        <v/>
      </c>
      <c r="D4184">
        <f>"Payer recredentialing – "&amp;IF(LEN(INDEX('Providers'!$A$4:$A$503,181))=0,"",INDEX('Providers'!$A$4:$A$503,181))</f>
        <v/>
      </c>
      <c r="E4184">
        <f>IF(ISNUMBER(INDEX('Providers'!$AA$4:$AA$503,181)),TEXT(INDEX('Providers'!$AA$4:$AA$503,181),"yyyy-mm-dd"),"")</f>
        <v/>
      </c>
      <c r="F4184">
        <f>"Credentialing"</f>
        <v/>
      </c>
      <c r="G4184">
        <f>""</f>
        <v/>
      </c>
      <c r="H4184">
        <f>"High"</f>
        <v/>
      </c>
      <c r="I4184">
        <f>TRIM(IF(LEN(IF(LEN(INDEX('Providers'!$Z$4:$Z$503,181))=0,"",INDEX('Providers'!$Z$4:$Z$503,181)))=0,"","Payer(s): "&amp;IF(LEN(INDEX('Providers'!$Z$4:$Z$503,181))=0,"",INDEX('Providers'!$Z$4:$Z$503,181))&amp;". "))</f>
        <v/>
      </c>
      <c r="J4184">
        <f>IF(LEN(INDEX('Providers'!$AJ$4:$AJ$503,181))=0,"",INDEX('Providers'!$AJ$4:$AJ$503,181))</f>
        <v/>
      </c>
      <c r="K4184">
        <f>IF(LEN(INDEX('Providers'!$AI$4:$AI$503,181))=0,"",INDEX('Providers'!$AI$4:$AI$503,181))</f>
        <v/>
      </c>
    </row>
    <row r="4185">
      <c r="A4185">
        <f>IF(AND(LEN('Providers'!A185)&gt;0,ISNUMBER('Providers'!AA185)),1,0)</f>
        <v/>
      </c>
      <c r="B4185">
        <f>B4184+A4185</f>
        <v/>
      </c>
      <c r="C4185">
        <f>IF(4182&gt;$B$4503,"",MATCH(4182-0.5,$B$3:$B$4503,1))</f>
        <v/>
      </c>
      <c r="D4185">
        <f>"Payer recredentialing – "&amp;IF(LEN(INDEX('Providers'!$A$4:$A$503,182))=0,"",INDEX('Providers'!$A$4:$A$503,182))</f>
        <v/>
      </c>
      <c r="E4185">
        <f>IF(ISNUMBER(INDEX('Providers'!$AA$4:$AA$503,182)),TEXT(INDEX('Providers'!$AA$4:$AA$503,182),"yyyy-mm-dd"),"")</f>
        <v/>
      </c>
      <c r="F4185">
        <f>"Credentialing"</f>
        <v/>
      </c>
      <c r="G4185">
        <f>""</f>
        <v/>
      </c>
      <c r="H4185">
        <f>"High"</f>
        <v/>
      </c>
      <c r="I4185">
        <f>TRIM(IF(LEN(IF(LEN(INDEX('Providers'!$Z$4:$Z$503,182))=0,"",INDEX('Providers'!$Z$4:$Z$503,182)))=0,"","Payer(s): "&amp;IF(LEN(INDEX('Providers'!$Z$4:$Z$503,182))=0,"",INDEX('Providers'!$Z$4:$Z$503,182))&amp;". "))</f>
        <v/>
      </c>
      <c r="J4185">
        <f>IF(LEN(INDEX('Providers'!$AJ$4:$AJ$503,182))=0,"",INDEX('Providers'!$AJ$4:$AJ$503,182))</f>
        <v/>
      </c>
      <c r="K4185">
        <f>IF(LEN(INDEX('Providers'!$AI$4:$AI$503,182))=0,"",INDEX('Providers'!$AI$4:$AI$503,182))</f>
        <v/>
      </c>
    </row>
    <row r="4186">
      <c r="A4186">
        <f>IF(AND(LEN('Providers'!A186)&gt;0,ISNUMBER('Providers'!AA186)),1,0)</f>
        <v/>
      </c>
      <c r="B4186">
        <f>B4185+A4186</f>
        <v/>
      </c>
      <c r="C4186">
        <f>IF(4183&gt;$B$4503,"",MATCH(4183-0.5,$B$3:$B$4503,1))</f>
        <v/>
      </c>
      <c r="D4186">
        <f>"Payer recredentialing – "&amp;IF(LEN(INDEX('Providers'!$A$4:$A$503,183))=0,"",INDEX('Providers'!$A$4:$A$503,183))</f>
        <v/>
      </c>
      <c r="E4186">
        <f>IF(ISNUMBER(INDEX('Providers'!$AA$4:$AA$503,183)),TEXT(INDEX('Providers'!$AA$4:$AA$503,183),"yyyy-mm-dd"),"")</f>
        <v/>
      </c>
      <c r="F4186">
        <f>"Credentialing"</f>
        <v/>
      </c>
      <c r="G4186">
        <f>""</f>
        <v/>
      </c>
      <c r="H4186">
        <f>"High"</f>
        <v/>
      </c>
      <c r="I4186">
        <f>TRIM(IF(LEN(IF(LEN(INDEX('Providers'!$Z$4:$Z$503,183))=0,"",INDEX('Providers'!$Z$4:$Z$503,183)))=0,"","Payer(s): "&amp;IF(LEN(INDEX('Providers'!$Z$4:$Z$503,183))=0,"",INDEX('Providers'!$Z$4:$Z$503,183))&amp;". "))</f>
        <v/>
      </c>
      <c r="J4186">
        <f>IF(LEN(INDEX('Providers'!$AJ$4:$AJ$503,183))=0,"",INDEX('Providers'!$AJ$4:$AJ$503,183))</f>
        <v/>
      </c>
      <c r="K4186">
        <f>IF(LEN(INDEX('Providers'!$AI$4:$AI$503,183))=0,"",INDEX('Providers'!$AI$4:$AI$503,183))</f>
        <v/>
      </c>
    </row>
    <row r="4187">
      <c r="A4187">
        <f>IF(AND(LEN('Providers'!A187)&gt;0,ISNUMBER('Providers'!AA187)),1,0)</f>
        <v/>
      </c>
      <c r="B4187">
        <f>B4186+A4187</f>
        <v/>
      </c>
      <c r="C4187">
        <f>IF(4184&gt;$B$4503,"",MATCH(4184-0.5,$B$3:$B$4503,1))</f>
        <v/>
      </c>
      <c r="D4187">
        <f>"Payer recredentialing – "&amp;IF(LEN(INDEX('Providers'!$A$4:$A$503,184))=0,"",INDEX('Providers'!$A$4:$A$503,184))</f>
        <v/>
      </c>
      <c r="E4187">
        <f>IF(ISNUMBER(INDEX('Providers'!$AA$4:$AA$503,184)),TEXT(INDEX('Providers'!$AA$4:$AA$503,184),"yyyy-mm-dd"),"")</f>
        <v/>
      </c>
      <c r="F4187">
        <f>"Credentialing"</f>
        <v/>
      </c>
      <c r="G4187">
        <f>""</f>
        <v/>
      </c>
      <c r="H4187">
        <f>"High"</f>
        <v/>
      </c>
      <c r="I4187">
        <f>TRIM(IF(LEN(IF(LEN(INDEX('Providers'!$Z$4:$Z$503,184))=0,"",INDEX('Providers'!$Z$4:$Z$503,184)))=0,"","Payer(s): "&amp;IF(LEN(INDEX('Providers'!$Z$4:$Z$503,184))=0,"",INDEX('Providers'!$Z$4:$Z$503,184))&amp;". "))</f>
        <v/>
      </c>
      <c r="J4187">
        <f>IF(LEN(INDEX('Providers'!$AJ$4:$AJ$503,184))=0,"",INDEX('Providers'!$AJ$4:$AJ$503,184))</f>
        <v/>
      </c>
      <c r="K4187">
        <f>IF(LEN(INDEX('Providers'!$AI$4:$AI$503,184))=0,"",INDEX('Providers'!$AI$4:$AI$503,184))</f>
        <v/>
      </c>
    </row>
    <row r="4188">
      <c r="A4188">
        <f>IF(AND(LEN('Providers'!A188)&gt;0,ISNUMBER('Providers'!AA188)),1,0)</f>
        <v/>
      </c>
      <c r="B4188">
        <f>B4187+A4188</f>
        <v/>
      </c>
      <c r="C4188">
        <f>IF(4185&gt;$B$4503,"",MATCH(4185-0.5,$B$3:$B$4503,1))</f>
        <v/>
      </c>
      <c r="D4188">
        <f>"Payer recredentialing – "&amp;IF(LEN(INDEX('Providers'!$A$4:$A$503,185))=0,"",INDEX('Providers'!$A$4:$A$503,185))</f>
        <v/>
      </c>
      <c r="E4188">
        <f>IF(ISNUMBER(INDEX('Providers'!$AA$4:$AA$503,185)),TEXT(INDEX('Providers'!$AA$4:$AA$503,185),"yyyy-mm-dd"),"")</f>
        <v/>
      </c>
      <c r="F4188">
        <f>"Credentialing"</f>
        <v/>
      </c>
      <c r="G4188">
        <f>""</f>
        <v/>
      </c>
      <c r="H4188">
        <f>"High"</f>
        <v/>
      </c>
      <c r="I4188">
        <f>TRIM(IF(LEN(IF(LEN(INDEX('Providers'!$Z$4:$Z$503,185))=0,"",INDEX('Providers'!$Z$4:$Z$503,185)))=0,"","Payer(s): "&amp;IF(LEN(INDEX('Providers'!$Z$4:$Z$503,185))=0,"",INDEX('Providers'!$Z$4:$Z$503,185))&amp;". "))</f>
        <v/>
      </c>
      <c r="J4188">
        <f>IF(LEN(INDEX('Providers'!$AJ$4:$AJ$503,185))=0,"",INDEX('Providers'!$AJ$4:$AJ$503,185))</f>
        <v/>
      </c>
      <c r="K4188">
        <f>IF(LEN(INDEX('Providers'!$AI$4:$AI$503,185))=0,"",INDEX('Providers'!$AI$4:$AI$503,185))</f>
        <v/>
      </c>
    </row>
    <row r="4189">
      <c r="A4189">
        <f>IF(AND(LEN('Providers'!A189)&gt;0,ISNUMBER('Providers'!AA189)),1,0)</f>
        <v/>
      </c>
      <c r="B4189">
        <f>B4188+A4189</f>
        <v/>
      </c>
      <c r="C4189">
        <f>IF(4186&gt;$B$4503,"",MATCH(4186-0.5,$B$3:$B$4503,1))</f>
        <v/>
      </c>
      <c r="D4189">
        <f>"Payer recredentialing – "&amp;IF(LEN(INDEX('Providers'!$A$4:$A$503,186))=0,"",INDEX('Providers'!$A$4:$A$503,186))</f>
        <v/>
      </c>
      <c r="E4189">
        <f>IF(ISNUMBER(INDEX('Providers'!$AA$4:$AA$503,186)),TEXT(INDEX('Providers'!$AA$4:$AA$503,186),"yyyy-mm-dd"),"")</f>
        <v/>
      </c>
      <c r="F4189">
        <f>"Credentialing"</f>
        <v/>
      </c>
      <c r="G4189">
        <f>""</f>
        <v/>
      </c>
      <c r="H4189">
        <f>"High"</f>
        <v/>
      </c>
      <c r="I4189">
        <f>TRIM(IF(LEN(IF(LEN(INDEX('Providers'!$Z$4:$Z$503,186))=0,"",INDEX('Providers'!$Z$4:$Z$503,186)))=0,"","Payer(s): "&amp;IF(LEN(INDEX('Providers'!$Z$4:$Z$503,186))=0,"",INDEX('Providers'!$Z$4:$Z$503,186))&amp;". "))</f>
        <v/>
      </c>
      <c r="J4189">
        <f>IF(LEN(INDEX('Providers'!$AJ$4:$AJ$503,186))=0,"",INDEX('Providers'!$AJ$4:$AJ$503,186))</f>
        <v/>
      </c>
      <c r="K4189">
        <f>IF(LEN(INDEX('Providers'!$AI$4:$AI$503,186))=0,"",INDEX('Providers'!$AI$4:$AI$503,186))</f>
        <v/>
      </c>
    </row>
    <row r="4190">
      <c r="A4190">
        <f>IF(AND(LEN('Providers'!A190)&gt;0,ISNUMBER('Providers'!AA190)),1,0)</f>
        <v/>
      </c>
      <c r="B4190">
        <f>B4189+A4190</f>
        <v/>
      </c>
      <c r="C4190">
        <f>IF(4187&gt;$B$4503,"",MATCH(4187-0.5,$B$3:$B$4503,1))</f>
        <v/>
      </c>
      <c r="D4190">
        <f>"Payer recredentialing – "&amp;IF(LEN(INDEX('Providers'!$A$4:$A$503,187))=0,"",INDEX('Providers'!$A$4:$A$503,187))</f>
        <v/>
      </c>
      <c r="E4190">
        <f>IF(ISNUMBER(INDEX('Providers'!$AA$4:$AA$503,187)),TEXT(INDEX('Providers'!$AA$4:$AA$503,187),"yyyy-mm-dd"),"")</f>
        <v/>
      </c>
      <c r="F4190">
        <f>"Credentialing"</f>
        <v/>
      </c>
      <c r="G4190">
        <f>""</f>
        <v/>
      </c>
      <c r="H4190">
        <f>"High"</f>
        <v/>
      </c>
      <c r="I4190">
        <f>TRIM(IF(LEN(IF(LEN(INDEX('Providers'!$Z$4:$Z$503,187))=0,"",INDEX('Providers'!$Z$4:$Z$503,187)))=0,"","Payer(s): "&amp;IF(LEN(INDEX('Providers'!$Z$4:$Z$503,187))=0,"",INDEX('Providers'!$Z$4:$Z$503,187))&amp;". "))</f>
        <v/>
      </c>
      <c r="J4190">
        <f>IF(LEN(INDEX('Providers'!$AJ$4:$AJ$503,187))=0,"",INDEX('Providers'!$AJ$4:$AJ$503,187))</f>
        <v/>
      </c>
      <c r="K4190">
        <f>IF(LEN(INDEX('Providers'!$AI$4:$AI$503,187))=0,"",INDEX('Providers'!$AI$4:$AI$503,187))</f>
        <v/>
      </c>
    </row>
    <row r="4191">
      <c r="A4191">
        <f>IF(AND(LEN('Providers'!A191)&gt;0,ISNUMBER('Providers'!AA191)),1,0)</f>
        <v/>
      </c>
      <c r="B4191">
        <f>B4190+A4191</f>
        <v/>
      </c>
      <c r="C4191">
        <f>IF(4188&gt;$B$4503,"",MATCH(4188-0.5,$B$3:$B$4503,1))</f>
        <v/>
      </c>
      <c r="D4191">
        <f>"Payer recredentialing – "&amp;IF(LEN(INDEX('Providers'!$A$4:$A$503,188))=0,"",INDEX('Providers'!$A$4:$A$503,188))</f>
        <v/>
      </c>
      <c r="E4191">
        <f>IF(ISNUMBER(INDEX('Providers'!$AA$4:$AA$503,188)),TEXT(INDEX('Providers'!$AA$4:$AA$503,188),"yyyy-mm-dd"),"")</f>
        <v/>
      </c>
      <c r="F4191">
        <f>"Credentialing"</f>
        <v/>
      </c>
      <c r="G4191">
        <f>""</f>
        <v/>
      </c>
      <c r="H4191">
        <f>"High"</f>
        <v/>
      </c>
      <c r="I4191">
        <f>TRIM(IF(LEN(IF(LEN(INDEX('Providers'!$Z$4:$Z$503,188))=0,"",INDEX('Providers'!$Z$4:$Z$503,188)))=0,"","Payer(s): "&amp;IF(LEN(INDEX('Providers'!$Z$4:$Z$503,188))=0,"",INDEX('Providers'!$Z$4:$Z$503,188))&amp;". "))</f>
        <v/>
      </c>
      <c r="J4191">
        <f>IF(LEN(INDEX('Providers'!$AJ$4:$AJ$503,188))=0,"",INDEX('Providers'!$AJ$4:$AJ$503,188))</f>
        <v/>
      </c>
      <c r="K4191">
        <f>IF(LEN(INDEX('Providers'!$AI$4:$AI$503,188))=0,"",INDEX('Providers'!$AI$4:$AI$503,188))</f>
        <v/>
      </c>
    </row>
    <row r="4192">
      <c r="A4192">
        <f>IF(AND(LEN('Providers'!A192)&gt;0,ISNUMBER('Providers'!AA192)),1,0)</f>
        <v/>
      </c>
      <c r="B4192">
        <f>B4191+A4192</f>
        <v/>
      </c>
      <c r="C4192">
        <f>IF(4189&gt;$B$4503,"",MATCH(4189-0.5,$B$3:$B$4503,1))</f>
        <v/>
      </c>
      <c r="D4192">
        <f>"Payer recredentialing – "&amp;IF(LEN(INDEX('Providers'!$A$4:$A$503,189))=0,"",INDEX('Providers'!$A$4:$A$503,189))</f>
        <v/>
      </c>
      <c r="E4192">
        <f>IF(ISNUMBER(INDEX('Providers'!$AA$4:$AA$503,189)),TEXT(INDEX('Providers'!$AA$4:$AA$503,189),"yyyy-mm-dd"),"")</f>
        <v/>
      </c>
      <c r="F4192">
        <f>"Credentialing"</f>
        <v/>
      </c>
      <c r="G4192">
        <f>""</f>
        <v/>
      </c>
      <c r="H4192">
        <f>"High"</f>
        <v/>
      </c>
      <c r="I4192">
        <f>TRIM(IF(LEN(IF(LEN(INDEX('Providers'!$Z$4:$Z$503,189))=0,"",INDEX('Providers'!$Z$4:$Z$503,189)))=0,"","Payer(s): "&amp;IF(LEN(INDEX('Providers'!$Z$4:$Z$503,189))=0,"",INDEX('Providers'!$Z$4:$Z$503,189))&amp;". "))</f>
        <v/>
      </c>
      <c r="J4192">
        <f>IF(LEN(INDEX('Providers'!$AJ$4:$AJ$503,189))=0,"",INDEX('Providers'!$AJ$4:$AJ$503,189))</f>
        <v/>
      </c>
      <c r="K4192">
        <f>IF(LEN(INDEX('Providers'!$AI$4:$AI$503,189))=0,"",INDEX('Providers'!$AI$4:$AI$503,189))</f>
        <v/>
      </c>
    </row>
    <row r="4193">
      <c r="A4193">
        <f>IF(AND(LEN('Providers'!A193)&gt;0,ISNUMBER('Providers'!AA193)),1,0)</f>
        <v/>
      </c>
      <c r="B4193">
        <f>B4192+A4193</f>
        <v/>
      </c>
      <c r="C4193">
        <f>IF(4190&gt;$B$4503,"",MATCH(4190-0.5,$B$3:$B$4503,1))</f>
        <v/>
      </c>
      <c r="D4193">
        <f>"Payer recredentialing – "&amp;IF(LEN(INDEX('Providers'!$A$4:$A$503,190))=0,"",INDEX('Providers'!$A$4:$A$503,190))</f>
        <v/>
      </c>
      <c r="E4193">
        <f>IF(ISNUMBER(INDEX('Providers'!$AA$4:$AA$503,190)),TEXT(INDEX('Providers'!$AA$4:$AA$503,190),"yyyy-mm-dd"),"")</f>
        <v/>
      </c>
      <c r="F4193">
        <f>"Credentialing"</f>
        <v/>
      </c>
      <c r="G4193">
        <f>""</f>
        <v/>
      </c>
      <c r="H4193">
        <f>"High"</f>
        <v/>
      </c>
      <c r="I4193">
        <f>TRIM(IF(LEN(IF(LEN(INDEX('Providers'!$Z$4:$Z$503,190))=0,"",INDEX('Providers'!$Z$4:$Z$503,190)))=0,"","Payer(s): "&amp;IF(LEN(INDEX('Providers'!$Z$4:$Z$503,190))=0,"",INDEX('Providers'!$Z$4:$Z$503,190))&amp;". "))</f>
        <v/>
      </c>
      <c r="J4193">
        <f>IF(LEN(INDEX('Providers'!$AJ$4:$AJ$503,190))=0,"",INDEX('Providers'!$AJ$4:$AJ$503,190))</f>
        <v/>
      </c>
      <c r="K4193">
        <f>IF(LEN(INDEX('Providers'!$AI$4:$AI$503,190))=0,"",INDEX('Providers'!$AI$4:$AI$503,190))</f>
        <v/>
      </c>
    </row>
    <row r="4194">
      <c r="A4194">
        <f>IF(AND(LEN('Providers'!A194)&gt;0,ISNUMBER('Providers'!AA194)),1,0)</f>
        <v/>
      </c>
      <c r="B4194">
        <f>B4193+A4194</f>
        <v/>
      </c>
      <c r="C4194">
        <f>IF(4191&gt;$B$4503,"",MATCH(4191-0.5,$B$3:$B$4503,1))</f>
        <v/>
      </c>
      <c r="D4194">
        <f>"Payer recredentialing – "&amp;IF(LEN(INDEX('Providers'!$A$4:$A$503,191))=0,"",INDEX('Providers'!$A$4:$A$503,191))</f>
        <v/>
      </c>
      <c r="E4194">
        <f>IF(ISNUMBER(INDEX('Providers'!$AA$4:$AA$503,191)),TEXT(INDEX('Providers'!$AA$4:$AA$503,191),"yyyy-mm-dd"),"")</f>
        <v/>
      </c>
      <c r="F4194">
        <f>"Credentialing"</f>
        <v/>
      </c>
      <c r="G4194">
        <f>""</f>
        <v/>
      </c>
      <c r="H4194">
        <f>"High"</f>
        <v/>
      </c>
      <c r="I4194">
        <f>TRIM(IF(LEN(IF(LEN(INDEX('Providers'!$Z$4:$Z$503,191))=0,"",INDEX('Providers'!$Z$4:$Z$503,191)))=0,"","Payer(s): "&amp;IF(LEN(INDEX('Providers'!$Z$4:$Z$503,191))=0,"",INDEX('Providers'!$Z$4:$Z$503,191))&amp;". "))</f>
        <v/>
      </c>
      <c r="J4194">
        <f>IF(LEN(INDEX('Providers'!$AJ$4:$AJ$503,191))=0,"",INDEX('Providers'!$AJ$4:$AJ$503,191))</f>
        <v/>
      </c>
      <c r="K4194">
        <f>IF(LEN(INDEX('Providers'!$AI$4:$AI$503,191))=0,"",INDEX('Providers'!$AI$4:$AI$503,191))</f>
        <v/>
      </c>
    </row>
    <row r="4195">
      <c r="A4195">
        <f>IF(AND(LEN('Providers'!A195)&gt;0,ISNUMBER('Providers'!AA195)),1,0)</f>
        <v/>
      </c>
      <c r="B4195">
        <f>B4194+A4195</f>
        <v/>
      </c>
      <c r="C4195">
        <f>IF(4192&gt;$B$4503,"",MATCH(4192-0.5,$B$3:$B$4503,1))</f>
        <v/>
      </c>
      <c r="D4195">
        <f>"Payer recredentialing – "&amp;IF(LEN(INDEX('Providers'!$A$4:$A$503,192))=0,"",INDEX('Providers'!$A$4:$A$503,192))</f>
        <v/>
      </c>
      <c r="E4195">
        <f>IF(ISNUMBER(INDEX('Providers'!$AA$4:$AA$503,192)),TEXT(INDEX('Providers'!$AA$4:$AA$503,192),"yyyy-mm-dd"),"")</f>
        <v/>
      </c>
      <c r="F4195">
        <f>"Credentialing"</f>
        <v/>
      </c>
      <c r="G4195">
        <f>""</f>
        <v/>
      </c>
      <c r="H4195">
        <f>"High"</f>
        <v/>
      </c>
      <c r="I4195">
        <f>TRIM(IF(LEN(IF(LEN(INDEX('Providers'!$Z$4:$Z$503,192))=0,"",INDEX('Providers'!$Z$4:$Z$503,192)))=0,"","Payer(s): "&amp;IF(LEN(INDEX('Providers'!$Z$4:$Z$503,192))=0,"",INDEX('Providers'!$Z$4:$Z$503,192))&amp;". "))</f>
        <v/>
      </c>
      <c r="J4195">
        <f>IF(LEN(INDEX('Providers'!$AJ$4:$AJ$503,192))=0,"",INDEX('Providers'!$AJ$4:$AJ$503,192))</f>
        <v/>
      </c>
      <c r="K4195">
        <f>IF(LEN(INDEX('Providers'!$AI$4:$AI$503,192))=0,"",INDEX('Providers'!$AI$4:$AI$503,192))</f>
        <v/>
      </c>
    </row>
    <row r="4196">
      <c r="A4196">
        <f>IF(AND(LEN('Providers'!A196)&gt;0,ISNUMBER('Providers'!AA196)),1,0)</f>
        <v/>
      </c>
      <c r="B4196">
        <f>B4195+A4196</f>
        <v/>
      </c>
      <c r="C4196">
        <f>IF(4193&gt;$B$4503,"",MATCH(4193-0.5,$B$3:$B$4503,1))</f>
        <v/>
      </c>
      <c r="D4196">
        <f>"Payer recredentialing – "&amp;IF(LEN(INDEX('Providers'!$A$4:$A$503,193))=0,"",INDEX('Providers'!$A$4:$A$503,193))</f>
        <v/>
      </c>
      <c r="E4196">
        <f>IF(ISNUMBER(INDEX('Providers'!$AA$4:$AA$503,193)),TEXT(INDEX('Providers'!$AA$4:$AA$503,193),"yyyy-mm-dd"),"")</f>
        <v/>
      </c>
      <c r="F4196">
        <f>"Credentialing"</f>
        <v/>
      </c>
      <c r="G4196">
        <f>""</f>
        <v/>
      </c>
      <c r="H4196">
        <f>"High"</f>
        <v/>
      </c>
      <c r="I4196">
        <f>TRIM(IF(LEN(IF(LEN(INDEX('Providers'!$Z$4:$Z$503,193))=0,"",INDEX('Providers'!$Z$4:$Z$503,193)))=0,"","Payer(s): "&amp;IF(LEN(INDEX('Providers'!$Z$4:$Z$503,193))=0,"",INDEX('Providers'!$Z$4:$Z$503,193))&amp;". "))</f>
        <v/>
      </c>
      <c r="J4196">
        <f>IF(LEN(INDEX('Providers'!$AJ$4:$AJ$503,193))=0,"",INDEX('Providers'!$AJ$4:$AJ$503,193))</f>
        <v/>
      </c>
      <c r="K4196">
        <f>IF(LEN(INDEX('Providers'!$AI$4:$AI$503,193))=0,"",INDEX('Providers'!$AI$4:$AI$503,193))</f>
        <v/>
      </c>
    </row>
    <row r="4197">
      <c r="A4197">
        <f>IF(AND(LEN('Providers'!A197)&gt;0,ISNUMBER('Providers'!AA197)),1,0)</f>
        <v/>
      </c>
      <c r="B4197">
        <f>B4196+A4197</f>
        <v/>
      </c>
      <c r="C4197">
        <f>IF(4194&gt;$B$4503,"",MATCH(4194-0.5,$B$3:$B$4503,1))</f>
        <v/>
      </c>
      <c r="D4197">
        <f>"Payer recredentialing – "&amp;IF(LEN(INDEX('Providers'!$A$4:$A$503,194))=0,"",INDEX('Providers'!$A$4:$A$503,194))</f>
        <v/>
      </c>
      <c r="E4197">
        <f>IF(ISNUMBER(INDEX('Providers'!$AA$4:$AA$503,194)),TEXT(INDEX('Providers'!$AA$4:$AA$503,194),"yyyy-mm-dd"),"")</f>
        <v/>
      </c>
      <c r="F4197">
        <f>"Credentialing"</f>
        <v/>
      </c>
      <c r="G4197">
        <f>""</f>
        <v/>
      </c>
      <c r="H4197">
        <f>"High"</f>
        <v/>
      </c>
      <c r="I4197">
        <f>TRIM(IF(LEN(IF(LEN(INDEX('Providers'!$Z$4:$Z$503,194))=0,"",INDEX('Providers'!$Z$4:$Z$503,194)))=0,"","Payer(s): "&amp;IF(LEN(INDEX('Providers'!$Z$4:$Z$503,194))=0,"",INDEX('Providers'!$Z$4:$Z$503,194))&amp;". "))</f>
        <v/>
      </c>
      <c r="J4197">
        <f>IF(LEN(INDEX('Providers'!$AJ$4:$AJ$503,194))=0,"",INDEX('Providers'!$AJ$4:$AJ$503,194))</f>
        <v/>
      </c>
      <c r="K4197">
        <f>IF(LEN(INDEX('Providers'!$AI$4:$AI$503,194))=0,"",INDEX('Providers'!$AI$4:$AI$503,194))</f>
        <v/>
      </c>
    </row>
    <row r="4198">
      <c r="A4198">
        <f>IF(AND(LEN('Providers'!A198)&gt;0,ISNUMBER('Providers'!AA198)),1,0)</f>
        <v/>
      </c>
      <c r="B4198">
        <f>B4197+A4198</f>
        <v/>
      </c>
      <c r="C4198">
        <f>IF(4195&gt;$B$4503,"",MATCH(4195-0.5,$B$3:$B$4503,1))</f>
        <v/>
      </c>
      <c r="D4198">
        <f>"Payer recredentialing – "&amp;IF(LEN(INDEX('Providers'!$A$4:$A$503,195))=0,"",INDEX('Providers'!$A$4:$A$503,195))</f>
        <v/>
      </c>
      <c r="E4198">
        <f>IF(ISNUMBER(INDEX('Providers'!$AA$4:$AA$503,195)),TEXT(INDEX('Providers'!$AA$4:$AA$503,195),"yyyy-mm-dd"),"")</f>
        <v/>
      </c>
      <c r="F4198">
        <f>"Credentialing"</f>
        <v/>
      </c>
      <c r="G4198">
        <f>""</f>
        <v/>
      </c>
      <c r="H4198">
        <f>"High"</f>
        <v/>
      </c>
      <c r="I4198">
        <f>TRIM(IF(LEN(IF(LEN(INDEX('Providers'!$Z$4:$Z$503,195))=0,"",INDEX('Providers'!$Z$4:$Z$503,195)))=0,"","Payer(s): "&amp;IF(LEN(INDEX('Providers'!$Z$4:$Z$503,195))=0,"",INDEX('Providers'!$Z$4:$Z$503,195))&amp;". "))</f>
        <v/>
      </c>
      <c r="J4198">
        <f>IF(LEN(INDEX('Providers'!$AJ$4:$AJ$503,195))=0,"",INDEX('Providers'!$AJ$4:$AJ$503,195))</f>
        <v/>
      </c>
      <c r="K4198">
        <f>IF(LEN(INDEX('Providers'!$AI$4:$AI$503,195))=0,"",INDEX('Providers'!$AI$4:$AI$503,195))</f>
        <v/>
      </c>
    </row>
    <row r="4199">
      <c r="A4199">
        <f>IF(AND(LEN('Providers'!A199)&gt;0,ISNUMBER('Providers'!AA199)),1,0)</f>
        <v/>
      </c>
      <c r="B4199">
        <f>B4198+A4199</f>
        <v/>
      </c>
      <c r="C4199">
        <f>IF(4196&gt;$B$4503,"",MATCH(4196-0.5,$B$3:$B$4503,1))</f>
        <v/>
      </c>
      <c r="D4199">
        <f>"Payer recredentialing – "&amp;IF(LEN(INDEX('Providers'!$A$4:$A$503,196))=0,"",INDEX('Providers'!$A$4:$A$503,196))</f>
        <v/>
      </c>
      <c r="E4199">
        <f>IF(ISNUMBER(INDEX('Providers'!$AA$4:$AA$503,196)),TEXT(INDEX('Providers'!$AA$4:$AA$503,196),"yyyy-mm-dd"),"")</f>
        <v/>
      </c>
      <c r="F4199">
        <f>"Credentialing"</f>
        <v/>
      </c>
      <c r="G4199">
        <f>""</f>
        <v/>
      </c>
      <c r="H4199">
        <f>"High"</f>
        <v/>
      </c>
      <c r="I4199">
        <f>TRIM(IF(LEN(IF(LEN(INDEX('Providers'!$Z$4:$Z$503,196))=0,"",INDEX('Providers'!$Z$4:$Z$503,196)))=0,"","Payer(s): "&amp;IF(LEN(INDEX('Providers'!$Z$4:$Z$503,196))=0,"",INDEX('Providers'!$Z$4:$Z$503,196))&amp;". "))</f>
        <v/>
      </c>
      <c r="J4199">
        <f>IF(LEN(INDEX('Providers'!$AJ$4:$AJ$503,196))=0,"",INDEX('Providers'!$AJ$4:$AJ$503,196))</f>
        <v/>
      </c>
      <c r="K4199">
        <f>IF(LEN(INDEX('Providers'!$AI$4:$AI$503,196))=0,"",INDEX('Providers'!$AI$4:$AI$503,196))</f>
        <v/>
      </c>
    </row>
    <row r="4200">
      <c r="A4200">
        <f>IF(AND(LEN('Providers'!A200)&gt;0,ISNUMBER('Providers'!AA200)),1,0)</f>
        <v/>
      </c>
      <c r="B4200">
        <f>B4199+A4200</f>
        <v/>
      </c>
      <c r="C4200">
        <f>IF(4197&gt;$B$4503,"",MATCH(4197-0.5,$B$3:$B$4503,1))</f>
        <v/>
      </c>
      <c r="D4200">
        <f>"Payer recredentialing – "&amp;IF(LEN(INDEX('Providers'!$A$4:$A$503,197))=0,"",INDEX('Providers'!$A$4:$A$503,197))</f>
        <v/>
      </c>
      <c r="E4200">
        <f>IF(ISNUMBER(INDEX('Providers'!$AA$4:$AA$503,197)),TEXT(INDEX('Providers'!$AA$4:$AA$503,197),"yyyy-mm-dd"),"")</f>
        <v/>
      </c>
      <c r="F4200">
        <f>"Credentialing"</f>
        <v/>
      </c>
      <c r="G4200">
        <f>""</f>
        <v/>
      </c>
      <c r="H4200">
        <f>"High"</f>
        <v/>
      </c>
      <c r="I4200">
        <f>TRIM(IF(LEN(IF(LEN(INDEX('Providers'!$Z$4:$Z$503,197))=0,"",INDEX('Providers'!$Z$4:$Z$503,197)))=0,"","Payer(s): "&amp;IF(LEN(INDEX('Providers'!$Z$4:$Z$503,197))=0,"",INDEX('Providers'!$Z$4:$Z$503,197))&amp;". "))</f>
        <v/>
      </c>
      <c r="J4200">
        <f>IF(LEN(INDEX('Providers'!$AJ$4:$AJ$503,197))=0,"",INDEX('Providers'!$AJ$4:$AJ$503,197))</f>
        <v/>
      </c>
      <c r="K4200">
        <f>IF(LEN(INDEX('Providers'!$AI$4:$AI$503,197))=0,"",INDEX('Providers'!$AI$4:$AI$503,197))</f>
        <v/>
      </c>
    </row>
    <row r="4201">
      <c r="A4201">
        <f>IF(AND(LEN('Providers'!A201)&gt;0,ISNUMBER('Providers'!AA201)),1,0)</f>
        <v/>
      </c>
      <c r="B4201">
        <f>B4200+A4201</f>
        <v/>
      </c>
      <c r="C4201">
        <f>IF(4198&gt;$B$4503,"",MATCH(4198-0.5,$B$3:$B$4503,1))</f>
        <v/>
      </c>
      <c r="D4201">
        <f>"Payer recredentialing – "&amp;IF(LEN(INDEX('Providers'!$A$4:$A$503,198))=0,"",INDEX('Providers'!$A$4:$A$503,198))</f>
        <v/>
      </c>
      <c r="E4201">
        <f>IF(ISNUMBER(INDEX('Providers'!$AA$4:$AA$503,198)),TEXT(INDEX('Providers'!$AA$4:$AA$503,198),"yyyy-mm-dd"),"")</f>
        <v/>
      </c>
      <c r="F4201">
        <f>"Credentialing"</f>
        <v/>
      </c>
      <c r="G4201">
        <f>""</f>
        <v/>
      </c>
      <c r="H4201">
        <f>"High"</f>
        <v/>
      </c>
      <c r="I4201">
        <f>TRIM(IF(LEN(IF(LEN(INDEX('Providers'!$Z$4:$Z$503,198))=0,"",INDEX('Providers'!$Z$4:$Z$503,198)))=0,"","Payer(s): "&amp;IF(LEN(INDEX('Providers'!$Z$4:$Z$503,198))=0,"",INDEX('Providers'!$Z$4:$Z$503,198))&amp;". "))</f>
        <v/>
      </c>
      <c r="J4201">
        <f>IF(LEN(INDEX('Providers'!$AJ$4:$AJ$503,198))=0,"",INDEX('Providers'!$AJ$4:$AJ$503,198))</f>
        <v/>
      </c>
      <c r="K4201">
        <f>IF(LEN(INDEX('Providers'!$AI$4:$AI$503,198))=0,"",INDEX('Providers'!$AI$4:$AI$503,198))</f>
        <v/>
      </c>
    </row>
    <row r="4202">
      <c r="A4202">
        <f>IF(AND(LEN('Providers'!A202)&gt;0,ISNUMBER('Providers'!AA202)),1,0)</f>
        <v/>
      </c>
      <c r="B4202">
        <f>B4201+A4202</f>
        <v/>
      </c>
      <c r="C4202">
        <f>IF(4199&gt;$B$4503,"",MATCH(4199-0.5,$B$3:$B$4503,1))</f>
        <v/>
      </c>
      <c r="D4202">
        <f>"Payer recredentialing – "&amp;IF(LEN(INDEX('Providers'!$A$4:$A$503,199))=0,"",INDEX('Providers'!$A$4:$A$503,199))</f>
        <v/>
      </c>
      <c r="E4202">
        <f>IF(ISNUMBER(INDEX('Providers'!$AA$4:$AA$503,199)),TEXT(INDEX('Providers'!$AA$4:$AA$503,199),"yyyy-mm-dd"),"")</f>
        <v/>
      </c>
      <c r="F4202">
        <f>"Credentialing"</f>
        <v/>
      </c>
      <c r="G4202">
        <f>""</f>
        <v/>
      </c>
      <c r="H4202">
        <f>"High"</f>
        <v/>
      </c>
      <c r="I4202">
        <f>TRIM(IF(LEN(IF(LEN(INDEX('Providers'!$Z$4:$Z$503,199))=0,"",INDEX('Providers'!$Z$4:$Z$503,199)))=0,"","Payer(s): "&amp;IF(LEN(INDEX('Providers'!$Z$4:$Z$503,199))=0,"",INDEX('Providers'!$Z$4:$Z$503,199))&amp;". "))</f>
        <v/>
      </c>
      <c r="J4202">
        <f>IF(LEN(INDEX('Providers'!$AJ$4:$AJ$503,199))=0,"",INDEX('Providers'!$AJ$4:$AJ$503,199))</f>
        <v/>
      </c>
      <c r="K4202">
        <f>IF(LEN(INDEX('Providers'!$AI$4:$AI$503,199))=0,"",INDEX('Providers'!$AI$4:$AI$503,199))</f>
        <v/>
      </c>
    </row>
    <row r="4203">
      <c r="A4203">
        <f>IF(AND(LEN('Providers'!A203)&gt;0,ISNUMBER('Providers'!AA203)),1,0)</f>
        <v/>
      </c>
      <c r="B4203">
        <f>B4202+A4203</f>
        <v/>
      </c>
      <c r="C4203">
        <f>IF(4200&gt;$B$4503,"",MATCH(4200-0.5,$B$3:$B$4503,1))</f>
        <v/>
      </c>
      <c r="D4203">
        <f>"Payer recredentialing – "&amp;IF(LEN(INDEX('Providers'!$A$4:$A$503,200))=0,"",INDEX('Providers'!$A$4:$A$503,200))</f>
        <v/>
      </c>
      <c r="E4203">
        <f>IF(ISNUMBER(INDEX('Providers'!$AA$4:$AA$503,200)),TEXT(INDEX('Providers'!$AA$4:$AA$503,200),"yyyy-mm-dd"),"")</f>
        <v/>
      </c>
      <c r="F4203">
        <f>"Credentialing"</f>
        <v/>
      </c>
      <c r="G4203">
        <f>""</f>
        <v/>
      </c>
      <c r="H4203">
        <f>"High"</f>
        <v/>
      </c>
      <c r="I4203">
        <f>TRIM(IF(LEN(IF(LEN(INDEX('Providers'!$Z$4:$Z$503,200))=0,"",INDEX('Providers'!$Z$4:$Z$503,200)))=0,"","Payer(s): "&amp;IF(LEN(INDEX('Providers'!$Z$4:$Z$503,200))=0,"",INDEX('Providers'!$Z$4:$Z$503,200))&amp;". "))</f>
        <v/>
      </c>
      <c r="J4203">
        <f>IF(LEN(INDEX('Providers'!$AJ$4:$AJ$503,200))=0,"",INDEX('Providers'!$AJ$4:$AJ$503,200))</f>
        <v/>
      </c>
      <c r="K4203">
        <f>IF(LEN(INDEX('Providers'!$AI$4:$AI$503,200))=0,"",INDEX('Providers'!$AI$4:$AI$503,200))</f>
        <v/>
      </c>
    </row>
    <row r="4204">
      <c r="A4204">
        <f>IF(AND(LEN('Providers'!A204)&gt;0,ISNUMBER('Providers'!AA204)),1,0)</f>
        <v/>
      </c>
      <c r="B4204">
        <f>B4203+A4204</f>
        <v/>
      </c>
      <c r="C4204">
        <f>IF(4201&gt;$B$4503,"",MATCH(4201-0.5,$B$3:$B$4503,1))</f>
        <v/>
      </c>
      <c r="D4204">
        <f>"Payer recredentialing – "&amp;IF(LEN(INDEX('Providers'!$A$4:$A$503,201))=0,"",INDEX('Providers'!$A$4:$A$503,201))</f>
        <v/>
      </c>
      <c r="E4204">
        <f>IF(ISNUMBER(INDEX('Providers'!$AA$4:$AA$503,201)),TEXT(INDEX('Providers'!$AA$4:$AA$503,201),"yyyy-mm-dd"),"")</f>
        <v/>
      </c>
      <c r="F4204">
        <f>"Credentialing"</f>
        <v/>
      </c>
      <c r="G4204">
        <f>""</f>
        <v/>
      </c>
      <c r="H4204">
        <f>"High"</f>
        <v/>
      </c>
      <c r="I4204">
        <f>TRIM(IF(LEN(IF(LEN(INDEX('Providers'!$Z$4:$Z$503,201))=0,"",INDEX('Providers'!$Z$4:$Z$503,201)))=0,"","Payer(s): "&amp;IF(LEN(INDEX('Providers'!$Z$4:$Z$503,201))=0,"",INDEX('Providers'!$Z$4:$Z$503,201))&amp;". "))</f>
        <v/>
      </c>
      <c r="J4204">
        <f>IF(LEN(INDEX('Providers'!$AJ$4:$AJ$503,201))=0,"",INDEX('Providers'!$AJ$4:$AJ$503,201))</f>
        <v/>
      </c>
      <c r="K4204">
        <f>IF(LEN(INDEX('Providers'!$AI$4:$AI$503,201))=0,"",INDEX('Providers'!$AI$4:$AI$503,201))</f>
        <v/>
      </c>
    </row>
    <row r="4205">
      <c r="A4205">
        <f>IF(AND(LEN('Providers'!A205)&gt;0,ISNUMBER('Providers'!AA205)),1,0)</f>
        <v/>
      </c>
      <c r="B4205">
        <f>B4204+A4205</f>
        <v/>
      </c>
      <c r="C4205">
        <f>IF(4202&gt;$B$4503,"",MATCH(4202-0.5,$B$3:$B$4503,1))</f>
        <v/>
      </c>
      <c r="D4205">
        <f>"Payer recredentialing – "&amp;IF(LEN(INDEX('Providers'!$A$4:$A$503,202))=0,"",INDEX('Providers'!$A$4:$A$503,202))</f>
        <v/>
      </c>
      <c r="E4205">
        <f>IF(ISNUMBER(INDEX('Providers'!$AA$4:$AA$503,202)),TEXT(INDEX('Providers'!$AA$4:$AA$503,202),"yyyy-mm-dd"),"")</f>
        <v/>
      </c>
      <c r="F4205">
        <f>"Credentialing"</f>
        <v/>
      </c>
      <c r="G4205">
        <f>""</f>
        <v/>
      </c>
      <c r="H4205">
        <f>"High"</f>
        <v/>
      </c>
      <c r="I4205">
        <f>TRIM(IF(LEN(IF(LEN(INDEX('Providers'!$Z$4:$Z$503,202))=0,"",INDEX('Providers'!$Z$4:$Z$503,202)))=0,"","Payer(s): "&amp;IF(LEN(INDEX('Providers'!$Z$4:$Z$503,202))=0,"",INDEX('Providers'!$Z$4:$Z$503,202))&amp;". "))</f>
        <v/>
      </c>
      <c r="J4205">
        <f>IF(LEN(INDEX('Providers'!$AJ$4:$AJ$503,202))=0,"",INDEX('Providers'!$AJ$4:$AJ$503,202))</f>
        <v/>
      </c>
      <c r="K4205">
        <f>IF(LEN(INDEX('Providers'!$AI$4:$AI$503,202))=0,"",INDEX('Providers'!$AI$4:$AI$503,202))</f>
        <v/>
      </c>
    </row>
    <row r="4206">
      <c r="A4206">
        <f>IF(AND(LEN('Providers'!A206)&gt;0,ISNUMBER('Providers'!AA206)),1,0)</f>
        <v/>
      </c>
      <c r="B4206">
        <f>B4205+A4206</f>
        <v/>
      </c>
      <c r="C4206">
        <f>IF(4203&gt;$B$4503,"",MATCH(4203-0.5,$B$3:$B$4503,1))</f>
        <v/>
      </c>
      <c r="D4206">
        <f>"Payer recredentialing – "&amp;IF(LEN(INDEX('Providers'!$A$4:$A$503,203))=0,"",INDEX('Providers'!$A$4:$A$503,203))</f>
        <v/>
      </c>
      <c r="E4206">
        <f>IF(ISNUMBER(INDEX('Providers'!$AA$4:$AA$503,203)),TEXT(INDEX('Providers'!$AA$4:$AA$503,203),"yyyy-mm-dd"),"")</f>
        <v/>
      </c>
      <c r="F4206">
        <f>"Credentialing"</f>
        <v/>
      </c>
      <c r="G4206">
        <f>""</f>
        <v/>
      </c>
      <c r="H4206">
        <f>"High"</f>
        <v/>
      </c>
      <c r="I4206">
        <f>TRIM(IF(LEN(IF(LEN(INDEX('Providers'!$Z$4:$Z$503,203))=0,"",INDEX('Providers'!$Z$4:$Z$503,203)))=0,"","Payer(s): "&amp;IF(LEN(INDEX('Providers'!$Z$4:$Z$503,203))=0,"",INDEX('Providers'!$Z$4:$Z$503,203))&amp;". "))</f>
        <v/>
      </c>
      <c r="J4206">
        <f>IF(LEN(INDEX('Providers'!$AJ$4:$AJ$503,203))=0,"",INDEX('Providers'!$AJ$4:$AJ$503,203))</f>
        <v/>
      </c>
      <c r="K4206">
        <f>IF(LEN(INDEX('Providers'!$AI$4:$AI$503,203))=0,"",INDEX('Providers'!$AI$4:$AI$503,203))</f>
        <v/>
      </c>
    </row>
    <row r="4207">
      <c r="A4207">
        <f>IF(AND(LEN('Providers'!A207)&gt;0,ISNUMBER('Providers'!AA207)),1,0)</f>
        <v/>
      </c>
      <c r="B4207">
        <f>B4206+A4207</f>
        <v/>
      </c>
      <c r="C4207">
        <f>IF(4204&gt;$B$4503,"",MATCH(4204-0.5,$B$3:$B$4503,1))</f>
        <v/>
      </c>
      <c r="D4207">
        <f>"Payer recredentialing – "&amp;IF(LEN(INDEX('Providers'!$A$4:$A$503,204))=0,"",INDEX('Providers'!$A$4:$A$503,204))</f>
        <v/>
      </c>
      <c r="E4207">
        <f>IF(ISNUMBER(INDEX('Providers'!$AA$4:$AA$503,204)),TEXT(INDEX('Providers'!$AA$4:$AA$503,204),"yyyy-mm-dd"),"")</f>
        <v/>
      </c>
      <c r="F4207">
        <f>"Credentialing"</f>
        <v/>
      </c>
      <c r="G4207">
        <f>""</f>
        <v/>
      </c>
      <c r="H4207">
        <f>"High"</f>
        <v/>
      </c>
      <c r="I4207">
        <f>TRIM(IF(LEN(IF(LEN(INDEX('Providers'!$Z$4:$Z$503,204))=0,"",INDEX('Providers'!$Z$4:$Z$503,204)))=0,"","Payer(s): "&amp;IF(LEN(INDEX('Providers'!$Z$4:$Z$503,204))=0,"",INDEX('Providers'!$Z$4:$Z$503,204))&amp;". "))</f>
        <v/>
      </c>
      <c r="J4207">
        <f>IF(LEN(INDEX('Providers'!$AJ$4:$AJ$503,204))=0,"",INDEX('Providers'!$AJ$4:$AJ$503,204))</f>
        <v/>
      </c>
      <c r="K4207">
        <f>IF(LEN(INDEX('Providers'!$AI$4:$AI$503,204))=0,"",INDEX('Providers'!$AI$4:$AI$503,204))</f>
        <v/>
      </c>
    </row>
    <row r="4208">
      <c r="A4208">
        <f>IF(AND(LEN('Providers'!A208)&gt;0,ISNUMBER('Providers'!AA208)),1,0)</f>
        <v/>
      </c>
      <c r="B4208">
        <f>B4207+A4208</f>
        <v/>
      </c>
      <c r="C4208">
        <f>IF(4205&gt;$B$4503,"",MATCH(4205-0.5,$B$3:$B$4503,1))</f>
        <v/>
      </c>
      <c r="D4208">
        <f>"Payer recredentialing – "&amp;IF(LEN(INDEX('Providers'!$A$4:$A$503,205))=0,"",INDEX('Providers'!$A$4:$A$503,205))</f>
        <v/>
      </c>
      <c r="E4208">
        <f>IF(ISNUMBER(INDEX('Providers'!$AA$4:$AA$503,205)),TEXT(INDEX('Providers'!$AA$4:$AA$503,205),"yyyy-mm-dd"),"")</f>
        <v/>
      </c>
      <c r="F4208">
        <f>"Credentialing"</f>
        <v/>
      </c>
      <c r="G4208">
        <f>""</f>
        <v/>
      </c>
      <c r="H4208">
        <f>"High"</f>
        <v/>
      </c>
      <c r="I4208">
        <f>TRIM(IF(LEN(IF(LEN(INDEX('Providers'!$Z$4:$Z$503,205))=0,"",INDEX('Providers'!$Z$4:$Z$503,205)))=0,"","Payer(s): "&amp;IF(LEN(INDEX('Providers'!$Z$4:$Z$503,205))=0,"",INDEX('Providers'!$Z$4:$Z$503,205))&amp;". "))</f>
        <v/>
      </c>
      <c r="J4208">
        <f>IF(LEN(INDEX('Providers'!$AJ$4:$AJ$503,205))=0,"",INDEX('Providers'!$AJ$4:$AJ$503,205))</f>
        <v/>
      </c>
      <c r="K4208">
        <f>IF(LEN(INDEX('Providers'!$AI$4:$AI$503,205))=0,"",INDEX('Providers'!$AI$4:$AI$503,205))</f>
        <v/>
      </c>
    </row>
    <row r="4209">
      <c r="A4209">
        <f>IF(AND(LEN('Providers'!A209)&gt;0,ISNUMBER('Providers'!AA209)),1,0)</f>
        <v/>
      </c>
      <c r="B4209">
        <f>B4208+A4209</f>
        <v/>
      </c>
      <c r="C4209">
        <f>IF(4206&gt;$B$4503,"",MATCH(4206-0.5,$B$3:$B$4503,1))</f>
        <v/>
      </c>
      <c r="D4209">
        <f>"Payer recredentialing – "&amp;IF(LEN(INDEX('Providers'!$A$4:$A$503,206))=0,"",INDEX('Providers'!$A$4:$A$503,206))</f>
        <v/>
      </c>
      <c r="E4209">
        <f>IF(ISNUMBER(INDEX('Providers'!$AA$4:$AA$503,206)),TEXT(INDEX('Providers'!$AA$4:$AA$503,206),"yyyy-mm-dd"),"")</f>
        <v/>
      </c>
      <c r="F4209">
        <f>"Credentialing"</f>
        <v/>
      </c>
      <c r="G4209">
        <f>""</f>
        <v/>
      </c>
      <c r="H4209">
        <f>"High"</f>
        <v/>
      </c>
      <c r="I4209">
        <f>TRIM(IF(LEN(IF(LEN(INDEX('Providers'!$Z$4:$Z$503,206))=0,"",INDEX('Providers'!$Z$4:$Z$503,206)))=0,"","Payer(s): "&amp;IF(LEN(INDEX('Providers'!$Z$4:$Z$503,206))=0,"",INDEX('Providers'!$Z$4:$Z$503,206))&amp;". "))</f>
        <v/>
      </c>
      <c r="J4209">
        <f>IF(LEN(INDEX('Providers'!$AJ$4:$AJ$503,206))=0,"",INDEX('Providers'!$AJ$4:$AJ$503,206))</f>
        <v/>
      </c>
      <c r="K4209">
        <f>IF(LEN(INDEX('Providers'!$AI$4:$AI$503,206))=0,"",INDEX('Providers'!$AI$4:$AI$503,206))</f>
        <v/>
      </c>
    </row>
    <row r="4210">
      <c r="A4210">
        <f>IF(AND(LEN('Providers'!A210)&gt;0,ISNUMBER('Providers'!AA210)),1,0)</f>
        <v/>
      </c>
      <c r="B4210">
        <f>B4209+A4210</f>
        <v/>
      </c>
      <c r="C4210">
        <f>IF(4207&gt;$B$4503,"",MATCH(4207-0.5,$B$3:$B$4503,1))</f>
        <v/>
      </c>
      <c r="D4210">
        <f>"Payer recredentialing – "&amp;IF(LEN(INDEX('Providers'!$A$4:$A$503,207))=0,"",INDEX('Providers'!$A$4:$A$503,207))</f>
        <v/>
      </c>
      <c r="E4210">
        <f>IF(ISNUMBER(INDEX('Providers'!$AA$4:$AA$503,207)),TEXT(INDEX('Providers'!$AA$4:$AA$503,207),"yyyy-mm-dd"),"")</f>
        <v/>
      </c>
      <c r="F4210">
        <f>"Credentialing"</f>
        <v/>
      </c>
      <c r="G4210">
        <f>""</f>
        <v/>
      </c>
      <c r="H4210">
        <f>"High"</f>
        <v/>
      </c>
      <c r="I4210">
        <f>TRIM(IF(LEN(IF(LEN(INDEX('Providers'!$Z$4:$Z$503,207))=0,"",INDEX('Providers'!$Z$4:$Z$503,207)))=0,"","Payer(s): "&amp;IF(LEN(INDEX('Providers'!$Z$4:$Z$503,207))=0,"",INDEX('Providers'!$Z$4:$Z$503,207))&amp;". "))</f>
        <v/>
      </c>
      <c r="J4210">
        <f>IF(LEN(INDEX('Providers'!$AJ$4:$AJ$503,207))=0,"",INDEX('Providers'!$AJ$4:$AJ$503,207))</f>
        <v/>
      </c>
      <c r="K4210">
        <f>IF(LEN(INDEX('Providers'!$AI$4:$AI$503,207))=0,"",INDEX('Providers'!$AI$4:$AI$503,207))</f>
        <v/>
      </c>
    </row>
    <row r="4211">
      <c r="A4211">
        <f>IF(AND(LEN('Providers'!A211)&gt;0,ISNUMBER('Providers'!AA211)),1,0)</f>
        <v/>
      </c>
      <c r="B4211">
        <f>B4210+A4211</f>
        <v/>
      </c>
      <c r="C4211">
        <f>IF(4208&gt;$B$4503,"",MATCH(4208-0.5,$B$3:$B$4503,1))</f>
        <v/>
      </c>
      <c r="D4211">
        <f>"Payer recredentialing – "&amp;IF(LEN(INDEX('Providers'!$A$4:$A$503,208))=0,"",INDEX('Providers'!$A$4:$A$503,208))</f>
        <v/>
      </c>
      <c r="E4211">
        <f>IF(ISNUMBER(INDEX('Providers'!$AA$4:$AA$503,208)),TEXT(INDEX('Providers'!$AA$4:$AA$503,208),"yyyy-mm-dd"),"")</f>
        <v/>
      </c>
      <c r="F4211">
        <f>"Credentialing"</f>
        <v/>
      </c>
      <c r="G4211">
        <f>""</f>
        <v/>
      </c>
      <c r="H4211">
        <f>"High"</f>
        <v/>
      </c>
      <c r="I4211">
        <f>TRIM(IF(LEN(IF(LEN(INDEX('Providers'!$Z$4:$Z$503,208))=0,"",INDEX('Providers'!$Z$4:$Z$503,208)))=0,"","Payer(s): "&amp;IF(LEN(INDEX('Providers'!$Z$4:$Z$503,208))=0,"",INDEX('Providers'!$Z$4:$Z$503,208))&amp;". "))</f>
        <v/>
      </c>
      <c r="J4211">
        <f>IF(LEN(INDEX('Providers'!$AJ$4:$AJ$503,208))=0,"",INDEX('Providers'!$AJ$4:$AJ$503,208))</f>
        <v/>
      </c>
      <c r="K4211">
        <f>IF(LEN(INDEX('Providers'!$AI$4:$AI$503,208))=0,"",INDEX('Providers'!$AI$4:$AI$503,208))</f>
        <v/>
      </c>
    </row>
    <row r="4212">
      <c r="A4212">
        <f>IF(AND(LEN('Providers'!A212)&gt;0,ISNUMBER('Providers'!AA212)),1,0)</f>
        <v/>
      </c>
      <c r="B4212">
        <f>B4211+A4212</f>
        <v/>
      </c>
      <c r="C4212">
        <f>IF(4209&gt;$B$4503,"",MATCH(4209-0.5,$B$3:$B$4503,1))</f>
        <v/>
      </c>
      <c r="D4212">
        <f>"Payer recredentialing – "&amp;IF(LEN(INDEX('Providers'!$A$4:$A$503,209))=0,"",INDEX('Providers'!$A$4:$A$503,209))</f>
        <v/>
      </c>
      <c r="E4212">
        <f>IF(ISNUMBER(INDEX('Providers'!$AA$4:$AA$503,209)),TEXT(INDEX('Providers'!$AA$4:$AA$503,209),"yyyy-mm-dd"),"")</f>
        <v/>
      </c>
      <c r="F4212">
        <f>"Credentialing"</f>
        <v/>
      </c>
      <c r="G4212">
        <f>""</f>
        <v/>
      </c>
      <c r="H4212">
        <f>"High"</f>
        <v/>
      </c>
      <c r="I4212">
        <f>TRIM(IF(LEN(IF(LEN(INDEX('Providers'!$Z$4:$Z$503,209))=0,"",INDEX('Providers'!$Z$4:$Z$503,209)))=0,"","Payer(s): "&amp;IF(LEN(INDEX('Providers'!$Z$4:$Z$503,209))=0,"",INDEX('Providers'!$Z$4:$Z$503,209))&amp;". "))</f>
        <v/>
      </c>
      <c r="J4212">
        <f>IF(LEN(INDEX('Providers'!$AJ$4:$AJ$503,209))=0,"",INDEX('Providers'!$AJ$4:$AJ$503,209))</f>
        <v/>
      </c>
      <c r="K4212">
        <f>IF(LEN(INDEX('Providers'!$AI$4:$AI$503,209))=0,"",INDEX('Providers'!$AI$4:$AI$503,209))</f>
        <v/>
      </c>
    </row>
    <row r="4213">
      <c r="A4213">
        <f>IF(AND(LEN('Providers'!A213)&gt;0,ISNUMBER('Providers'!AA213)),1,0)</f>
        <v/>
      </c>
      <c r="B4213">
        <f>B4212+A4213</f>
        <v/>
      </c>
      <c r="C4213">
        <f>IF(4210&gt;$B$4503,"",MATCH(4210-0.5,$B$3:$B$4503,1))</f>
        <v/>
      </c>
      <c r="D4213">
        <f>"Payer recredentialing – "&amp;IF(LEN(INDEX('Providers'!$A$4:$A$503,210))=0,"",INDEX('Providers'!$A$4:$A$503,210))</f>
        <v/>
      </c>
      <c r="E4213">
        <f>IF(ISNUMBER(INDEX('Providers'!$AA$4:$AA$503,210)),TEXT(INDEX('Providers'!$AA$4:$AA$503,210),"yyyy-mm-dd"),"")</f>
        <v/>
      </c>
      <c r="F4213">
        <f>"Credentialing"</f>
        <v/>
      </c>
      <c r="G4213">
        <f>""</f>
        <v/>
      </c>
      <c r="H4213">
        <f>"High"</f>
        <v/>
      </c>
      <c r="I4213">
        <f>TRIM(IF(LEN(IF(LEN(INDEX('Providers'!$Z$4:$Z$503,210))=0,"",INDEX('Providers'!$Z$4:$Z$503,210)))=0,"","Payer(s): "&amp;IF(LEN(INDEX('Providers'!$Z$4:$Z$503,210))=0,"",INDEX('Providers'!$Z$4:$Z$503,210))&amp;". "))</f>
        <v/>
      </c>
      <c r="J4213">
        <f>IF(LEN(INDEX('Providers'!$AJ$4:$AJ$503,210))=0,"",INDEX('Providers'!$AJ$4:$AJ$503,210))</f>
        <v/>
      </c>
      <c r="K4213">
        <f>IF(LEN(INDEX('Providers'!$AI$4:$AI$503,210))=0,"",INDEX('Providers'!$AI$4:$AI$503,210))</f>
        <v/>
      </c>
    </row>
    <row r="4214">
      <c r="A4214">
        <f>IF(AND(LEN('Providers'!A214)&gt;0,ISNUMBER('Providers'!AA214)),1,0)</f>
        <v/>
      </c>
      <c r="B4214">
        <f>B4213+A4214</f>
        <v/>
      </c>
      <c r="C4214">
        <f>IF(4211&gt;$B$4503,"",MATCH(4211-0.5,$B$3:$B$4503,1))</f>
        <v/>
      </c>
      <c r="D4214">
        <f>"Payer recredentialing – "&amp;IF(LEN(INDEX('Providers'!$A$4:$A$503,211))=0,"",INDEX('Providers'!$A$4:$A$503,211))</f>
        <v/>
      </c>
      <c r="E4214">
        <f>IF(ISNUMBER(INDEX('Providers'!$AA$4:$AA$503,211)),TEXT(INDEX('Providers'!$AA$4:$AA$503,211),"yyyy-mm-dd"),"")</f>
        <v/>
      </c>
      <c r="F4214">
        <f>"Credentialing"</f>
        <v/>
      </c>
      <c r="G4214">
        <f>""</f>
        <v/>
      </c>
      <c r="H4214">
        <f>"High"</f>
        <v/>
      </c>
      <c r="I4214">
        <f>TRIM(IF(LEN(IF(LEN(INDEX('Providers'!$Z$4:$Z$503,211))=0,"",INDEX('Providers'!$Z$4:$Z$503,211)))=0,"","Payer(s): "&amp;IF(LEN(INDEX('Providers'!$Z$4:$Z$503,211))=0,"",INDEX('Providers'!$Z$4:$Z$503,211))&amp;". "))</f>
        <v/>
      </c>
      <c r="J4214">
        <f>IF(LEN(INDEX('Providers'!$AJ$4:$AJ$503,211))=0,"",INDEX('Providers'!$AJ$4:$AJ$503,211))</f>
        <v/>
      </c>
      <c r="K4214">
        <f>IF(LEN(INDEX('Providers'!$AI$4:$AI$503,211))=0,"",INDEX('Providers'!$AI$4:$AI$503,211))</f>
        <v/>
      </c>
    </row>
    <row r="4215">
      <c r="A4215">
        <f>IF(AND(LEN('Providers'!A215)&gt;0,ISNUMBER('Providers'!AA215)),1,0)</f>
        <v/>
      </c>
      <c r="B4215">
        <f>B4214+A4215</f>
        <v/>
      </c>
      <c r="C4215">
        <f>IF(4212&gt;$B$4503,"",MATCH(4212-0.5,$B$3:$B$4503,1))</f>
        <v/>
      </c>
      <c r="D4215">
        <f>"Payer recredentialing – "&amp;IF(LEN(INDEX('Providers'!$A$4:$A$503,212))=0,"",INDEX('Providers'!$A$4:$A$503,212))</f>
        <v/>
      </c>
      <c r="E4215">
        <f>IF(ISNUMBER(INDEX('Providers'!$AA$4:$AA$503,212)),TEXT(INDEX('Providers'!$AA$4:$AA$503,212),"yyyy-mm-dd"),"")</f>
        <v/>
      </c>
      <c r="F4215">
        <f>"Credentialing"</f>
        <v/>
      </c>
      <c r="G4215">
        <f>""</f>
        <v/>
      </c>
      <c r="H4215">
        <f>"High"</f>
        <v/>
      </c>
      <c r="I4215">
        <f>TRIM(IF(LEN(IF(LEN(INDEX('Providers'!$Z$4:$Z$503,212))=0,"",INDEX('Providers'!$Z$4:$Z$503,212)))=0,"","Payer(s): "&amp;IF(LEN(INDEX('Providers'!$Z$4:$Z$503,212))=0,"",INDEX('Providers'!$Z$4:$Z$503,212))&amp;". "))</f>
        <v/>
      </c>
      <c r="J4215">
        <f>IF(LEN(INDEX('Providers'!$AJ$4:$AJ$503,212))=0,"",INDEX('Providers'!$AJ$4:$AJ$503,212))</f>
        <v/>
      </c>
      <c r="K4215">
        <f>IF(LEN(INDEX('Providers'!$AI$4:$AI$503,212))=0,"",INDEX('Providers'!$AI$4:$AI$503,212))</f>
        <v/>
      </c>
    </row>
    <row r="4216">
      <c r="A4216">
        <f>IF(AND(LEN('Providers'!A216)&gt;0,ISNUMBER('Providers'!AA216)),1,0)</f>
        <v/>
      </c>
      <c r="B4216">
        <f>B4215+A4216</f>
        <v/>
      </c>
      <c r="C4216">
        <f>IF(4213&gt;$B$4503,"",MATCH(4213-0.5,$B$3:$B$4503,1))</f>
        <v/>
      </c>
      <c r="D4216">
        <f>"Payer recredentialing – "&amp;IF(LEN(INDEX('Providers'!$A$4:$A$503,213))=0,"",INDEX('Providers'!$A$4:$A$503,213))</f>
        <v/>
      </c>
      <c r="E4216">
        <f>IF(ISNUMBER(INDEX('Providers'!$AA$4:$AA$503,213)),TEXT(INDEX('Providers'!$AA$4:$AA$503,213),"yyyy-mm-dd"),"")</f>
        <v/>
      </c>
      <c r="F4216">
        <f>"Credentialing"</f>
        <v/>
      </c>
      <c r="G4216">
        <f>""</f>
        <v/>
      </c>
      <c r="H4216">
        <f>"High"</f>
        <v/>
      </c>
      <c r="I4216">
        <f>TRIM(IF(LEN(IF(LEN(INDEX('Providers'!$Z$4:$Z$503,213))=0,"",INDEX('Providers'!$Z$4:$Z$503,213)))=0,"","Payer(s): "&amp;IF(LEN(INDEX('Providers'!$Z$4:$Z$503,213))=0,"",INDEX('Providers'!$Z$4:$Z$503,213))&amp;". "))</f>
        <v/>
      </c>
      <c r="J4216">
        <f>IF(LEN(INDEX('Providers'!$AJ$4:$AJ$503,213))=0,"",INDEX('Providers'!$AJ$4:$AJ$503,213))</f>
        <v/>
      </c>
      <c r="K4216">
        <f>IF(LEN(INDEX('Providers'!$AI$4:$AI$503,213))=0,"",INDEX('Providers'!$AI$4:$AI$503,213))</f>
        <v/>
      </c>
    </row>
    <row r="4217">
      <c r="A4217">
        <f>IF(AND(LEN('Providers'!A217)&gt;0,ISNUMBER('Providers'!AA217)),1,0)</f>
        <v/>
      </c>
      <c r="B4217">
        <f>B4216+A4217</f>
        <v/>
      </c>
      <c r="C4217">
        <f>IF(4214&gt;$B$4503,"",MATCH(4214-0.5,$B$3:$B$4503,1))</f>
        <v/>
      </c>
      <c r="D4217">
        <f>"Payer recredentialing – "&amp;IF(LEN(INDEX('Providers'!$A$4:$A$503,214))=0,"",INDEX('Providers'!$A$4:$A$503,214))</f>
        <v/>
      </c>
      <c r="E4217">
        <f>IF(ISNUMBER(INDEX('Providers'!$AA$4:$AA$503,214)),TEXT(INDEX('Providers'!$AA$4:$AA$503,214),"yyyy-mm-dd"),"")</f>
        <v/>
      </c>
      <c r="F4217">
        <f>"Credentialing"</f>
        <v/>
      </c>
      <c r="G4217">
        <f>""</f>
        <v/>
      </c>
      <c r="H4217">
        <f>"High"</f>
        <v/>
      </c>
      <c r="I4217">
        <f>TRIM(IF(LEN(IF(LEN(INDEX('Providers'!$Z$4:$Z$503,214))=0,"",INDEX('Providers'!$Z$4:$Z$503,214)))=0,"","Payer(s): "&amp;IF(LEN(INDEX('Providers'!$Z$4:$Z$503,214))=0,"",INDEX('Providers'!$Z$4:$Z$503,214))&amp;". "))</f>
        <v/>
      </c>
      <c r="J4217">
        <f>IF(LEN(INDEX('Providers'!$AJ$4:$AJ$503,214))=0,"",INDEX('Providers'!$AJ$4:$AJ$503,214))</f>
        <v/>
      </c>
      <c r="K4217">
        <f>IF(LEN(INDEX('Providers'!$AI$4:$AI$503,214))=0,"",INDEX('Providers'!$AI$4:$AI$503,214))</f>
        <v/>
      </c>
    </row>
    <row r="4218">
      <c r="A4218">
        <f>IF(AND(LEN('Providers'!A218)&gt;0,ISNUMBER('Providers'!AA218)),1,0)</f>
        <v/>
      </c>
      <c r="B4218">
        <f>B4217+A4218</f>
        <v/>
      </c>
      <c r="C4218">
        <f>IF(4215&gt;$B$4503,"",MATCH(4215-0.5,$B$3:$B$4503,1))</f>
        <v/>
      </c>
      <c r="D4218">
        <f>"Payer recredentialing – "&amp;IF(LEN(INDEX('Providers'!$A$4:$A$503,215))=0,"",INDEX('Providers'!$A$4:$A$503,215))</f>
        <v/>
      </c>
      <c r="E4218">
        <f>IF(ISNUMBER(INDEX('Providers'!$AA$4:$AA$503,215)),TEXT(INDEX('Providers'!$AA$4:$AA$503,215),"yyyy-mm-dd"),"")</f>
        <v/>
      </c>
      <c r="F4218">
        <f>"Credentialing"</f>
        <v/>
      </c>
      <c r="G4218">
        <f>""</f>
        <v/>
      </c>
      <c r="H4218">
        <f>"High"</f>
        <v/>
      </c>
      <c r="I4218">
        <f>TRIM(IF(LEN(IF(LEN(INDEX('Providers'!$Z$4:$Z$503,215))=0,"",INDEX('Providers'!$Z$4:$Z$503,215)))=0,"","Payer(s): "&amp;IF(LEN(INDEX('Providers'!$Z$4:$Z$503,215))=0,"",INDEX('Providers'!$Z$4:$Z$503,215))&amp;". "))</f>
        <v/>
      </c>
      <c r="J4218">
        <f>IF(LEN(INDEX('Providers'!$AJ$4:$AJ$503,215))=0,"",INDEX('Providers'!$AJ$4:$AJ$503,215))</f>
        <v/>
      </c>
      <c r="K4218">
        <f>IF(LEN(INDEX('Providers'!$AI$4:$AI$503,215))=0,"",INDEX('Providers'!$AI$4:$AI$503,215))</f>
        <v/>
      </c>
    </row>
    <row r="4219">
      <c r="A4219">
        <f>IF(AND(LEN('Providers'!A219)&gt;0,ISNUMBER('Providers'!AA219)),1,0)</f>
        <v/>
      </c>
      <c r="B4219">
        <f>B4218+A4219</f>
        <v/>
      </c>
      <c r="C4219">
        <f>IF(4216&gt;$B$4503,"",MATCH(4216-0.5,$B$3:$B$4503,1))</f>
        <v/>
      </c>
      <c r="D4219">
        <f>"Payer recredentialing – "&amp;IF(LEN(INDEX('Providers'!$A$4:$A$503,216))=0,"",INDEX('Providers'!$A$4:$A$503,216))</f>
        <v/>
      </c>
      <c r="E4219">
        <f>IF(ISNUMBER(INDEX('Providers'!$AA$4:$AA$503,216)),TEXT(INDEX('Providers'!$AA$4:$AA$503,216),"yyyy-mm-dd"),"")</f>
        <v/>
      </c>
      <c r="F4219">
        <f>"Credentialing"</f>
        <v/>
      </c>
      <c r="G4219">
        <f>""</f>
        <v/>
      </c>
      <c r="H4219">
        <f>"High"</f>
        <v/>
      </c>
      <c r="I4219">
        <f>TRIM(IF(LEN(IF(LEN(INDEX('Providers'!$Z$4:$Z$503,216))=0,"",INDEX('Providers'!$Z$4:$Z$503,216)))=0,"","Payer(s): "&amp;IF(LEN(INDEX('Providers'!$Z$4:$Z$503,216))=0,"",INDEX('Providers'!$Z$4:$Z$503,216))&amp;". "))</f>
        <v/>
      </c>
      <c r="J4219">
        <f>IF(LEN(INDEX('Providers'!$AJ$4:$AJ$503,216))=0,"",INDEX('Providers'!$AJ$4:$AJ$503,216))</f>
        <v/>
      </c>
      <c r="K4219">
        <f>IF(LEN(INDEX('Providers'!$AI$4:$AI$503,216))=0,"",INDEX('Providers'!$AI$4:$AI$503,216))</f>
        <v/>
      </c>
    </row>
    <row r="4220">
      <c r="A4220">
        <f>IF(AND(LEN('Providers'!A220)&gt;0,ISNUMBER('Providers'!AA220)),1,0)</f>
        <v/>
      </c>
      <c r="B4220">
        <f>B4219+A4220</f>
        <v/>
      </c>
      <c r="C4220">
        <f>IF(4217&gt;$B$4503,"",MATCH(4217-0.5,$B$3:$B$4503,1))</f>
        <v/>
      </c>
      <c r="D4220">
        <f>"Payer recredentialing – "&amp;IF(LEN(INDEX('Providers'!$A$4:$A$503,217))=0,"",INDEX('Providers'!$A$4:$A$503,217))</f>
        <v/>
      </c>
      <c r="E4220">
        <f>IF(ISNUMBER(INDEX('Providers'!$AA$4:$AA$503,217)),TEXT(INDEX('Providers'!$AA$4:$AA$503,217),"yyyy-mm-dd"),"")</f>
        <v/>
      </c>
      <c r="F4220">
        <f>"Credentialing"</f>
        <v/>
      </c>
      <c r="G4220">
        <f>""</f>
        <v/>
      </c>
      <c r="H4220">
        <f>"High"</f>
        <v/>
      </c>
      <c r="I4220">
        <f>TRIM(IF(LEN(IF(LEN(INDEX('Providers'!$Z$4:$Z$503,217))=0,"",INDEX('Providers'!$Z$4:$Z$503,217)))=0,"","Payer(s): "&amp;IF(LEN(INDEX('Providers'!$Z$4:$Z$503,217))=0,"",INDEX('Providers'!$Z$4:$Z$503,217))&amp;". "))</f>
        <v/>
      </c>
      <c r="J4220">
        <f>IF(LEN(INDEX('Providers'!$AJ$4:$AJ$503,217))=0,"",INDEX('Providers'!$AJ$4:$AJ$503,217))</f>
        <v/>
      </c>
      <c r="K4220">
        <f>IF(LEN(INDEX('Providers'!$AI$4:$AI$503,217))=0,"",INDEX('Providers'!$AI$4:$AI$503,217))</f>
        <v/>
      </c>
    </row>
    <row r="4221">
      <c r="A4221">
        <f>IF(AND(LEN('Providers'!A221)&gt;0,ISNUMBER('Providers'!AA221)),1,0)</f>
        <v/>
      </c>
      <c r="B4221">
        <f>B4220+A4221</f>
        <v/>
      </c>
      <c r="C4221">
        <f>IF(4218&gt;$B$4503,"",MATCH(4218-0.5,$B$3:$B$4503,1))</f>
        <v/>
      </c>
      <c r="D4221">
        <f>"Payer recredentialing – "&amp;IF(LEN(INDEX('Providers'!$A$4:$A$503,218))=0,"",INDEX('Providers'!$A$4:$A$503,218))</f>
        <v/>
      </c>
      <c r="E4221">
        <f>IF(ISNUMBER(INDEX('Providers'!$AA$4:$AA$503,218)),TEXT(INDEX('Providers'!$AA$4:$AA$503,218),"yyyy-mm-dd"),"")</f>
        <v/>
      </c>
      <c r="F4221">
        <f>"Credentialing"</f>
        <v/>
      </c>
      <c r="G4221">
        <f>""</f>
        <v/>
      </c>
      <c r="H4221">
        <f>"High"</f>
        <v/>
      </c>
      <c r="I4221">
        <f>TRIM(IF(LEN(IF(LEN(INDEX('Providers'!$Z$4:$Z$503,218))=0,"",INDEX('Providers'!$Z$4:$Z$503,218)))=0,"","Payer(s): "&amp;IF(LEN(INDEX('Providers'!$Z$4:$Z$503,218))=0,"",INDEX('Providers'!$Z$4:$Z$503,218))&amp;". "))</f>
        <v/>
      </c>
      <c r="J4221">
        <f>IF(LEN(INDEX('Providers'!$AJ$4:$AJ$503,218))=0,"",INDEX('Providers'!$AJ$4:$AJ$503,218))</f>
        <v/>
      </c>
      <c r="K4221">
        <f>IF(LEN(INDEX('Providers'!$AI$4:$AI$503,218))=0,"",INDEX('Providers'!$AI$4:$AI$503,218))</f>
        <v/>
      </c>
    </row>
    <row r="4222">
      <c r="A4222">
        <f>IF(AND(LEN('Providers'!A222)&gt;0,ISNUMBER('Providers'!AA222)),1,0)</f>
        <v/>
      </c>
      <c r="B4222">
        <f>B4221+A4222</f>
        <v/>
      </c>
      <c r="C4222">
        <f>IF(4219&gt;$B$4503,"",MATCH(4219-0.5,$B$3:$B$4503,1))</f>
        <v/>
      </c>
      <c r="D4222">
        <f>"Payer recredentialing – "&amp;IF(LEN(INDEX('Providers'!$A$4:$A$503,219))=0,"",INDEX('Providers'!$A$4:$A$503,219))</f>
        <v/>
      </c>
      <c r="E4222">
        <f>IF(ISNUMBER(INDEX('Providers'!$AA$4:$AA$503,219)),TEXT(INDEX('Providers'!$AA$4:$AA$503,219),"yyyy-mm-dd"),"")</f>
        <v/>
      </c>
      <c r="F4222">
        <f>"Credentialing"</f>
        <v/>
      </c>
      <c r="G4222">
        <f>""</f>
        <v/>
      </c>
      <c r="H4222">
        <f>"High"</f>
        <v/>
      </c>
      <c r="I4222">
        <f>TRIM(IF(LEN(IF(LEN(INDEX('Providers'!$Z$4:$Z$503,219))=0,"",INDEX('Providers'!$Z$4:$Z$503,219)))=0,"","Payer(s): "&amp;IF(LEN(INDEX('Providers'!$Z$4:$Z$503,219))=0,"",INDEX('Providers'!$Z$4:$Z$503,219))&amp;". "))</f>
        <v/>
      </c>
      <c r="J4222">
        <f>IF(LEN(INDEX('Providers'!$AJ$4:$AJ$503,219))=0,"",INDEX('Providers'!$AJ$4:$AJ$503,219))</f>
        <v/>
      </c>
      <c r="K4222">
        <f>IF(LEN(INDEX('Providers'!$AI$4:$AI$503,219))=0,"",INDEX('Providers'!$AI$4:$AI$503,219))</f>
        <v/>
      </c>
    </row>
    <row r="4223">
      <c r="A4223">
        <f>IF(AND(LEN('Providers'!A223)&gt;0,ISNUMBER('Providers'!AA223)),1,0)</f>
        <v/>
      </c>
      <c r="B4223">
        <f>B4222+A4223</f>
        <v/>
      </c>
      <c r="C4223">
        <f>IF(4220&gt;$B$4503,"",MATCH(4220-0.5,$B$3:$B$4503,1))</f>
        <v/>
      </c>
      <c r="D4223">
        <f>"Payer recredentialing – "&amp;IF(LEN(INDEX('Providers'!$A$4:$A$503,220))=0,"",INDEX('Providers'!$A$4:$A$503,220))</f>
        <v/>
      </c>
      <c r="E4223">
        <f>IF(ISNUMBER(INDEX('Providers'!$AA$4:$AA$503,220)),TEXT(INDEX('Providers'!$AA$4:$AA$503,220),"yyyy-mm-dd"),"")</f>
        <v/>
      </c>
      <c r="F4223">
        <f>"Credentialing"</f>
        <v/>
      </c>
      <c r="G4223">
        <f>""</f>
        <v/>
      </c>
      <c r="H4223">
        <f>"High"</f>
        <v/>
      </c>
      <c r="I4223">
        <f>TRIM(IF(LEN(IF(LEN(INDEX('Providers'!$Z$4:$Z$503,220))=0,"",INDEX('Providers'!$Z$4:$Z$503,220)))=0,"","Payer(s): "&amp;IF(LEN(INDEX('Providers'!$Z$4:$Z$503,220))=0,"",INDEX('Providers'!$Z$4:$Z$503,220))&amp;". "))</f>
        <v/>
      </c>
      <c r="J4223">
        <f>IF(LEN(INDEX('Providers'!$AJ$4:$AJ$503,220))=0,"",INDEX('Providers'!$AJ$4:$AJ$503,220))</f>
        <v/>
      </c>
      <c r="K4223">
        <f>IF(LEN(INDEX('Providers'!$AI$4:$AI$503,220))=0,"",INDEX('Providers'!$AI$4:$AI$503,220))</f>
        <v/>
      </c>
    </row>
    <row r="4224">
      <c r="A4224">
        <f>IF(AND(LEN('Providers'!A224)&gt;0,ISNUMBER('Providers'!AA224)),1,0)</f>
        <v/>
      </c>
      <c r="B4224">
        <f>B4223+A4224</f>
        <v/>
      </c>
      <c r="C4224">
        <f>IF(4221&gt;$B$4503,"",MATCH(4221-0.5,$B$3:$B$4503,1))</f>
        <v/>
      </c>
      <c r="D4224">
        <f>"Payer recredentialing – "&amp;IF(LEN(INDEX('Providers'!$A$4:$A$503,221))=0,"",INDEX('Providers'!$A$4:$A$503,221))</f>
        <v/>
      </c>
      <c r="E4224">
        <f>IF(ISNUMBER(INDEX('Providers'!$AA$4:$AA$503,221)),TEXT(INDEX('Providers'!$AA$4:$AA$503,221),"yyyy-mm-dd"),"")</f>
        <v/>
      </c>
      <c r="F4224">
        <f>"Credentialing"</f>
        <v/>
      </c>
      <c r="G4224">
        <f>""</f>
        <v/>
      </c>
      <c r="H4224">
        <f>"High"</f>
        <v/>
      </c>
      <c r="I4224">
        <f>TRIM(IF(LEN(IF(LEN(INDEX('Providers'!$Z$4:$Z$503,221))=0,"",INDEX('Providers'!$Z$4:$Z$503,221)))=0,"","Payer(s): "&amp;IF(LEN(INDEX('Providers'!$Z$4:$Z$503,221))=0,"",INDEX('Providers'!$Z$4:$Z$503,221))&amp;". "))</f>
        <v/>
      </c>
      <c r="J4224">
        <f>IF(LEN(INDEX('Providers'!$AJ$4:$AJ$503,221))=0,"",INDEX('Providers'!$AJ$4:$AJ$503,221))</f>
        <v/>
      </c>
      <c r="K4224">
        <f>IF(LEN(INDEX('Providers'!$AI$4:$AI$503,221))=0,"",INDEX('Providers'!$AI$4:$AI$503,221))</f>
        <v/>
      </c>
    </row>
    <row r="4225">
      <c r="A4225">
        <f>IF(AND(LEN('Providers'!A225)&gt;0,ISNUMBER('Providers'!AA225)),1,0)</f>
        <v/>
      </c>
      <c r="B4225">
        <f>B4224+A4225</f>
        <v/>
      </c>
      <c r="C4225">
        <f>IF(4222&gt;$B$4503,"",MATCH(4222-0.5,$B$3:$B$4503,1))</f>
        <v/>
      </c>
      <c r="D4225">
        <f>"Payer recredentialing – "&amp;IF(LEN(INDEX('Providers'!$A$4:$A$503,222))=0,"",INDEX('Providers'!$A$4:$A$503,222))</f>
        <v/>
      </c>
      <c r="E4225">
        <f>IF(ISNUMBER(INDEX('Providers'!$AA$4:$AA$503,222)),TEXT(INDEX('Providers'!$AA$4:$AA$503,222),"yyyy-mm-dd"),"")</f>
        <v/>
      </c>
      <c r="F4225">
        <f>"Credentialing"</f>
        <v/>
      </c>
      <c r="G4225">
        <f>""</f>
        <v/>
      </c>
      <c r="H4225">
        <f>"High"</f>
        <v/>
      </c>
      <c r="I4225">
        <f>TRIM(IF(LEN(IF(LEN(INDEX('Providers'!$Z$4:$Z$503,222))=0,"",INDEX('Providers'!$Z$4:$Z$503,222)))=0,"","Payer(s): "&amp;IF(LEN(INDEX('Providers'!$Z$4:$Z$503,222))=0,"",INDEX('Providers'!$Z$4:$Z$503,222))&amp;". "))</f>
        <v/>
      </c>
      <c r="J4225">
        <f>IF(LEN(INDEX('Providers'!$AJ$4:$AJ$503,222))=0,"",INDEX('Providers'!$AJ$4:$AJ$503,222))</f>
        <v/>
      </c>
      <c r="K4225">
        <f>IF(LEN(INDEX('Providers'!$AI$4:$AI$503,222))=0,"",INDEX('Providers'!$AI$4:$AI$503,222))</f>
        <v/>
      </c>
    </row>
    <row r="4226">
      <c r="A4226">
        <f>IF(AND(LEN('Providers'!A226)&gt;0,ISNUMBER('Providers'!AA226)),1,0)</f>
        <v/>
      </c>
      <c r="B4226">
        <f>B4225+A4226</f>
        <v/>
      </c>
      <c r="C4226">
        <f>IF(4223&gt;$B$4503,"",MATCH(4223-0.5,$B$3:$B$4503,1))</f>
        <v/>
      </c>
      <c r="D4226">
        <f>"Payer recredentialing – "&amp;IF(LEN(INDEX('Providers'!$A$4:$A$503,223))=0,"",INDEX('Providers'!$A$4:$A$503,223))</f>
        <v/>
      </c>
      <c r="E4226">
        <f>IF(ISNUMBER(INDEX('Providers'!$AA$4:$AA$503,223)),TEXT(INDEX('Providers'!$AA$4:$AA$503,223),"yyyy-mm-dd"),"")</f>
        <v/>
      </c>
      <c r="F4226">
        <f>"Credentialing"</f>
        <v/>
      </c>
      <c r="G4226">
        <f>""</f>
        <v/>
      </c>
      <c r="H4226">
        <f>"High"</f>
        <v/>
      </c>
      <c r="I4226">
        <f>TRIM(IF(LEN(IF(LEN(INDEX('Providers'!$Z$4:$Z$503,223))=0,"",INDEX('Providers'!$Z$4:$Z$503,223)))=0,"","Payer(s): "&amp;IF(LEN(INDEX('Providers'!$Z$4:$Z$503,223))=0,"",INDEX('Providers'!$Z$4:$Z$503,223))&amp;". "))</f>
        <v/>
      </c>
      <c r="J4226">
        <f>IF(LEN(INDEX('Providers'!$AJ$4:$AJ$503,223))=0,"",INDEX('Providers'!$AJ$4:$AJ$503,223))</f>
        <v/>
      </c>
      <c r="K4226">
        <f>IF(LEN(INDEX('Providers'!$AI$4:$AI$503,223))=0,"",INDEX('Providers'!$AI$4:$AI$503,223))</f>
        <v/>
      </c>
    </row>
    <row r="4227">
      <c r="A4227">
        <f>IF(AND(LEN('Providers'!A227)&gt;0,ISNUMBER('Providers'!AA227)),1,0)</f>
        <v/>
      </c>
      <c r="B4227">
        <f>B4226+A4227</f>
        <v/>
      </c>
      <c r="C4227">
        <f>IF(4224&gt;$B$4503,"",MATCH(4224-0.5,$B$3:$B$4503,1))</f>
        <v/>
      </c>
      <c r="D4227">
        <f>"Payer recredentialing – "&amp;IF(LEN(INDEX('Providers'!$A$4:$A$503,224))=0,"",INDEX('Providers'!$A$4:$A$503,224))</f>
        <v/>
      </c>
      <c r="E4227">
        <f>IF(ISNUMBER(INDEX('Providers'!$AA$4:$AA$503,224)),TEXT(INDEX('Providers'!$AA$4:$AA$503,224),"yyyy-mm-dd"),"")</f>
        <v/>
      </c>
      <c r="F4227">
        <f>"Credentialing"</f>
        <v/>
      </c>
      <c r="G4227">
        <f>""</f>
        <v/>
      </c>
      <c r="H4227">
        <f>"High"</f>
        <v/>
      </c>
      <c r="I4227">
        <f>TRIM(IF(LEN(IF(LEN(INDEX('Providers'!$Z$4:$Z$503,224))=0,"",INDEX('Providers'!$Z$4:$Z$503,224)))=0,"","Payer(s): "&amp;IF(LEN(INDEX('Providers'!$Z$4:$Z$503,224))=0,"",INDEX('Providers'!$Z$4:$Z$503,224))&amp;". "))</f>
        <v/>
      </c>
      <c r="J4227">
        <f>IF(LEN(INDEX('Providers'!$AJ$4:$AJ$503,224))=0,"",INDEX('Providers'!$AJ$4:$AJ$503,224))</f>
        <v/>
      </c>
      <c r="K4227">
        <f>IF(LEN(INDEX('Providers'!$AI$4:$AI$503,224))=0,"",INDEX('Providers'!$AI$4:$AI$503,224))</f>
        <v/>
      </c>
    </row>
    <row r="4228">
      <c r="A4228">
        <f>IF(AND(LEN('Providers'!A228)&gt;0,ISNUMBER('Providers'!AA228)),1,0)</f>
        <v/>
      </c>
      <c r="B4228">
        <f>B4227+A4228</f>
        <v/>
      </c>
      <c r="C4228">
        <f>IF(4225&gt;$B$4503,"",MATCH(4225-0.5,$B$3:$B$4503,1))</f>
        <v/>
      </c>
      <c r="D4228">
        <f>"Payer recredentialing – "&amp;IF(LEN(INDEX('Providers'!$A$4:$A$503,225))=0,"",INDEX('Providers'!$A$4:$A$503,225))</f>
        <v/>
      </c>
      <c r="E4228">
        <f>IF(ISNUMBER(INDEX('Providers'!$AA$4:$AA$503,225)),TEXT(INDEX('Providers'!$AA$4:$AA$503,225),"yyyy-mm-dd"),"")</f>
        <v/>
      </c>
      <c r="F4228">
        <f>"Credentialing"</f>
        <v/>
      </c>
      <c r="G4228">
        <f>""</f>
        <v/>
      </c>
      <c r="H4228">
        <f>"High"</f>
        <v/>
      </c>
      <c r="I4228">
        <f>TRIM(IF(LEN(IF(LEN(INDEX('Providers'!$Z$4:$Z$503,225))=0,"",INDEX('Providers'!$Z$4:$Z$503,225)))=0,"","Payer(s): "&amp;IF(LEN(INDEX('Providers'!$Z$4:$Z$503,225))=0,"",INDEX('Providers'!$Z$4:$Z$503,225))&amp;". "))</f>
        <v/>
      </c>
      <c r="J4228">
        <f>IF(LEN(INDEX('Providers'!$AJ$4:$AJ$503,225))=0,"",INDEX('Providers'!$AJ$4:$AJ$503,225))</f>
        <v/>
      </c>
      <c r="K4228">
        <f>IF(LEN(INDEX('Providers'!$AI$4:$AI$503,225))=0,"",INDEX('Providers'!$AI$4:$AI$503,225))</f>
        <v/>
      </c>
    </row>
    <row r="4229">
      <c r="A4229">
        <f>IF(AND(LEN('Providers'!A229)&gt;0,ISNUMBER('Providers'!AA229)),1,0)</f>
        <v/>
      </c>
      <c r="B4229">
        <f>B4228+A4229</f>
        <v/>
      </c>
      <c r="C4229">
        <f>IF(4226&gt;$B$4503,"",MATCH(4226-0.5,$B$3:$B$4503,1))</f>
        <v/>
      </c>
      <c r="D4229">
        <f>"Payer recredentialing – "&amp;IF(LEN(INDEX('Providers'!$A$4:$A$503,226))=0,"",INDEX('Providers'!$A$4:$A$503,226))</f>
        <v/>
      </c>
      <c r="E4229">
        <f>IF(ISNUMBER(INDEX('Providers'!$AA$4:$AA$503,226)),TEXT(INDEX('Providers'!$AA$4:$AA$503,226),"yyyy-mm-dd"),"")</f>
        <v/>
      </c>
      <c r="F4229">
        <f>"Credentialing"</f>
        <v/>
      </c>
      <c r="G4229">
        <f>""</f>
        <v/>
      </c>
      <c r="H4229">
        <f>"High"</f>
        <v/>
      </c>
      <c r="I4229">
        <f>TRIM(IF(LEN(IF(LEN(INDEX('Providers'!$Z$4:$Z$503,226))=0,"",INDEX('Providers'!$Z$4:$Z$503,226)))=0,"","Payer(s): "&amp;IF(LEN(INDEX('Providers'!$Z$4:$Z$503,226))=0,"",INDEX('Providers'!$Z$4:$Z$503,226))&amp;". "))</f>
        <v/>
      </c>
      <c r="J4229">
        <f>IF(LEN(INDEX('Providers'!$AJ$4:$AJ$503,226))=0,"",INDEX('Providers'!$AJ$4:$AJ$503,226))</f>
        <v/>
      </c>
      <c r="K4229">
        <f>IF(LEN(INDEX('Providers'!$AI$4:$AI$503,226))=0,"",INDEX('Providers'!$AI$4:$AI$503,226))</f>
        <v/>
      </c>
    </row>
    <row r="4230">
      <c r="A4230">
        <f>IF(AND(LEN('Providers'!A230)&gt;0,ISNUMBER('Providers'!AA230)),1,0)</f>
        <v/>
      </c>
      <c r="B4230">
        <f>B4229+A4230</f>
        <v/>
      </c>
      <c r="C4230">
        <f>IF(4227&gt;$B$4503,"",MATCH(4227-0.5,$B$3:$B$4503,1))</f>
        <v/>
      </c>
      <c r="D4230">
        <f>"Payer recredentialing – "&amp;IF(LEN(INDEX('Providers'!$A$4:$A$503,227))=0,"",INDEX('Providers'!$A$4:$A$503,227))</f>
        <v/>
      </c>
      <c r="E4230">
        <f>IF(ISNUMBER(INDEX('Providers'!$AA$4:$AA$503,227)),TEXT(INDEX('Providers'!$AA$4:$AA$503,227),"yyyy-mm-dd"),"")</f>
        <v/>
      </c>
      <c r="F4230">
        <f>"Credentialing"</f>
        <v/>
      </c>
      <c r="G4230">
        <f>""</f>
        <v/>
      </c>
      <c r="H4230">
        <f>"High"</f>
        <v/>
      </c>
      <c r="I4230">
        <f>TRIM(IF(LEN(IF(LEN(INDEX('Providers'!$Z$4:$Z$503,227))=0,"",INDEX('Providers'!$Z$4:$Z$503,227)))=0,"","Payer(s): "&amp;IF(LEN(INDEX('Providers'!$Z$4:$Z$503,227))=0,"",INDEX('Providers'!$Z$4:$Z$503,227))&amp;". "))</f>
        <v/>
      </c>
      <c r="J4230">
        <f>IF(LEN(INDEX('Providers'!$AJ$4:$AJ$503,227))=0,"",INDEX('Providers'!$AJ$4:$AJ$503,227))</f>
        <v/>
      </c>
      <c r="K4230">
        <f>IF(LEN(INDEX('Providers'!$AI$4:$AI$503,227))=0,"",INDEX('Providers'!$AI$4:$AI$503,227))</f>
        <v/>
      </c>
    </row>
    <row r="4231">
      <c r="A4231">
        <f>IF(AND(LEN('Providers'!A231)&gt;0,ISNUMBER('Providers'!AA231)),1,0)</f>
        <v/>
      </c>
      <c r="B4231">
        <f>B4230+A4231</f>
        <v/>
      </c>
      <c r="C4231">
        <f>IF(4228&gt;$B$4503,"",MATCH(4228-0.5,$B$3:$B$4503,1))</f>
        <v/>
      </c>
      <c r="D4231">
        <f>"Payer recredentialing – "&amp;IF(LEN(INDEX('Providers'!$A$4:$A$503,228))=0,"",INDEX('Providers'!$A$4:$A$503,228))</f>
        <v/>
      </c>
      <c r="E4231">
        <f>IF(ISNUMBER(INDEX('Providers'!$AA$4:$AA$503,228)),TEXT(INDEX('Providers'!$AA$4:$AA$503,228),"yyyy-mm-dd"),"")</f>
        <v/>
      </c>
      <c r="F4231">
        <f>"Credentialing"</f>
        <v/>
      </c>
      <c r="G4231">
        <f>""</f>
        <v/>
      </c>
      <c r="H4231">
        <f>"High"</f>
        <v/>
      </c>
      <c r="I4231">
        <f>TRIM(IF(LEN(IF(LEN(INDEX('Providers'!$Z$4:$Z$503,228))=0,"",INDEX('Providers'!$Z$4:$Z$503,228)))=0,"","Payer(s): "&amp;IF(LEN(INDEX('Providers'!$Z$4:$Z$503,228))=0,"",INDEX('Providers'!$Z$4:$Z$503,228))&amp;". "))</f>
        <v/>
      </c>
      <c r="J4231">
        <f>IF(LEN(INDEX('Providers'!$AJ$4:$AJ$503,228))=0,"",INDEX('Providers'!$AJ$4:$AJ$503,228))</f>
        <v/>
      </c>
      <c r="K4231">
        <f>IF(LEN(INDEX('Providers'!$AI$4:$AI$503,228))=0,"",INDEX('Providers'!$AI$4:$AI$503,228))</f>
        <v/>
      </c>
    </row>
    <row r="4232">
      <c r="A4232">
        <f>IF(AND(LEN('Providers'!A232)&gt;0,ISNUMBER('Providers'!AA232)),1,0)</f>
        <v/>
      </c>
      <c r="B4232">
        <f>B4231+A4232</f>
        <v/>
      </c>
      <c r="C4232">
        <f>IF(4229&gt;$B$4503,"",MATCH(4229-0.5,$B$3:$B$4503,1))</f>
        <v/>
      </c>
      <c r="D4232">
        <f>"Payer recredentialing – "&amp;IF(LEN(INDEX('Providers'!$A$4:$A$503,229))=0,"",INDEX('Providers'!$A$4:$A$503,229))</f>
        <v/>
      </c>
      <c r="E4232">
        <f>IF(ISNUMBER(INDEX('Providers'!$AA$4:$AA$503,229)),TEXT(INDEX('Providers'!$AA$4:$AA$503,229),"yyyy-mm-dd"),"")</f>
        <v/>
      </c>
      <c r="F4232">
        <f>"Credentialing"</f>
        <v/>
      </c>
      <c r="G4232">
        <f>""</f>
        <v/>
      </c>
      <c r="H4232">
        <f>"High"</f>
        <v/>
      </c>
      <c r="I4232">
        <f>TRIM(IF(LEN(IF(LEN(INDEX('Providers'!$Z$4:$Z$503,229))=0,"",INDEX('Providers'!$Z$4:$Z$503,229)))=0,"","Payer(s): "&amp;IF(LEN(INDEX('Providers'!$Z$4:$Z$503,229))=0,"",INDEX('Providers'!$Z$4:$Z$503,229))&amp;". "))</f>
        <v/>
      </c>
      <c r="J4232">
        <f>IF(LEN(INDEX('Providers'!$AJ$4:$AJ$503,229))=0,"",INDEX('Providers'!$AJ$4:$AJ$503,229))</f>
        <v/>
      </c>
      <c r="K4232">
        <f>IF(LEN(INDEX('Providers'!$AI$4:$AI$503,229))=0,"",INDEX('Providers'!$AI$4:$AI$503,229))</f>
        <v/>
      </c>
    </row>
    <row r="4233">
      <c r="A4233">
        <f>IF(AND(LEN('Providers'!A233)&gt;0,ISNUMBER('Providers'!AA233)),1,0)</f>
        <v/>
      </c>
      <c r="B4233">
        <f>B4232+A4233</f>
        <v/>
      </c>
      <c r="C4233">
        <f>IF(4230&gt;$B$4503,"",MATCH(4230-0.5,$B$3:$B$4503,1))</f>
        <v/>
      </c>
      <c r="D4233">
        <f>"Payer recredentialing – "&amp;IF(LEN(INDEX('Providers'!$A$4:$A$503,230))=0,"",INDEX('Providers'!$A$4:$A$503,230))</f>
        <v/>
      </c>
      <c r="E4233">
        <f>IF(ISNUMBER(INDEX('Providers'!$AA$4:$AA$503,230)),TEXT(INDEX('Providers'!$AA$4:$AA$503,230),"yyyy-mm-dd"),"")</f>
        <v/>
      </c>
      <c r="F4233">
        <f>"Credentialing"</f>
        <v/>
      </c>
      <c r="G4233">
        <f>""</f>
        <v/>
      </c>
      <c r="H4233">
        <f>"High"</f>
        <v/>
      </c>
      <c r="I4233">
        <f>TRIM(IF(LEN(IF(LEN(INDEX('Providers'!$Z$4:$Z$503,230))=0,"",INDEX('Providers'!$Z$4:$Z$503,230)))=0,"","Payer(s): "&amp;IF(LEN(INDEX('Providers'!$Z$4:$Z$503,230))=0,"",INDEX('Providers'!$Z$4:$Z$503,230))&amp;". "))</f>
        <v/>
      </c>
      <c r="J4233">
        <f>IF(LEN(INDEX('Providers'!$AJ$4:$AJ$503,230))=0,"",INDEX('Providers'!$AJ$4:$AJ$503,230))</f>
        <v/>
      </c>
      <c r="K4233">
        <f>IF(LEN(INDEX('Providers'!$AI$4:$AI$503,230))=0,"",INDEX('Providers'!$AI$4:$AI$503,230))</f>
        <v/>
      </c>
    </row>
    <row r="4234">
      <c r="A4234">
        <f>IF(AND(LEN('Providers'!A234)&gt;0,ISNUMBER('Providers'!AA234)),1,0)</f>
        <v/>
      </c>
      <c r="B4234">
        <f>B4233+A4234</f>
        <v/>
      </c>
      <c r="C4234">
        <f>IF(4231&gt;$B$4503,"",MATCH(4231-0.5,$B$3:$B$4503,1))</f>
        <v/>
      </c>
      <c r="D4234">
        <f>"Payer recredentialing – "&amp;IF(LEN(INDEX('Providers'!$A$4:$A$503,231))=0,"",INDEX('Providers'!$A$4:$A$503,231))</f>
        <v/>
      </c>
      <c r="E4234">
        <f>IF(ISNUMBER(INDEX('Providers'!$AA$4:$AA$503,231)),TEXT(INDEX('Providers'!$AA$4:$AA$503,231),"yyyy-mm-dd"),"")</f>
        <v/>
      </c>
      <c r="F4234">
        <f>"Credentialing"</f>
        <v/>
      </c>
      <c r="G4234">
        <f>""</f>
        <v/>
      </c>
      <c r="H4234">
        <f>"High"</f>
        <v/>
      </c>
      <c r="I4234">
        <f>TRIM(IF(LEN(IF(LEN(INDEX('Providers'!$Z$4:$Z$503,231))=0,"",INDEX('Providers'!$Z$4:$Z$503,231)))=0,"","Payer(s): "&amp;IF(LEN(INDEX('Providers'!$Z$4:$Z$503,231))=0,"",INDEX('Providers'!$Z$4:$Z$503,231))&amp;". "))</f>
        <v/>
      </c>
      <c r="J4234">
        <f>IF(LEN(INDEX('Providers'!$AJ$4:$AJ$503,231))=0,"",INDEX('Providers'!$AJ$4:$AJ$503,231))</f>
        <v/>
      </c>
      <c r="K4234">
        <f>IF(LEN(INDEX('Providers'!$AI$4:$AI$503,231))=0,"",INDEX('Providers'!$AI$4:$AI$503,231))</f>
        <v/>
      </c>
    </row>
    <row r="4235">
      <c r="A4235">
        <f>IF(AND(LEN('Providers'!A235)&gt;0,ISNUMBER('Providers'!AA235)),1,0)</f>
        <v/>
      </c>
      <c r="B4235">
        <f>B4234+A4235</f>
        <v/>
      </c>
      <c r="C4235">
        <f>IF(4232&gt;$B$4503,"",MATCH(4232-0.5,$B$3:$B$4503,1))</f>
        <v/>
      </c>
      <c r="D4235">
        <f>"Payer recredentialing – "&amp;IF(LEN(INDEX('Providers'!$A$4:$A$503,232))=0,"",INDEX('Providers'!$A$4:$A$503,232))</f>
        <v/>
      </c>
      <c r="E4235">
        <f>IF(ISNUMBER(INDEX('Providers'!$AA$4:$AA$503,232)),TEXT(INDEX('Providers'!$AA$4:$AA$503,232),"yyyy-mm-dd"),"")</f>
        <v/>
      </c>
      <c r="F4235">
        <f>"Credentialing"</f>
        <v/>
      </c>
      <c r="G4235">
        <f>""</f>
        <v/>
      </c>
      <c r="H4235">
        <f>"High"</f>
        <v/>
      </c>
      <c r="I4235">
        <f>TRIM(IF(LEN(IF(LEN(INDEX('Providers'!$Z$4:$Z$503,232))=0,"",INDEX('Providers'!$Z$4:$Z$503,232)))=0,"","Payer(s): "&amp;IF(LEN(INDEX('Providers'!$Z$4:$Z$503,232))=0,"",INDEX('Providers'!$Z$4:$Z$503,232))&amp;". "))</f>
        <v/>
      </c>
      <c r="J4235">
        <f>IF(LEN(INDEX('Providers'!$AJ$4:$AJ$503,232))=0,"",INDEX('Providers'!$AJ$4:$AJ$503,232))</f>
        <v/>
      </c>
      <c r="K4235">
        <f>IF(LEN(INDEX('Providers'!$AI$4:$AI$503,232))=0,"",INDEX('Providers'!$AI$4:$AI$503,232))</f>
        <v/>
      </c>
    </row>
    <row r="4236">
      <c r="A4236">
        <f>IF(AND(LEN('Providers'!A236)&gt;0,ISNUMBER('Providers'!AA236)),1,0)</f>
        <v/>
      </c>
      <c r="B4236">
        <f>B4235+A4236</f>
        <v/>
      </c>
      <c r="C4236">
        <f>IF(4233&gt;$B$4503,"",MATCH(4233-0.5,$B$3:$B$4503,1))</f>
        <v/>
      </c>
      <c r="D4236">
        <f>"Payer recredentialing – "&amp;IF(LEN(INDEX('Providers'!$A$4:$A$503,233))=0,"",INDEX('Providers'!$A$4:$A$503,233))</f>
        <v/>
      </c>
      <c r="E4236">
        <f>IF(ISNUMBER(INDEX('Providers'!$AA$4:$AA$503,233)),TEXT(INDEX('Providers'!$AA$4:$AA$503,233),"yyyy-mm-dd"),"")</f>
        <v/>
      </c>
      <c r="F4236">
        <f>"Credentialing"</f>
        <v/>
      </c>
      <c r="G4236">
        <f>""</f>
        <v/>
      </c>
      <c r="H4236">
        <f>"High"</f>
        <v/>
      </c>
      <c r="I4236">
        <f>TRIM(IF(LEN(IF(LEN(INDEX('Providers'!$Z$4:$Z$503,233))=0,"",INDEX('Providers'!$Z$4:$Z$503,233)))=0,"","Payer(s): "&amp;IF(LEN(INDEX('Providers'!$Z$4:$Z$503,233))=0,"",INDEX('Providers'!$Z$4:$Z$503,233))&amp;". "))</f>
        <v/>
      </c>
      <c r="J4236">
        <f>IF(LEN(INDEX('Providers'!$AJ$4:$AJ$503,233))=0,"",INDEX('Providers'!$AJ$4:$AJ$503,233))</f>
        <v/>
      </c>
      <c r="K4236">
        <f>IF(LEN(INDEX('Providers'!$AI$4:$AI$503,233))=0,"",INDEX('Providers'!$AI$4:$AI$503,233))</f>
        <v/>
      </c>
    </row>
    <row r="4237">
      <c r="A4237">
        <f>IF(AND(LEN('Providers'!A237)&gt;0,ISNUMBER('Providers'!AA237)),1,0)</f>
        <v/>
      </c>
      <c r="B4237">
        <f>B4236+A4237</f>
        <v/>
      </c>
      <c r="C4237">
        <f>IF(4234&gt;$B$4503,"",MATCH(4234-0.5,$B$3:$B$4503,1))</f>
        <v/>
      </c>
      <c r="D4237">
        <f>"Payer recredentialing – "&amp;IF(LEN(INDEX('Providers'!$A$4:$A$503,234))=0,"",INDEX('Providers'!$A$4:$A$503,234))</f>
        <v/>
      </c>
      <c r="E4237">
        <f>IF(ISNUMBER(INDEX('Providers'!$AA$4:$AA$503,234)),TEXT(INDEX('Providers'!$AA$4:$AA$503,234),"yyyy-mm-dd"),"")</f>
        <v/>
      </c>
      <c r="F4237">
        <f>"Credentialing"</f>
        <v/>
      </c>
      <c r="G4237">
        <f>""</f>
        <v/>
      </c>
      <c r="H4237">
        <f>"High"</f>
        <v/>
      </c>
      <c r="I4237">
        <f>TRIM(IF(LEN(IF(LEN(INDEX('Providers'!$Z$4:$Z$503,234))=0,"",INDEX('Providers'!$Z$4:$Z$503,234)))=0,"","Payer(s): "&amp;IF(LEN(INDEX('Providers'!$Z$4:$Z$503,234))=0,"",INDEX('Providers'!$Z$4:$Z$503,234))&amp;". "))</f>
        <v/>
      </c>
      <c r="J4237">
        <f>IF(LEN(INDEX('Providers'!$AJ$4:$AJ$503,234))=0,"",INDEX('Providers'!$AJ$4:$AJ$503,234))</f>
        <v/>
      </c>
      <c r="K4237">
        <f>IF(LEN(INDEX('Providers'!$AI$4:$AI$503,234))=0,"",INDEX('Providers'!$AI$4:$AI$503,234))</f>
        <v/>
      </c>
    </row>
    <row r="4238">
      <c r="A4238">
        <f>IF(AND(LEN('Providers'!A238)&gt;0,ISNUMBER('Providers'!AA238)),1,0)</f>
        <v/>
      </c>
      <c r="B4238">
        <f>B4237+A4238</f>
        <v/>
      </c>
      <c r="C4238">
        <f>IF(4235&gt;$B$4503,"",MATCH(4235-0.5,$B$3:$B$4503,1))</f>
        <v/>
      </c>
      <c r="D4238">
        <f>"Payer recredentialing – "&amp;IF(LEN(INDEX('Providers'!$A$4:$A$503,235))=0,"",INDEX('Providers'!$A$4:$A$503,235))</f>
        <v/>
      </c>
      <c r="E4238">
        <f>IF(ISNUMBER(INDEX('Providers'!$AA$4:$AA$503,235)),TEXT(INDEX('Providers'!$AA$4:$AA$503,235),"yyyy-mm-dd"),"")</f>
        <v/>
      </c>
      <c r="F4238">
        <f>"Credentialing"</f>
        <v/>
      </c>
      <c r="G4238">
        <f>""</f>
        <v/>
      </c>
      <c r="H4238">
        <f>"High"</f>
        <v/>
      </c>
      <c r="I4238">
        <f>TRIM(IF(LEN(IF(LEN(INDEX('Providers'!$Z$4:$Z$503,235))=0,"",INDEX('Providers'!$Z$4:$Z$503,235)))=0,"","Payer(s): "&amp;IF(LEN(INDEX('Providers'!$Z$4:$Z$503,235))=0,"",INDEX('Providers'!$Z$4:$Z$503,235))&amp;". "))</f>
        <v/>
      </c>
      <c r="J4238">
        <f>IF(LEN(INDEX('Providers'!$AJ$4:$AJ$503,235))=0,"",INDEX('Providers'!$AJ$4:$AJ$503,235))</f>
        <v/>
      </c>
      <c r="K4238">
        <f>IF(LEN(INDEX('Providers'!$AI$4:$AI$503,235))=0,"",INDEX('Providers'!$AI$4:$AI$503,235))</f>
        <v/>
      </c>
    </row>
    <row r="4239">
      <c r="A4239">
        <f>IF(AND(LEN('Providers'!A239)&gt;0,ISNUMBER('Providers'!AA239)),1,0)</f>
        <v/>
      </c>
      <c r="B4239">
        <f>B4238+A4239</f>
        <v/>
      </c>
      <c r="C4239">
        <f>IF(4236&gt;$B$4503,"",MATCH(4236-0.5,$B$3:$B$4503,1))</f>
        <v/>
      </c>
      <c r="D4239">
        <f>"Payer recredentialing – "&amp;IF(LEN(INDEX('Providers'!$A$4:$A$503,236))=0,"",INDEX('Providers'!$A$4:$A$503,236))</f>
        <v/>
      </c>
      <c r="E4239">
        <f>IF(ISNUMBER(INDEX('Providers'!$AA$4:$AA$503,236)),TEXT(INDEX('Providers'!$AA$4:$AA$503,236),"yyyy-mm-dd"),"")</f>
        <v/>
      </c>
      <c r="F4239">
        <f>"Credentialing"</f>
        <v/>
      </c>
      <c r="G4239">
        <f>""</f>
        <v/>
      </c>
      <c r="H4239">
        <f>"High"</f>
        <v/>
      </c>
      <c r="I4239">
        <f>TRIM(IF(LEN(IF(LEN(INDEX('Providers'!$Z$4:$Z$503,236))=0,"",INDEX('Providers'!$Z$4:$Z$503,236)))=0,"","Payer(s): "&amp;IF(LEN(INDEX('Providers'!$Z$4:$Z$503,236))=0,"",INDEX('Providers'!$Z$4:$Z$503,236))&amp;". "))</f>
        <v/>
      </c>
      <c r="J4239">
        <f>IF(LEN(INDEX('Providers'!$AJ$4:$AJ$503,236))=0,"",INDEX('Providers'!$AJ$4:$AJ$503,236))</f>
        <v/>
      </c>
      <c r="K4239">
        <f>IF(LEN(INDEX('Providers'!$AI$4:$AI$503,236))=0,"",INDEX('Providers'!$AI$4:$AI$503,236))</f>
        <v/>
      </c>
    </row>
    <row r="4240">
      <c r="A4240">
        <f>IF(AND(LEN('Providers'!A240)&gt;0,ISNUMBER('Providers'!AA240)),1,0)</f>
        <v/>
      </c>
      <c r="B4240">
        <f>B4239+A4240</f>
        <v/>
      </c>
      <c r="C4240">
        <f>IF(4237&gt;$B$4503,"",MATCH(4237-0.5,$B$3:$B$4503,1))</f>
        <v/>
      </c>
      <c r="D4240">
        <f>"Payer recredentialing – "&amp;IF(LEN(INDEX('Providers'!$A$4:$A$503,237))=0,"",INDEX('Providers'!$A$4:$A$503,237))</f>
        <v/>
      </c>
      <c r="E4240">
        <f>IF(ISNUMBER(INDEX('Providers'!$AA$4:$AA$503,237)),TEXT(INDEX('Providers'!$AA$4:$AA$503,237),"yyyy-mm-dd"),"")</f>
        <v/>
      </c>
      <c r="F4240">
        <f>"Credentialing"</f>
        <v/>
      </c>
      <c r="G4240">
        <f>""</f>
        <v/>
      </c>
      <c r="H4240">
        <f>"High"</f>
        <v/>
      </c>
      <c r="I4240">
        <f>TRIM(IF(LEN(IF(LEN(INDEX('Providers'!$Z$4:$Z$503,237))=0,"",INDEX('Providers'!$Z$4:$Z$503,237)))=0,"","Payer(s): "&amp;IF(LEN(INDEX('Providers'!$Z$4:$Z$503,237))=0,"",INDEX('Providers'!$Z$4:$Z$503,237))&amp;". "))</f>
        <v/>
      </c>
      <c r="J4240">
        <f>IF(LEN(INDEX('Providers'!$AJ$4:$AJ$503,237))=0,"",INDEX('Providers'!$AJ$4:$AJ$503,237))</f>
        <v/>
      </c>
      <c r="K4240">
        <f>IF(LEN(INDEX('Providers'!$AI$4:$AI$503,237))=0,"",INDEX('Providers'!$AI$4:$AI$503,237))</f>
        <v/>
      </c>
    </row>
    <row r="4241">
      <c r="A4241">
        <f>IF(AND(LEN('Providers'!A241)&gt;0,ISNUMBER('Providers'!AA241)),1,0)</f>
        <v/>
      </c>
      <c r="B4241">
        <f>B4240+A4241</f>
        <v/>
      </c>
      <c r="C4241">
        <f>IF(4238&gt;$B$4503,"",MATCH(4238-0.5,$B$3:$B$4503,1))</f>
        <v/>
      </c>
      <c r="D4241">
        <f>"Payer recredentialing – "&amp;IF(LEN(INDEX('Providers'!$A$4:$A$503,238))=0,"",INDEX('Providers'!$A$4:$A$503,238))</f>
        <v/>
      </c>
      <c r="E4241">
        <f>IF(ISNUMBER(INDEX('Providers'!$AA$4:$AA$503,238)),TEXT(INDEX('Providers'!$AA$4:$AA$503,238),"yyyy-mm-dd"),"")</f>
        <v/>
      </c>
      <c r="F4241">
        <f>"Credentialing"</f>
        <v/>
      </c>
      <c r="G4241">
        <f>""</f>
        <v/>
      </c>
      <c r="H4241">
        <f>"High"</f>
        <v/>
      </c>
      <c r="I4241">
        <f>TRIM(IF(LEN(IF(LEN(INDEX('Providers'!$Z$4:$Z$503,238))=0,"",INDEX('Providers'!$Z$4:$Z$503,238)))=0,"","Payer(s): "&amp;IF(LEN(INDEX('Providers'!$Z$4:$Z$503,238))=0,"",INDEX('Providers'!$Z$4:$Z$503,238))&amp;". "))</f>
        <v/>
      </c>
      <c r="J4241">
        <f>IF(LEN(INDEX('Providers'!$AJ$4:$AJ$503,238))=0,"",INDEX('Providers'!$AJ$4:$AJ$503,238))</f>
        <v/>
      </c>
      <c r="K4241">
        <f>IF(LEN(INDEX('Providers'!$AI$4:$AI$503,238))=0,"",INDEX('Providers'!$AI$4:$AI$503,238))</f>
        <v/>
      </c>
    </row>
    <row r="4242">
      <c r="A4242">
        <f>IF(AND(LEN('Providers'!A242)&gt;0,ISNUMBER('Providers'!AA242)),1,0)</f>
        <v/>
      </c>
      <c r="B4242">
        <f>B4241+A4242</f>
        <v/>
      </c>
      <c r="C4242">
        <f>IF(4239&gt;$B$4503,"",MATCH(4239-0.5,$B$3:$B$4503,1))</f>
        <v/>
      </c>
      <c r="D4242">
        <f>"Payer recredentialing – "&amp;IF(LEN(INDEX('Providers'!$A$4:$A$503,239))=0,"",INDEX('Providers'!$A$4:$A$503,239))</f>
        <v/>
      </c>
      <c r="E4242">
        <f>IF(ISNUMBER(INDEX('Providers'!$AA$4:$AA$503,239)),TEXT(INDEX('Providers'!$AA$4:$AA$503,239),"yyyy-mm-dd"),"")</f>
        <v/>
      </c>
      <c r="F4242">
        <f>"Credentialing"</f>
        <v/>
      </c>
      <c r="G4242">
        <f>""</f>
        <v/>
      </c>
      <c r="H4242">
        <f>"High"</f>
        <v/>
      </c>
      <c r="I4242">
        <f>TRIM(IF(LEN(IF(LEN(INDEX('Providers'!$Z$4:$Z$503,239))=0,"",INDEX('Providers'!$Z$4:$Z$503,239)))=0,"","Payer(s): "&amp;IF(LEN(INDEX('Providers'!$Z$4:$Z$503,239))=0,"",INDEX('Providers'!$Z$4:$Z$503,239))&amp;". "))</f>
        <v/>
      </c>
      <c r="J4242">
        <f>IF(LEN(INDEX('Providers'!$AJ$4:$AJ$503,239))=0,"",INDEX('Providers'!$AJ$4:$AJ$503,239))</f>
        <v/>
      </c>
      <c r="K4242">
        <f>IF(LEN(INDEX('Providers'!$AI$4:$AI$503,239))=0,"",INDEX('Providers'!$AI$4:$AI$503,239))</f>
        <v/>
      </c>
    </row>
    <row r="4243">
      <c r="A4243">
        <f>IF(AND(LEN('Providers'!A243)&gt;0,ISNUMBER('Providers'!AA243)),1,0)</f>
        <v/>
      </c>
      <c r="B4243">
        <f>B4242+A4243</f>
        <v/>
      </c>
      <c r="C4243">
        <f>IF(4240&gt;$B$4503,"",MATCH(4240-0.5,$B$3:$B$4503,1))</f>
        <v/>
      </c>
      <c r="D4243">
        <f>"Payer recredentialing – "&amp;IF(LEN(INDEX('Providers'!$A$4:$A$503,240))=0,"",INDEX('Providers'!$A$4:$A$503,240))</f>
        <v/>
      </c>
      <c r="E4243">
        <f>IF(ISNUMBER(INDEX('Providers'!$AA$4:$AA$503,240)),TEXT(INDEX('Providers'!$AA$4:$AA$503,240),"yyyy-mm-dd"),"")</f>
        <v/>
      </c>
      <c r="F4243">
        <f>"Credentialing"</f>
        <v/>
      </c>
      <c r="G4243">
        <f>""</f>
        <v/>
      </c>
      <c r="H4243">
        <f>"High"</f>
        <v/>
      </c>
      <c r="I4243">
        <f>TRIM(IF(LEN(IF(LEN(INDEX('Providers'!$Z$4:$Z$503,240))=0,"",INDEX('Providers'!$Z$4:$Z$503,240)))=0,"","Payer(s): "&amp;IF(LEN(INDEX('Providers'!$Z$4:$Z$503,240))=0,"",INDEX('Providers'!$Z$4:$Z$503,240))&amp;". "))</f>
        <v/>
      </c>
      <c r="J4243">
        <f>IF(LEN(INDEX('Providers'!$AJ$4:$AJ$503,240))=0,"",INDEX('Providers'!$AJ$4:$AJ$503,240))</f>
        <v/>
      </c>
      <c r="K4243">
        <f>IF(LEN(INDEX('Providers'!$AI$4:$AI$503,240))=0,"",INDEX('Providers'!$AI$4:$AI$503,240))</f>
        <v/>
      </c>
    </row>
    <row r="4244">
      <c r="A4244">
        <f>IF(AND(LEN('Providers'!A244)&gt;0,ISNUMBER('Providers'!AA244)),1,0)</f>
        <v/>
      </c>
      <c r="B4244">
        <f>B4243+A4244</f>
        <v/>
      </c>
      <c r="C4244">
        <f>IF(4241&gt;$B$4503,"",MATCH(4241-0.5,$B$3:$B$4503,1))</f>
        <v/>
      </c>
      <c r="D4244">
        <f>"Payer recredentialing – "&amp;IF(LEN(INDEX('Providers'!$A$4:$A$503,241))=0,"",INDEX('Providers'!$A$4:$A$503,241))</f>
        <v/>
      </c>
      <c r="E4244">
        <f>IF(ISNUMBER(INDEX('Providers'!$AA$4:$AA$503,241)),TEXT(INDEX('Providers'!$AA$4:$AA$503,241),"yyyy-mm-dd"),"")</f>
        <v/>
      </c>
      <c r="F4244">
        <f>"Credentialing"</f>
        <v/>
      </c>
      <c r="G4244">
        <f>""</f>
        <v/>
      </c>
      <c r="H4244">
        <f>"High"</f>
        <v/>
      </c>
      <c r="I4244">
        <f>TRIM(IF(LEN(IF(LEN(INDEX('Providers'!$Z$4:$Z$503,241))=0,"",INDEX('Providers'!$Z$4:$Z$503,241)))=0,"","Payer(s): "&amp;IF(LEN(INDEX('Providers'!$Z$4:$Z$503,241))=0,"",INDEX('Providers'!$Z$4:$Z$503,241))&amp;". "))</f>
        <v/>
      </c>
      <c r="J4244">
        <f>IF(LEN(INDEX('Providers'!$AJ$4:$AJ$503,241))=0,"",INDEX('Providers'!$AJ$4:$AJ$503,241))</f>
        <v/>
      </c>
      <c r="K4244">
        <f>IF(LEN(INDEX('Providers'!$AI$4:$AI$503,241))=0,"",INDEX('Providers'!$AI$4:$AI$503,241))</f>
        <v/>
      </c>
    </row>
    <row r="4245">
      <c r="A4245">
        <f>IF(AND(LEN('Providers'!A245)&gt;0,ISNUMBER('Providers'!AA245)),1,0)</f>
        <v/>
      </c>
      <c r="B4245">
        <f>B4244+A4245</f>
        <v/>
      </c>
      <c r="C4245">
        <f>IF(4242&gt;$B$4503,"",MATCH(4242-0.5,$B$3:$B$4503,1))</f>
        <v/>
      </c>
      <c r="D4245">
        <f>"Payer recredentialing – "&amp;IF(LEN(INDEX('Providers'!$A$4:$A$503,242))=0,"",INDEX('Providers'!$A$4:$A$503,242))</f>
        <v/>
      </c>
      <c r="E4245">
        <f>IF(ISNUMBER(INDEX('Providers'!$AA$4:$AA$503,242)),TEXT(INDEX('Providers'!$AA$4:$AA$503,242),"yyyy-mm-dd"),"")</f>
        <v/>
      </c>
      <c r="F4245">
        <f>"Credentialing"</f>
        <v/>
      </c>
      <c r="G4245">
        <f>""</f>
        <v/>
      </c>
      <c r="H4245">
        <f>"High"</f>
        <v/>
      </c>
      <c r="I4245">
        <f>TRIM(IF(LEN(IF(LEN(INDEX('Providers'!$Z$4:$Z$503,242))=0,"",INDEX('Providers'!$Z$4:$Z$503,242)))=0,"","Payer(s): "&amp;IF(LEN(INDEX('Providers'!$Z$4:$Z$503,242))=0,"",INDEX('Providers'!$Z$4:$Z$503,242))&amp;". "))</f>
        <v/>
      </c>
      <c r="J4245">
        <f>IF(LEN(INDEX('Providers'!$AJ$4:$AJ$503,242))=0,"",INDEX('Providers'!$AJ$4:$AJ$503,242))</f>
        <v/>
      </c>
      <c r="K4245">
        <f>IF(LEN(INDEX('Providers'!$AI$4:$AI$503,242))=0,"",INDEX('Providers'!$AI$4:$AI$503,242))</f>
        <v/>
      </c>
    </row>
    <row r="4246">
      <c r="A4246">
        <f>IF(AND(LEN('Providers'!A246)&gt;0,ISNUMBER('Providers'!AA246)),1,0)</f>
        <v/>
      </c>
      <c r="B4246">
        <f>B4245+A4246</f>
        <v/>
      </c>
      <c r="C4246">
        <f>IF(4243&gt;$B$4503,"",MATCH(4243-0.5,$B$3:$B$4503,1))</f>
        <v/>
      </c>
      <c r="D4246">
        <f>"Payer recredentialing – "&amp;IF(LEN(INDEX('Providers'!$A$4:$A$503,243))=0,"",INDEX('Providers'!$A$4:$A$503,243))</f>
        <v/>
      </c>
      <c r="E4246">
        <f>IF(ISNUMBER(INDEX('Providers'!$AA$4:$AA$503,243)),TEXT(INDEX('Providers'!$AA$4:$AA$503,243),"yyyy-mm-dd"),"")</f>
        <v/>
      </c>
      <c r="F4246">
        <f>"Credentialing"</f>
        <v/>
      </c>
      <c r="G4246">
        <f>""</f>
        <v/>
      </c>
      <c r="H4246">
        <f>"High"</f>
        <v/>
      </c>
      <c r="I4246">
        <f>TRIM(IF(LEN(IF(LEN(INDEX('Providers'!$Z$4:$Z$503,243))=0,"",INDEX('Providers'!$Z$4:$Z$503,243)))=0,"","Payer(s): "&amp;IF(LEN(INDEX('Providers'!$Z$4:$Z$503,243))=0,"",INDEX('Providers'!$Z$4:$Z$503,243))&amp;". "))</f>
        <v/>
      </c>
      <c r="J4246">
        <f>IF(LEN(INDEX('Providers'!$AJ$4:$AJ$503,243))=0,"",INDEX('Providers'!$AJ$4:$AJ$503,243))</f>
        <v/>
      </c>
      <c r="K4246">
        <f>IF(LEN(INDEX('Providers'!$AI$4:$AI$503,243))=0,"",INDEX('Providers'!$AI$4:$AI$503,243))</f>
        <v/>
      </c>
    </row>
    <row r="4247">
      <c r="A4247">
        <f>IF(AND(LEN('Providers'!A247)&gt;0,ISNUMBER('Providers'!AA247)),1,0)</f>
        <v/>
      </c>
      <c r="B4247">
        <f>B4246+A4247</f>
        <v/>
      </c>
      <c r="C4247">
        <f>IF(4244&gt;$B$4503,"",MATCH(4244-0.5,$B$3:$B$4503,1))</f>
        <v/>
      </c>
      <c r="D4247">
        <f>"Payer recredentialing – "&amp;IF(LEN(INDEX('Providers'!$A$4:$A$503,244))=0,"",INDEX('Providers'!$A$4:$A$503,244))</f>
        <v/>
      </c>
      <c r="E4247">
        <f>IF(ISNUMBER(INDEX('Providers'!$AA$4:$AA$503,244)),TEXT(INDEX('Providers'!$AA$4:$AA$503,244),"yyyy-mm-dd"),"")</f>
        <v/>
      </c>
      <c r="F4247">
        <f>"Credentialing"</f>
        <v/>
      </c>
      <c r="G4247">
        <f>""</f>
        <v/>
      </c>
      <c r="H4247">
        <f>"High"</f>
        <v/>
      </c>
      <c r="I4247">
        <f>TRIM(IF(LEN(IF(LEN(INDEX('Providers'!$Z$4:$Z$503,244))=0,"",INDEX('Providers'!$Z$4:$Z$503,244)))=0,"","Payer(s): "&amp;IF(LEN(INDEX('Providers'!$Z$4:$Z$503,244))=0,"",INDEX('Providers'!$Z$4:$Z$503,244))&amp;". "))</f>
        <v/>
      </c>
      <c r="J4247">
        <f>IF(LEN(INDEX('Providers'!$AJ$4:$AJ$503,244))=0,"",INDEX('Providers'!$AJ$4:$AJ$503,244))</f>
        <v/>
      </c>
      <c r="K4247">
        <f>IF(LEN(INDEX('Providers'!$AI$4:$AI$503,244))=0,"",INDEX('Providers'!$AI$4:$AI$503,244))</f>
        <v/>
      </c>
    </row>
    <row r="4248">
      <c r="A4248">
        <f>IF(AND(LEN('Providers'!A248)&gt;0,ISNUMBER('Providers'!AA248)),1,0)</f>
        <v/>
      </c>
      <c r="B4248">
        <f>B4247+A4248</f>
        <v/>
      </c>
      <c r="C4248">
        <f>IF(4245&gt;$B$4503,"",MATCH(4245-0.5,$B$3:$B$4503,1))</f>
        <v/>
      </c>
      <c r="D4248">
        <f>"Payer recredentialing – "&amp;IF(LEN(INDEX('Providers'!$A$4:$A$503,245))=0,"",INDEX('Providers'!$A$4:$A$503,245))</f>
        <v/>
      </c>
      <c r="E4248">
        <f>IF(ISNUMBER(INDEX('Providers'!$AA$4:$AA$503,245)),TEXT(INDEX('Providers'!$AA$4:$AA$503,245),"yyyy-mm-dd"),"")</f>
        <v/>
      </c>
      <c r="F4248">
        <f>"Credentialing"</f>
        <v/>
      </c>
      <c r="G4248">
        <f>""</f>
        <v/>
      </c>
      <c r="H4248">
        <f>"High"</f>
        <v/>
      </c>
      <c r="I4248">
        <f>TRIM(IF(LEN(IF(LEN(INDEX('Providers'!$Z$4:$Z$503,245))=0,"",INDEX('Providers'!$Z$4:$Z$503,245)))=0,"","Payer(s): "&amp;IF(LEN(INDEX('Providers'!$Z$4:$Z$503,245))=0,"",INDEX('Providers'!$Z$4:$Z$503,245))&amp;". "))</f>
        <v/>
      </c>
      <c r="J4248">
        <f>IF(LEN(INDEX('Providers'!$AJ$4:$AJ$503,245))=0,"",INDEX('Providers'!$AJ$4:$AJ$503,245))</f>
        <v/>
      </c>
      <c r="K4248">
        <f>IF(LEN(INDEX('Providers'!$AI$4:$AI$503,245))=0,"",INDEX('Providers'!$AI$4:$AI$503,245))</f>
        <v/>
      </c>
    </row>
    <row r="4249">
      <c r="A4249">
        <f>IF(AND(LEN('Providers'!A249)&gt;0,ISNUMBER('Providers'!AA249)),1,0)</f>
        <v/>
      </c>
      <c r="B4249">
        <f>B4248+A4249</f>
        <v/>
      </c>
      <c r="C4249">
        <f>IF(4246&gt;$B$4503,"",MATCH(4246-0.5,$B$3:$B$4503,1))</f>
        <v/>
      </c>
      <c r="D4249">
        <f>"Payer recredentialing – "&amp;IF(LEN(INDEX('Providers'!$A$4:$A$503,246))=0,"",INDEX('Providers'!$A$4:$A$503,246))</f>
        <v/>
      </c>
      <c r="E4249">
        <f>IF(ISNUMBER(INDEX('Providers'!$AA$4:$AA$503,246)),TEXT(INDEX('Providers'!$AA$4:$AA$503,246),"yyyy-mm-dd"),"")</f>
        <v/>
      </c>
      <c r="F4249">
        <f>"Credentialing"</f>
        <v/>
      </c>
      <c r="G4249">
        <f>""</f>
        <v/>
      </c>
      <c r="H4249">
        <f>"High"</f>
        <v/>
      </c>
      <c r="I4249">
        <f>TRIM(IF(LEN(IF(LEN(INDEX('Providers'!$Z$4:$Z$503,246))=0,"",INDEX('Providers'!$Z$4:$Z$503,246)))=0,"","Payer(s): "&amp;IF(LEN(INDEX('Providers'!$Z$4:$Z$503,246))=0,"",INDEX('Providers'!$Z$4:$Z$503,246))&amp;". "))</f>
        <v/>
      </c>
      <c r="J4249">
        <f>IF(LEN(INDEX('Providers'!$AJ$4:$AJ$503,246))=0,"",INDEX('Providers'!$AJ$4:$AJ$503,246))</f>
        <v/>
      </c>
      <c r="K4249">
        <f>IF(LEN(INDEX('Providers'!$AI$4:$AI$503,246))=0,"",INDEX('Providers'!$AI$4:$AI$503,246))</f>
        <v/>
      </c>
    </row>
    <row r="4250">
      <c r="A4250">
        <f>IF(AND(LEN('Providers'!A250)&gt;0,ISNUMBER('Providers'!AA250)),1,0)</f>
        <v/>
      </c>
      <c r="B4250">
        <f>B4249+A4250</f>
        <v/>
      </c>
      <c r="C4250">
        <f>IF(4247&gt;$B$4503,"",MATCH(4247-0.5,$B$3:$B$4503,1))</f>
        <v/>
      </c>
      <c r="D4250">
        <f>"Payer recredentialing – "&amp;IF(LEN(INDEX('Providers'!$A$4:$A$503,247))=0,"",INDEX('Providers'!$A$4:$A$503,247))</f>
        <v/>
      </c>
      <c r="E4250">
        <f>IF(ISNUMBER(INDEX('Providers'!$AA$4:$AA$503,247)),TEXT(INDEX('Providers'!$AA$4:$AA$503,247),"yyyy-mm-dd"),"")</f>
        <v/>
      </c>
      <c r="F4250">
        <f>"Credentialing"</f>
        <v/>
      </c>
      <c r="G4250">
        <f>""</f>
        <v/>
      </c>
      <c r="H4250">
        <f>"High"</f>
        <v/>
      </c>
      <c r="I4250">
        <f>TRIM(IF(LEN(IF(LEN(INDEX('Providers'!$Z$4:$Z$503,247))=0,"",INDEX('Providers'!$Z$4:$Z$503,247)))=0,"","Payer(s): "&amp;IF(LEN(INDEX('Providers'!$Z$4:$Z$503,247))=0,"",INDEX('Providers'!$Z$4:$Z$503,247))&amp;". "))</f>
        <v/>
      </c>
      <c r="J4250">
        <f>IF(LEN(INDEX('Providers'!$AJ$4:$AJ$503,247))=0,"",INDEX('Providers'!$AJ$4:$AJ$503,247))</f>
        <v/>
      </c>
      <c r="K4250">
        <f>IF(LEN(INDEX('Providers'!$AI$4:$AI$503,247))=0,"",INDEX('Providers'!$AI$4:$AI$503,247))</f>
        <v/>
      </c>
    </row>
    <row r="4251">
      <c r="A4251">
        <f>IF(AND(LEN('Providers'!A251)&gt;0,ISNUMBER('Providers'!AA251)),1,0)</f>
        <v/>
      </c>
      <c r="B4251">
        <f>B4250+A4251</f>
        <v/>
      </c>
      <c r="C4251">
        <f>IF(4248&gt;$B$4503,"",MATCH(4248-0.5,$B$3:$B$4503,1))</f>
        <v/>
      </c>
      <c r="D4251">
        <f>"Payer recredentialing – "&amp;IF(LEN(INDEX('Providers'!$A$4:$A$503,248))=0,"",INDEX('Providers'!$A$4:$A$503,248))</f>
        <v/>
      </c>
      <c r="E4251">
        <f>IF(ISNUMBER(INDEX('Providers'!$AA$4:$AA$503,248)),TEXT(INDEX('Providers'!$AA$4:$AA$503,248),"yyyy-mm-dd"),"")</f>
        <v/>
      </c>
      <c r="F4251">
        <f>"Credentialing"</f>
        <v/>
      </c>
      <c r="G4251">
        <f>""</f>
        <v/>
      </c>
      <c r="H4251">
        <f>"High"</f>
        <v/>
      </c>
      <c r="I4251">
        <f>TRIM(IF(LEN(IF(LEN(INDEX('Providers'!$Z$4:$Z$503,248))=0,"",INDEX('Providers'!$Z$4:$Z$503,248)))=0,"","Payer(s): "&amp;IF(LEN(INDEX('Providers'!$Z$4:$Z$503,248))=0,"",INDEX('Providers'!$Z$4:$Z$503,248))&amp;". "))</f>
        <v/>
      </c>
      <c r="J4251">
        <f>IF(LEN(INDEX('Providers'!$AJ$4:$AJ$503,248))=0,"",INDEX('Providers'!$AJ$4:$AJ$503,248))</f>
        <v/>
      </c>
      <c r="K4251">
        <f>IF(LEN(INDEX('Providers'!$AI$4:$AI$503,248))=0,"",INDEX('Providers'!$AI$4:$AI$503,248))</f>
        <v/>
      </c>
    </row>
    <row r="4252">
      <c r="A4252">
        <f>IF(AND(LEN('Providers'!A252)&gt;0,ISNUMBER('Providers'!AA252)),1,0)</f>
        <v/>
      </c>
      <c r="B4252">
        <f>B4251+A4252</f>
        <v/>
      </c>
      <c r="C4252">
        <f>IF(4249&gt;$B$4503,"",MATCH(4249-0.5,$B$3:$B$4503,1))</f>
        <v/>
      </c>
      <c r="D4252">
        <f>"Payer recredentialing – "&amp;IF(LEN(INDEX('Providers'!$A$4:$A$503,249))=0,"",INDEX('Providers'!$A$4:$A$503,249))</f>
        <v/>
      </c>
      <c r="E4252">
        <f>IF(ISNUMBER(INDEX('Providers'!$AA$4:$AA$503,249)),TEXT(INDEX('Providers'!$AA$4:$AA$503,249),"yyyy-mm-dd"),"")</f>
        <v/>
      </c>
      <c r="F4252">
        <f>"Credentialing"</f>
        <v/>
      </c>
      <c r="G4252">
        <f>""</f>
        <v/>
      </c>
      <c r="H4252">
        <f>"High"</f>
        <v/>
      </c>
      <c r="I4252">
        <f>TRIM(IF(LEN(IF(LEN(INDEX('Providers'!$Z$4:$Z$503,249))=0,"",INDEX('Providers'!$Z$4:$Z$503,249)))=0,"","Payer(s): "&amp;IF(LEN(INDEX('Providers'!$Z$4:$Z$503,249))=0,"",INDEX('Providers'!$Z$4:$Z$503,249))&amp;". "))</f>
        <v/>
      </c>
      <c r="J4252">
        <f>IF(LEN(INDEX('Providers'!$AJ$4:$AJ$503,249))=0,"",INDEX('Providers'!$AJ$4:$AJ$503,249))</f>
        <v/>
      </c>
      <c r="K4252">
        <f>IF(LEN(INDEX('Providers'!$AI$4:$AI$503,249))=0,"",INDEX('Providers'!$AI$4:$AI$503,249))</f>
        <v/>
      </c>
    </row>
    <row r="4253">
      <c r="A4253">
        <f>IF(AND(LEN('Providers'!A253)&gt;0,ISNUMBER('Providers'!AA253)),1,0)</f>
        <v/>
      </c>
      <c r="B4253">
        <f>B4252+A4253</f>
        <v/>
      </c>
      <c r="C4253">
        <f>IF(4250&gt;$B$4503,"",MATCH(4250-0.5,$B$3:$B$4503,1))</f>
        <v/>
      </c>
      <c r="D4253">
        <f>"Payer recredentialing – "&amp;IF(LEN(INDEX('Providers'!$A$4:$A$503,250))=0,"",INDEX('Providers'!$A$4:$A$503,250))</f>
        <v/>
      </c>
      <c r="E4253">
        <f>IF(ISNUMBER(INDEX('Providers'!$AA$4:$AA$503,250)),TEXT(INDEX('Providers'!$AA$4:$AA$503,250),"yyyy-mm-dd"),"")</f>
        <v/>
      </c>
      <c r="F4253">
        <f>"Credentialing"</f>
        <v/>
      </c>
      <c r="G4253">
        <f>""</f>
        <v/>
      </c>
      <c r="H4253">
        <f>"High"</f>
        <v/>
      </c>
      <c r="I4253">
        <f>TRIM(IF(LEN(IF(LEN(INDEX('Providers'!$Z$4:$Z$503,250))=0,"",INDEX('Providers'!$Z$4:$Z$503,250)))=0,"","Payer(s): "&amp;IF(LEN(INDEX('Providers'!$Z$4:$Z$503,250))=0,"",INDEX('Providers'!$Z$4:$Z$503,250))&amp;". "))</f>
        <v/>
      </c>
      <c r="J4253">
        <f>IF(LEN(INDEX('Providers'!$AJ$4:$AJ$503,250))=0,"",INDEX('Providers'!$AJ$4:$AJ$503,250))</f>
        <v/>
      </c>
      <c r="K4253">
        <f>IF(LEN(INDEX('Providers'!$AI$4:$AI$503,250))=0,"",INDEX('Providers'!$AI$4:$AI$503,250))</f>
        <v/>
      </c>
    </row>
    <row r="4254">
      <c r="A4254">
        <f>IF(AND(LEN('Providers'!A254)&gt;0,ISNUMBER('Providers'!AA254)),1,0)</f>
        <v/>
      </c>
      <c r="B4254">
        <f>B4253+A4254</f>
        <v/>
      </c>
      <c r="C4254">
        <f>IF(4251&gt;$B$4503,"",MATCH(4251-0.5,$B$3:$B$4503,1))</f>
        <v/>
      </c>
      <c r="D4254">
        <f>"Payer recredentialing – "&amp;IF(LEN(INDEX('Providers'!$A$4:$A$503,251))=0,"",INDEX('Providers'!$A$4:$A$503,251))</f>
        <v/>
      </c>
      <c r="E4254">
        <f>IF(ISNUMBER(INDEX('Providers'!$AA$4:$AA$503,251)),TEXT(INDEX('Providers'!$AA$4:$AA$503,251),"yyyy-mm-dd"),"")</f>
        <v/>
      </c>
      <c r="F4254">
        <f>"Credentialing"</f>
        <v/>
      </c>
      <c r="G4254">
        <f>""</f>
        <v/>
      </c>
      <c r="H4254">
        <f>"High"</f>
        <v/>
      </c>
      <c r="I4254">
        <f>TRIM(IF(LEN(IF(LEN(INDEX('Providers'!$Z$4:$Z$503,251))=0,"",INDEX('Providers'!$Z$4:$Z$503,251)))=0,"","Payer(s): "&amp;IF(LEN(INDEX('Providers'!$Z$4:$Z$503,251))=0,"",INDEX('Providers'!$Z$4:$Z$503,251))&amp;". "))</f>
        <v/>
      </c>
      <c r="J4254">
        <f>IF(LEN(INDEX('Providers'!$AJ$4:$AJ$503,251))=0,"",INDEX('Providers'!$AJ$4:$AJ$503,251))</f>
        <v/>
      </c>
      <c r="K4254">
        <f>IF(LEN(INDEX('Providers'!$AI$4:$AI$503,251))=0,"",INDEX('Providers'!$AI$4:$AI$503,251))</f>
        <v/>
      </c>
    </row>
    <row r="4255">
      <c r="A4255">
        <f>IF(AND(LEN('Providers'!A255)&gt;0,ISNUMBER('Providers'!AA255)),1,0)</f>
        <v/>
      </c>
      <c r="B4255">
        <f>B4254+A4255</f>
        <v/>
      </c>
      <c r="C4255">
        <f>IF(4252&gt;$B$4503,"",MATCH(4252-0.5,$B$3:$B$4503,1))</f>
        <v/>
      </c>
      <c r="D4255">
        <f>"Payer recredentialing – "&amp;IF(LEN(INDEX('Providers'!$A$4:$A$503,252))=0,"",INDEX('Providers'!$A$4:$A$503,252))</f>
        <v/>
      </c>
      <c r="E4255">
        <f>IF(ISNUMBER(INDEX('Providers'!$AA$4:$AA$503,252)),TEXT(INDEX('Providers'!$AA$4:$AA$503,252),"yyyy-mm-dd"),"")</f>
        <v/>
      </c>
      <c r="F4255">
        <f>"Credentialing"</f>
        <v/>
      </c>
      <c r="G4255">
        <f>""</f>
        <v/>
      </c>
      <c r="H4255">
        <f>"High"</f>
        <v/>
      </c>
      <c r="I4255">
        <f>TRIM(IF(LEN(IF(LEN(INDEX('Providers'!$Z$4:$Z$503,252))=0,"",INDEX('Providers'!$Z$4:$Z$503,252)))=0,"","Payer(s): "&amp;IF(LEN(INDEX('Providers'!$Z$4:$Z$503,252))=0,"",INDEX('Providers'!$Z$4:$Z$503,252))&amp;". "))</f>
        <v/>
      </c>
      <c r="J4255">
        <f>IF(LEN(INDEX('Providers'!$AJ$4:$AJ$503,252))=0,"",INDEX('Providers'!$AJ$4:$AJ$503,252))</f>
        <v/>
      </c>
      <c r="K4255">
        <f>IF(LEN(INDEX('Providers'!$AI$4:$AI$503,252))=0,"",INDEX('Providers'!$AI$4:$AI$503,252))</f>
        <v/>
      </c>
    </row>
    <row r="4256">
      <c r="A4256">
        <f>IF(AND(LEN('Providers'!A256)&gt;0,ISNUMBER('Providers'!AA256)),1,0)</f>
        <v/>
      </c>
      <c r="B4256">
        <f>B4255+A4256</f>
        <v/>
      </c>
      <c r="C4256">
        <f>IF(4253&gt;$B$4503,"",MATCH(4253-0.5,$B$3:$B$4503,1))</f>
        <v/>
      </c>
      <c r="D4256">
        <f>"Payer recredentialing – "&amp;IF(LEN(INDEX('Providers'!$A$4:$A$503,253))=0,"",INDEX('Providers'!$A$4:$A$503,253))</f>
        <v/>
      </c>
      <c r="E4256">
        <f>IF(ISNUMBER(INDEX('Providers'!$AA$4:$AA$503,253)),TEXT(INDEX('Providers'!$AA$4:$AA$503,253),"yyyy-mm-dd"),"")</f>
        <v/>
      </c>
      <c r="F4256">
        <f>"Credentialing"</f>
        <v/>
      </c>
      <c r="G4256">
        <f>""</f>
        <v/>
      </c>
      <c r="H4256">
        <f>"High"</f>
        <v/>
      </c>
      <c r="I4256">
        <f>TRIM(IF(LEN(IF(LEN(INDEX('Providers'!$Z$4:$Z$503,253))=0,"",INDEX('Providers'!$Z$4:$Z$503,253)))=0,"","Payer(s): "&amp;IF(LEN(INDEX('Providers'!$Z$4:$Z$503,253))=0,"",INDEX('Providers'!$Z$4:$Z$503,253))&amp;". "))</f>
        <v/>
      </c>
      <c r="J4256">
        <f>IF(LEN(INDEX('Providers'!$AJ$4:$AJ$503,253))=0,"",INDEX('Providers'!$AJ$4:$AJ$503,253))</f>
        <v/>
      </c>
      <c r="K4256">
        <f>IF(LEN(INDEX('Providers'!$AI$4:$AI$503,253))=0,"",INDEX('Providers'!$AI$4:$AI$503,253))</f>
        <v/>
      </c>
    </row>
    <row r="4257">
      <c r="A4257">
        <f>IF(AND(LEN('Providers'!A257)&gt;0,ISNUMBER('Providers'!AA257)),1,0)</f>
        <v/>
      </c>
      <c r="B4257">
        <f>B4256+A4257</f>
        <v/>
      </c>
      <c r="C4257">
        <f>IF(4254&gt;$B$4503,"",MATCH(4254-0.5,$B$3:$B$4503,1))</f>
        <v/>
      </c>
      <c r="D4257">
        <f>"Payer recredentialing – "&amp;IF(LEN(INDEX('Providers'!$A$4:$A$503,254))=0,"",INDEX('Providers'!$A$4:$A$503,254))</f>
        <v/>
      </c>
      <c r="E4257">
        <f>IF(ISNUMBER(INDEX('Providers'!$AA$4:$AA$503,254)),TEXT(INDEX('Providers'!$AA$4:$AA$503,254),"yyyy-mm-dd"),"")</f>
        <v/>
      </c>
      <c r="F4257">
        <f>"Credentialing"</f>
        <v/>
      </c>
      <c r="G4257">
        <f>""</f>
        <v/>
      </c>
      <c r="H4257">
        <f>"High"</f>
        <v/>
      </c>
      <c r="I4257">
        <f>TRIM(IF(LEN(IF(LEN(INDEX('Providers'!$Z$4:$Z$503,254))=0,"",INDEX('Providers'!$Z$4:$Z$503,254)))=0,"","Payer(s): "&amp;IF(LEN(INDEX('Providers'!$Z$4:$Z$503,254))=0,"",INDEX('Providers'!$Z$4:$Z$503,254))&amp;". "))</f>
        <v/>
      </c>
      <c r="J4257">
        <f>IF(LEN(INDEX('Providers'!$AJ$4:$AJ$503,254))=0,"",INDEX('Providers'!$AJ$4:$AJ$503,254))</f>
        <v/>
      </c>
      <c r="K4257">
        <f>IF(LEN(INDEX('Providers'!$AI$4:$AI$503,254))=0,"",INDEX('Providers'!$AI$4:$AI$503,254))</f>
        <v/>
      </c>
    </row>
    <row r="4258">
      <c r="A4258">
        <f>IF(AND(LEN('Providers'!A258)&gt;0,ISNUMBER('Providers'!AA258)),1,0)</f>
        <v/>
      </c>
      <c r="B4258">
        <f>B4257+A4258</f>
        <v/>
      </c>
      <c r="C4258">
        <f>IF(4255&gt;$B$4503,"",MATCH(4255-0.5,$B$3:$B$4503,1))</f>
        <v/>
      </c>
      <c r="D4258">
        <f>"Payer recredentialing – "&amp;IF(LEN(INDEX('Providers'!$A$4:$A$503,255))=0,"",INDEX('Providers'!$A$4:$A$503,255))</f>
        <v/>
      </c>
      <c r="E4258">
        <f>IF(ISNUMBER(INDEX('Providers'!$AA$4:$AA$503,255)),TEXT(INDEX('Providers'!$AA$4:$AA$503,255),"yyyy-mm-dd"),"")</f>
        <v/>
      </c>
      <c r="F4258">
        <f>"Credentialing"</f>
        <v/>
      </c>
      <c r="G4258">
        <f>""</f>
        <v/>
      </c>
      <c r="H4258">
        <f>"High"</f>
        <v/>
      </c>
      <c r="I4258">
        <f>TRIM(IF(LEN(IF(LEN(INDEX('Providers'!$Z$4:$Z$503,255))=0,"",INDEX('Providers'!$Z$4:$Z$503,255)))=0,"","Payer(s): "&amp;IF(LEN(INDEX('Providers'!$Z$4:$Z$503,255))=0,"",INDEX('Providers'!$Z$4:$Z$503,255))&amp;". "))</f>
        <v/>
      </c>
      <c r="J4258">
        <f>IF(LEN(INDEX('Providers'!$AJ$4:$AJ$503,255))=0,"",INDEX('Providers'!$AJ$4:$AJ$503,255))</f>
        <v/>
      </c>
      <c r="K4258">
        <f>IF(LEN(INDEX('Providers'!$AI$4:$AI$503,255))=0,"",INDEX('Providers'!$AI$4:$AI$503,255))</f>
        <v/>
      </c>
    </row>
    <row r="4259">
      <c r="A4259">
        <f>IF(AND(LEN('Providers'!A259)&gt;0,ISNUMBER('Providers'!AA259)),1,0)</f>
        <v/>
      </c>
      <c r="B4259">
        <f>B4258+A4259</f>
        <v/>
      </c>
      <c r="C4259">
        <f>IF(4256&gt;$B$4503,"",MATCH(4256-0.5,$B$3:$B$4503,1))</f>
        <v/>
      </c>
      <c r="D4259">
        <f>"Payer recredentialing – "&amp;IF(LEN(INDEX('Providers'!$A$4:$A$503,256))=0,"",INDEX('Providers'!$A$4:$A$503,256))</f>
        <v/>
      </c>
      <c r="E4259">
        <f>IF(ISNUMBER(INDEX('Providers'!$AA$4:$AA$503,256)),TEXT(INDEX('Providers'!$AA$4:$AA$503,256),"yyyy-mm-dd"),"")</f>
        <v/>
      </c>
      <c r="F4259">
        <f>"Credentialing"</f>
        <v/>
      </c>
      <c r="G4259">
        <f>""</f>
        <v/>
      </c>
      <c r="H4259">
        <f>"High"</f>
        <v/>
      </c>
      <c r="I4259">
        <f>TRIM(IF(LEN(IF(LEN(INDEX('Providers'!$Z$4:$Z$503,256))=0,"",INDEX('Providers'!$Z$4:$Z$503,256)))=0,"","Payer(s): "&amp;IF(LEN(INDEX('Providers'!$Z$4:$Z$503,256))=0,"",INDEX('Providers'!$Z$4:$Z$503,256))&amp;". "))</f>
        <v/>
      </c>
      <c r="J4259">
        <f>IF(LEN(INDEX('Providers'!$AJ$4:$AJ$503,256))=0,"",INDEX('Providers'!$AJ$4:$AJ$503,256))</f>
        <v/>
      </c>
      <c r="K4259">
        <f>IF(LEN(INDEX('Providers'!$AI$4:$AI$503,256))=0,"",INDEX('Providers'!$AI$4:$AI$503,256))</f>
        <v/>
      </c>
    </row>
    <row r="4260">
      <c r="A4260">
        <f>IF(AND(LEN('Providers'!A260)&gt;0,ISNUMBER('Providers'!AA260)),1,0)</f>
        <v/>
      </c>
      <c r="B4260">
        <f>B4259+A4260</f>
        <v/>
      </c>
      <c r="C4260">
        <f>IF(4257&gt;$B$4503,"",MATCH(4257-0.5,$B$3:$B$4503,1))</f>
        <v/>
      </c>
      <c r="D4260">
        <f>"Payer recredentialing – "&amp;IF(LEN(INDEX('Providers'!$A$4:$A$503,257))=0,"",INDEX('Providers'!$A$4:$A$503,257))</f>
        <v/>
      </c>
      <c r="E4260">
        <f>IF(ISNUMBER(INDEX('Providers'!$AA$4:$AA$503,257)),TEXT(INDEX('Providers'!$AA$4:$AA$503,257),"yyyy-mm-dd"),"")</f>
        <v/>
      </c>
      <c r="F4260">
        <f>"Credentialing"</f>
        <v/>
      </c>
      <c r="G4260">
        <f>""</f>
        <v/>
      </c>
      <c r="H4260">
        <f>"High"</f>
        <v/>
      </c>
      <c r="I4260">
        <f>TRIM(IF(LEN(IF(LEN(INDEX('Providers'!$Z$4:$Z$503,257))=0,"",INDEX('Providers'!$Z$4:$Z$503,257)))=0,"","Payer(s): "&amp;IF(LEN(INDEX('Providers'!$Z$4:$Z$503,257))=0,"",INDEX('Providers'!$Z$4:$Z$503,257))&amp;". "))</f>
        <v/>
      </c>
      <c r="J4260">
        <f>IF(LEN(INDEX('Providers'!$AJ$4:$AJ$503,257))=0,"",INDEX('Providers'!$AJ$4:$AJ$503,257))</f>
        <v/>
      </c>
      <c r="K4260">
        <f>IF(LEN(INDEX('Providers'!$AI$4:$AI$503,257))=0,"",INDEX('Providers'!$AI$4:$AI$503,257))</f>
        <v/>
      </c>
    </row>
    <row r="4261">
      <c r="A4261">
        <f>IF(AND(LEN('Providers'!A261)&gt;0,ISNUMBER('Providers'!AA261)),1,0)</f>
        <v/>
      </c>
      <c r="B4261">
        <f>B4260+A4261</f>
        <v/>
      </c>
      <c r="C4261">
        <f>IF(4258&gt;$B$4503,"",MATCH(4258-0.5,$B$3:$B$4503,1))</f>
        <v/>
      </c>
      <c r="D4261">
        <f>"Payer recredentialing – "&amp;IF(LEN(INDEX('Providers'!$A$4:$A$503,258))=0,"",INDEX('Providers'!$A$4:$A$503,258))</f>
        <v/>
      </c>
      <c r="E4261">
        <f>IF(ISNUMBER(INDEX('Providers'!$AA$4:$AA$503,258)),TEXT(INDEX('Providers'!$AA$4:$AA$503,258),"yyyy-mm-dd"),"")</f>
        <v/>
      </c>
      <c r="F4261">
        <f>"Credentialing"</f>
        <v/>
      </c>
      <c r="G4261">
        <f>""</f>
        <v/>
      </c>
      <c r="H4261">
        <f>"High"</f>
        <v/>
      </c>
      <c r="I4261">
        <f>TRIM(IF(LEN(IF(LEN(INDEX('Providers'!$Z$4:$Z$503,258))=0,"",INDEX('Providers'!$Z$4:$Z$503,258)))=0,"","Payer(s): "&amp;IF(LEN(INDEX('Providers'!$Z$4:$Z$503,258))=0,"",INDEX('Providers'!$Z$4:$Z$503,258))&amp;". "))</f>
        <v/>
      </c>
      <c r="J4261">
        <f>IF(LEN(INDEX('Providers'!$AJ$4:$AJ$503,258))=0,"",INDEX('Providers'!$AJ$4:$AJ$503,258))</f>
        <v/>
      </c>
      <c r="K4261">
        <f>IF(LEN(INDEX('Providers'!$AI$4:$AI$503,258))=0,"",INDEX('Providers'!$AI$4:$AI$503,258))</f>
        <v/>
      </c>
    </row>
    <row r="4262">
      <c r="A4262">
        <f>IF(AND(LEN('Providers'!A262)&gt;0,ISNUMBER('Providers'!AA262)),1,0)</f>
        <v/>
      </c>
      <c r="B4262">
        <f>B4261+A4262</f>
        <v/>
      </c>
      <c r="C4262">
        <f>IF(4259&gt;$B$4503,"",MATCH(4259-0.5,$B$3:$B$4503,1))</f>
        <v/>
      </c>
      <c r="D4262">
        <f>"Payer recredentialing – "&amp;IF(LEN(INDEX('Providers'!$A$4:$A$503,259))=0,"",INDEX('Providers'!$A$4:$A$503,259))</f>
        <v/>
      </c>
      <c r="E4262">
        <f>IF(ISNUMBER(INDEX('Providers'!$AA$4:$AA$503,259)),TEXT(INDEX('Providers'!$AA$4:$AA$503,259),"yyyy-mm-dd"),"")</f>
        <v/>
      </c>
      <c r="F4262">
        <f>"Credentialing"</f>
        <v/>
      </c>
      <c r="G4262">
        <f>""</f>
        <v/>
      </c>
      <c r="H4262">
        <f>"High"</f>
        <v/>
      </c>
      <c r="I4262">
        <f>TRIM(IF(LEN(IF(LEN(INDEX('Providers'!$Z$4:$Z$503,259))=0,"",INDEX('Providers'!$Z$4:$Z$503,259)))=0,"","Payer(s): "&amp;IF(LEN(INDEX('Providers'!$Z$4:$Z$503,259))=0,"",INDEX('Providers'!$Z$4:$Z$503,259))&amp;". "))</f>
        <v/>
      </c>
      <c r="J4262">
        <f>IF(LEN(INDEX('Providers'!$AJ$4:$AJ$503,259))=0,"",INDEX('Providers'!$AJ$4:$AJ$503,259))</f>
        <v/>
      </c>
      <c r="K4262">
        <f>IF(LEN(INDEX('Providers'!$AI$4:$AI$503,259))=0,"",INDEX('Providers'!$AI$4:$AI$503,259))</f>
        <v/>
      </c>
    </row>
    <row r="4263">
      <c r="A4263">
        <f>IF(AND(LEN('Providers'!A263)&gt;0,ISNUMBER('Providers'!AA263)),1,0)</f>
        <v/>
      </c>
      <c r="B4263">
        <f>B4262+A4263</f>
        <v/>
      </c>
      <c r="C4263">
        <f>IF(4260&gt;$B$4503,"",MATCH(4260-0.5,$B$3:$B$4503,1))</f>
        <v/>
      </c>
      <c r="D4263">
        <f>"Payer recredentialing – "&amp;IF(LEN(INDEX('Providers'!$A$4:$A$503,260))=0,"",INDEX('Providers'!$A$4:$A$503,260))</f>
        <v/>
      </c>
      <c r="E4263">
        <f>IF(ISNUMBER(INDEX('Providers'!$AA$4:$AA$503,260)),TEXT(INDEX('Providers'!$AA$4:$AA$503,260),"yyyy-mm-dd"),"")</f>
        <v/>
      </c>
      <c r="F4263">
        <f>"Credentialing"</f>
        <v/>
      </c>
      <c r="G4263">
        <f>""</f>
        <v/>
      </c>
      <c r="H4263">
        <f>"High"</f>
        <v/>
      </c>
      <c r="I4263">
        <f>TRIM(IF(LEN(IF(LEN(INDEX('Providers'!$Z$4:$Z$503,260))=0,"",INDEX('Providers'!$Z$4:$Z$503,260)))=0,"","Payer(s): "&amp;IF(LEN(INDEX('Providers'!$Z$4:$Z$503,260))=0,"",INDEX('Providers'!$Z$4:$Z$503,260))&amp;". "))</f>
        <v/>
      </c>
      <c r="J4263">
        <f>IF(LEN(INDEX('Providers'!$AJ$4:$AJ$503,260))=0,"",INDEX('Providers'!$AJ$4:$AJ$503,260))</f>
        <v/>
      </c>
      <c r="K4263">
        <f>IF(LEN(INDEX('Providers'!$AI$4:$AI$503,260))=0,"",INDEX('Providers'!$AI$4:$AI$503,260))</f>
        <v/>
      </c>
    </row>
    <row r="4264">
      <c r="A4264">
        <f>IF(AND(LEN('Providers'!A264)&gt;0,ISNUMBER('Providers'!AA264)),1,0)</f>
        <v/>
      </c>
      <c r="B4264">
        <f>B4263+A4264</f>
        <v/>
      </c>
      <c r="C4264">
        <f>IF(4261&gt;$B$4503,"",MATCH(4261-0.5,$B$3:$B$4503,1))</f>
        <v/>
      </c>
      <c r="D4264">
        <f>"Payer recredentialing – "&amp;IF(LEN(INDEX('Providers'!$A$4:$A$503,261))=0,"",INDEX('Providers'!$A$4:$A$503,261))</f>
        <v/>
      </c>
      <c r="E4264">
        <f>IF(ISNUMBER(INDEX('Providers'!$AA$4:$AA$503,261)),TEXT(INDEX('Providers'!$AA$4:$AA$503,261),"yyyy-mm-dd"),"")</f>
        <v/>
      </c>
      <c r="F4264">
        <f>"Credentialing"</f>
        <v/>
      </c>
      <c r="G4264">
        <f>""</f>
        <v/>
      </c>
      <c r="H4264">
        <f>"High"</f>
        <v/>
      </c>
      <c r="I4264">
        <f>TRIM(IF(LEN(IF(LEN(INDEX('Providers'!$Z$4:$Z$503,261))=0,"",INDEX('Providers'!$Z$4:$Z$503,261)))=0,"","Payer(s): "&amp;IF(LEN(INDEX('Providers'!$Z$4:$Z$503,261))=0,"",INDEX('Providers'!$Z$4:$Z$503,261))&amp;". "))</f>
        <v/>
      </c>
      <c r="J4264">
        <f>IF(LEN(INDEX('Providers'!$AJ$4:$AJ$503,261))=0,"",INDEX('Providers'!$AJ$4:$AJ$503,261))</f>
        <v/>
      </c>
      <c r="K4264">
        <f>IF(LEN(INDEX('Providers'!$AI$4:$AI$503,261))=0,"",INDEX('Providers'!$AI$4:$AI$503,261))</f>
        <v/>
      </c>
    </row>
    <row r="4265">
      <c r="A4265">
        <f>IF(AND(LEN('Providers'!A265)&gt;0,ISNUMBER('Providers'!AA265)),1,0)</f>
        <v/>
      </c>
      <c r="B4265">
        <f>B4264+A4265</f>
        <v/>
      </c>
      <c r="C4265">
        <f>IF(4262&gt;$B$4503,"",MATCH(4262-0.5,$B$3:$B$4503,1))</f>
        <v/>
      </c>
      <c r="D4265">
        <f>"Payer recredentialing – "&amp;IF(LEN(INDEX('Providers'!$A$4:$A$503,262))=0,"",INDEX('Providers'!$A$4:$A$503,262))</f>
        <v/>
      </c>
      <c r="E4265">
        <f>IF(ISNUMBER(INDEX('Providers'!$AA$4:$AA$503,262)),TEXT(INDEX('Providers'!$AA$4:$AA$503,262),"yyyy-mm-dd"),"")</f>
        <v/>
      </c>
      <c r="F4265">
        <f>"Credentialing"</f>
        <v/>
      </c>
      <c r="G4265">
        <f>""</f>
        <v/>
      </c>
      <c r="H4265">
        <f>"High"</f>
        <v/>
      </c>
      <c r="I4265">
        <f>TRIM(IF(LEN(IF(LEN(INDEX('Providers'!$Z$4:$Z$503,262))=0,"",INDEX('Providers'!$Z$4:$Z$503,262)))=0,"","Payer(s): "&amp;IF(LEN(INDEX('Providers'!$Z$4:$Z$503,262))=0,"",INDEX('Providers'!$Z$4:$Z$503,262))&amp;". "))</f>
        <v/>
      </c>
      <c r="J4265">
        <f>IF(LEN(INDEX('Providers'!$AJ$4:$AJ$503,262))=0,"",INDEX('Providers'!$AJ$4:$AJ$503,262))</f>
        <v/>
      </c>
      <c r="K4265">
        <f>IF(LEN(INDEX('Providers'!$AI$4:$AI$503,262))=0,"",INDEX('Providers'!$AI$4:$AI$503,262))</f>
        <v/>
      </c>
    </row>
    <row r="4266">
      <c r="A4266">
        <f>IF(AND(LEN('Providers'!A266)&gt;0,ISNUMBER('Providers'!AA266)),1,0)</f>
        <v/>
      </c>
      <c r="B4266">
        <f>B4265+A4266</f>
        <v/>
      </c>
      <c r="C4266">
        <f>IF(4263&gt;$B$4503,"",MATCH(4263-0.5,$B$3:$B$4503,1))</f>
        <v/>
      </c>
      <c r="D4266">
        <f>"Payer recredentialing – "&amp;IF(LEN(INDEX('Providers'!$A$4:$A$503,263))=0,"",INDEX('Providers'!$A$4:$A$503,263))</f>
        <v/>
      </c>
      <c r="E4266">
        <f>IF(ISNUMBER(INDEX('Providers'!$AA$4:$AA$503,263)),TEXT(INDEX('Providers'!$AA$4:$AA$503,263),"yyyy-mm-dd"),"")</f>
        <v/>
      </c>
      <c r="F4266">
        <f>"Credentialing"</f>
        <v/>
      </c>
      <c r="G4266">
        <f>""</f>
        <v/>
      </c>
      <c r="H4266">
        <f>"High"</f>
        <v/>
      </c>
      <c r="I4266">
        <f>TRIM(IF(LEN(IF(LEN(INDEX('Providers'!$Z$4:$Z$503,263))=0,"",INDEX('Providers'!$Z$4:$Z$503,263)))=0,"","Payer(s): "&amp;IF(LEN(INDEX('Providers'!$Z$4:$Z$503,263))=0,"",INDEX('Providers'!$Z$4:$Z$503,263))&amp;". "))</f>
        <v/>
      </c>
      <c r="J4266">
        <f>IF(LEN(INDEX('Providers'!$AJ$4:$AJ$503,263))=0,"",INDEX('Providers'!$AJ$4:$AJ$503,263))</f>
        <v/>
      </c>
      <c r="K4266">
        <f>IF(LEN(INDEX('Providers'!$AI$4:$AI$503,263))=0,"",INDEX('Providers'!$AI$4:$AI$503,263))</f>
        <v/>
      </c>
    </row>
    <row r="4267">
      <c r="A4267">
        <f>IF(AND(LEN('Providers'!A267)&gt;0,ISNUMBER('Providers'!AA267)),1,0)</f>
        <v/>
      </c>
      <c r="B4267">
        <f>B4266+A4267</f>
        <v/>
      </c>
      <c r="C4267">
        <f>IF(4264&gt;$B$4503,"",MATCH(4264-0.5,$B$3:$B$4503,1))</f>
        <v/>
      </c>
      <c r="D4267">
        <f>"Payer recredentialing – "&amp;IF(LEN(INDEX('Providers'!$A$4:$A$503,264))=0,"",INDEX('Providers'!$A$4:$A$503,264))</f>
        <v/>
      </c>
      <c r="E4267">
        <f>IF(ISNUMBER(INDEX('Providers'!$AA$4:$AA$503,264)),TEXT(INDEX('Providers'!$AA$4:$AA$503,264),"yyyy-mm-dd"),"")</f>
        <v/>
      </c>
      <c r="F4267">
        <f>"Credentialing"</f>
        <v/>
      </c>
      <c r="G4267">
        <f>""</f>
        <v/>
      </c>
      <c r="H4267">
        <f>"High"</f>
        <v/>
      </c>
      <c r="I4267">
        <f>TRIM(IF(LEN(IF(LEN(INDEX('Providers'!$Z$4:$Z$503,264))=0,"",INDEX('Providers'!$Z$4:$Z$503,264)))=0,"","Payer(s): "&amp;IF(LEN(INDEX('Providers'!$Z$4:$Z$503,264))=0,"",INDEX('Providers'!$Z$4:$Z$503,264))&amp;". "))</f>
        <v/>
      </c>
      <c r="J4267">
        <f>IF(LEN(INDEX('Providers'!$AJ$4:$AJ$503,264))=0,"",INDEX('Providers'!$AJ$4:$AJ$503,264))</f>
        <v/>
      </c>
      <c r="K4267">
        <f>IF(LEN(INDEX('Providers'!$AI$4:$AI$503,264))=0,"",INDEX('Providers'!$AI$4:$AI$503,264))</f>
        <v/>
      </c>
    </row>
    <row r="4268">
      <c r="A4268">
        <f>IF(AND(LEN('Providers'!A268)&gt;0,ISNUMBER('Providers'!AA268)),1,0)</f>
        <v/>
      </c>
      <c r="B4268">
        <f>B4267+A4268</f>
        <v/>
      </c>
      <c r="C4268">
        <f>IF(4265&gt;$B$4503,"",MATCH(4265-0.5,$B$3:$B$4503,1))</f>
        <v/>
      </c>
      <c r="D4268">
        <f>"Payer recredentialing – "&amp;IF(LEN(INDEX('Providers'!$A$4:$A$503,265))=0,"",INDEX('Providers'!$A$4:$A$503,265))</f>
        <v/>
      </c>
      <c r="E4268">
        <f>IF(ISNUMBER(INDEX('Providers'!$AA$4:$AA$503,265)),TEXT(INDEX('Providers'!$AA$4:$AA$503,265),"yyyy-mm-dd"),"")</f>
        <v/>
      </c>
      <c r="F4268">
        <f>"Credentialing"</f>
        <v/>
      </c>
      <c r="G4268">
        <f>""</f>
        <v/>
      </c>
      <c r="H4268">
        <f>"High"</f>
        <v/>
      </c>
      <c r="I4268">
        <f>TRIM(IF(LEN(IF(LEN(INDEX('Providers'!$Z$4:$Z$503,265))=0,"",INDEX('Providers'!$Z$4:$Z$503,265)))=0,"","Payer(s): "&amp;IF(LEN(INDEX('Providers'!$Z$4:$Z$503,265))=0,"",INDEX('Providers'!$Z$4:$Z$503,265))&amp;". "))</f>
        <v/>
      </c>
      <c r="J4268">
        <f>IF(LEN(INDEX('Providers'!$AJ$4:$AJ$503,265))=0,"",INDEX('Providers'!$AJ$4:$AJ$503,265))</f>
        <v/>
      </c>
      <c r="K4268">
        <f>IF(LEN(INDEX('Providers'!$AI$4:$AI$503,265))=0,"",INDEX('Providers'!$AI$4:$AI$503,265))</f>
        <v/>
      </c>
    </row>
    <row r="4269">
      <c r="A4269">
        <f>IF(AND(LEN('Providers'!A269)&gt;0,ISNUMBER('Providers'!AA269)),1,0)</f>
        <v/>
      </c>
      <c r="B4269">
        <f>B4268+A4269</f>
        <v/>
      </c>
      <c r="C4269">
        <f>IF(4266&gt;$B$4503,"",MATCH(4266-0.5,$B$3:$B$4503,1))</f>
        <v/>
      </c>
      <c r="D4269">
        <f>"Payer recredentialing – "&amp;IF(LEN(INDEX('Providers'!$A$4:$A$503,266))=0,"",INDEX('Providers'!$A$4:$A$503,266))</f>
        <v/>
      </c>
      <c r="E4269">
        <f>IF(ISNUMBER(INDEX('Providers'!$AA$4:$AA$503,266)),TEXT(INDEX('Providers'!$AA$4:$AA$503,266),"yyyy-mm-dd"),"")</f>
        <v/>
      </c>
      <c r="F4269">
        <f>"Credentialing"</f>
        <v/>
      </c>
      <c r="G4269">
        <f>""</f>
        <v/>
      </c>
      <c r="H4269">
        <f>"High"</f>
        <v/>
      </c>
      <c r="I4269">
        <f>TRIM(IF(LEN(IF(LEN(INDEX('Providers'!$Z$4:$Z$503,266))=0,"",INDEX('Providers'!$Z$4:$Z$503,266)))=0,"","Payer(s): "&amp;IF(LEN(INDEX('Providers'!$Z$4:$Z$503,266))=0,"",INDEX('Providers'!$Z$4:$Z$503,266))&amp;". "))</f>
        <v/>
      </c>
      <c r="J4269">
        <f>IF(LEN(INDEX('Providers'!$AJ$4:$AJ$503,266))=0,"",INDEX('Providers'!$AJ$4:$AJ$503,266))</f>
        <v/>
      </c>
      <c r="K4269">
        <f>IF(LEN(INDEX('Providers'!$AI$4:$AI$503,266))=0,"",INDEX('Providers'!$AI$4:$AI$503,266))</f>
        <v/>
      </c>
    </row>
    <row r="4270">
      <c r="A4270">
        <f>IF(AND(LEN('Providers'!A270)&gt;0,ISNUMBER('Providers'!AA270)),1,0)</f>
        <v/>
      </c>
      <c r="B4270">
        <f>B4269+A4270</f>
        <v/>
      </c>
      <c r="C4270">
        <f>IF(4267&gt;$B$4503,"",MATCH(4267-0.5,$B$3:$B$4503,1))</f>
        <v/>
      </c>
      <c r="D4270">
        <f>"Payer recredentialing – "&amp;IF(LEN(INDEX('Providers'!$A$4:$A$503,267))=0,"",INDEX('Providers'!$A$4:$A$503,267))</f>
        <v/>
      </c>
      <c r="E4270">
        <f>IF(ISNUMBER(INDEX('Providers'!$AA$4:$AA$503,267)),TEXT(INDEX('Providers'!$AA$4:$AA$503,267),"yyyy-mm-dd"),"")</f>
        <v/>
      </c>
      <c r="F4270">
        <f>"Credentialing"</f>
        <v/>
      </c>
      <c r="G4270">
        <f>""</f>
        <v/>
      </c>
      <c r="H4270">
        <f>"High"</f>
        <v/>
      </c>
      <c r="I4270">
        <f>TRIM(IF(LEN(IF(LEN(INDEX('Providers'!$Z$4:$Z$503,267))=0,"",INDEX('Providers'!$Z$4:$Z$503,267)))=0,"","Payer(s): "&amp;IF(LEN(INDEX('Providers'!$Z$4:$Z$503,267))=0,"",INDEX('Providers'!$Z$4:$Z$503,267))&amp;". "))</f>
        <v/>
      </c>
      <c r="J4270">
        <f>IF(LEN(INDEX('Providers'!$AJ$4:$AJ$503,267))=0,"",INDEX('Providers'!$AJ$4:$AJ$503,267))</f>
        <v/>
      </c>
      <c r="K4270">
        <f>IF(LEN(INDEX('Providers'!$AI$4:$AI$503,267))=0,"",INDEX('Providers'!$AI$4:$AI$503,267))</f>
        <v/>
      </c>
    </row>
    <row r="4271">
      <c r="A4271">
        <f>IF(AND(LEN('Providers'!A271)&gt;0,ISNUMBER('Providers'!AA271)),1,0)</f>
        <v/>
      </c>
      <c r="B4271">
        <f>B4270+A4271</f>
        <v/>
      </c>
      <c r="C4271">
        <f>IF(4268&gt;$B$4503,"",MATCH(4268-0.5,$B$3:$B$4503,1))</f>
        <v/>
      </c>
      <c r="D4271">
        <f>"Payer recredentialing – "&amp;IF(LEN(INDEX('Providers'!$A$4:$A$503,268))=0,"",INDEX('Providers'!$A$4:$A$503,268))</f>
        <v/>
      </c>
      <c r="E4271">
        <f>IF(ISNUMBER(INDEX('Providers'!$AA$4:$AA$503,268)),TEXT(INDEX('Providers'!$AA$4:$AA$503,268),"yyyy-mm-dd"),"")</f>
        <v/>
      </c>
      <c r="F4271">
        <f>"Credentialing"</f>
        <v/>
      </c>
      <c r="G4271">
        <f>""</f>
        <v/>
      </c>
      <c r="H4271">
        <f>"High"</f>
        <v/>
      </c>
      <c r="I4271">
        <f>TRIM(IF(LEN(IF(LEN(INDEX('Providers'!$Z$4:$Z$503,268))=0,"",INDEX('Providers'!$Z$4:$Z$503,268)))=0,"","Payer(s): "&amp;IF(LEN(INDEX('Providers'!$Z$4:$Z$503,268))=0,"",INDEX('Providers'!$Z$4:$Z$503,268))&amp;". "))</f>
        <v/>
      </c>
      <c r="J4271">
        <f>IF(LEN(INDEX('Providers'!$AJ$4:$AJ$503,268))=0,"",INDEX('Providers'!$AJ$4:$AJ$503,268))</f>
        <v/>
      </c>
      <c r="K4271">
        <f>IF(LEN(INDEX('Providers'!$AI$4:$AI$503,268))=0,"",INDEX('Providers'!$AI$4:$AI$503,268))</f>
        <v/>
      </c>
    </row>
    <row r="4272">
      <c r="A4272">
        <f>IF(AND(LEN('Providers'!A272)&gt;0,ISNUMBER('Providers'!AA272)),1,0)</f>
        <v/>
      </c>
      <c r="B4272">
        <f>B4271+A4272</f>
        <v/>
      </c>
      <c r="C4272">
        <f>IF(4269&gt;$B$4503,"",MATCH(4269-0.5,$B$3:$B$4503,1))</f>
        <v/>
      </c>
      <c r="D4272">
        <f>"Payer recredentialing – "&amp;IF(LEN(INDEX('Providers'!$A$4:$A$503,269))=0,"",INDEX('Providers'!$A$4:$A$503,269))</f>
        <v/>
      </c>
      <c r="E4272">
        <f>IF(ISNUMBER(INDEX('Providers'!$AA$4:$AA$503,269)),TEXT(INDEX('Providers'!$AA$4:$AA$503,269),"yyyy-mm-dd"),"")</f>
        <v/>
      </c>
      <c r="F4272">
        <f>"Credentialing"</f>
        <v/>
      </c>
      <c r="G4272">
        <f>""</f>
        <v/>
      </c>
      <c r="H4272">
        <f>"High"</f>
        <v/>
      </c>
      <c r="I4272">
        <f>TRIM(IF(LEN(IF(LEN(INDEX('Providers'!$Z$4:$Z$503,269))=0,"",INDEX('Providers'!$Z$4:$Z$503,269)))=0,"","Payer(s): "&amp;IF(LEN(INDEX('Providers'!$Z$4:$Z$503,269))=0,"",INDEX('Providers'!$Z$4:$Z$503,269))&amp;". "))</f>
        <v/>
      </c>
      <c r="J4272">
        <f>IF(LEN(INDEX('Providers'!$AJ$4:$AJ$503,269))=0,"",INDEX('Providers'!$AJ$4:$AJ$503,269))</f>
        <v/>
      </c>
      <c r="K4272">
        <f>IF(LEN(INDEX('Providers'!$AI$4:$AI$503,269))=0,"",INDEX('Providers'!$AI$4:$AI$503,269))</f>
        <v/>
      </c>
    </row>
    <row r="4273">
      <c r="A4273">
        <f>IF(AND(LEN('Providers'!A273)&gt;0,ISNUMBER('Providers'!AA273)),1,0)</f>
        <v/>
      </c>
      <c r="B4273">
        <f>B4272+A4273</f>
        <v/>
      </c>
      <c r="C4273">
        <f>IF(4270&gt;$B$4503,"",MATCH(4270-0.5,$B$3:$B$4503,1))</f>
        <v/>
      </c>
      <c r="D4273">
        <f>"Payer recredentialing – "&amp;IF(LEN(INDEX('Providers'!$A$4:$A$503,270))=0,"",INDEX('Providers'!$A$4:$A$503,270))</f>
        <v/>
      </c>
      <c r="E4273">
        <f>IF(ISNUMBER(INDEX('Providers'!$AA$4:$AA$503,270)),TEXT(INDEX('Providers'!$AA$4:$AA$503,270),"yyyy-mm-dd"),"")</f>
        <v/>
      </c>
      <c r="F4273">
        <f>"Credentialing"</f>
        <v/>
      </c>
      <c r="G4273">
        <f>""</f>
        <v/>
      </c>
      <c r="H4273">
        <f>"High"</f>
        <v/>
      </c>
      <c r="I4273">
        <f>TRIM(IF(LEN(IF(LEN(INDEX('Providers'!$Z$4:$Z$503,270))=0,"",INDEX('Providers'!$Z$4:$Z$503,270)))=0,"","Payer(s): "&amp;IF(LEN(INDEX('Providers'!$Z$4:$Z$503,270))=0,"",INDEX('Providers'!$Z$4:$Z$503,270))&amp;". "))</f>
        <v/>
      </c>
      <c r="J4273">
        <f>IF(LEN(INDEX('Providers'!$AJ$4:$AJ$503,270))=0,"",INDEX('Providers'!$AJ$4:$AJ$503,270))</f>
        <v/>
      </c>
      <c r="K4273">
        <f>IF(LEN(INDEX('Providers'!$AI$4:$AI$503,270))=0,"",INDEX('Providers'!$AI$4:$AI$503,270))</f>
        <v/>
      </c>
    </row>
    <row r="4274">
      <c r="A4274">
        <f>IF(AND(LEN('Providers'!A274)&gt;0,ISNUMBER('Providers'!AA274)),1,0)</f>
        <v/>
      </c>
      <c r="B4274">
        <f>B4273+A4274</f>
        <v/>
      </c>
      <c r="C4274">
        <f>IF(4271&gt;$B$4503,"",MATCH(4271-0.5,$B$3:$B$4503,1))</f>
        <v/>
      </c>
      <c r="D4274">
        <f>"Payer recredentialing – "&amp;IF(LEN(INDEX('Providers'!$A$4:$A$503,271))=0,"",INDEX('Providers'!$A$4:$A$503,271))</f>
        <v/>
      </c>
      <c r="E4274">
        <f>IF(ISNUMBER(INDEX('Providers'!$AA$4:$AA$503,271)),TEXT(INDEX('Providers'!$AA$4:$AA$503,271),"yyyy-mm-dd"),"")</f>
        <v/>
      </c>
      <c r="F4274">
        <f>"Credentialing"</f>
        <v/>
      </c>
      <c r="G4274">
        <f>""</f>
        <v/>
      </c>
      <c r="H4274">
        <f>"High"</f>
        <v/>
      </c>
      <c r="I4274">
        <f>TRIM(IF(LEN(IF(LEN(INDEX('Providers'!$Z$4:$Z$503,271))=0,"",INDEX('Providers'!$Z$4:$Z$503,271)))=0,"","Payer(s): "&amp;IF(LEN(INDEX('Providers'!$Z$4:$Z$503,271))=0,"",INDEX('Providers'!$Z$4:$Z$503,271))&amp;". "))</f>
        <v/>
      </c>
      <c r="J4274">
        <f>IF(LEN(INDEX('Providers'!$AJ$4:$AJ$503,271))=0,"",INDEX('Providers'!$AJ$4:$AJ$503,271))</f>
        <v/>
      </c>
      <c r="K4274">
        <f>IF(LEN(INDEX('Providers'!$AI$4:$AI$503,271))=0,"",INDEX('Providers'!$AI$4:$AI$503,271))</f>
        <v/>
      </c>
    </row>
    <row r="4275">
      <c r="A4275">
        <f>IF(AND(LEN('Providers'!A275)&gt;0,ISNUMBER('Providers'!AA275)),1,0)</f>
        <v/>
      </c>
      <c r="B4275">
        <f>B4274+A4275</f>
        <v/>
      </c>
      <c r="C4275">
        <f>IF(4272&gt;$B$4503,"",MATCH(4272-0.5,$B$3:$B$4503,1))</f>
        <v/>
      </c>
      <c r="D4275">
        <f>"Payer recredentialing – "&amp;IF(LEN(INDEX('Providers'!$A$4:$A$503,272))=0,"",INDEX('Providers'!$A$4:$A$503,272))</f>
        <v/>
      </c>
      <c r="E4275">
        <f>IF(ISNUMBER(INDEX('Providers'!$AA$4:$AA$503,272)),TEXT(INDEX('Providers'!$AA$4:$AA$503,272),"yyyy-mm-dd"),"")</f>
        <v/>
      </c>
      <c r="F4275">
        <f>"Credentialing"</f>
        <v/>
      </c>
      <c r="G4275">
        <f>""</f>
        <v/>
      </c>
      <c r="H4275">
        <f>"High"</f>
        <v/>
      </c>
      <c r="I4275">
        <f>TRIM(IF(LEN(IF(LEN(INDEX('Providers'!$Z$4:$Z$503,272))=0,"",INDEX('Providers'!$Z$4:$Z$503,272)))=0,"","Payer(s): "&amp;IF(LEN(INDEX('Providers'!$Z$4:$Z$503,272))=0,"",INDEX('Providers'!$Z$4:$Z$503,272))&amp;". "))</f>
        <v/>
      </c>
      <c r="J4275">
        <f>IF(LEN(INDEX('Providers'!$AJ$4:$AJ$503,272))=0,"",INDEX('Providers'!$AJ$4:$AJ$503,272))</f>
        <v/>
      </c>
      <c r="K4275">
        <f>IF(LEN(INDEX('Providers'!$AI$4:$AI$503,272))=0,"",INDEX('Providers'!$AI$4:$AI$503,272))</f>
        <v/>
      </c>
    </row>
    <row r="4276">
      <c r="A4276">
        <f>IF(AND(LEN('Providers'!A276)&gt;0,ISNUMBER('Providers'!AA276)),1,0)</f>
        <v/>
      </c>
      <c r="B4276">
        <f>B4275+A4276</f>
        <v/>
      </c>
      <c r="C4276">
        <f>IF(4273&gt;$B$4503,"",MATCH(4273-0.5,$B$3:$B$4503,1))</f>
        <v/>
      </c>
      <c r="D4276">
        <f>"Payer recredentialing – "&amp;IF(LEN(INDEX('Providers'!$A$4:$A$503,273))=0,"",INDEX('Providers'!$A$4:$A$503,273))</f>
        <v/>
      </c>
      <c r="E4276">
        <f>IF(ISNUMBER(INDEX('Providers'!$AA$4:$AA$503,273)),TEXT(INDEX('Providers'!$AA$4:$AA$503,273),"yyyy-mm-dd"),"")</f>
        <v/>
      </c>
      <c r="F4276">
        <f>"Credentialing"</f>
        <v/>
      </c>
      <c r="G4276">
        <f>""</f>
        <v/>
      </c>
      <c r="H4276">
        <f>"High"</f>
        <v/>
      </c>
      <c r="I4276">
        <f>TRIM(IF(LEN(IF(LEN(INDEX('Providers'!$Z$4:$Z$503,273))=0,"",INDEX('Providers'!$Z$4:$Z$503,273)))=0,"","Payer(s): "&amp;IF(LEN(INDEX('Providers'!$Z$4:$Z$503,273))=0,"",INDEX('Providers'!$Z$4:$Z$503,273))&amp;". "))</f>
        <v/>
      </c>
      <c r="J4276">
        <f>IF(LEN(INDEX('Providers'!$AJ$4:$AJ$503,273))=0,"",INDEX('Providers'!$AJ$4:$AJ$503,273))</f>
        <v/>
      </c>
      <c r="K4276">
        <f>IF(LEN(INDEX('Providers'!$AI$4:$AI$503,273))=0,"",INDEX('Providers'!$AI$4:$AI$503,273))</f>
        <v/>
      </c>
    </row>
    <row r="4277">
      <c r="A4277">
        <f>IF(AND(LEN('Providers'!A277)&gt;0,ISNUMBER('Providers'!AA277)),1,0)</f>
        <v/>
      </c>
      <c r="B4277">
        <f>B4276+A4277</f>
        <v/>
      </c>
      <c r="C4277">
        <f>IF(4274&gt;$B$4503,"",MATCH(4274-0.5,$B$3:$B$4503,1))</f>
        <v/>
      </c>
      <c r="D4277">
        <f>"Payer recredentialing – "&amp;IF(LEN(INDEX('Providers'!$A$4:$A$503,274))=0,"",INDEX('Providers'!$A$4:$A$503,274))</f>
        <v/>
      </c>
      <c r="E4277">
        <f>IF(ISNUMBER(INDEX('Providers'!$AA$4:$AA$503,274)),TEXT(INDEX('Providers'!$AA$4:$AA$503,274),"yyyy-mm-dd"),"")</f>
        <v/>
      </c>
      <c r="F4277">
        <f>"Credentialing"</f>
        <v/>
      </c>
      <c r="G4277">
        <f>""</f>
        <v/>
      </c>
      <c r="H4277">
        <f>"High"</f>
        <v/>
      </c>
      <c r="I4277">
        <f>TRIM(IF(LEN(IF(LEN(INDEX('Providers'!$Z$4:$Z$503,274))=0,"",INDEX('Providers'!$Z$4:$Z$503,274)))=0,"","Payer(s): "&amp;IF(LEN(INDEX('Providers'!$Z$4:$Z$503,274))=0,"",INDEX('Providers'!$Z$4:$Z$503,274))&amp;". "))</f>
        <v/>
      </c>
      <c r="J4277">
        <f>IF(LEN(INDEX('Providers'!$AJ$4:$AJ$503,274))=0,"",INDEX('Providers'!$AJ$4:$AJ$503,274))</f>
        <v/>
      </c>
      <c r="K4277">
        <f>IF(LEN(INDEX('Providers'!$AI$4:$AI$503,274))=0,"",INDEX('Providers'!$AI$4:$AI$503,274))</f>
        <v/>
      </c>
    </row>
    <row r="4278">
      <c r="A4278">
        <f>IF(AND(LEN('Providers'!A278)&gt;0,ISNUMBER('Providers'!AA278)),1,0)</f>
        <v/>
      </c>
      <c r="B4278">
        <f>B4277+A4278</f>
        <v/>
      </c>
      <c r="C4278">
        <f>IF(4275&gt;$B$4503,"",MATCH(4275-0.5,$B$3:$B$4503,1))</f>
        <v/>
      </c>
      <c r="D4278">
        <f>"Payer recredentialing – "&amp;IF(LEN(INDEX('Providers'!$A$4:$A$503,275))=0,"",INDEX('Providers'!$A$4:$A$503,275))</f>
        <v/>
      </c>
      <c r="E4278">
        <f>IF(ISNUMBER(INDEX('Providers'!$AA$4:$AA$503,275)),TEXT(INDEX('Providers'!$AA$4:$AA$503,275),"yyyy-mm-dd"),"")</f>
        <v/>
      </c>
      <c r="F4278">
        <f>"Credentialing"</f>
        <v/>
      </c>
      <c r="G4278">
        <f>""</f>
        <v/>
      </c>
      <c r="H4278">
        <f>"High"</f>
        <v/>
      </c>
      <c r="I4278">
        <f>TRIM(IF(LEN(IF(LEN(INDEX('Providers'!$Z$4:$Z$503,275))=0,"",INDEX('Providers'!$Z$4:$Z$503,275)))=0,"","Payer(s): "&amp;IF(LEN(INDEX('Providers'!$Z$4:$Z$503,275))=0,"",INDEX('Providers'!$Z$4:$Z$503,275))&amp;". "))</f>
        <v/>
      </c>
      <c r="J4278">
        <f>IF(LEN(INDEX('Providers'!$AJ$4:$AJ$503,275))=0,"",INDEX('Providers'!$AJ$4:$AJ$503,275))</f>
        <v/>
      </c>
      <c r="K4278">
        <f>IF(LEN(INDEX('Providers'!$AI$4:$AI$503,275))=0,"",INDEX('Providers'!$AI$4:$AI$503,275))</f>
        <v/>
      </c>
    </row>
    <row r="4279">
      <c r="A4279">
        <f>IF(AND(LEN('Providers'!A279)&gt;0,ISNUMBER('Providers'!AA279)),1,0)</f>
        <v/>
      </c>
      <c r="B4279">
        <f>B4278+A4279</f>
        <v/>
      </c>
      <c r="C4279">
        <f>IF(4276&gt;$B$4503,"",MATCH(4276-0.5,$B$3:$B$4503,1))</f>
        <v/>
      </c>
      <c r="D4279">
        <f>"Payer recredentialing – "&amp;IF(LEN(INDEX('Providers'!$A$4:$A$503,276))=0,"",INDEX('Providers'!$A$4:$A$503,276))</f>
        <v/>
      </c>
      <c r="E4279">
        <f>IF(ISNUMBER(INDEX('Providers'!$AA$4:$AA$503,276)),TEXT(INDEX('Providers'!$AA$4:$AA$503,276),"yyyy-mm-dd"),"")</f>
        <v/>
      </c>
      <c r="F4279">
        <f>"Credentialing"</f>
        <v/>
      </c>
      <c r="G4279">
        <f>""</f>
        <v/>
      </c>
      <c r="H4279">
        <f>"High"</f>
        <v/>
      </c>
      <c r="I4279">
        <f>TRIM(IF(LEN(IF(LEN(INDEX('Providers'!$Z$4:$Z$503,276))=0,"",INDEX('Providers'!$Z$4:$Z$503,276)))=0,"","Payer(s): "&amp;IF(LEN(INDEX('Providers'!$Z$4:$Z$503,276))=0,"",INDEX('Providers'!$Z$4:$Z$503,276))&amp;". "))</f>
        <v/>
      </c>
      <c r="J4279">
        <f>IF(LEN(INDEX('Providers'!$AJ$4:$AJ$503,276))=0,"",INDEX('Providers'!$AJ$4:$AJ$503,276))</f>
        <v/>
      </c>
      <c r="K4279">
        <f>IF(LEN(INDEX('Providers'!$AI$4:$AI$503,276))=0,"",INDEX('Providers'!$AI$4:$AI$503,276))</f>
        <v/>
      </c>
    </row>
    <row r="4280">
      <c r="A4280">
        <f>IF(AND(LEN('Providers'!A280)&gt;0,ISNUMBER('Providers'!AA280)),1,0)</f>
        <v/>
      </c>
      <c r="B4280">
        <f>B4279+A4280</f>
        <v/>
      </c>
      <c r="C4280">
        <f>IF(4277&gt;$B$4503,"",MATCH(4277-0.5,$B$3:$B$4503,1))</f>
        <v/>
      </c>
      <c r="D4280">
        <f>"Payer recredentialing – "&amp;IF(LEN(INDEX('Providers'!$A$4:$A$503,277))=0,"",INDEX('Providers'!$A$4:$A$503,277))</f>
        <v/>
      </c>
      <c r="E4280">
        <f>IF(ISNUMBER(INDEX('Providers'!$AA$4:$AA$503,277)),TEXT(INDEX('Providers'!$AA$4:$AA$503,277),"yyyy-mm-dd"),"")</f>
        <v/>
      </c>
      <c r="F4280">
        <f>"Credentialing"</f>
        <v/>
      </c>
      <c r="G4280">
        <f>""</f>
        <v/>
      </c>
      <c r="H4280">
        <f>"High"</f>
        <v/>
      </c>
      <c r="I4280">
        <f>TRIM(IF(LEN(IF(LEN(INDEX('Providers'!$Z$4:$Z$503,277))=0,"",INDEX('Providers'!$Z$4:$Z$503,277)))=0,"","Payer(s): "&amp;IF(LEN(INDEX('Providers'!$Z$4:$Z$503,277))=0,"",INDEX('Providers'!$Z$4:$Z$503,277))&amp;". "))</f>
        <v/>
      </c>
      <c r="J4280">
        <f>IF(LEN(INDEX('Providers'!$AJ$4:$AJ$503,277))=0,"",INDEX('Providers'!$AJ$4:$AJ$503,277))</f>
        <v/>
      </c>
      <c r="K4280">
        <f>IF(LEN(INDEX('Providers'!$AI$4:$AI$503,277))=0,"",INDEX('Providers'!$AI$4:$AI$503,277))</f>
        <v/>
      </c>
    </row>
    <row r="4281">
      <c r="A4281">
        <f>IF(AND(LEN('Providers'!A281)&gt;0,ISNUMBER('Providers'!AA281)),1,0)</f>
        <v/>
      </c>
      <c r="B4281">
        <f>B4280+A4281</f>
        <v/>
      </c>
      <c r="C4281">
        <f>IF(4278&gt;$B$4503,"",MATCH(4278-0.5,$B$3:$B$4503,1))</f>
        <v/>
      </c>
      <c r="D4281">
        <f>"Payer recredentialing – "&amp;IF(LEN(INDEX('Providers'!$A$4:$A$503,278))=0,"",INDEX('Providers'!$A$4:$A$503,278))</f>
        <v/>
      </c>
      <c r="E4281">
        <f>IF(ISNUMBER(INDEX('Providers'!$AA$4:$AA$503,278)),TEXT(INDEX('Providers'!$AA$4:$AA$503,278),"yyyy-mm-dd"),"")</f>
        <v/>
      </c>
      <c r="F4281">
        <f>"Credentialing"</f>
        <v/>
      </c>
      <c r="G4281">
        <f>""</f>
        <v/>
      </c>
      <c r="H4281">
        <f>"High"</f>
        <v/>
      </c>
      <c r="I4281">
        <f>TRIM(IF(LEN(IF(LEN(INDEX('Providers'!$Z$4:$Z$503,278))=0,"",INDEX('Providers'!$Z$4:$Z$503,278)))=0,"","Payer(s): "&amp;IF(LEN(INDEX('Providers'!$Z$4:$Z$503,278))=0,"",INDEX('Providers'!$Z$4:$Z$503,278))&amp;". "))</f>
        <v/>
      </c>
      <c r="J4281">
        <f>IF(LEN(INDEX('Providers'!$AJ$4:$AJ$503,278))=0,"",INDEX('Providers'!$AJ$4:$AJ$503,278))</f>
        <v/>
      </c>
      <c r="K4281">
        <f>IF(LEN(INDEX('Providers'!$AI$4:$AI$503,278))=0,"",INDEX('Providers'!$AI$4:$AI$503,278))</f>
        <v/>
      </c>
    </row>
    <row r="4282">
      <c r="A4282">
        <f>IF(AND(LEN('Providers'!A282)&gt;0,ISNUMBER('Providers'!AA282)),1,0)</f>
        <v/>
      </c>
      <c r="B4282">
        <f>B4281+A4282</f>
        <v/>
      </c>
      <c r="C4282">
        <f>IF(4279&gt;$B$4503,"",MATCH(4279-0.5,$B$3:$B$4503,1))</f>
        <v/>
      </c>
      <c r="D4282">
        <f>"Payer recredentialing – "&amp;IF(LEN(INDEX('Providers'!$A$4:$A$503,279))=0,"",INDEX('Providers'!$A$4:$A$503,279))</f>
        <v/>
      </c>
      <c r="E4282">
        <f>IF(ISNUMBER(INDEX('Providers'!$AA$4:$AA$503,279)),TEXT(INDEX('Providers'!$AA$4:$AA$503,279),"yyyy-mm-dd"),"")</f>
        <v/>
      </c>
      <c r="F4282">
        <f>"Credentialing"</f>
        <v/>
      </c>
      <c r="G4282">
        <f>""</f>
        <v/>
      </c>
      <c r="H4282">
        <f>"High"</f>
        <v/>
      </c>
      <c r="I4282">
        <f>TRIM(IF(LEN(IF(LEN(INDEX('Providers'!$Z$4:$Z$503,279))=0,"",INDEX('Providers'!$Z$4:$Z$503,279)))=0,"","Payer(s): "&amp;IF(LEN(INDEX('Providers'!$Z$4:$Z$503,279))=0,"",INDEX('Providers'!$Z$4:$Z$503,279))&amp;". "))</f>
        <v/>
      </c>
      <c r="J4282">
        <f>IF(LEN(INDEX('Providers'!$AJ$4:$AJ$503,279))=0,"",INDEX('Providers'!$AJ$4:$AJ$503,279))</f>
        <v/>
      </c>
      <c r="K4282">
        <f>IF(LEN(INDEX('Providers'!$AI$4:$AI$503,279))=0,"",INDEX('Providers'!$AI$4:$AI$503,279))</f>
        <v/>
      </c>
    </row>
    <row r="4283">
      <c r="A4283">
        <f>IF(AND(LEN('Providers'!A283)&gt;0,ISNUMBER('Providers'!AA283)),1,0)</f>
        <v/>
      </c>
      <c r="B4283">
        <f>B4282+A4283</f>
        <v/>
      </c>
      <c r="C4283">
        <f>IF(4280&gt;$B$4503,"",MATCH(4280-0.5,$B$3:$B$4503,1))</f>
        <v/>
      </c>
      <c r="D4283">
        <f>"Payer recredentialing – "&amp;IF(LEN(INDEX('Providers'!$A$4:$A$503,280))=0,"",INDEX('Providers'!$A$4:$A$503,280))</f>
        <v/>
      </c>
      <c r="E4283">
        <f>IF(ISNUMBER(INDEX('Providers'!$AA$4:$AA$503,280)),TEXT(INDEX('Providers'!$AA$4:$AA$503,280),"yyyy-mm-dd"),"")</f>
        <v/>
      </c>
      <c r="F4283">
        <f>"Credentialing"</f>
        <v/>
      </c>
      <c r="G4283">
        <f>""</f>
        <v/>
      </c>
      <c r="H4283">
        <f>"High"</f>
        <v/>
      </c>
      <c r="I4283">
        <f>TRIM(IF(LEN(IF(LEN(INDEX('Providers'!$Z$4:$Z$503,280))=0,"",INDEX('Providers'!$Z$4:$Z$503,280)))=0,"","Payer(s): "&amp;IF(LEN(INDEX('Providers'!$Z$4:$Z$503,280))=0,"",INDEX('Providers'!$Z$4:$Z$503,280))&amp;". "))</f>
        <v/>
      </c>
      <c r="J4283">
        <f>IF(LEN(INDEX('Providers'!$AJ$4:$AJ$503,280))=0,"",INDEX('Providers'!$AJ$4:$AJ$503,280))</f>
        <v/>
      </c>
      <c r="K4283">
        <f>IF(LEN(INDEX('Providers'!$AI$4:$AI$503,280))=0,"",INDEX('Providers'!$AI$4:$AI$503,280))</f>
        <v/>
      </c>
    </row>
    <row r="4284">
      <c r="A4284">
        <f>IF(AND(LEN('Providers'!A284)&gt;0,ISNUMBER('Providers'!AA284)),1,0)</f>
        <v/>
      </c>
      <c r="B4284">
        <f>B4283+A4284</f>
        <v/>
      </c>
      <c r="C4284">
        <f>IF(4281&gt;$B$4503,"",MATCH(4281-0.5,$B$3:$B$4503,1))</f>
        <v/>
      </c>
      <c r="D4284">
        <f>"Payer recredentialing – "&amp;IF(LEN(INDEX('Providers'!$A$4:$A$503,281))=0,"",INDEX('Providers'!$A$4:$A$503,281))</f>
        <v/>
      </c>
      <c r="E4284">
        <f>IF(ISNUMBER(INDEX('Providers'!$AA$4:$AA$503,281)),TEXT(INDEX('Providers'!$AA$4:$AA$503,281),"yyyy-mm-dd"),"")</f>
        <v/>
      </c>
      <c r="F4284">
        <f>"Credentialing"</f>
        <v/>
      </c>
      <c r="G4284">
        <f>""</f>
        <v/>
      </c>
      <c r="H4284">
        <f>"High"</f>
        <v/>
      </c>
      <c r="I4284">
        <f>TRIM(IF(LEN(IF(LEN(INDEX('Providers'!$Z$4:$Z$503,281))=0,"",INDEX('Providers'!$Z$4:$Z$503,281)))=0,"","Payer(s): "&amp;IF(LEN(INDEX('Providers'!$Z$4:$Z$503,281))=0,"",INDEX('Providers'!$Z$4:$Z$503,281))&amp;". "))</f>
        <v/>
      </c>
      <c r="J4284">
        <f>IF(LEN(INDEX('Providers'!$AJ$4:$AJ$503,281))=0,"",INDEX('Providers'!$AJ$4:$AJ$503,281))</f>
        <v/>
      </c>
      <c r="K4284">
        <f>IF(LEN(INDEX('Providers'!$AI$4:$AI$503,281))=0,"",INDEX('Providers'!$AI$4:$AI$503,281))</f>
        <v/>
      </c>
    </row>
    <row r="4285">
      <c r="A4285">
        <f>IF(AND(LEN('Providers'!A285)&gt;0,ISNUMBER('Providers'!AA285)),1,0)</f>
        <v/>
      </c>
      <c r="B4285">
        <f>B4284+A4285</f>
        <v/>
      </c>
      <c r="C4285">
        <f>IF(4282&gt;$B$4503,"",MATCH(4282-0.5,$B$3:$B$4503,1))</f>
        <v/>
      </c>
      <c r="D4285">
        <f>"Payer recredentialing – "&amp;IF(LEN(INDEX('Providers'!$A$4:$A$503,282))=0,"",INDEX('Providers'!$A$4:$A$503,282))</f>
        <v/>
      </c>
      <c r="E4285">
        <f>IF(ISNUMBER(INDEX('Providers'!$AA$4:$AA$503,282)),TEXT(INDEX('Providers'!$AA$4:$AA$503,282),"yyyy-mm-dd"),"")</f>
        <v/>
      </c>
      <c r="F4285">
        <f>"Credentialing"</f>
        <v/>
      </c>
      <c r="G4285">
        <f>""</f>
        <v/>
      </c>
      <c r="H4285">
        <f>"High"</f>
        <v/>
      </c>
      <c r="I4285">
        <f>TRIM(IF(LEN(IF(LEN(INDEX('Providers'!$Z$4:$Z$503,282))=0,"",INDEX('Providers'!$Z$4:$Z$503,282)))=0,"","Payer(s): "&amp;IF(LEN(INDEX('Providers'!$Z$4:$Z$503,282))=0,"",INDEX('Providers'!$Z$4:$Z$503,282))&amp;". "))</f>
        <v/>
      </c>
      <c r="J4285">
        <f>IF(LEN(INDEX('Providers'!$AJ$4:$AJ$503,282))=0,"",INDEX('Providers'!$AJ$4:$AJ$503,282))</f>
        <v/>
      </c>
      <c r="K4285">
        <f>IF(LEN(INDEX('Providers'!$AI$4:$AI$503,282))=0,"",INDEX('Providers'!$AI$4:$AI$503,282))</f>
        <v/>
      </c>
    </row>
    <row r="4286">
      <c r="A4286">
        <f>IF(AND(LEN('Providers'!A286)&gt;0,ISNUMBER('Providers'!AA286)),1,0)</f>
        <v/>
      </c>
      <c r="B4286">
        <f>B4285+A4286</f>
        <v/>
      </c>
      <c r="C4286">
        <f>IF(4283&gt;$B$4503,"",MATCH(4283-0.5,$B$3:$B$4503,1))</f>
        <v/>
      </c>
      <c r="D4286">
        <f>"Payer recredentialing – "&amp;IF(LEN(INDEX('Providers'!$A$4:$A$503,283))=0,"",INDEX('Providers'!$A$4:$A$503,283))</f>
        <v/>
      </c>
      <c r="E4286">
        <f>IF(ISNUMBER(INDEX('Providers'!$AA$4:$AA$503,283)),TEXT(INDEX('Providers'!$AA$4:$AA$503,283),"yyyy-mm-dd"),"")</f>
        <v/>
      </c>
      <c r="F4286">
        <f>"Credentialing"</f>
        <v/>
      </c>
      <c r="G4286">
        <f>""</f>
        <v/>
      </c>
      <c r="H4286">
        <f>"High"</f>
        <v/>
      </c>
      <c r="I4286">
        <f>TRIM(IF(LEN(IF(LEN(INDEX('Providers'!$Z$4:$Z$503,283))=0,"",INDEX('Providers'!$Z$4:$Z$503,283)))=0,"","Payer(s): "&amp;IF(LEN(INDEX('Providers'!$Z$4:$Z$503,283))=0,"",INDEX('Providers'!$Z$4:$Z$503,283))&amp;". "))</f>
        <v/>
      </c>
      <c r="J4286">
        <f>IF(LEN(INDEX('Providers'!$AJ$4:$AJ$503,283))=0,"",INDEX('Providers'!$AJ$4:$AJ$503,283))</f>
        <v/>
      </c>
      <c r="K4286">
        <f>IF(LEN(INDEX('Providers'!$AI$4:$AI$503,283))=0,"",INDEX('Providers'!$AI$4:$AI$503,283))</f>
        <v/>
      </c>
    </row>
    <row r="4287">
      <c r="A4287">
        <f>IF(AND(LEN('Providers'!A287)&gt;0,ISNUMBER('Providers'!AA287)),1,0)</f>
        <v/>
      </c>
      <c r="B4287">
        <f>B4286+A4287</f>
        <v/>
      </c>
      <c r="C4287">
        <f>IF(4284&gt;$B$4503,"",MATCH(4284-0.5,$B$3:$B$4503,1))</f>
        <v/>
      </c>
      <c r="D4287">
        <f>"Payer recredentialing – "&amp;IF(LEN(INDEX('Providers'!$A$4:$A$503,284))=0,"",INDEX('Providers'!$A$4:$A$503,284))</f>
        <v/>
      </c>
      <c r="E4287">
        <f>IF(ISNUMBER(INDEX('Providers'!$AA$4:$AA$503,284)),TEXT(INDEX('Providers'!$AA$4:$AA$503,284),"yyyy-mm-dd"),"")</f>
        <v/>
      </c>
      <c r="F4287">
        <f>"Credentialing"</f>
        <v/>
      </c>
      <c r="G4287">
        <f>""</f>
        <v/>
      </c>
      <c r="H4287">
        <f>"High"</f>
        <v/>
      </c>
      <c r="I4287">
        <f>TRIM(IF(LEN(IF(LEN(INDEX('Providers'!$Z$4:$Z$503,284))=0,"",INDEX('Providers'!$Z$4:$Z$503,284)))=0,"","Payer(s): "&amp;IF(LEN(INDEX('Providers'!$Z$4:$Z$503,284))=0,"",INDEX('Providers'!$Z$4:$Z$503,284))&amp;". "))</f>
        <v/>
      </c>
      <c r="J4287">
        <f>IF(LEN(INDEX('Providers'!$AJ$4:$AJ$503,284))=0,"",INDEX('Providers'!$AJ$4:$AJ$503,284))</f>
        <v/>
      </c>
      <c r="K4287">
        <f>IF(LEN(INDEX('Providers'!$AI$4:$AI$503,284))=0,"",INDEX('Providers'!$AI$4:$AI$503,284))</f>
        <v/>
      </c>
    </row>
    <row r="4288">
      <c r="A4288">
        <f>IF(AND(LEN('Providers'!A288)&gt;0,ISNUMBER('Providers'!AA288)),1,0)</f>
        <v/>
      </c>
      <c r="B4288">
        <f>B4287+A4288</f>
        <v/>
      </c>
      <c r="C4288">
        <f>IF(4285&gt;$B$4503,"",MATCH(4285-0.5,$B$3:$B$4503,1))</f>
        <v/>
      </c>
      <c r="D4288">
        <f>"Payer recredentialing – "&amp;IF(LEN(INDEX('Providers'!$A$4:$A$503,285))=0,"",INDEX('Providers'!$A$4:$A$503,285))</f>
        <v/>
      </c>
      <c r="E4288">
        <f>IF(ISNUMBER(INDEX('Providers'!$AA$4:$AA$503,285)),TEXT(INDEX('Providers'!$AA$4:$AA$503,285),"yyyy-mm-dd"),"")</f>
        <v/>
      </c>
      <c r="F4288">
        <f>"Credentialing"</f>
        <v/>
      </c>
      <c r="G4288">
        <f>""</f>
        <v/>
      </c>
      <c r="H4288">
        <f>"High"</f>
        <v/>
      </c>
      <c r="I4288">
        <f>TRIM(IF(LEN(IF(LEN(INDEX('Providers'!$Z$4:$Z$503,285))=0,"",INDEX('Providers'!$Z$4:$Z$503,285)))=0,"","Payer(s): "&amp;IF(LEN(INDEX('Providers'!$Z$4:$Z$503,285))=0,"",INDEX('Providers'!$Z$4:$Z$503,285))&amp;". "))</f>
        <v/>
      </c>
      <c r="J4288">
        <f>IF(LEN(INDEX('Providers'!$AJ$4:$AJ$503,285))=0,"",INDEX('Providers'!$AJ$4:$AJ$503,285))</f>
        <v/>
      </c>
      <c r="K4288">
        <f>IF(LEN(INDEX('Providers'!$AI$4:$AI$503,285))=0,"",INDEX('Providers'!$AI$4:$AI$503,285))</f>
        <v/>
      </c>
    </row>
    <row r="4289">
      <c r="A4289">
        <f>IF(AND(LEN('Providers'!A289)&gt;0,ISNUMBER('Providers'!AA289)),1,0)</f>
        <v/>
      </c>
      <c r="B4289">
        <f>B4288+A4289</f>
        <v/>
      </c>
      <c r="C4289">
        <f>IF(4286&gt;$B$4503,"",MATCH(4286-0.5,$B$3:$B$4503,1))</f>
        <v/>
      </c>
      <c r="D4289">
        <f>"Payer recredentialing – "&amp;IF(LEN(INDEX('Providers'!$A$4:$A$503,286))=0,"",INDEX('Providers'!$A$4:$A$503,286))</f>
        <v/>
      </c>
      <c r="E4289">
        <f>IF(ISNUMBER(INDEX('Providers'!$AA$4:$AA$503,286)),TEXT(INDEX('Providers'!$AA$4:$AA$503,286),"yyyy-mm-dd"),"")</f>
        <v/>
      </c>
      <c r="F4289">
        <f>"Credentialing"</f>
        <v/>
      </c>
      <c r="G4289">
        <f>""</f>
        <v/>
      </c>
      <c r="H4289">
        <f>"High"</f>
        <v/>
      </c>
      <c r="I4289">
        <f>TRIM(IF(LEN(IF(LEN(INDEX('Providers'!$Z$4:$Z$503,286))=0,"",INDEX('Providers'!$Z$4:$Z$503,286)))=0,"","Payer(s): "&amp;IF(LEN(INDEX('Providers'!$Z$4:$Z$503,286))=0,"",INDEX('Providers'!$Z$4:$Z$503,286))&amp;". "))</f>
        <v/>
      </c>
      <c r="J4289">
        <f>IF(LEN(INDEX('Providers'!$AJ$4:$AJ$503,286))=0,"",INDEX('Providers'!$AJ$4:$AJ$503,286))</f>
        <v/>
      </c>
      <c r="K4289">
        <f>IF(LEN(INDEX('Providers'!$AI$4:$AI$503,286))=0,"",INDEX('Providers'!$AI$4:$AI$503,286))</f>
        <v/>
      </c>
    </row>
    <row r="4290">
      <c r="A4290">
        <f>IF(AND(LEN('Providers'!A290)&gt;0,ISNUMBER('Providers'!AA290)),1,0)</f>
        <v/>
      </c>
      <c r="B4290">
        <f>B4289+A4290</f>
        <v/>
      </c>
      <c r="C4290">
        <f>IF(4287&gt;$B$4503,"",MATCH(4287-0.5,$B$3:$B$4503,1))</f>
        <v/>
      </c>
      <c r="D4290">
        <f>"Payer recredentialing – "&amp;IF(LEN(INDEX('Providers'!$A$4:$A$503,287))=0,"",INDEX('Providers'!$A$4:$A$503,287))</f>
        <v/>
      </c>
      <c r="E4290">
        <f>IF(ISNUMBER(INDEX('Providers'!$AA$4:$AA$503,287)),TEXT(INDEX('Providers'!$AA$4:$AA$503,287),"yyyy-mm-dd"),"")</f>
        <v/>
      </c>
      <c r="F4290">
        <f>"Credentialing"</f>
        <v/>
      </c>
      <c r="G4290">
        <f>""</f>
        <v/>
      </c>
      <c r="H4290">
        <f>"High"</f>
        <v/>
      </c>
      <c r="I4290">
        <f>TRIM(IF(LEN(IF(LEN(INDEX('Providers'!$Z$4:$Z$503,287))=0,"",INDEX('Providers'!$Z$4:$Z$503,287)))=0,"","Payer(s): "&amp;IF(LEN(INDEX('Providers'!$Z$4:$Z$503,287))=0,"",INDEX('Providers'!$Z$4:$Z$503,287))&amp;". "))</f>
        <v/>
      </c>
      <c r="J4290">
        <f>IF(LEN(INDEX('Providers'!$AJ$4:$AJ$503,287))=0,"",INDEX('Providers'!$AJ$4:$AJ$503,287))</f>
        <v/>
      </c>
      <c r="K4290">
        <f>IF(LEN(INDEX('Providers'!$AI$4:$AI$503,287))=0,"",INDEX('Providers'!$AI$4:$AI$503,287))</f>
        <v/>
      </c>
    </row>
    <row r="4291">
      <c r="A4291">
        <f>IF(AND(LEN('Providers'!A291)&gt;0,ISNUMBER('Providers'!AA291)),1,0)</f>
        <v/>
      </c>
      <c r="B4291">
        <f>B4290+A4291</f>
        <v/>
      </c>
      <c r="C4291">
        <f>IF(4288&gt;$B$4503,"",MATCH(4288-0.5,$B$3:$B$4503,1))</f>
        <v/>
      </c>
      <c r="D4291">
        <f>"Payer recredentialing – "&amp;IF(LEN(INDEX('Providers'!$A$4:$A$503,288))=0,"",INDEX('Providers'!$A$4:$A$503,288))</f>
        <v/>
      </c>
      <c r="E4291">
        <f>IF(ISNUMBER(INDEX('Providers'!$AA$4:$AA$503,288)),TEXT(INDEX('Providers'!$AA$4:$AA$503,288),"yyyy-mm-dd"),"")</f>
        <v/>
      </c>
      <c r="F4291">
        <f>"Credentialing"</f>
        <v/>
      </c>
      <c r="G4291">
        <f>""</f>
        <v/>
      </c>
      <c r="H4291">
        <f>"High"</f>
        <v/>
      </c>
      <c r="I4291">
        <f>TRIM(IF(LEN(IF(LEN(INDEX('Providers'!$Z$4:$Z$503,288))=0,"",INDEX('Providers'!$Z$4:$Z$503,288)))=0,"","Payer(s): "&amp;IF(LEN(INDEX('Providers'!$Z$4:$Z$503,288))=0,"",INDEX('Providers'!$Z$4:$Z$503,288))&amp;". "))</f>
        <v/>
      </c>
      <c r="J4291">
        <f>IF(LEN(INDEX('Providers'!$AJ$4:$AJ$503,288))=0,"",INDEX('Providers'!$AJ$4:$AJ$503,288))</f>
        <v/>
      </c>
      <c r="K4291">
        <f>IF(LEN(INDEX('Providers'!$AI$4:$AI$503,288))=0,"",INDEX('Providers'!$AI$4:$AI$503,288))</f>
        <v/>
      </c>
    </row>
    <row r="4292">
      <c r="A4292">
        <f>IF(AND(LEN('Providers'!A292)&gt;0,ISNUMBER('Providers'!AA292)),1,0)</f>
        <v/>
      </c>
      <c r="B4292">
        <f>B4291+A4292</f>
        <v/>
      </c>
      <c r="C4292">
        <f>IF(4289&gt;$B$4503,"",MATCH(4289-0.5,$B$3:$B$4503,1))</f>
        <v/>
      </c>
      <c r="D4292">
        <f>"Payer recredentialing – "&amp;IF(LEN(INDEX('Providers'!$A$4:$A$503,289))=0,"",INDEX('Providers'!$A$4:$A$503,289))</f>
        <v/>
      </c>
      <c r="E4292">
        <f>IF(ISNUMBER(INDEX('Providers'!$AA$4:$AA$503,289)),TEXT(INDEX('Providers'!$AA$4:$AA$503,289),"yyyy-mm-dd"),"")</f>
        <v/>
      </c>
      <c r="F4292">
        <f>"Credentialing"</f>
        <v/>
      </c>
      <c r="G4292">
        <f>""</f>
        <v/>
      </c>
      <c r="H4292">
        <f>"High"</f>
        <v/>
      </c>
      <c r="I4292">
        <f>TRIM(IF(LEN(IF(LEN(INDEX('Providers'!$Z$4:$Z$503,289))=0,"",INDEX('Providers'!$Z$4:$Z$503,289)))=0,"","Payer(s): "&amp;IF(LEN(INDEX('Providers'!$Z$4:$Z$503,289))=0,"",INDEX('Providers'!$Z$4:$Z$503,289))&amp;". "))</f>
        <v/>
      </c>
      <c r="J4292">
        <f>IF(LEN(INDEX('Providers'!$AJ$4:$AJ$503,289))=0,"",INDEX('Providers'!$AJ$4:$AJ$503,289))</f>
        <v/>
      </c>
      <c r="K4292">
        <f>IF(LEN(INDEX('Providers'!$AI$4:$AI$503,289))=0,"",INDEX('Providers'!$AI$4:$AI$503,289))</f>
        <v/>
      </c>
    </row>
    <row r="4293">
      <c r="A4293">
        <f>IF(AND(LEN('Providers'!A293)&gt;0,ISNUMBER('Providers'!AA293)),1,0)</f>
        <v/>
      </c>
      <c r="B4293">
        <f>B4292+A4293</f>
        <v/>
      </c>
      <c r="C4293">
        <f>IF(4290&gt;$B$4503,"",MATCH(4290-0.5,$B$3:$B$4503,1))</f>
        <v/>
      </c>
      <c r="D4293">
        <f>"Payer recredentialing – "&amp;IF(LEN(INDEX('Providers'!$A$4:$A$503,290))=0,"",INDEX('Providers'!$A$4:$A$503,290))</f>
        <v/>
      </c>
      <c r="E4293">
        <f>IF(ISNUMBER(INDEX('Providers'!$AA$4:$AA$503,290)),TEXT(INDEX('Providers'!$AA$4:$AA$503,290),"yyyy-mm-dd"),"")</f>
        <v/>
      </c>
      <c r="F4293">
        <f>"Credentialing"</f>
        <v/>
      </c>
      <c r="G4293">
        <f>""</f>
        <v/>
      </c>
      <c r="H4293">
        <f>"High"</f>
        <v/>
      </c>
      <c r="I4293">
        <f>TRIM(IF(LEN(IF(LEN(INDEX('Providers'!$Z$4:$Z$503,290))=0,"",INDEX('Providers'!$Z$4:$Z$503,290)))=0,"","Payer(s): "&amp;IF(LEN(INDEX('Providers'!$Z$4:$Z$503,290))=0,"",INDEX('Providers'!$Z$4:$Z$503,290))&amp;". "))</f>
        <v/>
      </c>
      <c r="J4293">
        <f>IF(LEN(INDEX('Providers'!$AJ$4:$AJ$503,290))=0,"",INDEX('Providers'!$AJ$4:$AJ$503,290))</f>
        <v/>
      </c>
      <c r="K4293">
        <f>IF(LEN(INDEX('Providers'!$AI$4:$AI$503,290))=0,"",INDEX('Providers'!$AI$4:$AI$503,290))</f>
        <v/>
      </c>
    </row>
    <row r="4294">
      <c r="A4294">
        <f>IF(AND(LEN('Providers'!A294)&gt;0,ISNUMBER('Providers'!AA294)),1,0)</f>
        <v/>
      </c>
      <c r="B4294">
        <f>B4293+A4294</f>
        <v/>
      </c>
      <c r="C4294">
        <f>IF(4291&gt;$B$4503,"",MATCH(4291-0.5,$B$3:$B$4503,1))</f>
        <v/>
      </c>
      <c r="D4294">
        <f>"Payer recredentialing – "&amp;IF(LEN(INDEX('Providers'!$A$4:$A$503,291))=0,"",INDEX('Providers'!$A$4:$A$503,291))</f>
        <v/>
      </c>
      <c r="E4294">
        <f>IF(ISNUMBER(INDEX('Providers'!$AA$4:$AA$503,291)),TEXT(INDEX('Providers'!$AA$4:$AA$503,291),"yyyy-mm-dd"),"")</f>
        <v/>
      </c>
      <c r="F4294">
        <f>"Credentialing"</f>
        <v/>
      </c>
      <c r="G4294">
        <f>""</f>
        <v/>
      </c>
      <c r="H4294">
        <f>"High"</f>
        <v/>
      </c>
      <c r="I4294">
        <f>TRIM(IF(LEN(IF(LEN(INDEX('Providers'!$Z$4:$Z$503,291))=0,"",INDEX('Providers'!$Z$4:$Z$503,291)))=0,"","Payer(s): "&amp;IF(LEN(INDEX('Providers'!$Z$4:$Z$503,291))=0,"",INDEX('Providers'!$Z$4:$Z$503,291))&amp;". "))</f>
        <v/>
      </c>
      <c r="J4294">
        <f>IF(LEN(INDEX('Providers'!$AJ$4:$AJ$503,291))=0,"",INDEX('Providers'!$AJ$4:$AJ$503,291))</f>
        <v/>
      </c>
      <c r="K4294">
        <f>IF(LEN(INDEX('Providers'!$AI$4:$AI$503,291))=0,"",INDEX('Providers'!$AI$4:$AI$503,291))</f>
        <v/>
      </c>
    </row>
    <row r="4295">
      <c r="A4295">
        <f>IF(AND(LEN('Providers'!A295)&gt;0,ISNUMBER('Providers'!AA295)),1,0)</f>
        <v/>
      </c>
      <c r="B4295">
        <f>B4294+A4295</f>
        <v/>
      </c>
      <c r="C4295">
        <f>IF(4292&gt;$B$4503,"",MATCH(4292-0.5,$B$3:$B$4503,1))</f>
        <v/>
      </c>
      <c r="D4295">
        <f>"Payer recredentialing – "&amp;IF(LEN(INDEX('Providers'!$A$4:$A$503,292))=0,"",INDEX('Providers'!$A$4:$A$503,292))</f>
        <v/>
      </c>
      <c r="E4295">
        <f>IF(ISNUMBER(INDEX('Providers'!$AA$4:$AA$503,292)),TEXT(INDEX('Providers'!$AA$4:$AA$503,292),"yyyy-mm-dd"),"")</f>
        <v/>
      </c>
      <c r="F4295">
        <f>"Credentialing"</f>
        <v/>
      </c>
      <c r="G4295">
        <f>""</f>
        <v/>
      </c>
      <c r="H4295">
        <f>"High"</f>
        <v/>
      </c>
      <c r="I4295">
        <f>TRIM(IF(LEN(IF(LEN(INDEX('Providers'!$Z$4:$Z$503,292))=0,"",INDEX('Providers'!$Z$4:$Z$503,292)))=0,"","Payer(s): "&amp;IF(LEN(INDEX('Providers'!$Z$4:$Z$503,292))=0,"",INDEX('Providers'!$Z$4:$Z$503,292))&amp;". "))</f>
        <v/>
      </c>
      <c r="J4295">
        <f>IF(LEN(INDEX('Providers'!$AJ$4:$AJ$503,292))=0,"",INDEX('Providers'!$AJ$4:$AJ$503,292))</f>
        <v/>
      </c>
      <c r="K4295">
        <f>IF(LEN(INDEX('Providers'!$AI$4:$AI$503,292))=0,"",INDEX('Providers'!$AI$4:$AI$503,292))</f>
        <v/>
      </c>
    </row>
    <row r="4296">
      <c r="A4296">
        <f>IF(AND(LEN('Providers'!A296)&gt;0,ISNUMBER('Providers'!AA296)),1,0)</f>
        <v/>
      </c>
      <c r="B4296">
        <f>B4295+A4296</f>
        <v/>
      </c>
      <c r="C4296">
        <f>IF(4293&gt;$B$4503,"",MATCH(4293-0.5,$B$3:$B$4503,1))</f>
        <v/>
      </c>
      <c r="D4296">
        <f>"Payer recredentialing – "&amp;IF(LEN(INDEX('Providers'!$A$4:$A$503,293))=0,"",INDEX('Providers'!$A$4:$A$503,293))</f>
        <v/>
      </c>
      <c r="E4296">
        <f>IF(ISNUMBER(INDEX('Providers'!$AA$4:$AA$503,293)),TEXT(INDEX('Providers'!$AA$4:$AA$503,293),"yyyy-mm-dd"),"")</f>
        <v/>
      </c>
      <c r="F4296">
        <f>"Credentialing"</f>
        <v/>
      </c>
      <c r="G4296">
        <f>""</f>
        <v/>
      </c>
      <c r="H4296">
        <f>"High"</f>
        <v/>
      </c>
      <c r="I4296">
        <f>TRIM(IF(LEN(IF(LEN(INDEX('Providers'!$Z$4:$Z$503,293))=0,"",INDEX('Providers'!$Z$4:$Z$503,293)))=0,"","Payer(s): "&amp;IF(LEN(INDEX('Providers'!$Z$4:$Z$503,293))=0,"",INDEX('Providers'!$Z$4:$Z$503,293))&amp;". "))</f>
        <v/>
      </c>
      <c r="J4296">
        <f>IF(LEN(INDEX('Providers'!$AJ$4:$AJ$503,293))=0,"",INDEX('Providers'!$AJ$4:$AJ$503,293))</f>
        <v/>
      </c>
      <c r="K4296">
        <f>IF(LEN(INDEX('Providers'!$AI$4:$AI$503,293))=0,"",INDEX('Providers'!$AI$4:$AI$503,293))</f>
        <v/>
      </c>
    </row>
    <row r="4297">
      <c r="A4297">
        <f>IF(AND(LEN('Providers'!A297)&gt;0,ISNUMBER('Providers'!AA297)),1,0)</f>
        <v/>
      </c>
      <c r="B4297">
        <f>B4296+A4297</f>
        <v/>
      </c>
      <c r="C4297">
        <f>IF(4294&gt;$B$4503,"",MATCH(4294-0.5,$B$3:$B$4503,1))</f>
        <v/>
      </c>
      <c r="D4297">
        <f>"Payer recredentialing – "&amp;IF(LEN(INDEX('Providers'!$A$4:$A$503,294))=0,"",INDEX('Providers'!$A$4:$A$503,294))</f>
        <v/>
      </c>
      <c r="E4297">
        <f>IF(ISNUMBER(INDEX('Providers'!$AA$4:$AA$503,294)),TEXT(INDEX('Providers'!$AA$4:$AA$503,294),"yyyy-mm-dd"),"")</f>
        <v/>
      </c>
      <c r="F4297">
        <f>"Credentialing"</f>
        <v/>
      </c>
      <c r="G4297">
        <f>""</f>
        <v/>
      </c>
      <c r="H4297">
        <f>"High"</f>
        <v/>
      </c>
      <c r="I4297">
        <f>TRIM(IF(LEN(IF(LEN(INDEX('Providers'!$Z$4:$Z$503,294))=0,"",INDEX('Providers'!$Z$4:$Z$503,294)))=0,"","Payer(s): "&amp;IF(LEN(INDEX('Providers'!$Z$4:$Z$503,294))=0,"",INDEX('Providers'!$Z$4:$Z$503,294))&amp;". "))</f>
        <v/>
      </c>
      <c r="J4297">
        <f>IF(LEN(INDEX('Providers'!$AJ$4:$AJ$503,294))=0,"",INDEX('Providers'!$AJ$4:$AJ$503,294))</f>
        <v/>
      </c>
      <c r="K4297">
        <f>IF(LEN(INDEX('Providers'!$AI$4:$AI$503,294))=0,"",INDEX('Providers'!$AI$4:$AI$503,294))</f>
        <v/>
      </c>
    </row>
    <row r="4298">
      <c r="A4298">
        <f>IF(AND(LEN('Providers'!A298)&gt;0,ISNUMBER('Providers'!AA298)),1,0)</f>
        <v/>
      </c>
      <c r="B4298">
        <f>B4297+A4298</f>
        <v/>
      </c>
      <c r="C4298">
        <f>IF(4295&gt;$B$4503,"",MATCH(4295-0.5,$B$3:$B$4503,1))</f>
        <v/>
      </c>
      <c r="D4298">
        <f>"Payer recredentialing – "&amp;IF(LEN(INDEX('Providers'!$A$4:$A$503,295))=0,"",INDEX('Providers'!$A$4:$A$503,295))</f>
        <v/>
      </c>
      <c r="E4298">
        <f>IF(ISNUMBER(INDEX('Providers'!$AA$4:$AA$503,295)),TEXT(INDEX('Providers'!$AA$4:$AA$503,295),"yyyy-mm-dd"),"")</f>
        <v/>
      </c>
      <c r="F4298">
        <f>"Credentialing"</f>
        <v/>
      </c>
      <c r="G4298">
        <f>""</f>
        <v/>
      </c>
      <c r="H4298">
        <f>"High"</f>
        <v/>
      </c>
      <c r="I4298">
        <f>TRIM(IF(LEN(IF(LEN(INDEX('Providers'!$Z$4:$Z$503,295))=0,"",INDEX('Providers'!$Z$4:$Z$503,295)))=0,"","Payer(s): "&amp;IF(LEN(INDEX('Providers'!$Z$4:$Z$503,295))=0,"",INDEX('Providers'!$Z$4:$Z$503,295))&amp;". "))</f>
        <v/>
      </c>
      <c r="J4298">
        <f>IF(LEN(INDEX('Providers'!$AJ$4:$AJ$503,295))=0,"",INDEX('Providers'!$AJ$4:$AJ$503,295))</f>
        <v/>
      </c>
      <c r="K4298">
        <f>IF(LEN(INDEX('Providers'!$AI$4:$AI$503,295))=0,"",INDEX('Providers'!$AI$4:$AI$503,295))</f>
        <v/>
      </c>
    </row>
    <row r="4299">
      <c r="A4299">
        <f>IF(AND(LEN('Providers'!A299)&gt;0,ISNUMBER('Providers'!AA299)),1,0)</f>
        <v/>
      </c>
      <c r="B4299">
        <f>B4298+A4299</f>
        <v/>
      </c>
      <c r="C4299">
        <f>IF(4296&gt;$B$4503,"",MATCH(4296-0.5,$B$3:$B$4503,1))</f>
        <v/>
      </c>
      <c r="D4299">
        <f>"Payer recredentialing – "&amp;IF(LEN(INDEX('Providers'!$A$4:$A$503,296))=0,"",INDEX('Providers'!$A$4:$A$503,296))</f>
        <v/>
      </c>
      <c r="E4299">
        <f>IF(ISNUMBER(INDEX('Providers'!$AA$4:$AA$503,296)),TEXT(INDEX('Providers'!$AA$4:$AA$503,296),"yyyy-mm-dd"),"")</f>
        <v/>
      </c>
      <c r="F4299">
        <f>"Credentialing"</f>
        <v/>
      </c>
      <c r="G4299">
        <f>""</f>
        <v/>
      </c>
      <c r="H4299">
        <f>"High"</f>
        <v/>
      </c>
      <c r="I4299">
        <f>TRIM(IF(LEN(IF(LEN(INDEX('Providers'!$Z$4:$Z$503,296))=0,"",INDEX('Providers'!$Z$4:$Z$503,296)))=0,"","Payer(s): "&amp;IF(LEN(INDEX('Providers'!$Z$4:$Z$503,296))=0,"",INDEX('Providers'!$Z$4:$Z$503,296))&amp;". "))</f>
        <v/>
      </c>
      <c r="J4299">
        <f>IF(LEN(INDEX('Providers'!$AJ$4:$AJ$503,296))=0,"",INDEX('Providers'!$AJ$4:$AJ$503,296))</f>
        <v/>
      </c>
      <c r="K4299">
        <f>IF(LEN(INDEX('Providers'!$AI$4:$AI$503,296))=0,"",INDEX('Providers'!$AI$4:$AI$503,296))</f>
        <v/>
      </c>
    </row>
    <row r="4300">
      <c r="A4300">
        <f>IF(AND(LEN('Providers'!A300)&gt;0,ISNUMBER('Providers'!AA300)),1,0)</f>
        <v/>
      </c>
      <c r="B4300">
        <f>B4299+A4300</f>
        <v/>
      </c>
      <c r="C4300">
        <f>IF(4297&gt;$B$4503,"",MATCH(4297-0.5,$B$3:$B$4503,1))</f>
        <v/>
      </c>
      <c r="D4300">
        <f>"Payer recredentialing – "&amp;IF(LEN(INDEX('Providers'!$A$4:$A$503,297))=0,"",INDEX('Providers'!$A$4:$A$503,297))</f>
        <v/>
      </c>
      <c r="E4300">
        <f>IF(ISNUMBER(INDEX('Providers'!$AA$4:$AA$503,297)),TEXT(INDEX('Providers'!$AA$4:$AA$503,297),"yyyy-mm-dd"),"")</f>
        <v/>
      </c>
      <c r="F4300">
        <f>"Credentialing"</f>
        <v/>
      </c>
      <c r="G4300">
        <f>""</f>
        <v/>
      </c>
      <c r="H4300">
        <f>"High"</f>
        <v/>
      </c>
      <c r="I4300">
        <f>TRIM(IF(LEN(IF(LEN(INDEX('Providers'!$Z$4:$Z$503,297))=0,"",INDEX('Providers'!$Z$4:$Z$503,297)))=0,"","Payer(s): "&amp;IF(LEN(INDEX('Providers'!$Z$4:$Z$503,297))=0,"",INDEX('Providers'!$Z$4:$Z$503,297))&amp;". "))</f>
        <v/>
      </c>
      <c r="J4300">
        <f>IF(LEN(INDEX('Providers'!$AJ$4:$AJ$503,297))=0,"",INDEX('Providers'!$AJ$4:$AJ$503,297))</f>
        <v/>
      </c>
      <c r="K4300">
        <f>IF(LEN(INDEX('Providers'!$AI$4:$AI$503,297))=0,"",INDEX('Providers'!$AI$4:$AI$503,297))</f>
        <v/>
      </c>
    </row>
    <row r="4301">
      <c r="A4301">
        <f>IF(AND(LEN('Providers'!A301)&gt;0,ISNUMBER('Providers'!AA301)),1,0)</f>
        <v/>
      </c>
      <c r="B4301">
        <f>B4300+A4301</f>
        <v/>
      </c>
      <c r="C4301">
        <f>IF(4298&gt;$B$4503,"",MATCH(4298-0.5,$B$3:$B$4503,1))</f>
        <v/>
      </c>
      <c r="D4301">
        <f>"Payer recredentialing – "&amp;IF(LEN(INDEX('Providers'!$A$4:$A$503,298))=0,"",INDEX('Providers'!$A$4:$A$503,298))</f>
        <v/>
      </c>
      <c r="E4301">
        <f>IF(ISNUMBER(INDEX('Providers'!$AA$4:$AA$503,298)),TEXT(INDEX('Providers'!$AA$4:$AA$503,298),"yyyy-mm-dd"),"")</f>
        <v/>
      </c>
      <c r="F4301">
        <f>"Credentialing"</f>
        <v/>
      </c>
      <c r="G4301">
        <f>""</f>
        <v/>
      </c>
      <c r="H4301">
        <f>"High"</f>
        <v/>
      </c>
      <c r="I4301">
        <f>TRIM(IF(LEN(IF(LEN(INDEX('Providers'!$Z$4:$Z$503,298))=0,"",INDEX('Providers'!$Z$4:$Z$503,298)))=0,"","Payer(s): "&amp;IF(LEN(INDEX('Providers'!$Z$4:$Z$503,298))=0,"",INDEX('Providers'!$Z$4:$Z$503,298))&amp;". "))</f>
        <v/>
      </c>
      <c r="J4301">
        <f>IF(LEN(INDEX('Providers'!$AJ$4:$AJ$503,298))=0,"",INDEX('Providers'!$AJ$4:$AJ$503,298))</f>
        <v/>
      </c>
      <c r="K4301">
        <f>IF(LEN(INDEX('Providers'!$AI$4:$AI$503,298))=0,"",INDEX('Providers'!$AI$4:$AI$503,298))</f>
        <v/>
      </c>
    </row>
    <row r="4302">
      <c r="A4302">
        <f>IF(AND(LEN('Providers'!A302)&gt;0,ISNUMBER('Providers'!AA302)),1,0)</f>
        <v/>
      </c>
      <c r="B4302">
        <f>B4301+A4302</f>
        <v/>
      </c>
      <c r="C4302">
        <f>IF(4299&gt;$B$4503,"",MATCH(4299-0.5,$B$3:$B$4503,1))</f>
        <v/>
      </c>
      <c r="D4302">
        <f>"Payer recredentialing – "&amp;IF(LEN(INDEX('Providers'!$A$4:$A$503,299))=0,"",INDEX('Providers'!$A$4:$A$503,299))</f>
        <v/>
      </c>
      <c r="E4302">
        <f>IF(ISNUMBER(INDEX('Providers'!$AA$4:$AA$503,299)),TEXT(INDEX('Providers'!$AA$4:$AA$503,299),"yyyy-mm-dd"),"")</f>
        <v/>
      </c>
      <c r="F4302">
        <f>"Credentialing"</f>
        <v/>
      </c>
      <c r="G4302">
        <f>""</f>
        <v/>
      </c>
      <c r="H4302">
        <f>"High"</f>
        <v/>
      </c>
      <c r="I4302">
        <f>TRIM(IF(LEN(IF(LEN(INDEX('Providers'!$Z$4:$Z$503,299))=0,"",INDEX('Providers'!$Z$4:$Z$503,299)))=0,"","Payer(s): "&amp;IF(LEN(INDEX('Providers'!$Z$4:$Z$503,299))=0,"",INDEX('Providers'!$Z$4:$Z$503,299))&amp;". "))</f>
        <v/>
      </c>
      <c r="J4302">
        <f>IF(LEN(INDEX('Providers'!$AJ$4:$AJ$503,299))=0,"",INDEX('Providers'!$AJ$4:$AJ$503,299))</f>
        <v/>
      </c>
      <c r="K4302">
        <f>IF(LEN(INDEX('Providers'!$AI$4:$AI$503,299))=0,"",INDEX('Providers'!$AI$4:$AI$503,299))</f>
        <v/>
      </c>
    </row>
    <row r="4303">
      <c r="A4303">
        <f>IF(AND(LEN('Providers'!A303)&gt;0,ISNUMBER('Providers'!AA303)),1,0)</f>
        <v/>
      </c>
      <c r="B4303">
        <f>B4302+A4303</f>
        <v/>
      </c>
      <c r="C4303">
        <f>IF(4300&gt;$B$4503,"",MATCH(4300-0.5,$B$3:$B$4503,1))</f>
        <v/>
      </c>
      <c r="D4303">
        <f>"Payer recredentialing – "&amp;IF(LEN(INDEX('Providers'!$A$4:$A$503,300))=0,"",INDEX('Providers'!$A$4:$A$503,300))</f>
        <v/>
      </c>
      <c r="E4303">
        <f>IF(ISNUMBER(INDEX('Providers'!$AA$4:$AA$503,300)),TEXT(INDEX('Providers'!$AA$4:$AA$503,300),"yyyy-mm-dd"),"")</f>
        <v/>
      </c>
      <c r="F4303">
        <f>"Credentialing"</f>
        <v/>
      </c>
      <c r="G4303">
        <f>""</f>
        <v/>
      </c>
      <c r="H4303">
        <f>"High"</f>
        <v/>
      </c>
      <c r="I4303">
        <f>TRIM(IF(LEN(IF(LEN(INDEX('Providers'!$Z$4:$Z$503,300))=0,"",INDEX('Providers'!$Z$4:$Z$503,300)))=0,"","Payer(s): "&amp;IF(LEN(INDEX('Providers'!$Z$4:$Z$503,300))=0,"",INDEX('Providers'!$Z$4:$Z$503,300))&amp;". "))</f>
        <v/>
      </c>
      <c r="J4303">
        <f>IF(LEN(INDEX('Providers'!$AJ$4:$AJ$503,300))=0,"",INDEX('Providers'!$AJ$4:$AJ$503,300))</f>
        <v/>
      </c>
      <c r="K4303">
        <f>IF(LEN(INDEX('Providers'!$AI$4:$AI$503,300))=0,"",INDEX('Providers'!$AI$4:$AI$503,300))</f>
        <v/>
      </c>
    </row>
    <row r="4304">
      <c r="A4304">
        <f>IF(AND(LEN('Providers'!A304)&gt;0,ISNUMBER('Providers'!AA304)),1,0)</f>
        <v/>
      </c>
      <c r="B4304">
        <f>B4303+A4304</f>
        <v/>
      </c>
      <c r="C4304">
        <f>IF(4301&gt;$B$4503,"",MATCH(4301-0.5,$B$3:$B$4503,1))</f>
        <v/>
      </c>
      <c r="D4304">
        <f>"Payer recredentialing – "&amp;IF(LEN(INDEX('Providers'!$A$4:$A$503,301))=0,"",INDEX('Providers'!$A$4:$A$503,301))</f>
        <v/>
      </c>
      <c r="E4304">
        <f>IF(ISNUMBER(INDEX('Providers'!$AA$4:$AA$503,301)),TEXT(INDEX('Providers'!$AA$4:$AA$503,301),"yyyy-mm-dd"),"")</f>
        <v/>
      </c>
      <c r="F4304">
        <f>"Credentialing"</f>
        <v/>
      </c>
      <c r="G4304">
        <f>""</f>
        <v/>
      </c>
      <c r="H4304">
        <f>"High"</f>
        <v/>
      </c>
      <c r="I4304">
        <f>TRIM(IF(LEN(IF(LEN(INDEX('Providers'!$Z$4:$Z$503,301))=0,"",INDEX('Providers'!$Z$4:$Z$503,301)))=0,"","Payer(s): "&amp;IF(LEN(INDEX('Providers'!$Z$4:$Z$503,301))=0,"",INDEX('Providers'!$Z$4:$Z$503,301))&amp;". "))</f>
        <v/>
      </c>
      <c r="J4304">
        <f>IF(LEN(INDEX('Providers'!$AJ$4:$AJ$503,301))=0,"",INDEX('Providers'!$AJ$4:$AJ$503,301))</f>
        <v/>
      </c>
      <c r="K4304">
        <f>IF(LEN(INDEX('Providers'!$AI$4:$AI$503,301))=0,"",INDEX('Providers'!$AI$4:$AI$503,301))</f>
        <v/>
      </c>
    </row>
    <row r="4305">
      <c r="A4305">
        <f>IF(AND(LEN('Providers'!A305)&gt;0,ISNUMBER('Providers'!AA305)),1,0)</f>
        <v/>
      </c>
      <c r="B4305">
        <f>B4304+A4305</f>
        <v/>
      </c>
      <c r="C4305">
        <f>IF(4302&gt;$B$4503,"",MATCH(4302-0.5,$B$3:$B$4503,1))</f>
        <v/>
      </c>
      <c r="D4305">
        <f>"Payer recredentialing – "&amp;IF(LEN(INDEX('Providers'!$A$4:$A$503,302))=0,"",INDEX('Providers'!$A$4:$A$503,302))</f>
        <v/>
      </c>
      <c r="E4305">
        <f>IF(ISNUMBER(INDEX('Providers'!$AA$4:$AA$503,302)),TEXT(INDEX('Providers'!$AA$4:$AA$503,302),"yyyy-mm-dd"),"")</f>
        <v/>
      </c>
      <c r="F4305">
        <f>"Credentialing"</f>
        <v/>
      </c>
      <c r="G4305">
        <f>""</f>
        <v/>
      </c>
      <c r="H4305">
        <f>"High"</f>
        <v/>
      </c>
      <c r="I4305">
        <f>TRIM(IF(LEN(IF(LEN(INDEX('Providers'!$Z$4:$Z$503,302))=0,"",INDEX('Providers'!$Z$4:$Z$503,302)))=0,"","Payer(s): "&amp;IF(LEN(INDEX('Providers'!$Z$4:$Z$503,302))=0,"",INDEX('Providers'!$Z$4:$Z$503,302))&amp;". "))</f>
        <v/>
      </c>
      <c r="J4305">
        <f>IF(LEN(INDEX('Providers'!$AJ$4:$AJ$503,302))=0,"",INDEX('Providers'!$AJ$4:$AJ$503,302))</f>
        <v/>
      </c>
      <c r="K4305">
        <f>IF(LEN(INDEX('Providers'!$AI$4:$AI$503,302))=0,"",INDEX('Providers'!$AI$4:$AI$503,302))</f>
        <v/>
      </c>
    </row>
    <row r="4306">
      <c r="A4306">
        <f>IF(AND(LEN('Providers'!A306)&gt;0,ISNUMBER('Providers'!AA306)),1,0)</f>
        <v/>
      </c>
      <c r="B4306">
        <f>B4305+A4306</f>
        <v/>
      </c>
      <c r="C4306">
        <f>IF(4303&gt;$B$4503,"",MATCH(4303-0.5,$B$3:$B$4503,1))</f>
        <v/>
      </c>
      <c r="D4306">
        <f>"Payer recredentialing – "&amp;IF(LEN(INDEX('Providers'!$A$4:$A$503,303))=0,"",INDEX('Providers'!$A$4:$A$503,303))</f>
        <v/>
      </c>
      <c r="E4306">
        <f>IF(ISNUMBER(INDEX('Providers'!$AA$4:$AA$503,303)),TEXT(INDEX('Providers'!$AA$4:$AA$503,303),"yyyy-mm-dd"),"")</f>
        <v/>
      </c>
      <c r="F4306">
        <f>"Credentialing"</f>
        <v/>
      </c>
      <c r="G4306">
        <f>""</f>
        <v/>
      </c>
      <c r="H4306">
        <f>"High"</f>
        <v/>
      </c>
      <c r="I4306">
        <f>TRIM(IF(LEN(IF(LEN(INDEX('Providers'!$Z$4:$Z$503,303))=0,"",INDEX('Providers'!$Z$4:$Z$503,303)))=0,"","Payer(s): "&amp;IF(LEN(INDEX('Providers'!$Z$4:$Z$503,303))=0,"",INDEX('Providers'!$Z$4:$Z$503,303))&amp;". "))</f>
        <v/>
      </c>
      <c r="J4306">
        <f>IF(LEN(INDEX('Providers'!$AJ$4:$AJ$503,303))=0,"",INDEX('Providers'!$AJ$4:$AJ$503,303))</f>
        <v/>
      </c>
      <c r="K4306">
        <f>IF(LEN(INDEX('Providers'!$AI$4:$AI$503,303))=0,"",INDEX('Providers'!$AI$4:$AI$503,303))</f>
        <v/>
      </c>
    </row>
    <row r="4307">
      <c r="A4307">
        <f>IF(AND(LEN('Providers'!A307)&gt;0,ISNUMBER('Providers'!AA307)),1,0)</f>
        <v/>
      </c>
      <c r="B4307">
        <f>B4306+A4307</f>
        <v/>
      </c>
      <c r="C4307">
        <f>IF(4304&gt;$B$4503,"",MATCH(4304-0.5,$B$3:$B$4503,1))</f>
        <v/>
      </c>
      <c r="D4307">
        <f>"Payer recredentialing – "&amp;IF(LEN(INDEX('Providers'!$A$4:$A$503,304))=0,"",INDEX('Providers'!$A$4:$A$503,304))</f>
        <v/>
      </c>
      <c r="E4307">
        <f>IF(ISNUMBER(INDEX('Providers'!$AA$4:$AA$503,304)),TEXT(INDEX('Providers'!$AA$4:$AA$503,304),"yyyy-mm-dd"),"")</f>
        <v/>
      </c>
      <c r="F4307">
        <f>"Credentialing"</f>
        <v/>
      </c>
      <c r="G4307">
        <f>""</f>
        <v/>
      </c>
      <c r="H4307">
        <f>"High"</f>
        <v/>
      </c>
      <c r="I4307">
        <f>TRIM(IF(LEN(IF(LEN(INDEX('Providers'!$Z$4:$Z$503,304))=0,"",INDEX('Providers'!$Z$4:$Z$503,304)))=0,"","Payer(s): "&amp;IF(LEN(INDEX('Providers'!$Z$4:$Z$503,304))=0,"",INDEX('Providers'!$Z$4:$Z$503,304))&amp;". "))</f>
        <v/>
      </c>
      <c r="J4307">
        <f>IF(LEN(INDEX('Providers'!$AJ$4:$AJ$503,304))=0,"",INDEX('Providers'!$AJ$4:$AJ$503,304))</f>
        <v/>
      </c>
      <c r="K4307">
        <f>IF(LEN(INDEX('Providers'!$AI$4:$AI$503,304))=0,"",INDEX('Providers'!$AI$4:$AI$503,304))</f>
        <v/>
      </c>
    </row>
    <row r="4308">
      <c r="A4308">
        <f>IF(AND(LEN('Providers'!A308)&gt;0,ISNUMBER('Providers'!AA308)),1,0)</f>
        <v/>
      </c>
      <c r="B4308">
        <f>B4307+A4308</f>
        <v/>
      </c>
      <c r="C4308">
        <f>IF(4305&gt;$B$4503,"",MATCH(4305-0.5,$B$3:$B$4503,1))</f>
        <v/>
      </c>
      <c r="D4308">
        <f>"Payer recredentialing – "&amp;IF(LEN(INDEX('Providers'!$A$4:$A$503,305))=0,"",INDEX('Providers'!$A$4:$A$503,305))</f>
        <v/>
      </c>
      <c r="E4308">
        <f>IF(ISNUMBER(INDEX('Providers'!$AA$4:$AA$503,305)),TEXT(INDEX('Providers'!$AA$4:$AA$503,305),"yyyy-mm-dd"),"")</f>
        <v/>
      </c>
      <c r="F4308">
        <f>"Credentialing"</f>
        <v/>
      </c>
      <c r="G4308">
        <f>""</f>
        <v/>
      </c>
      <c r="H4308">
        <f>"High"</f>
        <v/>
      </c>
      <c r="I4308">
        <f>TRIM(IF(LEN(IF(LEN(INDEX('Providers'!$Z$4:$Z$503,305))=0,"",INDEX('Providers'!$Z$4:$Z$503,305)))=0,"","Payer(s): "&amp;IF(LEN(INDEX('Providers'!$Z$4:$Z$503,305))=0,"",INDEX('Providers'!$Z$4:$Z$503,305))&amp;". "))</f>
        <v/>
      </c>
      <c r="J4308">
        <f>IF(LEN(INDEX('Providers'!$AJ$4:$AJ$503,305))=0,"",INDEX('Providers'!$AJ$4:$AJ$503,305))</f>
        <v/>
      </c>
      <c r="K4308">
        <f>IF(LEN(INDEX('Providers'!$AI$4:$AI$503,305))=0,"",INDEX('Providers'!$AI$4:$AI$503,305))</f>
        <v/>
      </c>
    </row>
    <row r="4309">
      <c r="A4309">
        <f>IF(AND(LEN('Providers'!A309)&gt;0,ISNUMBER('Providers'!AA309)),1,0)</f>
        <v/>
      </c>
      <c r="B4309">
        <f>B4308+A4309</f>
        <v/>
      </c>
      <c r="C4309">
        <f>IF(4306&gt;$B$4503,"",MATCH(4306-0.5,$B$3:$B$4503,1))</f>
        <v/>
      </c>
      <c r="D4309">
        <f>"Payer recredentialing – "&amp;IF(LEN(INDEX('Providers'!$A$4:$A$503,306))=0,"",INDEX('Providers'!$A$4:$A$503,306))</f>
        <v/>
      </c>
      <c r="E4309">
        <f>IF(ISNUMBER(INDEX('Providers'!$AA$4:$AA$503,306)),TEXT(INDEX('Providers'!$AA$4:$AA$503,306),"yyyy-mm-dd"),"")</f>
        <v/>
      </c>
      <c r="F4309">
        <f>"Credentialing"</f>
        <v/>
      </c>
      <c r="G4309">
        <f>""</f>
        <v/>
      </c>
      <c r="H4309">
        <f>"High"</f>
        <v/>
      </c>
      <c r="I4309">
        <f>TRIM(IF(LEN(IF(LEN(INDEX('Providers'!$Z$4:$Z$503,306))=0,"",INDEX('Providers'!$Z$4:$Z$503,306)))=0,"","Payer(s): "&amp;IF(LEN(INDEX('Providers'!$Z$4:$Z$503,306))=0,"",INDEX('Providers'!$Z$4:$Z$503,306))&amp;". "))</f>
        <v/>
      </c>
      <c r="J4309">
        <f>IF(LEN(INDEX('Providers'!$AJ$4:$AJ$503,306))=0,"",INDEX('Providers'!$AJ$4:$AJ$503,306))</f>
        <v/>
      </c>
      <c r="K4309">
        <f>IF(LEN(INDEX('Providers'!$AI$4:$AI$503,306))=0,"",INDEX('Providers'!$AI$4:$AI$503,306))</f>
        <v/>
      </c>
    </row>
    <row r="4310">
      <c r="A4310">
        <f>IF(AND(LEN('Providers'!A310)&gt;0,ISNUMBER('Providers'!AA310)),1,0)</f>
        <v/>
      </c>
      <c r="B4310">
        <f>B4309+A4310</f>
        <v/>
      </c>
      <c r="C4310">
        <f>IF(4307&gt;$B$4503,"",MATCH(4307-0.5,$B$3:$B$4503,1))</f>
        <v/>
      </c>
      <c r="D4310">
        <f>"Payer recredentialing – "&amp;IF(LEN(INDEX('Providers'!$A$4:$A$503,307))=0,"",INDEX('Providers'!$A$4:$A$503,307))</f>
        <v/>
      </c>
      <c r="E4310">
        <f>IF(ISNUMBER(INDEX('Providers'!$AA$4:$AA$503,307)),TEXT(INDEX('Providers'!$AA$4:$AA$503,307),"yyyy-mm-dd"),"")</f>
        <v/>
      </c>
      <c r="F4310">
        <f>"Credentialing"</f>
        <v/>
      </c>
      <c r="G4310">
        <f>""</f>
        <v/>
      </c>
      <c r="H4310">
        <f>"High"</f>
        <v/>
      </c>
      <c r="I4310">
        <f>TRIM(IF(LEN(IF(LEN(INDEX('Providers'!$Z$4:$Z$503,307))=0,"",INDEX('Providers'!$Z$4:$Z$503,307)))=0,"","Payer(s): "&amp;IF(LEN(INDEX('Providers'!$Z$4:$Z$503,307))=0,"",INDEX('Providers'!$Z$4:$Z$503,307))&amp;". "))</f>
        <v/>
      </c>
      <c r="J4310">
        <f>IF(LEN(INDEX('Providers'!$AJ$4:$AJ$503,307))=0,"",INDEX('Providers'!$AJ$4:$AJ$503,307))</f>
        <v/>
      </c>
      <c r="K4310">
        <f>IF(LEN(INDEX('Providers'!$AI$4:$AI$503,307))=0,"",INDEX('Providers'!$AI$4:$AI$503,307))</f>
        <v/>
      </c>
    </row>
    <row r="4311">
      <c r="A4311">
        <f>IF(AND(LEN('Providers'!A311)&gt;0,ISNUMBER('Providers'!AA311)),1,0)</f>
        <v/>
      </c>
      <c r="B4311">
        <f>B4310+A4311</f>
        <v/>
      </c>
      <c r="C4311">
        <f>IF(4308&gt;$B$4503,"",MATCH(4308-0.5,$B$3:$B$4503,1))</f>
        <v/>
      </c>
      <c r="D4311">
        <f>"Payer recredentialing – "&amp;IF(LEN(INDEX('Providers'!$A$4:$A$503,308))=0,"",INDEX('Providers'!$A$4:$A$503,308))</f>
        <v/>
      </c>
      <c r="E4311">
        <f>IF(ISNUMBER(INDEX('Providers'!$AA$4:$AA$503,308)),TEXT(INDEX('Providers'!$AA$4:$AA$503,308),"yyyy-mm-dd"),"")</f>
        <v/>
      </c>
      <c r="F4311">
        <f>"Credentialing"</f>
        <v/>
      </c>
      <c r="G4311">
        <f>""</f>
        <v/>
      </c>
      <c r="H4311">
        <f>"High"</f>
        <v/>
      </c>
      <c r="I4311">
        <f>TRIM(IF(LEN(IF(LEN(INDEX('Providers'!$Z$4:$Z$503,308))=0,"",INDEX('Providers'!$Z$4:$Z$503,308)))=0,"","Payer(s): "&amp;IF(LEN(INDEX('Providers'!$Z$4:$Z$503,308))=0,"",INDEX('Providers'!$Z$4:$Z$503,308))&amp;". "))</f>
        <v/>
      </c>
      <c r="J4311">
        <f>IF(LEN(INDEX('Providers'!$AJ$4:$AJ$503,308))=0,"",INDEX('Providers'!$AJ$4:$AJ$503,308))</f>
        <v/>
      </c>
      <c r="K4311">
        <f>IF(LEN(INDEX('Providers'!$AI$4:$AI$503,308))=0,"",INDEX('Providers'!$AI$4:$AI$503,308))</f>
        <v/>
      </c>
    </row>
    <row r="4312">
      <c r="A4312">
        <f>IF(AND(LEN('Providers'!A312)&gt;0,ISNUMBER('Providers'!AA312)),1,0)</f>
        <v/>
      </c>
      <c r="B4312">
        <f>B4311+A4312</f>
        <v/>
      </c>
      <c r="C4312">
        <f>IF(4309&gt;$B$4503,"",MATCH(4309-0.5,$B$3:$B$4503,1))</f>
        <v/>
      </c>
      <c r="D4312">
        <f>"Payer recredentialing – "&amp;IF(LEN(INDEX('Providers'!$A$4:$A$503,309))=0,"",INDEX('Providers'!$A$4:$A$503,309))</f>
        <v/>
      </c>
      <c r="E4312">
        <f>IF(ISNUMBER(INDEX('Providers'!$AA$4:$AA$503,309)),TEXT(INDEX('Providers'!$AA$4:$AA$503,309),"yyyy-mm-dd"),"")</f>
        <v/>
      </c>
      <c r="F4312">
        <f>"Credentialing"</f>
        <v/>
      </c>
      <c r="G4312">
        <f>""</f>
        <v/>
      </c>
      <c r="H4312">
        <f>"High"</f>
        <v/>
      </c>
      <c r="I4312">
        <f>TRIM(IF(LEN(IF(LEN(INDEX('Providers'!$Z$4:$Z$503,309))=0,"",INDEX('Providers'!$Z$4:$Z$503,309)))=0,"","Payer(s): "&amp;IF(LEN(INDEX('Providers'!$Z$4:$Z$503,309))=0,"",INDEX('Providers'!$Z$4:$Z$503,309))&amp;". "))</f>
        <v/>
      </c>
      <c r="J4312">
        <f>IF(LEN(INDEX('Providers'!$AJ$4:$AJ$503,309))=0,"",INDEX('Providers'!$AJ$4:$AJ$503,309))</f>
        <v/>
      </c>
      <c r="K4312">
        <f>IF(LEN(INDEX('Providers'!$AI$4:$AI$503,309))=0,"",INDEX('Providers'!$AI$4:$AI$503,309))</f>
        <v/>
      </c>
    </row>
    <row r="4313">
      <c r="A4313">
        <f>IF(AND(LEN('Providers'!A313)&gt;0,ISNUMBER('Providers'!AA313)),1,0)</f>
        <v/>
      </c>
      <c r="B4313">
        <f>B4312+A4313</f>
        <v/>
      </c>
      <c r="C4313">
        <f>IF(4310&gt;$B$4503,"",MATCH(4310-0.5,$B$3:$B$4503,1))</f>
        <v/>
      </c>
      <c r="D4313">
        <f>"Payer recredentialing – "&amp;IF(LEN(INDEX('Providers'!$A$4:$A$503,310))=0,"",INDEX('Providers'!$A$4:$A$503,310))</f>
        <v/>
      </c>
      <c r="E4313">
        <f>IF(ISNUMBER(INDEX('Providers'!$AA$4:$AA$503,310)),TEXT(INDEX('Providers'!$AA$4:$AA$503,310),"yyyy-mm-dd"),"")</f>
        <v/>
      </c>
      <c r="F4313">
        <f>"Credentialing"</f>
        <v/>
      </c>
      <c r="G4313">
        <f>""</f>
        <v/>
      </c>
      <c r="H4313">
        <f>"High"</f>
        <v/>
      </c>
      <c r="I4313">
        <f>TRIM(IF(LEN(IF(LEN(INDEX('Providers'!$Z$4:$Z$503,310))=0,"",INDEX('Providers'!$Z$4:$Z$503,310)))=0,"","Payer(s): "&amp;IF(LEN(INDEX('Providers'!$Z$4:$Z$503,310))=0,"",INDEX('Providers'!$Z$4:$Z$503,310))&amp;". "))</f>
        <v/>
      </c>
      <c r="J4313">
        <f>IF(LEN(INDEX('Providers'!$AJ$4:$AJ$503,310))=0,"",INDEX('Providers'!$AJ$4:$AJ$503,310))</f>
        <v/>
      </c>
      <c r="K4313">
        <f>IF(LEN(INDEX('Providers'!$AI$4:$AI$503,310))=0,"",INDEX('Providers'!$AI$4:$AI$503,310))</f>
        <v/>
      </c>
    </row>
    <row r="4314">
      <c r="A4314">
        <f>IF(AND(LEN('Providers'!A314)&gt;0,ISNUMBER('Providers'!AA314)),1,0)</f>
        <v/>
      </c>
      <c r="B4314">
        <f>B4313+A4314</f>
        <v/>
      </c>
      <c r="C4314">
        <f>IF(4311&gt;$B$4503,"",MATCH(4311-0.5,$B$3:$B$4503,1))</f>
        <v/>
      </c>
      <c r="D4314">
        <f>"Payer recredentialing – "&amp;IF(LEN(INDEX('Providers'!$A$4:$A$503,311))=0,"",INDEX('Providers'!$A$4:$A$503,311))</f>
        <v/>
      </c>
      <c r="E4314">
        <f>IF(ISNUMBER(INDEX('Providers'!$AA$4:$AA$503,311)),TEXT(INDEX('Providers'!$AA$4:$AA$503,311),"yyyy-mm-dd"),"")</f>
        <v/>
      </c>
      <c r="F4314">
        <f>"Credentialing"</f>
        <v/>
      </c>
      <c r="G4314">
        <f>""</f>
        <v/>
      </c>
      <c r="H4314">
        <f>"High"</f>
        <v/>
      </c>
      <c r="I4314">
        <f>TRIM(IF(LEN(IF(LEN(INDEX('Providers'!$Z$4:$Z$503,311))=0,"",INDEX('Providers'!$Z$4:$Z$503,311)))=0,"","Payer(s): "&amp;IF(LEN(INDEX('Providers'!$Z$4:$Z$503,311))=0,"",INDEX('Providers'!$Z$4:$Z$503,311))&amp;". "))</f>
        <v/>
      </c>
      <c r="J4314">
        <f>IF(LEN(INDEX('Providers'!$AJ$4:$AJ$503,311))=0,"",INDEX('Providers'!$AJ$4:$AJ$503,311))</f>
        <v/>
      </c>
      <c r="K4314">
        <f>IF(LEN(INDEX('Providers'!$AI$4:$AI$503,311))=0,"",INDEX('Providers'!$AI$4:$AI$503,311))</f>
        <v/>
      </c>
    </row>
    <row r="4315">
      <c r="A4315">
        <f>IF(AND(LEN('Providers'!A315)&gt;0,ISNUMBER('Providers'!AA315)),1,0)</f>
        <v/>
      </c>
      <c r="B4315">
        <f>B4314+A4315</f>
        <v/>
      </c>
      <c r="C4315">
        <f>IF(4312&gt;$B$4503,"",MATCH(4312-0.5,$B$3:$B$4503,1))</f>
        <v/>
      </c>
      <c r="D4315">
        <f>"Payer recredentialing – "&amp;IF(LEN(INDEX('Providers'!$A$4:$A$503,312))=0,"",INDEX('Providers'!$A$4:$A$503,312))</f>
        <v/>
      </c>
      <c r="E4315">
        <f>IF(ISNUMBER(INDEX('Providers'!$AA$4:$AA$503,312)),TEXT(INDEX('Providers'!$AA$4:$AA$503,312),"yyyy-mm-dd"),"")</f>
        <v/>
      </c>
      <c r="F4315">
        <f>"Credentialing"</f>
        <v/>
      </c>
      <c r="G4315">
        <f>""</f>
        <v/>
      </c>
      <c r="H4315">
        <f>"High"</f>
        <v/>
      </c>
      <c r="I4315">
        <f>TRIM(IF(LEN(IF(LEN(INDEX('Providers'!$Z$4:$Z$503,312))=0,"",INDEX('Providers'!$Z$4:$Z$503,312)))=0,"","Payer(s): "&amp;IF(LEN(INDEX('Providers'!$Z$4:$Z$503,312))=0,"",INDEX('Providers'!$Z$4:$Z$503,312))&amp;". "))</f>
        <v/>
      </c>
      <c r="J4315">
        <f>IF(LEN(INDEX('Providers'!$AJ$4:$AJ$503,312))=0,"",INDEX('Providers'!$AJ$4:$AJ$503,312))</f>
        <v/>
      </c>
      <c r="K4315">
        <f>IF(LEN(INDEX('Providers'!$AI$4:$AI$503,312))=0,"",INDEX('Providers'!$AI$4:$AI$503,312))</f>
        <v/>
      </c>
    </row>
    <row r="4316">
      <c r="A4316">
        <f>IF(AND(LEN('Providers'!A316)&gt;0,ISNUMBER('Providers'!AA316)),1,0)</f>
        <v/>
      </c>
      <c r="B4316">
        <f>B4315+A4316</f>
        <v/>
      </c>
      <c r="C4316">
        <f>IF(4313&gt;$B$4503,"",MATCH(4313-0.5,$B$3:$B$4503,1))</f>
        <v/>
      </c>
      <c r="D4316">
        <f>"Payer recredentialing – "&amp;IF(LEN(INDEX('Providers'!$A$4:$A$503,313))=0,"",INDEX('Providers'!$A$4:$A$503,313))</f>
        <v/>
      </c>
      <c r="E4316">
        <f>IF(ISNUMBER(INDEX('Providers'!$AA$4:$AA$503,313)),TEXT(INDEX('Providers'!$AA$4:$AA$503,313),"yyyy-mm-dd"),"")</f>
        <v/>
      </c>
      <c r="F4316">
        <f>"Credentialing"</f>
        <v/>
      </c>
      <c r="G4316">
        <f>""</f>
        <v/>
      </c>
      <c r="H4316">
        <f>"High"</f>
        <v/>
      </c>
      <c r="I4316">
        <f>TRIM(IF(LEN(IF(LEN(INDEX('Providers'!$Z$4:$Z$503,313))=0,"",INDEX('Providers'!$Z$4:$Z$503,313)))=0,"","Payer(s): "&amp;IF(LEN(INDEX('Providers'!$Z$4:$Z$503,313))=0,"",INDEX('Providers'!$Z$4:$Z$503,313))&amp;". "))</f>
        <v/>
      </c>
      <c r="J4316">
        <f>IF(LEN(INDEX('Providers'!$AJ$4:$AJ$503,313))=0,"",INDEX('Providers'!$AJ$4:$AJ$503,313))</f>
        <v/>
      </c>
      <c r="K4316">
        <f>IF(LEN(INDEX('Providers'!$AI$4:$AI$503,313))=0,"",INDEX('Providers'!$AI$4:$AI$503,313))</f>
        <v/>
      </c>
    </row>
    <row r="4317">
      <c r="A4317">
        <f>IF(AND(LEN('Providers'!A317)&gt;0,ISNUMBER('Providers'!AA317)),1,0)</f>
        <v/>
      </c>
      <c r="B4317">
        <f>B4316+A4317</f>
        <v/>
      </c>
      <c r="C4317">
        <f>IF(4314&gt;$B$4503,"",MATCH(4314-0.5,$B$3:$B$4503,1))</f>
        <v/>
      </c>
      <c r="D4317">
        <f>"Payer recredentialing – "&amp;IF(LEN(INDEX('Providers'!$A$4:$A$503,314))=0,"",INDEX('Providers'!$A$4:$A$503,314))</f>
        <v/>
      </c>
      <c r="E4317">
        <f>IF(ISNUMBER(INDEX('Providers'!$AA$4:$AA$503,314)),TEXT(INDEX('Providers'!$AA$4:$AA$503,314),"yyyy-mm-dd"),"")</f>
        <v/>
      </c>
      <c r="F4317">
        <f>"Credentialing"</f>
        <v/>
      </c>
      <c r="G4317">
        <f>""</f>
        <v/>
      </c>
      <c r="H4317">
        <f>"High"</f>
        <v/>
      </c>
      <c r="I4317">
        <f>TRIM(IF(LEN(IF(LEN(INDEX('Providers'!$Z$4:$Z$503,314))=0,"",INDEX('Providers'!$Z$4:$Z$503,314)))=0,"","Payer(s): "&amp;IF(LEN(INDEX('Providers'!$Z$4:$Z$503,314))=0,"",INDEX('Providers'!$Z$4:$Z$503,314))&amp;". "))</f>
        <v/>
      </c>
      <c r="J4317">
        <f>IF(LEN(INDEX('Providers'!$AJ$4:$AJ$503,314))=0,"",INDEX('Providers'!$AJ$4:$AJ$503,314))</f>
        <v/>
      </c>
      <c r="K4317">
        <f>IF(LEN(INDEX('Providers'!$AI$4:$AI$503,314))=0,"",INDEX('Providers'!$AI$4:$AI$503,314))</f>
        <v/>
      </c>
    </row>
    <row r="4318">
      <c r="A4318">
        <f>IF(AND(LEN('Providers'!A318)&gt;0,ISNUMBER('Providers'!AA318)),1,0)</f>
        <v/>
      </c>
      <c r="B4318">
        <f>B4317+A4318</f>
        <v/>
      </c>
      <c r="C4318">
        <f>IF(4315&gt;$B$4503,"",MATCH(4315-0.5,$B$3:$B$4503,1))</f>
        <v/>
      </c>
      <c r="D4318">
        <f>"Payer recredentialing – "&amp;IF(LEN(INDEX('Providers'!$A$4:$A$503,315))=0,"",INDEX('Providers'!$A$4:$A$503,315))</f>
        <v/>
      </c>
      <c r="E4318">
        <f>IF(ISNUMBER(INDEX('Providers'!$AA$4:$AA$503,315)),TEXT(INDEX('Providers'!$AA$4:$AA$503,315),"yyyy-mm-dd"),"")</f>
        <v/>
      </c>
      <c r="F4318">
        <f>"Credentialing"</f>
        <v/>
      </c>
      <c r="G4318">
        <f>""</f>
        <v/>
      </c>
      <c r="H4318">
        <f>"High"</f>
        <v/>
      </c>
      <c r="I4318">
        <f>TRIM(IF(LEN(IF(LEN(INDEX('Providers'!$Z$4:$Z$503,315))=0,"",INDEX('Providers'!$Z$4:$Z$503,315)))=0,"","Payer(s): "&amp;IF(LEN(INDEX('Providers'!$Z$4:$Z$503,315))=0,"",INDEX('Providers'!$Z$4:$Z$503,315))&amp;". "))</f>
        <v/>
      </c>
      <c r="J4318">
        <f>IF(LEN(INDEX('Providers'!$AJ$4:$AJ$503,315))=0,"",INDEX('Providers'!$AJ$4:$AJ$503,315))</f>
        <v/>
      </c>
      <c r="K4318">
        <f>IF(LEN(INDEX('Providers'!$AI$4:$AI$503,315))=0,"",INDEX('Providers'!$AI$4:$AI$503,315))</f>
        <v/>
      </c>
    </row>
    <row r="4319">
      <c r="A4319">
        <f>IF(AND(LEN('Providers'!A319)&gt;0,ISNUMBER('Providers'!AA319)),1,0)</f>
        <v/>
      </c>
      <c r="B4319">
        <f>B4318+A4319</f>
        <v/>
      </c>
      <c r="C4319">
        <f>IF(4316&gt;$B$4503,"",MATCH(4316-0.5,$B$3:$B$4503,1))</f>
        <v/>
      </c>
      <c r="D4319">
        <f>"Payer recredentialing – "&amp;IF(LEN(INDEX('Providers'!$A$4:$A$503,316))=0,"",INDEX('Providers'!$A$4:$A$503,316))</f>
        <v/>
      </c>
      <c r="E4319">
        <f>IF(ISNUMBER(INDEX('Providers'!$AA$4:$AA$503,316)),TEXT(INDEX('Providers'!$AA$4:$AA$503,316),"yyyy-mm-dd"),"")</f>
        <v/>
      </c>
      <c r="F4319">
        <f>"Credentialing"</f>
        <v/>
      </c>
      <c r="G4319">
        <f>""</f>
        <v/>
      </c>
      <c r="H4319">
        <f>"High"</f>
        <v/>
      </c>
      <c r="I4319">
        <f>TRIM(IF(LEN(IF(LEN(INDEX('Providers'!$Z$4:$Z$503,316))=0,"",INDEX('Providers'!$Z$4:$Z$503,316)))=0,"","Payer(s): "&amp;IF(LEN(INDEX('Providers'!$Z$4:$Z$503,316))=0,"",INDEX('Providers'!$Z$4:$Z$503,316))&amp;". "))</f>
        <v/>
      </c>
      <c r="J4319">
        <f>IF(LEN(INDEX('Providers'!$AJ$4:$AJ$503,316))=0,"",INDEX('Providers'!$AJ$4:$AJ$503,316))</f>
        <v/>
      </c>
      <c r="K4319">
        <f>IF(LEN(INDEX('Providers'!$AI$4:$AI$503,316))=0,"",INDEX('Providers'!$AI$4:$AI$503,316))</f>
        <v/>
      </c>
    </row>
    <row r="4320">
      <c r="A4320">
        <f>IF(AND(LEN('Providers'!A320)&gt;0,ISNUMBER('Providers'!AA320)),1,0)</f>
        <v/>
      </c>
      <c r="B4320">
        <f>B4319+A4320</f>
        <v/>
      </c>
      <c r="C4320">
        <f>IF(4317&gt;$B$4503,"",MATCH(4317-0.5,$B$3:$B$4503,1))</f>
        <v/>
      </c>
      <c r="D4320">
        <f>"Payer recredentialing – "&amp;IF(LEN(INDEX('Providers'!$A$4:$A$503,317))=0,"",INDEX('Providers'!$A$4:$A$503,317))</f>
        <v/>
      </c>
      <c r="E4320">
        <f>IF(ISNUMBER(INDEX('Providers'!$AA$4:$AA$503,317)),TEXT(INDEX('Providers'!$AA$4:$AA$503,317),"yyyy-mm-dd"),"")</f>
        <v/>
      </c>
      <c r="F4320">
        <f>"Credentialing"</f>
        <v/>
      </c>
      <c r="G4320">
        <f>""</f>
        <v/>
      </c>
      <c r="H4320">
        <f>"High"</f>
        <v/>
      </c>
      <c r="I4320">
        <f>TRIM(IF(LEN(IF(LEN(INDEX('Providers'!$Z$4:$Z$503,317))=0,"",INDEX('Providers'!$Z$4:$Z$503,317)))=0,"","Payer(s): "&amp;IF(LEN(INDEX('Providers'!$Z$4:$Z$503,317))=0,"",INDEX('Providers'!$Z$4:$Z$503,317))&amp;". "))</f>
        <v/>
      </c>
      <c r="J4320">
        <f>IF(LEN(INDEX('Providers'!$AJ$4:$AJ$503,317))=0,"",INDEX('Providers'!$AJ$4:$AJ$503,317))</f>
        <v/>
      </c>
      <c r="K4320">
        <f>IF(LEN(INDEX('Providers'!$AI$4:$AI$503,317))=0,"",INDEX('Providers'!$AI$4:$AI$503,317))</f>
        <v/>
      </c>
    </row>
    <row r="4321">
      <c r="A4321">
        <f>IF(AND(LEN('Providers'!A321)&gt;0,ISNUMBER('Providers'!AA321)),1,0)</f>
        <v/>
      </c>
      <c r="B4321">
        <f>B4320+A4321</f>
        <v/>
      </c>
      <c r="C4321">
        <f>IF(4318&gt;$B$4503,"",MATCH(4318-0.5,$B$3:$B$4503,1))</f>
        <v/>
      </c>
      <c r="D4321">
        <f>"Payer recredentialing – "&amp;IF(LEN(INDEX('Providers'!$A$4:$A$503,318))=0,"",INDEX('Providers'!$A$4:$A$503,318))</f>
        <v/>
      </c>
      <c r="E4321">
        <f>IF(ISNUMBER(INDEX('Providers'!$AA$4:$AA$503,318)),TEXT(INDEX('Providers'!$AA$4:$AA$503,318),"yyyy-mm-dd"),"")</f>
        <v/>
      </c>
      <c r="F4321">
        <f>"Credentialing"</f>
        <v/>
      </c>
      <c r="G4321">
        <f>""</f>
        <v/>
      </c>
      <c r="H4321">
        <f>"High"</f>
        <v/>
      </c>
      <c r="I4321">
        <f>TRIM(IF(LEN(IF(LEN(INDEX('Providers'!$Z$4:$Z$503,318))=0,"",INDEX('Providers'!$Z$4:$Z$503,318)))=0,"","Payer(s): "&amp;IF(LEN(INDEX('Providers'!$Z$4:$Z$503,318))=0,"",INDEX('Providers'!$Z$4:$Z$503,318))&amp;". "))</f>
        <v/>
      </c>
      <c r="J4321">
        <f>IF(LEN(INDEX('Providers'!$AJ$4:$AJ$503,318))=0,"",INDEX('Providers'!$AJ$4:$AJ$503,318))</f>
        <v/>
      </c>
      <c r="K4321">
        <f>IF(LEN(INDEX('Providers'!$AI$4:$AI$503,318))=0,"",INDEX('Providers'!$AI$4:$AI$503,318))</f>
        <v/>
      </c>
    </row>
    <row r="4322">
      <c r="A4322">
        <f>IF(AND(LEN('Providers'!A322)&gt;0,ISNUMBER('Providers'!AA322)),1,0)</f>
        <v/>
      </c>
      <c r="B4322">
        <f>B4321+A4322</f>
        <v/>
      </c>
      <c r="C4322">
        <f>IF(4319&gt;$B$4503,"",MATCH(4319-0.5,$B$3:$B$4503,1))</f>
        <v/>
      </c>
      <c r="D4322">
        <f>"Payer recredentialing – "&amp;IF(LEN(INDEX('Providers'!$A$4:$A$503,319))=0,"",INDEX('Providers'!$A$4:$A$503,319))</f>
        <v/>
      </c>
      <c r="E4322">
        <f>IF(ISNUMBER(INDEX('Providers'!$AA$4:$AA$503,319)),TEXT(INDEX('Providers'!$AA$4:$AA$503,319),"yyyy-mm-dd"),"")</f>
        <v/>
      </c>
      <c r="F4322">
        <f>"Credentialing"</f>
        <v/>
      </c>
      <c r="G4322">
        <f>""</f>
        <v/>
      </c>
      <c r="H4322">
        <f>"High"</f>
        <v/>
      </c>
      <c r="I4322">
        <f>TRIM(IF(LEN(IF(LEN(INDEX('Providers'!$Z$4:$Z$503,319))=0,"",INDEX('Providers'!$Z$4:$Z$503,319)))=0,"","Payer(s): "&amp;IF(LEN(INDEX('Providers'!$Z$4:$Z$503,319))=0,"",INDEX('Providers'!$Z$4:$Z$503,319))&amp;". "))</f>
        <v/>
      </c>
      <c r="J4322">
        <f>IF(LEN(INDEX('Providers'!$AJ$4:$AJ$503,319))=0,"",INDEX('Providers'!$AJ$4:$AJ$503,319))</f>
        <v/>
      </c>
      <c r="K4322">
        <f>IF(LEN(INDEX('Providers'!$AI$4:$AI$503,319))=0,"",INDEX('Providers'!$AI$4:$AI$503,319))</f>
        <v/>
      </c>
    </row>
    <row r="4323">
      <c r="A4323">
        <f>IF(AND(LEN('Providers'!A323)&gt;0,ISNUMBER('Providers'!AA323)),1,0)</f>
        <v/>
      </c>
      <c r="B4323">
        <f>B4322+A4323</f>
        <v/>
      </c>
      <c r="C4323">
        <f>IF(4320&gt;$B$4503,"",MATCH(4320-0.5,$B$3:$B$4503,1))</f>
        <v/>
      </c>
      <c r="D4323">
        <f>"Payer recredentialing – "&amp;IF(LEN(INDEX('Providers'!$A$4:$A$503,320))=0,"",INDEX('Providers'!$A$4:$A$503,320))</f>
        <v/>
      </c>
      <c r="E4323">
        <f>IF(ISNUMBER(INDEX('Providers'!$AA$4:$AA$503,320)),TEXT(INDEX('Providers'!$AA$4:$AA$503,320),"yyyy-mm-dd"),"")</f>
        <v/>
      </c>
      <c r="F4323">
        <f>"Credentialing"</f>
        <v/>
      </c>
      <c r="G4323">
        <f>""</f>
        <v/>
      </c>
      <c r="H4323">
        <f>"High"</f>
        <v/>
      </c>
      <c r="I4323">
        <f>TRIM(IF(LEN(IF(LEN(INDEX('Providers'!$Z$4:$Z$503,320))=0,"",INDEX('Providers'!$Z$4:$Z$503,320)))=0,"","Payer(s): "&amp;IF(LEN(INDEX('Providers'!$Z$4:$Z$503,320))=0,"",INDEX('Providers'!$Z$4:$Z$503,320))&amp;". "))</f>
        <v/>
      </c>
      <c r="J4323">
        <f>IF(LEN(INDEX('Providers'!$AJ$4:$AJ$503,320))=0,"",INDEX('Providers'!$AJ$4:$AJ$503,320))</f>
        <v/>
      </c>
      <c r="K4323">
        <f>IF(LEN(INDEX('Providers'!$AI$4:$AI$503,320))=0,"",INDEX('Providers'!$AI$4:$AI$503,320))</f>
        <v/>
      </c>
    </row>
    <row r="4324">
      <c r="A4324">
        <f>IF(AND(LEN('Providers'!A324)&gt;0,ISNUMBER('Providers'!AA324)),1,0)</f>
        <v/>
      </c>
      <c r="B4324">
        <f>B4323+A4324</f>
        <v/>
      </c>
      <c r="C4324">
        <f>IF(4321&gt;$B$4503,"",MATCH(4321-0.5,$B$3:$B$4503,1))</f>
        <v/>
      </c>
      <c r="D4324">
        <f>"Payer recredentialing – "&amp;IF(LEN(INDEX('Providers'!$A$4:$A$503,321))=0,"",INDEX('Providers'!$A$4:$A$503,321))</f>
        <v/>
      </c>
      <c r="E4324">
        <f>IF(ISNUMBER(INDEX('Providers'!$AA$4:$AA$503,321)),TEXT(INDEX('Providers'!$AA$4:$AA$503,321),"yyyy-mm-dd"),"")</f>
        <v/>
      </c>
      <c r="F4324">
        <f>"Credentialing"</f>
        <v/>
      </c>
      <c r="G4324">
        <f>""</f>
        <v/>
      </c>
      <c r="H4324">
        <f>"High"</f>
        <v/>
      </c>
      <c r="I4324">
        <f>TRIM(IF(LEN(IF(LEN(INDEX('Providers'!$Z$4:$Z$503,321))=0,"",INDEX('Providers'!$Z$4:$Z$503,321)))=0,"","Payer(s): "&amp;IF(LEN(INDEX('Providers'!$Z$4:$Z$503,321))=0,"",INDEX('Providers'!$Z$4:$Z$503,321))&amp;". "))</f>
        <v/>
      </c>
      <c r="J4324">
        <f>IF(LEN(INDEX('Providers'!$AJ$4:$AJ$503,321))=0,"",INDEX('Providers'!$AJ$4:$AJ$503,321))</f>
        <v/>
      </c>
      <c r="K4324">
        <f>IF(LEN(INDEX('Providers'!$AI$4:$AI$503,321))=0,"",INDEX('Providers'!$AI$4:$AI$503,321))</f>
        <v/>
      </c>
    </row>
    <row r="4325">
      <c r="A4325">
        <f>IF(AND(LEN('Providers'!A325)&gt;0,ISNUMBER('Providers'!AA325)),1,0)</f>
        <v/>
      </c>
      <c r="B4325">
        <f>B4324+A4325</f>
        <v/>
      </c>
      <c r="C4325">
        <f>IF(4322&gt;$B$4503,"",MATCH(4322-0.5,$B$3:$B$4503,1))</f>
        <v/>
      </c>
      <c r="D4325">
        <f>"Payer recredentialing – "&amp;IF(LEN(INDEX('Providers'!$A$4:$A$503,322))=0,"",INDEX('Providers'!$A$4:$A$503,322))</f>
        <v/>
      </c>
      <c r="E4325">
        <f>IF(ISNUMBER(INDEX('Providers'!$AA$4:$AA$503,322)),TEXT(INDEX('Providers'!$AA$4:$AA$503,322),"yyyy-mm-dd"),"")</f>
        <v/>
      </c>
      <c r="F4325">
        <f>"Credentialing"</f>
        <v/>
      </c>
      <c r="G4325">
        <f>""</f>
        <v/>
      </c>
      <c r="H4325">
        <f>"High"</f>
        <v/>
      </c>
      <c r="I4325">
        <f>TRIM(IF(LEN(IF(LEN(INDEX('Providers'!$Z$4:$Z$503,322))=0,"",INDEX('Providers'!$Z$4:$Z$503,322)))=0,"","Payer(s): "&amp;IF(LEN(INDEX('Providers'!$Z$4:$Z$503,322))=0,"",INDEX('Providers'!$Z$4:$Z$503,322))&amp;". "))</f>
        <v/>
      </c>
      <c r="J4325">
        <f>IF(LEN(INDEX('Providers'!$AJ$4:$AJ$503,322))=0,"",INDEX('Providers'!$AJ$4:$AJ$503,322))</f>
        <v/>
      </c>
      <c r="K4325">
        <f>IF(LEN(INDEX('Providers'!$AI$4:$AI$503,322))=0,"",INDEX('Providers'!$AI$4:$AI$503,322))</f>
        <v/>
      </c>
    </row>
    <row r="4326">
      <c r="A4326">
        <f>IF(AND(LEN('Providers'!A326)&gt;0,ISNUMBER('Providers'!AA326)),1,0)</f>
        <v/>
      </c>
      <c r="B4326">
        <f>B4325+A4326</f>
        <v/>
      </c>
      <c r="C4326">
        <f>IF(4323&gt;$B$4503,"",MATCH(4323-0.5,$B$3:$B$4503,1))</f>
        <v/>
      </c>
      <c r="D4326">
        <f>"Payer recredentialing – "&amp;IF(LEN(INDEX('Providers'!$A$4:$A$503,323))=0,"",INDEX('Providers'!$A$4:$A$503,323))</f>
        <v/>
      </c>
      <c r="E4326">
        <f>IF(ISNUMBER(INDEX('Providers'!$AA$4:$AA$503,323)),TEXT(INDEX('Providers'!$AA$4:$AA$503,323),"yyyy-mm-dd"),"")</f>
        <v/>
      </c>
      <c r="F4326">
        <f>"Credentialing"</f>
        <v/>
      </c>
      <c r="G4326">
        <f>""</f>
        <v/>
      </c>
      <c r="H4326">
        <f>"High"</f>
        <v/>
      </c>
      <c r="I4326">
        <f>TRIM(IF(LEN(IF(LEN(INDEX('Providers'!$Z$4:$Z$503,323))=0,"",INDEX('Providers'!$Z$4:$Z$503,323)))=0,"","Payer(s): "&amp;IF(LEN(INDEX('Providers'!$Z$4:$Z$503,323))=0,"",INDEX('Providers'!$Z$4:$Z$503,323))&amp;". "))</f>
        <v/>
      </c>
      <c r="J4326">
        <f>IF(LEN(INDEX('Providers'!$AJ$4:$AJ$503,323))=0,"",INDEX('Providers'!$AJ$4:$AJ$503,323))</f>
        <v/>
      </c>
      <c r="K4326">
        <f>IF(LEN(INDEX('Providers'!$AI$4:$AI$503,323))=0,"",INDEX('Providers'!$AI$4:$AI$503,323))</f>
        <v/>
      </c>
    </row>
    <row r="4327">
      <c r="A4327">
        <f>IF(AND(LEN('Providers'!A327)&gt;0,ISNUMBER('Providers'!AA327)),1,0)</f>
        <v/>
      </c>
      <c r="B4327">
        <f>B4326+A4327</f>
        <v/>
      </c>
      <c r="C4327">
        <f>IF(4324&gt;$B$4503,"",MATCH(4324-0.5,$B$3:$B$4503,1))</f>
        <v/>
      </c>
      <c r="D4327">
        <f>"Payer recredentialing – "&amp;IF(LEN(INDEX('Providers'!$A$4:$A$503,324))=0,"",INDEX('Providers'!$A$4:$A$503,324))</f>
        <v/>
      </c>
      <c r="E4327">
        <f>IF(ISNUMBER(INDEX('Providers'!$AA$4:$AA$503,324)),TEXT(INDEX('Providers'!$AA$4:$AA$503,324),"yyyy-mm-dd"),"")</f>
        <v/>
      </c>
      <c r="F4327">
        <f>"Credentialing"</f>
        <v/>
      </c>
      <c r="G4327">
        <f>""</f>
        <v/>
      </c>
      <c r="H4327">
        <f>"High"</f>
        <v/>
      </c>
      <c r="I4327">
        <f>TRIM(IF(LEN(IF(LEN(INDEX('Providers'!$Z$4:$Z$503,324))=0,"",INDEX('Providers'!$Z$4:$Z$503,324)))=0,"","Payer(s): "&amp;IF(LEN(INDEX('Providers'!$Z$4:$Z$503,324))=0,"",INDEX('Providers'!$Z$4:$Z$503,324))&amp;". "))</f>
        <v/>
      </c>
      <c r="J4327">
        <f>IF(LEN(INDEX('Providers'!$AJ$4:$AJ$503,324))=0,"",INDEX('Providers'!$AJ$4:$AJ$503,324))</f>
        <v/>
      </c>
      <c r="K4327">
        <f>IF(LEN(INDEX('Providers'!$AI$4:$AI$503,324))=0,"",INDEX('Providers'!$AI$4:$AI$503,324))</f>
        <v/>
      </c>
    </row>
    <row r="4328">
      <c r="A4328">
        <f>IF(AND(LEN('Providers'!A328)&gt;0,ISNUMBER('Providers'!AA328)),1,0)</f>
        <v/>
      </c>
      <c r="B4328">
        <f>B4327+A4328</f>
        <v/>
      </c>
      <c r="C4328">
        <f>IF(4325&gt;$B$4503,"",MATCH(4325-0.5,$B$3:$B$4503,1))</f>
        <v/>
      </c>
      <c r="D4328">
        <f>"Payer recredentialing – "&amp;IF(LEN(INDEX('Providers'!$A$4:$A$503,325))=0,"",INDEX('Providers'!$A$4:$A$503,325))</f>
        <v/>
      </c>
      <c r="E4328">
        <f>IF(ISNUMBER(INDEX('Providers'!$AA$4:$AA$503,325)),TEXT(INDEX('Providers'!$AA$4:$AA$503,325),"yyyy-mm-dd"),"")</f>
        <v/>
      </c>
      <c r="F4328">
        <f>"Credentialing"</f>
        <v/>
      </c>
      <c r="G4328">
        <f>""</f>
        <v/>
      </c>
      <c r="H4328">
        <f>"High"</f>
        <v/>
      </c>
      <c r="I4328">
        <f>TRIM(IF(LEN(IF(LEN(INDEX('Providers'!$Z$4:$Z$503,325))=0,"",INDEX('Providers'!$Z$4:$Z$503,325)))=0,"","Payer(s): "&amp;IF(LEN(INDEX('Providers'!$Z$4:$Z$503,325))=0,"",INDEX('Providers'!$Z$4:$Z$503,325))&amp;". "))</f>
        <v/>
      </c>
      <c r="J4328">
        <f>IF(LEN(INDEX('Providers'!$AJ$4:$AJ$503,325))=0,"",INDEX('Providers'!$AJ$4:$AJ$503,325))</f>
        <v/>
      </c>
      <c r="K4328">
        <f>IF(LEN(INDEX('Providers'!$AI$4:$AI$503,325))=0,"",INDEX('Providers'!$AI$4:$AI$503,325))</f>
        <v/>
      </c>
    </row>
    <row r="4329">
      <c r="A4329">
        <f>IF(AND(LEN('Providers'!A329)&gt;0,ISNUMBER('Providers'!AA329)),1,0)</f>
        <v/>
      </c>
      <c r="B4329">
        <f>B4328+A4329</f>
        <v/>
      </c>
      <c r="C4329">
        <f>IF(4326&gt;$B$4503,"",MATCH(4326-0.5,$B$3:$B$4503,1))</f>
        <v/>
      </c>
      <c r="D4329">
        <f>"Payer recredentialing – "&amp;IF(LEN(INDEX('Providers'!$A$4:$A$503,326))=0,"",INDEX('Providers'!$A$4:$A$503,326))</f>
        <v/>
      </c>
      <c r="E4329">
        <f>IF(ISNUMBER(INDEX('Providers'!$AA$4:$AA$503,326)),TEXT(INDEX('Providers'!$AA$4:$AA$503,326),"yyyy-mm-dd"),"")</f>
        <v/>
      </c>
      <c r="F4329">
        <f>"Credentialing"</f>
        <v/>
      </c>
      <c r="G4329">
        <f>""</f>
        <v/>
      </c>
      <c r="H4329">
        <f>"High"</f>
        <v/>
      </c>
      <c r="I4329">
        <f>TRIM(IF(LEN(IF(LEN(INDEX('Providers'!$Z$4:$Z$503,326))=0,"",INDEX('Providers'!$Z$4:$Z$503,326)))=0,"","Payer(s): "&amp;IF(LEN(INDEX('Providers'!$Z$4:$Z$503,326))=0,"",INDEX('Providers'!$Z$4:$Z$503,326))&amp;". "))</f>
        <v/>
      </c>
      <c r="J4329">
        <f>IF(LEN(INDEX('Providers'!$AJ$4:$AJ$503,326))=0,"",INDEX('Providers'!$AJ$4:$AJ$503,326))</f>
        <v/>
      </c>
      <c r="K4329">
        <f>IF(LEN(INDEX('Providers'!$AI$4:$AI$503,326))=0,"",INDEX('Providers'!$AI$4:$AI$503,326))</f>
        <v/>
      </c>
    </row>
    <row r="4330">
      <c r="A4330">
        <f>IF(AND(LEN('Providers'!A330)&gt;0,ISNUMBER('Providers'!AA330)),1,0)</f>
        <v/>
      </c>
      <c r="B4330">
        <f>B4329+A4330</f>
        <v/>
      </c>
      <c r="C4330">
        <f>IF(4327&gt;$B$4503,"",MATCH(4327-0.5,$B$3:$B$4503,1))</f>
        <v/>
      </c>
      <c r="D4330">
        <f>"Payer recredentialing – "&amp;IF(LEN(INDEX('Providers'!$A$4:$A$503,327))=0,"",INDEX('Providers'!$A$4:$A$503,327))</f>
        <v/>
      </c>
      <c r="E4330">
        <f>IF(ISNUMBER(INDEX('Providers'!$AA$4:$AA$503,327)),TEXT(INDEX('Providers'!$AA$4:$AA$503,327),"yyyy-mm-dd"),"")</f>
        <v/>
      </c>
      <c r="F4330">
        <f>"Credentialing"</f>
        <v/>
      </c>
      <c r="G4330">
        <f>""</f>
        <v/>
      </c>
      <c r="H4330">
        <f>"High"</f>
        <v/>
      </c>
      <c r="I4330">
        <f>TRIM(IF(LEN(IF(LEN(INDEX('Providers'!$Z$4:$Z$503,327))=0,"",INDEX('Providers'!$Z$4:$Z$503,327)))=0,"","Payer(s): "&amp;IF(LEN(INDEX('Providers'!$Z$4:$Z$503,327))=0,"",INDEX('Providers'!$Z$4:$Z$503,327))&amp;". "))</f>
        <v/>
      </c>
      <c r="J4330">
        <f>IF(LEN(INDEX('Providers'!$AJ$4:$AJ$503,327))=0,"",INDEX('Providers'!$AJ$4:$AJ$503,327))</f>
        <v/>
      </c>
      <c r="K4330">
        <f>IF(LEN(INDEX('Providers'!$AI$4:$AI$503,327))=0,"",INDEX('Providers'!$AI$4:$AI$503,327))</f>
        <v/>
      </c>
    </row>
    <row r="4331">
      <c r="A4331">
        <f>IF(AND(LEN('Providers'!A331)&gt;0,ISNUMBER('Providers'!AA331)),1,0)</f>
        <v/>
      </c>
      <c r="B4331">
        <f>B4330+A4331</f>
        <v/>
      </c>
      <c r="C4331">
        <f>IF(4328&gt;$B$4503,"",MATCH(4328-0.5,$B$3:$B$4503,1))</f>
        <v/>
      </c>
      <c r="D4331">
        <f>"Payer recredentialing – "&amp;IF(LEN(INDEX('Providers'!$A$4:$A$503,328))=0,"",INDEX('Providers'!$A$4:$A$503,328))</f>
        <v/>
      </c>
      <c r="E4331">
        <f>IF(ISNUMBER(INDEX('Providers'!$AA$4:$AA$503,328)),TEXT(INDEX('Providers'!$AA$4:$AA$503,328),"yyyy-mm-dd"),"")</f>
        <v/>
      </c>
      <c r="F4331">
        <f>"Credentialing"</f>
        <v/>
      </c>
      <c r="G4331">
        <f>""</f>
        <v/>
      </c>
      <c r="H4331">
        <f>"High"</f>
        <v/>
      </c>
      <c r="I4331">
        <f>TRIM(IF(LEN(IF(LEN(INDEX('Providers'!$Z$4:$Z$503,328))=0,"",INDEX('Providers'!$Z$4:$Z$503,328)))=0,"","Payer(s): "&amp;IF(LEN(INDEX('Providers'!$Z$4:$Z$503,328))=0,"",INDEX('Providers'!$Z$4:$Z$503,328))&amp;". "))</f>
        <v/>
      </c>
      <c r="J4331">
        <f>IF(LEN(INDEX('Providers'!$AJ$4:$AJ$503,328))=0,"",INDEX('Providers'!$AJ$4:$AJ$503,328))</f>
        <v/>
      </c>
      <c r="K4331">
        <f>IF(LEN(INDEX('Providers'!$AI$4:$AI$503,328))=0,"",INDEX('Providers'!$AI$4:$AI$503,328))</f>
        <v/>
      </c>
    </row>
    <row r="4332">
      <c r="A4332">
        <f>IF(AND(LEN('Providers'!A332)&gt;0,ISNUMBER('Providers'!AA332)),1,0)</f>
        <v/>
      </c>
      <c r="B4332">
        <f>B4331+A4332</f>
        <v/>
      </c>
      <c r="C4332">
        <f>IF(4329&gt;$B$4503,"",MATCH(4329-0.5,$B$3:$B$4503,1))</f>
        <v/>
      </c>
      <c r="D4332">
        <f>"Payer recredentialing – "&amp;IF(LEN(INDEX('Providers'!$A$4:$A$503,329))=0,"",INDEX('Providers'!$A$4:$A$503,329))</f>
        <v/>
      </c>
      <c r="E4332">
        <f>IF(ISNUMBER(INDEX('Providers'!$AA$4:$AA$503,329)),TEXT(INDEX('Providers'!$AA$4:$AA$503,329),"yyyy-mm-dd"),"")</f>
        <v/>
      </c>
      <c r="F4332">
        <f>"Credentialing"</f>
        <v/>
      </c>
      <c r="G4332">
        <f>""</f>
        <v/>
      </c>
      <c r="H4332">
        <f>"High"</f>
        <v/>
      </c>
      <c r="I4332">
        <f>TRIM(IF(LEN(IF(LEN(INDEX('Providers'!$Z$4:$Z$503,329))=0,"",INDEX('Providers'!$Z$4:$Z$503,329)))=0,"","Payer(s): "&amp;IF(LEN(INDEX('Providers'!$Z$4:$Z$503,329))=0,"",INDEX('Providers'!$Z$4:$Z$503,329))&amp;". "))</f>
        <v/>
      </c>
      <c r="J4332">
        <f>IF(LEN(INDEX('Providers'!$AJ$4:$AJ$503,329))=0,"",INDEX('Providers'!$AJ$4:$AJ$503,329))</f>
        <v/>
      </c>
      <c r="K4332">
        <f>IF(LEN(INDEX('Providers'!$AI$4:$AI$503,329))=0,"",INDEX('Providers'!$AI$4:$AI$503,329))</f>
        <v/>
      </c>
    </row>
    <row r="4333">
      <c r="A4333">
        <f>IF(AND(LEN('Providers'!A333)&gt;0,ISNUMBER('Providers'!AA333)),1,0)</f>
        <v/>
      </c>
      <c r="B4333">
        <f>B4332+A4333</f>
        <v/>
      </c>
      <c r="C4333">
        <f>IF(4330&gt;$B$4503,"",MATCH(4330-0.5,$B$3:$B$4503,1))</f>
        <v/>
      </c>
      <c r="D4333">
        <f>"Payer recredentialing – "&amp;IF(LEN(INDEX('Providers'!$A$4:$A$503,330))=0,"",INDEX('Providers'!$A$4:$A$503,330))</f>
        <v/>
      </c>
      <c r="E4333">
        <f>IF(ISNUMBER(INDEX('Providers'!$AA$4:$AA$503,330)),TEXT(INDEX('Providers'!$AA$4:$AA$503,330),"yyyy-mm-dd"),"")</f>
        <v/>
      </c>
      <c r="F4333">
        <f>"Credentialing"</f>
        <v/>
      </c>
      <c r="G4333">
        <f>""</f>
        <v/>
      </c>
      <c r="H4333">
        <f>"High"</f>
        <v/>
      </c>
      <c r="I4333">
        <f>TRIM(IF(LEN(IF(LEN(INDEX('Providers'!$Z$4:$Z$503,330))=0,"",INDEX('Providers'!$Z$4:$Z$503,330)))=0,"","Payer(s): "&amp;IF(LEN(INDEX('Providers'!$Z$4:$Z$503,330))=0,"",INDEX('Providers'!$Z$4:$Z$503,330))&amp;". "))</f>
        <v/>
      </c>
      <c r="J4333">
        <f>IF(LEN(INDEX('Providers'!$AJ$4:$AJ$503,330))=0,"",INDEX('Providers'!$AJ$4:$AJ$503,330))</f>
        <v/>
      </c>
      <c r="K4333">
        <f>IF(LEN(INDEX('Providers'!$AI$4:$AI$503,330))=0,"",INDEX('Providers'!$AI$4:$AI$503,330))</f>
        <v/>
      </c>
    </row>
    <row r="4334">
      <c r="A4334">
        <f>IF(AND(LEN('Providers'!A334)&gt;0,ISNUMBER('Providers'!AA334)),1,0)</f>
        <v/>
      </c>
      <c r="B4334">
        <f>B4333+A4334</f>
        <v/>
      </c>
      <c r="C4334">
        <f>IF(4331&gt;$B$4503,"",MATCH(4331-0.5,$B$3:$B$4503,1))</f>
        <v/>
      </c>
      <c r="D4334">
        <f>"Payer recredentialing – "&amp;IF(LEN(INDEX('Providers'!$A$4:$A$503,331))=0,"",INDEX('Providers'!$A$4:$A$503,331))</f>
        <v/>
      </c>
      <c r="E4334">
        <f>IF(ISNUMBER(INDEX('Providers'!$AA$4:$AA$503,331)),TEXT(INDEX('Providers'!$AA$4:$AA$503,331),"yyyy-mm-dd"),"")</f>
        <v/>
      </c>
      <c r="F4334">
        <f>"Credentialing"</f>
        <v/>
      </c>
      <c r="G4334">
        <f>""</f>
        <v/>
      </c>
      <c r="H4334">
        <f>"High"</f>
        <v/>
      </c>
      <c r="I4334">
        <f>TRIM(IF(LEN(IF(LEN(INDEX('Providers'!$Z$4:$Z$503,331))=0,"",INDEX('Providers'!$Z$4:$Z$503,331)))=0,"","Payer(s): "&amp;IF(LEN(INDEX('Providers'!$Z$4:$Z$503,331))=0,"",INDEX('Providers'!$Z$4:$Z$503,331))&amp;". "))</f>
        <v/>
      </c>
      <c r="J4334">
        <f>IF(LEN(INDEX('Providers'!$AJ$4:$AJ$503,331))=0,"",INDEX('Providers'!$AJ$4:$AJ$503,331))</f>
        <v/>
      </c>
      <c r="K4334">
        <f>IF(LEN(INDEX('Providers'!$AI$4:$AI$503,331))=0,"",INDEX('Providers'!$AI$4:$AI$503,331))</f>
        <v/>
      </c>
    </row>
    <row r="4335">
      <c r="A4335">
        <f>IF(AND(LEN('Providers'!A335)&gt;0,ISNUMBER('Providers'!AA335)),1,0)</f>
        <v/>
      </c>
      <c r="B4335">
        <f>B4334+A4335</f>
        <v/>
      </c>
      <c r="C4335">
        <f>IF(4332&gt;$B$4503,"",MATCH(4332-0.5,$B$3:$B$4503,1))</f>
        <v/>
      </c>
      <c r="D4335">
        <f>"Payer recredentialing – "&amp;IF(LEN(INDEX('Providers'!$A$4:$A$503,332))=0,"",INDEX('Providers'!$A$4:$A$503,332))</f>
        <v/>
      </c>
      <c r="E4335">
        <f>IF(ISNUMBER(INDEX('Providers'!$AA$4:$AA$503,332)),TEXT(INDEX('Providers'!$AA$4:$AA$503,332),"yyyy-mm-dd"),"")</f>
        <v/>
      </c>
      <c r="F4335">
        <f>"Credentialing"</f>
        <v/>
      </c>
      <c r="G4335">
        <f>""</f>
        <v/>
      </c>
      <c r="H4335">
        <f>"High"</f>
        <v/>
      </c>
      <c r="I4335">
        <f>TRIM(IF(LEN(IF(LEN(INDEX('Providers'!$Z$4:$Z$503,332))=0,"",INDEX('Providers'!$Z$4:$Z$503,332)))=0,"","Payer(s): "&amp;IF(LEN(INDEX('Providers'!$Z$4:$Z$503,332))=0,"",INDEX('Providers'!$Z$4:$Z$503,332))&amp;". "))</f>
        <v/>
      </c>
      <c r="J4335">
        <f>IF(LEN(INDEX('Providers'!$AJ$4:$AJ$503,332))=0,"",INDEX('Providers'!$AJ$4:$AJ$503,332))</f>
        <v/>
      </c>
      <c r="K4335">
        <f>IF(LEN(INDEX('Providers'!$AI$4:$AI$503,332))=0,"",INDEX('Providers'!$AI$4:$AI$503,332))</f>
        <v/>
      </c>
    </row>
    <row r="4336">
      <c r="A4336">
        <f>IF(AND(LEN('Providers'!A336)&gt;0,ISNUMBER('Providers'!AA336)),1,0)</f>
        <v/>
      </c>
      <c r="B4336">
        <f>B4335+A4336</f>
        <v/>
      </c>
      <c r="C4336">
        <f>IF(4333&gt;$B$4503,"",MATCH(4333-0.5,$B$3:$B$4503,1))</f>
        <v/>
      </c>
      <c r="D4336">
        <f>"Payer recredentialing – "&amp;IF(LEN(INDEX('Providers'!$A$4:$A$503,333))=0,"",INDEX('Providers'!$A$4:$A$503,333))</f>
        <v/>
      </c>
      <c r="E4336">
        <f>IF(ISNUMBER(INDEX('Providers'!$AA$4:$AA$503,333)),TEXT(INDEX('Providers'!$AA$4:$AA$503,333),"yyyy-mm-dd"),"")</f>
        <v/>
      </c>
      <c r="F4336">
        <f>"Credentialing"</f>
        <v/>
      </c>
      <c r="G4336">
        <f>""</f>
        <v/>
      </c>
      <c r="H4336">
        <f>"High"</f>
        <v/>
      </c>
      <c r="I4336">
        <f>TRIM(IF(LEN(IF(LEN(INDEX('Providers'!$Z$4:$Z$503,333))=0,"",INDEX('Providers'!$Z$4:$Z$503,333)))=0,"","Payer(s): "&amp;IF(LEN(INDEX('Providers'!$Z$4:$Z$503,333))=0,"",INDEX('Providers'!$Z$4:$Z$503,333))&amp;". "))</f>
        <v/>
      </c>
      <c r="J4336">
        <f>IF(LEN(INDEX('Providers'!$AJ$4:$AJ$503,333))=0,"",INDEX('Providers'!$AJ$4:$AJ$503,333))</f>
        <v/>
      </c>
      <c r="K4336">
        <f>IF(LEN(INDEX('Providers'!$AI$4:$AI$503,333))=0,"",INDEX('Providers'!$AI$4:$AI$503,333))</f>
        <v/>
      </c>
    </row>
    <row r="4337">
      <c r="A4337">
        <f>IF(AND(LEN('Providers'!A337)&gt;0,ISNUMBER('Providers'!AA337)),1,0)</f>
        <v/>
      </c>
      <c r="B4337">
        <f>B4336+A4337</f>
        <v/>
      </c>
      <c r="C4337">
        <f>IF(4334&gt;$B$4503,"",MATCH(4334-0.5,$B$3:$B$4503,1))</f>
        <v/>
      </c>
      <c r="D4337">
        <f>"Payer recredentialing – "&amp;IF(LEN(INDEX('Providers'!$A$4:$A$503,334))=0,"",INDEX('Providers'!$A$4:$A$503,334))</f>
        <v/>
      </c>
      <c r="E4337">
        <f>IF(ISNUMBER(INDEX('Providers'!$AA$4:$AA$503,334)),TEXT(INDEX('Providers'!$AA$4:$AA$503,334),"yyyy-mm-dd"),"")</f>
        <v/>
      </c>
      <c r="F4337">
        <f>"Credentialing"</f>
        <v/>
      </c>
      <c r="G4337">
        <f>""</f>
        <v/>
      </c>
      <c r="H4337">
        <f>"High"</f>
        <v/>
      </c>
      <c r="I4337">
        <f>TRIM(IF(LEN(IF(LEN(INDEX('Providers'!$Z$4:$Z$503,334))=0,"",INDEX('Providers'!$Z$4:$Z$503,334)))=0,"","Payer(s): "&amp;IF(LEN(INDEX('Providers'!$Z$4:$Z$503,334))=0,"",INDEX('Providers'!$Z$4:$Z$503,334))&amp;". "))</f>
        <v/>
      </c>
      <c r="J4337">
        <f>IF(LEN(INDEX('Providers'!$AJ$4:$AJ$503,334))=0,"",INDEX('Providers'!$AJ$4:$AJ$503,334))</f>
        <v/>
      </c>
      <c r="K4337">
        <f>IF(LEN(INDEX('Providers'!$AI$4:$AI$503,334))=0,"",INDEX('Providers'!$AI$4:$AI$503,334))</f>
        <v/>
      </c>
    </row>
    <row r="4338">
      <c r="A4338">
        <f>IF(AND(LEN('Providers'!A338)&gt;0,ISNUMBER('Providers'!AA338)),1,0)</f>
        <v/>
      </c>
      <c r="B4338">
        <f>B4337+A4338</f>
        <v/>
      </c>
      <c r="C4338">
        <f>IF(4335&gt;$B$4503,"",MATCH(4335-0.5,$B$3:$B$4503,1))</f>
        <v/>
      </c>
      <c r="D4338">
        <f>"Payer recredentialing – "&amp;IF(LEN(INDEX('Providers'!$A$4:$A$503,335))=0,"",INDEX('Providers'!$A$4:$A$503,335))</f>
        <v/>
      </c>
      <c r="E4338">
        <f>IF(ISNUMBER(INDEX('Providers'!$AA$4:$AA$503,335)),TEXT(INDEX('Providers'!$AA$4:$AA$503,335),"yyyy-mm-dd"),"")</f>
        <v/>
      </c>
      <c r="F4338">
        <f>"Credentialing"</f>
        <v/>
      </c>
      <c r="G4338">
        <f>""</f>
        <v/>
      </c>
      <c r="H4338">
        <f>"High"</f>
        <v/>
      </c>
      <c r="I4338">
        <f>TRIM(IF(LEN(IF(LEN(INDEX('Providers'!$Z$4:$Z$503,335))=0,"",INDEX('Providers'!$Z$4:$Z$503,335)))=0,"","Payer(s): "&amp;IF(LEN(INDEX('Providers'!$Z$4:$Z$503,335))=0,"",INDEX('Providers'!$Z$4:$Z$503,335))&amp;". "))</f>
        <v/>
      </c>
      <c r="J4338">
        <f>IF(LEN(INDEX('Providers'!$AJ$4:$AJ$503,335))=0,"",INDEX('Providers'!$AJ$4:$AJ$503,335))</f>
        <v/>
      </c>
      <c r="K4338">
        <f>IF(LEN(INDEX('Providers'!$AI$4:$AI$503,335))=0,"",INDEX('Providers'!$AI$4:$AI$503,335))</f>
        <v/>
      </c>
    </row>
    <row r="4339">
      <c r="A4339">
        <f>IF(AND(LEN('Providers'!A339)&gt;0,ISNUMBER('Providers'!AA339)),1,0)</f>
        <v/>
      </c>
      <c r="B4339">
        <f>B4338+A4339</f>
        <v/>
      </c>
      <c r="C4339">
        <f>IF(4336&gt;$B$4503,"",MATCH(4336-0.5,$B$3:$B$4503,1))</f>
        <v/>
      </c>
      <c r="D4339">
        <f>"Payer recredentialing – "&amp;IF(LEN(INDEX('Providers'!$A$4:$A$503,336))=0,"",INDEX('Providers'!$A$4:$A$503,336))</f>
        <v/>
      </c>
      <c r="E4339">
        <f>IF(ISNUMBER(INDEX('Providers'!$AA$4:$AA$503,336)),TEXT(INDEX('Providers'!$AA$4:$AA$503,336),"yyyy-mm-dd"),"")</f>
        <v/>
      </c>
      <c r="F4339">
        <f>"Credentialing"</f>
        <v/>
      </c>
      <c r="G4339">
        <f>""</f>
        <v/>
      </c>
      <c r="H4339">
        <f>"High"</f>
        <v/>
      </c>
      <c r="I4339">
        <f>TRIM(IF(LEN(IF(LEN(INDEX('Providers'!$Z$4:$Z$503,336))=0,"",INDEX('Providers'!$Z$4:$Z$503,336)))=0,"","Payer(s): "&amp;IF(LEN(INDEX('Providers'!$Z$4:$Z$503,336))=0,"",INDEX('Providers'!$Z$4:$Z$503,336))&amp;". "))</f>
        <v/>
      </c>
      <c r="J4339">
        <f>IF(LEN(INDEX('Providers'!$AJ$4:$AJ$503,336))=0,"",INDEX('Providers'!$AJ$4:$AJ$503,336))</f>
        <v/>
      </c>
      <c r="K4339">
        <f>IF(LEN(INDEX('Providers'!$AI$4:$AI$503,336))=0,"",INDEX('Providers'!$AI$4:$AI$503,336))</f>
        <v/>
      </c>
    </row>
    <row r="4340">
      <c r="A4340">
        <f>IF(AND(LEN('Providers'!A340)&gt;0,ISNUMBER('Providers'!AA340)),1,0)</f>
        <v/>
      </c>
      <c r="B4340">
        <f>B4339+A4340</f>
        <v/>
      </c>
      <c r="C4340">
        <f>IF(4337&gt;$B$4503,"",MATCH(4337-0.5,$B$3:$B$4503,1))</f>
        <v/>
      </c>
      <c r="D4340">
        <f>"Payer recredentialing – "&amp;IF(LEN(INDEX('Providers'!$A$4:$A$503,337))=0,"",INDEX('Providers'!$A$4:$A$503,337))</f>
        <v/>
      </c>
      <c r="E4340">
        <f>IF(ISNUMBER(INDEX('Providers'!$AA$4:$AA$503,337)),TEXT(INDEX('Providers'!$AA$4:$AA$503,337),"yyyy-mm-dd"),"")</f>
        <v/>
      </c>
      <c r="F4340">
        <f>"Credentialing"</f>
        <v/>
      </c>
      <c r="G4340">
        <f>""</f>
        <v/>
      </c>
      <c r="H4340">
        <f>"High"</f>
        <v/>
      </c>
      <c r="I4340">
        <f>TRIM(IF(LEN(IF(LEN(INDEX('Providers'!$Z$4:$Z$503,337))=0,"",INDEX('Providers'!$Z$4:$Z$503,337)))=0,"","Payer(s): "&amp;IF(LEN(INDEX('Providers'!$Z$4:$Z$503,337))=0,"",INDEX('Providers'!$Z$4:$Z$503,337))&amp;". "))</f>
        <v/>
      </c>
      <c r="J4340">
        <f>IF(LEN(INDEX('Providers'!$AJ$4:$AJ$503,337))=0,"",INDEX('Providers'!$AJ$4:$AJ$503,337))</f>
        <v/>
      </c>
      <c r="K4340">
        <f>IF(LEN(INDEX('Providers'!$AI$4:$AI$503,337))=0,"",INDEX('Providers'!$AI$4:$AI$503,337))</f>
        <v/>
      </c>
    </row>
    <row r="4341">
      <c r="A4341">
        <f>IF(AND(LEN('Providers'!A341)&gt;0,ISNUMBER('Providers'!AA341)),1,0)</f>
        <v/>
      </c>
      <c r="B4341">
        <f>B4340+A4341</f>
        <v/>
      </c>
      <c r="C4341">
        <f>IF(4338&gt;$B$4503,"",MATCH(4338-0.5,$B$3:$B$4503,1))</f>
        <v/>
      </c>
      <c r="D4341">
        <f>"Payer recredentialing – "&amp;IF(LEN(INDEX('Providers'!$A$4:$A$503,338))=0,"",INDEX('Providers'!$A$4:$A$503,338))</f>
        <v/>
      </c>
      <c r="E4341">
        <f>IF(ISNUMBER(INDEX('Providers'!$AA$4:$AA$503,338)),TEXT(INDEX('Providers'!$AA$4:$AA$503,338),"yyyy-mm-dd"),"")</f>
        <v/>
      </c>
      <c r="F4341">
        <f>"Credentialing"</f>
        <v/>
      </c>
      <c r="G4341">
        <f>""</f>
        <v/>
      </c>
      <c r="H4341">
        <f>"High"</f>
        <v/>
      </c>
      <c r="I4341">
        <f>TRIM(IF(LEN(IF(LEN(INDEX('Providers'!$Z$4:$Z$503,338))=0,"",INDEX('Providers'!$Z$4:$Z$503,338)))=0,"","Payer(s): "&amp;IF(LEN(INDEX('Providers'!$Z$4:$Z$503,338))=0,"",INDEX('Providers'!$Z$4:$Z$503,338))&amp;". "))</f>
        <v/>
      </c>
      <c r="J4341">
        <f>IF(LEN(INDEX('Providers'!$AJ$4:$AJ$503,338))=0,"",INDEX('Providers'!$AJ$4:$AJ$503,338))</f>
        <v/>
      </c>
      <c r="K4341">
        <f>IF(LEN(INDEX('Providers'!$AI$4:$AI$503,338))=0,"",INDEX('Providers'!$AI$4:$AI$503,338))</f>
        <v/>
      </c>
    </row>
    <row r="4342">
      <c r="A4342">
        <f>IF(AND(LEN('Providers'!A342)&gt;0,ISNUMBER('Providers'!AA342)),1,0)</f>
        <v/>
      </c>
      <c r="B4342">
        <f>B4341+A4342</f>
        <v/>
      </c>
      <c r="C4342">
        <f>IF(4339&gt;$B$4503,"",MATCH(4339-0.5,$B$3:$B$4503,1))</f>
        <v/>
      </c>
      <c r="D4342">
        <f>"Payer recredentialing – "&amp;IF(LEN(INDEX('Providers'!$A$4:$A$503,339))=0,"",INDEX('Providers'!$A$4:$A$503,339))</f>
        <v/>
      </c>
      <c r="E4342">
        <f>IF(ISNUMBER(INDEX('Providers'!$AA$4:$AA$503,339)),TEXT(INDEX('Providers'!$AA$4:$AA$503,339),"yyyy-mm-dd"),"")</f>
        <v/>
      </c>
      <c r="F4342">
        <f>"Credentialing"</f>
        <v/>
      </c>
      <c r="G4342">
        <f>""</f>
        <v/>
      </c>
      <c r="H4342">
        <f>"High"</f>
        <v/>
      </c>
      <c r="I4342">
        <f>TRIM(IF(LEN(IF(LEN(INDEX('Providers'!$Z$4:$Z$503,339))=0,"",INDEX('Providers'!$Z$4:$Z$503,339)))=0,"","Payer(s): "&amp;IF(LEN(INDEX('Providers'!$Z$4:$Z$503,339))=0,"",INDEX('Providers'!$Z$4:$Z$503,339))&amp;". "))</f>
        <v/>
      </c>
      <c r="J4342">
        <f>IF(LEN(INDEX('Providers'!$AJ$4:$AJ$503,339))=0,"",INDEX('Providers'!$AJ$4:$AJ$503,339))</f>
        <v/>
      </c>
      <c r="K4342">
        <f>IF(LEN(INDEX('Providers'!$AI$4:$AI$503,339))=0,"",INDEX('Providers'!$AI$4:$AI$503,339))</f>
        <v/>
      </c>
    </row>
    <row r="4343">
      <c r="A4343">
        <f>IF(AND(LEN('Providers'!A343)&gt;0,ISNUMBER('Providers'!AA343)),1,0)</f>
        <v/>
      </c>
      <c r="B4343">
        <f>B4342+A4343</f>
        <v/>
      </c>
      <c r="C4343">
        <f>IF(4340&gt;$B$4503,"",MATCH(4340-0.5,$B$3:$B$4503,1))</f>
        <v/>
      </c>
      <c r="D4343">
        <f>"Payer recredentialing – "&amp;IF(LEN(INDEX('Providers'!$A$4:$A$503,340))=0,"",INDEX('Providers'!$A$4:$A$503,340))</f>
        <v/>
      </c>
      <c r="E4343">
        <f>IF(ISNUMBER(INDEX('Providers'!$AA$4:$AA$503,340)),TEXT(INDEX('Providers'!$AA$4:$AA$503,340),"yyyy-mm-dd"),"")</f>
        <v/>
      </c>
      <c r="F4343">
        <f>"Credentialing"</f>
        <v/>
      </c>
      <c r="G4343">
        <f>""</f>
        <v/>
      </c>
      <c r="H4343">
        <f>"High"</f>
        <v/>
      </c>
      <c r="I4343">
        <f>TRIM(IF(LEN(IF(LEN(INDEX('Providers'!$Z$4:$Z$503,340))=0,"",INDEX('Providers'!$Z$4:$Z$503,340)))=0,"","Payer(s): "&amp;IF(LEN(INDEX('Providers'!$Z$4:$Z$503,340))=0,"",INDEX('Providers'!$Z$4:$Z$503,340))&amp;". "))</f>
        <v/>
      </c>
      <c r="J4343">
        <f>IF(LEN(INDEX('Providers'!$AJ$4:$AJ$503,340))=0,"",INDEX('Providers'!$AJ$4:$AJ$503,340))</f>
        <v/>
      </c>
      <c r="K4343">
        <f>IF(LEN(INDEX('Providers'!$AI$4:$AI$503,340))=0,"",INDEX('Providers'!$AI$4:$AI$503,340))</f>
        <v/>
      </c>
    </row>
    <row r="4344">
      <c r="A4344">
        <f>IF(AND(LEN('Providers'!A344)&gt;0,ISNUMBER('Providers'!AA344)),1,0)</f>
        <v/>
      </c>
      <c r="B4344">
        <f>B4343+A4344</f>
        <v/>
      </c>
      <c r="C4344">
        <f>IF(4341&gt;$B$4503,"",MATCH(4341-0.5,$B$3:$B$4503,1))</f>
        <v/>
      </c>
      <c r="D4344">
        <f>"Payer recredentialing – "&amp;IF(LEN(INDEX('Providers'!$A$4:$A$503,341))=0,"",INDEX('Providers'!$A$4:$A$503,341))</f>
        <v/>
      </c>
      <c r="E4344">
        <f>IF(ISNUMBER(INDEX('Providers'!$AA$4:$AA$503,341)),TEXT(INDEX('Providers'!$AA$4:$AA$503,341),"yyyy-mm-dd"),"")</f>
        <v/>
      </c>
      <c r="F4344">
        <f>"Credentialing"</f>
        <v/>
      </c>
      <c r="G4344">
        <f>""</f>
        <v/>
      </c>
      <c r="H4344">
        <f>"High"</f>
        <v/>
      </c>
      <c r="I4344">
        <f>TRIM(IF(LEN(IF(LEN(INDEX('Providers'!$Z$4:$Z$503,341))=0,"",INDEX('Providers'!$Z$4:$Z$503,341)))=0,"","Payer(s): "&amp;IF(LEN(INDEX('Providers'!$Z$4:$Z$503,341))=0,"",INDEX('Providers'!$Z$4:$Z$503,341))&amp;". "))</f>
        <v/>
      </c>
      <c r="J4344">
        <f>IF(LEN(INDEX('Providers'!$AJ$4:$AJ$503,341))=0,"",INDEX('Providers'!$AJ$4:$AJ$503,341))</f>
        <v/>
      </c>
      <c r="K4344">
        <f>IF(LEN(INDEX('Providers'!$AI$4:$AI$503,341))=0,"",INDEX('Providers'!$AI$4:$AI$503,341))</f>
        <v/>
      </c>
    </row>
    <row r="4345">
      <c r="A4345">
        <f>IF(AND(LEN('Providers'!A345)&gt;0,ISNUMBER('Providers'!AA345)),1,0)</f>
        <v/>
      </c>
      <c r="B4345">
        <f>B4344+A4345</f>
        <v/>
      </c>
      <c r="C4345">
        <f>IF(4342&gt;$B$4503,"",MATCH(4342-0.5,$B$3:$B$4503,1))</f>
        <v/>
      </c>
      <c r="D4345">
        <f>"Payer recredentialing – "&amp;IF(LEN(INDEX('Providers'!$A$4:$A$503,342))=0,"",INDEX('Providers'!$A$4:$A$503,342))</f>
        <v/>
      </c>
      <c r="E4345">
        <f>IF(ISNUMBER(INDEX('Providers'!$AA$4:$AA$503,342)),TEXT(INDEX('Providers'!$AA$4:$AA$503,342),"yyyy-mm-dd"),"")</f>
        <v/>
      </c>
      <c r="F4345">
        <f>"Credentialing"</f>
        <v/>
      </c>
      <c r="G4345">
        <f>""</f>
        <v/>
      </c>
      <c r="H4345">
        <f>"High"</f>
        <v/>
      </c>
      <c r="I4345">
        <f>TRIM(IF(LEN(IF(LEN(INDEX('Providers'!$Z$4:$Z$503,342))=0,"",INDEX('Providers'!$Z$4:$Z$503,342)))=0,"","Payer(s): "&amp;IF(LEN(INDEX('Providers'!$Z$4:$Z$503,342))=0,"",INDEX('Providers'!$Z$4:$Z$503,342))&amp;". "))</f>
        <v/>
      </c>
      <c r="J4345">
        <f>IF(LEN(INDEX('Providers'!$AJ$4:$AJ$503,342))=0,"",INDEX('Providers'!$AJ$4:$AJ$503,342))</f>
        <v/>
      </c>
      <c r="K4345">
        <f>IF(LEN(INDEX('Providers'!$AI$4:$AI$503,342))=0,"",INDEX('Providers'!$AI$4:$AI$503,342))</f>
        <v/>
      </c>
    </row>
    <row r="4346">
      <c r="A4346">
        <f>IF(AND(LEN('Providers'!A346)&gt;0,ISNUMBER('Providers'!AA346)),1,0)</f>
        <v/>
      </c>
      <c r="B4346">
        <f>B4345+A4346</f>
        <v/>
      </c>
      <c r="C4346">
        <f>IF(4343&gt;$B$4503,"",MATCH(4343-0.5,$B$3:$B$4503,1))</f>
        <v/>
      </c>
      <c r="D4346">
        <f>"Payer recredentialing – "&amp;IF(LEN(INDEX('Providers'!$A$4:$A$503,343))=0,"",INDEX('Providers'!$A$4:$A$503,343))</f>
        <v/>
      </c>
      <c r="E4346">
        <f>IF(ISNUMBER(INDEX('Providers'!$AA$4:$AA$503,343)),TEXT(INDEX('Providers'!$AA$4:$AA$503,343),"yyyy-mm-dd"),"")</f>
        <v/>
      </c>
      <c r="F4346">
        <f>"Credentialing"</f>
        <v/>
      </c>
      <c r="G4346">
        <f>""</f>
        <v/>
      </c>
      <c r="H4346">
        <f>"High"</f>
        <v/>
      </c>
      <c r="I4346">
        <f>TRIM(IF(LEN(IF(LEN(INDEX('Providers'!$Z$4:$Z$503,343))=0,"",INDEX('Providers'!$Z$4:$Z$503,343)))=0,"","Payer(s): "&amp;IF(LEN(INDEX('Providers'!$Z$4:$Z$503,343))=0,"",INDEX('Providers'!$Z$4:$Z$503,343))&amp;". "))</f>
        <v/>
      </c>
      <c r="J4346">
        <f>IF(LEN(INDEX('Providers'!$AJ$4:$AJ$503,343))=0,"",INDEX('Providers'!$AJ$4:$AJ$503,343))</f>
        <v/>
      </c>
      <c r="K4346">
        <f>IF(LEN(INDEX('Providers'!$AI$4:$AI$503,343))=0,"",INDEX('Providers'!$AI$4:$AI$503,343))</f>
        <v/>
      </c>
    </row>
    <row r="4347">
      <c r="A4347">
        <f>IF(AND(LEN('Providers'!A347)&gt;0,ISNUMBER('Providers'!AA347)),1,0)</f>
        <v/>
      </c>
      <c r="B4347">
        <f>B4346+A4347</f>
        <v/>
      </c>
      <c r="C4347">
        <f>IF(4344&gt;$B$4503,"",MATCH(4344-0.5,$B$3:$B$4503,1))</f>
        <v/>
      </c>
      <c r="D4347">
        <f>"Payer recredentialing – "&amp;IF(LEN(INDEX('Providers'!$A$4:$A$503,344))=0,"",INDEX('Providers'!$A$4:$A$503,344))</f>
        <v/>
      </c>
      <c r="E4347">
        <f>IF(ISNUMBER(INDEX('Providers'!$AA$4:$AA$503,344)),TEXT(INDEX('Providers'!$AA$4:$AA$503,344),"yyyy-mm-dd"),"")</f>
        <v/>
      </c>
      <c r="F4347">
        <f>"Credentialing"</f>
        <v/>
      </c>
      <c r="G4347">
        <f>""</f>
        <v/>
      </c>
      <c r="H4347">
        <f>"High"</f>
        <v/>
      </c>
      <c r="I4347">
        <f>TRIM(IF(LEN(IF(LEN(INDEX('Providers'!$Z$4:$Z$503,344))=0,"",INDEX('Providers'!$Z$4:$Z$503,344)))=0,"","Payer(s): "&amp;IF(LEN(INDEX('Providers'!$Z$4:$Z$503,344))=0,"",INDEX('Providers'!$Z$4:$Z$503,344))&amp;". "))</f>
        <v/>
      </c>
      <c r="J4347">
        <f>IF(LEN(INDEX('Providers'!$AJ$4:$AJ$503,344))=0,"",INDEX('Providers'!$AJ$4:$AJ$503,344))</f>
        <v/>
      </c>
      <c r="K4347">
        <f>IF(LEN(INDEX('Providers'!$AI$4:$AI$503,344))=0,"",INDEX('Providers'!$AI$4:$AI$503,344))</f>
        <v/>
      </c>
    </row>
    <row r="4348">
      <c r="A4348">
        <f>IF(AND(LEN('Providers'!A348)&gt;0,ISNUMBER('Providers'!AA348)),1,0)</f>
        <v/>
      </c>
      <c r="B4348">
        <f>B4347+A4348</f>
        <v/>
      </c>
      <c r="C4348">
        <f>IF(4345&gt;$B$4503,"",MATCH(4345-0.5,$B$3:$B$4503,1))</f>
        <v/>
      </c>
      <c r="D4348">
        <f>"Payer recredentialing – "&amp;IF(LEN(INDEX('Providers'!$A$4:$A$503,345))=0,"",INDEX('Providers'!$A$4:$A$503,345))</f>
        <v/>
      </c>
      <c r="E4348">
        <f>IF(ISNUMBER(INDEX('Providers'!$AA$4:$AA$503,345)),TEXT(INDEX('Providers'!$AA$4:$AA$503,345),"yyyy-mm-dd"),"")</f>
        <v/>
      </c>
      <c r="F4348">
        <f>"Credentialing"</f>
        <v/>
      </c>
      <c r="G4348">
        <f>""</f>
        <v/>
      </c>
      <c r="H4348">
        <f>"High"</f>
        <v/>
      </c>
      <c r="I4348">
        <f>TRIM(IF(LEN(IF(LEN(INDEX('Providers'!$Z$4:$Z$503,345))=0,"",INDEX('Providers'!$Z$4:$Z$503,345)))=0,"","Payer(s): "&amp;IF(LEN(INDEX('Providers'!$Z$4:$Z$503,345))=0,"",INDEX('Providers'!$Z$4:$Z$503,345))&amp;". "))</f>
        <v/>
      </c>
      <c r="J4348">
        <f>IF(LEN(INDEX('Providers'!$AJ$4:$AJ$503,345))=0,"",INDEX('Providers'!$AJ$4:$AJ$503,345))</f>
        <v/>
      </c>
      <c r="K4348">
        <f>IF(LEN(INDEX('Providers'!$AI$4:$AI$503,345))=0,"",INDEX('Providers'!$AI$4:$AI$503,345))</f>
        <v/>
      </c>
    </row>
    <row r="4349">
      <c r="A4349">
        <f>IF(AND(LEN('Providers'!A349)&gt;0,ISNUMBER('Providers'!AA349)),1,0)</f>
        <v/>
      </c>
      <c r="B4349">
        <f>B4348+A4349</f>
        <v/>
      </c>
      <c r="C4349">
        <f>IF(4346&gt;$B$4503,"",MATCH(4346-0.5,$B$3:$B$4503,1))</f>
        <v/>
      </c>
      <c r="D4349">
        <f>"Payer recredentialing – "&amp;IF(LEN(INDEX('Providers'!$A$4:$A$503,346))=0,"",INDEX('Providers'!$A$4:$A$503,346))</f>
        <v/>
      </c>
      <c r="E4349">
        <f>IF(ISNUMBER(INDEX('Providers'!$AA$4:$AA$503,346)),TEXT(INDEX('Providers'!$AA$4:$AA$503,346),"yyyy-mm-dd"),"")</f>
        <v/>
      </c>
      <c r="F4349">
        <f>"Credentialing"</f>
        <v/>
      </c>
      <c r="G4349">
        <f>""</f>
        <v/>
      </c>
      <c r="H4349">
        <f>"High"</f>
        <v/>
      </c>
      <c r="I4349">
        <f>TRIM(IF(LEN(IF(LEN(INDEX('Providers'!$Z$4:$Z$503,346))=0,"",INDEX('Providers'!$Z$4:$Z$503,346)))=0,"","Payer(s): "&amp;IF(LEN(INDEX('Providers'!$Z$4:$Z$503,346))=0,"",INDEX('Providers'!$Z$4:$Z$503,346))&amp;". "))</f>
        <v/>
      </c>
      <c r="J4349">
        <f>IF(LEN(INDEX('Providers'!$AJ$4:$AJ$503,346))=0,"",INDEX('Providers'!$AJ$4:$AJ$503,346))</f>
        <v/>
      </c>
      <c r="K4349">
        <f>IF(LEN(INDEX('Providers'!$AI$4:$AI$503,346))=0,"",INDEX('Providers'!$AI$4:$AI$503,346))</f>
        <v/>
      </c>
    </row>
    <row r="4350">
      <c r="A4350">
        <f>IF(AND(LEN('Providers'!A350)&gt;0,ISNUMBER('Providers'!AA350)),1,0)</f>
        <v/>
      </c>
      <c r="B4350">
        <f>B4349+A4350</f>
        <v/>
      </c>
      <c r="C4350">
        <f>IF(4347&gt;$B$4503,"",MATCH(4347-0.5,$B$3:$B$4503,1))</f>
        <v/>
      </c>
      <c r="D4350">
        <f>"Payer recredentialing – "&amp;IF(LEN(INDEX('Providers'!$A$4:$A$503,347))=0,"",INDEX('Providers'!$A$4:$A$503,347))</f>
        <v/>
      </c>
      <c r="E4350">
        <f>IF(ISNUMBER(INDEX('Providers'!$AA$4:$AA$503,347)),TEXT(INDEX('Providers'!$AA$4:$AA$503,347),"yyyy-mm-dd"),"")</f>
        <v/>
      </c>
      <c r="F4350">
        <f>"Credentialing"</f>
        <v/>
      </c>
      <c r="G4350">
        <f>""</f>
        <v/>
      </c>
      <c r="H4350">
        <f>"High"</f>
        <v/>
      </c>
      <c r="I4350">
        <f>TRIM(IF(LEN(IF(LEN(INDEX('Providers'!$Z$4:$Z$503,347))=0,"",INDEX('Providers'!$Z$4:$Z$503,347)))=0,"","Payer(s): "&amp;IF(LEN(INDEX('Providers'!$Z$4:$Z$503,347))=0,"",INDEX('Providers'!$Z$4:$Z$503,347))&amp;". "))</f>
        <v/>
      </c>
      <c r="J4350">
        <f>IF(LEN(INDEX('Providers'!$AJ$4:$AJ$503,347))=0,"",INDEX('Providers'!$AJ$4:$AJ$503,347))</f>
        <v/>
      </c>
      <c r="K4350">
        <f>IF(LEN(INDEX('Providers'!$AI$4:$AI$503,347))=0,"",INDEX('Providers'!$AI$4:$AI$503,347))</f>
        <v/>
      </c>
    </row>
    <row r="4351">
      <c r="A4351">
        <f>IF(AND(LEN('Providers'!A351)&gt;0,ISNUMBER('Providers'!AA351)),1,0)</f>
        <v/>
      </c>
      <c r="B4351">
        <f>B4350+A4351</f>
        <v/>
      </c>
      <c r="C4351">
        <f>IF(4348&gt;$B$4503,"",MATCH(4348-0.5,$B$3:$B$4503,1))</f>
        <v/>
      </c>
      <c r="D4351">
        <f>"Payer recredentialing – "&amp;IF(LEN(INDEX('Providers'!$A$4:$A$503,348))=0,"",INDEX('Providers'!$A$4:$A$503,348))</f>
        <v/>
      </c>
      <c r="E4351">
        <f>IF(ISNUMBER(INDEX('Providers'!$AA$4:$AA$503,348)),TEXT(INDEX('Providers'!$AA$4:$AA$503,348),"yyyy-mm-dd"),"")</f>
        <v/>
      </c>
      <c r="F4351">
        <f>"Credentialing"</f>
        <v/>
      </c>
      <c r="G4351">
        <f>""</f>
        <v/>
      </c>
      <c r="H4351">
        <f>"High"</f>
        <v/>
      </c>
      <c r="I4351">
        <f>TRIM(IF(LEN(IF(LEN(INDEX('Providers'!$Z$4:$Z$503,348))=0,"",INDEX('Providers'!$Z$4:$Z$503,348)))=0,"","Payer(s): "&amp;IF(LEN(INDEX('Providers'!$Z$4:$Z$503,348))=0,"",INDEX('Providers'!$Z$4:$Z$503,348))&amp;". "))</f>
        <v/>
      </c>
      <c r="J4351">
        <f>IF(LEN(INDEX('Providers'!$AJ$4:$AJ$503,348))=0,"",INDEX('Providers'!$AJ$4:$AJ$503,348))</f>
        <v/>
      </c>
      <c r="K4351">
        <f>IF(LEN(INDEX('Providers'!$AI$4:$AI$503,348))=0,"",INDEX('Providers'!$AI$4:$AI$503,348))</f>
        <v/>
      </c>
    </row>
    <row r="4352">
      <c r="A4352">
        <f>IF(AND(LEN('Providers'!A352)&gt;0,ISNUMBER('Providers'!AA352)),1,0)</f>
        <v/>
      </c>
      <c r="B4352">
        <f>B4351+A4352</f>
        <v/>
      </c>
      <c r="C4352">
        <f>IF(4349&gt;$B$4503,"",MATCH(4349-0.5,$B$3:$B$4503,1))</f>
        <v/>
      </c>
      <c r="D4352">
        <f>"Payer recredentialing – "&amp;IF(LEN(INDEX('Providers'!$A$4:$A$503,349))=0,"",INDEX('Providers'!$A$4:$A$503,349))</f>
        <v/>
      </c>
      <c r="E4352">
        <f>IF(ISNUMBER(INDEX('Providers'!$AA$4:$AA$503,349)),TEXT(INDEX('Providers'!$AA$4:$AA$503,349),"yyyy-mm-dd"),"")</f>
        <v/>
      </c>
      <c r="F4352">
        <f>"Credentialing"</f>
        <v/>
      </c>
      <c r="G4352">
        <f>""</f>
        <v/>
      </c>
      <c r="H4352">
        <f>"High"</f>
        <v/>
      </c>
      <c r="I4352">
        <f>TRIM(IF(LEN(IF(LEN(INDEX('Providers'!$Z$4:$Z$503,349))=0,"",INDEX('Providers'!$Z$4:$Z$503,349)))=0,"","Payer(s): "&amp;IF(LEN(INDEX('Providers'!$Z$4:$Z$503,349))=0,"",INDEX('Providers'!$Z$4:$Z$503,349))&amp;". "))</f>
        <v/>
      </c>
      <c r="J4352">
        <f>IF(LEN(INDEX('Providers'!$AJ$4:$AJ$503,349))=0,"",INDEX('Providers'!$AJ$4:$AJ$503,349))</f>
        <v/>
      </c>
      <c r="K4352">
        <f>IF(LEN(INDEX('Providers'!$AI$4:$AI$503,349))=0,"",INDEX('Providers'!$AI$4:$AI$503,349))</f>
        <v/>
      </c>
    </row>
    <row r="4353">
      <c r="A4353">
        <f>IF(AND(LEN('Providers'!A353)&gt;0,ISNUMBER('Providers'!AA353)),1,0)</f>
        <v/>
      </c>
      <c r="B4353">
        <f>B4352+A4353</f>
        <v/>
      </c>
      <c r="C4353">
        <f>IF(4350&gt;$B$4503,"",MATCH(4350-0.5,$B$3:$B$4503,1))</f>
        <v/>
      </c>
      <c r="D4353">
        <f>"Payer recredentialing – "&amp;IF(LEN(INDEX('Providers'!$A$4:$A$503,350))=0,"",INDEX('Providers'!$A$4:$A$503,350))</f>
        <v/>
      </c>
      <c r="E4353">
        <f>IF(ISNUMBER(INDEX('Providers'!$AA$4:$AA$503,350)),TEXT(INDEX('Providers'!$AA$4:$AA$503,350),"yyyy-mm-dd"),"")</f>
        <v/>
      </c>
      <c r="F4353">
        <f>"Credentialing"</f>
        <v/>
      </c>
      <c r="G4353">
        <f>""</f>
        <v/>
      </c>
      <c r="H4353">
        <f>"High"</f>
        <v/>
      </c>
      <c r="I4353">
        <f>TRIM(IF(LEN(IF(LEN(INDEX('Providers'!$Z$4:$Z$503,350))=0,"",INDEX('Providers'!$Z$4:$Z$503,350)))=0,"","Payer(s): "&amp;IF(LEN(INDEX('Providers'!$Z$4:$Z$503,350))=0,"",INDEX('Providers'!$Z$4:$Z$503,350))&amp;". "))</f>
        <v/>
      </c>
      <c r="J4353">
        <f>IF(LEN(INDEX('Providers'!$AJ$4:$AJ$503,350))=0,"",INDEX('Providers'!$AJ$4:$AJ$503,350))</f>
        <v/>
      </c>
      <c r="K4353">
        <f>IF(LEN(INDEX('Providers'!$AI$4:$AI$503,350))=0,"",INDEX('Providers'!$AI$4:$AI$503,350))</f>
        <v/>
      </c>
    </row>
    <row r="4354">
      <c r="A4354">
        <f>IF(AND(LEN('Providers'!A354)&gt;0,ISNUMBER('Providers'!AA354)),1,0)</f>
        <v/>
      </c>
      <c r="B4354">
        <f>B4353+A4354</f>
        <v/>
      </c>
      <c r="C4354">
        <f>IF(4351&gt;$B$4503,"",MATCH(4351-0.5,$B$3:$B$4503,1))</f>
        <v/>
      </c>
      <c r="D4354">
        <f>"Payer recredentialing – "&amp;IF(LEN(INDEX('Providers'!$A$4:$A$503,351))=0,"",INDEX('Providers'!$A$4:$A$503,351))</f>
        <v/>
      </c>
      <c r="E4354">
        <f>IF(ISNUMBER(INDEX('Providers'!$AA$4:$AA$503,351)),TEXT(INDEX('Providers'!$AA$4:$AA$503,351),"yyyy-mm-dd"),"")</f>
        <v/>
      </c>
      <c r="F4354">
        <f>"Credentialing"</f>
        <v/>
      </c>
      <c r="G4354">
        <f>""</f>
        <v/>
      </c>
      <c r="H4354">
        <f>"High"</f>
        <v/>
      </c>
      <c r="I4354">
        <f>TRIM(IF(LEN(IF(LEN(INDEX('Providers'!$Z$4:$Z$503,351))=0,"",INDEX('Providers'!$Z$4:$Z$503,351)))=0,"","Payer(s): "&amp;IF(LEN(INDEX('Providers'!$Z$4:$Z$503,351))=0,"",INDEX('Providers'!$Z$4:$Z$503,351))&amp;". "))</f>
        <v/>
      </c>
      <c r="J4354">
        <f>IF(LEN(INDEX('Providers'!$AJ$4:$AJ$503,351))=0,"",INDEX('Providers'!$AJ$4:$AJ$503,351))</f>
        <v/>
      </c>
      <c r="K4354">
        <f>IF(LEN(INDEX('Providers'!$AI$4:$AI$503,351))=0,"",INDEX('Providers'!$AI$4:$AI$503,351))</f>
        <v/>
      </c>
    </row>
    <row r="4355">
      <c r="A4355">
        <f>IF(AND(LEN('Providers'!A355)&gt;0,ISNUMBER('Providers'!AA355)),1,0)</f>
        <v/>
      </c>
      <c r="B4355">
        <f>B4354+A4355</f>
        <v/>
      </c>
      <c r="C4355">
        <f>IF(4352&gt;$B$4503,"",MATCH(4352-0.5,$B$3:$B$4503,1))</f>
        <v/>
      </c>
      <c r="D4355">
        <f>"Payer recredentialing – "&amp;IF(LEN(INDEX('Providers'!$A$4:$A$503,352))=0,"",INDEX('Providers'!$A$4:$A$503,352))</f>
        <v/>
      </c>
      <c r="E4355">
        <f>IF(ISNUMBER(INDEX('Providers'!$AA$4:$AA$503,352)),TEXT(INDEX('Providers'!$AA$4:$AA$503,352),"yyyy-mm-dd"),"")</f>
        <v/>
      </c>
      <c r="F4355">
        <f>"Credentialing"</f>
        <v/>
      </c>
      <c r="G4355">
        <f>""</f>
        <v/>
      </c>
      <c r="H4355">
        <f>"High"</f>
        <v/>
      </c>
      <c r="I4355">
        <f>TRIM(IF(LEN(IF(LEN(INDEX('Providers'!$Z$4:$Z$503,352))=0,"",INDEX('Providers'!$Z$4:$Z$503,352)))=0,"","Payer(s): "&amp;IF(LEN(INDEX('Providers'!$Z$4:$Z$503,352))=0,"",INDEX('Providers'!$Z$4:$Z$503,352))&amp;". "))</f>
        <v/>
      </c>
      <c r="J4355">
        <f>IF(LEN(INDEX('Providers'!$AJ$4:$AJ$503,352))=0,"",INDEX('Providers'!$AJ$4:$AJ$503,352))</f>
        <v/>
      </c>
      <c r="K4355">
        <f>IF(LEN(INDEX('Providers'!$AI$4:$AI$503,352))=0,"",INDEX('Providers'!$AI$4:$AI$503,352))</f>
        <v/>
      </c>
    </row>
    <row r="4356">
      <c r="A4356">
        <f>IF(AND(LEN('Providers'!A356)&gt;0,ISNUMBER('Providers'!AA356)),1,0)</f>
        <v/>
      </c>
      <c r="B4356">
        <f>B4355+A4356</f>
        <v/>
      </c>
      <c r="C4356">
        <f>IF(4353&gt;$B$4503,"",MATCH(4353-0.5,$B$3:$B$4503,1))</f>
        <v/>
      </c>
      <c r="D4356">
        <f>"Payer recredentialing – "&amp;IF(LEN(INDEX('Providers'!$A$4:$A$503,353))=0,"",INDEX('Providers'!$A$4:$A$503,353))</f>
        <v/>
      </c>
      <c r="E4356">
        <f>IF(ISNUMBER(INDEX('Providers'!$AA$4:$AA$503,353)),TEXT(INDEX('Providers'!$AA$4:$AA$503,353),"yyyy-mm-dd"),"")</f>
        <v/>
      </c>
      <c r="F4356">
        <f>"Credentialing"</f>
        <v/>
      </c>
      <c r="G4356">
        <f>""</f>
        <v/>
      </c>
      <c r="H4356">
        <f>"High"</f>
        <v/>
      </c>
      <c r="I4356">
        <f>TRIM(IF(LEN(IF(LEN(INDEX('Providers'!$Z$4:$Z$503,353))=0,"",INDEX('Providers'!$Z$4:$Z$503,353)))=0,"","Payer(s): "&amp;IF(LEN(INDEX('Providers'!$Z$4:$Z$503,353))=0,"",INDEX('Providers'!$Z$4:$Z$503,353))&amp;". "))</f>
        <v/>
      </c>
      <c r="J4356">
        <f>IF(LEN(INDEX('Providers'!$AJ$4:$AJ$503,353))=0,"",INDEX('Providers'!$AJ$4:$AJ$503,353))</f>
        <v/>
      </c>
      <c r="K4356">
        <f>IF(LEN(INDEX('Providers'!$AI$4:$AI$503,353))=0,"",INDEX('Providers'!$AI$4:$AI$503,353))</f>
        <v/>
      </c>
    </row>
    <row r="4357">
      <c r="A4357">
        <f>IF(AND(LEN('Providers'!A357)&gt;0,ISNUMBER('Providers'!AA357)),1,0)</f>
        <v/>
      </c>
      <c r="B4357">
        <f>B4356+A4357</f>
        <v/>
      </c>
      <c r="C4357">
        <f>IF(4354&gt;$B$4503,"",MATCH(4354-0.5,$B$3:$B$4503,1))</f>
        <v/>
      </c>
      <c r="D4357">
        <f>"Payer recredentialing – "&amp;IF(LEN(INDEX('Providers'!$A$4:$A$503,354))=0,"",INDEX('Providers'!$A$4:$A$503,354))</f>
        <v/>
      </c>
      <c r="E4357">
        <f>IF(ISNUMBER(INDEX('Providers'!$AA$4:$AA$503,354)),TEXT(INDEX('Providers'!$AA$4:$AA$503,354),"yyyy-mm-dd"),"")</f>
        <v/>
      </c>
      <c r="F4357">
        <f>"Credentialing"</f>
        <v/>
      </c>
      <c r="G4357">
        <f>""</f>
        <v/>
      </c>
      <c r="H4357">
        <f>"High"</f>
        <v/>
      </c>
      <c r="I4357">
        <f>TRIM(IF(LEN(IF(LEN(INDEX('Providers'!$Z$4:$Z$503,354))=0,"",INDEX('Providers'!$Z$4:$Z$503,354)))=0,"","Payer(s): "&amp;IF(LEN(INDEX('Providers'!$Z$4:$Z$503,354))=0,"",INDEX('Providers'!$Z$4:$Z$503,354))&amp;". "))</f>
        <v/>
      </c>
      <c r="J4357">
        <f>IF(LEN(INDEX('Providers'!$AJ$4:$AJ$503,354))=0,"",INDEX('Providers'!$AJ$4:$AJ$503,354))</f>
        <v/>
      </c>
      <c r="K4357">
        <f>IF(LEN(INDEX('Providers'!$AI$4:$AI$503,354))=0,"",INDEX('Providers'!$AI$4:$AI$503,354))</f>
        <v/>
      </c>
    </row>
    <row r="4358">
      <c r="A4358">
        <f>IF(AND(LEN('Providers'!A358)&gt;0,ISNUMBER('Providers'!AA358)),1,0)</f>
        <v/>
      </c>
      <c r="B4358">
        <f>B4357+A4358</f>
        <v/>
      </c>
      <c r="C4358">
        <f>IF(4355&gt;$B$4503,"",MATCH(4355-0.5,$B$3:$B$4503,1))</f>
        <v/>
      </c>
      <c r="D4358">
        <f>"Payer recredentialing – "&amp;IF(LEN(INDEX('Providers'!$A$4:$A$503,355))=0,"",INDEX('Providers'!$A$4:$A$503,355))</f>
        <v/>
      </c>
      <c r="E4358">
        <f>IF(ISNUMBER(INDEX('Providers'!$AA$4:$AA$503,355)),TEXT(INDEX('Providers'!$AA$4:$AA$503,355),"yyyy-mm-dd"),"")</f>
        <v/>
      </c>
      <c r="F4358">
        <f>"Credentialing"</f>
        <v/>
      </c>
      <c r="G4358">
        <f>""</f>
        <v/>
      </c>
      <c r="H4358">
        <f>"High"</f>
        <v/>
      </c>
      <c r="I4358">
        <f>TRIM(IF(LEN(IF(LEN(INDEX('Providers'!$Z$4:$Z$503,355))=0,"",INDEX('Providers'!$Z$4:$Z$503,355)))=0,"","Payer(s): "&amp;IF(LEN(INDEX('Providers'!$Z$4:$Z$503,355))=0,"",INDEX('Providers'!$Z$4:$Z$503,355))&amp;". "))</f>
        <v/>
      </c>
      <c r="J4358">
        <f>IF(LEN(INDEX('Providers'!$AJ$4:$AJ$503,355))=0,"",INDEX('Providers'!$AJ$4:$AJ$503,355))</f>
        <v/>
      </c>
      <c r="K4358">
        <f>IF(LEN(INDEX('Providers'!$AI$4:$AI$503,355))=0,"",INDEX('Providers'!$AI$4:$AI$503,355))</f>
        <v/>
      </c>
    </row>
    <row r="4359">
      <c r="A4359">
        <f>IF(AND(LEN('Providers'!A359)&gt;0,ISNUMBER('Providers'!AA359)),1,0)</f>
        <v/>
      </c>
      <c r="B4359">
        <f>B4358+A4359</f>
        <v/>
      </c>
      <c r="C4359">
        <f>IF(4356&gt;$B$4503,"",MATCH(4356-0.5,$B$3:$B$4503,1))</f>
        <v/>
      </c>
      <c r="D4359">
        <f>"Payer recredentialing – "&amp;IF(LEN(INDEX('Providers'!$A$4:$A$503,356))=0,"",INDEX('Providers'!$A$4:$A$503,356))</f>
        <v/>
      </c>
      <c r="E4359">
        <f>IF(ISNUMBER(INDEX('Providers'!$AA$4:$AA$503,356)),TEXT(INDEX('Providers'!$AA$4:$AA$503,356),"yyyy-mm-dd"),"")</f>
        <v/>
      </c>
      <c r="F4359">
        <f>"Credentialing"</f>
        <v/>
      </c>
      <c r="G4359">
        <f>""</f>
        <v/>
      </c>
      <c r="H4359">
        <f>"High"</f>
        <v/>
      </c>
      <c r="I4359">
        <f>TRIM(IF(LEN(IF(LEN(INDEX('Providers'!$Z$4:$Z$503,356))=0,"",INDEX('Providers'!$Z$4:$Z$503,356)))=0,"","Payer(s): "&amp;IF(LEN(INDEX('Providers'!$Z$4:$Z$503,356))=0,"",INDEX('Providers'!$Z$4:$Z$503,356))&amp;". "))</f>
        <v/>
      </c>
      <c r="J4359">
        <f>IF(LEN(INDEX('Providers'!$AJ$4:$AJ$503,356))=0,"",INDEX('Providers'!$AJ$4:$AJ$503,356))</f>
        <v/>
      </c>
      <c r="K4359">
        <f>IF(LEN(INDEX('Providers'!$AI$4:$AI$503,356))=0,"",INDEX('Providers'!$AI$4:$AI$503,356))</f>
        <v/>
      </c>
    </row>
    <row r="4360">
      <c r="A4360">
        <f>IF(AND(LEN('Providers'!A360)&gt;0,ISNUMBER('Providers'!AA360)),1,0)</f>
        <v/>
      </c>
      <c r="B4360">
        <f>B4359+A4360</f>
        <v/>
      </c>
      <c r="C4360">
        <f>IF(4357&gt;$B$4503,"",MATCH(4357-0.5,$B$3:$B$4503,1))</f>
        <v/>
      </c>
      <c r="D4360">
        <f>"Payer recredentialing – "&amp;IF(LEN(INDEX('Providers'!$A$4:$A$503,357))=0,"",INDEX('Providers'!$A$4:$A$503,357))</f>
        <v/>
      </c>
      <c r="E4360">
        <f>IF(ISNUMBER(INDEX('Providers'!$AA$4:$AA$503,357)),TEXT(INDEX('Providers'!$AA$4:$AA$503,357),"yyyy-mm-dd"),"")</f>
        <v/>
      </c>
      <c r="F4360">
        <f>"Credentialing"</f>
        <v/>
      </c>
      <c r="G4360">
        <f>""</f>
        <v/>
      </c>
      <c r="H4360">
        <f>"High"</f>
        <v/>
      </c>
      <c r="I4360">
        <f>TRIM(IF(LEN(IF(LEN(INDEX('Providers'!$Z$4:$Z$503,357))=0,"",INDEX('Providers'!$Z$4:$Z$503,357)))=0,"","Payer(s): "&amp;IF(LEN(INDEX('Providers'!$Z$4:$Z$503,357))=0,"",INDEX('Providers'!$Z$4:$Z$503,357))&amp;". "))</f>
        <v/>
      </c>
      <c r="J4360">
        <f>IF(LEN(INDEX('Providers'!$AJ$4:$AJ$503,357))=0,"",INDEX('Providers'!$AJ$4:$AJ$503,357))</f>
        <v/>
      </c>
      <c r="K4360">
        <f>IF(LEN(INDEX('Providers'!$AI$4:$AI$503,357))=0,"",INDEX('Providers'!$AI$4:$AI$503,357))</f>
        <v/>
      </c>
    </row>
    <row r="4361">
      <c r="A4361">
        <f>IF(AND(LEN('Providers'!A361)&gt;0,ISNUMBER('Providers'!AA361)),1,0)</f>
        <v/>
      </c>
      <c r="B4361">
        <f>B4360+A4361</f>
        <v/>
      </c>
      <c r="C4361">
        <f>IF(4358&gt;$B$4503,"",MATCH(4358-0.5,$B$3:$B$4503,1))</f>
        <v/>
      </c>
      <c r="D4361">
        <f>"Payer recredentialing – "&amp;IF(LEN(INDEX('Providers'!$A$4:$A$503,358))=0,"",INDEX('Providers'!$A$4:$A$503,358))</f>
        <v/>
      </c>
      <c r="E4361">
        <f>IF(ISNUMBER(INDEX('Providers'!$AA$4:$AA$503,358)),TEXT(INDEX('Providers'!$AA$4:$AA$503,358),"yyyy-mm-dd"),"")</f>
        <v/>
      </c>
      <c r="F4361">
        <f>"Credentialing"</f>
        <v/>
      </c>
      <c r="G4361">
        <f>""</f>
        <v/>
      </c>
      <c r="H4361">
        <f>"High"</f>
        <v/>
      </c>
      <c r="I4361">
        <f>TRIM(IF(LEN(IF(LEN(INDEX('Providers'!$Z$4:$Z$503,358))=0,"",INDEX('Providers'!$Z$4:$Z$503,358)))=0,"","Payer(s): "&amp;IF(LEN(INDEX('Providers'!$Z$4:$Z$503,358))=0,"",INDEX('Providers'!$Z$4:$Z$503,358))&amp;". "))</f>
        <v/>
      </c>
      <c r="J4361">
        <f>IF(LEN(INDEX('Providers'!$AJ$4:$AJ$503,358))=0,"",INDEX('Providers'!$AJ$4:$AJ$503,358))</f>
        <v/>
      </c>
      <c r="K4361">
        <f>IF(LEN(INDEX('Providers'!$AI$4:$AI$503,358))=0,"",INDEX('Providers'!$AI$4:$AI$503,358))</f>
        <v/>
      </c>
    </row>
    <row r="4362">
      <c r="A4362">
        <f>IF(AND(LEN('Providers'!A362)&gt;0,ISNUMBER('Providers'!AA362)),1,0)</f>
        <v/>
      </c>
      <c r="B4362">
        <f>B4361+A4362</f>
        <v/>
      </c>
      <c r="C4362">
        <f>IF(4359&gt;$B$4503,"",MATCH(4359-0.5,$B$3:$B$4503,1))</f>
        <v/>
      </c>
      <c r="D4362">
        <f>"Payer recredentialing – "&amp;IF(LEN(INDEX('Providers'!$A$4:$A$503,359))=0,"",INDEX('Providers'!$A$4:$A$503,359))</f>
        <v/>
      </c>
      <c r="E4362">
        <f>IF(ISNUMBER(INDEX('Providers'!$AA$4:$AA$503,359)),TEXT(INDEX('Providers'!$AA$4:$AA$503,359),"yyyy-mm-dd"),"")</f>
        <v/>
      </c>
      <c r="F4362">
        <f>"Credentialing"</f>
        <v/>
      </c>
      <c r="G4362">
        <f>""</f>
        <v/>
      </c>
      <c r="H4362">
        <f>"High"</f>
        <v/>
      </c>
      <c r="I4362">
        <f>TRIM(IF(LEN(IF(LEN(INDEX('Providers'!$Z$4:$Z$503,359))=0,"",INDEX('Providers'!$Z$4:$Z$503,359)))=0,"","Payer(s): "&amp;IF(LEN(INDEX('Providers'!$Z$4:$Z$503,359))=0,"",INDEX('Providers'!$Z$4:$Z$503,359))&amp;". "))</f>
        <v/>
      </c>
      <c r="J4362">
        <f>IF(LEN(INDEX('Providers'!$AJ$4:$AJ$503,359))=0,"",INDEX('Providers'!$AJ$4:$AJ$503,359))</f>
        <v/>
      </c>
      <c r="K4362">
        <f>IF(LEN(INDEX('Providers'!$AI$4:$AI$503,359))=0,"",INDEX('Providers'!$AI$4:$AI$503,359))</f>
        <v/>
      </c>
    </row>
    <row r="4363">
      <c r="A4363">
        <f>IF(AND(LEN('Providers'!A363)&gt;0,ISNUMBER('Providers'!AA363)),1,0)</f>
        <v/>
      </c>
      <c r="B4363">
        <f>B4362+A4363</f>
        <v/>
      </c>
      <c r="C4363">
        <f>IF(4360&gt;$B$4503,"",MATCH(4360-0.5,$B$3:$B$4503,1))</f>
        <v/>
      </c>
      <c r="D4363">
        <f>"Payer recredentialing – "&amp;IF(LEN(INDEX('Providers'!$A$4:$A$503,360))=0,"",INDEX('Providers'!$A$4:$A$503,360))</f>
        <v/>
      </c>
      <c r="E4363">
        <f>IF(ISNUMBER(INDEX('Providers'!$AA$4:$AA$503,360)),TEXT(INDEX('Providers'!$AA$4:$AA$503,360),"yyyy-mm-dd"),"")</f>
        <v/>
      </c>
      <c r="F4363">
        <f>"Credentialing"</f>
        <v/>
      </c>
      <c r="G4363">
        <f>""</f>
        <v/>
      </c>
      <c r="H4363">
        <f>"High"</f>
        <v/>
      </c>
      <c r="I4363">
        <f>TRIM(IF(LEN(IF(LEN(INDEX('Providers'!$Z$4:$Z$503,360))=0,"",INDEX('Providers'!$Z$4:$Z$503,360)))=0,"","Payer(s): "&amp;IF(LEN(INDEX('Providers'!$Z$4:$Z$503,360))=0,"",INDEX('Providers'!$Z$4:$Z$503,360))&amp;". "))</f>
        <v/>
      </c>
      <c r="J4363">
        <f>IF(LEN(INDEX('Providers'!$AJ$4:$AJ$503,360))=0,"",INDEX('Providers'!$AJ$4:$AJ$503,360))</f>
        <v/>
      </c>
      <c r="K4363">
        <f>IF(LEN(INDEX('Providers'!$AI$4:$AI$503,360))=0,"",INDEX('Providers'!$AI$4:$AI$503,360))</f>
        <v/>
      </c>
    </row>
    <row r="4364">
      <c r="A4364">
        <f>IF(AND(LEN('Providers'!A364)&gt;0,ISNUMBER('Providers'!AA364)),1,0)</f>
        <v/>
      </c>
      <c r="B4364">
        <f>B4363+A4364</f>
        <v/>
      </c>
      <c r="C4364">
        <f>IF(4361&gt;$B$4503,"",MATCH(4361-0.5,$B$3:$B$4503,1))</f>
        <v/>
      </c>
      <c r="D4364">
        <f>"Payer recredentialing – "&amp;IF(LEN(INDEX('Providers'!$A$4:$A$503,361))=0,"",INDEX('Providers'!$A$4:$A$503,361))</f>
        <v/>
      </c>
      <c r="E4364">
        <f>IF(ISNUMBER(INDEX('Providers'!$AA$4:$AA$503,361)),TEXT(INDEX('Providers'!$AA$4:$AA$503,361),"yyyy-mm-dd"),"")</f>
        <v/>
      </c>
      <c r="F4364">
        <f>"Credentialing"</f>
        <v/>
      </c>
      <c r="G4364">
        <f>""</f>
        <v/>
      </c>
      <c r="H4364">
        <f>"High"</f>
        <v/>
      </c>
      <c r="I4364">
        <f>TRIM(IF(LEN(IF(LEN(INDEX('Providers'!$Z$4:$Z$503,361))=0,"",INDEX('Providers'!$Z$4:$Z$503,361)))=0,"","Payer(s): "&amp;IF(LEN(INDEX('Providers'!$Z$4:$Z$503,361))=0,"",INDEX('Providers'!$Z$4:$Z$503,361))&amp;". "))</f>
        <v/>
      </c>
      <c r="J4364">
        <f>IF(LEN(INDEX('Providers'!$AJ$4:$AJ$503,361))=0,"",INDEX('Providers'!$AJ$4:$AJ$503,361))</f>
        <v/>
      </c>
      <c r="K4364">
        <f>IF(LEN(INDEX('Providers'!$AI$4:$AI$503,361))=0,"",INDEX('Providers'!$AI$4:$AI$503,361))</f>
        <v/>
      </c>
    </row>
    <row r="4365">
      <c r="A4365">
        <f>IF(AND(LEN('Providers'!A365)&gt;0,ISNUMBER('Providers'!AA365)),1,0)</f>
        <v/>
      </c>
      <c r="B4365">
        <f>B4364+A4365</f>
        <v/>
      </c>
      <c r="C4365">
        <f>IF(4362&gt;$B$4503,"",MATCH(4362-0.5,$B$3:$B$4503,1))</f>
        <v/>
      </c>
      <c r="D4365">
        <f>"Payer recredentialing – "&amp;IF(LEN(INDEX('Providers'!$A$4:$A$503,362))=0,"",INDEX('Providers'!$A$4:$A$503,362))</f>
        <v/>
      </c>
      <c r="E4365">
        <f>IF(ISNUMBER(INDEX('Providers'!$AA$4:$AA$503,362)),TEXT(INDEX('Providers'!$AA$4:$AA$503,362),"yyyy-mm-dd"),"")</f>
        <v/>
      </c>
      <c r="F4365">
        <f>"Credentialing"</f>
        <v/>
      </c>
      <c r="G4365">
        <f>""</f>
        <v/>
      </c>
      <c r="H4365">
        <f>"High"</f>
        <v/>
      </c>
      <c r="I4365">
        <f>TRIM(IF(LEN(IF(LEN(INDEX('Providers'!$Z$4:$Z$503,362))=0,"",INDEX('Providers'!$Z$4:$Z$503,362)))=0,"","Payer(s): "&amp;IF(LEN(INDEX('Providers'!$Z$4:$Z$503,362))=0,"",INDEX('Providers'!$Z$4:$Z$503,362))&amp;". "))</f>
        <v/>
      </c>
      <c r="J4365">
        <f>IF(LEN(INDEX('Providers'!$AJ$4:$AJ$503,362))=0,"",INDEX('Providers'!$AJ$4:$AJ$503,362))</f>
        <v/>
      </c>
      <c r="K4365">
        <f>IF(LEN(INDEX('Providers'!$AI$4:$AI$503,362))=0,"",INDEX('Providers'!$AI$4:$AI$503,362))</f>
        <v/>
      </c>
    </row>
    <row r="4366">
      <c r="A4366">
        <f>IF(AND(LEN('Providers'!A366)&gt;0,ISNUMBER('Providers'!AA366)),1,0)</f>
        <v/>
      </c>
      <c r="B4366">
        <f>B4365+A4366</f>
        <v/>
      </c>
      <c r="C4366">
        <f>IF(4363&gt;$B$4503,"",MATCH(4363-0.5,$B$3:$B$4503,1))</f>
        <v/>
      </c>
      <c r="D4366">
        <f>"Payer recredentialing – "&amp;IF(LEN(INDEX('Providers'!$A$4:$A$503,363))=0,"",INDEX('Providers'!$A$4:$A$503,363))</f>
        <v/>
      </c>
      <c r="E4366">
        <f>IF(ISNUMBER(INDEX('Providers'!$AA$4:$AA$503,363)),TEXT(INDEX('Providers'!$AA$4:$AA$503,363),"yyyy-mm-dd"),"")</f>
        <v/>
      </c>
      <c r="F4366">
        <f>"Credentialing"</f>
        <v/>
      </c>
      <c r="G4366">
        <f>""</f>
        <v/>
      </c>
      <c r="H4366">
        <f>"High"</f>
        <v/>
      </c>
      <c r="I4366">
        <f>TRIM(IF(LEN(IF(LEN(INDEX('Providers'!$Z$4:$Z$503,363))=0,"",INDEX('Providers'!$Z$4:$Z$503,363)))=0,"","Payer(s): "&amp;IF(LEN(INDEX('Providers'!$Z$4:$Z$503,363))=0,"",INDEX('Providers'!$Z$4:$Z$503,363))&amp;". "))</f>
        <v/>
      </c>
      <c r="J4366">
        <f>IF(LEN(INDEX('Providers'!$AJ$4:$AJ$503,363))=0,"",INDEX('Providers'!$AJ$4:$AJ$503,363))</f>
        <v/>
      </c>
      <c r="K4366">
        <f>IF(LEN(INDEX('Providers'!$AI$4:$AI$503,363))=0,"",INDEX('Providers'!$AI$4:$AI$503,363))</f>
        <v/>
      </c>
    </row>
    <row r="4367">
      <c r="A4367">
        <f>IF(AND(LEN('Providers'!A367)&gt;0,ISNUMBER('Providers'!AA367)),1,0)</f>
        <v/>
      </c>
      <c r="B4367">
        <f>B4366+A4367</f>
        <v/>
      </c>
      <c r="C4367">
        <f>IF(4364&gt;$B$4503,"",MATCH(4364-0.5,$B$3:$B$4503,1))</f>
        <v/>
      </c>
      <c r="D4367">
        <f>"Payer recredentialing – "&amp;IF(LEN(INDEX('Providers'!$A$4:$A$503,364))=0,"",INDEX('Providers'!$A$4:$A$503,364))</f>
        <v/>
      </c>
      <c r="E4367">
        <f>IF(ISNUMBER(INDEX('Providers'!$AA$4:$AA$503,364)),TEXT(INDEX('Providers'!$AA$4:$AA$503,364),"yyyy-mm-dd"),"")</f>
        <v/>
      </c>
      <c r="F4367">
        <f>"Credentialing"</f>
        <v/>
      </c>
      <c r="G4367">
        <f>""</f>
        <v/>
      </c>
      <c r="H4367">
        <f>"High"</f>
        <v/>
      </c>
      <c r="I4367">
        <f>TRIM(IF(LEN(IF(LEN(INDEX('Providers'!$Z$4:$Z$503,364))=0,"",INDEX('Providers'!$Z$4:$Z$503,364)))=0,"","Payer(s): "&amp;IF(LEN(INDEX('Providers'!$Z$4:$Z$503,364))=0,"",INDEX('Providers'!$Z$4:$Z$503,364))&amp;". "))</f>
        <v/>
      </c>
      <c r="J4367">
        <f>IF(LEN(INDEX('Providers'!$AJ$4:$AJ$503,364))=0,"",INDEX('Providers'!$AJ$4:$AJ$503,364))</f>
        <v/>
      </c>
      <c r="K4367">
        <f>IF(LEN(INDEX('Providers'!$AI$4:$AI$503,364))=0,"",INDEX('Providers'!$AI$4:$AI$503,364))</f>
        <v/>
      </c>
    </row>
    <row r="4368">
      <c r="A4368">
        <f>IF(AND(LEN('Providers'!A368)&gt;0,ISNUMBER('Providers'!AA368)),1,0)</f>
        <v/>
      </c>
      <c r="B4368">
        <f>B4367+A4368</f>
        <v/>
      </c>
      <c r="C4368">
        <f>IF(4365&gt;$B$4503,"",MATCH(4365-0.5,$B$3:$B$4503,1))</f>
        <v/>
      </c>
      <c r="D4368">
        <f>"Payer recredentialing – "&amp;IF(LEN(INDEX('Providers'!$A$4:$A$503,365))=0,"",INDEX('Providers'!$A$4:$A$503,365))</f>
        <v/>
      </c>
      <c r="E4368">
        <f>IF(ISNUMBER(INDEX('Providers'!$AA$4:$AA$503,365)),TEXT(INDEX('Providers'!$AA$4:$AA$503,365),"yyyy-mm-dd"),"")</f>
        <v/>
      </c>
      <c r="F4368">
        <f>"Credentialing"</f>
        <v/>
      </c>
      <c r="G4368">
        <f>""</f>
        <v/>
      </c>
      <c r="H4368">
        <f>"High"</f>
        <v/>
      </c>
      <c r="I4368">
        <f>TRIM(IF(LEN(IF(LEN(INDEX('Providers'!$Z$4:$Z$503,365))=0,"",INDEX('Providers'!$Z$4:$Z$503,365)))=0,"","Payer(s): "&amp;IF(LEN(INDEX('Providers'!$Z$4:$Z$503,365))=0,"",INDEX('Providers'!$Z$4:$Z$503,365))&amp;". "))</f>
        <v/>
      </c>
      <c r="J4368">
        <f>IF(LEN(INDEX('Providers'!$AJ$4:$AJ$503,365))=0,"",INDEX('Providers'!$AJ$4:$AJ$503,365))</f>
        <v/>
      </c>
      <c r="K4368">
        <f>IF(LEN(INDEX('Providers'!$AI$4:$AI$503,365))=0,"",INDEX('Providers'!$AI$4:$AI$503,365))</f>
        <v/>
      </c>
    </row>
    <row r="4369">
      <c r="A4369">
        <f>IF(AND(LEN('Providers'!A369)&gt;0,ISNUMBER('Providers'!AA369)),1,0)</f>
        <v/>
      </c>
      <c r="B4369">
        <f>B4368+A4369</f>
        <v/>
      </c>
      <c r="C4369">
        <f>IF(4366&gt;$B$4503,"",MATCH(4366-0.5,$B$3:$B$4503,1))</f>
        <v/>
      </c>
      <c r="D4369">
        <f>"Payer recredentialing – "&amp;IF(LEN(INDEX('Providers'!$A$4:$A$503,366))=0,"",INDEX('Providers'!$A$4:$A$503,366))</f>
        <v/>
      </c>
      <c r="E4369">
        <f>IF(ISNUMBER(INDEX('Providers'!$AA$4:$AA$503,366)),TEXT(INDEX('Providers'!$AA$4:$AA$503,366),"yyyy-mm-dd"),"")</f>
        <v/>
      </c>
      <c r="F4369">
        <f>"Credentialing"</f>
        <v/>
      </c>
      <c r="G4369">
        <f>""</f>
        <v/>
      </c>
      <c r="H4369">
        <f>"High"</f>
        <v/>
      </c>
      <c r="I4369">
        <f>TRIM(IF(LEN(IF(LEN(INDEX('Providers'!$Z$4:$Z$503,366))=0,"",INDEX('Providers'!$Z$4:$Z$503,366)))=0,"","Payer(s): "&amp;IF(LEN(INDEX('Providers'!$Z$4:$Z$503,366))=0,"",INDEX('Providers'!$Z$4:$Z$503,366))&amp;". "))</f>
        <v/>
      </c>
      <c r="J4369">
        <f>IF(LEN(INDEX('Providers'!$AJ$4:$AJ$503,366))=0,"",INDEX('Providers'!$AJ$4:$AJ$503,366))</f>
        <v/>
      </c>
      <c r="K4369">
        <f>IF(LEN(INDEX('Providers'!$AI$4:$AI$503,366))=0,"",INDEX('Providers'!$AI$4:$AI$503,366))</f>
        <v/>
      </c>
    </row>
    <row r="4370">
      <c r="A4370">
        <f>IF(AND(LEN('Providers'!A370)&gt;0,ISNUMBER('Providers'!AA370)),1,0)</f>
        <v/>
      </c>
      <c r="B4370">
        <f>B4369+A4370</f>
        <v/>
      </c>
      <c r="C4370">
        <f>IF(4367&gt;$B$4503,"",MATCH(4367-0.5,$B$3:$B$4503,1))</f>
        <v/>
      </c>
      <c r="D4370">
        <f>"Payer recredentialing – "&amp;IF(LEN(INDEX('Providers'!$A$4:$A$503,367))=0,"",INDEX('Providers'!$A$4:$A$503,367))</f>
        <v/>
      </c>
      <c r="E4370">
        <f>IF(ISNUMBER(INDEX('Providers'!$AA$4:$AA$503,367)),TEXT(INDEX('Providers'!$AA$4:$AA$503,367),"yyyy-mm-dd"),"")</f>
        <v/>
      </c>
      <c r="F4370">
        <f>"Credentialing"</f>
        <v/>
      </c>
      <c r="G4370">
        <f>""</f>
        <v/>
      </c>
      <c r="H4370">
        <f>"High"</f>
        <v/>
      </c>
      <c r="I4370">
        <f>TRIM(IF(LEN(IF(LEN(INDEX('Providers'!$Z$4:$Z$503,367))=0,"",INDEX('Providers'!$Z$4:$Z$503,367)))=0,"","Payer(s): "&amp;IF(LEN(INDEX('Providers'!$Z$4:$Z$503,367))=0,"",INDEX('Providers'!$Z$4:$Z$503,367))&amp;". "))</f>
        <v/>
      </c>
      <c r="J4370">
        <f>IF(LEN(INDEX('Providers'!$AJ$4:$AJ$503,367))=0,"",INDEX('Providers'!$AJ$4:$AJ$503,367))</f>
        <v/>
      </c>
      <c r="K4370">
        <f>IF(LEN(INDEX('Providers'!$AI$4:$AI$503,367))=0,"",INDEX('Providers'!$AI$4:$AI$503,367))</f>
        <v/>
      </c>
    </row>
    <row r="4371">
      <c r="A4371">
        <f>IF(AND(LEN('Providers'!A371)&gt;0,ISNUMBER('Providers'!AA371)),1,0)</f>
        <v/>
      </c>
      <c r="B4371">
        <f>B4370+A4371</f>
        <v/>
      </c>
      <c r="C4371">
        <f>IF(4368&gt;$B$4503,"",MATCH(4368-0.5,$B$3:$B$4503,1))</f>
        <v/>
      </c>
      <c r="D4371">
        <f>"Payer recredentialing – "&amp;IF(LEN(INDEX('Providers'!$A$4:$A$503,368))=0,"",INDEX('Providers'!$A$4:$A$503,368))</f>
        <v/>
      </c>
      <c r="E4371">
        <f>IF(ISNUMBER(INDEX('Providers'!$AA$4:$AA$503,368)),TEXT(INDEX('Providers'!$AA$4:$AA$503,368),"yyyy-mm-dd"),"")</f>
        <v/>
      </c>
      <c r="F4371">
        <f>"Credentialing"</f>
        <v/>
      </c>
      <c r="G4371">
        <f>""</f>
        <v/>
      </c>
      <c r="H4371">
        <f>"High"</f>
        <v/>
      </c>
      <c r="I4371">
        <f>TRIM(IF(LEN(IF(LEN(INDEX('Providers'!$Z$4:$Z$503,368))=0,"",INDEX('Providers'!$Z$4:$Z$503,368)))=0,"","Payer(s): "&amp;IF(LEN(INDEX('Providers'!$Z$4:$Z$503,368))=0,"",INDEX('Providers'!$Z$4:$Z$503,368))&amp;". "))</f>
        <v/>
      </c>
      <c r="J4371">
        <f>IF(LEN(INDEX('Providers'!$AJ$4:$AJ$503,368))=0,"",INDEX('Providers'!$AJ$4:$AJ$503,368))</f>
        <v/>
      </c>
      <c r="K4371">
        <f>IF(LEN(INDEX('Providers'!$AI$4:$AI$503,368))=0,"",INDEX('Providers'!$AI$4:$AI$503,368))</f>
        <v/>
      </c>
    </row>
    <row r="4372">
      <c r="A4372">
        <f>IF(AND(LEN('Providers'!A372)&gt;0,ISNUMBER('Providers'!AA372)),1,0)</f>
        <v/>
      </c>
      <c r="B4372">
        <f>B4371+A4372</f>
        <v/>
      </c>
      <c r="C4372">
        <f>IF(4369&gt;$B$4503,"",MATCH(4369-0.5,$B$3:$B$4503,1))</f>
        <v/>
      </c>
      <c r="D4372">
        <f>"Payer recredentialing – "&amp;IF(LEN(INDEX('Providers'!$A$4:$A$503,369))=0,"",INDEX('Providers'!$A$4:$A$503,369))</f>
        <v/>
      </c>
      <c r="E4372">
        <f>IF(ISNUMBER(INDEX('Providers'!$AA$4:$AA$503,369)),TEXT(INDEX('Providers'!$AA$4:$AA$503,369),"yyyy-mm-dd"),"")</f>
        <v/>
      </c>
      <c r="F4372">
        <f>"Credentialing"</f>
        <v/>
      </c>
      <c r="G4372">
        <f>""</f>
        <v/>
      </c>
      <c r="H4372">
        <f>"High"</f>
        <v/>
      </c>
      <c r="I4372">
        <f>TRIM(IF(LEN(IF(LEN(INDEX('Providers'!$Z$4:$Z$503,369))=0,"",INDEX('Providers'!$Z$4:$Z$503,369)))=0,"","Payer(s): "&amp;IF(LEN(INDEX('Providers'!$Z$4:$Z$503,369))=0,"",INDEX('Providers'!$Z$4:$Z$503,369))&amp;". "))</f>
        <v/>
      </c>
      <c r="J4372">
        <f>IF(LEN(INDEX('Providers'!$AJ$4:$AJ$503,369))=0,"",INDEX('Providers'!$AJ$4:$AJ$503,369))</f>
        <v/>
      </c>
      <c r="K4372">
        <f>IF(LEN(INDEX('Providers'!$AI$4:$AI$503,369))=0,"",INDEX('Providers'!$AI$4:$AI$503,369))</f>
        <v/>
      </c>
    </row>
    <row r="4373">
      <c r="A4373">
        <f>IF(AND(LEN('Providers'!A373)&gt;0,ISNUMBER('Providers'!AA373)),1,0)</f>
        <v/>
      </c>
      <c r="B4373">
        <f>B4372+A4373</f>
        <v/>
      </c>
      <c r="C4373">
        <f>IF(4370&gt;$B$4503,"",MATCH(4370-0.5,$B$3:$B$4503,1))</f>
        <v/>
      </c>
      <c r="D4373">
        <f>"Payer recredentialing – "&amp;IF(LEN(INDEX('Providers'!$A$4:$A$503,370))=0,"",INDEX('Providers'!$A$4:$A$503,370))</f>
        <v/>
      </c>
      <c r="E4373">
        <f>IF(ISNUMBER(INDEX('Providers'!$AA$4:$AA$503,370)),TEXT(INDEX('Providers'!$AA$4:$AA$503,370),"yyyy-mm-dd"),"")</f>
        <v/>
      </c>
      <c r="F4373">
        <f>"Credentialing"</f>
        <v/>
      </c>
      <c r="G4373">
        <f>""</f>
        <v/>
      </c>
      <c r="H4373">
        <f>"High"</f>
        <v/>
      </c>
      <c r="I4373">
        <f>TRIM(IF(LEN(IF(LEN(INDEX('Providers'!$Z$4:$Z$503,370))=0,"",INDEX('Providers'!$Z$4:$Z$503,370)))=0,"","Payer(s): "&amp;IF(LEN(INDEX('Providers'!$Z$4:$Z$503,370))=0,"",INDEX('Providers'!$Z$4:$Z$503,370))&amp;". "))</f>
        <v/>
      </c>
      <c r="J4373">
        <f>IF(LEN(INDEX('Providers'!$AJ$4:$AJ$503,370))=0,"",INDEX('Providers'!$AJ$4:$AJ$503,370))</f>
        <v/>
      </c>
      <c r="K4373">
        <f>IF(LEN(INDEX('Providers'!$AI$4:$AI$503,370))=0,"",INDEX('Providers'!$AI$4:$AI$503,370))</f>
        <v/>
      </c>
    </row>
    <row r="4374">
      <c r="A4374">
        <f>IF(AND(LEN('Providers'!A374)&gt;0,ISNUMBER('Providers'!AA374)),1,0)</f>
        <v/>
      </c>
      <c r="B4374">
        <f>B4373+A4374</f>
        <v/>
      </c>
      <c r="C4374">
        <f>IF(4371&gt;$B$4503,"",MATCH(4371-0.5,$B$3:$B$4503,1))</f>
        <v/>
      </c>
      <c r="D4374">
        <f>"Payer recredentialing – "&amp;IF(LEN(INDEX('Providers'!$A$4:$A$503,371))=0,"",INDEX('Providers'!$A$4:$A$503,371))</f>
        <v/>
      </c>
      <c r="E4374">
        <f>IF(ISNUMBER(INDEX('Providers'!$AA$4:$AA$503,371)),TEXT(INDEX('Providers'!$AA$4:$AA$503,371),"yyyy-mm-dd"),"")</f>
        <v/>
      </c>
      <c r="F4374">
        <f>"Credentialing"</f>
        <v/>
      </c>
      <c r="G4374">
        <f>""</f>
        <v/>
      </c>
      <c r="H4374">
        <f>"High"</f>
        <v/>
      </c>
      <c r="I4374">
        <f>TRIM(IF(LEN(IF(LEN(INDEX('Providers'!$Z$4:$Z$503,371))=0,"",INDEX('Providers'!$Z$4:$Z$503,371)))=0,"","Payer(s): "&amp;IF(LEN(INDEX('Providers'!$Z$4:$Z$503,371))=0,"",INDEX('Providers'!$Z$4:$Z$503,371))&amp;". "))</f>
        <v/>
      </c>
      <c r="J4374">
        <f>IF(LEN(INDEX('Providers'!$AJ$4:$AJ$503,371))=0,"",INDEX('Providers'!$AJ$4:$AJ$503,371))</f>
        <v/>
      </c>
      <c r="K4374">
        <f>IF(LEN(INDEX('Providers'!$AI$4:$AI$503,371))=0,"",INDEX('Providers'!$AI$4:$AI$503,371))</f>
        <v/>
      </c>
    </row>
    <row r="4375">
      <c r="A4375">
        <f>IF(AND(LEN('Providers'!A375)&gt;0,ISNUMBER('Providers'!AA375)),1,0)</f>
        <v/>
      </c>
      <c r="B4375">
        <f>B4374+A4375</f>
        <v/>
      </c>
      <c r="C4375">
        <f>IF(4372&gt;$B$4503,"",MATCH(4372-0.5,$B$3:$B$4503,1))</f>
        <v/>
      </c>
      <c r="D4375">
        <f>"Payer recredentialing – "&amp;IF(LEN(INDEX('Providers'!$A$4:$A$503,372))=0,"",INDEX('Providers'!$A$4:$A$503,372))</f>
        <v/>
      </c>
      <c r="E4375">
        <f>IF(ISNUMBER(INDEX('Providers'!$AA$4:$AA$503,372)),TEXT(INDEX('Providers'!$AA$4:$AA$503,372),"yyyy-mm-dd"),"")</f>
        <v/>
      </c>
      <c r="F4375">
        <f>"Credentialing"</f>
        <v/>
      </c>
      <c r="G4375">
        <f>""</f>
        <v/>
      </c>
      <c r="H4375">
        <f>"High"</f>
        <v/>
      </c>
      <c r="I4375">
        <f>TRIM(IF(LEN(IF(LEN(INDEX('Providers'!$Z$4:$Z$503,372))=0,"",INDEX('Providers'!$Z$4:$Z$503,372)))=0,"","Payer(s): "&amp;IF(LEN(INDEX('Providers'!$Z$4:$Z$503,372))=0,"",INDEX('Providers'!$Z$4:$Z$503,372))&amp;". "))</f>
        <v/>
      </c>
      <c r="J4375">
        <f>IF(LEN(INDEX('Providers'!$AJ$4:$AJ$503,372))=0,"",INDEX('Providers'!$AJ$4:$AJ$503,372))</f>
        <v/>
      </c>
      <c r="K4375">
        <f>IF(LEN(INDEX('Providers'!$AI$4:$AI$503,372))=0,"",INDEX('Providers'!$AI$4:$AI$503,372))</f>
        <v/>
      </c>
    </row>
    <row r="4376">
      <c r="A4376">
        <f>IF(AND(LEN('Providers'!A376)&gt;0,ISNUMBER('Providers'!AA376)),1,0)</f>
        <v/>
      </c>
      <c r="B4376">
        <f>B4375+A4376</f>
        <v/>
      </c>
      <c r="C4376">
        <f>IF(4373&gt;$B$4503,"",MATCH(4373-0.5,$B$3:$B$4503,1))</f>
        <v/>
      </c>
      <c r="D4376">
        <f>"Payer recredentialing – "&amp;IF(LEN(INDEX('Providers'!$A$4:$A$503,373))=0,"",INDEX('Providers'!$A$4:$A$503,373))</f>
        <v/>
      </c>
      <c r="E4376">
        <f>IF(ISNUMBER(INDEX('Providers'!$AA$4:$AA$503,373)),TEXT(INDEX('Providers'!$AA$4:$AA$503,373),"yyyy-mm-dd"),"")</f>
        <v/>
      </c>
      <c r="F4376">
        <f>"Credentialing"</f>
        <v/>
      </c>
      <c r="G4376">
        <f>""</f>
        <v/>
      </c>
      <c r="H4376">
        <f>"High"</f>
        <v/>
      </c>
      <c r="I4376">
        <f>TRIM(IF(LEN(IF(LEN(INDEX('Providers'!$Z$4:$Z$503,373))=0,"",INDEX('Providers'!$Z$4:$Z$503,373)))=0,"","Payer(s): "&amp;IF(LEN(INDEX('Providers'!$Z$4:$Z$503,373))=0,"",INDEX('Providers'!$Z$4:$Z$503,373))&amp;". "))</f>
        <v/>
      </c>
      <c r="J4376">
        <f>IF(LEN(INDEX('Providers'!$AJ$4:$AJ$503,373))=0,"",INDEX('Providers'!$AJ$4:$AJ$503,373))</f>
        <v/>
      </c>
      <c r="K4376">
        <f>IF(LEN(INDEX('Providers'!$AI$4:$AI$503,373))=0,"",INDEX('Providers'!$AI$4:$AI$503,373))</f>
        <v/>
      </c>
    </row>
    <row r="4377">
      <c r="A4377">
        <f>IF(AND(LEN('Providers'!A377)&gt;0,ISNUMBER('Providers'!AA377)),1,0)</f>
        <v/>
      </c>
      <c r="B4377">
        <f>B4376+A4377</f>
        <v/>
      </c>
      <c r="C4377">
        <f>IF(4374&gt;$B$4503,"",MATCH(4374-0.5,$B$3:$B$4503,1))</f>
        <v/>
      </c>
      <c r="D4377">
        <f>"Payer recredentialing – "&amp;IF(LEN(INDEX('Providers'!$A$4:$A$503,374))=0,"",INDEX('Providers'!$A$4:$A$503,374))</f>
        <v/>
      </c>
      <c r="E4377">
        <f>IF(ISNUMBER(INDEX('Providers'!$AA$4:$AA$503,374)),TEXT(INDEX('Providers'!$AA$4:$AA$503,374),"yyyy-mm-dd"),"")</f>
        <v/>
      </c>
      <c r="F4377">
        <f>"Credentialing"</f>
        <v/>
      </c>
      <c r="G4377">
        <f>""</f>
        <v/>
      </c>
      <c r="H4377">
        <f>"High"</f>
        <v/>
      </c>
      <c r="I4377">
        <f>TRIM(IF(LEN(IF(LEN(INDEX('Providers'!$Z$4:$Z$503,374))=0,"",INDEX('Providers'!$Z$4:$Z$503,374)))=0,"","Payer(s): "&amp;IF(LEN(INDEX('Providers'!$Z$4:$Z$503,374))=0,"",INDEX('Providers'!$Z$4:$Z$503,374))&amp;". "))</f>
        <v/>
      </c>
      <c r="J4377">
        <f>IF(LEN(INDEX('Providers'!$AJ$4:$AJ$503,374))=0,"",INDEX('Providers'!$AJ$4:$AJ$503,374))</f>
        <v/>
      </c>
      <c r="K4377">
        <f>IF(LEN(INDEX('Providers'!$AI$4:$AI$503,374))=0,"",INDEX('Providers'!$AI$4:$AI$503,374))</f>
        <v/>
      </c>
    </row>
    <row r="4378">
      <c r="A4378">
        <f>IF(AND(LEN('Providers'!A378)&gt;0,ISNUMBER('Providers'!AA378)),1,0)</f>
        <v/>
      </c>
      <c r="B4378">
        <f>B4377+A4378</f>
        <v/>
      </c>
      <c r="C4378">
        <f>IF(4375&gt;$B$4503,"",MATCH(4375-0.5,$B$3:$B$4503,1))</f>
        <v/>
      </c>
      <c r="D4378">
        <f>"Payer recredentialing – "&amp;IF(LEN(INDEX('Providers'!$A$4:$A$503,375))=0,"",INDEX('Providers'!$A$4:$A$503,375))</f>
        <v/>
      </c>
      <c r="E4378">
        <f>IF(ISNUMBER(INDEX('Providers'!$AA$4:$AA$503,375)),TEXT(INDEX('Providers'!$AA$4:$AA$503,375),"yyyy-mm-dd"),"")</f>
        <v/>
      </c>
      <c r="F4378">
        <f>"Credentialing"</f>
        <v/>
      </c>
      <c r="G4378">
        <f>""</f>
        <v/>
      </c>
      <c r="H4378">
        <f>"High"</f>
        <v/>
      </c>
      <c r="I4378">
        <f>TRIM(IF(LEN(IF(LEN(INDEX('Providers'!$Z$4:$Z$503,375))=0,"",INDEX('Providers'!$Z$4:$Z$503,375)))=0,"","Payer(s): "&amp;IF(LEN(INDEX('Providers'!$Z$4:$Z$503,375))=0,"",INDEX('Providers'!$Z$4:$Z$503,375))&amp;". "))</f>
        <v/>
      </c>
      <c r="J4378">
        <f>IF(LEN(INDEX('Providers'!$AJ$4:$AJ$503,375))=0,"",INDEX('Providers'!$AJ$4:$AJ$503,375))</f>
        <v/>
      </c>
      <c r="K4378">
        <f>IF(LEN(INDEX('Providers'!$AI$4:$AI$503,375))=0,"",INDEX('Providers'!$AI$4:$AI$503,375))</f>
        <v/>
      </c>
    </row>
    <row r="4379">
      <c r="A4379">
        <f>IF(AND(LEN('Providers'!A379)&gt;0,ISNUMBER('Providers'!AA379)),1,0)</f>
        <v/>
      </c>
      <c r="B4379">
        <f>B4378+A4379</f>
        <v/>
      </c>
      <c r="C4379">
        <f>IF(4376&gt;$B$4503,"",MATCH(4376-0.5,$B$3:$B$4503,1))</f>
        <v/>
      </c>
      <c r="D4379">
        <f>"Payer recredentialing – "&amp;IF(LEN(INDEX('Providers'!$A$4:$A$503,376))=0,"",INDEX('Providers'!$A$4:$A$503,376))</f>
        <v/>
      </c>
      <c r="E4379">
        <f>IF(ISNUMBER(INDEX('Providers'!$AA$4:$AA$503,376)),TEXT(INDEX('Providers'!$AA$4:$AA$503,376),"yyyy-mm-dd"),"")</f>
        <v/>
      </c>
      <c r="F4379">
        <f>"Credentialing"</f>
        <v/>
      </c>
      <c r="G4379">
        <f>""</f>
        <v/>
      </c>
      <c r="H4379">
        <f>"High"</f>
        <v/>
      </c>
      <c r="I4379">
        <f>TRIM(IF(LEN(IF(LEN(INDEX('Providers'!$Z$4:$Z$503,376))=0,"",INDEX('Providers'!$Z$4:$Z$503,376)))=0,"","Payer(s): "&amp;IF(LEN(INDEX('Providers'!$Z$4:$Z$503,376))=0,"",INDEX('Providers'!$Z$4:$Z$503,376))&amp;". "))</f>
        <v/>
      </c>
      <c r="J4379">
        <f>IF(LEN(INDEX('Providers'!$AJ$4:$AJ$503,376))=0,"",INDEX('Providers'!$AJ$4:$AJ$503,376))</f>
        <v/>
      </c>
      <c r="K4379">
        <f>IF(LEN(INDEX('Providers'!$AI$4:$AI$503,376))=0,"",INDEX('Providers'!$AI$4:$AI$503,376))</f>
        <v/>
      </c>
    </row>
    <row r="4380">
      <c r="A4380">
        <f>IF(AND(LEN('Providers'!A380)&gt;0,ISNUMBER('Providers'!AA380)),1,0)</f>
        <v/>
      </c>
      <c r="B4380">
        <f>B4379+A4380</f>
        <v/>
      </c>
      <c r="C4380">
        <f>IF(4377&gt;$B$4503,"",MATCH(4377-0.5,$B$3:$B$4503,1))</f>
        <v/>
      </c>
      <c r="D4380">
        <f>"Payer recredentialing – "&amp;IF(LEN(INDEX('Providers'!$A$4:$A$503,377))=0,"",INDEX('Providers'!$A$4:$A$503,377))</f>
        <v/>
      </c>
      <c r="E4380">
        <f>IF(ISNUMBER(INDEX('Providers'!$AA$4:$AA$503,377)),TEXT(INDEX('Providers'!$AA$4:$AA$503,377),"yyyy-mm-dd"),"")</f>
        <v/>
      </c>
      <c r="F4380">
        <f>"Credentialing"</f>
        <v/>
      </c>
      <c r="G4380">
        <f>""</f>
        <v/>
      </c>
      <c r="H4380">
        <f>"High"</f>
        <v/>
      </c>
      <c r="I4380">
        <f>TRIM(IF(LEN(IF(LEN(INDEX('Providers'!$Z$4:$Z$503,377))=0,"",INDEX('Providers'!$Z$4:$Z$503,377)))=0,"","Payer(s): "&amp;IF(LEN(INDEX('Providers'!$Z$4:$Z$503,377))=0,"",INDEX('Providers'!$Z$4:$Z$503,377))&amp;". "))</f>
        <v/>
      </c>
      <c r="J4380">
        <f>IF(LEN(INDEX('Providers'!$AJ$4:$AJ$503,377))=0,"",INDEX('Providers'!$AJ$4:$AJ$503,377))</f>
        <v/>
      </c>
      <c r="K4380">
        <f>IF(LEN(INDEX('Providers'!$AI$4:$AI$503,377))=0,"",INDEX('Providers'!$AI$4:$AI$503,377))</f>
        <v/>
      </c>
    </row>
    <row r="4381">
      <c r="A4381">
        <f>IF(AND(LEN('Providers'!A381)&gt;0,ISNUMBER('Providers'!AA381)),1,0)</f>
        <v/>
      </c>
      <c r="B4381">
        <f>B4380+A4381</f>
        <v/>
      </c>
      <c r="C4381">
        <f>IF(4378&gt;$B$4503,"",MATCH(4378-0.5,$B$3:$B$4503,1))</f>
        <v/>
      </c>
      <c r="D4381">
        <f>"Payer recredentialing – "&amp;IF(LEN(INDEX('Providers'!$A$4:$A$503,378))=0,"",INDEX('Providers'!$A$4:$A$503,378))</f>
        <v/>
      </c>
      <c r="E4381">
        <f>IF(ISNUMBER(INDEX('Providers'!$AA$4:$AA$503,378)),TEXT(INDEX('Providers'!$AA$4:$AA$503,378),"yyyy-mm-dd"),"")</f>
        <v/>
      </c>
      <c r="F4381">
        <f>"Credentialing"</f>
        <v/>
      </c>
      <c r="G4381">
        <f>""</f>
        <v/>
      </c>
      <c r="H4381">
        <f>"High"</f>
        <v/>
      </c>
      <c r="I4381">
        <f>TRIM(IF(LEN(IF(LEN(INDEX('Providers'!$Z$4:$Z$503,378))=0,"",INDEX('Providers'!$Z$4:$Z$503,378)))=0,"","Payer(s): "&amp;IF(LEN(INDEX('Providers'!$Z$4:$Z$503,378))=0,"",INDEX('Providers'!$Z$4:$Z$503,378))&amp;". "))</f>
        <v/>
      </c>
      <c r="J4381">
        <f>IF(LEN(INDEX('Providers'!$AJ$4:$AJ$503,378))=0,"",INDEX('Providers'!$AJ$4:$AJ$503,378))</f>
        <v/>
      </c>
      <c r="K4381">
        <f>IF(LEN(INDEX('Providers'!$AI$4:$AI$503,378))=0,"",INDEX('Providers'!$AI$4:$AI$503,378))</f>
        <v/>
      </c>
    </row>
    <row r="4382">
      <c r="A4382">
        <f>IF(AND(LEN('Providers'!A382)&gt;0,ISNUMBER('Providers'!AA382)),1,0)</f>
        <v/>
      </c>
      <c r="B4382">
        <f>B4381+A4382</f>
        <v/>
      </c>
      <c r="C4382">
        <f>IF(4379&gt;$B$4503,"",MATCH(4379-0.5,$B$3:$B$4503,1))</f>
        <v/>
      </c>
      <c r="D4382">
        <f>"Payer recredentialing – "&amp;IF(LEN(INDEX('Providers'!$A$4:$A$503,379))=0,"",INDEX('Providers'!$A$4:$A$503,379))</f>
        <v/>
      </c>
      <c r="E4382">
        <f>IF(ISNUMBER(INDEX('Providers'!$AA$4:$AA$503,379)),TEXT(INDEX('Providers'!$AA$4:$AA$503,379),"yyyy-mm-dd"),"")</f>
        <v/>
      </c>
      <c r="F4382">
        <f>"Credentialing"</f>
        <v/>
      </c>
      <c r="G4382">
        <f>""</f>
        <v/>
      </c>
      <c r="H4382">
        <f>"High"</f>
        <v/>
      </c>
      <c r="I4382">
        <f>TRIM(IF(LEN(IF(LEN(INDEX('Providers'!$Z$4:$Z$503,379))=0,"",INDEX('Providers'!$Z$4:$Z$503,379)))=0,"","Payer(s): "&amp;IF(LEN(INDEX('Providers'!$Z$4:$Z$503,379))=0,"",INDEX('Providers'!$Z$4:$Z$503,379))&amp;". "))</f>
        <v/>
      </c>
      <c r="J4382">
        <f>IF(LEN(INDEX('Providers'!$AJ$4:$AJ$503,379))=0,"",INDEX('Providers'!$AJ$4:$AJ$503,379))</f>
        <v/>
      </c>
      <c r="K4382">
        <f>IF(LEN(INDEX('Providers'!$AI$4:$AI$503,379))=0,"",INDEX('Providers'!$AI$4:$AI$503,379))</f>
        <v/>
      </c>
    </row>
    <row r="4383">
      <c r="A4383">
        <f>IF(AND(LEN('Providers'!A383)&gt;0,ISNUMBER('Providers'!AA383)),1,0)</f>
        <v/>
      </c>
      <c r="B4383">
        <f>B4382+A4383</f>
        <v/>
      </c>
      <c r="C4383">
        <f>IF(4380&gt;$B$4503,"",MATCH(4380-0.5,$B$3:$B$4503,1))</f>
        <v/>
      </c>
      <c r="D4383">
        <f>"Payer recredentialing – "&amp;IF(LEN(INDEX('Providers'!$A$4:$A$503,380))=0,"",INDEX('Providers'!$A$4:$A$503,380))</f>
        <v/>
      </c>
      <c r="E4383">
        <f>IF(ISNUMBER(INDEX('Providers'!$AA$4:$AA$503,380)),TEXT(INDEX('Providers'!$AA$4:$AA$503,380),"yyyy-mm-dd"),"")</f>
        <v/>
      </c>
      <c r="F4383">
        <f>"Credentialing"</f>
        <v/>
      </c>
      <c r="G4383">
        <f>""</f>
        <v/>
      </c>
      <c r="H4383">
        <f>"High"</f>
        <v/>
      </c>
      <c r="I4383">
        <f>TRIM(IF(LEN(IF(LEN(INDEX('Providers'!$Z$4:$Z$503,380))=0,"",INDEX('Providers'!$Z$4:$Z$503,380)))=0,"","Payer(s): "&amp;IF(LEN(INDEX('Providers'!$Z$4:$Z$503,380))=0,"",INDEX('Providers'!$Z$4:$Z$503,380))&amp;". "))</f>
        <v/>
      </c>
      <c r="J4383">
        <f>IF(LEN(INDEX('Providers'!$AJ$4:$AJ$503,380))=0,"",INDEX('Providers'!$AJ$4:$AJ$503,380))</f>
        <v/>
      </c>
      <c r="K4383">
        <f>IF(LEN(INDEX('Providers'!$AI$4:$AI$503,380))=0,"",INDEX('Providers'!$AI$4:$AI$503,380))</f>
        <v/>
      </c>
    </row>
    <row r="4384">
      <c r="A4384">
        <f>IF(AND(LEN('Providers'!A384)&gt;0,ISNUMBER('Providers'!AA384)),1,0)</f>
        <v/>
      </c>
      <c r="B4384">
        <f>B4383+A4384</f>
        <v/>
      </c>
      <c r="C4384">
        <f>IF(4381&gt;$B$4503,"",MATCH(4381-0.5,$B$3:$B$4503,1))</f>
        <v/>
      </c>
      <c r="D4384">
        <f>"Payer recredentialing – "&amp;IF(LEN(INDEX('Providers'!$A$4:$A$503,381))=0,"",INDEX('Providers'!$A$4:$A$503,381))</f>
        <v/>
      </c>
      <c r="E4384">
        <f>IF(ISNUMBER(INDEX('Providers'!$AA$4:$AA$503,381)),TEXT(INDEX('Providers'!$AA$4:$AA$503,381),"yyyy-mm-dd"),"")</f>
        <v/>
      </c>
      <c r="F4384">
        <f>"Credentialing"</f>
        <v/>
      </c>
      <c r="G4384">
        <f>""</f>
        <v/>
      </c>
      <c r="H4384">
        <f>"High"</f>
        <v/>
      </c>
      <c r="I4384">
        <f>TRIM(IF(LEN(IF(LEN(INDEX('Providers'!$Z$4:$Z$503,381))=0,"",INDEX('Providers'!$Z$4:$Z$503,381)))=0,"","Payer(s): "&amp;IF(LEN(INDEX('Providers'!$Z$4:$Z$503,381))=0,"",INDEX('Providers'!$Z$4:$Z$503,381))&amp;". "))</f>
        <v/>
      </c>
      <c r="J4384">
        <f>IF(LEN(INDEX('Providers'!$AJ$4:$AJ$503,381))=0,"",INDEX('Providers'!$AJ$4:$AJ$503,381))</f>
        <v/>
      </c>
      <c r="K4384">
        <f>IF(LEN(INDEX('Providers'!$AI$4:$AI$503,381))=0,"",INDEX('Providers'!$AI$4:$AI$503,381))</f>
        <v/>
      </c>
    </row>
    <row r="4385">
      <c r="A4385">
        <f>IF(AND(LEN('Providers'!A385)&gt;0,ISNUMBER('Providers'!AA385)),1,0)</f>
        <v/>
      </c>
      <c r="B4385">
        <f>B4384+A4385</f>
        <v/>
      </c>
      <c r="C4385">
        <f>IF(4382&gt;$B$4503,"",MATCH(4382-0.5,$B$3:$B$4503,1))</f>
        <v/>
      </c>
      <c r="D4385">
        <f>"Payer recredentialing – "&amp;IF(LEN(INDEX('Providers'!$A$4:$A$503,382))=0,"",INDEX('Providers'!$A$4:$A$503,382))</f>
        <v/>
      </c>
      <c r="E4385">
        <f>IF(ISNUMBER(INDEX('Providers'!$AA$4:$AA$503,382)),TEXT(INDEX('Providers'!$AA$4:$AA$503,382),"yyyy-mm-dd"),"")</f>
        <v/>
      </c>
      <c r="F4385">
        <f>"Credentialing"</f>
        <v/>
      </c>
      <c r="G4385">
        <f>""</f>
        <v/>
      </c>
      <c r="H4385">
        <f>"High"</f>
        <v/>
      </c>
      <c r="I4385">
        <f>TRIM(IF(LEN(IF(LEN(INDEX('Providers'!$Z$4:$Z$503,382))=0,"",INDEX('Providers'!$Z$4:$Z$503,382)))=0,"","Payer(s): "&amp;IF(LEN(INDEX('Providers'!$Z$4:$Z$503,382))=0,"",INDEX('Providers'!$Z$4:$Z$503,382))&amp;". "))</f>
        <v/>
      </c>
      <c r="J4385">
        <f>IF(LEN(INDEX('Providers'!$AJ$4:$AJ$503,382))=0,"",INDEX('Providers'!$AJ$4:$AJ$503,382))</f>
        <v/>
      </c>
      <c r="K4385">
        <f>IF(LEN(INDEX('Providers'!$AI$4:$AI$503,382))=0,"",INDEX('Providers'!$AI$4:$AI$503,382))</f>
        <v/>
      </c>
    </row>
    <row r="4386">
      <c r="A4386">
        <f>IF(AND(LEN('Providers'!A386)&gt;0,ISNUMBER('Providers'!AA386)),1,0)</f>
        <v/>
      </c>
      <c r="B4386">
        <f>B4385+A4386</f>
        <v/>
      </c>
      <c r="C4386">
        <f>IF(4383&gt;$B$4503,"",MATCH(4383-0.5,$B$3:$B$4503,1))</f>
        <v/>
      </c>
      <c r="D4386">
        <f>"Payer recredentialing – "&amp;IF(LEN(INDEX('Providers'!$A$4:$A$503,383))=0,"",INDEX('Providers'!$A$4:$A$503,383))</f>
        <v/>
      </c>
      <c r="E4386">
        <f>IF(ISNUMBER(INDEX('Providers'!$AA$4:$AA$503,383)),TEXT(INDEX('Providers'!$AA$4:$AA$503,383),"yyyy-mm-dd"),"")</f>
        <v/>
      </c>
      <c r="F4386">
        <f>"Credentialing"</f>
        <v/>
      </c>
      <c r="G4386">
        <f>""</f>
        <v/>
      </c>
      <c r="H4386">
        <f>"High"</f>
        <v/>
      </c>
      <c r="I4386">
        <f>TRIM(IF(LEN(IF(LEN(INDEX('Providers'!$Z$4:$Z$503,383))=0,"",INDEX('Providers'!$Z$4:$Z$503,383)))=0,"","Payer(s): "&amp;IF(LEN(INDEX('Providers'!$Z$4:$Z$503,383))=0,"",INDEX('Providers'!$Z$4:$Z$503,383))&amp;". "))</f>
        <v/>
      </c>
      <c r="J4386">
        <f>IF(LEN(INDEX('Providers'!$AJ$4:$AJ$503,383))=0,"",INDEX('Providers'!$AJ$4:$AJ$503,383))</f>
        <v/>
      </c>
      <c r="K4386">
        <f>IF(LEN(INDEX('Providers'!$AI$4:$AI$503,383))=0,"",INDEX('Providers'!$AI$4:$AI$503,383))</f>
        <v/>
      </c>
    </row>
    <row r="4387">
      <c r="A4387">
        <f>IF(AND(LEN('Providers'!A387)&gt;0,ISNUMBER('Providers'!AA387)),1,0)</f>
        <v/>
      </c>
      <c r="B4387">
        <f>B4386+A4387</f>
        <v/>
      </c>
      <c r="C4387">
        <f>IF(4384&gt;$B$4503,"",MATCH(4384-0.5,$B$3:$B$4503,1))</f>
        <v/>
      </c>
      <c r="D4387">
        <f>"Payer recredentialing – "&amp;IF(LEN(INDEX('Providers'!$A$4:$A$503,384))=0,"",INDEX('Providers'!$A$4:$A$503,384))</f>
        <v/>
      </c>
      <c r="E4387">
        <f>IF(ISNUMBER(INDEX('Providers'!$AA$4:$AA$503,384)),TEXT(INDEX('Providers'!$AA$4:$AA$503,384),"yyyy-mm-dd"),"")</f>
        <v/>
      </c>
      <c r="F4387">
        <f>"Credentialing"</f>
        <v/>
      </c>
      <c r="G4387">
        <f>""</f>
        <v/>
      </c>
      <c r="H4387">
        <f>"High"</f>
        <v/>
      </c>
      <c r="I4387">
        <f>TRIM(IF(LEN(IF(LEN(INDEX('Providers'!$Z$4:$Z$503,384))=0,"",INDEX('Providers'!$Z$4:$Z$503,384)))=0,"","Payer(s): "&amp;IF(LEN(INDEX('Providers'!$Z$4:$Z$503,384))=0,"",INDEX('Providers'!$Z$4:$Z$503,384))&amp;". "))</f>
        <v/>
      </c>
      <c r="J4387">
        <f>IF(LEN(INDEX('Providers'!$AJ$4:$AJ$503,384))=0,"",INDEX('Providers'!$AJ$4:$AJ$503,384))</f>
        <v/>
      </c>
      <c r="K4387">
        <f>IF(LEN(INDEX('Providers'!$AI$4:$AI$503,384))=0,"",INDEX('Providers'!$AI$4:$AI$503,384))</f>
        <v/>
      </c>
    </row>
    <row r="4388">
      <c r="A4388">
        <f>IF(AND(LEN('Providers'!A388)&gt;0,ISNUMBER('Providers'!AA388)),1,0)</f>
        <v/>
      </c>
      <c r="B4388">
        <f>B4387+A4388</f>
        <v/>
      </c>
      <c r="C4388">
        <f>IF(4385&gt;$B$4503,"",MATCH(4385-0.5,$B$3:$B$4503,1))</f>
        <v/>
      </c>
      <c r="D4388">
        <f>"Payer recredentialing – "&amp;IF(LEN(INDEX('Providers'!$A$4:$A$503,385))=0,"",INDEX('Providers'!$A$4:$A$503,385))</f>
        <v/>
      </c>
      <c r="E4388">
        <f>IF(ISNUMBER(INDEX('Providers'!$AA$4:$AA$503,385)),TEXT(INDEX('Providers'!$AA$4:$AA$503,385),"yyyy-mm-dd"),"")</f>
        <v/>
      </c>
      <c r="F4388">
        <f>"Credentialing"</f>
        <v/>
      </c>
      <c r="G4388">
        <f>""</f>
        <v/>
      </c>
      <c r="H4388">
        <f>"High"</f>
        <v/>
      </c>
      <c r="I4388">
        <f>TRIM(IF(LEN(IF(LEN(INDEX('Providers'!$Z$4:$Z$503,385))=0,"",INDEX('Providers'!$Z$4:$Z$503,385)))=0,"","Payer(s): "&amp;IF(LEN(INDEX('Providers'!$Z$4:$Z$503,385))=0,"",INDEX('Providers'!$Z$4:$Z$503,385))&amp;". "))</f>
        <v/>
      </c>
      <c r="J4388">
        <f>IF(LEN(INDEX('Providers'!$AJ$4:$AJ$503,385))=0,"",INDEX('Providers'!$AJ$4:$AJ$503,385))</f>
        <v/>
      </c>
      <c r="K4388">
        <f>IF(LEN(INDEX('Providers'!$AI$4:$AI$503,385))=0,"",INDEX('Providers'!$AI$4:$AI$503,385))</f>
        <v/>
      </c>
    </row>
    <row r="4389">
      <c r="A4389">
        <f>IF(AND(LEN('Providers'!A389)&gt;0,ISNUMBER('Providers'!AA389)),1,0)</f>
        <v/>
      </c>
      <c r="B4389">
        <f>B4388+A4389</f>
        <v/>
      </c>
      <c r="C4389">
        <f>IF(4386&gt;$B$4503,"",MATCH(4386-0.5,$B$3:$B$4503,1))</f>
        <v/>
      </c>
      <c r="D4389">
        <f>"Payer recredentialing – "&amp;IF(LEN(INDEX('Providers'!$A$4:$A$503,386))=0,"",INDEX('Providers'!$A$4:$A$503,386))</f>
        <v/>
      </c>
      <c r="E4389">
        <f>IF(ISNUMBER(INDEX('Providers'!$AA$4:$AA$503,386)),TEXT(INDEX('Providers'!$AA$4:$AA$503,386),"yyyy-mm-dd"),"")</f>
        <v/>
      </c>
      <c r="F4389">
        <f>"Credentialing"</f>
        <v/>
      </c>
      <c r="G4389">
        <f>""</f>
        <v/>
      </c>
      <c r="H4389">
        <f>"High"</f>
        <v/>
      </c>
      <c r="I4389">
        <f>TRIM(IF(LEN(IF(LEN(INDEX('Providers'!$Z$4:$Z$503,386))=0,"",INDEX('Providers'!$Z$4:$Z$503,386)))=0,"","Payer(s): "&amp;IF(LEN(INDEX('Providers'!$Z$4:$Z$503,386))=0,"",INDEX('Providers'!$Z$4:$Z$503,386))&amp;". "))</f>
        <v/>
      </c>
      <c r="J4389">
        <f>IF(LEN(INDEX('Providers'!$AJ$4:$AJ$503,386))=0,"",INDEX('Providers'!$AJ$4:$AJ$503,386))</f>
        <v/>
      </c>
      <c r="K4389">
        <f>IF(LEN(INDEX('Providers'!$AI$4:$AI$503,386))=0,"",INDEX('Providers'!$AI$4:$AI$503,386))</f>
        <v/>
      </c>
    </row>
    <row r="4390">
      <c r="A4390">
        <f>IF(AND(LEN('Providers'!A390)&gt;0,ISNUMBER('Providers'!AA390)),1,0)</f>
        <v/>
      </c>
      <c r="B4390">
        <f>B4389+A4390</f>
        <v/>
      </c>
      <c r="C4390">
        <f>IF(4387&gt;$B$4503,"",MATCH(4387-0.5,$B$3:$B$4503,1))</f>
        <v/>
      </c>
      <c r="D4390">
        <f>"Payer recredentialing – "&amp;IF(LEN(INDEX('Providers'!$A$4:$A$503,387))=0,"",INDEX('Providers'!$A$4:$A$503,387))</f>
        <v/>
      </c>
      <c r="E4390">
        <f>IF(ISNUMBER(INDEX('Providers'!$AA$4:$AA$503,387)),TEXT(INDEX('Providers'!$AA$4:$AA$503,387),"yyyy-mm-dd"),"")</f>
        <v/>
      </c>
      <c r="F4390">
        <f>"Credentialing"</f>
        <v/>
      </c>
      <c r="G4390">
        <f>""</f>
        <v/>
      </c>
      <c r="H4390">
        <f>"High"</f>
        <v/>
      </c>
      <c r="I4390">
        <f>TRIM(IF(LEN(IF(LEN(INDEX('Providers'!$Z$4:$Z$503,387))=0,"",INDEX('Providers'!$Z$4:$Z$503,387)))=0,"","Payer(s): "&amp;IF(LEN(INDEX('Providers'!$Z$4:$Z$503,387))=0,"",INDEX('Providers'!$Z$4:$Z$503,387))&amp;". "))</f>
        <v/>
      </c>
      <c r="J4390">
        <f>IF(LEN(INDEX('Providers'!$AJ$4:$AJ$503,387))=0,"",INDEX('Providers'!$AJ$4:$AJ$503,387))</f>
        <v/>
      </c>
      <c r="K4390">
        <f>IF(LEN(INDEX('Providers'!$AI$4:$AI$503,387))=0,"",INDEX('Providers'!$AI$4:$AI$503,387))</f>
        <v/>
      </c>
    </row>
    <row r="4391">
      <c r="A4391">
        <f>IF(AND(LEN('Providers'!A391)&gt;0,ISNUMBER('Providers'!AA391)),1,0)</f>
        <v/>
      </c>
      <c r="B4391">
        <f>B4390+A4391</f>
        <v/>
      </c>
      <c r="C4391">
        <f>IF(4388&gt;$B$4503,"",MATCH(4388-0.5,$B$3:$B$4503,1))</f>
        <v/>
      </c>
      <c r="D4391">
        <f>"Payer recredentialing – "&amp;IF(LEN(INDEX('Providers'!$A$4:$A$503,388))=0,"",INDEX('Providers'!$A$4:$A$503,388))</f>
        <v/>
      </c>
      <c r="E4391">
        <f>IF(ISNUMBER(INDEX('Providers'!$AA$4:$AA$503,388)),TEXT(INDEX('Providers'!$AA$4:$AA$503,388),"yyyy-mm-dd"),"")</f>
        <v/>
      </c>
      <c r="F4391">
        <f>"Credentialing"</f>
        <v/>
      </c>
      <c r="G4391">
        <f>""</f>
        <v/>
      </c>
      <c r="H4391">
        <f>"High"</f>
        <v/>
      </c>
      <c r="I4391">
        <f>TRIM(IF(LEN(IF(LEN(INDEX('Providers'!$Z$4:$Z$503,388))=0,"",INDEX('Providers'!$Z$4:$Z$503,388)))=0,"","Payer(s): "&amp;IF(LEN(INDEX('Providers'!$Z$4:$Z$503,388))=0,"",INDEX('Providers'!$Z$4:$Z$503,388))&amp;". "))</f>
        <v/>
      </c>
      <c r="J4391">
        <f>IF(LEN(INDEX('Providers'!$AJ$4:$AJ$503,388))=0,"",INDEX('Providers'!$AJ$4:$AJ$503,388))</f>
        <v/>
      </c>
      <c r="K4391">
        <f>IF(LEN(INDEX('Providers'!$AI$4:$AI$503,388))=0,"",INDEX('Providers'!$AI$4:$AI$503,388))</f>
        <v/>
      </c>
    </row>
    <row r="4392">
      <c r="A4392">
        <f>IF(AND(LEN('Providers'!A392)&gt;0,ISNUMBER('Providers'!AA392)),1,0)</f>
        <v/>
      </c>
      <c r="B4392">
        <f>B4391+A4392</f>
        <v/>
      </c>
      <c r="C4392">
        <f>IF(4389&gt;$B$4503,"",MATCH(4389-0.5,$B$3:$B$4503,1))</f>
        <v/>
      </c>
      <c r="D4392">
        <f>"Payer recredentialing – "&amp;IF(LEN(INDEX('Providers'!$A$4:$A$503,389))=0,"",INDEX('Providers'!$A$4:$A$503,389))</f>
        <v/>
      </c>
      <c r="E4392">
        <f>IF(ISNUMBER(INDEX('Providers'!$AA$4:$AA$503,389)),TEXT(INDEX('Providers'!$AA$4:$AA$503,389),"yyyy-mm-dd"),"")</f>
        <v/>
      </c>
      <c r="F4392">
        <f>"Credentialing"</f>
        <v/>
      </c>
      <c r="G4392">
        <f>""</f>
        <v/>
      </c>
      <c r="H4392">
        <f>"High"</f>
        <v/>
      </c>
      <c r="I4392">
        <f>TRIM(IF(LEN(IF(LEN(INDEX('Providers'!$Z$4:$Z$503,389))=0,"",INDEX('Providers'!$Z$4:$Z$503,389)))=0,"","Payer(s): "&amp;IF(LEN(INDEX('Providers'!$Z$4:$Z$503,389))=0,"",INDEX('Providers'!$Z$4:$Z$503,389))&amp;". "))</f>
        <v/>
      </c>
      <c r="J4392">
        <f>IF(LEN(INDEX('Providers'!$AJ$4:$AJ$503,389))=0,"",INDEX('Providers'!$AJ$4:$AJ$503,389))</f>
        <v/>
      </c>
      <c r="K4392">
        <f>IF(LEN(INDEX('Providers'!$AI$4:$AI$503,389))=0,"",INDEX('Providers'!$AI$4:$AI$503,389))</f>
        <v/>
      </c>
    </row>
    <row r="4393">
      <c r="A4393">
        <f>IF(AND(LEN('Providers'!A393)&gt;0,ISNUMBER('Providers'!AA393)),1,0)</f>
        <v/>
      </c>
      <c r="B4393">
        <f>B4392+A4393</f>
        <v/>
      </c>
      <c r="C4393">
        <f>IF(4390&gt;$B$4503,"",MATCH(4390-0.5,$B$3:$B$4503,1))</f>
        <v/>
      </c>
      <c r="D4393">
        <f>"Payer recredentialing – "&amp;IF(LEN(INDEX('Providers'!$A$4:$A$503,390))=0,"",INDEX('Providers'!$A$4:$A$503,390))</f>
        <v/>
      </c>
      <c r="E4393">
        <f>IF(ISNUMBER(INDEX('Providers'!$AA$4:$AA$503,390)),TEXT(INDEX('Providers'!$AA$4:$AA$503,390),"yyyy-mm-dd"),"")</f>
        <v/>
      </c>
      <c r="F4393">
        <f>"Credentialing"</f>
        <v/>
      </c>
      <c r="G4393">
        <f>""</f>
        <v/>
      </c>
      <c r="H4393">
        <f>"High"</f>
        <v/>
      </c>
      <c r="I4393">
        <f>TRIM(IF(LEN(IF(LEN(INDEX('Providers'!$Z$4:$Z$503,390))=0,"",INDEX('Providers'!$Z$4:$Z$503,390)))=0,"","Payer(s): "&amp;IF(LEN(INDEX('Providers'!$Z$4:$Z$503,390))=0,"",INDEX('Providers'!$Z$4:$Z$503,390))&amp;". "))</f>
        <v/>
      </c>
      <c r="J4393">
        <f>IF(LEN(INDEX('Providers'!$AJ$4:$AJ$503,390))=0,"",INDEX('Providers'!$AJ$4:$AJ$503,390))</f>
        <v/>
      </c>
      <c r="K4393">
        <f>IF(LEN(INDEX('Providers'!$AI$4:$AI$503,390))=0,"",INDEX('Providers'!$AI$4:$AI$503,390))</f>
        <v/>
      </c>
    </row>
    <row r="4394">
      <c r="A4394">
        <f>IF(AND(LEN('Providers'!A394)&gt;0,ISNUMBER('Providers'!AA394)),1,0)</f>
        <v/>
      </c>
      <c r="B4394">
        <f>B4393+A4394</f>
        <v/>
      </c>
      <c r="C4394">
        <f>IF(4391&gt;$B$4503,"",MATCH(4391-0.5,$B$3:$B$4503,1))</f>
        <v/>
      </c>
      <c r="D4394">
        <f>"Payer recredentialing – "&amp;IF(LEN(INDEX('Providers'!$A$4:$A$503,391))=0,"",INDEX('Providers'!$A$4:$A$503,391))</f>
        <v/>
      </c>
      <c r="E4394">
        <f>IF(ISNUMBER(INDEX('Providers'!$AA$4:$AA$503,391)),TEXT(INDEX('Providers'!$AA$4:$AA$503,391),"yyyy-mm-dd"),"")</f>
        <v/>
      </c>
      <c r="F4394">
        <f>"Credentialing"</f>
        <v/>
      </c>
      <c r="G4394">
        <f>""</f>
        <v/>
      </c>
      <c r="H4394">
        <f>"High"</f>
        <v/>
      </c>
      <c r="I4394">
        <f>TRIM(IF(LEN(IF(LEN(INDEX('Providers'!$Z$4:$Z$503,391))=0,"",INDEX('Providers'!$Z$4:$Z$503,391)))=0,"","Payer(s): "&amp;IF(LEN(INDEX('Providers'!$Z$4:$Z$503,391))=0,"",INDEX('Providers'!$Z$4:$Z$503,391))&amp;". "))</f>
        <v/>
      </c>
      <c r="J4394">
        <f>IF(LEN(INDEX('Providers'!$AJ$4:$AJ$503,391))=0,"",INDEX('Providers'!$AJ$4:$AJ$503,391))</f>
        <v/>
      </c>
      <c r="K4394">
        <f>IF(LEN(INDEX('Providers'!$AI$4:$AI$503,391))=0,"",INDEX('Providers'!$AI$4:$AI$503,391))</f>
        <v/>
      </c>
    </row>
    <row r="4395">
      <c r="A4395">
        <f>IF(AND(LEN('Providers'!A395)&gt;0,ISNUMBER('Providers'!AA395)),1,0)</f>
        <v/>
      </c>
      <c r="B4395">
        <f>B4394+A4395</f>
        <v/>
      </c>
      <c r="C4395">
        <f>IF(4392&gt;$B$4503,"",MATCH(4392-0.5,$B$3:$B$4503,1))</f>
        <v/>
      </c>
      <c r="D4395">
        <f>"Payer recredentialing – "&amp;IF(LEN(INDEX('Providers'!$A$4:$A$503,392))=0,"",INDEX('Providers'!$A$4:$A$503,392))</f>
        <v/>
      </c>
      <c r="E4395">
        <f>IF(ISNUMBER(INDEX('Providers'!$AA$4:$AA$503,392)),TEXT(INDEX('Providers'!$AA$4:$AA$503,392),"yyyy-mm-dd"),"")</f>
        <v/>
      </c>
      <c r="F4395">
        <f>"Credentialing"</f>
        <v/>
      </c>
      <c r="G4395">
        <f>""</f>
        <v/>
      </c>
      <c r="H4395">
        <f>"High"</f>
        <v/>
      </c>
      <c r="I4395">
        <f>TRIM(IF(LEN(IF(LEN(INDEX('Providers'!$Z$4:$Z$503,392))=0,"",INDEX('Providers'!$Z$4:$Z$503,392)))=0,"","Payer(s): "&amp;IF(LEN(INDEX('Providers'!$Z$4:$Z$503,392))=0,"",INDEX('Providers'!$Z$4:$Z$503,392))&amp;". "))</f>
        <v/>
      </c>
      <c r="J4395">
        <f>IF(LEN(INDEX('Providers'!$AJ$4:$AJ$503,392))=0,"",INDEX('Providers'!$AJ$4:$AJ$503,392))</f>
        <v/>
      </c>
      <c r="K4395">
        <f>IF(LEN(INDEX('Providers'!$AI$4:$AI$503,392))=0,"",INDEX('Providers'!$AI$4:$AI$503,392))</f>
        <v/>
      </c>
    </row>
    <row r="4396">
      <c r="A4396">
        <f>IF(AND(LEN('Providers'!A396)&gt;0,ISNUMBER('Providers'!AA396)),1,0)</f>
        <v/>
      </c>
      <c r="B4396">
        <f>B4395+A4396</f>
        <v/>
      </c>
      <c r="C4396">
        <f>IF(4393&gt;$B$4503,"",MATCH(4393-0.5,$B$3:$B$4503,1))</f>
        <v/>
      </c>
      <c r="D4396">
        <f>"Payer recredentialing – "&amp;IF(LEN(INDEX('Providers'!$A$4:$A$503,393))=0,"",INDEX('Providers'!$A$4:$A$503,393))</f>
        <v/>
      </c>
      <c r="E4396">
        <f>IF(ISNUMBER(INDEX('Providers'!$AA$4:$AA$503,393)),TEXT(INDEX('Providers'!$AA$4:$AA$503,393),"yyyy-mm-dd"),"")</f>
        <v/>
      </c>
      <c r="F4396">
        <f>"Credentialing"</f>
        <v/>
      </c>
      <c r="G4396">
        <f>""</f>
        <v/>
      </c>
      <c r="H4396">
        <f>"High"</f>
        <v/>
      </c>
      <c r="I4396">
        <f>TRIM(IF(LEN(IF(LEN(INDEX('Providers'!$Z$4:$Z$503,393))=0,"",INDEX('Providers'!$Z$4:$Z$503,393)))=0,"","Payer(s): "&amp;IF(LEN(INDEX('Providers'!$Z$4:$Z$503,393))=0,"",INDEX('Providers'!$Z$4:$Z$503,393))&amp;". "))</f>
        <v/>
      </c>
      <c r="J4396">
        <f>IF(LEN(INDEX('Providers'!$AJ$4:$AJ$503,393))=0,"",INDEX('Providers'!$AJ$4:$AJ$503,393))</f>
        <v/>
      </c>
      <c r="K4396">
        <f>IF(LEN(INDEX('Providers'!$AI$4:$AI$503,393))=0,"",INDEX('Providers'!$AI$4:$AI$503,393))</f>
        <v/>
      </c>
    </row>
    <row r="4397">
      <c r="A4397">
        <f>IF(AND(LEN('Providers'!A397)&gt;0,ISNUMBER('Providers'!AA397)),1,0)</f>
        <v/>
      </c>
      <c r="B4397">
        <f>B4396+A4397</f>
        <v/>
      </c>
      <c r="C4397">
        <f>IF(4394&gt;$B$4503,"",MATCH(4394-0.5,$B$3:$B$4503,1))</f>
        <v/>
      </c>
      <c r="D4397">
        <f>"Payer recredentialing – "&amp;IF(LEN(INDEX('Providers'!$A$4:$A$503,394))=0,"",INDEX('Providers'!$A$4:$A$503,394))</f>
        <v/>
      </c>
      <c r="E4397">
        <f>IF(ISNUMBER(INDEX('Providers'!$AA$4:$AA$503,394)),TEXT(INDEX('Providers'!$AA$4:$AA$503,394),"yyyy-mm-dd"),"")</f>
        <v/>
      </c>
      <c r="F4397">
        <f>"Credentialing"</f>
        <v/>
      </c>
      <c r="G4397">
        <f>""</f>
        <v/>
      </c>
      <c r="H4397">
        <f>"High"</f>
        <v/>
      </c>
      <c r="I4397">
        <f>TRIM(IF(LEN(IF(LEN(INDEX('Providers'!$Z$4:$Z$503,394))=0,"",INDEX('Providers'!$Z$4:$Z$503,394)))=0,"","Payer(s): "&amp;IF(LEN(INDEX('Providers'!$Z$4:$Z$503,394))=0,"",INDEX('Providers'!$Z$4:$Z$503,394))&amp;". "))</f>
        <v/>
      </c>
      <c r="J4397">
        <f>IF(LEN(INDEX('Providers'!$AJ$4:$AJ$503,394))=0,"",INDEX('Providers'!$AJ$4:$AJ$503,394))</f>
        <v/>
      </c>
      <c r="K4397">
        <f>IF(LEN(INDEX('Providers'!$AI$4:$AI$503,394))=0,"",INDEX('Providers'!$AI$4:$AI$503,394))</f>
        <v/>
      </c>
    </row>
    <row r="4398">
      <c r="A4398">
        <f>IF(AND(LEN('Providers'!A398)&gt;0,ISNUMBER('Providers'!AA398)),1,0)</f>
        <v/>
      </c>
      <c r="B4398">
        <f>B4397+A4398</f>
        <v/>
      </c>
      <c r="C4398">
        <f>IF(4395&gt;$B$4503,"",MATCH(4395-0.5,$B$3:$B$4503,1))</f>
        <v/>
      </c>
      <c r="D4398">
        <f>"Payer recredentialing – "&amp;IF(LEN(INDEX('Providers'!$A$4:$A$503,395))=0,"",INDEX('Providers'!$A$4:$A$503,395))</f>
        <v/>
      </c>
      <c r="E4398">
        <f>IF(ISNUMBER(INDEX('Providers'!$AA$4:$AA$503,395)),TEXT(INDEX('Providers'!$AA$4:$AA$503,395),"yyyy-mm-dd"),"")</f>
        <v/>
      </c>
      <c r="F4398">
        <f>"Credentialing"</f>
        <v/>
      </c>
      <c r="G4398">
        <f>""</f>
        <v/>
      </c>
      <c r="H4398">
        <f>"High"</f>
        <v/>
      </c>
      <c r="I4398">
        <f>TRIM(IF(LEN(IF(LEN(INDEX('Providers'!$Z$4:$Z$503,395))=0,"",INDEX('Providers'!$Z$4:$Z$503,395)))=0,"","Payer(s): "&amp;IF(LEN(INDEX('Providers'!$Z$4:$Z$503,395))=0,"",INDEX('Providers'!$Z$4:$Z$503,395))&amp;". "))</f>
        <v/>
      </c>
      <c r="J4398">
        <f>IF(LEN(INDEX('Providers'!$AJ$4:$AJ$503,395))=0,"",INDEX('Providers'!$AJ$4:$AJ$503,395))</f>
        <v/>
      </c>
      <c r="K4398">
        <f>IF(LEN(INDEX('Providers'!$AI$4:$AI$503,395))=0,"",INDEX('Providers'!$AI$4:$AI$503,395))</f>
        <v/>
      </c>
    </row>
    <row r="4399">
      <c r="A4399">
        <f>IF(AND(LEN('Providers'!A399)&gt;0,ISNUMBER('Providers'!AA399)),1,0)</f>
        <v/>
      </c>
      <c r="B4399">
        <f>B4398+A4399</f>
        <v/>
      </c>
      <c r="C4399">
        <f>IF(4396&gt;$B$4503,"",MATCH(4396-0.5,$B$3:$B$4503,1))</f>
        <v/>
      </c>
      <c r="D4399">
        <f>"Payer recredentialing – "&amp;IF(LEN(INDEX('Providers'!$A$4:$A$503,396))=0,"",INDEX('Providers'!$A$4:$A$503,396))</f>
        <v/>
      </c>
      <c r="E4399">
        <f>IF(ISNUMBER(INDEX('Providers'!$AA$4:$AA$503,396)),TEXT(INDEX('Providers'!$AA$4:$AA$503,396),"yyyy-mm-dd"),"")</f>
        <v/>
      </c>
      <c r="F4399">
        <f>"Credentialing"</f>
        <v/>
      </c>
      <c r="G4399">
        <f>""</f>
        <v/>
      </c>
      <c r="H4399">
        <f>"High"</f>
        <v/>
      </c>
      <c r="I4399">
        <f>TRIM(IF(LEN(IF(LEN(INDEX('Providers'!$Z$4:$Z$503,396))=0,"",INDEX('Providers'!$Z$4:$Z$503,396)))=0,"","Payer(s): "&amp;IF(LEN(INDEX('Providers'!$Z$4:$Z$503,396))=0,"",INDEX('Providers'!$Z$4:$Z$503,396))&amp;". "))</f>
        <v/>
      </c>
      <c r="J4399">
        <f>IF(LEN(INDEX('Providers'!$AJ$4:$AJ$503,396))=0,"",INDEX('Providers'!$AJ$4:$AJ$503,396))</f>
        <v/>
      </c>
      <c r="K4399">
        <f>IF(LEN(INDEX('Providers'!$AI$4:$AI$503,396))=0,"",INDEX('Providers'!$AI$4:$AI$503,396))</f>
        <v/>
      </c>
    </row>
    <row r="4400">
      <c r="A4400">
        <f>IF(AND(LEN('Providers'!A400)&gt;0,ISNUMBER('Providers'!AA400)),1,0)</f>
        <v/>
      </c>
      <c r="B4400">
        <f>B4399+A4400</f>
        <v/>
      </c>
      <c r="C4400">
        <f>IF(4397&gt;$B$4503,"",MATCH(4397-0.5,$B$3:$B$4503,1))</f>
        <v/>
      </c>
      <c r="D4400">
        <f>"Payer recredentialing – "&amp;IF(LEN(INDEX('Providers'!$A$4:$A$503,397))=0,"",INDEX('Providers'!$A$4:$A$503,397))</f>
        <v/>
      </c>
      <c r="E4400">
        <f>IF(ISNUMBER(INDEX('Providers'!$AA$4:$AA$503,397)),TEXT(INDEX('Providers'!$AA$4:$AA$503,397),"yyyy-mm-dd"),"")</f>
        <v/>
      </c>
      <c r="F4400">
        <f>"Credentialing"</f>
        <v/>
      </c>
      <c r="G4400">
        <f>""</f>
        <v/>
      </c>
      <c r="H4400">
        <f>"High"</f>
        <v/>
      </c>
      <c r="I4400">
        <f>TRIM(IF(LEN(IF(LEN(INDEX('Providers'!$Z$4:$Z$503,397))=0,"",INDEX('Providers'!$Z$4:$Z$503,397)))=0,"","Payer(s): "&amp;IF(LEN(INDEX('Providers'!$Z$4:$Z$503,397))=0,"",INDEX('Providers'!$Z$4:$Z$503,397))&amp;". "))</f>
        <v/>
      </c>
      <c r="J4400">
        <f>IF(LEN(INDEX('Providers'!$AJ$4:$AJ$503,397))=0,"",INDEX('Providers'!$AJ$4:$AJ$503,397))</f>
        <v/>
      </c>
      <c r="K4400">
        <f>IF(LEN(INDEX('Providers'!$AI$4:$AI$503,397))=0,"",INDEX('Providers'!$AI$4:$AI$503,397))</f>
        <v/>
      </c>
    </row>
    <row r="4401">
      <c r="A4401">
        <f>IF(AND(LEN('Providers'!A401)&gt;0,ISNUMBER('Providers'!AA401)),1,0)</f>
        <v/>
      </c>
      <c r="B4401">
        <f>B4400+A4401</f>
        <v/>
      </c>
      <c r="C4401">
        <f>IF(4398&gt;$B$4503,"",MATCH(4398-0.5,$B$3:$B$4503,1))</f>
        <v/>
      </c>
      <c r="D4401">
        <f>"Payer recredentialing – "&amp;IF(LEN(INDEX('Providers'!$A$4:$A$503,398))=0,"",INDEX('Providers'!$A$4:$A$503,398))</f>
        <v/>
      </c>
      <c r="E4401">
        <f>IF(ISNUMBER(INDEX('Providers'!$AA$4:$AA$503,398)),TEXT(INDEX('Providers'!$AA$4:$AA$503,398),"yyyy-mm-dd"),"")</f>
        <v/>
      </c>
      <c r="F4401">
        <f>"Credentialing"</f>
        <v/>
      </c>
      <c r="G4401">
        <f>""</f>
        <v/>
      </c>
      <c r="H4401">
        <f>"High"</f>
        <v/>
      </c>
      <c r="I4401">
        <f>TRIM(IF(LEN(IF(LEN(INDEX('Providers'!$Z$4:$Z$503,398))=0,"",INDEX('Providers'!$Z$4:$Z$503,398)))=0,"","Payer(s): "&amp;IF(LEN(INDEX('Providers'!$Z$4:$Z$503,398))=0,"",INDEX('Providers'!$Z$4:$Z$503,398))&amp;". "))</f>
        <v/>
      </c>
      <c r="J4401">
        <f>IF(LEN(INDEX('Providers'!$AJ$4:$AJ$503,398))=0,"",INDEX('Providers'!$AJ$4:$AJ$503,398))</f>
        <v/>
      </c>
      <c r="K4401">
        <f>IF(LEN(INDEX('Providers'!$AI$4:$AI$503,398))=0,"",INDEX('Providers'!$AI$4:$AI$503,398))</f>
        <v/>
      </c>
    </row>
    <row r="4402">
      <c r="A4402">
        <f>IF(AND(LEN('Providers'!A402)&gt;0,ISNUMBER('Providers'!AA402)),1,0)</f>
        <v/>
      </c>
      <c r="B4402">
        <f>B4401+A4402</f>
        <v/>
      </c>
      <c r="C4402">
        <f>IF(4399&gt;$B$4503,"",MATCH(4399-0.5,$B$3:$B$4503,1))</f>
        <v/>
      </c>
      <c r="D4402">
        <f>"Payer recredentialing – "&amp;IF(LEN(INDEX('Providers'!$A$4:$A$503,399))=0,"",INDEX('Providers'!$A$4:$A$503,399))</f>
        <v/>
      </c>
      <c r="E4402">
        <f>IF(ISNUMBER(INDEX('Providers'!$AA$4:$AA$503,399)),TEXT(INDEX('Providers'!$AA$4:$AA$503,399),"yyyy-mm-dd"),"")</f>
        <v/>
      </c>
      <c r="F4402">
        <f>"Credentialing"</f>
        <v/>
      </c>
      <c r="G4402">
        <f>""</f>
        <v/>
      </c>
      <c r="H4402">
        <f>"High"</f>
        <v/>
      </c>
      <c r="I4402">
        <f>TRIM(IF(LEN(IF(LEN(INDEX('Providers'!$Z$4:$Z$503,399))=0,"",INDEX('Providers'!$Z$4:$Z$503,399)))=0,"","Payer(s): "&amp;IF(LEN(INDEX('Providers'!$Z$4:$Z$503,399))=0,"",INDEX('Providers'!$Z$4:$Z$503,399))&amp;". "))</f>
        <v/>
      </c>
      <c r="J4402">
        <f>IF(LEN(INDEX('Providers'!$AJ$4:$AJ$503,399))=0,"",INDEX('Providers'!$AJ$4:$AJ$503,399))</f>
        <v/>
      </c>
      <c r="K4402">
        <f>IF(LEN(INDEX('Providers'!$AI$4:$AI$503,399))=0,"",INDEX('Providers'!$AI$4:$AI$503,399))</f>
        <v/>
      </c>
    </row>
    <row r="4403">
      <c r="A4403">
        <f>IF(AND(LEN('Providers'!A403)&gt;0,ISNUMBER('Providers'!AA403)),1,0)</f>
        <v/>
      </c>
      <c r="B4403">
        <f>B4402+A4403</f>
        <v/>
      </c>
      <c r="C4403">
        <f>IF(4400&gt;$B$4503,"",MATCH(4400-0.5,$B$3:$B$4503,1))</f>
        <v/>
      </c>
      <c r="D4403">
        <f>"Payer recredentialing – "&amp;IF(LEN(INDEX('Providers'!$A$4:$A$503,400))=0,"",INDEX('Providers'!$A$4:$A$503,400))</f>
        <v/>
      </c>
      <c r="E4403">
        <f>IF(ISNUMBER(INDEX('Providers'!$AA$4:$AA$503,400)),TEXT(INDEX('Providers'!$AA$4:$AA$503,400),"yyyy-mm-dd"),"")</f>
        <v/>
      </c>
      <c r="F4403">
        <f>"Credentialing"</f>
        <v/>
      </c>
      <c r="G4403">
        <f>""</f>
        <v/>
      </c>
      <c r="H4403">
        <f>"High"</f>
        <v/>
      </c>
      <c r="I4403">
        <f>TRIM(IF(LEN(IF(LEN(INDEX('Providers'!$Z$4:$Z$503,400))=0,"",INDEX('Providers'!$Z$4:$Z$503,400)))=0,"","Payer(s): "&amp;IF(LEN(INDEX('Providers'!$Z$4:$Z$503,400))=0,"",INDEX('Providers'!$Z$4:$Z$503,400))&amp;". "))</f>
        <v/>
      </c>
      <c r="J4403">
        <f>IF(LEN(INDEX('Providers'!$AJ$4:$AJ$503,400))=0,"",INDEX('Providers'!$AJ$4:$AJ$503,400))</f>
        <v/>
      </c>
      <c r="K4403">
        <f>IF(LEN(INDEX('Providers'!$AI$4:$AI$503,400))=0,"",INDEX('Providers'!$AI$4:$AI$503,400))</f>
        <v/>
      </c>
    </row>
    <row r="4404">
      <c r="A4404">
        <f>IF(AND(LEN('Providers'!A404)&gt;0,ISNUMBER('Providers'!AA404)),1,0)</f>
        <v/>
      </c>
      <c r="B4404">
        <f>B4403+A4404</f>
        <v/>
      </c>
      <c r="C4404">
        <f>IF(4401&gt;$B$4503,"",MATCH(4401-0.5,$B$3:$B$4503,1))</f>
        <v/>
      </c>
      <c r="D4404">
        <f>"Payer recredentialing – "&amp;IF(LEN(INDEX('Providers'!$A$4:$A$503,401))=0,"",INDEX('Providers'!$A$4:$A$503,401))</f>
        <v/>
      </c>
      <c r="E4404">
        <f>IF(ISNUMBER(INDEX('Providers'!$AA$4:$AA$503,401)),TEXT(INDEX('Providers'!$AA$4:$AA$503,401),"yyyy-mm-dd"),"")</f>
        <v/>
      </c>
      <c r="F4404">
        <f>"Credentialing"</f>
        <v/>
      </c>
      <c r="G4404">
        <f>""</f>
        <v/>
      </c>
      <c r="H4404">
        <f>"High"</f>
        <v/>
      </c>
      <c r="I4404">
        <f>TRIM(IF(LEN(IF(LEN(INDEX('Providers'!$Z$4:$Z$503,401))=0,"",INDEX('Providers'!$Z$4:$Z$503,401)))=0,"","Payer(s): "&amp;IF(LEN(INDEX('Providers'!$Z$4:$Z$503,401))=0,"",INDEX('Providers'!$Z$4:$Z$503,401))&amp;". "))</f>
        <v/>
      </c>
      <c r="J4404">
        <f>IF(LEN(INDEX('Providers'!$AJ$4:$AJ$503,401))=0,"",INDEX('Providers'!$AJ$4:$AJ$503,401))</f>
        <v/>
      </c>
      <c r="K4404">
        <f>IF(LEN(INDEX('Providers'!$AI$4:$AI$503,401))=0,"",INDEX('Providers'!$AI$4:$AI$503,401))</f>
        <v/>
      </c>
    </row>
    <row r="4405">
      <c r="A4405">
        <f>IF(AND(LEN('Providers'!A405)&gt;0,ISNUMBER('Providers'!AA405)),1,0)</f>
        <v/>
      </c>
      <c r="B4405">
        <f>B4404+A4405</f>
        <v/>
      </c>
      <c r="C4405">
        <f>IF(4402&gt;$B$4503,"",MATCH(4402-0.5,$B$3:$B$4503,1))</f>
        <v/>
      </c>
      <c r="D4405">
        <f>"Payer recredentialing – "&amp;IF(LEN(INDEX('Providers'!$A$4:$A$503,402))=0,"",INDEX('Providers'!$A$4:$A$503,402))</f>
        <v/>
      </c>
      <c r="E4405">
        <f>IF(ISNUMBER(INDEX('Providers'!$AA$4:$AA$503,402)),TEXT(INDEX('Providers'!$AA$4:$AA$503,402),"yyyy-mm-dd"),"")</f>
        <v/>
      </c>
      <c r="F4405">
        <f>"Credentialing"</f>
        <v/>
      </c>
      <c r="G4405">
        <f>""</f>
        <v/>
      </c>
      <c r="H4405">
        <f>"High"</f>
        <v/>
      </c>
      <c r="I4405">
        <f>TRIM(IF(LEN(IF(LEN(INDEX('Providers'!$Z$4:$Z$503,402))=0,"",INDEX('Providers'!$Z$4:$Z$503,402)))=0,"","Payer(s): "&amp;IF(LEN(INDEX('Providers'!$Z$4:$Z$503,402))=0,"",INDEX('Providers'!$Z$4:$Z$503,402))&amp;". "))</f>
        <v/>
      </c>
      <c r="J4405">
        <f>IF(LEN(INDEX('Providers'!$AJ$4:$AJ$503,402))=0,"",INDEX('Providers'!$AJ$4:$AJ$503,402))</f>
        <v/>
      </c>
      <c r="K4405">
        <f>IF(LEN(INDEX('Providers'!$AI$4:$AI$503,402))=0,"",INDEX('Providers'!$AI$4:$AI$503,402))</f>
        <v/>
      </c>
    </row>
    <row r="4406">
      <c r="A4406">
        <f>IF(AND(LEN('Providers'!A406)&gt;0,ISNUMBER('Providers'!AA406)),1,0)</f>
        <v/>
      </c>
      <c r="B4406">
        <f>B4405+A4406</f>
        <v/>
      </c>
      <c r="C4406">
        <f>IF(4403&gt;$B$4503,"",MATCH(4403-0.5,$B$3:$B$4503,1))</f>
        <v/>
      </c>
      <c r="D4406">
        <f>"Payer recredentialing – "&amp;IF(LEN(INDEX('Providers'!$A$4:$A$503,403))=0,"",INDEX('Providers'!$A$4:$A$503,403))</f>
        <v/>
      </c>
      <c r="E4406">
        <f>IF(ISNUMBER(INDEX('Providers'!$AA$4:$AA$503,403)),TEXT(INDEX('Providers'!$AA$4:$AA$503,403),"yyyy-mm-dd"),"")</f>
        <v/>
      </c>
      <c r="F4406">
        <f>"Credentialing"</f>
        <v/>
      </c>
      <c r="G4406">
        <f>""</f>
        <v/>
      </c>
      <c r="H4406">
        <f>"High"</f>
        <v/>
      </c>
      <c r="I4406">
        <f>TRIM(IF(LEN(IF(LEN(INDEX('Providers'!$Z$4:$Z$503,403))=0,"",INDEX('Providers'!$Z$4:$Z$503,403)))=0,"","Payer(s): "&amp;IF(LEN(INDEX('Providers'!$Z$4:$Z$503,403))=0,"",INDEX('Providers'!$Z$4:$Z$503,403))&amp;". "))</f>
        <v/>
      </c>
      <c r="J4406">
        <f>IF(LEN(INDEX('Providers'!$AJ$4:$AJ$503,403))=0,"",INDEX('Providers'!$AJ$4:$AJ$503,403))</f>
        <v/>
      </c>
      <c r="K4406">
        <f>IF(LEN(INDEX('Providers'!$AI$4:$AI$503,403))=0,"",INDEX('Providers'!$AI$4:$AI$503,403))</f>
        <v/>
      </c>
    </row>
    <row r="4407">
      <c r="A4407">
        <f>IF(AND(LEN('Providers'!A407)&gt;0,ISNUMBER('Providers'!AA407)),1,0)</f>
        <v/>
      </c>
      <c r="B4407">
        <f>B4406+A4407</f>
        <v/>
      </c>
      <c r="C4407">
        <f>IF(4404&gt;$B$4503,"",MATCH(4404-0.5,$B$3:$B$4503,1))</f>
        <v/>
      </c>
      <c r="D4407">
        <f>"Payer recredentialing – "&amp;IF(LEN(INDEX('Providers'!$A$4:$A$503,404))=0,"",INDEX('Providers'!$A$4:$A$503,404))</f>
        <v/>
      </c>
      <c r="E4407">
        <f>IF(ISNUMBER(INDEX('Providers'!$AA$4:$AA$503,404)),TEXT(INDEX('Providers'!$AA$4:$AA$503,404),"yyyy-mm-dd"),"")</f>
        <v/>
      </c>
      <c r="F4407">
        <f>"Credentialing"</f>
        <v/>
      </c>
      <c r="G4407">
        <f>""</f>
        <v/>
      </c>
      <c r="H4407">
        <f>"High"</f>
        <v/>
      </c>
      <c r="I4407">
        <f>TRIM(IF(LEN(IF(LEN(INDEX('Providers'!$Z$4:$Z$503,404))=0,"",INDEX('Providers'!$Z$4:$Z$503,404)))=0,"","Payer(s): "&amp;IF(LEN(INDEX('Providers'!$Z$4:$Z$503,404))=0,"",INDEX('Providers'!$Z$4:$Z$503,404))&amp;". "))</f>
        <v/>
      </c>
      <c r="J4407">
        <f>IF(LEN(INDEX('Providers'!$AJ$4:$AJ$503,404))=0,"",INDEX('Providers'!$AJ$4:$AJ$503,404))</f>
        <v/>
      </c>
      <c r="K4407">
        <f>IF(LEN(INDEX('Providers'!$AI$4:$AI$503,404))=0,"",INDEX('Providers'!$AI$4:$AI$503,404))</f>
        <v/>
      </c>
    </row>
    <row r="4408">
      <c r="A4408">
        <f>IF(AND(LEN('Providers'!A408)&gt;0,ISNUMBER('Providers'!AA408)),1,0)</f>
        <v/>
      </c>
      <c r="B4408">
        <f>B4407+A4408</f>
        <v/>
      </c>
      <c r="C4408">
        <f>IF(4405&gt;$B$4503,"",MATCH(4405-0.5,$B$3:$B$4503,1))</f>
        <v/>
      </c>
      <c r="D4408">
        <f>"Payer recredentialing – "&amp;IF(LEN(INDEX('Providers'!$A$4:$A$503,405))=0,"",INDEX('Providers'!$A$4:$A$503,405))</f>
        <v/>
      </c>
      <c r="E4408">
        <f>IF(ISNUMBER(INDEX('Providers'!$AA$4:$AA$503,405)),TEXT(INDEX('Providers'!$AA$4:$AA$503,405),"yyyy-mm-dd"),"")</f>
        <v/>
      </c>
      <c r="F4408">
        <f>"Credentialing"</f>
        <v/>
      </c>
      <c r="G4408">
        <f>""</f>
        <v/>
      </c>
      <c r="H4408">
        <f>"High"</f>
        <v/>
      </c>
      <c r="I4408">
        <f>TRIM(IF(LEN(IF(LEN(INDEX('Providers'!$Z$4:$Z$503,405))=0,"",INDEX('Providers'!$Z$4:$Z$503,405)))=0,"","Payer(s): "&amp;IF(LEN(INDEX('Providers'!$Z$4:$Z$503,405))=0,"",INDEX('Providers'!$Z$4:$Z$503,405))&amp;". "))</f>
        <v/>
      </c>
      <c r="J4408">
        <f>IF(LEN(INDEX('Providers'!$AJ$4:$AJ$503,405))=0,"",INDEX('Providers'!$AJ$4:$AJ$503,405))</f>
        <v/>
      </c>
      <c r="K4408">
        <f>IF(LEN(INDEX('Providers'!$AI$4:$AI$503,405))=0,"",INDEX('Providers'!$AI$4:$AI$503,405))</f>
        <v/>
      </c>
    </row>
    <row r="4409">
      <c r="A4409">
        <f>IF(AND(LEN('Providers'!A409)&gt;0,ISNUMBER('Providers'!AA409)),1,0)</f>
        <v/>
      </c>
      <c r="B4409">
        <f>B4408+A4409</f>
        <v/>
      </c>
      <c r="C4409">
        <f>IF(4406&gt;$B$4503,"",MATCH(4406-0.5,$B$3:$B$4503,1))</f>
        <v/>
      </c>
      <c r="D4409">
        <f>"Payer recredentialing – "&amp;IF(LEN(INDEX('Providers'!$A$4:$A$503,406))=0,"",INDEX('Providers'!$A$4:$A$503,406))</f>
        <v/>
      </c>
      <c r="E4409">
        <f>IF(ISNUMBER(INDEX('Providers'!$AA$4:$AA$503,406)),TEXT(INDEX('Providers'!$AA$4:$AA$503,406),"yyyy-mm-dd"),"")</f>
        <v/>
      </c>
      <c r="F4409">
        <f>"Credentialing"</f>
        <v/>
      </c>
      <c r="G4409">
        <f>""</f>
        <v/>
      </c>
      <c r="H4409">
        <f>"High"</f>
        <v/>
      </c>
      <c r="I4409">
        <f>TRIM(IF(LEN(IF(LEN(INDEX('Providers'!$Z$4:$Z$503,406))=0,"",INDEX('Providers'!$Z$4:$Z$503,406)))=0,"","Payer(s): "&amp;IF(LEN(INDEX('Providers'!$Z$4:$Z$503,406))=0,"",INDEX('Providers'!$Z$4:$Z$503,406))&amp;". "))</f>
        <v/>
      </c>
      <c r="J4409">
        <f>IF(LEN(INDEX('Providers'!$AJ$4:$AJ$503,406))=0,"",INDEX('Providers'!$AJ$4:$AJ$503,406))</f>
        <v/>
      </c>
      <c r="K4409">
        <f>IF(LEN(INDEX('Providers'!$AI$4:$AI$503,406))=0,"",INDEX('Providers'!$AI$4:$AI$503,406))</f>
        <v/>
      </c>
    </row>
    <row r="4410">
      <c r="A4410">
        <f>IF(AND(LEN('Providers'!A410)&gt;0,ISNUMBER('Providers'!AA410)),1,0)</f>
        <v/>
      </c>
      <c r="B4410">
        <f>B4409+A4410</f>
        <v/>
      </c>
      <c r="C4410">
        <f>IF(4407&gt;$B$4503,"",MATCH(4407-0.5,$B$3:$B$4503,1))</f>
        <v/>
      </c>
      <c r="D4410">
        <f>"Payer recredentialing – "&amp;IF(LEN(INDEX('Providers'!$A$4:$A$503,407))=0,"",INDEX('Providers'!$A$4:$A$503,407))</f>
        <v/>
      </c>
      <c r="E4410">
        <f>IF(ISNUMBER(INDEX('Providers'!$AA$4:$AA$503,407)),TEXT(INDEX('Providers'!$AA$4:$AA$503,407),"yyyy-mm-dd"),"")</f>
        <v/>
      </c>
      <c r="F4410">
        <f>"Credentialing"</f>
        <v/>
      </c>
      <c r="G4410">
        <f>""</f>
        <v/>
      </c>
      <c r="H4410">
        <f>"High"</f>
        <v/>
      </c>
      <c r="I4410">
        <f>TRIM(IF(LEN(IF(LEN(INDEX('Providers'!$Z$4:$Z$503,407))=0,"",INDEX('Providers'!$Z$4:$Z$503,407)))=0,"","Payer(s): "&amp;IF(LEN(INDEX('Providers'!$Z$4:$Z$503,407))=0,"",INDEX('Providers'!$Z$4:$Z$503,407))&amp;". "))</f>
        <v/>
      </c>
      <c r="J4410">
        <f>IF(LEN(INDEX('Providers'!$AJ$4:$AJ$503,407))=0,"",INDEX('Providers'!$AJ$4:$AJ$503,407))</f>
        <v/>
      </c>
      <c r="K4410">
        <f>IF(LEN(INDEX('Providers'!$AI$4:$AI$503,407))=0,"",INDEX('Providers'!$AI$4:$AI$503,407))</f>
        <v/>
      </c>
    </row>
    <row r="4411">
      <c r="A4411">
        <f>IF(AND(LEN('Providers'!A411)&gt;0,ISNUMBER('Providers'!AA411)),1,0)</f>
        <v/>
      </c>
      <c r="B4411">
        <f>B4410+A4411</f>
        <v/>
      </c>
      <c r="C4411">
        <f>IF(4408&gt;$B$4503,"",MATCH(4408-0.5,$B$3:$B$4503,1))</f>
        <v/>
      </c>
      <c r="D4411">
        <f>"Payer recredentialing – "&amp;IF(LEN(INDEX('Providers'!$A$4:$A$503,408))=0,"",INDEX('Providers'!$A$4:$A$503,408))</f>
        <v/>
      </c>
      <c r="E4411">
        <f>IF(ISNUMBER(INDEX('Providers'!$AA$4:$AA$503,408)),TEXT(INDEX('Providers'!$AA$4:$AA$503,408),"yyyy-mm-dd"),"")</f>
        <v/>
      </c>
      <c r="F4411">
        <f>"Credentialing"</f>
        <v/>
      </c>
      <c r="G4411">
        <f>""</f>
        <v/>
      </c>
      <c r="H4411">
        <f>"High"</f>
        <v/>
      </c>
      <c r="I4411">
        <f>TRIM(IF(LEN(IF(LEN(INDEX('Providers'!$Z$4:$Z$503,408))=0,"",INDEX('Providers'!$Z$4:$Z$503,408)))=0,"","Payer(s): "&amp;IF(LEN(INDEX('Providers'!$Z$4:$Z$503,408))=0,"",INDEX('Providers'!$Z$4:$Z$503,408))&amp;". "))</f>
        <v/>
      </c>
      <c r="J4411">
        <f>IF(LEN(INDEX('Providers'!$AJ$4:$AJ$503,408))=0,"",INDEX('Providers'!$AJ$4:$AJ$503,408))</f>
        <v/>
      </c>
      <c r="K4411">
        <f>IF(LEN(INDEX('Providers'!$AI$4:$AI$503,408))=0,"",INDEX('Providers'!$AI$4:$AI$503,408))</f>
        <v/>
      </c>
    </row>
    <row r="4412">
      <c r="A4412">
        <f>IF(AND(LEN('Providers'!A412)&gt;0,ISNUMBER('Providers'!AA412)),1,0)</f>
        <v/>
      </c>
      <c r="B4412">
        <f>B4411+A4412</f>
        <v/>
      </c>
      <c r="C4412">
        <f>IF(4409&gt;$B$4503,"",MATCH(4409-0.5,$B$3:$B$4503,1))</f>
        <v/>
      </c>
      <c r="D4412">
        <f>"Payer recredentialing – "&amp;IF(LEN(INDEX('Providers'!$A$4:$A$503,409))=0,"",INDEX('Providers'!$A$4:$A$503,409))</f>
        <v/>
      </c>
      <c r="E4412">
        <f>IF(ISNUMBER(INDEX('Providers'!$AA$4:$AA$503,409)),TEXT(INDEX('Providers'!$AA$4:$AA$503,409),"yyyy-mm-dd"),"")</f>
        <v/>
      </c>
      <c r="F4412">
        <f>"Credentialing"</f>
        <v/>
      </c>
      <c r="G4412">
        <f>""</f>
        <v/>
      </c>
      <c r="H4412">
        <f>"High"</f>
        <v/>
      </c>
      <c r="I4412">
        <f>TRIM(IF(LEN(IF(LEN(INDEX('Providers'!$Z$4:$Z$503,409))=0,"",INDEX('Providers'!$Z$4:$Z$503,409)))=0,"","Payer(s): "&amp;IF(LEN(INDEX('Providers'!$Z$4:$Z$503,409))=0,"",INDEX('Providers'!$Z$4:$Z$503,409))&amp;". "))</f>
        <v/>
      </c>
      <c r="J4412">
        <f>IF(LEN(INDEX('Providers'!$AJ$4:$AJ$503,409))=0,"",INDEX('Providers'!$AJ$4:$AJ$503,409))</f>
        <v/>
      </c>
      <c r="K4412">
        <f>IF(LEN(INDEX('Providers'!$AI$4:$AI$503,409))=0,"",INDEX('Providers'!$AI$4:$AI$503,409))</f>
        <v/>
      </c>
    </row>
    <row r="4413">
      <c r="A4413">
        <f>IF(AND(LEN('Providers'!A413)&gt;0,ISNUMBER('Providers'!AA413)),1,0)</f>
        <v/>
      </c>
      <c r="B4413">
        <f>B4412+A4413</f>
        <v/>
      </c>
      <c r="C4413">
        <f>IF(4410&gt;$B$4503,"",MATCH(4410-0.5,$B$3:$B$4503,1))</f>
        <v/>
      </c>
      <c r="D4413">
        <f>"Payer recredentialing – "&amp;IF(LEN(INDEX('Providers'!$A$4:$A$503,410))=0,"",INDEX('Providers'!$A$4:$A$503,410))</f>
        <v/>
      </c>
      <c r="E4413">
        <f>IF(ISNUMBER(INDEX('Providers'!$AA$4:$AA$503,410)),TEXT(INDEX('Providers'!$AA$4:$AA$503,410),"yyyy-mm-dd"),"")</f>
        <v/>
      </c>
      <c r="F4413">
        <f>"Credentialing"</f>
        <v/>
      </c>
      <c r="G4413">
        <f>""</f>
        <v/>
      </c>
      <c r="H4413">
        <f>"High"</f>
        <v/>
      </c>
      <c r="I4413">
        <f>TRIM(IF(LEN(IF(LEN(INDEX('Providers'!$Z$4:$Z$503,410))=0,"",INDEX('Providers'!$Z$4:$Z$503,410)))=0,"","Payer(s): "&amp;IF(LEN(INDEX('Providers'!$Z$4:$Z$503,410))=0,"",INDEX('Providers'!$Z$4:$Z$503,410))&amp;". "))</f>
        <v/>
      </c>
      <c r="J4413">
        <f>IF(LEN(INDEX('Providers'!$AJ$4:$AJ$503,410))=0,"",INDEX('Providers'!$AJ$4:$AJ$503,410))</f>
        <v/>
      </c>
      <c r="K4413">
        <f>IF(LEN(INDEX('Providers'!$AI$4:$AI$503,410))=0,"",INDEX('Providers'!$AI$4:$AI$503,410))</f>
        <v/>
      </c>
    </row>
    <row r="4414">
      <c r="A4414">
        <f>IF(AND(LEN('Providers'!A414)&gt;0,ISNUMBER('Providers'!AA414)),1,0)</f>
        <v/>
      </c>
      <c r="B4414">
        <f>B4413+A4414</f>
        <v/>
      </c>
      <c r="C4414">
        <f>IF(4411&gt;$B$4503,"",MATCH(4411-0.5,$B$3:$B$4503,1))</f>
        <v/>
      </c>
      <c r="D4414">
        <f>"Payer recredentialing – "&amp;IF(LEN(INDEX('Providers'!$A$4:$A$503,411))=0,"",INDEX('Providers'!$A$4:$A$503,411))</f>
        <v/>
      </c>
      <c r="E4414">
        <f>IF(ISNUMBER(INDEX('Providers'!$AA$4:$AA$503,411)),TEXT(INDEX('Providers'!$AA$4:$AA$503,411),"yyyy-mm-dd"),"")</f>
        <v/>
      </c>
      <c r="F4414">
        <f>"Credentialing"</f>
        <v/>
      </c>
      <c r="G4414">
        <f>""</f>
        <v/>
      </c>
      <c r="H4414">
        <f>"High"</f>
        <v/>
      </c>
      <c r="I4414">
        <f>TRIM(IF(LEN(IF(LEN(INDEX('Providers'!$Z$4:$Z$503,411))=0,"",INDEX('Providers'!$Z$4:$Z$503,411)))=0,"","Payer(s): "&amp;IF(LEN(INDEX('Providers'!$Z$4:$Z$503,411))=0,"",INDEX('Providers'!$Z$4:$Z$503,411))&amp;". "))</f>
        <v/>
      </c>
      <c r="J4414">
        <f>IF(LEN(INDEX('Providers'!$AJ$4:$AJ$503,411))=0,"",INDEX('Providers'!$AJ$4:$AJ$503,411))</f>
        <v/>
      </c>
      <c r="K4414">
        <f>IF(LEN(INDEX('Providers'!$AI$4:$AI$503,411))=0,"",INDEX('Providers'!$AI$4:$AI$503,411))</f>
        <v/>
      </c>
    </row>
    <row r="4415">
      <c r="A4415">
        <f>IF(AND(LEN('Providers'!A415)&gt;0,ISNUMBER('Providers'!AA415)),1,0)</f>
        <v/>
      </c>
      <c r="B4415">
        <f>B4414+A4415</f>
        <v/>
      </c>
      <c r="C4415">
        <f>IF(4412&gt;$B$4503,"",MATCH(4412-0.5,$B$3:$B$4503,1))</f>
        <v/>
      </c>
      <c r="D4415">
        <f>"Payer recredentialing – "&amp;IF(LEN(INDEX('Providers'!$A$4:$A$503,412))=0,"",INDEX('Providers'!$A$4:$A$503,412))</f>
        <v/>
      </c>
      <c r="E4415">
        <f>IF(ISNUMBER(INDEX('Providers'!$AA$4:$AA$503,412)),TEXT(INDEX('Providers'!$AA$4:$AA$503,412),"yyyy-mm-dd"),"")</f>
        <v/>
      </c>
      <c r="F4415">
        <f>"Credentialing"</f>
        <v/>
      </c>
      <c r="G4415">
        <f>""</f>
        <v/>
      </c>
      <c r="H4415">
        <f>"High"</f>
        <v/>
      </c>
      <c r="I4415">
        <f>TRIM(IF(LEN(IF(LEN(INDEX('Providers'!$Z$4:$Z$503,412))=0,"",INDEX('Providers'!$Z$4:$Z$503,412)))=0,"","Payer(s): "&amp;IF(LEN(INDEX('Providers'!$Z$4:$Z$503,412))=0,"",INDEX('Providers'!$Z$4:$Z$503,412))&amp;". "))</f>
        <v/>
      </c>
      <c r="J4415">
        <f>IF(LEN(INDEX('Providers'!$AJ$4:$AJ$503,412))=0,"",INDEX('Providers'!$AJ$4:$AJ$503,412))</f>
        <v/>
      </c>
      <c r="K4415">
        <f>IF(LEN(INDEX('Providers'!$AI$4:$AI$503,412))=0,"",INDEX('Providers'!$AI$4:$AI$503,412))</f>
        <v/>
      </c>
    </row>
    <row r="4416">
      <c r="A4416">
        <f>IF(AND(LEN('Providers'!A416)&gt;0,ISNUMBER('Providers'!AA416)),1,0)</f>
        <v/>
      </c>
      <c r="B4416">
        <f>B4415+A4416</f>
        <v/>
      </c>
      <c r="C4416">
        <f>IF(4413&gt;$B$4503,"",MATCH(4413-0.5,$B$3:$B$4503,1))</f>
        <v/>
      </c>
      <c r="D4416">
        <f>"Payer recredentialing – "&amp;IF(LEN(INDEX('Providers'!$A$4:$A$503,413))=0,"",INDEX('Providers'!$A$4:$A$503,413))</f>
        <v/>
      </c>
      <c r="E4416">
        <f>IF(ISNUMBER(INDEX('Providers'!$AA$4:$AA$503,413)),TEXT(INDEX('Providers'!$AA$4:$AA$503,413),"yyyy-mm-dd"),"")</f>
        <v/>
      </c>
      <c r="F4416">
        <f>"Credentialing"</f>
        <v/>
      </c>
      <c r="G4416">
        <f>""</f>
        <v/>
      </c>
      <c r="H4416">
        <f>"High"</f>
        <v/>
      </c>
      <c r="I4416">
        <f>TRIM(IF(LEN(IF(LEN(INDEX('Providers'!$Z$4:$Z$503,413))=0,"",INDEX('Providers'!$Z$4:$Z$503,413)))=0,"","Payer(s): "&amp;IF(LEN(INDEX('Providers'!$Z$4:$Z$503,413))=0,"",INDEX('Providers'!$Z$4:$Z$503,413))&amp;". "))</f>
        <v/>
      </c>
      <c r="J4416">
        <f>IF(LEN(INDEX('Providers'!$AJ$4:$AJ$503,413))=0,"",INDEX('Providers'!$AJ$4:$AJ$503,413))</f>
        <v/>
      </c>
      <c r="K4416">
        <f>IF(LEN(INDEX('Providers'!$AI$4:$AI$503,413))=0,"",INDEX('Providers'!$AI$4:$AI$503,413))</f>
        <v/>
      </c>
    </row>
    <row r="4417">
      <c r="A4417">
        <f>IF(AND(LEN('Providers'!A417)&gt;0,ISNUMBER('Providers'!AA417)),1,0)</f>
        <v/>
      </c>
      <c r="B4417">
        <f>B4416+A4417</f>
        <v/>
      </c>
      <c r="C4417">
        <f>IF(4414&gt;$B$4503,"",MATCH(4414-0.5,$B$3:$B$4503,1))</f>
        <v/>
      </c>
      <c r="D4417">
        <f>"Payer recredentialing – "&amp;IF(LEN(INDEX('Providers'!$A$4:$A$503,414))=0,"",INDEX('Providers'!$A$4:$A$503,414))</f>
        <v/>
      </c>
      <c r="E4417">
        <f>IF(ISNUMBER(INDEX('Providers'!$AA$4:$AA$503,414)),TEXT(INDEX('Providers'!$AA$4:$AA$503,414),"yyyy-mm-dd"),"")</f>
        <v/>
      </c>
      <c r="F4417">
        <f>"Credentialing"</f>
        <v/>
      </c>
      <c r="G4417">
        <f>""</f>
        <v/>
      </c>
      <c r="H4417">
        <f>"High"</f>
        <v/>
      </c>
      <c r="I4417">
        <f>TRIM(IF(LEN(IF(LEN(INDEX('Providers'!$Z$4:$Z$503,414))=0,"",INDEX('Providers'!$Z$4:$Z$503,414)))=0,"","Payer(s): "&amp;IF(LEN(INDEX('Providers'!$Z$4:$Z$503,414))=0,"",INDEX('Providers'!$Z$4:$Z$503,414))&amp;". "))</f>
        <v/>
      </c>
      <c r="J4417">
        <f>IF(LEN(INDEX('Providers'!$AJ$4:$AJ$503,414))=0,"",INDEX('Providers'!$AJ$4:$AJ$503,414))</f>
        <v/>
      </c>
      <c r="K4417">
        <f>IF(LEN(INDEX('Providers'!$AI$4:$AI$503,414))=0,"",INDEX('Providers'!$AI$4:$AI$503,414))</f>
        <v/>
      </c>
    </row>
    <row r="4418">
      <c r="A4418">
        <f>IF(AND(LEN('Providers'!A418)&gt;0,ISNUMBER('Providers'!AA418)),1,0)</f>
        <v/>
      </c>
      <c r="B4418">
        <f>B4417+A4418</f>
        <v/>
      </c>
      <c r="C4418">
        <f>IF(4415&gt;$B$4503,"",MATCH(4415-0.5,$B$3:$B$4503,1))</f>
        <v/>
      </c>
      <c r="D4418">
        <f>"Payer recredentialing – "&amp;IF(LEN(INDEX('Providers'!$A$4:$A$503,415))=0,"",INDEX('Providers'!$A$4:$A$503,415))</f>
        <v/>
      </c>
      <c r="E4418">
        <f>IF(ISNUMBER(INDEX('Providers'!$AA$4:$AA$503,415)),TEXT(INDEX('Providers'!$AA$4:$AA$503,415),"yyyy-mm-dd"),"")</f>
        <v/>
      </c>
      <c r="F4418">
        <f>"Credentialing"</f>
        <v/>
      </c>
      <c r="G4418">
        <f>""</f>
        <v/>
      </c>
      <c r="H4418">
        <f>"High"</f>
        <v/>
      </c>
      <c r="I4418">
        <f>TRIM(IF(LEN(IF(LEN(INDEX('Providers'!$Z$4:$Z$503,415))=0,"",INDEX('Providers'!$Z$4:$Z$503,415)))=0,"","Payer(s): "&amp;IF(LEN(INDEX('Providers'!$Z$4:$Z$503,415))=0,"",INDEX('Providers'!$Z$4:$Z$503,415))&amp;". "))</f>
        <v/>
      </c>
      <c r="J4418">
        <f>IF(LEN(INDEX('Providers'!$AJ$4:$AJ$503,415))=0,"",INDEX('Providers'!$AJ$4:$AJ$503,415))</f>
        <v/>
      </c>
      <c r="K4418">
        <f>IF(LEN(INDEX('Providers'!$AI$4:$AI$503,415))=0,"",INDEX('Providers'!$AI$4:$AI$503,415))</f>
        <v/>
      </c>
    </row>
    <row r="4419">
      <c r="A4419">
        <f>IF(AND(LEN('Providers'!A419)&gt;0,ISNUMBER('Providers'!AA419)),1,0)</f>
        <v/>
      </c>
      <c r="B4419">
        <f>B4418+A4419</f>
        <v/>
      </c>
      <c r="C4419">
        <f>IF(4416&gt;$B$4503,"",MATCH(4416-0.5,$B$3:$B$4503,1))</f>
        <v/>
      </c>
      <c r="D4419">
        <f>"Payer recredentialing – "&amp;IF(LEN(INDEX('Providers'!$A$4:$A$503,416))=0,"",INDEX('Providers'!$A$4:$A$503,416))</f>
        <v/>
      </c>
      <c r="E4419">
        <f>IF(ISNUMBER(INDEX('Providers'!$AA$4:$AA$503,416)),TEXT(INDEX('Providers'!$AA$4:$AA$503,416),"yyyy-mm-dd"),"")</f>
        <v/>
      </c>
      <c r="F4419">
        <f>"Credentialing"</f>
        <v/>
      </c>
      <c r="G4419">
        <f>""</f>
        <v/>
      </c>
      <c r="H4419">
        <f>"High"</f>
        <v/>
      </c>
      <c r="I4419">
        <f>TRIM(IF(LEN(IF(LEN(INDEX('Providers'!$Z$4:$Z$503,416))=0,"",INDEX('Providers'!$Z$4:$Z$503,416)))=0,"","Payer(s): "&amp;IF(LEN(INDEX('Providers'!$Z$4:$Z$503,416))=0,"",INDEX('Providers'!$Z$4:$Z$503,416))&amp;". "))</f>
        <v/>
      </c>
      <c r="J4419">
        <f>IF(LEN(INDEX('Providers'!$AJ$4:$AJ$503,416))=0,"",INDEX('Providers'!$AJ$4:$AJ$503,416))</f>
        <v/>
      </c>
      <c r="K4419">
        <f>IF(LEN(INDEX('Providers'!$AI$4:$AI$503,416))=0,"",INDEX('Providers'!$AI$4:$AI$503,416))</f>
        <v/>
      </c>
    </row>
    <row r="4420">
      <c r="A4420">
        <f>IF(AND(LEN('Providers'!A420)&gt;0,ISNUMBER('Providers'!AA420)),1,0)</f>
        <v/>
      </c>
      <c r="B4420">
        <f>B4419+A4420</f>
        <v/>
      </c>
      <c r="C4420">
        <f>IF(4417&gt;$B$4503,"",MATCH(4417-0.5,$B$3:$B$4503,1))</f>
        <v/>
      </c>
      <c r="D4420">
        <f>"Payer recredentialing – "&amp;IF(LEN(INDEX('Providers'!$A$4:$A$503,417))=0,"",INDEX('Providers'!$A$4:$A$503,417))</f>
        <v/>
      </c>
      <c r="E4420">
        <f>IF(ISNUMBER(INDEX('Providers'!$AA$4:$AA$503,417)),TEXT(INDEX('Providers'!$AA$4:$AA$503,417),"yyyy-mm-dd"),"")</f>
        <v/>
      </c>
      <c r="F4420">
        <f>"Credentialing"</f>
        <v/>
      </c>
      <c r="G4420">
        <f>""</f>
        <v/>
      </c>
      <c r="H4420">
        <f>"High"</f>
        <v/>
      </c>
      <c r="I4420">
        <f>TRIM(IF(LEN(IF(LEN(INDEX('Providers'!$Z$4:$Z$503,417))=0,"",INDEX('Providers'!$Z$4:$Z$503,417)))=0,"","Payer(s): "&amp;IF(LEN(INDEX('Providers'!$Z$4:$Z$503,417))=0,"",INDEX('Providers'!$Z$4:$Z$503,417))&amp;". "))</f>
        <v/>
      </c>
      <c r="J4420">
        <f>IF(LEN(INDEX('Providers'!$AJ$4:$AJ$503,417))=0,"",INDEX('Providers'!$AJ$4:$AJ$503,417))</f>
        <v/>
      </c>
      <c r="K4420">
        <f>IF(LEN(INDEX('Providers'!$AI$4:$AI$503,417))=0,"",INDEX('Providers'!$AI$4:$AI$503,417))</f>
        <v/>
      </c>
    </row>
    <row r="4421">
      <c r="A4421">
        <f>IF(AND(LEN('Providers'!A421)&gt;0,ISNUMBER('Providers'!AA421)),1,0)</f>
        <v/>
      </c>
      <c r="B4421">
        <f>B4420+A4421</f>
        <v/>
      </c>
      <c r="C4421">
        <f>IF(4418&gt;$B$4503,"",MATCH(4418-0.5,$B$3:$B$4503,1))</f>
        <v/>
      </c>
      <c r="D4421">
        <f>"Payer recredentialing – "&amp;IF(LEN(INDEX('Providers'!$A$4:$A$503,418))=0,"",INDEX('Providers'!$A$4:$A$503,418))</f>
        <v/>
      </c>
      <c r="E4421">
        <f>IF(ISNUMBER(INDEX('Providers'!$AA$4:$AA$503,418)),TEXT(INDEX('Providers'!$AA$4:$AA$503,418),"yyyy-mm-dd"),"")</f>
        <v/>
      </c>
      <c r="F4421">
        <f>"Credentialing"</f>
        <v/>
      </c>
      <c r="G4421">
        <f>""</f>
        <v/>
      </c>
      <c r="H4421">
        <f>"High"</f>
        <v/>
      </c>
      <c r="I4421">
        <f>TRIM(IF(LEN(IF(LEN(INDEX('Providers'!$Z$4:$Z$503,418))=0,"",INDEX('Providers'!$Z$4:$Z$503,418)))=0,"","Payer(s): "&amp;IF(LEN(INDEX('Providers'!$Z$4:$Z$503,418))=0,"",INDEX('Providers'!$Z$4:$Z$503,418))&amp;". "))</f>
        <v/>
      </c>
      <c r="J4421">
        <f>IF(LEN(INDEX('Providers'!$AJ$4:$AJ$503,418))=0,"",INDEX('Providers'!$AJ$4:$AJ$503,418))</f>
        <v/>
      </c>
      <c r="K4421">
        <f>IF(LEN(INDEX('Providers'!$AI$4:$AI$503,418))=0,"",INDEX('Providers'!$AI$4:$AI$503,418))</f>
        <v/>
      </c>
    </row>
    <row r="4422">
      <c r="A4422">
        <f>IF(AND(LEN('Providers'!A422)&gt;0,ISNUMBER('Providers'!AA422)),1,0)</f>
        <v/>
      </c>
      <c r="B4422">
        <f>B4421+A4422</f>
        <v/>
      </c>
      <c r="C4422">
        <f>IF(4419&gt;$B$4503,"",MATCH(4419-0.5,$B$3:$B$4503,1))</f>
        <v/>
      </c>
      <c r="D4422">
        <f>"Payer recredentialing – "&amp;IF(LEN(INDEX('Providers'!$A$4:$A$503,419))=0,"",INDEX('Providers'!$A$4:$A$503,419))</f>
        <v/>
      </c>
      <c r="E4422">
        <f>IF(ISNUMBER(INDEX('Providers'!$AA$4:$AA$503,419)),TEXT(INDEX('Providers'!$AA$4:$AA$503,419),"yyyy-mm-dd"),"")</f>
        <v/>
      </c>
      <c r="F4422">
        <f>"Credentialing"</f>
        <v/>
      </c>
      <c r="G4422">
        <f>""</f>
        <v/>
      </c>
      <c r="H4422">
        <f>"High"</f>
        <v/>
      </c>
      <c r="I4422">
        <f>TRIM(IF(LEN(IF(LEN(INDEX('Providers'!$Z$4:$Z$503,419))=0,"",INDEX('Providers'!$Z$4:$Z$503,419)))=0,"","Payer(s): "&amp;IF(LEN(INDEX('Providers'!$Z$4:$Z$503,419))=0,"",INDEX('Providers'!$Z$4:$Z$503,419))&amp;". "))</f>
        <v/>
      </c>
      <c r="J4422">
        <f>IF(LEN(INDEX('Providers'!$AJ$4:$AJ$503,419))=0,"",INDEX('Providers'!$AJ$4:$AJ$503,419))</f>
        <v/>
      </c>
      <c r="K4422">
        <f>IF(LEN(INDEX('Providers'!$AI$4:$AI$503,419))=0,"",INDEX('Providers'!$AI$4:$AI$503,419))</f>
        <v/>
      </c>
    </row>
    <row r="4423">
      <c r="A4423">
        <f>IF(AND(LEN('Providers'!A423)&gt;0,ISNUMBER('Providers'!AA423)),1,0)</f>
        <v/>
      </c>
      <c r="B4423">
        <f>B4422+A4423</f>
        <v/>
      </c>
      <c r="C4423">
        <f>IF(4420&gt;$B$4503,"",MATCH(4420-0.5,$B$3:$B$4503,1))</f>
        <v/>
      </c>
      <c r="D4423">
        <f>"Payer recredentialing – "&amp;IF(LEN(INDEX('Providers'!$A$4:$A$503,420))=0,"",INDEX('Providers'!$A$4:$A$503,420))</f>
        <v/>
      </c>
      <c r="E4423">
        <f>IF(ISNUMBER(INDEX('Providers'!$AA$4:$AA$503,420)),TEXT(INDEX('Providers'!$AA$4:$AA$503,420),"yyyy-mm-dd"),"")</f>
        <v/>
      </c>
      <c r="F4423">
        <f>"Credentialing"</f>
        <v/>
      </c>
      <c r="G4423">
        <f>""</f>
        <v/>
      </c>
      <c r="H4423">
        <f>"High"</f>
        <v/>
      </c>
      <c r="I4423">
        <f>TRIM(IF(LEN(IF(LEN(INDEX('Providers'!$Z$4:$Z$503,420))=0,"",INDEX('Providers'!$Z$4:$Z$503,420)))=0,"","Payer(s): "&amp;IF(LEN(INDEX('Providers'!$Z$4:$Z$503,420))=0,"",INDEX('Providers'!$Z$4:$Z$503,420))&amp;". "))</f>
        <v/>
      </c>
      <c r="J4423">
        <f>IF(LEN(INDEX('Providers'!$AJ$4:$AJ$503,420))=0,"",INDEX('Providers'!$AJ$4:$AJ$503,420))</f>
        <v/>
      </c>
      <c r="K4423">
        <f>IF(LEN(INDEX('Providers'!$AI$4:$AI$503,420))=0,"",INDEX('Providers'!$AI$4:$AI$503,420))</f>
        <v/>
      </c>
    </row>
    <row r="4424">
      <c r="A4424">
        <f>IF(AND(LEN('Providers'!A424)&gt;0,ISNUMBER('Providers'!AA424)),1,0)</f>
        <v/>
      </c>
      <c r="B4424">
        <f>B4423+A4424</f>
        <v/>
      </c>
      <c r="C4424">
        <f>IF(4421&gt;$B$4503,"",MATCH(4421-0.5,$B$3:$B$4503,1))</f>
        <v/>
      </c>
      <c r="D4424">
        <f>"Payer recredentialing – "&amp;IF(LEN(INDEX('Providers'!$A$4:$A$503,421))=0,"",INDEX('Providers'!$A$4:$A$503,421))</f>
        <v/>
      </c>
      <c r="E4424">
        <f>IF(ISNUMBER(INDEX('Providers'!$AA$4:$AA$503,421)),TEXT(INDEX('Providers'!$AA$4:$AA$503,421),"yyyy-mm-dd"),"")</f>
        <v/>
      </c>
      <c r="F4424">
        <f>"Credentialing"</f>
        <v/>
      </c>
      <c r="G4424">
        <f>""</f>
        <v/>
      </c>
      <c r="H4424">
        <f>"High"</f>
        <v/>
      </c>
      <c r="I4424">
        <f>TRIM(IF(LEN(IF(LEN(INDEX('Providers'!$Z$4:$Z$503,421))=0,"",INDEX('Providers'!$Z$4:$Z$503,421)))=0,"","Payer(s): "&amp;IF(LEN(INDEX('Providers'!$Z$4:$Z$503,421))=0,"",INDEX('Providers'!$Z$4:$Z$503,421))&amp;". "))</f>
        <v/>
      </c>
      <c r="J4424">
        <f>IF(LEN(INDEX('Providers'!$AJ$4:$AJ$503,421))=0,"",INDEX('Providers'!$AJ$4:$AJ$503,421))</f>
        <v/>
      </c>
      <c r="K4424">
        <f>IF(LEN(INDEX('Providers'!$AI$4:$AI$503,421))=0,"",INDEX('Providers'!$AI$4:$AI$503,421))</f>
        <v/>
      </c>
    </row>
    <row r="4425">
      <c r="A4425">
        <f>IF(AND(LEN('Providers'!A425)&gt;0,ISNUMBER('Providers'!AA425)),1,0)</f>
        <v/>
      </c>
      <c r="B4425">
        <f>B4424+A4425</f>
        <v/>
      </c>
      <c r="C4425">
        <f>IF(4422&gt;$B$4503,"",MATCH(4422-0.5,$B$3:$B$4503,1))</f>
        <v/>
      </c>
      <c r="D4425">
        <f>"Payer recredentialing – "&amp;IF(LEN(INDEX('Providers'!$A$4:$A$503,422))=0,"",INDEX('Providers'!$A$4:$A$503,422))</f>
        <v/>
      </c>
      <c r="E4425">
        <f>IF(ISNUMBER(INDEX('Providers'!$AA$4:$AA$503,422)),TEXT(INDEX('Providers'!$AA$4:$AA$503,422),"yyyy-mm-dd"),"")</f>
        <v/>
      </c>
      <c r="F4425">
        <f>"Credentialing"</f>
        <v/>
      </c>
      <c r="G4425">
        <f>""</f>
        <v/>
      </c>
      <c r="H4425">
        <f>"High"</f>
        <v/>
      </c>
      <c r="I4425">
        <f>TRIM(IF(LEN(IF(LEN(INDEX('Providers'!$Z$4:$Z$503,422))=0,"",INDEX('Providers'!$Z$4:$Z$503,422)))=0,"","Payer(s): "&amp;IF(LEN(INDEX('Providers'!$Z$4:$Z$503,422))=0,"",INDEX('Providers'!$Z$4:$Z$503,422))&amp;". "))</f>
        <v/>
      </c>
      <c r="J4425">
        <f>IF(LEN(INDEX('Providers'!$AJ$4:$AJ$503,422))=0,"",INDEX('Providers'!$AJ$4:$AJ$503,422))</f>
        <v/>
      </c>
      <c r="K4425">
        <f>IF(LEN(INDEX('Providers'!$AI$4:$AI$503,422))=0,"",INDEX('Providers'!$AI$4:$AI$503,422))</f>
        <v/>
      </c>
    </row>
    <row r="4426">
      <c r="A4426">
        <f>IF(AND(LEN('Providers'!A426)&gt;0,ISNUMBER('Providers'!AA426)),1,0)</f>
        <v/>
      </c>
      <c r="B4426">
        <f>B4425+A4426</f>
        <v/>
      </c>
      <c r="C4426">
        <f>IF(4423&gt;$B$4503,"",MATCH(4423-0.5,$B$3:$B$4503,1))</f>
        <v/>
      </c>
      <c r="D4426">
        <f>"Payer recredentialing – "&amp;IF(LEN(INDEX('Providers'!$A$4:$A$503,423))=0,"",INDEX('Providers'!$A$4:$A$503,423))</f>
        <v/>
      </c>
      <c r="E4426">
        <f>IF(ISNUMBER(INDEX('Providers'!$AA$4:$AA$503,423)),TEXT(INDEX('Providers'!$AA$4:$AA$503,423),"yyyy-mm-dd"),"")</f>
        <v/>
      </c>
      <c r="F4426">
        <f>"Credentialing"</f>
        <v/>
      </c>
      <c r="G4426">
        <f>""</f>
        <v/>
      </c>
      <c r="H4426">
        <f>"High"</f>
        <v/>
      </c>
      <c r="I4426">
        <f>TRIM(IF(LEN(IF(LEN(INDEX('Providers'!$Z$4:$Z$503,423))=0,"",INDEX('Providers'!$Z$4:$Z$503,423)))=0,"","Payer(s): "&amp;IF(LEN(INDEX('Providers'!$Z$4:$Z$503,423))=0,"",INDEX('Providers'!$Z$4:$Z$503,423))&amp;". "))</f>
        <v/>
      </c>
      <c r="J4426">
        <f>IF(LEN(INDEX('Providers'!$AJ$4:$AJ$503,423))=0,"",INDEX('Providers'!$AJ$4:$AJ$503,423))</f>
        <v/>
      </c>
      <c r="K4426">
        <f>IF(LEN(INDEX('Providers'!$AI$4:$AI$503,423))=0,"",INDEX('Providers'!$AI$4:$AI$503,423))</f>
        <v/>
      </c>
    </row>
    <row r="4427">
      <c r="A4427">
        <f>IF(AND(LEN('Providers'!A427)&gt;0,ISNUMBER('Providers'!AA427)),1,0)</f>
        <v/>
      </c>
      <c r="B4427">
        <f>B4426+A4427</f>
        <v/>
      </c>
      <c r="C4427">
        <f>IF(4424&gt;$B$4503,"",MATCH(4424-0.5,$B$3:$B$4503,1))</f>
        <v/>
      </c>
      <c r="D4427">
        <f>"Payer recredentialing – "&amp;IF(LEN(INDEX('Providers'!$A$4:$A$503,424))=0,"",INDEX('Providers'!$A$4:$A$503,424))</f>
        <v/>
      </c>
      <c r="E4427">
        <f>IF(ISNUMBER(INDEX('Providers'!$AA$4:$AA$503,424)),TEXT(INDEX('Providers'!$AA$4:$AA$503,424),"yyyy-mm-dd"),"")</f>
        <v/>
      </c>
      <c r="F4427">
        <f>"Credentialing"</f>
        <v/>
      </c>
      <c r="G4427">
        <f>""</f>
        <v/>
      </c>
      <c r="H4427">
        <f>"High"</f>
        <v/>
      </c>
      <c r="I4427">
        <f>TRIM(IF(LEN(IF(LEN(INDEX('Providers'!$Z$4:$Z$503,424))=0,"",INDEX('Providers'!$Z$4:$Z$503,424)))=0,"","Payer(s): "&amp;IF(LEN(INDEX('Providers'!$Z$4:$Z$503,424))=0,"",INDEX('Providers'!$Z$4:$Z$503,424))&amp;". "))</f>
        <v/>
      </c>
      <c r="J4427">
        <f>IF(LEN(INDEX('Providers'!$AJ$4:$AJ$503,424))=0,"",INDEX('Providers'!$AJ$4:$AJ$503,424))</f>
        <v/>
      </c>
      <c r="K4427">
        <f>IF(LEN(INDEX('Providers'!$AI$4:$AI$503,424))=0,"",INDEX('Providers'!$AI$4:$AI$503,424))</f>
        <v/>
      </c>
    </row>
    <row r="4428">
      <c r="A4428">
        <f>IF(AND(LEN('Providers'!A428)&gt;0,ISNUMBER('Providers'!AA428)),1,0)</f>
        <v/>
      </c>
      <c r="B4428">
        <f>B4427+A4428</f>
        <v/>
      </c>
      <c r="C4428">
        <f>IF(4425&gt;$B$4503,"",MATCH(4425-0.5,$B$3:$B$4503,1))</f>
        <v/>
      </c>
      <c r="D4428">
        <f>"Payer recredentialing – "&amp;IF(LEN(INDEX('Providers'!$A$4:$A$503,425))=0,"",INDEX('Providers'!$A$4:$A$503,425))</f>
        <v/>
      </c>
      <c r="E4428">
        <f>IF(ISNUMBER(INDEX('Providers'!$AA$4:$AA$503,425)),TEXT(INDEX('Providers'!$AA$4:$AA$503,425),"yyyy-mm-dd"),"")</f>
        <v/>
      </c>
      <c r="F4428">
        <f>"Credentialing"</f>
        <v/>
      </c>
      <c r="G4428">
        <f>""</f>
        <v/>
      </c>
      <c r="H4428">
        <f>"High"</f>
        <v/>
      </c>
      <c r="I4428">
        <f>TRIM(IF(LEN(IF(LEN(INDEX('Providers'!$Z$4:$Z$503,425))=0,"",INDEX('Providers'!$Z$4:$Z$503,425)))=0,"","Payer(s): "&amp;IF(LEN(INDEX('Providers'!$Z$4:$Z$503,425))=0,"",INDEX('Providers'!$Z$4:$Z$503,425))&amp;". "))</f>
        <v/>
      </c>
      <c r="J4428">
        <f>IF(LEN(INDEX('Providers'!$AJ$4:$AJ$503,425))=0,"",INDEX('Providers'!$AJ$4:$AJ$503,425))</f>
        <v/>
      </c>
      <c r="K4428">
        <f>IF(LEN(INDEX('Providers'!$AI$4:$AI$503,425))=0,"",INDEX('Providers'!$AI$4:$AI$503,425))</f>
        <v/>
      </c>
    </row>
    <row r="4429">
      <c r="A4429">
        <f>IF(AND(LEN('Providers'!A429)&gt;0,ISNUMBER('Providers'!AA429)),1,0)</f>
        <v/>
      </c>
      <c r="B4429">
        <f>B4428+A4429</f>
        <v/>
      </c>
      <c r="C4429">
        <f>IF(4426&gt;$B$4503,"",MATCH(4426-0.5,$B$3:$B$4503,1))</f>
        <v/>
      </c>
      <c r="D4429">
        <f>"Payer recredentialing – "&amp;IF(LEN(INDEX('Providers'!$A$4:$A$503,426))=0,"",INDEX('Providers'!$A$4:$A$503,426))</f>
        <v/>
      </c>
      <c r="E4429">
        <f>IF(ISNUMBER(INDEX('Providers'!$AA$4:$AA$503,426)),TEXT(INDEX('Providers'!$AA$4:$AA$503,426),"yyyy-mm-dd"),"")</f>
        <v/>
      </c>
      <c r="F4429">
        <f>"Credentialing"</f>
        <v/>
      </c>
      <c r="G4429">
        <f>""</f>
        <v/>
      </c>
      <c r="H4429">
        <f>"High"</f>
        <v/>
      </c>
      <c r="I4429">
        <f>TRIM(IF(LEN(IF(LEN(INDEX('Providers'!$Z$4:$Z$503,426))=0,"",INDEX('Providers'!$Z$4:$Z$503,426)))=0,"","Payer(s): "&amp;IF(LEN(INDEX('Providers'!$Z$4:$Z$503,426))=0,"",INDEX('Providers'!$Z$4:$Z$503,426))&amp;". "))</f>
        <v/>
      </c>
      <c r="J4429">
        <f>IF(LEN(INDEX('Providers'!$AJ$4:$AJ$503,426))=0,"",INDEX('Providers'!$AJ$4:$AJ$503,426))</f>
        <v/>
      </c>
      <c r="K4429">
        <f>IF(LEN(INDEX('Providers'!$AI$4:$AI$503,426))=0,"",INDEX('Providers'!$AI$4:$AI$503,426))</f>
        <v/>
      </c>
    </row>
    <row r="4430">
      <c r="A4430">
        <f>IF(AND(LEN('Providers'!A430)&gt;0,ISNUMBER('Providers'!AA430)),1,0)</f>
        <v/>
      </c>
      <c r="B4430">
        <f>B4429+A4430</f>
        <v/>
      </c>
      <c r="C4430">
        <f>IF(4427&gt;$B$4503,"",MATCH(4427-0.5,$B$3:$B$4503,1))</f>
        <v/>
      </c>
      <c r="D4430">
        <f>"Payer recredentialing – "&amp;IF(LEN(INDEX('Providers'!$A$4:$A$503,427))=0,"",INDEX('Providers'!$A$4:$A$503,427))</f>
        <v/>
      </c>
      <c r="E4430">
        <f>IF(ISNUMBER(INDEX('Providers'!$AA$4:$AA$503,427)),TEXT(INDEX('Providers'!$AA$4:$AA$503,427),"yyyy-mm-dd"),"")</f>
        <v/>
      </c>
      <c r="F4430">
        <f>"Credentialing"</f>
        <v/>
      </c>
      <c r="G4430">
        <f>""</f>
        <v/>
      </c>
      <c r="H4430">
        <f>"High"</f>
        <v/>
      </c>
      <c r="I4430">
        <f>TRIM(IF(LEN(IF(LEN(INDEX('Providers'!$Z$4:$Z$503,427))=0,"",INDEX('Providers'!$Z$4:$Z$503,427)))=0,"","Payer(s): "&amp;IF(LEN(INDEX('Providers'!$Z$4:$Z$503,427))=0,"",INDEX('Providers'!$Z$4:$Z$503,427))&amp;". "))</f>
        <v/>
      </c>
      <c r="J4430">
        <f>IF(LEN(INDEX('Providers'!$AJ$4:$AJ$503,427))=0,"",INDEX('Providers'!$AJ$4:$AJ$503,427))</f>
        <v/>
      </c>
      <c r="K4430">
        <f>IF(LEN(INDEX('Providers'!$AI$4:$AI$503,427))=0,"",INDEX('Providers'!$AI$4:$AI$503,427))</f>
        <v/>
      </c>
    </row>
    <row r="4431">
      <c r="A4431">
        <f>IF(AND(LEN('Providers'!A431)&gt;0,ISNUMBER('Providers'!AA431)),1,0)</f>
        <v/>
      </c>
      <c r="B4431">
        <f>B4430+A4431</f>
        <v/>
      </c>
      <c r="C4431">
        <f>IF(4428&gt;$B$4503,"",MATCH(4428-0.5,$B$3:$B$4503,1))</f>
        <v/>
      </c>
      <c r="D4431">
        <f>"Payer recredentialing – "&amp;IF(LEN(INDEX('Providers'!$A$4:$A$503,428))=0,"",INDEX('Providers'!$A$4:$A$503,428))</f>
        <v/>
      </c>
      <c r="E4431">
        <f>IF(ISNUMBER(INDEX('Providers'!$AA$4:$AA$503,428)),TEXT(INDEX('Providers'!$AA$4:$AA$503,428),"yyyy-mm-dd"),"")</f>
        <v/>
      </c>
      <c r="F4431">
        <f>"Credentialing"</f>
        <v/>
      </c>
      <c r="G4431">
        <f>""</f>
        <v/>
      </c>
      <c r="H4431">
        <f>"High"</f>
        <v/>
      </c>
      <c r="I4431">
        <f>TRIM(IF(LEN(IF(LEN(INDEX('Providers'!$Z$4:$Z$503,428))=0,"",INDEX('Providers'!$Z$4:$Z$503,428)))=0,"","Payer(s): "&amp;IF(LEN(INDEX('Providers'!$Z$4:$Z$503,428))=0,"",INDEX('Providers'!$Z$4:$Z$503,428))&amp;". "))</f>
        <v/>
      </c>
      <c r="J4431">
        <f>IF(LEN(INDEX('Providers'!$AJ$4:$AJ$503,428))=0,"",INDEX('Providers'!$AJ$4:$AJ$503,428))</f>
        <v/>
      </c>
      <c r="K4431">
        <f>IF(LEN(INDEX('Providers'!$AI$4:$AI$503,428))=0,"",INDEX('Providers'!$AI$4:$AI$503,428))</f>
        <v/>
      </c>
    </row>
    <row r="4432">
      <c r="A4432">
        <f>IF(AND(LEN('Providers'!A432)&gt;0,ISNUMBER('Providers'!AA432)),1,0)</f>
        <v/>
      </c>
      <c r="B4432">
        <f>B4431+A4432</f>
        <v/>
      </c>
      <c r="C4432">
        <f>IF(4429&gt;$B$4503,"",MATCH(4429-0.5,$B$3:$B$4503,1))</f>
        <v/>
      </c>
      <c r="D4432">
        <f>"Payer recredentialing – "&amp;IF(LEN(INDEX('Providers'!$A$4:$A$503,429))=0,"",INDEX('Providers'!$A$4:$A$503,429))</f>
        <v/>
      </c>
      <c r="E4432">
        <f>IF(ISNUMBER(INDEX('Providers'!$AA$4:$AA$503,429)),TEXT(INDEX('Providers'!$AA$4:$AA$503,429),"yyyy-mm-dd"),"")</f>
        <v/>
      </c>
      <c r="F4432">
        <f>"Credentialing"</f>
        <v/>
      </c>
      <c r="G4432">
        <f>""</f>
        <v/>
      </c>
      <c r="H4432">
        <f>"High"</f>
        <v/>
      </c>
      <c r="I4432">
        <f>TRIM(IF(LEN(IF(LEN(INDEX('Providers'!$Z$4:$Z$503,429))=0,"",INDEX('Providers'!$Z$4:$Z$503,429)))=0,"","Payer(s): "&amp;IF(LEN(INDEX('Providers'!$Z$4:$Z$503,429))=0,"",INDEX('Providers'!$Z$4:$Z$503,429))&amp;". "))</f>
        <v/>
      </c>
      <c r="J4432">
        <f>IF(LEN(INDEX('Providers'!$AJ$4:$AJ$503,429))=0,"",INDEX('Providers'!$AJ$4:$AJ$503,429))</f>
        <v/>
      </c>
      <c r="K4432">
        <f>IF(LEN(INDEX('Providers'!$AI$4:$AI$503,429))=0,"",INDEX('Providers'!$AI$4:$AI$503,429))</f>
        <v/>
      </c>
    </row>
    <row r="4433">
      <c r="A4433">
        <f>IF(AND(LEN('Providers'!A433)&gt;0,ISNUMBER('Providers'!AA433)),1,0)</f>
        <v/>
      </c>
      <c r="B4433">
        <f>B4432+A4433</f>
        <v/>
      </c>
      <c r="C4433">
        <f>IF(4430&gt;$B$4503,"",MATCH(4430-0.5,$B$3:$B$4503,1))</f>
        <v/>
      </c>
      <c r="D4433">
        <f>"Payer recredentialing – "&amp;IF(LEN(INDEX('Providers'!$A$4:$A$503,430))=0,"",INDEX('Providers'!$A$4:$A$503,430))</f>
        <v/>
      </c>
      <c r="E4433">
        <f>IF(ISNUMBER(INDEX('Providers'!$AA$4:$AA$503,430)),TEXT(INDEX('Providers'!$AA$4:$AA$503,430),"yyyy-mm-dd"),"")</f>
        <v/>
      </c>
      <c r="F4433">
        <f>"Credentialing"</f>
        <v/>
      </c>
      <c r="G4433">
        <f>""</f>
        <v/>
      </c>
      <c r="H4433">
        <f>"High"</f>
        <v/>
      </c>
      <c r="I4433">
        <f>TRIM(IF(LEN(IF(LEN(INDEX('Providers'!$Z$4:$Z$503,430))=0,"",INDEX('Providers'!$Z$4:$Z$503,430)))=0,"","Payer(s): "&amp;IF(LEN(INDEX('Providers'!$Z$4:$Z$503,430))=0,"",INDEX('Providers'!$Z$4:$Z$503,430))&amp;". "))</f>
        <v/>
      </c>
      <c r="J4433">
        <f>IF(LEN(INDEX('Providers'!$AJ$4:$AJ$503,430))=0,"",INDEX('Providers'!$AJ$4:$AJ$503,430))</f>
        <v/>
      </c>
      <c r="K4433">
        <f>IF(LEN(INDEX('Providers'!$AI$4:$AI$503,430))=0,"",INDEX('Providers'!$AI$4:$AI$503,430))</f>
        <v/>
      </c>
    </row>
    <row r="4434">
      <c r="A4434">
        <f>IF(AND(LEN('Providers'!A434)&gt;0,ISNUMBER('Providers'!AA434)),1,0)</f>
        <v/>
      </c>
      <c r="B4434">
        <f>B4433+A4434</f>
        <v/>
      </c>
      <c r="C4434">
        <f>IF(4431&gt;$B$4503,"",MATCH(4431-0.5,$B$3:$B$4503,1))</f>
        <v/>
      </c>
      <c r="D4434">
        <f>"Payer recredentialing – "&amp;IF(LEN(INDEX('Providers'!$A$4:$A$503,431))=0,"",INDEX('Providers'!$A$4:$A$503,431))</f>
        <v/>
      </c>
      <c r="E4434">
        <f>IF(ISNUMBER(INDEX('Providers'!$AA$4:$AA$503,431)),TEXT(INDEX('Providers'!$AA$4:$AA$503,431),"yyyy-mm-dd"),"")</f>
        <v/>
      </c>
      <c r="F4434">
        <f>"Credentialing"</f>
        <v/>
      </c>
      <c r="G4434">
        <f>""</f>
        <v/>
      </c>
      <c r="H4434">
        <f>"High"</f>
        <v/>
      </c>
      <c r="I4434">
        <f>TRIM(IF(LEN(IF(LEN(INDEX('Providers'!$Z$4:$Z$503,431))=0,"",INDEX('Providers'!$Z$4:$Z$503,431)))=0,"","Payer(s): "&amp;IF(LEN(INDEX('Providers'!$Z$4:$Z$503,431))=0,"",INDEX('Providers'!$Z$4:$Z$503,431))&amp;". "))</f>
        <v/>
      </c>
      <c r="J4434">
        <f>IF(LEN(INDEX('Providers'!$AJ$4:$AJ$503,431))=0,"",INDEX('Providers'!$AJ$4:$AJ$503,431))</f>
        <v/>
      </c>
      <c r="K4434">
        <f>IF(LEN(INDEX('Providers'!$AI$4:$AI$503,431))=0,"",INDEX('Providers'!$AI$4:$AI$503,431))</f>
        <v/>
      </c>
    </row>
    <row r="4435">
      <c r="A4435">
        <f>IF(AND(LEN('Providers'!A435)&gt;0,ISNUMBER('Providers'!AA435)),1,0)</f>
        <v/>
      </c>
      <c r="B4435">
        <f>B4434+A4435</f>
        <v/>
      </c>
      <c r="C4435">
        <f>IF(4432&gt;$B$4503,"",MATCH(4432-0.5,$B$3:$B$4503,1))</f>
        <v/>
      </c>
      <c r="D4435">
        <f>"Payer recredentialing – "&amp;IF(LEN(INDEX('Providers'!$A$4:$A$503,432))=0,"",INDEX('Providers'!$A$4:$A$503,432))</f>
        <v/>
      </c>
      <c r="E4435">
        <f>IF(ISNUMBER(INDEX('Providers'!$AA$4:$AA$503,432)),TEXT(INDEX('Providers'!$AA$4:$AA$503,432),"yyyy-mm-dd"),"")</f>
        <v/>
      </c>
      <c r="F4435">
        <f>"Credentialing"</f>
        <v/>
      </c>
      <c r="G4435">
        <f>""</f>
        <v/>
      </c>
      <c r="H4435">
        <f>"High"</f>
        <v/>
      </c>
      <c r="I4435">
        <f>TRIM(IF(LEN(IF(LEN(INDEX('Providers'!$Z$4:$Z$503,432))=0,"",INDEX('Providers'!$Z$4:$Z$503,432)))=0,"","Payer(s): "&amp;IF(LEN(INDEX('Providers'!$Z$4:$Z$503,432))=0,"",INDEX('Providers'!$Z$4:$Z$503,432))&amp;". "))</f>
        <v/>
      </c>
      <c r="J4435">
        <f>IF(LEN(INDEX('Providers'!$AJ$4:$AJ$503,432))=0,"",INDEX('Providers'!$AJ$4:$AJ$503,432))</f>
        <v/>
      </c>
      <c r="K4435">
        <f>IF(LEN(INDEX('Providers'!$AI$4:$AI$503,432))=0,"",INDEX('Providers'!$AI$4:$AI$503,432))</f>
        <v/>
      </c>
    </row>
    <row r="4436">
      <c r="A4436">
        <f>IF(AND(LEN('Providers'!A436)&gt;0,ISNUMBER('Providers'!AA436)),1,0)</f>
        <v/>
      </c>
      <c r="B4436">
        <f>B4435+A4436</f>
        <v/>
      </c>
      <c r="C4436">
        <f>IF(4433&gt;$B$4503,"",MATCH(4433-0.5,$B$3:$B$4503,1))</f>
        <v/>
      </c>
      <c r="D4436">
        <f>"Payer recredentialing – "&amp;IF(LEN(INDEX('Providers'!$A$4:$A$503,433))=0,"",INDEX('Providers'!$A$4:$A$503,433))</f>
        <v/>
      </c>
      <c r="E4436">
        <f>IF(ISNUMBER(INDEX('Providers'!$AA$4:$AA$503,433)),TEXT(INDEX('Providers'!$AA$4:$AA$503,433),"yyyy-mm-dd"),"")</f>
        <v/>
      </c>
      <c r="F4436">
        <f>"Credentialing"</f>
        <v/>
      </c>
      <c r="G4436">
        <f>""</f>
        <v/>
      </c>
      <c r="H4436">
        <f>"High"</f>
        <v/>
      </c>
      <c r="I4436">
        <f>TRIM(IF(LEN(IF(LEN(INDEX('Providers'!$Z$4:$Z$503,433))=0,"",INDEX('Providers'!$Z$4:$Z$503,433)))=0,"","Payer(s): "&amp;IF(LEN(INDEX('Providers'!$Z$4:$Z$503,433))=0,"",INDEX('Providers'!$Z$4:$Z$503,433))&amp;". "))</f>
        <v/>
      </c>
      <c r="J4436">
        <f>IF(LEN(INDEX('Providers'!$AJ$4:$AJ$503,433))=0,"",INDEX('Providers'!$AJ$4:$AJ$503,433))</f>
        <v/>
      </c>
      <c r="K4436">
        <f>IF(LEN(INDEX('Providers'!$AI$4:$AI$503,433))=0,"",INDEX('Providers'!$AI$4:$AI$503,433))</f>
        <v/>
      </c>
    </row>
    <row r="4437">
      <c r="A4437">
        <f>IF(AND(LEN('Providers'!A437)&gt;0,ISNUMBER('Providers'!AA437)),1,0)</f>
        <v/>
      </c>
      <c r="B4437">
        <f>B4436+A4437</f>
        <v/>
      </c>
      <c r="C4437">
        <f>IF(4434&gt;$B$4503,"",MATCH(4434-0.5,$B$3:$B$4503,1))</f>
        <v/>
      </c>
      <c r="D4437">
        <f>"Payer recredentialing – "&amp;IF(LEN(INDEX('Providers'!$A$4:$A$503,434))=0,"",INDEX('Providers'!$A$4:$A$503,434))</f>
        <v/>
      </c>
      <c r="E4437">
        <f>IF(ISNUMBER(INDEX('Providers'!$AA$4:$AA$503,434)),TEXT(INDEX('Providers'!$AA$4:$AA$503,434),"yyyy-mm-dd"),"")</f>
        <v/>
      </c>
      <c r="F4437">
        <f>"Credentialing"</f>
        <v/>
      </c>
      <c r="G4437">
        <f>""</f>
        <v/>
      </c>
      <c r="H4437">
        <f>"High"</f>
        <v/>
      </c>
      <c r="I4437">
        <f>TRIM(IF(LEN(IF(LEN(INDEX('Providers'!$Z$4:$Z$503,434))=0,"",INDEX('Providers'!$Z$4:$Z$503,434)))=0,"","Payer(s): "&amp;IF(LEN(INDEX('Providers'!$Z$4:$Z$503,434))=0,"",INDEX('Providers'!$Z$4:$Z$503,434))&amp;". "))</f>
        <v/>
      </c>
      <c r="J4437">
        <f>IF(LEN(INDEX('Providers'!$AJ$4:$AJ$503,434))=0,"",INDEX('Providers'!$AJ$4:$AJ$503,434))</f>
        <v/>
      </c>
      <c r="K4437">
        <f>IF(LEN(INDEX('Providers'!$AI$4:$AI$503,434))=0,"",INDEX('Providers'!$AI$4:$AI$503,434))</f>
        <v/>
      </c>
    </row>
    <row r="4438">
      <c r="A4438">
        <f>IF(AND(LEN('Providers'!A438)&gt;0,ISNUMBER('Providers'!AA438)),1,0)</f>
        <v/>
      </c>
      <c r="B4438">
        <f>B4437+A4438</f>
        <v/>
      </c>
      <c r="C4438">
        <f>IF(4435&gt;$B$4503,"",MATCH(4435-0.5,$B$3:$B$4503,1))</f>
        <v/>
      </c>
      <c r="D4438">
        <f>"Payer recredentialing – "&amp;IF(LEN(INDEX('Providers'!$A$4:$A$503,435))=0,"",INDEX('Providers'!$A$4:$A$503,435))</f>
        <v/>
      </c>
      <c r="E4438">
        <f>IF(ISNUMBER(INDEX('Providers'!$AA$4:$AA$503,435)),TEXT(INDEX('Providers'!$AA$4:$AA$503,435),"yyyy-mm-dd"),"")</f>
        <v/>
      </c>
      <c r="F4438">
        <f>"Credentialing"</f>
        <v/>
      </c>
      <c r="G4438">
        <f>""</f>
        <v/>
      </c>
      <c r="H4438">
        <f>"High"</f>
        <v/>
      </c>
      <c r="I4438">
        <f>TRIM(IF(LEN(IF(LEN(INDEX('Providers'!$Z$4:$Z$503,435))=0,"",INDEX('Providers'!$Z$4:$Z$503,435)))=0,"","Payer(s): "&amp;IF(LEN(INDEX('Providers'!$Z$4:$Z$503,435))=0,"",INDEX('Providers'!$Z$4:$Z$503,435))&amp;". "))</f>
        <v/>
      </c>
      <c r="J4438">
        <f>IF(LEN(INDEX('Providers'!$AJ$4:$AJ$503,435))=0,"",INDEX('Providers'!$AJ$4:$AJ$503,435))</f>
        <v/>
      </c>
      <c r="K4438">
        <f>IF(LEN(INDEX('Providers'!$AI$4:$AI$503,435))=0,"",INDEX('Providers'!$AI$4:$AI$503,435))</f>
        <v/>
      </c>
    </row>
    <row r="4439">
      <c r="A4439">
        <f>IF(AND(LEN('Providers'!A439)&gt;0,ISNUMBER('Providers'!AA439)),1,0)</f>
        <v/>
      </c>
      <c r="B4439">
        <f>B4438+A4439</f>
        <v/>
      </c>
      <c r="C4439">
        <f>IF(4436&gt;$B$4503,"",MATCH(4436-0.5,$B$3:$B$4503,1))</f>
        <v/>
      </c>
      <c r="D4439">
        <f>"Payer recredentialing – "&amp;IF(LEN(INDEX('Providers'!$A$4:$A$503,436))=0,"",INDEX('Providers'!$A$4:$A$503,436))</f>
        <v/>
      </c>
      <c r="E4439">
        <f>IF(ISNUMBER(INDEX('Providers'!$AA$4:$AA$503,436)),TEXT(INDEX('Providers'!$AA$4:$AA$503,436),"yyyy-mm-dd"),"")</f>
        <v/>
      </c>
      <c r="F4439">
        <f>"Credentialing"</f>
        <v/>
      </c>
      <c r="G4439">
        <f>""</f>
        <v/>
      </c>
      <c r="H4439">
        <f>"High"</f>
        <v/>
      </c>
      <c r="I4439">
        <f>TRIM(IF(LEN(IF(LEN(INDEX('Providers'!$Z$4:$Z$503,436))=0,"",INDEX('Providers'!$Z$4:$Z$503,436)))=0,"","Payer(s): "&amp;IF(LEN(INDEX('Providers'!$Z$4:$Z$503,436))=0,"",INDEX('Providers'!$Z$4:$Z$503,436))&amp;". "))</f>
        <v/>
      </c>
      <c r="J4439">
        <f>IF(LEN(INDEX('Providers'!$AJ$4:$AJ$503,436))=0,"",INDEX('Providers'!$AJ$4:$AJ$503,436))</f>
        <v/>
      </c>
      <c r="K4439">
        <f>IF(LEN(INDEX('Providers'!$AI$4:$AI$503,436))=0,"",INDEX('Providers'!$AI$4:$AI$503,436))</f>
        <v/>
      </c>
    </row>
    <row r="4440">
      <c r="A4440">
        <f>IF(AND(LEN('Providers'!A440)&gt;0,ISNUMBER('Providers'!AA440)),1,0)</f>
        <v/>
      </c>
      <c r="B4440">
        <f>B4439+A4440</f>
        <v/>
      </c>
      <c r="C4440">
        <f>IF(4437&gt;$B$4503,"",MATCH(4437-0.5,$B$3:$B$4503,1))</f>
        <v/>
      </c>
      <c r="D4440">
        <f>"Payer recredentialing – "&amp;IF(LEN(INDEX('Providers'!$A$4:$A$503,437))=0,"",INDEX('Providers'!$A$4:$A$503,437))</f>
        <v/>
      </c>
      <c r="E4440">
        <f>IF(ISNUMBER(INDEX('Providers'!$AA$4:$AA$503,437)),TEXT(INDEX('Providers'!$AA$4:$AA$503,437),"yyyy-mm-dd"),"")</f>
        <v/>
      </c>
      <c r="F4440">
        <f>"Credentialing"</f>
        <v/>
      </c>
      <c r="G4440">
        <f>""</f>
        <v/>
      </c>
      <c r="H4440">
        <f>"High"</f>
        <v/>
      </c>
      <c r="I4440">
        <f>TRIM(IF(LEN(IF(LEN(INDEX('Providers'!$Z$4:$Z$503,437))=0,"",INDEX('Providers'!$Z$4:$Z$503,437)))=0,"","Payer(s): "&amp;IF(LEN(INDEX('Providers'!$Z$4:$Z$503,437))=0,"",INDEX('Providers'!$Z$4:$Z$503,437))&amp;". "))</f>
        <v/>
      </c>
      <c r="J4440">
        <f>IF(LEN(INDEX('Providers'!$AJ$4:$AJ$503,437))=0,"",INDEX('Providers'!$AJ$4:$AJ$503,437))</f>
        <v/>
      </c>
      <c r="K4440">
        <f>IF(LEN(INDEX('Providers'!$AI$4:$AI$503,437))=0,"",INDEX('Providers'!$AI$4:$AI$503,437))</f>
        <v/>
      </c>
    </row>
    <row r="4441">
      <c r="A4441">
        <f>IF(AND(LEN('Providers'!A441)&gt;0,ISNUMBER('Providers'!AA441)),1,0)</f>
        <v/>
      </c>
      <c r="B4441">
        <f>B4440+A4441</f>
        <v/>
      </c>
      <c r="C4441">
        <f>IF(4438&gt;$B$4503,"",MATCH(4438-0.5,$B$3:$B$4503,1))</f>
        <v/>
      </c>
      <c r="D4441">
        <f>"Payer recredentialing – "&amp;IF(LEN(INDEX('Providers'!$A$4:$A$503,438))=0,"",INDEX('Providers'!$A$4:$A$503,438))</f>
        <v/>
      </c>
      <c r="E4441">
        <f>IF(ISNUMBER(INDEX('Providers'!$AA$4:$AA$503,438)),TEXT(INDEX('Providers'!$AA$4:$AA$503,438),"yyyy-mm-dd"),"")</f>
        <v/>
      </c>
      <c r="F4441">
        <f>"Credentialing"</f>
        <v/>
      </c>
      <c r="G4441">
        <f>""</f>
        <v/>
      </c>
      <c r="H4441">
        <f>"High"</f>
        <v/>
      </c>
      <c r="I4441">
        <f>TRIM(IF(LEN(IF(LEN(INDEX('Providers'!$Z$4:$Z$503,438))=0,"",INDEX('Providers'!$Z$4:$Z$503,438)))=0,"","Payer(s): "&amp;IF(LEN(INDEX('Providers'!$Z$4:$Z$503,438))=0,"",INDEX('Providers'!$Z$4:$Z$503,438))&amp;". "))</f>
        <v/>
      </c>
      <c r="J4441">
        <f>IF(LEN(INDEX('Providers'!$AJ$4:$AJ$503,438))=0,"",INDEX('Providers'!$AJ$4:$AJ$503,438))</f>
        <v/>
      </c>
      <c r="K4441">
        <f>IF(LEN(INDEX('Providers'!$AI$4:$AI$503,438))=0,"",INDEX('Providers'!$AI$4:$AI$503,438))</f>
        <v/>
      </c>
    </row>
    <row r="4442">
      <c r="A4442">
        <f>IF(AND(LEN('Providers'!A442)&gt;0,ISNUMBER('Providers'!AA442)),1,0)</f>
        <v/>
      </c>
      <c r="B4442">
        <f>B4441+A4442</f>
        <v/>
      </c>
      <c r="C4442">
        <f>IF(4439&gt;$B$4503,"",MATCH(4439-0.5,$B$3:$B$4503,1))</f>
        <v/>
      </c>
      <c r="D4442">
        <f>"Payer recredentialing – "&amp;IF(LEN(INDEX('Providers'!$A$4:$A$503,439))=0,"",INDEX('Providers'!$A$4:$A$503,439))</f>
        <v/>
      </c>
      <c r="E4442">
        <f>IF(ISNUMBER(INDEX('Providers'!$AA$4:$AA$503,439)),TEXT(INDEX('Providers'!$AA$4:$AA$503,439),"yyyy-mm-dd"),"")</f>
        <v/>
      </c>
      <c r="F4442">
        <f>"Credentialing"</f>
        <v/>
      </c>
      <c r="G4442">
        <f>""</f>
        <v/>
      </c>
      <c r="H4442">
        <f>"High"</f>
        <v/>
      </c>
      <c r="I4442">
        <f>TRIM(IF(LEN(IF(LEN(INDEX('Providers'!$Z$4:$Z$503,439))=0,"",INDEX('Providers'!$Z$4:$Z$503,439)))=0,"","Payer(s): "&amp;IF(LEN(INDEX('Providers'!$Z$4:$Z$503,439))=0,"",INDEX('Providers'!$Z$4:$Z$503,439))&amp;". "))</f>
        <v/>
      </c>
      <c r="J4442">
        <f>IF(LEN(INDEX('Providers'!$AJ$4:$AJ$503,439))=0,"",INDEX('Providers'!$AJ$4:$AJ$503,439))</f>
        <v/>
      </c>
      <c r="K4442">
        <f>IF(LEN(INDEX('Providers'!$AI$4:$AI$503,439))=0,"",INDEX('Providers'!$AI$4:$AI$503,439))</f>
        <v/>
      </c>
    </row>
    <row r="4443">
      <c r="A4443">
        <f>IF(AND(LEN('Providers'!A443)&gt;0,ISNUMBER('Providers'!AA443)),1,0)</f>
        <v/>
      </c>
      <c r="B4443">
        <f>B4442+A4443</f>
        <v/>
      </c>
      <c r="C4443">
        <f>IF(4440&gt;$B$4503,"",MATCH(4440-0.5,$B$3:$B$4503,1))</f>
        <v/>
      </c>
      <c r="D4443">
        <f>"Payer recredentialing – "&amp;IF(LEN(INDEX('Providers'!$A$4:$A$503,440))=0,"",INDEX('Providers'!$A$4:$A$503,440))</f>
        <v/>
      </c>
      <c r="E4443">
        <f>IF(ISNUMBER(INDEX('Providers'!$AA$4:$AA$503,440)),TEXT(INDEX('Providers'!$AA$4:$AA$503,440),"yyyy-mm-dd"),"")</f>
        <v/>
      </c>
      <c r="F4443">
        <f>"Credentialing"</f>
        <v/>
      </c>
      <c r="G4443">
        <f>""</f>
        <v/>
      </c>
      <c r="H4443">
        <f>"High"</f>
        <v/>
      </c>
      <c r="I4443">
        <f>TRIM(IF(LEN(IF(LEN(INDEX('Providers'!$Z$4:$Z$503,440))=0,"",INDEX('Providers'!$Z$4:$Z$503,440)))=0,"","Payer(s): "&amp;IF(LEN(INDEX('Providers'!$Z$4:$Z$503,440))=0,"",INDEX('Providers'!$Z$4:$Z$503,440))&amp;". "))</f>
        <v/>
      </c>
      <c r="J4443">
        <f>IF(LEN(INDEX('Providers'!$AJ$4:$AJ$503,440))=0,"",INDEX('Providers'!$AJ$4:$AJ$503,440))</f>
        <v/>
      </c>
      <c r="K4443">
        <f>IF(LEN(INDEX('Providers'!$AI$4:$AI$503,440))=0,"",INDEX('Providers'!$AI$4:$AI$503,440))</f>
        <v/>
      </c>
    </row>
    <row r="4444">
      <c r="A4444">
        <f>IF(AND(LEN('Providers'!A444)&gt;0,ISNUMBER('Providers'!AA444)),1,0)</f>
        <v/>
      </c>
      <c r="B4444">
        <f>B4443+A4444</f>
        <v/>
      </c>
      <c r="C4444">
        <f>IF(4441&gt;$B$4503,"",MATCH(4441-0.5,$B$3:$B$4503,1))</f>
        <v/>
      </c>
      <c r="D4444">
        <f>"Payer recredentialing – "&amp;IF(LEN(INDEX('Providers'!$A$4:$A$503,441))=0,"",INDEX('Providers'!$A$4:$A$503,441))</f>
        <v/>
      </c>
      <c r="E4444">
        <f>IF(ISNUMBER(INDEX('Providers'!$AA$4:$AA$503,441)),TEXT(INDEX('Providers'!$AA$4:$AA$503,441),"yyyy-mm-dd"),"")</f>
        <v/>
      </c>
      <c r="F4444">
        <f>"Credentialing"</f>
        <v/>
      </c>
      <c r="G4444">
        <f>""</f>
        <v/>
      </c>
      <c r="H4444">
        <f>"High"</f>
        <v/>
      </c>
      <c r="I4444">
        <f>TRIM(IF(LEN(IF(LEN(INDEX('Providers'!$Z$4:$Z$503,441))=0,"",INDEX('Providers'!$Z$4:$Z$503,441)))=0,"","Payer(s): "&amp;IF(LEN(INDEX('Providers'!$Z$4:$Z$503,441))=0,"",INDEX('Providers'!$Z$4:$Z$503,441))&amp;". "))</f>
        <v/>
      </c>
      <c r="J4444">
        <f>IF(LEN(INDEX('Providers'!$AJ$4:$AJ$503,441))=0,"",INDEX('Providers'!$AJ$4:$AJ$503,441))</f>
        <v/>
      </c>
      <c r="K4444">
        <f>IF(LEN(INDEX('Providers'!$AI$4:$AI$503,441))=0,"",INDEX('Providers'!$AI$4:$AI$503,441))</f>
        <v/>
      </c>
    </row>
    <row r="4445">
      <c r="A4445">
        <f>IF(AND(LEN('Providers'!A445)&gt;0,ISNUMBER('Providers'!AA445)),1,0)</f>
        <v/>
      </c>
      <c r="B4445">
        <f>B4444+A4445</f>
        <v/>
      </c>
      <c r="C4445">
        <f>IF(4442&gt;$B$4503,"",MATCH(4442-0.5,$B$3:$B$4503,1))</f>
        <v/>
      </c>
      <c r="D4445">
        <f>"Payer recredentialing – "&amp;IF(LEN(INDEX('Providers'!$A$4:$A$503,442))=0,"",INDEX('Providers'!$A$4:$A$503,442))</f>
        <v/>
      </c>
      <c r="E4445">
        <f>IF(ISNUMBER(INDEX('Providers'!$AA$4:$AA$503,442)),TEXT(INDEX('Providers'!$AA$4:$AA$503,442),"yyyy-mm-dd"),"")</f>
        <v/>
      </c>
      <c r="F4445">
        <f>"Credentialing"</f>
        <v/>
      </c>
      <c r="G4445">
        <f>""</f>
        <v/>
      </c>
      <c r="H4445">
        <f>"High"</f>
        <v/>
      </c>
      <c r="I4445">
        <f>TRIM(IF(LEN(IF(LEN(INDEX('Providers'!$Z$4:$Z$503,442))=0,"",INDEX('Providers'!$Z$4:$Z$503,442)))=0,"","Payer(s): "&amp;IF(LEN(INDEX('Providers'!$Z$4:$Z$503,442))=0,"",INDEX('Providers'!$Z$4:$Z$503,442))&amp;". "))</f>
        <v/>
      </c>
      <c r="J4445">
        <f>IF(LEN(INDEX('Providers'!$AJ$4:$AJ$503,442))=0,"",INDEX('Providers'!$AJ$4:$AJ$503,442))</f>
        <v/>
      </c>
      <c r="K4445">
        <f>IF(LEN(INDEX('Providers'!$AI$4:$AI$503,442))=0,"",INDEX('Providers'!$AI$4:$AI$503,442))</f>
        <v/>
      </c>
    </row>
    <row r="4446">
      <c r="A4446">
        <f>IF(AND(LEN('Providers'!A446)&gt;0,ISNUMBER('Providers'!AA446)),1,0)</f>
        <v/>
      </c>
      <c r="B4446">
        <f>B4445+A4446</f>
        <v/>
      </c>
      <c r="C4446">
        <f>IF(4443&gt;$B$4503,"",MATCH(4443-0.5,$B$3:$B$4503,1))</f>
        <v/>
      </c>
      <c r="D4446">
        <f>"Payer recredentialing – "&amp;IF(LEN(INDEX('Providers'!$A$4:$A$503,443))=0,"",INDEX('Providers'!$A$4:$A$503,443))</f>
        <v/>
      </c>
      <c r="E4446">
        <f>IF(ISNUMBER(INDEX('Providers'!$AA$4:$AA$503,443)),TEXT(INDEX('Providers'!$AA$4:$AA$503,443),"yyyy-mm-dd"),"")</f>
        <v/>
      </c>
      <c r="F4446">
        <f>"Credentialing"</f>
        <v/>
      </c>
      <c r="G4446">
        <f>""</f>
        <v/>
      </c>
      <c r="H4446">
        <f>"High"</f>
        <v/>
      </c>
      <c r="I4446">
        <f>TRIM(IF(LEN(IF(LEN(INDEX('Providers'!$Z$4:$Z$503,443))=0,"",INDEX('Providers'!$Z$4:$Z$503,443)))=0,"","Payer(s): "&amp;IF(LEN(INDEX('Providers'!$Z$4:$Z$503,443))=0,"",INDEX('Providers'!$Z$4:$Z$503,443))&amp;". "))</f>
        <v/>
      </c>
      <c r="J4446">
        <f>IF(LEN(INDEX('Providers'!$AJ$4:$AJ$503,443))=0,"",INDEX('Providers'!$AJ$4:$AJ$503,443))</f>
        <v/>
      </c>
      <c r="K4446">
        <f>IF(LEN(INDEX('Providers'!$AI$4:$AI$503,443))=0,"",INDEX('Providers'!$AI$4:$AI$503,443))</f>
        <v/>
      </c>
    </row>
    <row r="4447">
      <c r="A4447">
        <f>IF(AND(LEN('Providers'!A447)&gt;0,ISNUMBER('Providers'!AA447)),1,0)</f>
        <v/>
      </c>
      <c r="B4447">
        <f>B4446+A4447</f>
        <v/>
      </c>
      <c r="C4447">
        <f>IF(4444&gt;$B$4503,"",MATCH(4444-0.5,$B$3:$B$4503,1))</f>
        <v/>
      </c>
      <c r="D4447">
        <f>"Payer recredentialing – "&amp;IF(LEN(INDEX('Providers'!$A$4:$A$503,444))=0,"",INDEX('Providers'!$A$4:$A$503,444))</f>
        <v/>
      </c>
      <c r="E4447">
        <f>IF(ISNUMBER(INDEX('Providers'!$AA$4:$AA$503,444)),TEXT(INDEX('Providers'!$AA$4:$AA$503,444),"yyyy-mm-dd"),"")</f>
        <v/>
      </c>
      <c r="F4447">
        <f>"Credentialing"</f>
        <v/>
      </c>
      <c r="G4447">
        <f>""</f>
        <v/>
      </c>
      <c r="H4447">
        <f>"High"</f>
        <v/>
      </c>
      <c r="I4447">
        <f>TRIM(IF(LEN(IF(LEN(INDEX('Providers'!$Z$4:$Z$503,444))=0,"",INDEX('Providers'!$Z$4:$Z$503,444)))=0,"","Payer(s): "&amp;IF(LEN(INDEX('Providers'!$Z$4:$Z$503,444))=0,"",INDEX('Providers'!$Z$4:$Z$503,444))&amp;". "))</f>
        <v/>
      </c>
      <c r="J4447">
        <f>IF(LEN(INDEX('Providers'!$AJ$4:$AJ$503,444))=0,"",INDEX('Providers'!$AJ$4:$AJ$503,444))</f>
        <v/>
      </c>
      <c r="K4447">
        <f>IF(LEN(INDEX('Providers'!$AI$4:$AI$503,444))=0,"",INDEX('Providers'!$AI$4:$AI$503,444))</f>
        <v/>
      </c>
    </row>
    <row r="4448">
      <c r="A4448">
        <f>IF(AND(LEN('Providers'!A448)&gt;0,ISNUMBER('Providers'!AA448)),1,0)</f>
        <v/>
      </c>
      <c r="B4448">
        <f>B4447+A4448</f>
        <v/>
      </c>
      <c r="C4448">
        <f>IF(4445&gt;$B$4503,"",MATCH(4445-0.5,$B$3:$B$4503,1))</f>
        <v/>
      </c>
      <c r="D4448">
        <f>"Payer recredentialing – "&amp;IF(LEN(INDEX('Providers'!$A$4:$A$503,445))=0,"",INDEX('Providers'!$A$4:$A$503,445))</f>
        <v/>
      </c>
      <c r="E4448">
        <f>IF(ISNUMBER(INDEX('Providers'!$AA$4:$AA$503,445)),TEXT(INDEX('Providers'!$AA$4:$AA$503,445),"yyyy-mm-dd"),"")</f>
        <v/>
      </c>
      <c r="F4448">
        <f>"Credentialing"</f>
        <v/>
      </c>
      <c r="G4448">
        <f>""</f>
        <v/>
      </c>
      <c r="H4448">
        <f>"High"</f>
        <v/>
      </c>
      <c r="I4448">
        <f>TRIM(IF(LEN(IF(LEN(INDEX('Providers'!$Z$4:$Z$503,445))=0,"",INDEX('Providers'!$Z$4:$Z$503,445)))=0,"","Payer(s): "&amp;IF(LEN(INDEX('Providers'!$Z$4:$Z$503,445))=0,"",INDEX('Providers'!$Z$4:$Z$503,445))&amp;". "))</f>
        <v/>
      </c>
      <c r="J4448">
        <f>IF(LEN(INDEX('Providers'!$AJ$4:$AJ$503,445))=0,"",INDEX('Providers'!$AJ$4:$AJ$503,445))</f>
        <v/>
      </c>
      <c r="K4448">
        <f>IF(LEN(INDEX('Providers'!$AI$4:$AI$503,445))=0,"",INDEX('Providers'!$AI$4:$AI$503,445))</f>
        <v/>
      </c>
    </row>
    <row r="4449">
      <c r="A4449">
        <f>IF(AND(LEN('Providers'!A449)&gt;0,ISNUMBER('Providers'!AA449)),1,0)</f>
        <v/>
      </c>
      <c r="B4449">
        <f>B4448+A4449</f>
        <v/>
      </c>
      <c r="C4449">
        <f>IF(4446&gt;$B$4503,"",MATCH(4446-0.5,$B$3:$B$4503,1))</f>
        <v/>
      </c>
      <c r="D4449">
        <f>"Payer recredentialing – "&amp;IF(LEN(INDEX('Providers'!$A$4:$A$503,446))=0,"",INDEX('Providers'!$A$4:$A$503,446))</f>
        <v/>
      </c>
      <c r="E4449">
        <f>IF(ISNUMBER(INDEX('Providers'!$AA$4:$AA$503,446)),TEXT(INDEX('Providers'!$AA$4:$AA$503,446),"yyyy-mm-dd"),"")</f>
        <v/>
      </c>
      <c r="F4449">
        <f>"Credentialing"</f>
        <v/>
      </c>
      <c r="G4449">
        <f>""</f>
        <v/>
      </c>
      <c r="H4449">
        <f>"High"</f>
        <v/>
      </c>
      <c r="I4449">
        <f>TRIM(IF(LEN(IF(LEN(INDEX('Providers'!$Z$4:$Z$503,446))=0,"",INDEX('Providers'!$Z$4:$Z$503,446)))=0,"","Payer(s): "&amp;IF(LEN(INDEX('Providers'!$Z$4:$Z$503,446))=0,"",INDEX('Providers'!$Z$4:$Z$503,446))&amp;". "))</f>
        <v/>
      </c>
      <c r="J4449">
        <f>IF(LEN(INDEX('Providers'!$AJ$4:$AJ$503,446))=0,"",INDEX('Providers'!$AJ$4:$AJ$503,446))</f>
        <v/>
      </c>
      <c r="K4449">
        <f>IF(LEN(INDEX('Providers'!$AI$4:$AI$503,446))=0,"",INDEX('Providers'!$AI$4:$AI$503,446))</f>
        <v/>
      </c>
    </row>
    <row r="4450">
      <c r="A4450">
        <f>IF(AND(LEN('Providers'!A450)&gt;0,ISNUMBER('Providers'!AA450)),1,0)</f>
        <v/>
      </c>
      <c r="B4450">
        <f>B4449+A4450</f>
        <v/>
      </c>
      <c r="C4450">
        <f>IF(4447&gt;$B$4503,"",MATCH(4447-0.5,$B$3:$B$4503,1))</f>
        <v/>
      </c>
      <c r="D4450">
        <f>"Payer recredentialing – "&amp;IF(LEN(INDEX('Providers'!$A$4:$A$503,447))=0,"",INDEX('Providers'!$A$4:$A$503,447))</f>
        <v/>
      </c>
      <c r="E4450">
        <f>IF(ISNUMBER(INDEX('Providers'!$AA$4:$AA$503,447)),TEXT(INDEX('Providers'!$AA$4:$AA$503,447),"yyyy-mm-dd"),"")</f>
        <v/>
      </c>
      <c r="F4450">
        <f>"Credentialing"</f>
        <v/>
      </c>
      <c r="G4450">
        <f>""</f>
        <v/>
      </c>
      <c r="H4450">
        <f>"High"</f>
        <v/>
      </c>
      <c r="I4450">
        <f>TRIM(IF(LEN(IF(LEN(INDEX('Providers'!$Z$4:$Z$503,447))=0,"",INDEX('Providers'!$Z$4:$Z$503,447)))=0,"","Payer(s): "&amp;IF(LEN(INDEX('Providers'!$Z$4:$Z$503,447))=0,"",INDEX('Providers'!$Z$4:$Z$503,447))&amp;". "))</f>
        <v/>
      </c>
      <c r="J4450">
        <f>IF(LEN(INDEX('Providers'!$AJ$4:$AJ$503,447))=0,"",INDEX('Providers'!$AJ$4:$AJ$503,447))</f>
        <v/>
      </c>
      <c r="K4450">
        <f>IF(LEN(INDEX('Providers'!$AI$4:$AI$503,447))=0,"",INDEX('Providers'!$AI$4:$AI$503,447))</f>
        <v/>
      </c>
    </row>
    <row r="4451">
      <c r="A4451">
        <f>IF(AND(LEN('Providers'!A451)&gt;0,ISNUMBER('Providers'!AA451)),1,0)</f>
        <v/>
      </c>
      <c r="B4451">
        <f>B4450+A4451</f>
        <v/>
      </c>
      <c r="C4451">
        <f>IF(4448&gt;$B$4503,"",MATCH(4448-0.5,$B$3:$B$4503,1))</f>
        <v/>
      </c>
      <c r="D4451">
        <f>"Payer recredentialing – "&amp;IF(LEN(INDEX('Providers'!$A$4:$A$503,448))=0,"",INDEX('Providers'!$A$4:$A$503,448))</f>
        <v/>
      </c>
      <c r="E4451">
        <f>IF(ISNUMBER(INDEX('Providers'!$AA$4:$AA$503,448)),TEXT(INDEX('Providers'!$AA$4:$AA$503,448),"yyyy-mm-dd"),"")</f>
        <v/>
      </c>
      <c r="F4451">
        <f>"Credentialing"</f>
        <v/>
      </c>
      <c r="G4451">
        <f>""</f>
        <v/>
      </c>
      <c r="H4451">
        <f>"High"</f>
        <v/>
      </c>
      <c r="I4451">
        <f>TRIM(IF(LEN(IF(LEN(INDEX('Providers'!$Z$4:$Z$503,448))=0,"",INDEX('Providers'!$Z$4:$Z$503,448)))=0,"","Payer(s): "&amp;IF(LEN(INDEX('Providers'!$Z$4:$Z$503,448))=0,"",INDEX('Providers'!$Z$4:$Z$503,448))&amp;". "))</f>
        <v/>
      </c>
      <c r="J4451">
        <f>IF(LEN(INDEX('Providers'!$AJ$4:$AJ$503,448))=0,"",INDEX('Providers'!$AJ$4:$AJ$503,448))</f>
        <v/>
      </c>
      <c r="K4451">
        <f>IF(LEN(INDEX('Providers'!$AI$4:$AI$503,448))=0,"",INDEX('Providers'!$AI$4:$AI$503,448))</f>
        <v/>
      </c>
    </row>
    <row r="4452">
      <c r="A4452">
        <f>IF(AND(LEN('Providers'!A452)&gt;0,ISNUMBER('Providers'!AA452)),1,0)</f>
        <v/>
      </c>
      <c r="B4452">
        <f>B4451+A4452</f>
        <v/>
      </c>
      <c r="C4452">
        <f>IF(4449&gt;$B$4503,"",MATCH(4449-0.5,$B$3:$B$4503,1))</f>
        <v/>
      </c>
      <c r="D4452">
        <f>"Payer recredentialing – "&amp;IF(LEN(INDEX('Providers'!$A$4:$A$503,449))=0,"",INDEX('Providers'!$A$4:$A$503,449))</f>
        <v/>
      </c>
      <c r="E4452">
        <f>IF(ISNUMBER(INDEX('Providers'!$AA$4:$AA$503,449)),TEXT(INDEX('Providers'!$AA$4:$AA$503,449),"yyyy-mm-dd"),"")</f>
        <v/>
      </c>
      <c r="F4452">
        <f>"Credentialing"</f>
        <v/>
      </c>
      <c r="G4452">
        <f>""</f>
        <v/>
      </c>
      <c r="H4452">
        <f>"High"</f>
        <v/>
      </c>
      <c r="I4452">
        <f>TRIM(IF(LEN(IF(LEN(INDEX('Providers'!$Z$4:$Z$503,449))=0,"",INDEX('Providers'!$Z$4:$Z$503,449)))=0,"","Payer(s): "&amp;IF(LEN(INDEX('Providers'!$Z$4:$Z$503,449))=0,"",INDEX('Providers'!$Z$4:$Z$503,449))&amp;". "))</f>
        <v/>
      </c>
      <c r="J4452">
        <f>IF(LEN(INDEX('Providers'!$AJ$4:$AJ$503,449))=0,"",INDEX('Providers'!$AJ$4:$AJ$503,449))</f>
        <v/>
      </c>
      <c r="K4452">
        <f>IF(LEN(INDEX('Providers'!$AI$4:$AI$503,449))=0,"",INDEX('Providers'!$AI$4:$AI$503,449))</f>
        <v/>
      </c>
    </row>
    <row r="4453">
      <c r="A4453">
        <f>IF(AND(LEN('Providers'!A453)&gt;0,ISNUMBER('Providers'!AA453)),1,0)</f>
        <v/>
      </c>
      <c r="B4453">
        <f>B4452+A4453</f>
        <v/>
      </c>
      <c r="C4453">
        <f>IF(4450&gt;$B$4503,"",MATCH(4450-0.5,$B$3:$B$4503,1))</f>
        <v/>
      </c>
      <c r="D4453">
        <f>"Payer recredentialing – "&amp;IF(LEN(INDEX('Providers'!$A$4:$A$503,450))=0,"",INDEX('Providers'!$A$4:$A$503,450))</f>
        <v/>
      </c>
      <c r="E4453">
        <f>IF(ISNUMBER(INDEX('Providers'!$AA$4:$AA$503,450)),TEXT(INDEX('Providers'!$AA$4:$AA$503,450),"yyyy-mm-dd"),"")</f>
        <v/>
      </c>
      <c r="F4453">
        <f>"Credentialing"</f>
        <v/>
      </c>
      <c r="G4453">
        <f>""</f>
        <v/>
      </c>
      <c r="H4453">
        <f>"High"</f>
        <v/>
      </c>
      <c r="I4453">
        <f>TRIM(IF(LEN(IF(LEN(INDEX('Providers'!$Z$4:$Z$503,450))=0,"",INDEX('Providers'!$Z$4:$Z$503,450)))=0,"","Payer(s): "&amp;IF(LEN(INDEX('Providers'!$Z$4:$Z$503,450))=0,"",INDEX('Providers'!$Z$4:$Z$503,450))&amp;". "))</f>
        <v/>
      </c>
      <c r="J4453">
        <f>IF(LEN(INDEX('Providers'!$AJ$4:$AJ$503,450))=0,"",INDEX('Providers'!$AJ$4:$AJ$503,450))</f>
        <v/>
      </c>
      <c r="K4453">
        <f>IF(LEN(INDEX('Providers'!$AI$4:$AI$503,450))=0,"",INDEX('Providers'!$AI$4:$AI$503,450))</f>
        <v/>
      </c>
    </row>
    <row r="4454">
      <c r="A4454">
        <f>IF(AND(LEN('Providers'!A454)&gt;0,ISNUMBER('Providers'!AA454)),1,0)</f>
        <v/>
      </c>
      <c r="B4454">
        <f>B4453+A4454</f>
        <v/>
      </c>
      <c r="C4454">
        <f>IF(4451&gt;$B$4503,"",MATCH(4451-0.5,$B$3:$B$4503,1))</f>
        <v/>
      </c>
      <c r="D4454">
        <f>"Payer recredentialing – "&amp;IF(LEN(INDEX('Providers'!$A$4:$A$503,451))=0,"",INDEX('Providers'!$A$4:$A$503,451))</f>
        <v/>
      </c>
      <c r="E4454">
        <f>IF(ISNUMBER(INDEX('Providers'!$AA$4:$AA$503,451)),TEXT(INDEX('Providers'!$AA$4:$AA$503,451),"yyyy-mm-dd"),"")</f>
        <v/>
      </c>
      <c r="F4454">
        <f>"Credentialing"</f>
        <v/>
      </c>
      <c r="G4454">
        <f>""</f>
        <v/>
      </c>
      <c r="H4454">
        <f>"High"</f>
        <v/>
      </c>
      <c r="I4454">
        <f>TRIM(IF(LEN(IF(LEN(INDEX('Providers'!$Z$4:$Z$503,451))=0,"",INDEX('Providers'!$Z$4:$Z$503,451)))=0,"","Payer(s): "&amp;IF(LEN(INDEX('Providers'!$Z$4:$Z$503,451))=0,"",INDEX('Providers'!$Z$4:$Z$503,451))&amp;". "))</f>
        <v/>
      </c>
      <c r="J4454">
        <f>IF(LEN(INDEX('Providers'!$AJ$4:$AJ$503,451))=0,"",INDEX('Providers'!$AJ$4:$AJ$503,451))</f>
        <v/>
      </c>
      <c r="K4454">
        <f>IF(LEN(INDEX('Providers'!$AI$4:$AI$503,451))=0,"",INDEX('Providers'!$AI$4:$AI$503,451))</f>
        <v/>
      </c>
    </row>
    <row r="4455">
      <c r="A4455">
        <f>IF(AND(LEN('Providers'!A455)&gt;0,ISNUMBER('Providers'!AA455)),1,0)</f>
        <v/>
      </c>
      <c r="B4455">
        <f>B4454+A4455</f>
        <v/>
      </c>
      <c r="C4455">
        <f>IF(4452&gt;$B$4503,"",MATCH(4452-0.5,$B$3:$B$4503,1))</f>
        <v/>
      </c>
      <c r="D4455">
        <f>"Payer recredentialing – "&amp;IF(LEN(INDEX('Providers'!$A$4:$A$503,452))=0,"",INDEX('Providers'!$A$4:$A$503,452))</f>
        <v/>
      </c>
      <c r="E4455">
        <f>IF(ISNUMBER(INDEX('Providers'!$AA$4:$AA$503,452)),TEXT(INDEX('Providers'!$AA$4:$AA$503,452),"yyyy-mm-dd"),"")</f>
        <v/>
      </c>
      <c r="F4455">
        <f>"Credentialing"</f>
        <v/>
      </c>
      <c r="G4455">
        <f>""</f>
        <v/>
      </c>
      <c r="H4455">
        <f>"High"</f>
        <v/>
      </c>
      <c r="I4455">
        <f>TRIM(IF(LEN(IF(LEN(INDEX('Providers'!$Z$4:$Z$503,452))=0,"",INDEX('Providers'!$Z$4:$Z$503,452)))=0,"","Payer(s): "&amp;IF(LEN(INDEX('Providers'!$Z$4:$Z$503,452))=0,"",INDEX('Providers'!$Z$4:$Z$503,452))&amp;". "))</f>
        <v/>
      </c>
      <c r="J4455">
        <f>IF(LEN(INDEX('Providers'!$AJ$4:$AJ$503,452))=0,"",INDEX('Providers'!$AJ$4:$AJ$503,452))</f>
        <v/>
      </c>
      <c r="K4455">
        <f>IF(LEN(INDEX('Providers'!$AI$4:$AI$503,452))=0,"",INDEX('Providers'!$AI$4:$AI$503,452))</f>
        <v/>
      </c>
    </row>
    <row r="4456">
      <c r="A4456">
        <f>IF(AND(LEN('Providers'!A456)&gt;0,ISNUMBER('Providers'!AA456)),1,0)</f>
        <v/>
      </c>
      <c r="B4456">
        <f>B4455+A4456</f>
        <v/>
      </c>
      <c r="C4456">
        <f>IF(4453&gt;$B$4503,"",MATCH(4453-0.5,$B$3:$B$4503,1))</f>
        <v/>
      </c>
      <c r="D4456">
        <f>"Payer recredentialing – "&amp;IF(LEN(INDEX('Providers'!$A$4:$A$503,453))=0,"",INDEX('Providers'!$A$4:$A$503,453))</f>
        <v/>
      </c>
      <c r="E4456">
        <f>IF(ISNUMBER(INDEX('Providers'!$AA$4:$AA$503,453)),TEXT(INDEX('Providers'!$AA$4:$AA$503,453),"yyyy-mm-dd"),"")</f>
        <v/>
      </c>
      <c r="F4456">
        <f>"Credentialing"</f>
        <v/>
      </c>
      <c r="G4456">
        <f>""</f>
        <v/>
      </c>
      <c r="H4456">
        <f>"High"</f>
        <v/>
      </c>
      <c r="I4456">
        <f>TRIM(IF(LEN(IF(LEN(INDEX('Providers'!$Z$4:$Z$503,453))=0,"",INDEX('Providers'!$Z$4:$Z$503,453)))=0,"","Payer(s): "&amp;IF(LEN(INDEX('Providers'!$Z$4:$Z$503,453))=0,"",INDEX('Providers'!$Z$4:$Z$503,453))&amp;". "))</f>
        <v/>
      </c>
      <c r="J4456">
        <f>IF(LEN(INDEX('Providers'!$AJ$4:$AJ$503,453))=0,"",INDEX('Providers'!$AJ$4:$AJ$503,453))</f>
        <v/>
      </c>
      <c r="K4456">
        <f>IF(LEN(INDEX('Providers'!$AI$4:$AI$503,453))=0,"",INDEX('Providers'!$AI$4:$AI$503,453))</f>
        <v/>
      </c>
    </row>
    <row r="4457">
      <c r="A4457">
        <f>IF(AND(LEN('Providers'!A457)&gt;0,ISNUMBER('Providers'!AA457)),1,0)</f>
        <v/>
      </c>
      <c r="B4457">
        <f>B4456+A4457</f>
        <v/>
      </c>
      <c r="C4457">
        <f>IF(4454&gt;$B$4503,"",MATCH(4454-0.5,$B$3:$B$4503,1))</f>
        <v/>
      </c>
      <c r="D4457">
        <f>"Payer recredentialing – "&amp;IF(LEN(INDEX('Providers'!$A$4:$A$503,454))=0,"",INDEX('Providers'!$A$4:$A$503,454))</f>
        <v/>
      </c>
      <c r="E4457">
        <f>IF(ISNUMBER(INDEX('Providers'!$AA$4:$AA$503,454)),TEXT(INDEX('Providers'!$AA$4:$AA$503,454),"yyyy-mm-dd"),"")</f>
        <v/>
      </c>
      <c r="F4457">
        <f>"Credentialing"</f>
        <v/>
      </c>
      <c r="G4457">
        <f>""</f>
        <v/>
      </c>
      <c r="H4457">
        <f>"High"</f>
        <v/>
      </c>
      <c r="I4457">
        <f>TRIM(IF(LEN(IF(LEN(INDEX('Providers'!$Z$4:$Z$503,454))=0,"",INDEX('Providers'!$Z$4:$Z$503,454)))=0,"","Payer(s): "&amp;IF(LEN(INDEX('Providers'!$Z$4:$Z$503,454))=0,"",INDEX('Providers'!$Z$4:$Z$503,454))&amp;". "))</f>
        <v/>
      </c>
      <c r="J4457">
        <f>IF(LEN(INDEX('Providers'!$AJ$4:$AJ$503,454))=0,"",INDEX('Providers'!$AJ$4:$AJ$503,454))</f>
        <v/>
      </c>
      <c r="K4457">
        <f>IF(LEN(INDEX('Providers'!$AI$4:$AI$503,454))=0,"",INDEX('Providers'!$AI$4:$AI$503,454))</f>
        <v/>
      </c>
    </row>
    <row r="4458">
      <c r="A4458">
        <f>IF(AND(LEN('Providers'!A458)&gt;0,ISNUMBER('Providers'!AA458)),1,0)</f>
        <v/>
      </c>
      <c r="B4458">
        <f>B4457+A4458</f>
        <v/>
      </c>
      <c r="C4458">
        <f>IF(4455&gt;$B$4503,"",MATCH(4455-0.5,$B$3:$B$4503,1))</f>
        <v/>
      </c>
      <c r="D4458">
        <f>"Payer recredentialing – "&amp;IF(LEN(INDEX('Providers'!$A$4:$A$503,455))=0,"",INDEX('Providers'!$A$4:$A$503,455))</f>
        <v/>
      </c>
      <c r="E4458">
        <f>IF(ISNUMBER(INDEX('Providers'!$AA$4:$AA$503,455)),TEXT(INDEX('Providers'!$AA$4:$AA$503,455),"yyyy-mm-dd"),"")</f>
        <v/>
      </c>
      <c r="F4458">
        <f>"Credentialing"</f>
        <v/>
      </c>
      <c r="G4458">
        <f>""</f>
        <v/>
      </c>
      <c r="H4458">
        <f>"High"</f>
        <v/>
      </c>
      <c r="I4458">
        <f>TRIM(IF(LEN(IF(LEN(INDEX('Providers'!$Z$4:$Z$503,455))=0,"",INDEX('Providers'!$Z$4:$Z$503,455)))=0,"","Payer(s): "&amp;IF(LEN(INDEX('Providers'!$Z$4:$Z$503,455))=0,"",INDEX('Providers'!$Z$4:$Z$503,455))&amp;". "))</f>
        <v/>
      </c>
      <c r="J4458">
        <f>IF(LEN(INDEX('Providers'!$AJ$4:$AJ$503,455))=0,"",INDEX('Providers'!$AJ$4:$AJ$503,455))</f>
        <v/>
      </c>
      <c r="K4458">
        <f>IF(LEN(INDEX('Providers'!$AI$4:$AI$503,455))=0,"",INDEX('Providers'!$AI$4:$AI$503,455))</f>
        <v/>
      </c>
    </row>
    <row r="4459">
      <c r="A4459">
        <f>IF(AND(LEN('Providers'!A459)&gt;0,ISNUMBER('Providers'!AA459)),1,0)</f>
        <v/>
      </c>
      <c r="B4459">
        <f>B4458+A4459</f>
        <v/>
      </c>
      <c r="C4459">
        <f>IF(4456&gt;$B$4503,"",MATCH(4456-0.5,$B$3:$B$4503,1))</f>
        <v/>
      </c>
      <c r="D4459">
        <f>"Payer recredentialing – "&amp;IF(LEN(INDEX('Providers'!$A$4:$A$503,456))=0,"",INDEX('Providers'!$A$4:$A$503,456))</f>
        <v/>
      </c>
      <c r="E4459">
        <f>IF(ISNUMBER(INDEX('Providers'!$AA$4:$AA$503,456)),TEXT(INDEX('Providers'!$AA$4:$AA$503,456),"yyyy-mm-dd"),"")</f>
        <v/>
      </c>
      <c r="F4459">
        <f>"Credentialing"</f>
        <v/>
      </c>
      <c r="G4459">
        <f>""</f>
        <v/>
      </c>
      <c r="H4459">
        <f>"High"</f>
        <v/>
      </c>
      <c r="I4459">
        <f>TRIM(IF(LEN(IF(LEN(INDEX('Providers'!$Z$4:$Z$503,456))=0,"",INDEX('Providers'!$Z$4:$Z$503,456)))=0,"","Payer(s): "&amp;IF(LEN(INDEX('Providers'!$Z$4:$Z$503,456))=0,"",INDEX('Providers'!$Z$4:$Z$503,456))&amp;". "))</f>
        <v/>
      </c>
      <c r="J4459">
        <f>IF(LEN(INDEX('Providers'!$AJ$4:$AJ$503,456))=0,"",INDEX('Providers'!$AJ$4:$AJ$503,456))</f>
        <v/>
      </c>
      <c r="K4459">
        <f>IF(LEN(INDEX('Providers'!$AI$4:$AI$503,456))=0,"",INDEX('Providers'!$AI$4:$AI$503,456))</f>
        <v/>
      </c>
    </row>
    <row r="4460">
      <c r="A4460">
        <f>IF(AND(LEN('Providers'!A460)&gt;0,ISNUMBER('Providers'!AA460)),1,0)</f>
        <v/>
      </c>
      <c r="B4460">
        <f>B4459+A4460</f>
        <v/>
      </c>
      <c r="C4460">
        <f>IF(4457&gt;$B$4503,"",MATCH(4457-0.5,$B$3:$B$4503,1))</f>
        <v/>
      </c>
      <c r="D4460">
        <f>"Payer recredentialing – "&amp;IF(LEN(INDEX('Providers'!$A$4:$A$503,457))=0,"",INDEX('Providers'!$A$4:$A$503,457))</f>
        <v/>
      </c>
      <c r="E4460">
        <f>IF(ISNUMBER(INDEX('Providers'!$AA$4:$AA$503,457)),TEXT(INDEX('Providers'!$AA$4:$AA$503,457),"yyyy-mm-dd"),"")</f>
        <v/>
      </c>
      <c r="F4460">
        <f>"Credentialing"</f>
        <v/>
      </c>
      <c r="G4460">
        <f>""</f>
        <v/>
      </c>
      <c r="H4460">
        <f>"High"</f>
        <v/>
      </c>
      <c r="I4460">
        <f>TRIM(IF(LEN(IF(LEN(INDEX('Providers'!$Z$4:$Z$503,457))=0,"",INDEX('Providers'!$Z$4:$Z$503,457)))=0,"","Payer(s): "&amp;IF(LEN(INDEX('Providers'!$Z$4:$Z$503,457))=0,"",INDEX('Providers'!$Z$4:$Z$503,457))&amp;". "))</f>
        <v/>
      </c>
      <c r="J4460">
        <f>IF(LEN(INDEX('Providers'!$AJ$4:$AJ$503,457))=0,"",INDEX('Providers'!$AJ$4:$AJ$503,457))</f>
        <v/>
      </c>
      <c r="K4460">
        <f>IF(LEN(INDEX('Providers'!$AI$4:$AI$503,457))=0,"",INDEX('Providers'!$AI$4:$AI$503,457))</f>
        <v/>
      </c>
    </row>
    <row r="4461">
      <c r="A4461">
        <f>IF(AND(LEN('Providers'!A461)&gt;0,ISNUMBER('Providers'!AA461)),1,0)</f>
        <v/>
      </c>
      <c r="B4461">
        <f>B4460+A4461</f>
        <v/>
      </c>
      <c r="C4461">
        <f>IF(4458&gt;$B$4503,"",MATCH(4458-0.5,$B$3:$B$4503,1))</f>
        <v/>
      </c>
      <c r="D4461">
        <f>"Payer recredentialing – "&amp;IF(LEN(INDEX('Providers'!$A$4:$A$503,458))=0,"",INDEX('Providers'!$A$4:$A$503,458))</f>
        <v/>
      </c>
      <c r="E4461">
        <f>IF(ISNUMBER(INDEX('Providers'!$AA$4:$AA$503,458)),TEXT(INDEX('Providers'!$AA$4:$AA$503,458),"yyyy-mm-dd"),"")</f>
        <v/>
      </c>
      <c r="F4461">
        <f>"Credentialing"</f>
        <v/>
      </c>
      <c r="G4461">
        <f>""</f>
        <v/>
      </c>
      <c r="H4461">
        <f>"High"</f>
        <v/>
      </c>
      <c r="I4461">
        <f>TRIM(IF(LEN(IF(LEN(INDEX('Providers'!$Z$4:$Z$503,458))=0,"",INDEX('Providers'!$Z$4:$Z$503,458)))=0,"","Payer(s): "&amp;IF(LEN(INDEX('Providers'!$Z$4:$Z$503,458))=0,"",INDEX('Providers'!$Z$4:$Z$503,458))&amp;". "))</f>
        <v/>
      </c>
      <c r="J4461">
        <f>IF(LEN(INDEX('Providers'!$AJ$4:$AJ$503,458))=0,"",INDEX('Providers'!$AJ$4:$AJ$503,458))</f>
        <v/>
      </c>
      <c r="K4461">
        <f>IF(LEN(INDEX('Providers'!$AI$4:$AI$503,458))=0,"",INDEX('Providers'!$AI$4:$AI$503,458))</f>
        <v/>
      </c>
    </row>
    <row r="4462">
      <c r="A4462">
        <f>IF(AND(LEN('Providers'!A462)&gt;0,ISNUMBER('Providers'!AA462)),1,0)</f>
        <v/>
      </c>
      <c r="B4462">
        <f>B4461+A4462</f>
        <v/>
      </c>
      <c r="C4462">
        <f>IF(4459&gt;$B$4503,"",MATCH(4459-0.5,$B$3:$B$4503,1))</f>
        <v/>
      </c>
      <c r="D4462">
        <f>"Payer recredentialing – "&amp;IF(LEN(INDEX('Providers'!$A$4:$A$503,459))=0,"",INDEX('Providers'!$A$4:$A$503,459))</f>
        <v/>
      </c>
      <c r="E4462">
        <f>IF(ISNUMBER(INDEX('Providers'!$AA$4:$AA$503,459)),TEXT(INDEX('Providers'!$AA$4:$AA$503,459),"yyyy-mm-dd"),"")</f>
        <v/>
      </c>
      <c r="F4462">
        <f>"Credentialing"</f>
        <v/>
      </c>
      <c r="G4462">
        <f>""</f>
        <v/>
      </c>
      <c r="H4462">
        <f>"High"</f>
        <v/>
      </c>
      <c r="I4462">
        <f>TRIM(IF(LEN(IF(LEN(INDEX('Providers'!$Z$4:$Z$503,459))=0,"",INDEX('Providers'!$Z$4:$Z$503,459)))=0,"","Payer(s): "&amp;IF(LEN(INDEX('Providers'!$Z$4:$Z$503,459))=0,"",INDEX('Providers'!$Z$4:$Z$503,459))&amp;". "))</f>
        <v/>
      </c>
      <c r="J4462">
        <f>IF(LEN(INDEX('Providers'!$AJ$4:$AJ$503,459))=0,"",INDEX('Providers'!$AJ$4:$AJ$503,459))</f>
        <v/>
      </c>
      <c r="K4462">
        <f>IF(LEN(INDEX('Providers'!$AI$4:$AI$503,459))=0,"",INDEX('Providers'!$AI$4:$AI$503,459))</f>
        <v/>
      </c>
    </row>
    <row r="4463">
      <c r="A4463">
        <f>IF(AND(LEN('Providers'!A463)&gt;0,ISNUMBER('Providers'!AA463)),1,0)</f>
        <v/>
      </c>
      <c r="B4463">
        <f>B4462+A4463</f>
        <v/>
      </c>
      <c r="C4463">
        <f>IF(4460&gt;$B$4503,"",MATCH(4460-0.5,$B$3:$B$4503,1))</f>
        <v/>
      </c>
      <c r="D4463">
        <f>"Payer recredentialing – "&amp;IF(LEN(INDEX('Providers'!$A$4:$A$503,460))=0,"",INDEX('Providers'!$A$4:$A$503,460))</f>
        <v/>
      </c>
      <c r="E4463">
        <f>IF(ISNUMBER(INDEX('Providers'!$AA$4:$AA$503,460)),TEXT(INDEX('Providers'!$AA$4:$AA$503,460),"yyyy-mm-dd"),"")</f>
        <v/>
      </c>
      <c r="F4463">
        <f>"Credentialing"</f>
        <v/>
      </c>
      <c r="G4463">
        <f>""</f>
        <v/>
      </c>
      <c r="H4463">
        <f>"High"</f>
        <v/>
      </c>
      <c r="I4463">
        <f>TRIM(IF(LEN(IF(LEN(INDEX('Providers'!$Z$4:$Z$503,460))=0,"",INDEX('Providers'!$Z$4:$Z$503,460)))=0,"","Payer(s): "&amp;IF(LEN(INDEX('Providers'!$Z$4:$Z$503,460))=0,"",INDEX('Providers'!$Z$4:$Z$503,460))&amp;". "))</f>
        <v/>
      </c>
      <c r="J4463">
        <f>IF(LEN(INDEX('Providers'!$AJ$4:$AJ$503,460))=0,"",INDEX('Providers'!$AJ$4:$AJ$503,460))</f>
        <v/>
      </c>
      <c r="K4463">
        <f>IF(LEN(INDEX('Providers'!$AI$4:$AI$503,460))=0,"",INDEX('Providers'!$AI$4:$AI$503,460))</f>
        <v/>
      </c>
    </row>
    <row r="4464">
      <c r="A4464">
        <f>IF(AND(LEN('Providers'!A464)&gt;0,ISNUMBER('Providers'!AA464)),1,0)</f>
        <v/>
      </c>
      <c r="B4464">
        <f>B4463+A4464</f>
        <v/>
      </c>
      <c r="C4464">
        <f>IF(4461&gt;$B$4503,"",MATCH(4461-0.5,$B$3:$B$4503,1))</f>
        <v/>
      </c>
      <c r="D4464">
        <f>"Payer recredentialing – "&amp;IF(LEN(INDEX('Providers'!$A$4:$A$503,461))=0,"",INDEX('Providers'!$A$4:$A$503,461))</f>
        <v/>
      </c>
      <c r="E4464">
        <f>IF(ISNUMBER(INDEX('Providers'!$AA$4:$AA$503,461)),TEXT(INDEX('Providers'!$AA$4:$AA$503,461),"yyyy-mm-dd"),"")</f>
        <v/>
      </c>
      <c r="F4464">
        <f>"Credentialing"</f>
        <v/>
      </c>
      <c r="G4464">
        <f>""</f>
        <v/>
      </c>
      <c r="H4464">
        <f>"High"</f>
        <v/>
      </c>
      <c r="I4464">
        <f>TRIM(IF(LEN(IF(LEN(INDEX('Providers'!$Z$4:$Z$503,461))=0,"",INDEX('Providers'!$Z$4:$Z$503,461)))=0,"","Payer(s): "&amp;IF(LEN(INDEX('Providers'!$Z$4:$Z$503,461))=0,"",INDEX('Providers'!$Z$4:$Z$503,461))&amp;". "))</f>
        <v/>
      </c>
      <c r="J4464">
        <f>IF(LEN(INDEX('Providers'!$AJ$4:$AJ$503,461))=0,"",INDEX('Providers'!$AJ$4:$AJ$503,461))</f>
        <v/>
      </c>
      <c r="K4464">
        <f>IF(LEN(INDEX('Providers'!$AI$4:$AI$503,461))=0,"",INDEX('Providers'!$AI$4:$AI$503,461))</f>
        <v/>
      </c>
    </row>
    <row r="4465">
      <c r="A4465">
        <f>IF(AND(LEN('Providers'!A465)&gt;0,ISNUMBER('Providers'!AA465)),1,0)</f>
        <v/>
      </c>
      <c r="B4465">
        <f>B4464+A4465</f>
        <v/>
      </c>
      <c r="C4465">
        <f>IF(4462&gt;$B$4503,"",MATCH(4462-0.5,$B$3:$B$4503,1))</f>
        <v/>
      </c>
      <c r="D4465">
        <f>"Payer recredentialing – "&amp;IF(LEN(INDEX('Providers'!$A$4:$A$503,462))=0,"",INDEX('Providers'!$A$4:$A$503,462))</f>
        <v/>
      </c>
      <c r="E4465">
        <f>IF(ISNUMBER(INDEX('Providers'!$AA$4:$AA$503,462)),TEXT(INDEX('Providers'!$AA$4:$AA$503,462),"yyyy-mm-dd"),"")</f>
        <v/>
      </c>
      <c r="F4465">
        <f>"Credentialing"</f>
        <v/>
      </c>
      <c r="G4465">
        <f>""</f>
        <v/>
      </c>
      <c r="H4465">
        <f>"High"</f>
        <v/>
      </c>
      <c r="I4465">
        <f>TRIM(IF(LEN(IF(LEN(INDEX('Providers'!$Z$4:$Z$503,462))=0,"",INDEX('Providers'!$Z$4:$Z$503,462)))=0,"","Payer(s): "&amp;IF(LEN(INDEX('Providers'!$Z$4:$Z$503,462))=0,"",INDEX('Providers'!$Z$4:$Z$503,462))&amp;". "))</f>
        <v/>
      </c>
      <c r="J4465">
        <f>IF(LEN(INDEX('Providers'!$AJ$4:$AJ$503,462))=0,"",INDEX('Providers'!$AJ$4:$AJ$503,462))</f>
        <v/>
      </c>
      <c r="K4465">
        <f>IF(LEN(INDEX('Providers'!$AI$4:$AI$503,462))=0,"",INDEX('Providers'!$AI$4:$AI$503,462))</f>
        <v/>
      </c>
    </row>
    <row r="4466">
      <c r="A4466">
        <f>IF(AND(LEN('Providers'!A466)&gt;0,ISNUMBER('Providers'!AA466)),1,0)</f>
        <v/>
      </c>
      <c r="B4466">
        <f>B4465+A4466</f>
        <v/>
      </c>
      <c r="C4466">
        <f>IF(4463&gt;$B$4503,"",MATCH(4463-0.5,$B$3:$B$4503,1))</f>
        <v/>
      </c>
      <c r="D4466">
        <f>"Payer recredentialing – "&amp;IF(LEN(INDEX('Providers'!$A$4:$A$503,463))=0,"",INDEX('Providers'!$A$4:$A$503,463))</f>
        <v/>
      </c>
      <c r="E4466">
        <f>IF(ISNUMBER(INDEX('Providers'!$AA$4:$AA$503,463)),TEXT(INDEX('Providers'!$AA$4:$AA$503,463),"yyyy-mm-dd"),"")</f>
        <v/>
      </c>
      <c r="F4466">
        <f>"Credentialing"</f>
        <v/>
      </c>
      <c r="G4466">
        <f>""</f>
        <v/>
      </c>
      <c r="H4466">
        <f>"High"</f>
        <v/>
      </c>
      <c r="I4466">
        <f>TRIM(IF(LEN(IF(LEN(INDEX('Providers'!$Z$4:$Z$503,463))=0,"",INDEX('Providers'!$Z$4:$Z$503,463)))=0,"","Payer(s): "&amp;IF(LEN(INDEX('Providers'!$Z$4:$Z$503,463))=0,"",INDEX('Providers'!$Z$4:$Z$503,463))&amp;". "))</f>
        <v/>
      </c>
      <c r="J4466">
        <f>IF(LEN(INDEX('Providers'!$AJ$4:$AJ$503,463))=0,"",INDEX('Providers'!$AJ$4:$AJ$503,463))</f>
        <v/>
      </c>
      <c r="K4466">
        <f>IF(LEN(INDEX('Providers'!$AI$4:$AI$503,463))=0,"",INDEX('Providers'!$AI$4:$AI$503,463))</f>
        <v/>
      </c>
    </row>
    <row r="4467">
      <c r="A4467">
        <f>IF(AND(LEN('Providers'!A467)&gt;0,ISNUMBER('Providers'!AA467)),1,0)</f>
        <v/>
      </c>
      <c r="B4467">
        <f>B4466+A4467</f>
        <v/>
      </c>
      <c r="C4467">
        <f>IF(4464&gt;$B$4503,"",MATCH(4464-0.5,$B$3:$B$4503,1))</f>
        <v/>
      </c>
      <c r="D4467">
        <f>"Payer recredentialing – "&amp;IF(LEN(INDEX('Providers'!$A$4:$A$503,464))=0,"",INDEX('Providers'!$A$4:$A$503,464))</f>
        <v/>
      </c>
      <c r="E4467">
        <f>IF(ISNUMBER(INDEX('Providers'!$AA$4:$AA$503,464)),TEXT(INDEX('Providers'!$AA$4:$AA$503,464),"yyyy-mm-dd"),"")</f>
        <v/>
      </c>
      <c r="F4467">
        <f>"Credentialing"</f>
        <v/>
      </c>
      <c r="G4467">
        <f>""</f>
        <v/>
      </c>
      <c r="H4467">
        <f>"High"</f>
        <v/>
      </c>
      <c r="I4467">
        <f>TRIM(IF(LEN(IF(LEN(INDEX('Providers'!$Z$4:$Z$503,464))=0,"",INDEX('Providers'!$Z$4:$Z$503,464)))=0,"","Payer(s): "&amp;IF(LEN(INDEX('Providers'!$Z$4:$Z$503,464))=0,"",INDEX('Providers'!$Z$4:$Z$503,464))&amp;". "))</f>
        <v/>
      </c>
      <c r="J4467">
        <f>IF(LEN(INDEX('Providers'!$AJ$4:$AJ$503,464))=0,"",INDEX('Providers'!$AJ$4:$AJ$503,464))</f>
        <v/>
      </c>
      <c r="K4467">
        <f>IF(LEN(INDEX('Providers'!$AI$4:$AI$503,464))=0,"",INDEX('Providers'!$AI$4:$AI$503,464))</f>
        <v/>
      </c>
    </row>
    <row r="4468">
      <c r="A4468">
        <f>IF(AND(LEN('Providers'!A468)&gt;0,ISNUMBER('Providers'!AA468)),1,0)</f>
        <v/>
      </c>
      <c r="B4468">
        <f>B4467+A4468</f>
        <v/>
      </c>
      <c r="C4468">
        <f>IF(4465&gt;$B$4503,"",MATCH(4465-0.5,$B$3:$B$4503,1))</f>
        <v/>
      </c>
      <c r="D4468">
        <f>"Payer recredentialing – "&amp;IF(LEN(INDEX('Providers'!$A$4:$A$503,465))=0,"",INDEX('Providers'!$A$4:$A$503,465))</f>
        <v/>
      </c>
      <c r="E4468">
        <f>IF(ISNUMBER(INDEX('Providers'!$AA$4:$AA$503,465)),TEXT(INDEX('Providers'!$AA$4:$AA$503,465),"yyyy-mm-dd"),"")</f>
        <v/>
      </c>
      <c r="F4468">
        <f>"Credentialing"</f>
        <v/>
      </c>
      <c r="G4468">
        <f>""</f>
        <v/>
      </c>
      <c r="H4468">
        <f>"High"</f>
        <v/>
      </c>
      <c r="I4468">
        <f>TRIM(IF(LEN(IF(LEN(INDEX('Providers'!$Z$4:$Z$503,465))=0,"",INDEX('Providers'!$Z$4:$Z$503,465)))=0,"","Payer(s): "&amp;IF(LEN(INDEX('Providers'!$Z$4:$Z$503,465))=0,"",INDEX('Providers'!$Z$4:$Z$503,465))&amp;". "))</f>
        <v/>
      </c>
      <c r="J4468">
        <f>IF(LEN(INDEX('Providers'!$AJ$4:$AJ$503,465))=0,"",INDEX('Providers'!$AJ$4:$AJ$503,465))</f>
        <v/>
      </c>
      <c r="K4468">
        <f>IF(LEN(INDEX('Providers'!$AI$4:$AI$503,465))=0,"",INDEX('Providers'!$AI$4:$AI$503,465))</f>
        <v/>
      </c>
    </row>
    <row r="4469">
      <c r="A4469">
        <f>IF(AND(LEN('Providers'!A469)&gt;0,ISNUMBER('Providers'!AA469)),1,0)</f>
        <v/>
      </c>
      <c r="B4469">
        <f>B4468+A4469</f>
        <v/>
      </c>
      <c r="C4469">
        <f>IF(4466&gt;$B$4503,"",MATCH(4466-0.5,$B$3:$B$4503,1))</f>
        <v/>
      </c>
      <c r="D4469">
        <f>"Payer recredentialing – "&amp;IF(LEN(INDEX('Providers'!$A$4:$A$503,466))=0,"",INDEX('Providers'!$A$4:$A$503,466))</f>
        <v/>
      </c>
      <c r="E4469">
        <f>IF(ISNUMBER(INDEX('Providers'!$AA$4:$AA$503,466)),TEXT(INDEX('Providers'!$AA$4:$AA$503,466),"yyyy-mm-dd"),"")</f>
        <v/>
      </c>
      <c r="F4469">
        <f>"Credentialing"</f>
        <v/>
      </c>
      <c r="G4469">
        <f>""</f>
        <v/>
      </c>
      <c r="H4469">
        <f>"High"</f>
        <v/>
      </c>
      <c r="I4469">
        <f>TRIM(IF(LEN(IF(LEN(INDEX('Providers'!$Z$4:$Z$503,466))=0,"",INDEX('Providers'!$Z$4:$Z$503,466)))=0,"","Payer(s): "&amp;IF(LEN(INDEX('Providers'!$Z$4:$Z$503,466))=0,"",INDEX('Providers'!$Z$4:$Z$503,466))&amp;". "))</f>
        <v/>
      </c>
      <c r="J4469">
        <f>IF(LEN(INDEX('Providers'!$AJ$4:$AJ$503,466))=0,"",INDEX('Providers'!$AJ$4:$AJ$503,466))</f>
        <v/>
      </c>
      <c r="K4469">
        <f>IF(LEN(INDEX('Providers'!$AI$4:$AI$503,466))=0,"",INDEX('Providers'!$AI$4:$AI$503,466))</f>
        <v/>
      </c>
    </row>
    <row r="4470">
      <c r="A4470">
        <f>IF(AND(LEN('Providers'!A470)&gt;0,ISNUMBER('Providers'!AA470)),1,0)</f>
        <v/>
      </c>
      <c r="B4470">
        <f>B4469+A4470</f>
        <v/>
      </c>
      <c r="C4470">
        <f>IF(4467&gt;$B$4503,"",MATCH(4467-0.5,$B$3:$B$4503,1))</f>
        <v/>
      </c>
      <c r="D4470">
        <f>"Payer recredentialing – "&amp;IF(LEN(INDEX('Providers'!$A$4:$A$503,467))=0,"",INDEX('Providers'!$A$4:$A$503,467))</f>
        <v/>
      </c>
      <c r="E4470">
        <f>IF(ISNUMBER(INDEX('Providers'!$AA$4:$AA$503,467)),TEXT(INDEX('Providers'!$AA$4:$AA$503,467),"yyyy-mm-dd"),"")</f>
        <v/>
      </c>
      <c r="F4470">
        <f>"Credentialing"</f>
        <v/>
      </c>
      <c r="G4470">
        <f>""</f>
        <v/>
      </c>
      <c r="H4470">
        <f>"High"</f>
        <v/>
      </c>
      <c r="I4470">
        <f>TRIM(IF(LEN(IF(LEN(INDEX('Providers'!$Z$4:$Z$503,467))=0,"",INDEX('Providers'!$Z$4:$Z$503,467)))=0,"","Payer(s): "&amp;IF(LEN(INDEX('Providers'!$Z$4:$Z$503,467))=0,"",INDEX('Providers'!$Z$4:$Z$503,467))&amp;". "))</f>
        <v/>
      </c>
      <c r="J4470">
        <f>IF(LEN(INDEX('Providers'!$AJ$4:$AJ$503,467))=0,"",INDEX('Providers'!$AJ$4:$AJ$503,467))</f>
        <v/>
      </c>
      <c r="K4470">
        <f>IF(LEN(INDEX('Providers'!$AI$4:$AI$503,467))=0,"",INDEX('Providers'!$AI$4:$AI$503,467))</f>
        <v/>
      </c>
    </row>
    <row r="4471">
      <c r="A4471">
        <f>IF(AND(LEN('Providers'!A471)&gt;0,ISNUMBER('Providers'!AA471)),1,0)</f>
        <v/>
      </c>
      <c r="B4471">
        <f>B4470+A4471</f>
        <v/>
      </c>
      <c r="C4471">
        <f>IF(4468&gt;$B$4503,"",MATCH(4468-0.5,$B$3:$B$4503,1))</f>
        <v/>
      </c>
      <c r="D4471">
        <f>"Payer recredentialing – "&amp;IF(LEN(INDEX('Providers'!$A$4:$A$503,468))=0,"",INDEX('Providers'!$A$4:$A$503,468))</f>
        <v/>
      </c>
      <c r="E4471">
        <f>IF(ISNUMBER(INDEX('Providers'!$AA$4:$AA$503,468)),TEXT(INDEX('Providers'!$AA$4:$AA$503,468),"yyyy-mm-dd"),"")</f>
        <v/>
      </c>
      <c r="F4471">
        <f>"Credentialing"</f>
        <v/>
      </c>
      <c r="G4471">
        <f>""</f>
        <v/>
      </c>
      <c r="H4471">
        <f>"High"</f>
        <v/>
      </c>
      <c r="I4471">
        <f>TRIM(IF(LEN(IF(LEN(INDEX('Providers'!$Z$4:$Z$503,468))=0,"",INDEX('Providers'!$Z$4:$Z$503,468)))=0,"","Payer(s): "&amp;IF(LEN(INDEX('Providers'!$Z$4:$Z$503,468))=0,"",INDEX('Providers'!$Z$4:$Z$503,468))&amp;". "))</f>
        <v/>
      </c>
      <c r="J4471">
        <f>IF(LEN(INDEX('Providers'!$AJ$4:$AJ$503,468))=0,"",INDEX('Providers'!$AJ$4:$AJ$503,468))</f>
        <v/>
      </c>
      <c r="K4471">
        <f>IF(LEN(INDEX('Providers'!$AI$4:$AI$503,468))=0,"",INDEX('Providers'!$AI$4:$AI$503,468))</f>
        <v/>
      </c>
    </row>
    <row r="4472">
      <c r="A4472">
        <f>IF(AND(LEN('Providers'!A472)&gt;0,ISNUMBER('Providers'!AA472)),1,0)</f>
        <v/>
      </c>
      <c r="B4472">
        <f>B4471+A4472</f>
        <v/>
      </c>
      <c r="C4472">
        <f>IF(4469&gt;$B$4503,"",MATCH(4469-0.5,$B$3:$B$4503,1))</f>
        <v/>
      </c>
      <c r="D4472">
        <f>"Payer recredentialing – "&amp;IF(LEN(INDEX('Providers'!$A$4:$A$503,469))=0,"",INDEX('Providers'!$A$4:$A$503,469))</f>
        <v/>
      </c>
      <c r="E4472">
        <f>IF(ISNUMBER(INDEX('Providers'!$AA$4:$AA$503,469)),TEXT(INDEX('Providers'!$AA$4:$AA$503,469),"yyyy-mm-dd"),"")</f>
        <v/>
      </c>
      <c r="F4472">
        <f>"Credentialing"</f>
        <v/>
      </c>
      <c r="G4472">
        <f>""</f>
        <v/>
      </c>
      <c r="H4472">
        <f>"High"</f>
        <v/>
      </c>
      <c r="I4472">
        <f>TRIM(IF(LEN(IF(LEN(INDEX('Providers'!$Z$4:$Z$503,469))=0,"",INDEX('Providers'!$Z$4:$Z$503,469)))=0,"","Payer(s): "&amp;IF(LEN(INDEX('Providers'!$Z$4:$Z$503,469))=0,"",INDEX('Providers'!$Z$4:$Z$503,469))&amp;". "))</f>
        <v/>
      </c>
      <c r="J4472">
        <f>IF(LEN(INDEX('Providers'!$AJ$4:$AJ$503,469))=0,"",INDEX('Providers'!$AJ$4:$AJ$503,469))</f>
        <v/>
      </c>
      <c r="K4472">
        <f>IF(LEN(INDEX('Providers'!$AI$4:$AI$503,469))=0,"",INDEX('Providers'!$AI$4:$AI$503,469))</f>
        <v/>
      </c>
    </row>
    <row r="4473">
      <c r="A4473">
        <f>IF(AND(LEN('Providers'!A473)&gt;0,ISNUMBER('Providers'!AA473)),1,0)</f>
        <v/>
      </c>
      <c r="B4473">
        <f>B4472+A4473</f>
        <v/>
      </c>
      <c r="C4473">
        <f>IF(4470&gt;$B$4503,"",MATCH(4470-0.5,$B$3:$B$4503,1))</f>
        <v/>
      </c>
      <c r="D4473">
        <f>"Payer recredentialing – "&amp;IF(LEN(INDEX('Providers'!$A$4:$A$503,470))=0,"",INDEX('Providers'!$A$4:$A$503,470))</f>
        <v/>
      </c>
      <c r="E4473">
        <f>IF(ISNUMBER(INDEX('Providers'!$AA$4:$AA$503,470)),TEXT(INDEX('Providers'!$AA$4:$AA$503,470),"yyyy-mm-dd"),"")</f>
        <v/>
      </c>
      <c r="F4473">
        <f>"Credentialing"</f>
        <v/>
      </c>
      <c r="G4473">
        <f>""</f>
        <v/>
      </c>
      <c r="H4473">
        <f>"High"</f>
        <v/>
      </c>
      <c r="I4473">
        <f>TRIM(IF(LEN(IF(LEN(INDEX('Providers'!$Z$4:$Z$503,470))=0,"",INDEX('Providers'!$Z$4:$Z$503,470)))=0,"","Payer(s): "&amp;IF(LEN(INDEX('Providers'!$Z$4:$Z$503,470))=0,"",INDEX('Providers'!$Z$4:$Z$503,470))&amp;". "))</f>
        <v/>
      </c>
      <c r="J4473">
        <f>IF(LEN(INDEX('Providers'!$AJ$4:$AJ$503,470))=0,"",INDEX('Providers'!$AJ$4:$AJ$503,470))</f>
        <v/>
      </c>
      <c r="K4473">
        <f>IF(LEN(INDEX('Providers'!$AI$4:$AI$503,470))=0,"",INDEX('Providers'!$AI$4:$AI$503,470))</f>
        <v/>
      </c>
    </row>
    <row r="4474">
      <c r="A4474">
        <f>IF(AND(LEN('Providers'!A474)&gt;0,ISNUMBER('Providers'!AA474)),1,0)</f>
        <v/>
      </c>
      <c r="B4474">
        <f>B4473+A4474</f>
        <v/>
      </c>
      <c r="C4474">
        <f>IF(4471&gt;$B$4503,"",MATCH(4471-0.5,$B$3:$B$4503,1))</f>
        <v/>
      </c>
      <c r="D4474">
        <f>"Payer recredentialing – "&amp;IF(LEN(INDEX('Providers'!$A$4:$A$503,471))=0,"",INDEX('Providers'!$A$4:$A$503,471))</f>
        <v/>
      </c>
      <c r="E4474">
        <f>IF(ISNUMBER(INDEX('Providers'!$AA$4:$AA$503,471)),TEXT(INDEX('Providers'!$AA$4:$AA$503,471),"yyyy-mm-dd"),"")</f>
        <v/>
      </c>
      <c r="F4474">
        <f>"Credentialing"</f>
        <v/>
      </c>
      <c r="G4474">
        <f>""</f>
        <v/>
      </c>
      <c r="H4474">
        <f>"High"</f>
        <v/>
      </c>
      <c r="I4474">
        <f>TRIM(IF(LEN(IF(LEN(INDEX('Providers'!$Z$4:$Z$503,471))=0,"",INDEX('Providers'!$Z$4:$Z$503,471)))=0,"","Payer(s): "&amp;IF(LEN(INDEX('Providers'!$Z$4:$Z$503,471))=0,"",INDEX('Providers'!$Z$4:$Z$503,471))&amp;". "))</f>
        <v/>
      </c>
      <c r="J4474">
        <f>IF(LEN(INDEX('Providers'!$AJ$4:$AJ$503,471))=0,"",INDEX('Providers'!$AJ$4:$AJ$503,471))</f>
        <v/>
      </c>
      <c r="K4474">
        <f>IF(LEN(INDEX('Providers'!$AI$4:$AI$503,471))=0,"",INDEX('Providers'!$AI$4:$AI$503,471))</f>
        <v/>
      </c>
    </row>
    <row r="4475">
      <c r="A4475">
        <f>IF(AND(LEN('Providers'!A475)&gt;0,ISNUMBER('Providers'!AA475)),1,0)</f>
        <v/>
      </c>
      <c r="B4475">
        <f>B4474+A4475</f>
        <v/>
      </c>
      <c r="C4475">
        <f>IF(4472&gt;$B$4503,"",MATCH(4472-0.5,$B$3:$B$4503,1))</f>
        <v/>
      </c>
      <c r="D4475">
        <f>"Payer recredentialing – "&amp;IF(LEN(INDEX('Providers'!$A$4:$A$503,472))=0,"",INDEX('Providers'!$A$4:$A$503,472))</f>
        <v/>
      </c>
      <c r="E4475">
        <f>IF(ISNUMBER(INDEX('Providers'!$AA$4:$AA$503,472)),TEXT(INDEX('Providers'!$AA$4:$AA$503,472),"yyyy-mm-dd"),"")</f>
        <v/>
      </c>
      <c r="F4475">
        <f>"Credentialing"</f>
        <v/>
      </c>
      <c r="G4475">
        <f>""</f>
        <v/>
      </c>
      <c r="H4475">
        <f>"High"</f>
        <v/>
      </c>
      <c r="I4475">
        <f>TRIM(IF(LEN(IF(LEN(INDEX('Providers'!$Z$4:$Z$503,472))=0,"",INDEX('Providers'!$Z$4:$Z$503,472)))=0,"","Payer(s): "&amp;IF(LEN(INDEX('Providers'!$Z$4:$Z$503,472))=0,"",INDEX('Providers'!$Z$4:$Z$503,472))&amp;". "))</f>
        <v/>
      </c>
      <c r="J4475">
        <f>IF(LEN(INDEX('Providers'!$AJ$4:$AJ$503,472))=0,"",INDEX('Providers'!$AJ$4:$AJ$503,472))</f>
        <v/>
      </c>
      <c r="K4475">
        <f>IF(LEN(INDEX('Providers'!$AI$4:$AI$503,472))=0,"",INDEX('Providers'!$AI$4:$AI$503,472))</f>
        <v/>
      </c>
    </row>
    <row r="4476">
      <c r="A4476">
        <f>IF(AND(LEN('Providers'!A476)&gt;0,ISNUMBER('Providers'!AA476)),1,0)</f>
        <v/>
      </c>
      <c r="B4476">
        <f>B4475+A4476</f>
        <v/>
      </c>
      <c r="C4476">
        <f>IF(4473&gt;$B$4503,"",MATCH(4473-0.5,$B$3:$B$4503,1))</f>
        <v/>
      </c>
      <c r="D4476">
        <f>"Payer recredentialing – "&amp;IF(LEN(INDEX('Providers'!$A$4:$A$503,473))=0,"",INDEX('Providers'!$A$4:$A$503,473))</f>
        <v/>
      </c>
      <c r="E4476">
        <f>IF(ISNUMBER(INDEX('Providers'!$AA$4:$AA$503,473)),TEXT(INDEX('Providers'!$AA$4:$AA$503,473),"yyyy-mm-dd"),"")</f>
        <v/>
      </c>
      <c r="F4476">
        <f>"Credentialing"</f>
        <v/>
      </c>
      <c r="G4476">
        <f>""</f>
        <v/>
      </c>
      <c r="H4476">
        <f>"High"</f>
        <v/>
      </c>
      <c r="I4476">
        <f>TRIM(IF(LEN(IF(LEN(INDEX('Providers'!$Z$4:$Z$503,473))=0,"",INDEX('Providers'!$Z$4:$Z$503,473)))=0,"","Payer(s): "&amp;IF(LEN(INDEX('Providers'!$Z$4:$Z$503,473))=0,"",INDEX('Providers'!$Z$4:$Z$503,473))&amp;". "))</f>
        <v/>
      </c>
      <c r="J4476">
        <f>IF(LEN(INDEX('Providers'!$AJ$4:$AJ$503,473))=0,"",INDEX('Providers'!$AJ$4:$AJ$503,473))</f>
        <v/>
      </c>
      <c r="K4476">
        <f>IF(LEN(INDEX('Providers'!$AI$4:$AI$503,473))=0,"",INDEX('Providers'!$AI$4:$AI$503,473))</f>
        <v/>
      </c>
    </row>
    <row r="4477">
      <c r="A4477">
        <f>IF(AND(LEN('Providers'!A477)&gt;0,ISNUMBER('Providers'!AA477)),1,0)</f>
        <v/>
      </c>
      <c r="B4477">
        <f>B4476+A4477</f>
        <v/>
      </c>
      <c r="C4477">
        <f>IF(4474&gt;$B$4503,"",MATCH(4474-0.5,$B$3:$B$4503,1))</f>
        <v/>
      </c>
      <c r="D4477">
        <f>"Payer recredentialing – "&amp;IF(LEN(INDEX('Providers'!$A$4:$A$503,474))=0,"",INDEX('Providers'!$A$4:$A$503,474))</f>
        <v/>
      </c>
      <c r="E4477">
        <f>IF(ISNUMBER(INDEX('Providers'!$AA$4:$AA$503,474)),TEXT(INDEX('Providers'!$AA$4:$AA$503,474),"yyyy-mm-dd"),"")</f>
        <v/>
      </c>
      <c r="F4477">
        <f>"Credentialing"</f>
        <v/>
      </c>
      <c r="G4477">
        <f>""</f>
        <v/>
      </c>
      <c r="H4477">
        <f>"High"</f>
        <v/>
      </c>
      <c r="I4477">
        <f>TRIM(IF(LEN(IF(LEN(INDEX('Providers'!$Z$4:$Z$503,474))=0,"",INDEX('Providers'!$Z$4:$Z$503,474)))=0,"","Payer(s): "&amp;IF(LEN(INDEX('Providers'!$Z$4:$Z$503,474))=0,"",INDEX('Providers'!$Z$4:$Z$503,474))&amp;". "))</f>
        <v/>
      </c>
      <c r="J4477">
        <f>IF(LEN(INDEX('Providers'!$AJ$4:$AJ$503,474))=0,"",INDEX('Providers'!$AJ$4:$AJ$503,474))</f>
        <v/>
      </c>
      <c r="K4477">
        <f>IF(LEN(INDEX('Providers'!$AI$4:$AI$503,474))=0,"",INDEX('Providers'!$AI$4:$AI$503,474))</f>
        <v/>
      </c>
    </row>
    <row r="4478">
      <c r="A4478">
        <f>IF(AND(LEN('Providers'!A478)&gt;0,ISNUMBER('Providers'!AA478)),1,0)</f>
        <v/>
      </c>
      <c r="B4478">
        <f>B4477+A4478</f>
        <v/>
      </c>
      <c r="C4478">
        <f>IF(4475&gt;$B$4503,"",MATCH(4475-0.5,$B$3:$B$4503,1))</f>
        <v/>
      </c>
      <c r="D4478">
        <f>"Payer recredentialing – "&amp;IF(LEN(INDEX('Providers'!$A$4:$A$503,475))=0,"",INDEX('Providers'!$A$4:$A$503,475))</f>
        <v/>
      </c>
      <c r="E4478">
        <f>IF(ISNUMBER(INDEX('Providers'!$AA$4:$AA$503,475)),TEXT(INDEX('Providers'!$AA$4:$AA$503,475),"yyyy-mm-dd"),"")</f>
        <v/>
      </c>
      <c r="F4478">
        <f>"Credentialing"</f>
        <v/>
      </c>
      <c r="G4478">
        <f>""</f>
        <v/>
      </c>
      <c r="H4478">
        <f>"High"</f>
        <v/>
      </c>
      <c r="I4478">
        <f>TRIM(IF(LEN(IF(LEN(INDEX('Providers'!$Z$4:$Z$503,475))=0,"",INDEX('Providers'!$Z$4:$Z$503,475)))=0,"","Payer(s): "&amp;IF(LEN(INDEX('Providers'!$Z$4:$Z$503,475))=0,"",INDEX('Providers'!$Z$4:$Z$503,475))&amp;". "))</f>
        <v/>
      </c>
      <c r="J4478">
        <f>IF(LEN(INDEX('Providers'!$AJ$4:$AJ$503,475))=0,"",INDEX('Providers'!$AJ$4:$AJ$503,475))</f>
        <v/>
      </c>
      <c r="K4478">
        <f>IF(LEN(INDEX('Providers'!$AI$4:$AI$503,475))=0,"",INDEX('Providers'!$AI$4:$AI$503,475))</f>
        <v/>
      </c>
    </row>
    <row r="4479">
      <c r="A4479">
        <f>IF(AND(LEN('Providers'!A479)&gt;0,ISNUMBER('Providers'!AA479)),1,0)</f>
        <v/>
      </c>
      <c r="B4479">
        <f>B4478+A4479</f>
        <v/>
      </c>
      <c r="C4479">
        <f>IF(4476&gt;$B$4503,"",MATCH(4476-0.5,$B$3:$B$4503,1))</f>
        <v/>
      </c>
      <c r="D4479">
        <f>"Payer recredentialing – "&amp;IF(LEN(INDEX('Providers'!$A$4:$A$503,476))=0,"",INDEX('Providers'!$A$4:$A$503,476))</f>
        <v/>
      </c>
      <c r="E4479">
        <f>IF(ISNUMBER(INDEX('Providers'!$AA$4:$AA$503,476)),TEXT(INDEX('Providers'!$AA$4:$AA$503,476),"yyyy-mm-dd"),"")</f>
        <v/>
      </c>
      <c r="F4479">
        <f>"Credentialing"</f>
        <v/>
      </c>
      <c r="G4479">
        <f>""</f>
        <v/>
      </c>
      <c r="H4479">
        <f>"High"</f>
        <v/>
      </c>
      <c r="I4479">
        <f>TRIM(IF(LEN(IF(LEN(INDEX('Providers'!$Z$4:$Z$503,476))=0,"",INDEX('Providers'!$Z$4:$Z$503,476)))=0,"","Payer(s): "&amp;IF(LEN(INDEX('Providers'!$Z$4:$Z$503,476))=0,"",INDEX('Providers'!$Z$4:$Z$503,476))&amp;". "))</f>
        <v/>
      </c>
      <c r="J4479">
        <f>IF(LEN(INDEX('Providers'!$AJ$4:$AJ$503,476))=0,"",INDEX('Providers'!$AJ$4:$AJ$503,476))</f>
        <v/>
      </c>
      <c r="K4479">
        <f>IF(LEN(INDEX('Providers'!$AI$4:$AI$503,476))=0,"",INDEX('Providers'!$AI$4:$AI$503,476))</f>
        <v/>
      </c>
    </row>
    <row r="4480">
      <c r="A4480">
        <f>IF(AND(LEN('Providers'!A480)&gt;0,ISNUMBER('Providers'!AA480)),1,0)</f>
        <v/>
      </c>
      <c r="B4480">
        <f>B4479+A4480</f>
        <v/>
      </c>
      <c r="C4480">
        <f>IF(4477&gt;$B$4503,"",MATCH(4477-0.5,$B$3:$B$4503,1))</f>
        <v/>
      </c>
      <c r="D4480">
        <f>"Payer recredentialing – "&amp;IF(LEN(INDEX('Providers'!$A$4:$A$503,477))=0,"",INDEX('Providers'!$A$4:$A$503,477))</f>
        <v/>
      </c>
      <c r="E4480">
        <f>IF(ISNUMBER(INDEX('Providers'!$AA$4:$AA$503,477)),TEXT(INDEX('Providers'!$AA$4:$AA$503,477),"yyyy-mm-dd"),"")</f>
        <v/>
      </c>
      <c r="F4480">
        <f>"Credentialing"</f>
        <v/>
      </c>
      <c r="G4480">
        <f>""</f>
        <v/>
      </c>
      <c r="H4480">
        <f>"High"</f>
        <v/>
      </c>
      <c r="I4480">
        <f>TRIM(IF(LEN(IF(LEN(INDEX('Providers'!$Z$4:$Z$503,477))=0,"",INDEX('Providers'!$Z$4:$Z$503,477)))=0,"","Payer(s): "&amp;IF(LEN(INDEX('Providers'!$Z$4:$Z$503,477))=0,"",INDEX('Providers'!$Z$4:$Z$503,477))&amp;". "))</f>
        <v/>
      </c>
      <c r="J4480">
        <f>IF(LEN(INDEX('Providers'!$AJ$4:$AJ$503,477))=0,"",INDEX('Providers'!$AJ$4:$AJ$503,477))</f>
        <v/>
      </c>
      <c r="K4480">
        <f>IF(LEN(INDEX('Providers'!$AI$4:$AI$503,477))=0,"",INDEX('Providers'!$AI$4:$AI$503,477))</f>
        <v/>
      </c>
    </row>
    <row r="4481">
      <c r="A4481">
        <f>IF(AND(LEN('Providers'!A481)&gt;0,ISNUMBER('Providers'!AA481)),1,0)</f>
        <v/>
      </c>
      <c r="B4481">
        <f>B4480+A4481</f>
        <v/>
      </c>
      <c r="C4481">
        <f>IF(4478&gt;$B$4503,"",MATCH(4478-0.5,$B$3:$B$4503,1))</f>
        <v/>
      </c>
      <c r="D4481">
        <f>"Payer recredentialing – "&amp;IF(LEN(INDEX('Providers'!$A$4:$A$503,478))=0,"",INDEX('Providers'!$A$4:$A$503,478))</f>
        <v/>
      </c>
      <c r="E4481">
        <f>IF(ISNUMBER(INDEX('Providers'!$AA$4:$AA$503,478)),TEXT(INDEX('Providers'!$AA$4:$AA$503,478),"yyyy-mm-dd"),"")</f>
        <v/>
      </c>
      <c r="F4481">
        <f>"Credentialing"</f>
        <v/>
      </c>
      <c r="G4481">
        <f>""</f>
        <v/>
      </c>
      <c r="H4481">
        <f>"High"</f>
        <v/>
      </c>
      <c r="I4481">
        <f>TRIM(IF(LEN(IF(LEN(INDEX('Providers'!$Z$4:$Z$503,478))=0,"",INDEX('Providers'!$Z$4:$Z$503,478)))=0,"","Payer(s): "&amp;IF(LEN(INDEX('Providers'!$Z$4:$Z$503,478))=0,"",INDEX('Providers'!$Z$4:$Z$503,478))&amp;". "))</f>
        <v/>
      </c>
      <c r="J4481">
        <f>IF(LEN(INDEX('Providers'!$AJ$4:$AJ$503,478))=0,"",INDEX('Providers'!$AJ$4:$AJ$503,478))</f>
        <v/>
      </c>
      <c r="K4481">
        <f>IF(LEN(INDEX('Providers'!$AI$4:$AI$503,478))=0,"",INDEX('Providers'!$AI$4:$AI$503,478))</f>
        <v/>
      </c>
    </row>
    <row r="4482">
      <c r="A4482">
        <f>IF(AND(LEN('Providers'!A482)&gt;0,ISNUMBER('Providers'!AA482)),1,0)</f>
        <v/>
      </c>
      <c r="B4482">
        <f>B4481+A4482</f>
        <v/>
      </c>
      <c r="C4482">
        <f>IF(4479&gt;$B$4503,"",MATCH(4479-0.5,$B$3:$B$4503,1))</f>
        <v/>
      </c>
      <c r="D4482">
        <f>"Payer recredentialing – "&amp;IF(LEN(INDEX('Providers'!$A$4:$A$503,479))=0,"",INDEX('Providers'!$A$4:$A$503,479))</f>
        <v/>
      </c>
      <c r="E4482">
        <f>IF(ISNUMBER(INDEX('Providers'!$AA$4:$AA$503,479)),TEXT(INDEX('Providers'!$AA$4:$AA$503,479),"yyyy-mm-dd"),"")</f>
        <v/>
      </c>
      <c r="F4482">
        <f>"Credentialing"</f>
        <v/>
      </c>
      <c r="G4482">
        <f>""</f>
        <v/>
      </c>
      <c r="H4482">
        <f>"High"</f>
        <v/>
      </c>
      <c r="I4482">
        <f>TRIM(IF(LEN(IF(LEN(INDEX('Providers'!$Z$4:$Z$503,479))=0,"",INDEX('Providers'!$Z$4:$Z$503,479)))=0,"","Payer(s): "&amp;IF(LEN(INDEX('Providers'!$Z$4:$Z$503,479))=0,"",INDEX('Providers'!$Z$4:$Z$503,479))&amp;". "))</f>
        <v/>
      </c>
      <c r="J4482">
        <f>IF(LEN(INDEX('Providers'!$AJ$4:$AJ$503,479))=0,"",INDEX('Providers'!$AJ$4:$AJ$503,479))</f>
        <v/>
      </c>
      <c r="K4482">
        <f>IF(LEN(INDEX('Providers'!$AI$4:$AI$503,479))=0,"",INDEX('Providers'!$AI$4:$AI$503,479))</f>
        <v/>
      </c>
    </row>
    <row r="4483">
      <c r="A4483">
        <f>IF(AND(LEN('Providers'!A483)&gt;0,ISNUMBER('Providers'!AA483)),1,0)</f>
        <v/>
      </c>
      <c r="B4483">
        <f>B4482+A4483</f>
        <v/>
      </c>
      <c r="C4483">
        <f>IF(4480&gt;$B$4503,"",MATCH(4480-0.5,$B$3:$B$4503,1))</f>
        <v/>
      </c>
      <c r="D4483">
        <f>"Payer recredentialing – "&amp;IF(LEN(INDEX('Providers'!$A$4:$A$503,480))=0,"",INDEX('Providers'!$A$4:$A$503,480))</f>
        <v/>
      </c>
      <c r="E4483">
        <f>IF(ISNUMBER(INDEX('Providers'!$AA$4:$AA$503,480)),TEXT(INDEX('Providers'!$AA$4:$AA$503,480),"yyyy-mm-dd"),"")</f>
        <v/>
      </c>
      <c r="F4483">
        <f>"Credentialing"</f>
        <v/>
      </c>
      <c r="G4483">
        <f>""</f>
        <v/>
      </c>
      <c r="H4483">
        <f>"High"</f>
        <v/>
      </c>
      <c r="I4483">
        <f>TRIM(IF(LEN(IF(LEN(INDEX('Providers'!$Z$4:$Z$503,480))=0,"",INDEX('Providers'!$Z$4:$Z$503,480)))=0,"","Payer(s): "&amp;IF(LEN(INDEX('Providers'!$Z$4:$Z$503,480))=0,"",INDEX('Providers'!$Z$4:$Z$503,480))&amp;". "))</f>
        <v/>
      </c>
      <c r="J4483">
        <f>IF(LEN(INDEX('Providers'!$AJ$4:$AJ$503,480))=0,"",INDEX('Providers'!$AJ$4:$AJ$503,480))</f>
        <v/>
      </c>
      <c r="K4483">
        <f>IF(LEN(INDEX('Providers'!$AI$4:$AI$503,480))=0,"",INDEX('Providers'!$AI$4:$AI$503,480))</f>
        <v/>
      </c>
    </row>
    <row r="4484">
      <c r="A4484">
        <f>IF(AND(LEN('Providers'!A484)&gt;0,ISNUMBER('Providers'!AA484)),1,0)</f>
        <v/>
      </c>
      <c r="B4484">
        <f>B4483+A4484</f>
        <v/>
      </c>
      <c r="C4484">
        <f>IF(4481&gt;$B$4503,"",MATCH(4481-0.5,$B$3:$B$4503,1))</f>
        <v/>
      </c>
      <c r="D4484">
        <f>"Payer recredentialing – "&amp;IF(LEN(INDEX('Providers'!$A$4:$A$503,481))=0,"",INDEX('Providers'!$A$4:$A$503,481))</f>
        <v/>
      </c>
      <c r="E4484">
        <f>IF(ISNUMBER(INDEX('Providers'!$AA$4:$AA$503,481)),TEXT(INDEX('Providers'!$AA$4:$AA$503,481),"yyyy-mm-dd"),"")</f>
        <v/>
      </c>
      <c r="F4484">
        <f>"Credentialing"</f>
        <v/>
      </c>
      <c r="G4484">
        <f>""</f>
        <v/>
      </c>
      <c r="H4484">
        <f>"High"</f>
        <v/>
      </c>
      <c r="I4484">
        <f>TRIM(IF(LEN(IF(LEN(INDEX('Providers'!$Z$4:$Z$503,481))=0,"",INDEX('Providers'!$Z$4:$Z$503,481)))=0,"","Payer(s): "&amp;IF(LEN(INDEX('Providers'!$Z$4:$Z$503,481))=0,"",INDEX('Providers'!$Z$4:$Z$503,481))&amp;". "))</f>
        <v/>
      </c>
      <c r="J4484">
        <f>IF(LEN(INDEX('Providers'!$AJ$4:$AJ$503,481))=0,"",INDEX('Providers'!$AJ$4:$AJ$503,481))</f>
        <v/>
      </c>
      <c r="K4484">
        <f>IF(LEN(INDEX('Providers'!$AI$4:$AI$503,481))=0,"",INDEX('Providers'!$AI$4:$AI$503,481))</f>
        <v/>
      </c>
    </row>
    <row r="4485">
      <c r="A4485">
        <f>IF(AND(LEN('Providers'!A485)&gt;0,ISNUMBER('Providers'!AA485)),1,0)</f>
        <v/>
      </c>
      <c r="B4485">
        <f>B4484+A4485</f>
        <v/>
      </c>
      <c r="C4485">
        <f>IF(4482&gt;$B$4503,"",MATCH(4482-0.5,$B$3:$B$4503,1))</f>
        <v/>
      </c>
      <c r="D4485">
        <f>"Payer recredentialing – "&amp;IF(LEN(INDEX('Providers'!$A$4:$A$503,482))=0,"",INDEX('Providers'!$A$4:$A$503,482))</f>
        <v/>
      </c>
      <c r="E4485">
        <f>IF(ISNUMBER(INDEX('Providers'!$AA$4:$AA$503,482)),TEXT(INDEX('Providers'!$AA$4:$AA$503,482),"yyyy-mm-dd"),"")</f>
        <v/>
      </c>
      <c r="F4485">
        <f>"Credentialing"</f>
        <v/>
      </c>
      <c r="G4485">
        <f>""</f>
        <v/>
      </c>
      <c r="H4485">
        <f>"High"</f>
        <v/>
      </c>
      <c r="I4485">
        <f>TRIM(IF(LEN(IF(LEN(INDEX('Providers'!$Z$4:$Z$503,482))=0,"",INDEX('Providers'!$Z$4:$Z$503,482)))=0,"","Payer(s): "&amp;IF(LEN(INDEX('Providers'!$Z$4:$Z$503,482))=0,"",INDEX('Providers'!$Z$4:$Z$503,482))&amp;". "))</f>
        <v/>
      </c>
      <c r="J4485">
        <f>IF(LEN(INDEX('Providers'!$AJ$4:$AJ$503,482))=0,"",INDEX('Providers'!$AJ$4:$AJ$503,482))</f>
        <v/>
      </c>
      <c r="K4485">
        <f>IF(LEN(INDEX('Providers'!$AI$4:$AI$503,482))=0,"",INDEX('Providers'!$AI$4:$AI$503,482))</f>
        <v/>
      </c>
    </row>
    <row r="4486">
      <c r="A4486">
        <f>IF(AND(LEN('Providers'!A486)&gt;0,ISNUMBER('Providers'!AA486)),1,0)</f>
        <v/>
      </c>
      <c r="B4486">
        <f>B4485+A4486</f>
        <v/>
      </c>
      <c r="C4486">
        <f>IF(4483&gt;$B$4503,"",MATCH(4483-0.5,$B$3:$B$4503,1))</f>
        <v/>
      </c>
      <c r="D4486">
        <f>"Payer recredentialing – "&amp;IF(LEN(INDEX('Providers'!$A$4:$A$503,483))=0,"",INDEX('Providers'!$A$4:$A$503,483))</f>
        <v/>
      </c>
      <c r="E4486">
        <f>IF(ISNUMBER(INDEX('Providers'!$AA$4:$AA$503,483)),TEXT(INDEX('Providers'!$AA$4:$AA$503,483),"yyyy-mm-dd"),"")</f>
        <v/>
      </c>
      <c r="F4486">
        <f>"Credentialing"</f>
        <v/>
      </c>
      <c r="G4486">
        <f>""</f>
        <v/>
      </c>
      <c r="H4486">
        <f>"High"</f>
        <v/>
      </c>
      <c r="I4486">
        <f>TRIM(IF(LEN(IF(LEN(INDEX('Providers'!$Z$4:$Z$503,483))=0,"",INDEX('Providers'!$Z$4:$Z$503,483)))=0,"","Payer(s): "&amp;IF(LEN(INDEX('Providers'!$Z$4:$Z$503,483))=0,"",INDEX('Providers'!$Z$4:$Z$503,483))&amp;". "))</f>
        <v/>
      </c>
      <c r="J4486">
        <f>IF(LEN(INDEX('Providers'!$AJ$4:$AJ$503,483))=0,"",INDEX('Providers'!$AJ$4:$AJ$503,483))</f>
        <v/>
      </c>
      <c r="K4486">
        <f>IF(LEN(INDEX('Providers'!$AI$4:$AI$503,483))=0,"",INDEX('Providers'!$AI$4:$AI$503,483))</f>
        <v/>
      </c>
    </row>
    <row r="4487">
      <c r="A4487">
        <f>IF(AND(LEN('Providers'!A487)&gt;0,ISNUMBER('Providers'!AA487)),1,0)</f>
        <v/>
      </c>
      <c r="B4487">
        <f>B4486+A4487</f>
        <v/>
      </c>
      <c r="C4487">
        <f>IF(4484&gt;$B$4503,"",MATCH(4484-0.5,$B$3:$B$4503,1))</f>
        <v/>
      </c>
      <c r="D4487">
        <f>"Payer recredentialing – "&amp;IF(LEN(INDEX('Providers'!$A$4:$A$503,484))=0,"",INDEX('Providers'!$A$4:$A$503,484))</f>
        <v/>
      </c>
      <c r="E4487">
        <f>IF(ISNUMBER(INDEX('Providers'!$AA$4:$AA$503,484)),TEXT(INDEX('Providers'!$AA$4:$AA$503,484),"yyyy-mm-dd"),"")</f>
        <v/>
      </c>
      <c r="F4487">
        <f>"Credentialing"</f>
        <v/>
      </c>
      <c r="G4487">
        <f>""</f>
        <v/>
      </c>
      <c r="H4487">
        <f>"High"</f>
        <v/>
      </c>
      <c r="I4487">
        <f>TRIM(IF(LEN(IF(LEN(INDEX('Providers'!$Z$4:$Z$503,484))=0,"",INDEX('Providers'!$Z$4:$Z$503,484)))=0,"","Payer(s): "&amp;IF(LEN(INDEX('Providers'!$Z$4:$Z$503,484))=0,"",INDEX('Providers'!$Z$4:$Z$503,484))&amp;". "))</f>
        <v/>
      </c>
      <c r="J4487">
        <f>IF(LEN(INDEX('Providers'!$AJ$4:$AJ$503,484))=0,"",INDEX('Providers'!$AJ$4:$AJ$503,484))</f>
        <v/>
      </c>
      <c r="K4487">
        <f>IF(LEN(INDEX('Providers'!$AI$4:$AI$503,484))=0,"",INDEX('Providers'!$AI$4:$AI$503,484))</f>
        <v/>
      </c>
    </row>
    <row r="4488">
      <c r="A4488">
        <f>IF(AND(LEN('Providers'!A488)&gt;0,ISNUMBER('Providers'!AA488)),1,0)</f>
        <v/>
      </c>
      <c r="B4488">
        <f>B4487+A4488</f>
        <v/>
      </c>
      <c r="C4488">
        <f>IF(4485&gt;$B$4503,"",MATCH(4485-0.5,$B$3:$B$4503,1))</f>
        <v/>
      </c>
      <c r="D4488">
        <f>"Payer recredentialing – "&amp;IF(LEN(INDEX('Providers'!$A$4:$A$503,485))=0,"",INDEX('Providers'!$A$4:$A$503,485))</f>
        <v/>
      </c>
      <c r="E4488">
        <f>IF(ISNUMBER(INDEX('Providers'!$AA$4:$AA$503,485)),TEXT(INDEX('Providers'!$AA$4:$AA$503,485),"yyyy-mm-dd"),"")</f>
        <v/>
      </c>
      <c r="F4488">
        <f>"Credentialing"</f>
        <v/>
      </c>
      <c r="G4488">
        <f>""</f>
        <v/>
      </c>
      <c r="H4488">
        <f>"High"</f>
        <v/>
      </c>
      <c r="I4488">
        <f>TRIM(IF(LEN(IF(LEN(INDEX('Providers'!$Z$4:$Z$503,485))=0,"",INDEX('Providers'!$Z$4:$Z$503,485)))=0,"","Payer(s): "&amp;IF(LEN(INDEX('Providers'!$Z$4:$Z$503,485))=0,"",INDEX('Providers'!$Z$4:$Z$503,485))&amp;". "))</f>
        <v/>
      </c>
      <c r="J4488">
        <f>IF(LEN(INDEX('Providers'!$AJ$4:$AJ$503,485))=0,"",INDEX('Providers'!$AJ$4:$AJ$503,485))</f>
        <v/>
      </c>
      <c r="K4488">
        <f>IF(LEN(INDEX('Providers'!$AI$4:$AI$503,485))=0,"",INDEX('Providers'!$AI$4:$AI$503,485))</f>
        <v/>
      </c>
    </row>
    <row r="4489">
      <c r="A4489">
        <f>IF(AND(LEN('Providers'!A489)&gt;0,ISNUMBER('Providers'!AA489)),1,0)</f>
        <v/>
      </c>
      <c r="B4489">
        <f>B4488+A4489</f>
        <v/>
      </c>
      <c r="C4489">
        <f>IF(4486&gt;$B$4503,"",MATCH(4486-0.5,$B$3:$B$4503,1))</f>
        <v/>
      </c>
      <c r="D4489">
        <f>"Payer recredentialing – "&amp;IF(LEN(INDEX('Providers'!$A$4:$A$503,486))=0,"",INDEX('Providers'!$A$4:$A$503,486))</f>
        <v/>
      </c>
      <c r="E4489">
        <f>IF(ISNUMBER(INDEX('Providers'!$AA$4:$AA$503,486)),TEXT(INDEX('Providers'!$AA$4:$AA$503,486),"yyyy-mm-dd"),"")</f>
        <v/>
      </c>
      <c r="F4489">
        <f>"Credentialing"</f>
        <v/>
      </c>
      <c r="G4489">
        <f>""</f>
        <v/>
      </c>
      <c r="H4489">
        <f>"High"</f>
        <v/>
      </c>
      <c r="I4489">
        <f>TRIM(IF(LEN(IF(LEN(INDEX('Providers'!$Z$4:$Z$503,486))=0,"",INDEX('Providers'!$Z$4:$Z$503,486)))=0,"","Payer(s): "&amp;IF(LEN(INDEX('Providers'!$Z$4:$Z$503,486))=0,"",INDEX('Providers'!$Z$4:$Z$503,486))&amp;". "))</f>
        <v/>
      </c>
      <c r="J4489">
        <f>IF(LEN(INDEX('Providers'!$AJ$4:$AJ$503,486))=0,"",INDEX('Providers'!$AJ$4:$AJ$503,486))</f>
        <v/>
      </c>
      <c r="K4489">
        <f>IF(LEN(INDEX('Providers'!$AI$4:$AI$503,486))=0,"",INDEX('Providers'!$AI$4:$AI$503,486))</f>
        <v/>
      </c>
    </row>
    <row r="4490">
      <c r="A4490">
        <f>IF(AND(LEN('Providers'!A490)&gt;0,ISNUMBER('Providers'!AA490)),1,0)</f>
        <v/>
      </c>
      <c r="B4490">
        <f>B4489+A4490</f>
        <v/>
      </c>
      <c r="C4490">
        <f>IF(4487&gt;$B$4503,"",MATCH(4487-0.5,$B$3:$B$4503,1))</f>
        <v/>
      </c>
      <c r="D4490">
        <f>"Payer recredentialing – "&amp;IF(LEN(INDEX('Providers'!$A$4:$A$503,487))=0,"",INDEX('Providers'!$A$4:$A$503,487))</f>
        <v/>
      </c>
      <c r="E4490">
        <f>IF(ISNUMBER(INDEX('Providers'!$AA$4:$AA$503,487)),TEXT(INDEX('Providers'!$AA$4:$AA$503,487),"yyyy-mm-dd"),"")</f>
        <v/>
      </c>
      <c r="F4490">
        <f>"Credentialing"</f>
        <v/>
      </c>
      <c r="G4490">
        <f>""</f>
        <v/>
      </c>
      <c r="H4490">
        <f>"High"</f>
        <v/>
      </c>
      <c r="I4490">
        <f>TRIM(IF(LEN(IF(LEN(INDEX('Providers'!$Z$4:$Z$503,487))=0,"",INDEX('Providers'!$Z$4:$Z$503,487)))=0,"","Payer(s): "&amp;IF(LEN(INDEX('Providers'!$Z$4:$Z$503,487))=0,"",INDEX('Providers'!$Z$4:$Z$503,487))&amp;". "))</f>
        <v/>
      </c>
      <c r="J4490">
        <f>IF(LEN(INDEX('Providers'!$AJ$4:$AJ$503,487))=0,"",INDEX('Providers'!$AJ$4:$AJ$503,487))</f>
        <v/>
      </c>
      <c r="K4490">
        <f>IF(LEN(INDEX('Providers'!$AI$4:$AI$503,487))=0,"",INDEX('Providers'!$AI$4:$AI$503,487))</f>
        <v/>
      </c>
    </row>
    <row r="4491">
      <c r="A4491">
        <f>IF(AND(LEN('Providers'!A491)&gt;0,ISNUMBER('Providers'!AA491)),1,0)</f>
        <v/>
      </c>
      <c r="B4491">
        <f>B4490+A4491</f>
        <v/>
      </c>
      <c r="C4491">
        <f>IF(4488&gt;$B$4503,"",MATCH(4488-0.5,$B$3:$B$4503,1))</f>
        <v/>
      </c>
      <c r="D4491">
        <f>"Payer recredentialing – "&amp;IF(LEN(INDEX('Providers'!$A$4:$A$503,488))=0,"",INDEX('Providers'!$A$4:$A$503,488))</f>
        <v/>
      </c>
      <c r="E4491">
        <f>IF(ISNUMBER(INDEX('Providers'!$AA$4:$AA$503,488)),TEXT(INDEX('Providers'!$AA$4:$AA$503,488),"yyyy-mm-dd"),"")</f>
        <v/>
      </c>
      <c r="F4491">
        <f>"Credentialing"</f>
        <v/>
      </c>
      <c r="G4491">
        <f>""</f>
        <v/>
      </c>
      <c r="H4491">
        <f>"High"</f>
        <v/>
      </c>
      <c r="I4491">
        <f>TRIM(IF(LEN(IF(LEN(INDEX('Providers'!$Z$4:$Z$503,488))=0,"",INDEX('Providers'!$Z$4:$Z$503,488)))=0,"","Payer(s): "&amp;IF(LEN(INDEX('Providers'!$Z$4:$Z$503,488))=0,"",INDEX('Providers'!$Z$4:$Z$503,488))&amp;". "))</f>
        <v/>
      </c>
      <c r="J4491">
        <f>IF(LEN(INDEX('Providers'!$AJ$4:$AJ$503,488))=0,"",INDEX('Providers'!$AJ$4:$AJ$503,488))</f>
        <v/>
      </c>
      <c r="K4491">
        <f>IF(LEN(INDEX('Providers'!$AI$4:$AI$503,488))=0,"",INDEX('Providers'!$AI$4:$AI$503,488))</f>
        <v/>
      </c>
    </row>
    <row r="4492">
      <c r="A4492">
        <f>IF(AND(LEN('Providers'!A492)&gt;0,ISNUMBER('Providers'!AA492)),1,0)</f>
        <v/>
      </c>
      <c r="B4492">
        <f>B4491+A4492</f>
        <v/>
      </c>
      <c r="C4492">
        <f>IF(4489&gt;$B$4503,"",MATCH(4489-0.5,$B$3:$B$4503,1))</f>
        <v/>
      </c>
      <c r="D4492">
        <f>"Payer recredentialing – "&amp;IF(LEN(INDEX('Providers'!$A$4:$A$503,489))=0,"",INDEX('Providers'!$A$4:$A$503,489))</f>
        <v/>
      </c>
      <c r="E4492">
        <f>IF(ISNUMBER(INDEX('Providers'!$AA$4:$AA$503,489)),TEXT(INDEX('Providers'!$AA$4:$AA$503,489),"yyyy-mm-dd"),"")</f>
        <v/>
      </c>
      <c r="F4492">
        <f>"Credentialing"</f>
        <v/>
      </c>
      <c r="G4492">
        <f>""</f>
        <v/>
      </c>
      <c r="H4492">
        <f>"High"</f>
        <v/>
      </c>
      <c r="I4492">
        <f>TRIM(IF(LEN(IF(LEN(INDEX('Providers'!$Z$4:$Z$503,489))=0,"",INDEX('Providers'!$Z$4:$Z$503,489)))=0,"","Payer(s): "&amp;IF(LEN(INDEX('Providers'!$Z$4:$Z$503,489))=0,"",INDEX('Providers'!$Z$4:$Z$503,489))&amp;". "))</f>
        <v/>
      </c>
      <c r="J4492">
        <f>IF(LEN(INDEX('Providers'!$AJ$4:$AJ$503,489))=0,"",INDEX('Providers'!$AJ$4:$AJ$503,489))</f>
        <v/>
      </c>
      <c r="K4492">
        <f>IF(LEN(INDEX('Providers'!$AI$4:$AI$503,489))=0,"",INDEX('Providers'!$AI$4:$AI$503,489))</f>
        <v/>
      </c>
    </row>
    <row r="4493">
      <c r="A4493">
        <f>IF(AND(LEN('Providers'!A493)&gt;0,ISNUMBER('Providers'!AA493)),1,0)</f>
        <v/>
      </c>
      <c r="B4493">
        <f>B4492+A4493</f>
        <v/>
      </c>
      <c r="C4493">
        <f>IF(4490&gt;$B$4503,"",MATCH(4490-0.5,$B$3:$B$4503,1))</f>
        <v/>
      </c>
      <c r="D4493">
        <f>"Payer recredentialing – "&amp;IF(LEN(INDEX('Providers'!$A$4:$A$503,490))=0,"",INDEX('Providers'!$A$4:$A$503,490))</f>
        <v/>
      </c>
      <c r="E4493">
        <f>IF(ISNUMBER(INDEX('Providers'!$AA$4:$AA$503,490)),TEXT(INDEX('Providers'!$AA$4:$AA$503,490),"yyyy-mm-dd"),"")</f>
        <v/>
      </c>
      <c r="F4493">
        <f>"Credentialing"</f>
        <v/>
      </c>
      <c r="G4493">
        <f>""</f>
        <v/>
      </c>
      <c r="H4493">
        <f>"High"</f>
        <v/>
      </c>
      <c r="I4493">
        <f>TRIM(IF(LEN(IF(LEN(INDEX('Providers'!$Z$4:$Z$503,490))=0,"",INDEX('Providers'!$Z$4:$Z$503,490)))=0,"","Payer(s): "&amp;IF(LEN(INDEX('Providers'!$Z$4:$Z$503,490))=0,"",INDEX('Providers'!$Z$4:$Z$503,490))&amp;". "))</f>
        <v/>
      </c>
      <c r="J4493">
        <f>IF(LEN(INDEX('Providers'!$AJ$4:$AJ$503,490))=0,"",INDEX('Providers'!$AJ$4:$AJ$503,490))</f>
        <v/>
      </c>
      <c r="K4493">
        <f>IF(LEN(INDEX('Providers'!$AI$4:$AI$503,490))=0,"",INDEX('Providers'!$AI$4:$AI$503,490))</f>
        <v/>
      </c>
    </row>
    <row r="4494">
      <c r="A4494">
        <f>IF(AND(LEN('Providers'!A494)&gt;0,ISNUMBER('Providers'!AA494)),1,0)</f>
        <v/>
      </c>
      <c r="B4494">
        <f>B4493+A4494</f>
        <v/>
      </c>
      <c r="C4494">
        <f>IF(4491&gt;$B$4503,"",MATCH(4491-0.5,$B$3:$B$4503,1))</f>
        <v/>
      </c>
      <c r="D4494">
        <f>"Payer recredentialing – "&amp;IF(LEN(INDEX('Providers'!$A$4:$A$503,491))=0,"",INDEX('Providers'!$A$4:$A$503,491))</f>
        <v/>
      </c>
      <c r="E4494">
        <f>IF(ISNUMBER(INDEX('Providers'!$AA$4:$AA$503,491)),TEXT(INDEX('Providers'!$AA$4:$AA$503,491),"yyyy-mm-dd"),"")</f>
        <v/>
      </c>
      <c r="F4494">
        <f>"Credentialing"</f>
        <v/>
      </c>
      <c r="G4494">
        <f>""</f>
        <v/>
      </c>
      <c r="H4494">
        <f>"High"</f>
        <v/>
      </c>
      <c r="I4494">
        <f>TRIM(IF(LEN(IF(LEN(INDEX('Providers'!$Z$4:$Z$503,491))=0,"",INDEX('Providers'!$Z$4:$Z$503,491)))=0,"","Payer(s): "&amp;IF(LEN(INDEX('Providers'!$Z$4:$Z$503,491))=0,"",INDEX('Providers'!$Z$4:$Z$503,491))&amp;". "))</f>
        <v/>
      </c>
      <c r="J4494">
        <f>IF(LEN(INDEX('Providers'!$AJ$4:$AJ$503,491))=0,"",INDEX('Providers'!$AJ$4:$AJ$503,491))</f>
        <v/>
      </c>
      <c r="K4494">
        <f>IF(LEN(INDEX('Providers'!$AI$4:$AI$503,491))=0,"",INDEX('Providers'!$AI$4:$AI$503,491))</f>
        <v/>
      </c>
    </row>
    <row r="4495">
      <c r="A4495">
        <f>IF(AND(LEN('Providers'!A495)&gt;0,ISNUMBER('Providers'!AA495)),1,0)</f>
        <v/>
      </c>
      <c r="B4495">
        <f>B4494+A4495</f>
        <v/>
      </c>
      <c r="C4495">
        <f>IF(4492&gt;$B$4503,"",MATCH(4492-0.5,$B$3:$B$4503,1))</f>
        <v/>
      </c>
      <c r="D4495">
        <f>"Payer recredentialing – "&amp;IF(LEN(INDEX('Providers'!$A$4:$A$503,492))=0,"",INDEX('Providers'!$A$4:$A$503,492))</f>
        <v/>
      </c>
      <c r="E4495">
        <f>IF(ISNUMBER(INDEX('Providers'!$AA$4:$AA$503,492)),TEXT(INDEX('Providers'!$AA$4:$AA$503,492),"yyyy-mm-dd"),"")</f>
        <v/>
      </c>
      <c r="F4495">
        <f>"Credentialing"</f>
        <v/>
      </c>
      <c r="G4495">
        <f>""</f>
        <v/>
      </c>
      <c r="H4495">
        <f>"High"</f>
        <v/>
      </c>
      <c r="I4495">
        <f>TRIM(IF(LEN(IF(LEN(INDEX('Providers'!$Z$4:$Z$503,492))=0,"",INDEX('Providers'!$Z$4:$Z$503,492)))=0,"","Payer(s): "&amp;IF(LEN(INDEX('Providers'!$Z$4:$Z$503,492))=0,"",INDEX('Providers'!$Z$4:$Z$503,492))&amp;". "))</f>
        <v/>
      </c>
      <c r="J4495">
        <f>IF(LEN(INDEX('Providers'!$AJ$4:$AJ$503,492))=0,"",INDEX('Providers'!$AJ$4:$AJ$503,492))</f>
        <v/>
      </c>
      <c r="K4495">
        <f>IF(LEN(INDEX('Providers'!$AI$4:$AI$503,492))=0,"",INDEX('Providers'!$AI$4:$AI$503,492))</f>
        <v/>
      </c>
    </row>
    <row r="4496">
      <c r="A4496">
        <f>IF(AND(LEN('Providers'!A496)&gt;0,ISNUMBER('Providers'!AA496)),1,0)</f>
        <v/>
      </c>
      <c r="B4496">
        <f>B4495+A4496</f>
        <v/>
      </c>
      <c r="C4496">
        <f>IF(4493&gt;$B$4503,"",MATCH(4493-0.5,$B$3:$B$4503,1))</f>
        <v/>
      </c>
      <c r="D4496">
        <f>"Payer recredentialing – "&amp;IF(LEN(INDEX('Providers'!$A$4:$A$503,493))=0,"",INDEX('Providers'!$A$4:$A$503,493))</f>
        <v/>
      </c>
      <c r="E4496">
        <f>IF(ISNUMBER(INDEX('Providers'!$AA$4:$AA$503,493)),TEXT(INDEX('Providers'!$AA$4:$AA$503,493),"yyyy-mm-dd"),"")</f>
        <v/>
      </c>
      <c r="F4496">
        <f>"Credentialing"</f>
        <v/>
      </c>
      <c r="G4496">
        <f>""</f>
        <v/>
      </c>
      <c r="H4496">
        <f>"High"</f>
        <v/>
      </c>
      <c r="I4496">
        <f>TRIM(IF(LEN(IF(LEN(INDEX('Providers'!$Z$4:$Z$503,493))=0,"",INDEX('Providers'!$Z$4:$Z$503,493)))=0,"","Payer(s): "&amp;IF(LEN(INDEX('Providers'!$Z$4:$Z$503,493))=0,"",INDEX('Providers'!$Z$4:$Z$503,493))&amp;". "))</f>
        <v/>
      </c>
      <c r="J4496">
        <f>IF(LEN(INDEX('Providers'!$AJ$4:$AJ$503,493))=0,"",INDEX('Providers'!$AJ$4:$AJ$503,493))</f>
        <v/>
      </c>
      <c r="K4496">
        <f>IF(LEN(INDEX('Providers'!$AI$4:$AI$503,493))=0,"",INDEX('Providers'!$AI$4:$AI$503,493))</f>
        <v/>
      </c>
    </row>
    <row r="4497">
      <c r="A4497">
        <f>IF(AND(LEN('Providers'!A497)&gt;0,ISNUMBER('Providers'!AA497)),1,0)</f>
        <v/>
      </c>
      <c r="B4497">
        <f>B4496+A4497</f>
        <v/>
      </c>
      <c r="C4497">
        <f>IF(4494&gt;$B$4503,"",MATCH(4494-0.5,$B$3:$B$4503,1))</f>
        <v/>
      </c>
      <c r="D4497">
        <f>"Payer recredentialing – "&amp;IF(LEN(INDEX('Providers'!$A$4:$A$503,494))=0,"",INDEX('Providers'!$A$4:$A$503,494))</f>
        <v/>
      </c>
      <c r="E4497">
        <f>IF(ISNUMBER(INDEX('Providers'!$AA$4:$AA$503,494)),TEXT(INDEX('Providers'!$AA$4:$AA$503,494),"yyyy-mm-dd"),"")</f>
        <v/>
      </c>
      <c r="F4497">
        <f>"Credentialing"</f>
        <v/>
      </c>
      <c r="G4497">
        <f>""</f>
        <v/>
      </c>
      <c r="H4497">
        <f>"High"</f>
        <v/>
      </c>
      <c r="I4497">
        <f>TRIM(IF(LEN(IF(LEN(INDEX('Providers'!$Z$4:$Z$503,494))=0,"",INDEX('Providers'!$Z$4:$Z$503,494)))=0,"","Payer(s): "&amp;IF(LEN(INDEX('Providers'!$Z$4:$Z$503,494))=0,"",INDEX('Providers'!$Z$4:$Z$503,494))&amp;". "))</f>
        <v/>
      </c>
      <c r="J4497">
        <f>IF(LEN(INDEX('Providers'!$AJ$4:$AJ$503,494))=0,"",INDEX('Providers'!$AJ$4:$AJ$503,494))</f>
        <v/>
      </c>
      <c r="K4497">
        <f>IF(LEN(INDEX('Providers'!$AI$4:$AI$503,494))=0,"",INDEX('Providers'!$AI$4:$AI$503,494))</f>
        <v/>
      </c>
    </row>
    <row r="4498">
      <c r="A4498">
        <f>IF(AND(LEN('Providers'!A498)&gt;0,ISNUMBER('Providers'!AA498)),1,0)</f>
        <v/>
      </c>
      <c r="B4498">
        <f>B4497+A4498</f>
        <v/>
      </c>
      <c r="C4498">
        <f>IF(4495&gt;$B$4503,"",MATCH(4495-0.5,$B$3:$B$4503,1))</f>
        <v/>
      </c>
      <c r="D4498">
        <f>"Payer recredentialing – "&amp;IF(LEN(INDEX('Providers'!$A$4:$A$503,495))=0,"",INDEX('Providers'!$A$4:$A$503,495))</f>
        <v/>
      </c>
      <c r="E4498">
        <f>IF(ISNUMBER(INDEX('Providers'!$AA$4:$AA$503,495)),TEXT(INDEX('Providers'!$AA$4:$AA$503,495),"yyyy-mm-dd"),"")</f>
        <v/>
      </c>
      <c r="F4498">
        <f>"Credentialing"</f>
        <v/>
      </c>
      <c r="G4498">
        <f>""</f>
        <v/>
      </c>
      <c r="H4498">
        <f>"High"</f>
        <v/>
      </c>
      <c r="I4498">
        <f>TRIM(IF(LEN(IF(LEN(INDEX('Providers'!$Z$4:$Z$503,495))=0,"",INDEX('Providers'!$Z$4:$Z$503,495)))=0,"","Payer(s): "&amp;IF(LEN(INDEX('Providers'!$Z$4:$Z$503,495))=0,"",INDEX('Providers'!$Z$4:$Z$503,495))&amp;". "))</f>
        <v/>
      </c>
      <c r="J4498">
        <f>IF(LEN(INDEX('Providers'!$AJ$4:$AJ$503,495))=0,"",INDEX('Providers'!$AJ$4:$AJ$503,495))</f>
        <v/>
      </c>
      <c r="K4498">
        <f>IF(LEN(INDEX('Providers'!$AI$4:$AI$503,495))=0,"",INDEX('Providers'!$AI$4:$AI$503,495))</f>
        <v/>
      </c>
    </row>
    <row r="4499">
      <c r="A4499">
        <f>IF(AND(LEN('Providers'!A499)&gt;0,ISNUMBER('Providers'!AA499)),1,0)</f>
        <v/>
      </c>
      <c r="B4499">
        <f>B4498+A4499</f>
        <v/>
      </c>
      <c r="C4499">
        <f>IF(4496&gt;$B$4503,"",MATCH(4496-0.5,$B$3:$B$4503,1))</f>
        <v/>
      </c>
      <c r="D4499">
        <f>"Payer recredentialing – "&amp;IF(LEN(INDEX('Providers'!$A$4:$A$503,496))=0,"",INDEX('Providers'!$A$4:$A$503,496))</f>
        <v/>
      </c>
      <c r="E4499">
        <f>IF(ISNUMBER(INDEX('Providers'!$AA$4:$AA$503,496)),TEXT(INDEX('Providers'!$AA$4:$AA$503,496),"yyyy-mm-dd"),"")</f>
        <v/>
      </c>
      <c r="F4499">
        <f>"Credentialing"</f>
        <v/>
      </c>
      <c r="G4499">
        <f>""</f>
        <v/>
      </c>
      <c r="H4499">
        <f>"High"</f>
        <v/>
      </c>
      <c r="I4499">
        <f>TRIM(IF(LEN(IF(LEN(INDEX('Providers'!$Z$4:$Z$503,496))=0,"",INDEX('Providers'!$Z$4:$Z$503,496)))=0,"","Payer(s): "&amp;IF(LEN(INDEX('Providers'!$Z$4:$Z$503,496))=0,"",INDEX('Providers'!$Z$4:$Z$503,496))&amp;". "))</f>
        <v/>
      </c>
      <c r="J4499">
        <f>IF(LEN(INDEX('Providers'!$AJ$4:$AJ$503,496))=0,"",INDEX('Providers'!$AJ$4:$AJ$503,496))</f>
        <v/>
      </c>
      <c r="K4499">
        <f>IF(LEN(INDEX('Providers'!$AI$4:$AI$503,496))=0,"",INDEX('Providers'!$AI$4:$AI$503,496))</f>
        <v/>
      </c>
    </row>
    <row r="4500">
      <c r="A4500">
        <f>IF(AND(LEN('Providers'!A500)&gt;0,ISNUMBER('Providers'!AA500)),1,0)</f>
        <v/>
      </c>
      <c r="B4500">
        <f>B4499+A4500</f>
        <v/>
      </c>
      <c r="C4500">
        <f>IF(4497&gt;$B$4503,"",MATCH(4497-0.5,$B$3:$B$4503,1))</f>
        <v/>
      </c>
      <c r="D4500">
        <f>"Payer recredentialing – "&amp;IF(LEN(INDEX('Providers'!$A$4:$A$503,497))=0,"",INDEX('Providers'!$A$4:$A$503,497))</f>
        <v/>
      </c>
      <c r="E4500">
        <f>IF(ISNUMBER(INDEX('Providers'!$AA$4:$AA$503,497)),TEXT(INDEX('Providers'!$AA$4:$AA$503,497),"yyyy-mm-dd"),"")</f>
        <v/>
      </c>
      <c r="F4500">
        <f>"Credentialing"</f>
        <v/>
      </c>
      <c r="G4500">
        <f>""</f>
        <v/>
      </c>
      <c r="H4500">
        <f>"High"</f>
        <v/>
      </c>
      <c r="I4500">
        <f>TRIM(IF(LEN(IF(LEN(INDEX('Providers'!$Z$4:$Z$503,497))=0,"",INDEX('Providers'!$Z$4:$Z$503,497)))=0,"","Payer(s): "&amp;IF(LEN(INDEX('Providers'!$Z$4:$Z$503,497))=0,"",INDEX('Providers'!$Z$4:$Z$503,497))&amp;". "))</f>
        <v/>
      </c>
      <c r="J4500">
        <f>IF(LEN(INDEX('Providers'!$AJ$4:$AJ$503,497))=0,"",INDEX('Providers'!$AJ$4:$AJ$503,497))</f>
        <v/>
      </c>
      <c r="K4500">
        <f>IF(LEN(INDEX('Providers'!$AI$4:$AI$503,497))=0,"",INDEX('Providers'!$AI$4:$AI$503,497))</f>
        <v/>
      </c>
    </row>
    <row r="4501">
      <c r="A4501">
        <f>IF(AND(LEN('Providers'!A501)&gt;0,ISNUMBER('Providers'!AA501)),1,0)</f>
        <v/>
      </c>
      <c r="B4501">
        <f>B4500+A4501</f>
        <v/>
      </c>
      <c r="C4501">
        <f>IF(4498&gt;$B$4503,"",MATCH(4498-0.5,$B$3:$B$4503,1))</f>
        <v/>
      </c>
      <c r="D4501">
        <f>"Payer recredentialing – "&amp;IF(LEN(INDEX('Providers'!$A$4:$A$503,498))=0,"",INDEX('Providers'!$A$4:$A$503,498))</f>
        <v/>
      </c>
      <c r="E4501">
        <f>IF(ISNUMBER(INDEX('Providers'!$AA$4:$AA$503,498)),TEXT(INDEX('Providers'!$AA$4:$AA$503,498),"yyyy-mm-dd"),"")</f>
        <v/>
      </c>
      <c r="F4501">
        <f>"Credentialing"</f>
        <v/>
      </c>
      <c r="G4501">
        <f>""</f>
        <v/>
      </c>
      <c r="H4501">
        <f>"High"</f>
        <v/>
      </c>
      <c r="I4501">
        <f>TRIM(IF(LEN(IF(LEN(INDEX('Providers'!$Z$4:$Z$503,498))=0,"",INDEX('Providers'!$Z$4:$Z$503,498)))=0,"","Payer(s): "&amp;IF(LEN(INDEX('Providers'!$Z$4:$Z$503,498))=0,"",INDEX('Providers'!$Z$4:$Z$503,498))&amp;". "))</f>
        <v/>
      </c>
      <c r="J4501">
        <f>IF(LEN(INDEX('Providers'!$AJ$4:$AJ$503,498))=0,"",INDEX('Providers'!$AJ$4:$AJ$503,498))</f>
        <v/>
      </c>
      <c r="K4501">
        <f>IF(LEN(INDEX('Providers'!$AI$4:$AI$503,498))=0,"",INDEX('Providers'!$AI$4:$AI$503,498))</f>
        <v/>
      </c>
    </row>
    <row r="4502">
      <c r="A4502">
        <f>IF(AND(LEN('Providers'!A502)&gt;0,ISNUMBER('Providers'!AA502)),1,0)</f>
        <v/>
      </c>
      <c r="B4502">
        <f>B4501+A4502</f>
        <v/>
      </c>
      <c r="C4502">
        <f>IF(4499&gt;$B$4503,"",MATCH(4499-0.5,$B$3:$B$4503,1))</f>
        <v/>
      </c>
      <c r="D4502">
        <f>"Payer recredentialing – "&amp;IF(LEN(INDEX('Providers'!$A$4:$A$503,499))=0,"",INDEX('Providers'!$A$4:$A$503,499))</f>
        <v/>
      </c>
      <c r="E4502">
        <f>IF(ISNUMBER(INDEX('Providers'!$AA$4:$AA$503,499)),TEXT(INDEX('Providers'!$AA$4:$AA$503,499),"yyyy-mm-dd"),"")</f>
        <v/>
      </c>
      <c r="F4502">
        <f>"Credentialing"</f>
        <v/>
      </c>
      <c r="G4502">
        <f>""</f>
        <v/>
      </c>
      <c r="H4502">
        <f>"High"</f>
        <v/>
      </c>
      <c r="I4502">
        <f>TRIM(IF(LEN(IF(LEN(INDEX('Providers'!$Z$4:$Z$503,499))=0,"",INDEX('Providers'!$Z$4:$Z$503,499)))=0,"","Payer(s): "&amp;IF(LEN(INDEX('Providers'!$Z$4:$Z$503,499))=0,"",INDEX('Providers'!$Z$4:$Z$503,499))&amp;". "))</f>
        <v/>
      </c>
      <c r="J4502">
        <f>IF(LEN(INDEX('Providers'!$AJ$4:$AJ$503,499))=0,"",INDEX('Providers'!$AJ$4:$AJ$503,499))</f>
        <v/>
      </c>
      <c r="K4502">
        <f>IF(LEN(INDEX('Providers'!$AI$4:$AI$503,499))=0,"",INDEX('Providers'!$AI$4:$AI$503,499))</f>
        <v/>
      </c>
    </row>
    <row r="4503">
      <c r="A4503">
        <f>IF(AND(LEN('Providers'!A503)&gt;0,ISNUMBER('Providers'!AA503)),1,0)</f>
        <v/>
      </c>
      <c r="B4503">
        <f>B4502+A4503</f>
        <v/>
      </c>
      <c r="C4503">
        <f>IF(4500&gt;$B$4503,"",MATCH(4500-0.5,$B$3:$B$4503,1))</f>
        <v/>
      </c>
      <c r="D4503">
        <f>"Payer recredentialing – "&amp;IF(LEN(INDEX('Providers'!$A$4:$A$503,500))=0,"",INDEX('Providers'!$A$4:$A$503,500))</f>
        <v/>
      </c>
      <c r="E4503">
        <f>IF(ISNUMBER(INDEX('Providers'!$AA$4:$AA$503,500)),TEXT(INDEX('Providers'!$AA$4:$AA$503,500),"yyyy-mm-dd"),"")</f>
        <v/>
      </c>
      <c r="F4503">
        <f>"Credentialing"</f>
        <v/>
      </c>
      <c r="G4503">
        <f>""</f>
        <v/>
      </c>
      <c r="H4503">
        <f>"High"</f>
        <v/>
      </c>
      <c r="I4503">
        <f>TRIM(IF(LEN(IF(LEN(INDEX('Providers'!$Z$4:$Z$503,500))=0,"",INDEX('Providers'!$Z$4:$Z$503,500)))=0,"","Payer(s): "&amp;IF(LEN(INDEX('Providers'!$Z$4:$Z$503,500))=0,"",INDEX('Providers'!$Z$4:$Z$503,500))&amp;". "))</f>
        <v/>
      </c>
      <c r="J4503">
        <f>IF(LEN(INDEX('Providers'!$AJ$4:$AJ$503,500))=0,"",INDEX('Providers'!$AJ$4:$AJ$503,500))</f>
        <v/>
      </c>
      <c r="K4503">
        <f>IF(LEN(INDEX('Providers'!$AI$4:$AI$503,500))=0,"",INDEX('Providers'!$AI$4:$AI$503,500))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Company>ExpiryEdge</Company>
</Properties>
</file>

<file path=docProps/core.xml><?xml version="1.0" encoding="utf-8"?>
<cp:coreProperties xmlns:cp="http://schemas.openxmlformats.org/package/2006/metadata/core-properties">
  <dc:creator xmlns:dc="http://purl.org/dc/elements/1.1/">ExpiryEdge</dc:creator>
  <dc:title xmlns:dc="http://purl.org/dc/elements/1.1/">Provider credential matrix (free template)</dc:title>
  <dc:description xmlns:dc="http://purl.org/dc/elements/1.1/">Free template from expiryedge.com/templates/. October 2026 edition.</dc:description>
  <dc:subject xmlns:dc="http://purl.org/dc/elements/1.1/">License, DEA, CSR, board, malpractice, life support, CAQH, privileges and payer dates for every clinician, each color-coded, with a worst status per provider.</dc:subject>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ExpiryEdge</cp:lastModifiedBy>
  <cp:keywords>expiry tracker, renewal tracker, template, ExpiryEdge</cp:keywords>
</cp:coreProperties>
</file>